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rtins\OneDrive - Beam Suntory Inc\999. Python\personalPnL\inputs\"/>
    </mc:Choice>
  </mc:AlternateContent>
  <xr:revisionPtr revIDLastSave="1" documentId="13_ncr:1_{8362A652-778F-442E-AAA2-E4C9630B99C3}" xr6:coauthVersionLast="45" xr6:coauthVersionMax="45" xr10:uidLastSave="{A529C9C2-68A5-4130-AD10-176C31E8E25E}"/>
  <bookViews>
    <workbookView minimized="1" xWindow="2085" yWindow="840" windowWidth="16935" windowHeight="14520" tabRatio="770" xr2:uid="{27C8359C-BBD9-46FD-BFA8-CD3403408854}"/>
  </bookViews>
  <sheets>
    <sheet name="P&amp;L USA" sheetId="6" r:id="rId1"/>
    <sheet name="Chase Aux" sheetId="12" r:id="rId2"/>
    <sheet name="Profit" sheetId="2" r:id="rId3"/>
    <sheet name="Losses" sheetId="3" r:id="rId4"/>
    <sheet name="EK debt" sheetId="16" r:id="rId5"/>
    <sheet name="Tasks" sheetId="14" r:id="rId6"/>
    <sheet name="Funds" sheetId="9" r:id="rId7"/>
    <sheet name="Cash flow" sheetId="5" r:id="rId8"/>
    <sheet name="Kids" sheetId="13" r:id="rId9"/>
    <sheet name="Retirement" sheetId="4" r:id="rId10"/>
    <sheet name="Investments" sheetId="10" r:id="rId11"/>
    <sheet name="Ret. as 2019" sheetId="15" state="hidden" r:id="rId12"/>
    <sheet name="MBA" sheetId="17" r:id="rId13"/>
    <sheet name="Aux2" sheetId="11" r:id="rId14"/>
    <sheet name="draft" sheetId="8" state="hidden" r:id="rId15"/>
    <sheet name="Aux" sheetId="7" r:id="rId16"/>
  </sheets>
  <definedNames>
    <definedName name="_xlnm._FilterDatabase" localSheetId="13" hidden="1">'Aux2'!$B$2:$H$2</definedName>
    <definedName name="_xlnm._FilterDatabase" localSheetId="10" hidden="1">Investments!$AW$16:$BD$16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11" i="5" l="1"/>
  <c r="AF11" i="5" s="1"/>
  <c r="AG11" i="5" s="1"/>
  <c r="AH11" i="5" s="1"/>
  <c r="AA126" i="3" l="1"/>
  <c r="AA125" i="3"/>
  <c r="AA124" i="3"/>
  <c r="AA123" i="3"/>
  <c r="AA122" i="3"/>
  <c r="AA121" i="3"/>
  <c r="AA120" i="3"/>
  <c r="AA119" i="3"/>
  <c r="AA118" i="3"/>
  <c r="AA117" i="3"/>
  <c r="AA116" i="3"/>
  <c r="X116" i="3"/>
  <c r="X117" i="3"/>
  <c r="X118" i="3"/>
  <c r="X119" i="3"/>
  <c r="X120" i="3"/>
  <c r="X121" i="3"/>
  <c r="X122" i="3"/>
  <c r="X123" i="3"/>
  <c r="X124" i="3"/>
  <c r="X125" i="3"/>
  <c r="X126" i="3"/>
  <c r="G658" i="3" l="1"/>
  <c r="H658" i="3"/>
  <c r="I658" i="3"/>
  <c r="E611" i="3"/>
  <c r="E642" i="3"/>
  <c r="R7" i="9"/>
  <c r="R6" i="9"/>
  <c r="R8" i="9" s="1"/>
  <c r="E638" i="3"/>
  <c r="D19" i="10"/>
  <c r="R16" i="9"/>
  <c r="H105" i="2" l="1"/>
  <c r="R23" i="9"/>
  <c r="R24" i="9"/>
  <c r="R25" i="9"/>
  <c r="R26" i="9"/>
  <c r="R27" i="9"/>
  <c r="R28" i="9"/>
  <c r="R29" i="9"/>
  <c r="R30" i="9" l="1"/>
  <c r="R31" i="9" s="1"/>
  <c r="Q6" i="9"/>
  <c r="M19" i="10"/>
  <c r="L19" i="10"/>
  <c r="H602" i="3"/>
  <c r="G602" i="3"/>
  <c r="E598" i="3"/>
  <c r="H98" i="2"/>
  <c r="H96" i="2"/>
  <c r="H95" i="2"/>
  <c r="P7" i="9"/>
  <c r="P6" i="9"/>
  <c r="P8" i="9" s="1"/>
  <c r="Q29" i="9"/>
  <c r="Q28" i="9"/>
  <c r="Q27" i="9"/>
  <c r="Q26" i="9"/>
  <c r="Q25" i="9"/>
  <c r="Q24" i="9"/>
  <c r="Q23" i="9"/>
  <c r="Q7" i="9" l="1"/>
  <c r="Q8" i="9"/>
  <c r="Q30" i="9"/>
  <c r="Q31" i="9" s="1"/>
  <c r="G10" i="17"/>
  <c r="L10" i="17" s="1"/>
  <c r="AA134" i="3"/>
  <c r="AA133" i="3"/>
  <c r="X134" i="3"/>
  <c r="X133" i="3"/>
  <c r="I10" i="17"/>
  <c r="K8" i="17"/>
  <c r="AI80" i="3"/>
  <c r="AH80" i="3"/>
  <c r="N1" i="16"/>
  <c r="AH82" i="3" l="1"/>
  <c r="P34" i="16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33" i="16"/>
  <c r="P32" i="16"/>
  <c r="X56" i="5"/>
  <c r="W56" i="5"/>
  <c r="V56" i="5"/>
  <c r="U56" i="5"/>
  <c r="T56" i="5"/>
  <c r="S56" i="5"/>
  <c r="R56" i="5"/>
  <c r="Q56" i="5"/>
  <c r="O56" i="5"/>
  <c r="R30" i="16"/>
  <c r="Q44" i="16" l="1"/>
  <c r="Q43" i="16"/>
  <c r="AC8" i="4"/>
  <c r="AP8" i="4" s="1"/>
  <c r="AO8" i="4" s="1"/>
  <c r="Q45" i="16" l="1"/>
  <c r="Q46" i="16"/>
  <c r="AC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W3" i="4"/>
  <c r="AH4" i="4"/>
  <c r="Y6" i="4"/>
  <c r="L45" i="9"/>
  <c r="Q50" i="16" l="1"/>
  <c r="Q48" i="16"/>
  <c r="Q47" i="16"/>
  <c r="D14" i="17"/>
  <c r="F12" i="17"/>
  <c r="E12" i="17"/>
  <c r="D12" i="17"/>
  <c r="C12" i="17"/>
  <c r="D15" i="17"/>
  <c r="E15" i="17"/>
  <c r="F15" i="17"/>
  <c r="C15" i="17"/>
  <c r="E26" i="17"/>
  <c r="E24" i="17"/>
  <c r="E21" i="17"/>
  <c r="D21" i="17"/>
  <c r="D22" i="17"/>
  <c r="E22" i="17" s="1"/>
  <c r="D23" i="17"/>
  <c r="D24" i="17"/>
  <c r="D25" i="17"/>
  <c r="D26" i="17"/>
  <c r="D20" i="17"/>
  <c r="F10" i="17"/>
  <c r="K10" i="17" s="1"/>
  <c r="E10" i="17"/>
  <c r="J10" i="17" s="1"/>
  <c r="D10" i="17"/>
  <c r="F7" i="17"/>
  <c r="E7" i="17"/>
  <c r="D7" i="17"/>
  <c r="D13" i="17" s="1"/>
  <c r="K6" i="17"/>
  <c r="K5" i="17"/>
  <c r="K4" i="17"/>
  <c r="K3" i="17"/>
  <c r="J6" i="17"/>
  <c r="J5" i="17"/>
  <c r="J4" i="17"/>
  <c r="F13" i="17" l="1"/>
  <c r="E13" i="17"/>
  <c r="Q51" i="16"/>
  <c r="Q49" i="16"/>
  <c r="D16" i="17"/>
  <c r="E27" i="17"/>
  <c r="D27" i="17"/>
  <c r="F27" i="17" s="1"/>
  <c r="G27" i="17" s="1"/>
  <c r="E14" i="17" s="1"/>
  <c r="F14" i="17" s="1"/>
  <c r="S143" i="3"/>
  <c r="S146" i="3" s="1"/>
  <c r="F16" i="17" l="1"/>
  <c r="E16" i="17"/>
  <c r="S140" i="3"/>
  <c r="S139" i="3"/>
  <c r="C15" i="6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V6" i="16" l="1"/>
  <c r="V7" i="16"/>
  <c r="V8" i="16"/>
  <c r="V9" i="16"/>
  <c r="V10" i="16"/>
  <c r="V11" i="16"/>
  <c r="V12" i="16"/>
  <c r="V5" i="16"/>
  <c r="E567" i="3"/>
  <c r="P19" i="9"/>
  <c r="P23" i="9"/>
  <c r="P24" i="9"/>
  <c r="P25" i="9"/>
  <c r="P26" i="9"/>
  <c r="P27" i="9"/>
  <c r="P28" i="9"/>
  <c r="P29" i="9"/>
  <c r="V14" i="16" l="1"/>
  <c r="N5" i="16" s="1"/>
  <c r="P30" i="9"/>
  <c r="P31" i="9" s="1"/>
  <c r="L58" i="5"/>
  <c r="K58" i="5"/>
  <c r="J58" i="5"/>
  <c r="I58" i="5"/>
  <c r="H58" i="5"/>
  <c r="G58" i="5"/>
  <c r="F58" i="5"/>
  <c r="E58" i="5"/>
  <c r="D58" i="5"/>
  <c r="C58" i="5"/>
  <c r="P9" i="16"/>
  <c r="P7" i="16"/>
  <c r="P6" i="16"/>
  <c r="F6" i="16"/>
  <c r="I6" i="16" s="1"/>
  <c r="K6" i="16" s="1"/>
  <c r="F7" i="16"/>
  <c r="I7" i="16" s="1"/>
  <c r="F8" i="16"/>
  <c r="H8" i="16" s="1"/>
  <c r="F9" i="16"/>
  <c r="H9" i="16" s="1"/>
  <c r="F10" i="16"/>
  <c r="I10" i="16" s="1"/>
  <c r="K10" i="16" s="1"/>
  <c r="W25" i="16"/>
  <c r="U25" i="16"/>
  <c r="V25" i="16"/>
  <c r="N25" i="16"/>
  <c r="O25" i="16"/>
  <c r="P25" i="16"/>
  <c r="Q25" i="16"/>
  <c r="R25" i="16"/>
  <c r="S25" i="16"/>
  <c r="T25" i="16"/>
  <c r="D25" i="16"/>
  <c r="E25" i="16"/>
  <c r="F25" i="16"/>
  <c r="G25" i="16"/>
  <c r="H25" i="16"/>
  <c r="I25" i="16"/>
  <c r="J25" i="16"/>
  <c r="K25" i="16"/>
  <c r="L25" i="16"/>
  <c r="M25" i="16"/>
  <c r="C25" i="16"/>
  <c r="K4" i="16"/>
  <c r="I4" i="16"/>
  <c r="J13" i="16"/>
  <c r="J14" i="16" s="1"/>
  <c r="J15" i="16" s="1"/>
  <c r="J16" i="16" s="1"/>
  <c r="J17" i="16" s="1"/>
  <c r="J18" i="16" s="1"/>
  <c r="J19" i="16" s="1"/>
  <c r="F15" i="16"/>
  <c r="H15" i="16" s="1"/>
  <c r="F16" i="16"/>
  <c r="H16" i="16" s="1"/>
  <c r="F17" i="16"/>
  <c r="I17" i="16" s="1"/>
  <c r="F18" i="16"/>
  <c r="I18" i="16" s="1"/>
  <c r="F13" i="16"/>
  <c r="I13" i="16" s="1"/>
  <c r="F14" i="16"/>
  <c r="I14" i="16" s="1"/>
  <c r="F12" i="16"/>
  <c r="F11" i="16"/>
  <c r="H7" i="16"/>
  <c r="F5" i="16"/>
  <c r="F4" i="16"/>
  <c r="O6" i="9"/>
  <c r="H6" i="16" l="1"/>
  <c r="O32" i="16"/>
  <c r="Q32" i="16" s="1"/>
  <c r="H10" i="16"/>
  <c r="I15" i="16"/>
  <c r="K15" i="16" s="1"/>
  <c r="I16" i="16"/>
  <c r="K13" i="16"/>
  <c r="K17" i="16"/>
  <c r="K14" i="16"/>
  <c r="K18" i="16"/>
  <c r="I8" i="16"/>
  <c r="K8" i="16" s="1"/>
  <c r="F21" i="16"/>
  <c r="I5" i="16"/>
  <c r="I9" i="16"/>
  <c r="K9" i="16" s="1"/>
  <c r="K7" i="16"/>
  <c r="O34" i="9"/>
  <c r="O25" i="9" s="1"/>
  <c r="E503" i="3"/>
  <c r="E502" i="3"/>
  <c r="H78" i="2"/>
  <c r="O23" i="9"/>
  <c r="O24" i="9"/>
  <c r="O7" i="9" s="1"/>
  <c r="O8" i="9" s="1"/>
  <c r="O26" i="9"/>
  <c r="O27" i="9"/>
  <c r="O28" i="9"/>
  <c r="O29" i="9"/>
  <c r="K16" i="16" l="1"/>
  <c r="K5" i="16"/>
  <c r="D26" i="16" s="1"/>
  <c r="D33" i="16" s="1"/>
  <c r="O30" i="9"/>
  <c r="O31" i="9" s="1"/>
  <c r="E498" i="3" l="1"/>
  <c r="E497" i="3"/>
  <c r="N6" i="9" l="1"/>
  <c r="M6" i="9"/>
  <c r="K4" i="10"/>
  <c r="G11" i="16" s="1"/>
  <c r="K5" i="10"/>
  <c r="G12" i="16" s="1"/>
  <c r="J42" i="6"/>
  <c r="I44" i="6"/>
  <c r="K26" i="6"/>
  <c r="I12" i="16" l="1"/>
  <c r="K12" i="16" s="1"/>
  <c r="H12" i="16"/>
  <c r="I11" i="16"/>
  <c r="H11" i="16"/>
  <c r="M23" i="9"/>
  <c r="N23" i="9"/>
  <c r="M24" i="9"/>
  <c r="N24" i="9"/>
  <c r="M25" i="9"/>
  <c r="N25" i="9"/>
  <c r="M26" i="9"/>
  <c r="N26" i="9"/>
  <c r="M27" i="9"/>
  <c r="N27" i="9"/>
  <c r="M28" i="9"/>
  <c r="N28" i="9"/>
  <c r="N30" i="9" s="1"/>
  <c r="N31" i="9" s="1"/>
  <c r="M29" i="9"/>
  <c r="N29" i="9"/>
  <c r="M30" i="9"/>
  <c r="M31" i="9" s="1"/>
  <c r="M38" i="9"/>
  <c r="K11" i="16" l="1"/>
  <c r="K21" i="16" s="1"/>
  <c r="I21" i="16"/>
  <c r="M34" i="9"/>
  <c r="E382" i="3"/>
  <c r="E381" i="3"/>
  <c r="E380" i="3"/>
  <c r="N9" i="5"/>
  <c r="M7" i="9"/>
  <c r="N7" i="9"/>
  <c r="M4" i="5"/>
  <c r="M8" i="9" l="1"/>
  <c r="N8" i="9"/>
  <c r="AI4" i="4"/>
  <c r="AH5" i="4"/>
  <c r="AH6" i="4" s="1"/>
  <c r="AH7" i="4" s="1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C18" i="10"/>
  <c r="AM70" i="15"/>
  <c r="AM63" i="15"/>
  <c r="AM62" i="15"/>
  <c r="AM58" i="15"/>
  <c r="AM56" i="15"/>
  <c r="AM57" i="15" s="1"/>
  <c r="AI54" i="15"/>
  <c r="AM53" i="15"/>
  <c r="AM51" i="15"/>
  <c r="AM52" i="15" s="1"/>
  <c r="AM49" i="15"/>
  <c r="AO48" i="15"/>
  <c r="AN47" i="15"/>
  <c r="AN48" i="15" s="1"/>
  <c r="AN49" i="15" s="1"/>
  <c r="AN50" i="15" s="1"/>
  <c r="AN51" i="15" s="1"/>
  <c r="AM47" i="15"/>
  <c r="AM48" i="15" s="1"/>
  <c r="W33" i="15"/>
  <c r="W34" i="15" s="1"/>
  <c r="W35" i="15" s="1"/>
  <c r="W36" i="15" s="1"/>
  <c r="W37" i="15" s="1"/>
  <c r="W38" i="15" s="1"/>
  <c r="W39" i="15" s="1"/>
  <c r="W40" i="15" s="1"/>
  <c r="W41" i="15" s="1"/>
  <c r="W26" i="15"/>
  <c r="W27" i="15" s="1"/>
  <c r="W28" i="15" s="1"/>
  <c r="W29" i="15" s="1"/>
  <c r="W30" i="15" s="1"/>
  <c r="AM24" i="15"/>
  <c r="AM25" i="15" s="1"/>
  <c r="AM26" i="15" s="1"/>
  <c r="AM27" i="15" s="1"/>
  <c r="AM28" i="15" s="1"/>
  <c r="AM29" i="15" s="1"/>
  <c r="AM30" i="15" s="1"/>
  <c r="AM31" i="15" s="1"/>
  <c r="AM32" i="15" s="1"/>
  <c r="AM33" i="15" s="1"/>
  <c r="AM34" i="15" s="1"/>
  <c r="AM35" i="15" s="1"/>
  <c r="AM36" i="15" s="1"/>
  <c r="AM37" i="15" s="1"/>
  <c r="AM38" i="15" s="1"/>
  <c r="AM39" i="15" s="1"/>
  <c r="AM40" i="15" s="1"/>
  <c r="AM41" i="15" s="1"/>
  <c r="AM42" i="15" s="1"/>
  <c r="AM43" i="15" s="1"/>
  <c r="AQ20" i="15"/>
  <c r="AJ19" i="15"/>
  <c r="AL40" i="15" s="1"/>
  <c r="AL41" i="15" s="1"/>
  <c r="AL42" i="15" s="1"/>
  <c r="AL43" i="15" s="1"/>
  <c r="AL18" i="15"/>
  <c r="AK18" i="15"/>
  <c r="AQ16" i="15"/>
  <c r="AJ14" i="15"/>
  <c r="AI14" i="15"/>
  <c r="AQ12" i="15"/>
  <c r="BB9" i="15"/>
  <c r="X9" i="15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BB8" i="15"/>
  <c r="AU8" i="15"/>
  <c r="AU9" i="15" s="1"/>
  <c r="AU10" i="15" s="1"/>
  <c r="AU12" i="15" s="1"/>
  <c r="AU13" i="15" s="1"/>
  <c r="V8" i="15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BB7" i="15"/>
  <c r="AQ7" i="15"/>
  <c r="AK7" i="15"/>
  <c r="K7" i="15"/>
  <c r="K8" i="15" s="1"/>
  <c r="BB6" i="15"/>
  <c r="AJ6" i="15"/>
  <c r="AK6" i="15" s="1"/>
  <c r="AK8" i="15" s="1"/>
  <c r="Z6" i="15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W6" i="15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K6" i="15"/>
  <c r="BB5" i="15"/>
  <c r="AC5" i="15"/>
  <c r="AC6" i="15" s="1"/>
  <c r="AC7" i="15" s="1"/>
  <c r="AC8" i="15" s="1"/>
  <c r="AC9" i="15" s="1"/>
  <c r="AC10" i="15" s="1"/>
  <c r="AC11" i="15" s="1"/>
  <c r="AC12" i="15" s="1"/>
  <c r="AC13" i="15" s="1"/>
  <c r="AC14" i="15" s="1"/>
  <c r="AC15" i="15" s="1"/>
  <c r="AC16" i="15" s="1"/>
  <c r="AC17" i="15" s="1"/>
  <c r="AC18" i="15" s="1"/>
  <c r="AC19" i="15" s="1"/>
  <c r="AC20" i="15" s="1"/>
  <c r="AC21" i="15" s="1"/>
  <c r="AC22" i="15" s="1"/>
  <c r="AC23" i="15" s="1"/>
  <c r="AC24" i="15" s="1"/>
  <c r="AC25" i="15" s="1"/>
  <c r="AC26" i="15" s="1"/>
  <c r="AC27" i="15" s="1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T5" i="15"/>
  <c r="AF5" i="15" s="1"/>
  <c r="P5" i="15"/>
  <c r="L5" i="15"/>
  <c r="K5" i="15"/>
  <c r="J5" i="15"/>
  <c r="I5" i="15"/>
  <c r="I6" i="15" s="1"/>
  <c r="BB4" i="15"/>
  <c r="AV4" i="15"/>
  <c r="AJ20" i="15" s="1"/>
  <c r="AK23" i="15" s="1"/>
  <c r="AJ24" i="15" s="1"/>
  <c r="AQ4" i="15"/>
  <c r="U4" i="15"/>
  <c r="T4" i="15" s="1"/>
  <c r="Q4" i="15"/>
  <c r="G4" i="15" s="1"/>
  <c r="P4" i="15"/>
  <c r="O4" i="15"/>
  <c r="L4" i="15"/>
  <c r="F4" i="15"/>
  <c r="F5" i="15" s="1"/>
  <c r="D4" i="15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BB3" i="15"/>
  <c r="AT3" i="15"/>
  <c r="AQ3" i="15"/>
  <c r="AP3" i="15" s="1"/>
  <c r="AO4" i="15" s="1"/>
  <c r="H3" i="15"/>
  <c r="E3" i="15"/>
  <c r="I7" i="15" l="1"/>
  <c r="K9" i="15"/>
  <c r="AP4" i="15"/>
  <c r="AO5" i="15"/>
  <c r="P6" i="15"/>
  <c r="F6" i="15" s="1"/>
  <c r="G5" i="15"/>
  <c r="Q5" i="15"/>
  <c r="N5" i="15"/>
  <c r="M6" i="15" s="1"/>
  <c r="AE4" i="15"/>
  <c r="AD4" i="15"/>
  <c r="AG4" i="15" s="1"/>
  <c r="S4" i="15" s="1"/>
  <c r="AF4" i="15"/>
  <c r="AQ42" i="15"/>
  <c r="AQ40" i="15"/>
  <c r="AQ39" i="15"/>
  <c r="AQ38" i="15"/>
  <c r="AQ37" i="15"/>
  <c r="AQ36" i="15"/>
  <c r="AQ35" i="15"/>
  <c r="AQ33" i="15"/>
  <c r="AQ32" i="15"/>
  <c r="AQ34" i="15"/>
  <c r="AQ29" i="15"/>
  <c r="AQ27" i="15"/>
  <c r="AQ21" i="15"/>
  <c r="AQ18" i="15"/>
  <c r="AQ17" i="15"/>
  <c r="AQ41" i="15"/>
  <c r="AQ26" i="15"/>
  <c r="AQ19" i="15"/>
  <c r="AQ31" i="15"/>
  <c r="AQ24" i="15"/>
  <c r="AQ23" i="15"/>
  <c r="AQ30" i="15"/>
  <c r="AQ22" i="15"/>
  <c r="AQ15" i="15"/>
  <c r="AQ28" i="15"/>
  <c r="AQ25" i="15"/>
  <c r="AQ14" i="15"/>
  <c r="J4" i="15"/>
  <c r="N4" i="15" s="1"/>
  <c r="M5" i="15" s="1"/>
  <c r="AJ25" i="15"/>
  <c r="AD5" i="15"/>
  <c r="AK24" i="15"/>
  <c r="AQ6" i="15"/>
  <c r="AQ11" i="15"/>
  <c r="AE5" i="15"/>
  <c r="AG5" i="15" s="1"/>
  <c r="S5" i="15" s="1"/>
  <c r="AQ5" i="15"/>
  <c r="U6" i="15"/>
  <c r="AQ8" i="15"/>
  <c r="AQ9" i="15"/>
  <c r="AQ10" i="15"/>
  <c r="AQ13" i="15"/>
  <c r="AN52" i="15"/>
  <c r="AN53" i="15" s="1"/>
  <c r="AN54" i="15" s="1"/>
  <c r="AN55" i="15" s="1"/>
  <c r="AN56" i="15" s="1"/>
  <c r="AO51" i="15"/>
  <c r="AM54" i="15"/>
  <c r="AO49" i="15"/>
  <c r="AM50" i="15"/>
  <c r="AO50" i="15" s="1"/>
  <c r="AM59" i="15"/>
  <c r="AM64" i="15"/>
  <c r="AO47" i="15"/>
  <c r="AB116" i="3"/>
  <c r="E365" i="3"/>
  <c r="P25" i="6"/>
  <c r="P26" i="6" s="1"/>
  <c r="P27" i="6" s="1"/>
  <c r="P28" i="6" s="1"/>
  <c r="AB32" i="3"/>
  <c r="L19" i="9"/>
  <c r="I18" i="10"/>
  <c r="I14" i="10"/>
  <c r="L6" i="9"/>
  <c r="L34" i="9"/>
  <c r="P33" i="6" l="1"/>
  <c r="P34" i="6" s="1"/>
  <c r="P35" i="6" s="1"/>
  <c r="P36" i="6" s="1"/>
  <c r="P37" i="6" s="1"/>
  <c r="P29" i="6"/>
  <c r="F7" i="15"/>
  <c r="P7" i="15"/>
  <c r="AM65" i="15"/>
  <c r="AO54" i="15"/>
  <c r="AM55" i="15"/>
  <c r="AO55" i="15" s="1"/>
  <c r="U7" i="15"/>
  <c r="T6" i="15"/>
  <c r="L6" i="15"/>
  <c r="AP5" i="15"/>
  <c r="AO6" i="15" s="1"/>
  <c r="J6" i="15"/>
  <c r="N6" i="15" s="1"/>
  <c r="M7" i="15" s="1"/>
  <c r="AM60" i="15"/>
  <c r="AO52" i="15"/>
  <c r="AO53" i="15"/>
  <c r="Q6" i="15"/>
  <c r="G6" i="15"/>
  <c r="I8" i="15"/>
  <c r="AN57" i="15"/>
  <c r="AO56" i="15"/>
  <c r="AK25" i="15"/>
  <c r="AJ26" i="15"/>
  <c r="K10" i="15"/>
  <c r="J48" i="2"/>
  <c r="H48" i="2"/>
  <c r="I48" i="2" s="1"/>
  <c r="K333" i="3"/>
  <c r="I333" i="3"/>
  <c r="G333" i="3"/>
  <c r="K332" i="3"/>
  <c r="I332" i="3"/>
  <c r="J332" i="3" s="1"/>
  <c r="G332" i="3"/>
  <c r="E333" i="3"/>
  <c r="E332" i="3"/>
  <c r="L23" i="9"/>
  <c r="L24" i="9"/>
  <c r="L25" i="9"/>
  <c r="L26" i="9"/>
  <c r="L7" i="9" s="1"/>
  <c r="L8" i="9" s="1"/>
  <c r="L27" i="9"/>
  <c r="L28" i="9"/>
  <c r="L29" i="9"/>
  <c r="AP6" i="15" l="1"/>
  <c r="AO7" i="15" s="1"/>
  <c r="AN58" i="15"/>
  <c r="AO57" i="15"/>
  <c r="AM61" i="15"/>
  <c r="T7" i="15"/>
  <c r="U8" i="15"/>
  <c r="L7" i="15"/>
  <c r="AK26" i="15"/>
  <c r="AJ27" i="15" s="1"/>
  <c r="AM66" i="15"/>
  <c r="K11" i="15"/>
  <c r="Q7" i="15"/>
  <c r="G7" i="15"/>
  <c r="AE6" i="15"/>
  <c r="AG6" i="15" s="1"/>
  <c r="S6" i="15" s="1"/>
  <c r="AD6" i="15"/>
  <c r="AF6" i="15"/>
  <c r="P8" i="15"/>
  <c r="F8" i="15"/>
  <c r="I9" i="15"/>
  <c r="J8" i="15"/>
  <c r="J7" i="15"/>
  <c r="N7" i="15" s="1"/>
  <c r="M8" i="15" s="1"/>
  <c r="L30" i="9"/>
  <c r="L31" i="9" s="1"/>
  <c r="J333" i="3"/>
  <c r="R134" i="3"/>
  <c r="Q134" i="3"/>
  <c r="AK27" i="15" l="1"/>
  <c r="AJ28" i="15" s="1"/>
  <c r="AP7" i="15"/>
  <c r="AO8" i="15"/>
  <c r="AF7" i="15"/>
  <c r="AE7" i="15"/>
  <c r="AG7" i="15"/>
  <c r="S7" i="15"/>
  <c r="AD7" i="15"/>
  <c r="AN59" i="15"/>
  <c r="AO58" i="15"/>
  <c r="I10" i="15"/>
  <c r="Q8" i="15"/>
  <c r="G8" i="15"/>
  <c r="AM67" i="15"/>
  <c r="P9" i="15"/>
  <c r="F9" i="15"/>
  <c r="K12" i="15"/>
  <c r="T8" i="15"/>
  <c r="U9" i="15"/>
  <c r="L8" i="15"/>
  <c r="N8" i="15" s="1"/>
  <c r="M9" i="15" s="1"/>
  <c r="X86" i="3"/>
  <c r="X85" i="3"/>
  <c r="X84" i="3"/>
  <c r="X83" i="3"/>
  <c r="X82" i="3"/>
  <c r="X81" i="3"/>
  <c r="X80" i="3"/>
  <c r="X79" i="3"/>
  <c r="X78" i="3"/>
  <c r="X77" i="3"/>
  <c r="X76" i="3"/>
  <c r="S120" i="3"/>
  <c r="AJ29" i="15" l="1"/>
  <c r="AK28" i="15"/>
  <c r="I11" i="15"/>
  <c r="P10" i="15"/>
  <c r="F10" i="15" s="1"/>
  <c r="G9" i="15"/>
  <c r="Q9" i="15"/>
  <c r="AN60" i="15"/>
  <c r="AO59" i="15"/>
  <c r="K13" i="15"/>
  <c r="AP8" i="15"/>
  <c r="AO9" i="15" s="1"/>
  <c r="T9" i="15"/>
  <c r="U10" i="15"/>
  <c r="L9" i="15"/>
  <c r="AF8" i="15"/>
  <c r="AE8" i="15"/>
  <c r="AD8" i="15"/>
  <c r="AG8" i="15" s="1"/>
  <c r="S8" i="15" s="1"/>
  <c r="AM68" i="15"/>
  <c r="J9" i="15"/>
  <c r="K12" i="5"/>
  <c r="M12" i="5"/>
  <c r="K23" i="9"/>
  <c r="AP9" i="15" l="1"/>
  <c r="AO10" i="15"/>
  <c r="P11" i="15"/>
  <c r="F11" i="15"/>
  <c r="AN61" i="15"/>
  <c r="AO60" i="15"/>
  <c r="AK29" i="15"/>
  <c r="AJ30" i="15" s="1"/>
  <c r="U11" i="15"/>
  <c r="T10" i="15"/>
  <c r="L10" i="15"/>
  <c r="K14" i="15"/>
  <c r="J10" i="15"/>
  <c r="AF9" i="15"/>
  <c r="AE9" i="15"/>
  <c r="AD9" i="15"/>
  <c r="AG9" i="15" s="1"/>
  <c r="S9" i="15" s="1"/>
  <c r="Q10" i="15"/>
  <c r="G10" i="15"/>
  <c r="I12" i="15"/>
  <c r="N9" i="15"/>
  <c r="M10" i="15" s="1"/>
  <c r="AM69" i="15"/>
  <c r="K6" i="9"/>
  <c r="L18" i="10"/>
  <c r="E317" i="3"/>
  <c r="E304" i="3"/>
  <c r="E303" i="3"/>
  <c r="K29" i="9"/>
  <c r="K28" i="9"/>
  <c r="K27" i="9"/>
  <c r="K26" i="9"/>
  <c r="K25" i="9"/>
  <c r="K24" i="9"/>
  <c r="K7" i="9" s="1"/>
  <c r="AK30" i="15" l="1"/>
  <c r="AJ31" i="15" s="1"/>
  <c r="AN62" i="15"/>
  <c r="AO61" i="15"/>
  <c r="K15" i="15"/>
  <c r="P12" i="15"/>
  <c r="F12" i="15" s="1"/>
  <c r="T11" i="15"/>
  <c r="U12" i="15"/>
  <c r="L11" i="15"/>
  <c r="I13" i="15"/>
  <c r="J12" i="15"/>
  <c r="AP10" i="15"/>
  <c r="AO11" i="15" s="1"/>
  <c r="Q11" i="15"/>
  <c r="G11" i="15"/>
  <c r="J11" i="15"/>
  <c r="N10" i="15"/>
  <c r="M11" i="15" s="1"/>
  <c r="AF10" i="15"/>
  <c r="AG10" i="15"/>
  <c r="S10" i="15" s="1"/>
  <c r="AE10" i="15"/>
  <c r="AD10" i="15"/>
  <c r="K8" i="9"/>
  <c r="K30" i="9"/>
  <c r="K31" i="9" s="1"/>
  <c r="H4" i="10"/>
  <c r="E297" i="3"/>
  <c r="E291" i="3"/>
  <c r="E292" i="3"/>
  <c r="E281" i="3"/>
  <c r="E289" i="3"/>
  <c r="E290" i="3"/>
  <c r="K283" i="3"/>
  <c r="I283" i="3" s="1"/>
  <c r="J283" i="3" s="1"/>
  <c r="K284" i="3"/>
  <c r="I284" i="3" s="1"/>
  <c r="J284" i="3" s="1"/>
  <c r="J23" i="9"/>
  <c r="J24" i="9"/>
  <c r="J25" i="9"/>
  <c r="J26" i="9"/>
  <c r="J27" i="9"/>
  <c r="J28" i="9"/>
  <c r="J29" i="9"/>
  <c r="J6" i="9"/>
  <c r="AP11" i="15" l="1"/>
  <c r="AO12" i="15" s="1"/>
  <c r="AK31" i="15"/>
  <c r="AJ32" i="15" s="1"/>
  <c r="P13" i="15"/>
  <c r="F13" i="15" s="1"/>
  <c r="N11" i="15"/>
  <c r="M12" i="15" s="1"/>
  <c r="N12" i="15" s="1"/>
  <c r="M13" i="15" s="1"/>
  <c r="G12" i="15"/>
  <c r="Q12" i="15"/>
  <c r="U13" i="15"/>
  <c r="T12" i="15"/>
  <c r="L12" i="15"/>
  <c r="I14" i="15"/>
  <c r="J13" i="15"/>
  <c r="AF11" i="15"/>
  <c r="AD11" i="15"/>
  <c r="AG11" i="15" s="1"/>
  <c r="S11" i="15" s="1"/>
  <c r="AE11" i="15"/>
  <c r="K16" i="15"/>
  <c r="AN63" i="15"/>
  <c r="AO62" i="15"/>
  <c r="J7" i="9"/>
  <c r="J30" i="9"/>
  <c r="J31" i="9" s="1"/>
  <c r="J8" i="9"/>
  <c r="L4" i="10"/>
  <c r="M4" i="10" s="1"/>
  <c r="Q2" i="6"/>
  <c r="L32" i="5"/>
  <c r="M32" i="5" s="1"/>
  <c r="N32" i="5" s="1"/>
  <c r="O32" i="5" s="1"/>
  <c r="P32" i="5" s="1"/>
  <c r="Q32" i="5" s="1"/>
  <c r="R32" i="5" s="1"/>
  <c r="S32" i="5" s="1"/>
  <c r="T32" i="5" s="1"/>
  <c r="U32" i="5" s="1"/>
  <c r="V32" i="5" s="1"/>
  <c r="W32" i="5" s="1"/>
  <c r="X32" i="5" s="1"/>
  <c r="Y32" i="5" s="1"/>
  <c r="F16" i="6"/>
  <c r="F18" i="6"/>
  <c r="F20" i="6" s="1"/>
  <c r="F21" i="6" s="1"/>
  <c r="O18" i="13"/>
  <c r="M259" i="3"/>
  <c r="P14" i="15" l="1"/>
  <c r="F14" i="15" s="1"/>
  <c r="AK32" i="15"/>
  <c r="AJ33" i="15" s="1"/>
  <c r="AP12" i="15"/>
  <c r="AO13" i="15" s="1"/>
  <c r="N13" i="15"/>
  <c r="M14" i="15" s="1"/>
  <c r="U14" i="15"/>
  <c r="T13" i="15"/>
  <c r="L13" i="15"/>
  <c r="J14" i="15"/>
  <c r="I15" i="15"/>
  <c r="K17" i="15"/>
  <c r="AN64" i="15"/>
  <c r="AO63" i="15"/>
  <c r="AE12" i="15"/>
  <c r="AF12" i="15"/>
  <c r="AD12" i="15"/>
  <c r="AG12" i="15" s="1"/>
  <c r="S12" i="15" s="1"/>
  <c r="G13" i="15"/>
  <c r="Q13" i="15"/>
  <c r="X99" i="3"/>
  <c r="X100" i="3"/>
  <c r="X101" i="3"/>
  <c r="X102" i="3"/>
  <c r="X103" i="3"/>
  <c r="X104" i="3"/>
  <c r="X105" i="3"/>
  <c r="X106" i="3"/>
  <c r="X107" i="3"/>
  <c r="X108" i="3"/>
  <c r="X114" i="3"/>
  <c r="X113" i="3"/>
  <c r="X112" i="3"/>
  <c r="X111" i="3"/>
  <c r="X110" i="3"/>
  <c r="X109" i="3"/>
  <c r="AA131" i="3"/>
  <c r="AA130" i="3"/>
  <c r="X131" i="3"/>
  <c r="X130" i="3"/>
  <c r="V17" i="13"/>
  <c r="S17" i="13"/>
  <c r="T17" i="13" s="1"/>
  <c r="U17" i="13" s="1"/>
  <c r="P17" i="13"/>
  <c r="Q17" i="13"/>
  <c r="R17" i="13" s="1"/>
  <c r="O17" i="13"/>
  <c r="O16" i="13"/>
  <c r="P16" i="13" s="1"/>
  <c r="Q16" i="13" s="1"/>
  <c r="R16" i="13" s="1"/>
  <c r="V16" i="13"/>
  <c r="W16" i="13" s="1"/>
  <c r="X16" i="13" s="1"/>
  <c r="S16" i="13"/>
  <c r="V15" i="13"/>
  <c r="S15" i="13"/>
  <c r="T15" i="13" s="1"/>
  <c r="U15" i="13" s="1"/>
  <c r="T16" i="13"/>
  <c r="U16" i="13" s="1"/>
  <c r="O15" i="13"/>
  <c r="P15" i="13" s="1"/>
  <c r="Q15" i="13" s="1"/>
  <c r="R15" i="13" s="1"/>
  <c r="Q20" i="13"/>
  <c r="R20" i="13" s="1"/>
  <c r="S20" i="13" s="1"/>
  <c r="T20" i="13" s="1"/>
  <c r="U20" i="13" s="1"/>
  <c r="V20" i="13" s="1"/>
  <c r="W20" i="13" s="1"/>
  <c r="X20" i="13" s="1"/>
  <c r="W17" i="13"/>
  <c r="X17" i="13" s="1"/>
  <c r="W15" i="13"/>
  <c r="X15" i="13" s="1"/>
  <c r="P20" i="13"/>
  <c r="P19" i="13"/>
  <c r="Q19" i="13" s="1"/>
  <c r="R19" i="13" s="1"/>
  <c r="S19" i="13" s="1"/>
  <c r="T19" i="13" s="1"/>
  <c r="U19" i="13" s="1"/>
  <c r="V19" i="13" s="1"/>
  <c r="W19" i="13" s="1"/>
  <c r="X19" i="13" s="1"/>
  <c r="Q18" i="13"/>
  <c r="R18" i="13" s="1"/>
  <c r="S18" i="13" s="1"/>
  <c r="T18" i="13" s="1"/>
  <c r="U18" i="13" s="1"/>
  <c r="V18" i="13" s="1"/>
  <c r="W18" i="13" s="1"/>
  <c r="X18" i="13" s="1"/>
  <c r="V8" i="13"/>
  <c r="S8" i="13"/>
  <c r="V7" i="13"/>
  <c r="S7" i="13"/>
  <c r="P8" i="13"/>
  <c r="P7" i="13"/>
  <c r="V3" i="13"/>
  <c r="S3" i="13"/>
  <c r="P10" i="13"/>
  <c r="Q10" i="13" s="1"/>
  <c r="R10" i="13" s="1"/>
  <c r="S10" i="13" s="1"/>
  <c r="T10" i="13" s="1"/>
  <c r="U10" i="13" s="1"/>
  <c r="V10" i="13" s="1"/>
  <c r="W10" i="13" s="1"/>
  <c r="X10" i="13" s="1"/>
  <c r="O10" i="13"/>
  <c r="O8" i="13"/>
  <c r="Q8" i="13"/>
  <c r="R8" i="13" s="1"/>
  <c r="O7" i="13"/>
  <c r="Q7" i="13"/>
  <c r="R7" i="13" s="1"/>
  <c r="AP13" i="15" l="1"/>
  <c r="AO14" i="15" s="1"/>
  <c r="AK33" i="15"/>
  <c r="AJ34" i="15" s="1"/>
  <c r="P15" i="15"/>
  <c r="F15" i="15" s="1"/>
  <c r="K18" i="15"/>
  <c r="I16" i="15"/>
  <c r="J15" i="15"/>
  <c r="T14" i="15"/>
  <c r="U15" i="15"/>
  <c r="L14" i="15"/>
  <c r="N14" i="15" s="1"/>
  <c r="M15" i="15" s="1"/>
  <c r="Q14" i="15"/>
  <c r="G14" i="15"/>
  <c r="AN65" i="15"/>
  <c r="AO64" i="15"/>
  <c r="AF13" i="15"/>
  <c r="AE13" i="15"/>
  <c r="AD13" i="15"/>
  <c r="AG13" i="15" s="1"/>
  <c r="S13" i="15" s="1"/>
  <c r="T8" i="13"/>
  <c r="U8" i="13" s="1"/>
  <c r="W8" i="13" s="1"/>
  <c r="X8" i="13" s="1"/>
  <c r="T7" i="13"/>
  <c r="U7" i="13" s="1"/>
  <c r="W7" i="13" s="1"/>
  <c r="X7" i="13" s="1"/>
  <c r="AP14" i="5"/>
  <c r="AQ14" i="5" s="1"/>
  <c r="AR14" i="5" s="1"/>
  <c r="AS14" i="5" s="1"/>
  <c r="AT14" i="5" s="1"/>
  <c r="AU14" i="5" s="1"/>
  <c r="AV14" i="5" s="1"/>
  <c r="AW14" i="5" s="1"/>
  <c r="AX14" i="5" s="1"/>
  <c r="AY14" i="5" s="1"/>
  <c r="AZ14" i="5" s="1"/>
  <c r="BA14" i="5" s="1"/>
  <c r="BB14" i="5" s="1"/>
  <c r="BC14" i="5" s="1"/>
  <c r="BD14" i="5" s="1"/>
  <c r="BE14" i="5" s="1"/>
  <c r="BF14" i="5" s="1"/>
  <c r="BG14" i="5" s="1"/>
  <c r="BH14" i="5" s="1"/>
  <c r="BI14" i="5" s="1"/>
  <c r="BJ14" i="5" s="1"/>
  <c r="BK14" i="5" s="1"/>
  <c r="BL14" i="5" s="1"/>
  <c r="BM14" i="5" s="1"/>
  <c r="BN14" i="5" s="1"/>
  <c r="BO14" i="5" s="1"/>
  <c r="BP14" i="5" s="1"/>
  <c r="BQ14" i="5" s="1"/>
  <c r="BR14" i="5" s="1"/>
  <c r="BS14" i="5" s="1"/>
  <c r="BT14" i="5" s="1"/>
  <c r="BU14" i="5" s="1"/>
  <c r="BV14" i="5" s="1"/>
  <c r="BW14" i="5" s="1"/>
  <c r="BX14" i="5" s="1"/>
  <c r="BY14" i="5" s="1"/>
  <c r="BZ14" i="5" s="1"/>
  <c r="CA14" i="5" s="1"/>
  <c r="CB14" i="5" s="1"/>
  <c r="CC14" i="5" s="1"/>
  <c r="CD14" i="5" s="1"/>
  <c r="CE14" i="5" s="1"/>
  <c r="CF14" i="5" s="1"/>
  <c r="CG14" i="5" s="1"/>
  <c r="CH14" i="5" s="1"/>
  <c r="CI14" i="5" s="1"/>
  <c r="CJ14" i="5" s="1"/>
  <c r="CK14" i="5" s="1"/>
  <c r="CL14" i="5" s="1"/>
  <c r="CM14" i="5" s="1"/>
  <c r="CN14" i="5" s="1"/>
  <c r="CO14" i="5" s="1"/>
  <c r="CP14" i="5" s="1"/>
  <c r="CQ14" i="5" s="1"/>
  <c r="CR14" i="5" s="1"/>
  <c r="CS14" i="5" s="1"/>
  <c r="CT14" i="5" s="1"/>
  <c r="CU14" i="5" s="1"/>
  <c r="CV14" i="5" s="1"/>
  <c r="CW14" i="5" s="1"/>
  <c r="CX14" i="5" s="1"/>
  <c r="CY14" i="5" s="1"/>
  <c r="CZ14" i="5" s="1"/>
  <c r="DA14" i="5" s="1"/>
  <c r="DB14" i="5" s="1"/>
  <c r="DC14" i="5" s="1"/>
  <c r="DD14" i="5" s="1"/>
  <c r="DE14" i="5" s="1"/>
  <c r="DF14" i="5" s="1"/>
  <c r="DG14" i="5" s="1"/>
  <c r="DH14" i="5" s="1"/>
  <c r="DI14" i="5" s="1"/>
  <c r="DJ14" i="5" s="1"/>
  <c r="DK14" i="5" s="1"/>
  <c r="DL14" i="5" s="1"/>
  <c r="DM14" i="5" s="1"/>
  <c r="DN14" i="5" s="1"/>
  <c r="DO14" i="5" s="1"/>
  <c r="DP14" i="5" s="1"/>
  <c r="DQ14" i="5" s="1"/>
  <c r="DR14" i="5" s="1"/>
  <c r="DS14" i="5" s="1"/>
  <c r="DT14" i="5" s="1"/>
  <c r="DU14" i="5" s="1"/>
  <c r="DV14" i="5" s="1"/>
  <c r="DW14" i="5" s="1"/>
  <c r="DX14" i="5" s="1"/>
  <c r="DY14" i="5" s="1"/>
  <c r="DZ14" i="5" s="1"/>
  <c r="EA14" i="5" s="1"/>
  <c r="EB14" i="5" s="1"/>
  <c r="EC14" i="5" s="1"/>
  <c r="ED14" i="5" s="1"/>
  <c r="EE14" i="5" s="1"/>
  <c r="EF14" i="5" s="1"/>
  <c r="EG14" i="5" s="1"/>
  <c r="EH14" i="5" s="1"/>
  <c r="EI14" i="5" s="1"/>
  <c r="EJ14" i="5" s="1"/>
  <c r="EK14" i="5" s="1"/>
  <c r="EL14" i="5" s="1"/>
  <c r="EM14" i="5" s="1"/>
  <c r="EN14" i="5" s="1"/>
  <c r="EO14" i="5" s="1"/>
  <c r="EP14" i="5" s="1"/>
  <c r="EQ14" i="5" s="1"/>
  <c r="ER14" i="5" s="1"/>
  <c r="ES14" i="5" s="1"/>
  <c r="ET14" i="5" s="1"/>
  <c r="EU14" i="5" s="1"/>
  <c r="EV14" i="5" s="1"/>
  <c r="EW14" i="5" s="1"/>
  <c r="EX14" i="5" s="1"/>
  <c r="EY14" i="5" s="1"/>
  <c r="EZ14" i="5" s="1"/>
  <c r="FA14" i="5" s="1"/>
  <c r="FB14" i="5" s="1"/>
  <c r="FC14" i="5" s="1"/>
  <c r="FD14" i="5" s="1"/>
  <c r="FE14" i="5" s="1"/>
  <c r="FF14" i="5" s="1"/>
  <c r="FG14" i="5" s="1"/>
  <c r="FH14" i="5" s="1"/>
  <c r="FI14" i="5" s="1"/>
  <c r="FJ14" i="5" s="1"/>
  <c r="FK14" i="5" s="1"/>
  <c r="FL14" i="5" s="1"/>
  <c r="FM14" i="5" s="1"/>
  <c r="FN14" i="5" s="1"/>
  <c r="FO14" i="5" s="1"/>
  <c r="FP14" i="5" s="1"/>
  <c r="FQ14" i="5" s="1"/>
  <c r="FR14" i="5" s="1"/>
  <c r="FS14" i="5" s="1"/>
  <c r="FT14" i="5" s="1"/>
  <c r="FU14" i="5" s="1"/>
  <c r="FV14" i="5" s="1"/>
  <c r="FW14" i="5" s="1"/>
  <c r="FX14" i="5" s="1"/>
  <c r="FY14" i="5" s="1"/>
  <c r="FZ14" i="5" s="1"/>
  <c r="GA14" i="5" s="1"/>
  <c r="GB14" i="5" s="1"/>
  <c r="GC14" i="5" s="1"/>
  <c r="GD14" i="5" s="1"/>
  <c r="GE14" i="5" s="1"/>
  <c r="GF14" i="5" s="1"/>
  <c r="GG14" i="5" s="1"/>
  <c r="GH14" i="5" s="1"/>
  <c r="GI14" i="5" s="1"/>
  <c r="GJ14" i="5" s="1"/>
  <c r="GK14" i="5" s="1"/>
  <c r="GL14" i="5" s="1"/>
  <c r="GM14" i="5" s="1"/>
  <c r="GN14" i="5" s="1"/>
  <c r="GO14" i="5" s="1"/>
  <c r="GP14" i="5" s="1"/>
  <c r="GQ14" i="5" s="1"/>
  <c r="GR14" i="5" s="1"/>
  <c r="GS14" i="5" s="1"/>
  <c r="GT14" i="5" s="1"/>
  <c r="P16" i="15" l="1"/>
  <c r="F16" i="15" s="1"/>
  <c r="AK34" i="15"/>
  <c r="AJ35" i="15" s="1"/>
  <c r="AP14" i="15"/>
  <c r="AO15" i="15" s="1"/>
  <c r="J16" i="15"/>
  <c r="I17" i="15"/>
  <c r="AN66" i="15"/>
  <c r="AO65" i="15"/>
  <c r="T15" i="15"/>
  <c r="U16" i="15"/>
  <c r="L15" i="15"/>
  <c r="N15" i="15" s="1"/>
  <c r="M16" i="15" s="1"/>
  <c r="K19" i="15"/>
  <c r="Q15" i="15"/>
  <c r="G15" i="15"/>
  <c r="AD14" i="15"/>
  <c r="AG14" i="15" s="1"/>
  <c r="S14" i="15" s="1"/>
  <c r="AF14" i="15"/>
  <c r="AE14" i="15"/>
  <c r="F28" i="2"/>
  <c r="L5" i="10"/>
  <c r="M5" i="10" s="1"/>
  <c r="AO16" i="15" l="1"/>
  <c r="AP15" i="15"/>
  <c r="AK35" i="15"/>
  <c r="AJ36" i="15"/>
  <c r="P17" i="15"/>
  <c r="F17" i="15" s="1"/>
  <c r="I18" i="15"/>
  <c r="J17" i="15"/>
  <c r="G16" i="15"/>
  <c r="Q16" i="15"/>
  <c r="AN67" i="15"/>
  <c r="AO66" i="15"/>
  <c r="T16" i="15"/>
  <c r="U17" i="15"/>
  <c r="L16" i="15"/>
  <c r="N16" i="15" s="1"/>
  <c r="M17" i="15" s="1"/>
  <c r="K20" i="15"/>
  <c r="AD15" i="15"/>
  <c r="AG15" i="15" s="1"/>
  <c r="S15" i="15" s="1"/>
  <c r="AF15" i="15"/>
  <c r="AE15" i="15"/>
  <c r="L17" i="10"/>
  <c r="L16" i="10"/>
  <c r="L15" i="10"/>
  <c r="L14" i="10"/>
  <c r="L13" i="10"/>
  <c r="L12" i="10"/>
  <c r="V15" i="10"/>
  <c r="W12" i="10" s="1"/>
  <c r="V9" i="10"/>
  <c r="W8" i="10" s="1"/>
  <c r="K8" i="10" s="1"/>
  <c r="AB70" i="3"/>
  <c r="AH24" i="3"/>
  <c r="AI26" i="3" s="1"/>
  <c r="AB115" i="3"/>
  <c r="AB56" i="3"/>
  <c r="K7" i="3"/>
  <c r="I7" i="3"/>
  <c r="H7" i="3"/>
  <c r="G7" i="3"/>
  <c r="G5" i="3"/>
  <c r="H5" i="3"/>
  <c r="I5" i="3"/>
  <c r="J5" i="3" s="1"/>
  <c r="K5" i="3"/>
  <c r="I6" i="3"/>
  <c r="J6" i="3" s="1"/>
  <c r="K6" i="3"/>
  <c r="I6" i="9"/>
  <c r="I34" i="9"/>
  <c r="E250" i="3"/>
  <c r="E249" i="3"/>
  <c r="E248" i="3"/>
  <c r="E247" i="3"/>
  <c r="AI28" i="3" l="1"/>
  <c r="P18" i="15"/>
  <c r="F18" i="15" s="1"/>
  <c r="G17" i="15"/>
  <c r="Q17" i="15"/>
  <c r="AP16" i="15"/>
  <c r="AO17" i="15"/>
  <c r="AK36" i="15"/>
  <c r="AJ37" i="15"/>
  <c r="K21" i="15"/>
  <c r="T17" i="15"/>
  <c r="U18" i="15"/>
  <c r="L17" i="15"/>
  <c r="N17" i="15" s="1"/>
  <c r="M18" i="15" s="1"/>
  <c r="AN68" i="15"/>
  <c r="AO67" i="15"/>
  <c r="J18" i="15"/>
  <c r="I19" i="15"/>
  <c r="AE16" i="15"/>
  <c r="AD16" i="15"/>
  <c r="AG16" i="15" s="1"/>
  <c r="S16" i="15" s="1"/>
  <c r="AF16" i="15"/>
  <c r="K9" i="10"/>
  <c r="J9" i="10"/>
  <c r="AI27" i="3"/>
  <c r="W13" i="10"/>
  <c r="W14" i="10"/>
  <c r="J8" i="10"/>
  <c r="L8" i="10" s="1"/>
  <c r="W7" i="10"/>
  <c r="E226" i="3"/>
  <c r="E225" i="3"/>
  <c r="E220" i="3"/>
  <c r="E219" i="3"/>
  <c r="E188" i="3"/>
  <c r="P19" i="15" l="1"/>
  <c r="F19" i="15" s="1"/>
  <c r="K22" i="15"/>
  <c r="N18" i="15"/>
  <c r="M19" i="15" s="1"/>
  <c r="U19" i="15"/>
  <c r="T18" i="15"/>
  <c r="L18" i="15"/>
  <c r="AK37" i="15"/>
  <c r="AJ38" i="15" s="1"/>
  <c r="AP17" i="15"/>
  <c r="AO18" i="15" s="1"/>
  <c r="AF17" i="15"/>
  <c r="AE17" i="15"/>
  <c r="AD17" i="15"/>
  <c r="AG17" i="15" s="1"/>
  <c r="S17" i="15" s="1"/>
  <c r="J19" i="15"/>
  <c r="I20" i="15"/>
  <c r="AN69" i="15"/>
  <c r="AO68" i="15"/>
  <c r="Q18" i="15"/>
  <c r="G18" i="15"/>
  <c r="L9" i="10"/>
  <c r="K11" i="10"/>
  <c r="J11" i="10"/>
  <c r="K10" i="10"/>
  <c r="J10" i="10"/>
  <c r="K7" i="10"/>
  <c r="G19" i="16" s="1"/>
  <c r="J7" i="10"/>
  <c r="F19" i="16" s="1"/>
  <c r="C17" i="10"/>
  <c r="I19" i="16" l="1"/>
  <c r="H19" i="16"/>
  <c r="F22" i="16"/>
  <c r="AP18" i="15"/>
  <c r="AO19" i="15"/>
  <c r="AK38" i="15"/>
  <c r="AJ39" i="15"/>
  <c r="F20" i="15"/>
  <c r="P20" i="15"/>
  <c r="I21" i="15"/>
  <c r="K23" i="15"/>
  <c r="AD18" i="15"/>
  <c r="AG18" i="15" s="1"/>
  <c r="S18" i="15" s="1"/>
  <c r="AE18" i="15"/>
  <c r="AF18" i="15"/>
  <c r="Q19" i="15"/>
  <c r="G19" i="15"/>
  <c r="AN70" i="15"/>
  <c r="AO70" i="15" s="1"/>
  <c r="AO46" i="15" s="1"/>
  <c r="AO69" i="15"/>
  <c r="T19" i="15"/>
  <c r="U20" i="15"/>
  <c r="L19" i="15"/>
  <c r="N19" i="15" s="1"/>
  <c r="M20" i="15" s="1"/>
  <c r="L11" i="10"/>
  <c r="L10" i="10"/>
  <c r="L7" i="10"/>
  <c r="F1" i="10" s="1"/>
  <c r="C16" i="10"/>
  <c r="AT27" i="10"/>
  <c r="AU27" i="10" s="1"/>
  <c r="AS27" i="10"/>
  <c r="AT26" i="10"/>
  <c r="AU26" i="10" s="1"/>
  <c r="AS26" i="10"/>
  <c r="R7" i="10" l="1"/>
  <c r="K19" i="16"/>
  <c r="K22" i="16" s="1"/>
  <c r="I22" i="16"/>
  <c r="I22" i="15"/>
  <c r="AK39" i="15"/>
  <c r="AJ40" i="15" s="1"/>
  <c r="P21" i="15"/>
  <c r="F21" i="15"/>
  <c r="T20" i="15"/>
  <c r="U21" i="15"/>
  <c r="L20" i="15"/>
  <c r="G20" i="15"/>
  <c r="Q20" i="15"/>
  <c r="AD19" i="15"/>
  <c r="AG19" i="15" s="1"/>
  <c r="S19" i="15" s="1"/>
  <c r="AF19" i="15"/>
  <c r="AE19" i="15"/>
  <c r="J20" i="15"/>
  <c r="N20" i="15" s="1"/>
  <c r="M21" i="15" s="1"/>
  <c r="AP19" i="15"/>
  <c r="AO20" i="15" s="1"/>
  <c r="K24" i="15"/>
  <c r="U1" i="10"/>
  <c r="D6" i="10" s="1"/>
  <c r="C6" i="10" s="1"/>
  <c r="K23" i="16" l="1"/>
  <c r="O33" i="16" s="1"/>
  <c r="M23" i="16"/>
  <c r="AP20" i="15"/>
  <c r="AO21" i="15"/>
  <c r="AK40" i="15"/>
  <c r="AJ41" i="15" s="1"/>
  <c r="T21" i="15"/>
  <c r="U22" i="15"/>
  <c r="L21" i="15"/>
  <c r="AE20" i="15"/>
  <c r="AD20" i="15"/>
  <c r="AG20" i="15" s="1"/>
  <c r="S20" i="15" s="1"/>
  <c r="AF20" i="15"/>
  <c r="G21" i="15"/>
  <c r="Q21" i="15"/>
  <c r="F22" i="15"/>
  <c r="P22" i="15"/>
  <c r="J21" i="15"/>
  <c r="N21" i="15" s="1"/>
  <c r="M22" i="15" s="1"/>
  <c r="K25" i="15"/>
  <c r="J22" i="15"/>
  <c r="I23" i="15"/>
  <c r="D5" i="10"/>
  <c r="C5" i="10" s="1"/>
  <c r="D4" i="10"/>
  <c r="C4" i="10" s="1"/>
  <c r="H6" i="9"/>
  <c r="V17" i="12"/>
  <c r="C15" i="10"/>
  <c r="E171" i="3"/>
  <c r="E170" i="3"/>
  <c r="O26" i="6"/>
  <c r="O27" i="6" s="1"/>
  <c r="O28" i="6" s="1"/>
  <c r="K35" i="6"/>
  <c r="K34" i="6"/>
  <c r="K33" i="6"/>
  <c r="K32" i="6"/>
  <c r="K31" i="6"/>
  <c r="K30" i="6"/>
  <c r="K29" i="6"/>
  <c r="K28" i="6"/>
  <c r="K27" i="6"/>
  <c r="K25" i="6"/>
  <c r="L23" i="12"/>
  <c r="L22" i="12"/>
  <c r="L21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6" i="12"/>
  <c r="L5" i="12"/>
  <c r="L4" i="12"/>
  <c r="L3" i="12"/>
  <c r="E143" i="3"/>
  <c r="H26" i="12"/>
  <c r="H27" i="12" s="1"/>
  <c r="D53" i="12"/>
  <c r="L20" i="12" s="1"/>
  <c r="H29" i="9"/>
  <c r="H28" i="9"/>
  <c r="H27" i="9"/>
  <c r="H26" i="9"/>
  <c r="H25" i="9"/>
  <c r="H24" i="9"/>
  <c r="H23" i="9"/>
  <c r="H7" i="9" s="1"/>
  <c r="Q33" i="16" l="1"/>
  <c r="O34" i="16"/>
  <c r="E26" i="16"/>
  <c r="O33" i="6"/>
  <c r="O34" i="6" s="1"/>
  <c r="O35" i="6" s="1"/>
  <c r="O36" i="6" s="1"/>
  <c r="O37" i="6" s="1"/>
  <c r="O29" i="6"/>
  <c r="AK41" i="15"/>
  <c r="AJ42" i="15"/>
  <c r="K26" i="15"/>
  <c r="Q22" i="15"/>
  <c r="G22" i="15"/>
  <c r="U23" i="15"/>
  <c r="T22" i="15"/>
  <c r="L22" i="15"/>
  <c r="N22" i="15" s="1"/>
  <c r="M23" i="15" s="1"/>
  <c r="AP21" i="15"/>
  <c r="AO22" i="15" s="1"/>
  <c r="P23" i="15"/>
  <c r="F23" i="15"/>
  <c r="I24" i="15"/>
  <c r="J23" i="15"/>
  <c r="AF21" i="15"/>
  <c r="AE21" i="15"/>
  <c r="AD21" i="15"/>
  <c r="AG21" i="15" s="1"/>
  <c r="S21" i="15" s="1"/>
  <c r="L34" i="6"/>
  <c r="H8" i="9"/>
  <c r="H30" i="9"/>
  <c r="H31" i="9" s="1"/>
  <c r="X31" i="3"/>
  <c r="X30" i="3"/>
  <c r="X148" i="3"/>
  <c r="AA147" i="3"/>
  <c r="X147" i="3"/>
  <c r="Q34" i="16" l="1"/>
  <c r="O35" i="16"/>
  <c r="E33" i="16"/>
  <c r="E28" i="16"/>
  <c r="F26" i="16"/>
  <c r="F28" i="16" s="1"/>
  <c r="Q28" i="6"/>
  <c r="R36" i="6" s="1"/>
  <c r="Q29" i="6"/>
  <c r="R37" i="6" s="1"/>
  <c r="AP22" i="15"/>
  <c r="AO23" i="15" s="1"/>
  <c r="P24" i="15"/>
  <c r="F24" i="15"/>
  <c r="AD22" i="15"/>
  <c r="AG22" i="15" s="1"/>
  <c r="S22" i="15" s="1"/>
  <c r="AE22" i="15"/>
  <c r="AF22" i="15"/>
  <c r="K27" i="15"/>
  <c r="U24" i="15"/>
  <c r="J24" i="15" s="1"/>
  <c r="T23" i="15"/>
  <c r="L23" i="15"/>
  <c r="N23" i="15" s="1"/>
  <c r="M24" i="15" s="1"/>
  <c r="AK42" i="15"/>
  <c r="AJ43" i="15"/>
  <c r="I25" i="15"/>
  <c r="G23" i="15"/>
  <c r="Q23" i="15"/>
  <c r="Q26" i="6"/>
  <c r="R34" i="6" s="1"/>
  <c r="Q25" i="6"/>
  <c r="R33" i="6" s="1"/>
  <c r="Q27" i="6"/>
  <c r="R35" i="6" s="1"/>
  <c r="N18" i="13"/>
  <c r="N21" i="13" s="1"/>
  <c r="N30" i="13" s="1"/>
  <c r="GT53" i="5"/>
  <c r="GS53" i="5"/>
  <c r="GR53" i="5"/>
  <c r="GQ53" i="5"/>
  <c r="GP53" i="5"/>
  <c r="GO53" i="5"/>
  <c r="GN53" i="5"/>
  <c r="GM53" i="5"/>
  <c r="GL53" i="5"/>
  <c r="GK53" i="5"/>
  <c r="GJ53" i="5"/>
  <c r="GI53" i="5"/>
  <c r="GH53" i="5"/>
  <c r="GG53" i="5"/>
  <c r="GF53" i="5"/>
  <c r="GE53" i="5"/>
  <c r="GD53" i="5"/>
  <c r="GC53" i="5"/>
  <c r="GB53" i="5"/>
  <c r="GA53" i="5"/>
  <c r="FZ53" i="5"/>
  <c r="FY53" i="5"/>
  <c r="FX53" i="5"/>
  <c r="FW53" i="5"/>
  <c r="FV53" i="5"/>
  <c r="FU53" i="5"/>
  <c r="FT53" i="5"/>
  <c r="FS53" i="5"/>
  <c r="FR53" i="5"/>
  <c r="FQ53" i="5"/>
  <c r="FP53" i="5"/>
  <c r="FO53" i="5"/>
  <c r="FN53" i="5"/>
  <c r="FM53" i="5"/>
  <c r="FL53" i="5"/>
  <c r="FK53" i="5"/>
  <c r="FJ53" i="5"/>
  <c r="FI53" i="5"/>
  <c r="FH53" i="5"/>
  <c r="FG53" i="5"/>
  <c r="FF53" i="5"/>
  <c r="FE53" i="5"/>
  <c r="FD53" i="5"/>
  <c r="FC53" i="5"/>
  <c r="FB53" i="5"/>
  <c r="FA53" i="5"/>
  <c r="EZ53" i="5"/>
  <c r="EY53" i="5"/>
  <c r="EX53" i="5"/>
  <c r="EW53" i="5"/>
  <c r="EV53" i="5"/>
  <c r="EU53" i="5"/>
  <c r="ET53" i="5"/>
  <c r="ES53" i="5"/>
  <c r="ER53" i="5"/>
  <c r="EQ53" i="5"/>
  <c r="EP53" i="5"/>
  <c r="EO53" i="5"/>
  <c r="EN53" i="5"/>
  <c r="EM53" i="5"/>
  <c r="EL53" i="5"/>
  <c r="EK53" i="5"/>
  <c r="EJ53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O9" i="13"/>
  <c r="P9" i="13" s="1"/>
  <c r="Q9" i="13" s="1"/>
  <c r="R9" i="13" s="1"/>
  <c r="S9" i="13" s="1"/>
  <c r="T9" i="13" s="1"/>
  <c r="U9" i="13" s="1"/>
  <c r="V9" i="13" s="1"/>
  <c r="W9" i="13" s="1"/>
  <c r="X9" i="13" s="1"/>
  <c r="O6" i="13"/>
  <c r="P6" i="13" s="1"/>
  <c r="Q6" i="13" s="1"/>
  <c r="R6" i="13" s="1"/>
  <c r="S6" i="13" s="1"/>
  <c r="T6" i="13" s="1"/>
  <c r="U6" i="13" s="1"/>
  <c r="V6" i="13" s="1"/>
  <c r="W6" i="13" s="1"/>
  <c r="X6" i="13" s="1"/>
  <c r="O5" i="13"/>
  <c r="P5" i="13" s="1"/>
  <c r="GN9" i="5"/>
  <c r="GB9" i="5"/>
  <c r="FP9" i="5"/>
  <c r="FD9" i="5"/>
  <c r="ER9" i="5"/>
  <c r="EF9" i="5"/>
  <c r="DT9" i="5"/>
  <c r="DH9" i="5"/>
  <c r="CV9" i="5"/>
  <c r="CJ9" i="5"/>
  <c r="BX9" i="5"/>
  <c r="BL9" i="5"/>
  <c r="AZ9" i="5"/>
  <c r="AN9" i="5"/>
  <c r="AB9" i="5"/>
  <c r="C5" i="5"/>
  <c r="M5" i="13"/>
  <c r="M6" i="13"/>
  <c r="M7" i="13"/>
  <c r="M8" i="13"/>
  <c r="M9" i="13"/>
  <c r="M10" i="13"/>
  <c r="O13" i="13"/>
  <c r="O14" i="13" s="1"/>
  <c r="M4" i="13"/>
  <c r="Q35" i="16" l="1"/>
  <c r="O36" i="16"/>
  <c r="G26" i="16"/>
  <c r="G28" i="16" s="1"/>
  <c r="F33" i="16"/>
  <c r="AO24" i="15"/>
  <c r="AP23" i="15"/>
  <c r="I26" i="15"/>
  <c r="AF23" i="15"/>
  <c r="AE23" i="15"/>
  <c r="AD23" i="15"/>
  <c r="AG23" i="15" s="1"/>
  <c r="S23" i="15" s="1"/>
  <c r="K28" i="15"/>
  <c r="AK43" i="15"/>
  <c r="AJ44" i="15"/>
  <c r="T24" i="15"/>
  <c r="U25" i="15"/>
  <c r="L24" i="15"/>
  <c r="N24" i="15" s="1"/>
  <c r="M25" i="15" s="1"/>
  <c r="P25" i="15"/>
  <c r="F25" i="15" s="1"/>
  <c r="Q24" i="15"/>
  <c r="G24" i="15"/>
  <c r="Q5" i="13"/>
  <c r="P13" i="13"/>
  <c r="P14" i="13" s="1"/>
  <c r="P21" i="13" s="1"/>
  <c r="O21" i="13"/>
  <c r="W6" i="4"/>
  <c r="AP70" i="4"/>
  <c r="AP62" i="4"/>
  <c r="AP56" i="4"/>
  <c r="AP51" i="4"/>
  <c r="Q36" i="16" l="1"/>
  <c r="O37" i="16"/>
  <c r="H26" i="16"/>
  <c r="H28" i="16" s="1"/>
  <c r="G33" i="16"/>
  <c r="P26" i="15"/>
  <c r="F26" i="15" s="1"/>
  <c r="T25" i="15"/>
  <c r="U26" i="15"/>
  <c r="L25" i="15"/>
  <c r="AF24" i="15"/>
  <c r="AE24" i="15"/>
  <c r="AD24" i="15"/>
  <c r="AG24" i="15" s="1"/>
  <c r="S24" i="15" s="1"/>
  <c r="J26" i="15"/>
  <c r="I27" i="15"/>
  <c r="J25" i="15"/>
  <c r="N25" i="15" s="1"/>
  <c r="M26" i="15" s="1"/>
  <c r="G25" i="15"/>
  <c r="Q25" i="15"/>
  <c r="K29" i="15"/>
  <c r="AP24" i="15"/>
  <c r="AO25" i="15" s="1"/>
  <c r="V26" i="13"/>
  <c r="P30" i="13"/>
  <c r="R5" i="13"/>
  <c r="Q13" i="13"/>
  <c r="Q14" i="13" s="1"/>
  <c r="Q21" i="13" s="1"/>
  <c r="V27" i="13" s="1"/>
  <c r="O30" i="13"/>
  <c r="V25" i="13"/>
  <c r="AP5" i="10"/>
  <c r="AP6" i="10" s="1"/>
  <c r="AP7" i="10" s="1"/>
  <c r="AP8" i="10" s="1"/>
  <c r="AP9" i="10" s="1"/>
  <c r="AP10" i="10" s="1"/>
  <c r="AP12" i="10" s="1"/>
  <c r="Q37" i="16" l="1"/>
  <c r="O38" i="16"/>
  <c r="I26" i="16"/>
  <c r="I28" i="16" s="1"/>
  <c r="H33" i="16"/>
  <c r="AP25" i="15"/>
  <c r="AO26" i="15" s="1"/>
  <c r="P27" i="15"/>
  <c r="F27" i="15" s="1"/>
  <c r="I28" i="15"/>
  <c r="T26" i="15"/>
  <c r="U27" i="15"/>
  <c r="L26" i="15"/>
  <c r="G26" i="15"/>
  <c r="Q26" i="15"/>
  <c r="AF25" i="15"/>
  <c r="AE25" i="15"/>
  <c r="AD25" i="15"/>
  <c r="AG25" i="15" s="1"/>
  <c r="S25" i="15" s="1"/>
  <c r="K30" i="15"/>
  <c r="N26" i="15"/>
  <c r="M27" i="15" s="1"/>
  <c r="S5" i="13"/>
  <c r="R13" i="13"/>
  <c r="R14" i="13" s="1"/>
  <c r="R21" i="13" s="1"/>
  <c r="V28" i="13" s="1"/>
  <c r="R2" i="6"/>
  <c r="I3" i="6" s="1"/>
  <c r="L20" i="2"/>
  <c r="L19" i="2"/>
  <c r="L18" i="2"/>
  <c r="G6" i="9"/>
  <c r="Q38" i="16" l="1"/>
  <c r="O39" i="16"/>
  <c r="J26" i="16"/>
  <c r="J28" i="16" s="1"/>
  <c r="I33" i="16"/>
  <c r="P28" i="15"/>
  <c r="F28" i="15" s="1"/>
  <c r="AP26" i="15"/>
  <c r="AO27" i="15" s="1"/>
  <c r="U28" i="15"/>
  <c r="T27" i="15"/>
  <c r="L27" i="15"/>
  <c r="AF26" i="15"/>
  <c r="AE26" i="15"/>
  <c r="AD26" i="15"/>
  <c r="AG26" i="15" s="1"/>
  <c r="S26" i="15" s="1"/>
  <c r="G27" i="15"/>
  <c r="Q27" i="15"/>
  <c r="J27" i="15"/>
  <c r="N27" i="15" s="1"/>
  <c r="M28" i="15" s="1"/>
  <c r="K31" i="15"/>
  <c r="I29" i="15"/>
  <c r="J28" i="15"/>
  <c r="T5" i="13"/>
  <c r="S13" i="13"/>
  <c r="S14" i="13" s="1"/>
  <c r="S21" i="13" s="1"/>
  <c r="V29" i="13" s="1"/>
  <c r="G34" i="9"/>
  <c r="G25" i="9" s="1"/>
  <c r="G29" i="9"/>
  <c r="G28" i="9"/>
  <c r="G27" i="9"/>
  <c r="G26" i="9"/>
  <c r="G24" i="9"/>
  <c r="G23" i="9"/>
  <c r="O40" i="16" l="1"/>
  <c r="Q39" i="16"/>
  <c r="K26" i="16"/>
  <c r="K28" i="16" s="1"/>
  <c r="J33" i="16"/>
  <c r="AP27" i="15"/>
  <c r="AO28" i="15" s="1"/>
  <c r="P29" i="15"/>
  <c r="F29" i="15"/>
  <c r="Q28" i="15"/>
  <c r="G28" i="15"/>
  <c r="U29" i="15"/>
  <c r="T28" i="15"/>
  <c r="L28" i="15"/>
  <c r="N28" i="15" s="1"/>
  <c r="M29" i="15" s="1"/>
  <c r="I30" i="15"/>
  <c r="J29" i="15"/>
  <c r="K32" i="15"/>
  <c r="AE27" i="15"/>
  <c r="AD27" i="15"/>
  <c r="AG27" i="15" s="1"/>
  <c r="S27" i="15" s="1"/>
  <c r="AF27" i="15"/>
  <c r="U5" i="13"/>
  <c r="T13" i="13"/>
  <c r="T14" i="13" s="1"/>
  <c r="T21" i="13" s="1"/>
  <c r="V30" i="13" s="1"/>
  <c r="G7" i="9"/>
  <c r="G8" i="9" s="1"/>
  <c r="G30" i="9"/>
  <c r="G31" i="9" s="1"/>
  <c r="E122" i="3"/>
  <c r="E121" i="3"/>
  <c r="E104" i="3"/>
  <c r="E103" i="3"/>
  <c r="O41" i="16" l="1"/>
  <c r="Q40" i="16"/>
  <c r="L26" i="16"/>
  <c r="L28" i="16" s="1"/>
  <c r="K33" i="16"/>
  <c r="AP28" i="15"/>
  <c r="AO29" i="15"/>
  <c r="I31" i="15"/>
  <c r="Q29" i="15"/>
  <c r="G29" i="15"/>
  <c r="K33" i="15"/>
  <c r="P30" i="15"/>
  <c r="F30" i="15" s="1"/>
  <c r="AD28" i="15"/>
  <c r="AG28" i="15"/>
  <c r="S28" i="15" s="1"/>
  <c r="AF28" i="15"/>
  <c r="AE28" i="15"/>
  <c r="T29" i="15"/>
  <c r="U30" i="15"/>
  <c r="L29" i="15"/>
  <c r="N29" i="15" s="1"/>
  <c r="M30" i="15" s="1"/>
  <c r="V5" i="13"/>
  <c r="U13" i="13"/>
  <c r="U14" i="13" s="1"/>
  <c r="U21" i="13" s="1"/>
  <c r="V31" i="13" s="1"/>
  <c r="AQ47" i="4"/>
  <c r="AQ48" i="4" s="1"/>
  <c r="AQ49" i="4" s="1"/>
  <c r="AP57" i="4"/>
  <c r="AP58" i="4" s="1"/>
  <c r="AP59" i="4" s="1"/>
  <c r="AP60" i="4" s="1"/>
  <c r="AP61" i="4" s="1"/>
  <c r="AP63" i="4" s="1"/>
  <c r="AP64" i="4" s="1"/>
  <c r="AP65" i="4" s="1"/>
  <c r="AP66" i="4" s="1"/>
  <c r="AP67" i="4" s="1"/>
  <c r="AP68" i="4" s="1"/>
  <c r="AP69" i="4" s="1"/>
  <c r="AP52" i="4"/>
  <c r="AP53" i="4" s="1"/>
  <c r="AP54" i="4" s="1"/>
  <c r="AP55" i="4" s="1"/>
  <c r="AL54" i="4"/>
  <c r="AP47" i="4"/>
  <c r="AP48" i="4" s="1"/>
  <c r="AP49" i="4" s="1"/>
  <c r="AP50" i="4" s="1"/>
  <c r="AN18" i="4"/>
  <c r="AO18" i="4" s="1"/>
  <c r="AP24" i="4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M19" i="4"/>
  <c r="AO40" i="4" s="1"/>
  <c r="AO41" i="4" s="1"/>
  <c r="AO42" i="4" s="1"/>
  <c r="AO43" i="4" s="1"/>
  <c r="Q41" i="16" l="1"/>
  <c r="O42" i="16"/>
  <c r="Q42" i="16" s="1"/>
  <c r="M26" i="16"/>
  <c r="L33" i="16"/>
  <c r="P31" i="15"/>
  <c r="F31" i="15" s="1"/>
  <c r="T30" i="15"/>
  <c r="U31" i="15"/>
  <c r="L30" i="15"/>
  <c r="K34" i="15"/>
  <c r="J30" i="15"/>
  <c r="N30" i="15" s="1"/>
  <c r="M31" i="15" s="1"/>
  <c r="AF29" i="15"/>
  <c r="AG29" i="15"/>
  <c r="S29" i="15" s="1"/>
  <c r="AE29" i="15"/>
  <c r="AD29" i="15"/>
  <c r="I32" i="15"/>
  <c r="J31" i="15"/>
  <c r="AP29" i="15"/>
  <c r="AO30" i="15" s="1"/>
  <c r="G30" i="15"/>
  <c r="Q30" i="15"/>
  <c r="AR47" i="4"/>
  <c r="W5" i="13"/>
  <c r="V13" i="13"/>
  <c r="V14" i="13" s="1"/>
  <c r="V21" i="13" s="1"/>
  <c r="V32" i="13" s="1"/>
  <c r="AQ50" i="4"/>
  <c r="AR49" i="4"/>
  <c r="AR48" i="4"/>
  <c r="Q4" i="4"/>
  <c r="P4" i="4"/>
  <c r="O4" i="4"/>
  <c r="AY4" i="4"/>
  <c r="AM20" i="4" s="1"/>
  <c r="AN23" i="4" s="1"/>
  <c r="AM24" i="4" s="1"/>
  <c r="AN24" i="4" s="1"/>
  <c r="AM25" i="4" s="1"/>
  <c r="AN25" i="4" s="1"/>
  <c r="AM26" i="4" s="1"/>
  <c r="K6" i="4"/>
  <c r="K7" i="4"/>
  <c r="K5" i="4"/>
  <c r="L5" i="4" s="1"/>
  <c r="I5" i="4"/>
  <c r="J5" i="4" s="1"/>
  <c r="L4" i="4"/>
  <c r="T5" i="4"/>
  <c r="U6" i="4"/>
  <c r="T6" i="4" s="1"/>
  <c r="U4" i="4"/>
  <c r="T4" i="4" s="1"/>
  <c r="AE4" i="4" s="1"/>
  <c r="BE9" i="4"/>
  <c r="BE4" i="4"/>
  <c r="BE5" i="4"/>
  <c r="BE6" i="4"/>
  <c r="BE7" i="4"/>
  <c r="BE8" i="4"/>
  <c r="BE3" i="4"/>
  <c r="N26" i="16" l="1"/>
  <c r="M28" i="16"/>
  <c r="P32" i="15"/>
  <c r="F32" i="15" s="1"/>
  <c r="AP30" i="15"/>
  <c r="AO31" i="15" s="1"/>
  <c r="I33" i="15"/>
  <c r="U32" i="15"/>
  <c r="J32" i="15" s="1"/>
  <c r="T31" i="15"/>
  <c r="L31" i="15"/>
  <c r="N31" i="15" s="1"/>
  <c r="M32" i="15" s="1"/>
  <c r="G31" i="15"/>
  <c r="Q31" i="15"/>
  <c r="AF30" i="15"/>
  <c r="AD30" i="15"/>
  <c r="AG30" i="15" s="1"/>
  <c r="S30" i="15" s="1"/>
  <c r="AE30" i="15"/>
  <c r="K35" i="15"/>
  <c r="J4" i="4"/>
  <c r="M5" i="4" s="1"/>
  <c r="N5" i="4" s="1"/>
  <c r="M6" i="4" s="1"/>
  <c r="I6" i="4"/>
  <c r="I7" i="4" s="1"/>
  <c r="I8" i="4" s="1"/>
  <c r="X5" i="13"/>
  <c r="X13" i="13" s="1"/>
  <c r="X14" i="13" s="1"/>
  <c r="X21" i="13" s="1"/>
  <c r="V34" i="13" s="1"/>
  <c r="W13" i="13"/>
  <c r="W14" i="13" s="1"/>
  <c r="W21" i="13" s="1"/>
  <c r="V33" i="13" s="1"/>
  <c r="L6" i="4"/>
  <c r="N6" i="4" s="1"/>
  <c r="J6" i="4"/>
  <c r="AQ51" i="4"/>
  <c r="AR50" i="4"/>
  <c r="AN26" i="4"/>
  <c r="AM27" i="4" s="1"/>
  <c r="I9" i="4"/>
  <c r="K8" i="4"/>
  <c r="AF4" i="4"/>
  <c r="AE6" i="4"/>
  <c r="AE5" i="4"/>
  <c r="AD6" i="4"/>
  <c r="AD5" i="4"/>
  <c r="AG5" i="4" s="1"/>
  <c r="S5" i="4" s="1"/>
  <c r="AD4" i="4"/>
  <c r="AF6" i="4"/>
  <c r="AF5" i="4"/>
  <c r="O26" i="16" l="1"/>
  <c r="N28" i="16"/>
  <c r="AP31" i="15"/>
  <c r="AO32" i="15"/>
  <c r="P33" i="15"/>
  <c r="F33" i="15" s="1"/>
  <c r="Q32" i="15"/>
  <c r="G32" i="15"/>
  <c r="K36" i="15"/>
  <c r="I34" i="15"/>
  <c r="AD31" i="15"/>
  <c r="AG31" i="15" s="1"/>
  <c r="S31" i="15" s="1"/>
  <c r="AF31" i="15"/>
  <c r="AE31" i="15"/>
  <c r="U33" i="15"/>
  <c r="T32" i="15"/>
  <c r="L32" i="15"/>
  <c r="N32" i="15" s="1"/>
  <c r="M33" i="15" s="1"/>
  <c r="AG4" i="4"/>
  <c r="S4" i="4" s="1"/>
  <c r="AG6" i="4"/>
  <c r="S6" i="4" s="1"/>
  <c r="AQ52" i="4"/>
  <c r="AR51" i="4"/>
  <c r="AN27" i="4"/>
  <c r="AM28" i="4" s="1"/>
  <c r="M7" i="4"/>
  <c r="K9" i="4"/>
  <c r="BB25" i="10"/>
  <c r="BC25" i="10"/>
  <c r="BD25" i="10" s="1"/>
  <c r="AK56" i="10"/>
  <c r="AJ56" i="10"/>
  <c r="AK55" i="10"/>
  <c r="AJ55" i="10"/>
  <c r="AK54" i="10"/>
  <c r="AJ54" i="10"/>
  <c r="AK53" i="10"/>
  <c r="AJ53" i="10"/>
  <c r="AK52" i="10"/>
  <c r="AJ52" i="10"/>
  <c r="AJ51" i="10"/>
  <c r="AK51" i="10"/>
  <c r="AJ50" i="10"/>
  <c r="AK50" i="10"/>
  <c r="AK48" i="10"/>
  <c r="AJ48" i="10"/>
  <c r="AK47" i="10"/>
  <c r="AJ47" i="10"/>
  <c r="AK46" i="10"/>
  <c r="AJ46" i="10"/>
  <c r="AJ45" i="10"/>
  <c r="AK45" i="10"/>
  <c r="AJ44" i="10"/>
  <c r="AK44" i="10"/>
  <c r="AK42" i="10"/>
  <c r="AJ42" i="10"/>
  <c r="AJ41" i="10"/>
  <c r="AK41" i="10"/>
  <c r="AJ40" i="10"/>
  <c r="AK40" i="10"/>
  <c r="AJ39" i="10"/>
  <c r="AK39" i="10"/>
  <c r="AK36" i="10"/>
  <c r="AJ36" i="10"/>
  <c r="AJ35" i="10"/>
  <c r="AK35" i="10"/>
  <c r="AJ32" i="10"/>
  <c r="AK32" i="10"/>
  <c r="AJ31" i="10"/>
  <c r="AK31" i="10"/>
  <c r="AJ30" i="10"/>
  <c r="AK30" i="10"/>
  <c r="AJ29" i="10"/>
  <c r="AK29" i="10"/>
  <c r="AJ28" i="10"/>
  <c r="AK28" i="10"/>
  <c r="AJ27" i="10"/>
  <c r="AK27" i="10"/>
  <c r="AJ26" i="10"/>
  <c r="AK26" i="10"/>
  <c r="AJ25" i="10"/>
  <c r="AK25" i="10"/>
  <c r="C12" i="10"/>
  <c r="C13" i="10"/>
  <c r="C14" i="10"/>
  <c r="D11" i="10"/>
  <c r="C11" i="10" s="1"/>
  <c r="D10" i="10"/>
  <c r="C10" i="10" s="1"/>
  <c r="D9" i="10"/>
  <c r="C9" i="10" s="1"/>
  <c r="D8" i="10"/>
  <c r="C8" i="10" s="1"/>
  <c r="D7" i="10"/>
  <c r="C7" i="10" s="1"/>
  <c r="P26" i="16" l="1"/>
  <c r="O28" i="16"/>
  <c r="P34" i="15"/>
  <c r="F34" i="15" s="1"/>
  <c r="AE32" i="15"/>
  <c r="AD32" i="15"/>
  <c r="AG32" i="15" s="1"/>
  <c r="S32" i="15" s="1"/>
  <c r="AF32" i="15"/>
  <c r="K37" i="15"/>
  <c r="AP32" i="15"/>
  <c r="AO33" i="15" s="1"/>
  <c r="U34" i="15"/>
  <c r="T33" i="15"/>
  <c r="L33" i="15"/>
  <c r="I35" i="15"/>
  <c r="Q33" i="15"/>
  <c r="G33" i="15"/>
  <c r="J33" i="15"/>
  <c r="N33" i="15" s="1"/>
  <c r="M34" i="15" s="1"/>
  <c r="AL32" i="10"/>
  <c r="AL26" i="10"/>
  <c r="AL30" i="10"/>
  <c r="AL40" i="10"/>
  <c r="AL44" i="10"/>
  <c r="AL45" i="10"/>
  <c r="AL42" i="10"/>
  <c r="AL51" i="10"/>
  <c r="AL29" i="10"/>
  <c r="AL28" i="10"/>
  <c r="AL35" i="10"/>
  <c r="AQ53" i="4"/>
  <c r="AR52" i="4"/>
  <c r="AN28" i="4"/>
  <c r="AM29" i="4" s="1"/>
  <c r="K10" i="4"/>
  <c r="AL31" i="10"/>
  <c r="AL36" i="10"/>
  <c r="AL39" i="10"/>
  <c r="AL41" i="10"/>
  <c r="AL47" i="10"/>
  <c r="AL53" i="10"/>
  <c r="AL25" i="10"/>
  <c r="AL27" i="10"/>
  <c r="AL46" i="10"/>
  <c r="AL48" i="10"/>
  <c r="AL50" i="10"/>
  <c r="AL52" i="10"/>
  <c r="AL54" i="10"/>
  <c r="AL55" i="10"/>
  <c r="AL56" i="10"/>
  <c r="C14" i="5"/>
  <c r="F13" i="5"/>
  <c r="G13" i="5" s="1"/>
  <c r="H13" i="5" s="1"/>
  <c r="I13" i="5" s="1"/>
  <c r="J13" i="5" s="1"/>
  <c r="K13" i="5" s="1"/>
  <c r="L13" i="5" s="1"/>
  <c r="M13" i="5" s="1"/>
  <c r="N13" i="5" s="1"/>
  <c r="O13" i="5" s="1"/>
  <c r="P13" i="5" s="1"/>
  <c r="Q13" i="5" s="1"/>
  <c r="R13" i="5" s="1"/>
  <c r="S13" i="5" s="1"/>
  <c r="T13" i="5" s="1"/>
  <c r="U13" i="5" s="1"/>
  <c r="V13" i="5" s="1"/>
  <c r="W13" i="5" s="1"/>
  <c r="X13" i="5" s="1"/>
  <c r="Y13" i="5" s="1"/>
  <c r="Z13" i="5" s="1"/>
  <c r="AA13" i="5" s="1"/>
  <c r="AB13" i="5" s="1"/>
  <c r="AC13" i="5" s="1"/>
  <c r="AD13" i="5" s="1"/>
  <c r="AE13" i="5" s="1"/>
  <c r="AF13" i="5" s="1"/>
  <c r="AG13" i="5" s="1"/>
  <c r="AH13" i="5" s="1"/>
  <c r="AI13" i="5" s="1"/>
  <c r="AJ13" i="5" s="1"/>
  <c r="AK13" i="5" s="1"/>
  <c r="AL13" i="5" s="1"/>
  <c r="AM13" i="5" s="1"/>
  <c r="AN13" i="5" s="1"/>
  <c r="AO13" i="5" s="1"/>
  <c r="AP13" i="5" s="1"/>
  <c r="AQ13" i="5" s="1"/>
  <c r="AR13" i="5" s="1"/>
  <c r="AS13" i="5" s="1"/>
  <c r="AT13" i="5" s="1"/>
  <c r="AU13" i="5" s="1"/>
  <c r="AV13" i="5" s="1"/>
  <c r="AW13" i="5" s="1"/>
  <c r="AX13" i="5" s="1"/>
  <c r="AY13" i="5" s="1"/>
  <c r="AZ13" i="5" s="1"/>
  <c r="BA13" i="5" s="1"/>
  <c r="BB13" i="5" s="1"/>
  <c r="BC13" i="5" s="1"/>
  <c r="BD13" i="5" s="1"/>
  <c r="BE13" i="5" s="1"/>
  <c r="BF13" i="5" s="1"/>
  <c r="BG13" i="5" s="1"/>
  <c r="BH13" i="5" s="1"/>
  <c r="BI13" i="5" s="1"/>
  <c r="BJ13" i="5" s="1"/>
  <c r="BK13" i="5" s="1"/>
  <c r="BL13" i="5" s="1"/>
  <c r="BM13" i="5" s="1"/>
  <c r="BN13" i="5" s="1"/>
  <c r="BO13" i="5" s="1"/>
  <c r="BP13" i="5" s="1"/>
  <c r="BQ13" i="5" s="1"/>
  <c r="BR13" i="5" s="1"/>
  <c r="BS13" i="5" s="1"/>
  <c r="BT13" i="5" s="1"/>
  <c r="BU13" i="5" s="1"/>
  <c r="BV13" i="5" s="1"/>
  <c r="BW13" i="5" s="1"/>
  <c r="BX13" i="5" s="1"/>
  <c r="BY13" i="5" s="1"/>
  <c r="BZ13" i="5" s="1"/>
  <c r="CA13" i="5" s="1"/>
  <c r="CB13" i="5" s="1"/>
  <c r="CC13" i="5" s="1"/>
  <c r="CD13" i="5" s="1"/>
  <c r="CE13" i="5" s="1"/>
  <c r="CF13" i="5" s="1"/>
  <c r="CG13" i="5" s="1"/>
  <c r="CH13" i="5" s="1"/>
  <c r="CI13" i="5" s="1"/>
  <c r="CJ13" i="5" s="1"/>
  <c r="CK13" i="5" s="1"/>
  <c r="CL13" i="5" s="1"/>
  <c r="CM13" i="5" s="1"/>
  <c r="CN13" i="5" s="1"/>
  <c r="CO13" i="5" s="1"/>
  <c r="CP13" i="5" s="1"/>
  <c r="CQ13" i="5" s="1"/>
  <c r="CR13" i="5" s="1"/>
  <c r="CS13" i="5" s="1"/>
  <c r="CT13" i="5" s="1"/>
  <c r="CU13" i="5" s="1"/>
  <c r="CV13" i="5" s="1"/>
  <c r="CW13" i="5" s="1"/>
  <c r="CX13" i="5" s="1"/>
  <c r="CY13" i="5" s="1"/>
  <c r="CZ13" i="5" s="1"/>
  <c r="DA13" i="5" s="1"/>
  <c r="DB13" i="5" s="1"/>
  <c r="DC13" i="5" s="1"/>
  <c r="DD13" i="5" s="1"/>
  <c r="DE13" i="5" s="1"/>
  <c r="DF13" i="5" s="1"/>
  <c r="DG13" i="5" s="1"/>
  <c r="DH13" i="5" s="1"/>
  <c r="DI13" i="5" s="1"/>
  <c r="DJ13" i="5" s="1"/>
  <c r="DK13" i="5" s="1"/>
  <c r="DL13" i="5" s="1"/>
  <c r="DM13" i="5" s="1"/>
  <c r="DN13" i="5" s="1"/>
  <c r="DO13" i="5" s="1"/>
  <c r="DP13" i="5" s="1"/>
  <c r="DQ13" i="5" s="1"/>
  <c r="DR13" i="5" s="1"/>
  <c r="DS13" i="5" s="1"/>
  <c r="DT13" i="5" s="1"/>
  <c r="DU13" i="5" s="1"/>
  <c r="DV13" i="5" s="1"/>
  <c r="DW13" i="5" s="1"/>
  <c r="DX13" i="5" s="1"/>
  <c r="DY13" i="5" s="1"/>
  <c r="DZ13" i="5" s="1"/>
  <c r="EA13" i="5" s="1"/>
  <c r="EB13" i="5" s="1"/>
  <c r="EC13" i="5" s="1"/>
  <c r="ED13" i="5" s="1"/>
  <c r="EE13" i="5" s="1"/>
  <c r="EF13" i="5" s="1"/>
  <c r="EG13" i="5" s="1"/>
  <c r="EH13" i="5" s="1"/>
  <c r="EI13" i="5" s="1"/>
  <c r="EJ13" i="5" s="1"/>
  <c r="EK13" i="5" s="1"/>
  <c r="EL13" i="5" s="1"/>
  <c r="EM13" i="5" s="1"/>
  <c r="EN13" i="5" s="1"/>
  <c r="EO13" i="5" s="1"/>
  <c r="EP13" i="5" s="1"/>
  <c r="EQ13" i="5" s="1"/>
  <c r="ER13" i="5" s="1"/>
  <c r="ES13" i="5" s="1"/>
  <c r="ET13" i="5" s="1"/>
  <c r="EU13" i="5" s="1"/>
  <c r="EV13" i="5" s="1"/>
  <c r="EW13" i="5" s="1"/>
  <c r="EX13" i="5" s="1"/>
  <c r="EY13" i="5" s="1"/>
  <c r="EZ13" i="5" s="1"/>
  <c r="FA13" i="5" s="1"/>
  <c r="FB13" i="5" s="1"/>
  <c r="FC13" i="5" s="1"/>
  <c r="FD13" i="5" s="1"/>
  <c r="FE13" i="5" s="1"/>
  <c r="FF13" i="5" s="1"/>
  <c r="FG13" i="5" s="1"/>
  <c r="FH13" i="5" s="1"/>
  <c r="FI13" i="5" s="1"/>
  <c r="FJ13" i="5" s="1"/>
  <c r="FK13" i="5" s="1"/>
  <c r="FL13" i="5" s="1"/>
  <c r="FM13" i="5" s="1"/>
  <c r="FN13" i="5" s="1"/>
  <c r="FO13" i="5" s="1"/>
  <c r="FP13" i="5" s="1"/>
  <c r="FQ13" i="5" s="1"/>
  <c r="FR13" i="5" s="1"/>
  <c r="FS13" i="5" s="1"/>
  <c r="FT13" i="5" s="1"/>
  <c r="FU13" i="5" s="1"/>
  <c r="FV13" i="5" s="1"/>
  <c r="FW13" i="5" s="1"/>
  <c r="FX13" i="5" s="1"/>
  <c r="FY13" i="5" s="1"/>
  <c r="FZ13" i="5" s="1"/>
  <c r="GA13" i="5" s="1"/>
  <c r="GB13" i="5" s="1"/>
  <c r="GC13" i="5" s="1"/>
  <c r="GD13" i="5" s="1"/>
  <c r="GE13" i="5" s="1"/>
  <c r="GF13" i="5" s="1"/>
  <c r="GG13" i="5" s="1"/>
  <c r="GH13" i="5" s="1"/>
  <c r="GI13" i="5" s="1"/>
  <c r="GJ13" i="5" s="1"/>
  <c r="GK13" i="5" s="1"/>
  <c r="GL13" i="5" s="1"/>
  <c r="GM13" i="5" s="1"/>
  <c r="GN13" i="5" s="1"/>
  <c r="GO13" i="5" s="1"/>
  <c r="GP13" i="5" s="1"/>
  <c r="GQ13" i="5" s="1"/>
  <c r="GR13" i="5" s="1"/>
  <c r="GS13" i="5" s="1"/>
  <c r="GT13" i="5" s="1"/>
  <c r="G55" i="3"/>
  <c r="Q26" i="16" l="1"/>
  <c r="P28" i="16"/>
  <c r="AP33" i="15"/>
  <c r="AO34" i="15" s="1"/>
  <c r="P35" i="15"/>
  <c r="F35" i="15" s="1"/>
  <c r="AE33" i="15"/>
  <c r="AD33" i="15"/>
  <c r="AG33" i="15" s="1"/>
  <c r="S33" i="15" s="1"/>
  <c r="AF33" i="15"/>
  <c r="I36" i="15"/>
  <c r="K38" i="15"/>
  <c r="U35" i="15"/>
  <c r="T34" i="15"/>
  <c r="L34" i="15"/>
  <c r="J34" i="15"/>
  <c r="Q34" i="15"/>
  <c r="G34" i="15"/>
  <c r="AQ54" i="4"/>
  <c r="AR53" i="4"/>
  <c r="AN29" i="4"/>
  <c r="AM30" i="4" s="1"/>
  <c r="K11" i="4"/>
  <c r="A3" i="5"/>
  <c r="G95" i="3"/>
  <c r="G96" i="3"/>
  <c r="G97" i="3"/>
  <c r="L25" i="2"/>
  <c r="N20" i="2" s="1"/>
  <c r="F6" i="9"/>
  <c r="F38" i="9"/>
  <c r="R26" i="16" l="1"/>
  <c r="Q28" i="16"/>
  <c r="P36" i="15"/>
  <c r="F36" i="15" s="1"/>
  <c r="AP34" i="15"/>
  <c r="AO35" i="15" s="1"/>
  <c r="G35" i="15"/>
  <c r="Q35" i="15"/>
  <c r="AE34" i="15"/>
  <c r="AD34" i="15"/>
  <c r="AG34" i="15" s="1"/>
  <c r="S34" i="15" s="1"/>
  <c r="AF34" i="15"/>
  <c r="T35" i="15"/>
  <c r="U36" i="15"/>
  <c r="L35" i="15"/>
  <c r="J35" i="15"/>
  <c r="J36" i="15"/>
  <c r="I37" i="15"/>
  <c r="N34" i="15"/>
  <c r="M35" i="15" s="1"/>
  <c r="K39" i="15"/>
  <c r="N18" i="2"/>
  <c r="N19" i="2"/>
  <c r="N17" i="2"/>
  <c r="P19" i="2"/>
  <c r="P20" i="2"/>
  <c r="P18" i="2"/>
  <c r="AQ55" i="4"/>
  <c r="AR54" i="4"/>
  <c r="AN30" i="4"/>
  <c r="AM31" i="4" s="1"/>
  <c r="K12" i="4"/>
  <c r="E88" i="3"/>
  <c r="E89" i="3"/>
  <c r="E87" i="3"/>
  <c r="E70" i="3"/>
  <c r="E68" i="3"/>
  <c r="E63" i="3"/>
  <c r="AB160" i="3"/>
  <c r="F23" i="9"/>
  <c r="F24" i="9"/>
  <c r="F25" i="9"/>
  <c r="F26" i="9"/>
  <c r="F27" i="9"/>
  <c r="F28" i="9"/>
  <c r="F29" i="9"/>
  <c r="S26" i="16" l="1"/>
  <c r="R28" i="16"/>
  <c r="AP35" i="15"/>
  <c r="AO36" i="15" s="1"/>
  <c r="P37" i="15"/>
  <c r="F37" i="15" s="1"/>
  <c r="K40" i="15"/>
  <c r="I38" i="15"/>
  <c r="U37" i="15"/>
  <c r="T36" i="15"/>
  <c r="L36" i="15"/>
  <c r="G36" i="15"/>
  <c r="Q36" i="15"/>
  <c r="AF35" i="15"/>
  <c r="AE35" i="15"/>
  <c r="AD35" i="15"/>
  <c r="AG35" i="15" s="1"/>
  <c r="S35" i="15" s="1"/>
  <c r="N35" i="15"/>
  <c r="M36" i="15" s="1"/>
  <c r="N36" i="15" s="1"/>
  <c r="M37" i="15" s="1"/>
  <c r="AQ56" i="4"/>
  <c r="AR55" i="4"/>
  <c r="AN31" i="4"/>
  <c r="AM32" i="4" s="1"/>
  <c r="K13" i="4"/>
  <c r="F30" i="9"/>
  <c r="F31" i="9" s="1"/>
  <c r="F7" i="9"/>
  <c r="F8" i="9" s="1"/>
  <c r="D13" i="14"/>
  <c r="D14" i="14"/>
  <c r="G1" i="14"/>
  <c r="D17" i="14"/>
  <c r="D19" i="14"/>
  <c r="T26" i="16" l="1"/>
  <c r="S28" i="16"/>
  <c r="F38" i="15"/>
  <c r="P38" i="15"/>
  <c r="AP36" i="15"/>
  <c r="AO37" i="15" s="1"/>
  <c r="T37" i="15"/>
  <c r="U38" i="15"/>
  <c r="L37" i="15"/>
  <c r="K41" i="15"/>
  <c r="G37" i="15"/>
  <c r="Q37" i="15"/>
  <c r="I39" i="15"/>
  <c r="J37" i="15"/>
  <c r="N37" i="15" s="1"/>
  <c r="M38" i="15" s="1"/>
  <c r="AF36" i="15"/>
  <c r="AE36" i="15"/>
  <c r="AD36" i="15"/>
  <c r="AG36" i="15" s="1"/>
  <c r="S36" i="15" s="1"/>
  <c r="AQ57" i="4"/>
  <c r="AR56" i="4"/>
  <c r="AN32" i="4"/>
  <c r="AM33" i="4" s="1"/>
  <c r="K14" i="4"/>
  <c r="D12" i="14"/>
  <c r="D7" i="14"/>
  <c r="D6" i="14"/>
  <c r="D4" i="14"/>
  <c r="G3" i="14"/>
  <c r="G2" i="14"/>
  <c r="U26" i="16" l="1"/>
  <c r="T28" i="16"/>
  <c r="AP37" i="15"/>
  <c r="AO38" i="15" s="1"/>
  <c r="G38" i="15"/>
  <c r="Q38" i="15"/>
  <c r="U39" i="15"/>
  <c r="T38" i="15"/>
  <c r="L38" i="15"/>
  <c r="J39" i="15"/>
  <c r="I40" i="15"/>
  <c r="AF37" i="15"/>
  <c r="AE37" i="15"/>
  <c r="AD37" i="15"/>
  <c r="AG37" i="15"/>
  <c r="S37" i="15" s="1"/>
  <c r="J38" i="15"/>
  <c r="N38" i="15" s="1"/>
  <c r="M39" i="15" s="1"/>
  <c r="P39" i="15"/>
  <c r="F39" i="15" s="1"/>
  <c r="AQ58" i="4"/>
  <c r="AR57" i="4"/>
  <c r="AN33" i="4"/>
  <c r="AM34" i="4" s="1"/>
  <c r="K15" i="4"/>
  <c r="G4" i="14"/>
  <c r="I2" i="14" s="1"/>
  <c r="V26" i="16" l="1"/>
  <c r="U28" i="16"/>
  <c r="P40" i="15"/>
  <c r="F40" i="15" s="1"/>
  <c r="AP38" i="15"/>
  <c r="AO39" i="15" s="1"/>
  <c r="G39" i="15"/>
  <c r="Q39" i="15"/>
  <c r="AF38" i="15"/>
  <c r="AE38" i="15"/>
  <c r="AD38" i="15"/>
  <c r="AG38" i="15" s="1"/>
  <c r="S38" i="15" s="1"/>
  <c r="I41" i="15"/>
  <c r="J40" i="15"/>
  <c r="T39" i="15"/>
  <c r="U40" i="15"/>
  <c r="L39" i="15"/>
  <c r="N39" i="15" s="1"/>
  <c r="M40" i="15" s="1"/>
  <c r="AQ59" i="4"/>
  <c r="AR58" i="4"/>
  <c r="AN34" i="4"/>
  <c r="AM35" i="4" s="1"/>
  <c r="K16" i="4"/>
  <c r="AA74" i="3"/>
  <c r="AA70" i="3"/>
  <c r="AA2" i="3"/>
  <c r="AA5" i="3"/>
  <c r="AA7" i="3"/>
  <c r="AA13" i="3"/>
  <c r="AA15" i="3"/>
  <c r="AA21" i="3"/>
  <c r="AA23" i="3"/>
  <c r="AA6" i="3"/>
  <c r="AA8" i="3"/>
  <c r="AA14" i="3"/>
  <c r="AA16" i="3"/>
  <c r="AA22" i="3"/>
  <c r="AA24" i="3"/>
  <c r="AA29" i="3"/>
  <c r="AA33" i="3"/>
  <c r="AA56" i="3"/>
  <c r="AA57" i="3"/>
  <c r="AA60" i="3"/>
  <c r="AA61" i="3"/>
  <c r="AA64" i="3"/>
  <c r="AA65" i="3"/>
  <c r="AA69" i="3"/>
  <c r="AA73" i="3"/>
  <c r="AA87" i="3"/>
  <c r="AA90" i="3"/>
  <c r="AA91" i="3"/>
  <c r="AA94" i="3"/>
  <c r="AA95" i="3"/>
  <c r="AA98" i="3"/>
  <c r="AA68" i="3"/>
  <c r="AA150" i="3"/>
  <c r="AA151" i="3"/>
  <c r="AA154" i="3"/>
  <c r="AA155" i="3"/>
  <c r="AA158" i="3"/>
  <c r="AA159" i="3"/>
  <c r="AA129" i="3"/>
  <c r="AA128" i="3"/>
  <c r="AA137" i="3"/>
  <c r="AA138" i="3"/>
  <c r="AA141" i="3"/>
  <c r="AA142" i="3"/>
  <c r="AA145" i="3"/>
  <c r="AA146" i="3"/>
  <c r="AA32" i="3"/>
  <c r="AA148" i="3"/>
  <c r="AA109" i="3"/>
  <c r="AC109" i="3" s="1"/>
  <c r="AA110" i="3"/>
  <c r="AC110" i="3" s="1"/>
  <c r="AA113" i="3"/>
  <c r="AC113" i="3" s="1"/>
  <c r="AA114" i="3"/>
  <c r="AC114" i="3" s="1"/>
  <c r="AA101" i="3"/>
  <c r="AC101" i="3" s="1"/>
  <c r="AA102" i="3"/>
  <c r="AC102" i="3" s="1"/>
  <c r="AA105" i="3"/>
  <c r="AC105" i="3" s="1"/>
  <c r="AA106" i="3"/>
  <c r="AC106" i="3" s="1"/>
  <c r="AA76" i="3"/>
  <c r="AA78" i="3"/>
  <c r="AA80" i="3"/>
  <c r="AA82" i="3"/>
  <c r="AA84" i="3"/>
  <c r="AA86" i="3"/>
  <c r="AA37" i="3"/>
  <c r="AC37" i="3" s="1"/>
  <c r="AA38" i="3"/>
  <c r="AC38" i="3" s="1"/>
  <c r="AA41" i="3"/>
  <c r="AC41" i="3" s="1"/>
  <c r="AA42" i="3"/>
  <c r="AC42" i="3" s="1"/>
  <c r="AA45" i="3"/>
  <c r="AC45" i="3" s="1"/>
  <c r="AA46" i="3"/>
  <c r="AC46" i="3" s="1"/>
  <c r="AA49" i="3"/>
  <c r="AC49" i="3" s="1"/>
  <c r="AA50" i="3"/>
  <c r="AC50" i="3" s="1"/>
  <c r="AA53" i="3"/>
  <c r="AC53" i="3" s="1"/>
  <c r="AA54" i="3"/>
  <c r="AC54" i="3" s="1"/>
  <c r="AA3" i="3"/>
  <c r="AA9" i="3"/>
  <c r="AA17" i="3"/>
  <c r="AA25" i="3"/>
  <c r="AA10" i="3"/>
  <c r="AA18" i="3"/>
  <c r="AA26" i="3"/>
  <c r="AA34" i="3"/>
  <c r="AA58" i="3"/>
  <c r="AA62" i="3"/>
  <c r="AA66" i="3"/>
  <c r="AA71" i="3"/>
  <c r="AA75" i="3"/>
  <c r="AA88" i="3"/>
  <c r="AA92" i="3"/>
  <c r="AA96" i="3"/>
  <c r="AA115" i="3"/>
  <c r="AA152" i="3"/>
  <c r="AA156" i="3"/>
  <c r="AA127" i="3"/>
  <c r="AA135" i="3"/>
  <c r="AA139" i="3"/>
  <c r="AA143" i="3"/>
  <c r="AA160" i="3"/>
  <c r="AA30" i="3"/>
  <c r="AA111" i="3"/>
  <c r="AC111" i="3" s="1"/>
  <c r="AA99" i="3"/>
  <c r="AC99" i="3" s="1"/>
  <c r="AA103" i="3"/>
  <c r="AC103" i="3" s="1"/>
  <c r="AA107" i="3"/>
  <c r="AC107" i="3" s="1"/>
  <c r="AA39" i="3"/>
  <c r="AC39" i="3" s="1"/>
  <c r="AA43" i="3"/>
  <c r="AC43" i="3" s="1"/>
  <c r="AA47" i="3"/>
  <c r="AC47" i="3" s="1"/>
  <c r="AA51" i="3"/>
  <c r="AC51" i="3" s="1"/>
  <c r="AA55" i="3"/>
  <c r="AC55" i="3" s="1"/>
  <c r="AA4" i="3"/>
  <c r="AA11" i="3"/>
  <c r="AA19" i="3"/>
  <c r="AA27" i="3"/>
  <c r="AA12" i="3"/>
  <c r="AA20" i="3"/>
  <c r="AA28" i="3"/>
  <c r="AA35" i="3"/>
  <c r="AA59" i="3"/>
  <c r="AA63" i="3"/>
  <c r="AA67" i="3"/>
  <c r="AA72" i="3"/>
  <c r="AA89" i="3"/>
  <c r="AA93" i="3"/>
  <c r="AA97" i="3"/>
  <c r="AA149" i="3"/>
  <c r="AA153" i="3"/>
  <c r="AA157" i="3"/>
  <c r="AA132" i="3"/>
  <c r="AA136" i="3"/>
  <c r="AA140" i="3"/>
  <c r="AA144" i="3"/>
  <c r="AA31" i="3"/>
  <c r="AA112" i="3"/>
  <c r="AC112" i="3" s="1"/>
  <c r="AA100" i="3"/>
  <c r="AC100" i="3" s="1"/>
  <c r="AA104" i="3"/>
  <c r="AC104" i="3" s="1"/>
  <c r="AA108" i="3"/>
  <c r="AC108" i="3" s="1"/>
  <c r="AA77" i="3"/>
  <c r="AA79" i="3"/>
  <c r="AA81" i="3"/>
  <c r="AA83" i="3"/>
  <c r="AA85" i="3"/>
  <c r="AA36" i="3"/>
  <c r="AC36" i="3" s="1"/>
  <c r="AA40" i="3"/>
  <c r="AC40" i="3" s="1"/>
  <c r="AA44" i="3"/>
  <c r="AC44" i="3" s="1"/>
  <c r="AA48" i="3"/>
  <c r="AC48" i="3" s="1"/>
  <c r="AA52" i="3"/>
  <c r="AC52" i="3" s="1"/>
  <c r="X73" i="3"/>
  <c r="X74" i="3"/>
  <c r="X75" i="3"/>
  <c r="B47" i="5"/>
  <c r="B43" i="5"/>
  <c r="D4" i="9" s="1"/>
  <c r="B31" i="5"/>
  <c r="D2" i="9" s="1"/>
  <c r="D3" i="9"/>
  <c r="D6" i="9"/>
  <c r="E6" i="9"/>
  <c r="E38" i="9"/>
  <c r="W26" i="16" l="1"/>
  <c r="W28" i="16" s="1"/>
  <c r="V28" i="16"/>
  <c r="AO40" i="15"/>
  <c r="AP39" i="15"/>
  <c r="F41" i="15"/>
  <c r="P41" i="15"/>
  <c r="AF39" i="15"/>
  <c r="S39" i="15"/>
  <c r="AE39" i="15"/>
  <c r="AG39" i="15"/>
  <c r="AD39" i="15"/>
  <c r="U41" i="15"/>
  <c r="T40" i="15"/>
  <c r="L40" i="15"/>
  <c r="N40" i="15" s="1"/>
  <c r="M41" i="15" s="1"/>
  <c r="G40" i="15"/>
  <c r="Q40" i="15"/>
  <c r="D40" i="9"/>
  <c r="D42" i="9" s="1"/>
  <c r="D47" i="9" s="1"/>
  <c r="D52" i="9" s="1"/>
  <c r="AQ60" i="4"/>
  <c r="AR59" i="4"/>
  <c r="AN35" i="4"/>
  <c r="AM36" i="4" s="1"/>
  <c r="K17" i="4"/>
  <c r="D5" i="9"/>
  <c r="AP40" i="15" l="1"/>
  <c r="AO41" i="15" s="1"/>
  <c r="AF40" i="15"/>
  <c r="AE40" i="15"/>
  <c r="AD40" i="15"/>
  <c r="AG40" i="15" s="1"/>
  <c r="S40" i="15" s="1"/>
  <c r="T41" i="15"/>
  <c r="L41" i="15"/>
  <c r="Q41" i="15"/>
  <c r="G41" i="15"/>
  <c r="J41" i="15"/>
  <c r="AQ61" i="4"/>
  <c r="AR60" i="4"/>
  <c r="AN36" i="4"/>
  <c r="AM37" i="4" s="1"/>
  <c r="K18" i="4"/>
  <c r="E51" i="3"/>
  <c r="X32" i="3"/>
  <c r="AP41" i="15" l="1"/>
  <c r="AO42" i="15" s="1"/>
  <c r="N41" i="15"/>
  <c r="AE41" i="15"/>
  <c r="AD41" i="15"/>
  <c r="AG41" i="15" s="1"/>
  <c r="S41" i="15" s="1"/>
  <c r="AF41" i="15"/>
  <c r="AQ62" i="4"/>
  <c r="AR61" i="4"/>
  <c r="AN37" i="4"/>
  <c r="AM38" i="4" s="1"/>
  <c r="K19" i="4"/>
  <c r="E24" i="9"/>
  <c r="E27" i="3"/>
  <c r="E26" i="3"/>
  <c r="AP42" i="15" l="1"/>
  <c r="AO43" i="15" s="1"/>
  <c r="AQ63" i="4"/>
  <c r="AR62" i="4"/>
  <c r="AN38" i="4"/>
  <c r="AM39" i="4" s="1"/>
  <c r="K20" i="4"/>
  <c r="J2" i="2"/>
  <c r="J3" i="2"/>
  <c r="H3" i="2" s="1"/>
  <c r="I3" i="2" s="1"/>
  <c r="J4" i="2"/>
  <c r="J5" i="2"/>
  <c r="H5" i="2" s="1"/>
  <c r="I5" i="2" s="1"/>
  <c r="J6" i="2"/>
  <c r="J7" i="2"/>
  <c r="J8" i="2"/>
  <c r="H8" i="2" s="1"/>
  <c r="I8" i="2" s="1"/>
  <c r="J9" i="2"/>
  <c r="H9" i="2" s="1"/>
  <c r="I9" i="2" s="1"/>
  <c r="J10" i="2"/>
  <c r="J11" i="2"/>
  <c r="J12" i="2"/>
  <c r="J13" i="2"/>
  <c r="J14" i="2"/>
  <c r="J15" i="2"/>
  <c r="J16" i="2"/>
  <c r="H16" i="2" s="1"/>
  <c r="I16" i="2" s="1"/>
  <c r="J17" i="2"/>
  <c r="J18" i="2"/>
  <c r="J19" i="2"/>
  <c r="H19" i="2" s="1"/>
  <c r="I19" i="2" s="1"/>
  <c r="J20" i="2"/>
  <c r="H20" i="2" s="1"/>
  <c r="I20" i="2" s="1"/>
  <c r="J21" i="2"/>
  <c r="J22" i="2"/>
  <c r="J23" i="2"/>
  <c r="J24" i="2"/>
  <c r="J25" i="2"/>
  <c r="J26" i="2"/>
  <c r="J27" i="2"/>
  <c r="J28" i="2"/>
  <c r="J29" i="2"/>
  <c r="J30" i="2"/>
  <c r="J31" i="2"/>
  <c r="J32" i="2"/>
  <c r="H32" i="2" s="1"/>
  <c r="I32" i="2" s="1"/>
  <c r="J33" i="2"/>
  <c r="J34" i="2"/>
  <c r="J35" i="2"/>
  <c r="J36" i="2"/>
  <c r="J37" i="2"/>
  <c r="J38" i="2"/>
  <c r="J39" i="2"/>
  <c r="J40" i="2"/>
  <c r="H40" i="2" s="1"/>
  <c r="I40" i="2" s="1"/>
  <c r="J41" i="2"/>
  <c r="J42" i="2"/>
  <c r="J43" i="2"/>
  <c r="J44" i="2"/>
  <c r="J45" i="2"/>
  <c r="J46" i="2"/>
  <c r="H46" i="2" s="1"/>
  <c r="I46" i="2" s="1"/>
  <c r="J47" i="2"/>
  <c r="J49" i="2"/>
  <c r="J50" i="2"/>
  <c r="J51" i="2"/>
  <c r="J52" i="2"/>
  <c r="J53" i="2"/>
  <c r="J54" i="2"/>
  <c r="J55" i="2"/>
  <c r="J56" i="2"/>
  <c r="H56" i="2" s="1"/>
  <c r="I56" i="2" s="1"/>
  <c r="J57" i="2"/>
  <c r="J58" i="2"/>
  <c r="H58" i="2" s="1"/>
  <c r="I58" i="2" s="1"/>
  <c r="J59" i="2"/>
  <c r="J60" i="2"/>
  <c r="J61" i="2"/>
  <c r="J62" i="2"/>
  <c r="J63" i="2"/>
  <c r="H63" i="2" s="1"/>
  <c r="I63" i="2" s="1"/>
  <c r="J64" i="2"/>
  <c r="J65" i="2"/>
  <c r="H65" i="2" s="1"/>
  <c r="I65" i="2" s="1"/>
  <c r="J66" i="2"/>
  <c r="H66" i="2" s="1"/>
  <c r="I66" i="2" s="1"/>
  <c r="J67" i="2"/>
  <c r="H67" i="2" s="1"/>
  <c r="I67" i="2" s="1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I95" i="2"/>
  <c r="I96" i="2"/>
  <c r="I98" i="2"/>
  <c r="I104" i="2"/>
  <c r="I105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H2" i="2"/>
  <c r="I2" i="2" s="1"/>
  <c r="H4" i="2"/>
  <c r="I4" i="2" s="1"/>
  <c r="H6" i="2"/>
  <c r="I6" i="2" s="1"/>
  <c r="H7" i="2"/>
  <c r="I7" i="2" s="1"/>
  <c r="H10" i="2"/>
  <c r="I10" i="2" s="1"/>
  <c r="H11" i="2"/>
  <c r="I11" i="2" s="1"/>
  <c r="H12" i="2"/>
  <c r="I12" i="2" s="1"/>
  <c r="H13" i="2"/>
  <c r="I13" i="2" s="1"/>
  <c r="H14" i="2"/>
  <c r="I14" i="2" s="1"/>
  <c r="H15" i="2"/>
  <c r="I15" i="2" s="1"/>
  <c r="H17" i="2"/>
  <c r="I17" i="2" s="1"/>
  <c r="H18" i="2"/>
  <c r="I18" i="2" s="1"/>
  <c r="H21" i="2"/>
  <c r="I21" i="2" s="1"/>
  <c r="H22" i="2"/>
  <c r="I22" i="2" s="1"/>
  <c r="H23" i="2"/>
  <c r="I23" i="2" s="1"/>
  <c r="H24" i="2"/>
  <c r="I24" i="2" s="1"/>
  <c r="H25" i="2"/>
  <c r="I25" i="2" s="1"/>
  <c r="H26" i="2"/>
  <c r="I26" i="2" s="1"/>
  <c r="H28" i="2"/>
  <c r="I28" i="2" s="1"/>
  <c r="H29" i="2"/>
  <c r="I29" i="2" s="1"/>
  <c r="H31" i="2"/>
  <c r="I31" i="2" s="1"/>
  <c r="H33" i="2"/>
  <c r="I33" i="2" s="1"/>
  <c r="H34" i="2"/>
  <c r="I34" i="2" s="1"/>
  <c r="H35" i="2"/>
  <c r="I35" i="2" s="1"/>
  <c r="H36" i="2"/>
  <c r="I36" i="2" s="1"/>
  <c r="H37" i="2"/>
  <c r="I37" i="2" s="1"/>
  <c r="H38" i="2"/>
  <c r="I38" i="2" s="1"/>
  <c r="H39" i="2"/>
  <c r="I39" i="2" s="1"/>
  <c r="H41" i="2"/>
  <c r="I41" i="2" s="1"/>
  <c r="H42" i="2"/>
  <c r="I42" i="2" s="1"/>
  <c r="H43" i="2"/>
  <c r="I43" i="2" s="1"/>
  <c r="H44" i="2"/>
  <c r="I44" i="2" s="1"/>
  <c r="H45" i="2"/>
  <c r="I45" i="2" s="1"/>
  <c r="H47" i="2"/>
  <c r="I47" i="2" s="1"/>
  <c r="H49" i="2"/>
  <c r="I49" i="2" s="1"/>
  <c r="H50" i="2"/>
  <c r="I50" i="2" s="1"/>
  <c r="H51" i="2"/>
  <c r="I51" i="2" s="1"/>
  <c r="H52" i="2"/>
  <c r="I52" i="2" s="1"/>
  <c r="H53" i="2"/>
  <c r="I53" i="2" s="1"/>
  <c r="H54" i="2"/>
  <c r="I54" i="2" s="1"/>
  <c r="H55" i="2"/>
  <c r="I55" i="2" s="1"/>
  <c r="H57" i="2"/>
  <c r="I57" i="2" s="1"/>
  <c r="H59" i="2"/>
  <c r="I59" i="2" s="1"/>
  <c r="H60" i="2"/>
  <c r="I60" i="2" s="1"/>
  <c r="H61" i="2"/>
  <c r="I61" i="2" s="1"/>
  <c r="H62" i="2"/>
  <c r="I62" i="2" s="1"/>
  <c r="H64" i="2"/>
  <c r="I64" i="2" s="1"/>
  <c r="H68" i="2"/>
  <c r="I68" i="2" s="1"/>
  <c r="H69" i="2"/>
  <c r="I69" i="2" s="1"/>
  <c r="H70" i="2"/>
  <c r="I70" i="2" s="1"/>
  <c r="H71" i="2"/>
  <c r="I71" i="2" s="1"/>
  <c r="H72" i="2"/>
  <c r="I72" i="2" s="1"/>
  <c r="H73" i="2"/>
  <c r="I73" i="2" s="1"/>
  <c r="H74" i="2"/>
  <c r="I74" i="2" s="1"/>
  <c r="H75" i="2"/>
  <c r="I75" i="2" s="1"/>
  <c r="H76" i="2"/>
  <c r="I76" i="2" s="1"/>
  <c r="H77" i="2"/>
  <c r="I77" i="2" s="1"/>
  <c r="I78" i="2"/>
  <c r="H79" i="2"/>
  <c r="I79" i="2" s="1"/>
  <c r="H80" i="2"/>
  <c r="I80" i="2" s="1"/>
  <c r="H81" i="2"/>
  <c r="I81" i="2" s="1"/>
  <c r="H82" i="2"/>
  <c r="I82" i="2" s="1"/>
  <c r="H83" i="2"/>
  <c r="I83" i="2" s="1"/>
  <c r="H84" i="2"/>
  <c r="I84" i="2" s="1"/>
  <c r="H85" i="2"/>
  <c r="I85" i="2" s="1"/>
  <c r="H86" i="2"/>
  <c r="I86" i="2" s="1"/>
  <c r="H87" i="2"/>
  <c r="I87" i="2" s="1"/>
  <c r="H88" i="2"/>
  <c r="I88" i="2" s="1"/>
  <c r="H89" i="2"/>
  <c r="I89" i="2" s="1"/>
  <c r="H90" i="2"/>
  <c r="I90" i="2" s="1"/>
  <c r="H91" i="2"/>
  <c r="I91" i="2" s="1"/>
  <c r="H92" i="2"/>
  <c r="I92" i="2" s="1"/>
  <c r="H93" i="2"/>
  <c r="I93" i="2" s="1"/>
  <c r="H94" i="2"/>
  <c r="I94" i="2" s="1"/>
  <c r="H97" i="2"/>
  <c r="I97" i="2" s="1"/>
  <c r="H99" i="2"/>
  <c r="I99" i="2" s="1"/>
  <c r="H100" i="2"/>
  <c r="I100" i="2" s="1"/>
  <c r="H101" i="2"/>
  <c r="I101" i="2" s="1"/>
  <c r="H102" i="2"/>
  <c r="I102" i="2" s="1"/>
  <c r="H103" i="2"/>
  <c r="I103" i="2" s="1"/>
  <c r="H104" i="2"/>
  <c r="H106" i="2"/>
  <c r="I106" i="2" s="1"/>
  <c r="H107" i="2"/>
  <c r="I107" i="2" s="1"/>
  <c r="H108" i="2"/>
  <c r="I108" i="2" s="1"/>
  <c r="H109" i="2"/>
  <c r="I109" i="2" s="1"/>
  <c r="H110" i="2"/>
  <c r="I110" i="2" s="1"/>
  <c r="H111" i="2"/>
  <c r="I111" i="2" s="1"/>
  <c r="H112" i="2"/>
  <c r="I112" i="2" s="1"/>
  <c r="H113" i="2"/>
  <c r="I113" i="2" s="1"/>
  <c r="H114" i="2"/>
  <c r="I114" i="2" s="1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I2" i="3"/>
  <c r="J2" i="3" s="1"/>
  <c r="E9" i="3"/>
  <c r="E8" i="3"/>
  <c r="E7" i="3"/>
  <c r="J7" i="3" s="1"/>
  <c r="AB33" i="3"/>
  <c r="X33" i="3"/>
  <c r="J148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I3" i="3"/>
  <c r="J3" i="3" s="1"/>
  <c r="I4" i="3"/>
  <c r="J4" i="3" s="1"/>
  <c r="I12" i="3"/>
  <c r="J12" i="3" s="1"/>
  <c r="I13" i="3"/>
  <c r="J13" i="3" s="1"/>
  <c r="I14" i="3"/>
  <c r="J14" i="3" s="1"/>
  <c r="I15" i="3"/>
  <c r="J15" i="3" s="1"/>
  <c r="I16" i="3"/>
  <c r="J16" i="3" s="1"/>
  <c r="I17" i="3"/>
  <c r="J17" i="3" s="1"/>
  <c r="I18" i="3"/>
  <c r="J18" i="3" s="1"/>
  <c r="I19" i="3"/>
  <c r="J19" i="3" s="1"/>
  <c r="I20" i="3"/>
  <c r="J20" i="3" s="1"/>
  <c r="I21" i="3"/>
  <c r="J21" i="3" s="1"/>
  <c r="I22" i="3"/>
  <c r="J22" i="3" s="1"/>
  <c r="I23" i="3"/>
  <c r="J23" i="3" s="1"/>
  <c r="I24" i="3"/>
  <c r="J24" i="3" s="1"/>
  <c r="I25" i="3"/>
  <c r="J25" i="3" s="1"/>
  <c r="I54" i="3"/>
  <c r="J54" i="3" s="1"/>
  <c r="I55" i="3"/>
  <c r="J55" i="3" s="1"/>
  <c r="I56" i="3"/>
  <c r="J56" i="3" s="1"/>
  <c r="I57" i="3"/>
  <c r="J57" i="3" s="1"/>
  <c r="I73" i="3"/>
  <c r="J73" i="3" s="1"/>
  <c r="I82" i="3"/>
  <c r="J82" i="3" s="1"/>
  <c r="I83" i="3"/>
  <c r="J83" i="3" s="1"/>
  <c r="I85" i="3"/>
  <c r="J85" i="3" s="1"/>
  <c r="I86" i="3"/>
  <c r="J86" i="3" s="1"/>
  <c r="I98" i="3"/>
  <c r="J98" i="3" s="1"/>
  <c r="I100" i="3"/>
  <c r="J100" i="3" s="1"/>
  <c r="I101" i="3"/>
  <c r="J101" i="3" s="1"/>
  <c r="I102" i="3"/>
  <c r="J102" i="3" s="1"/>
  <c r="I105" i="3"/>
  <c r="J105" i="3" s="1"/>
  <c r="I106" i="3"/>
  <c r="J106" i="3" s="1"/>
  <c r="I107" i="3"/>
  <c r="J107" i="3" s="1"/>
  <c r="I108" i="3"/>
  <c r="J108" i="3" s="1"/>
  <c r="I109" i="3"/>
  <c r="J109" i="3" s="1"/>
  <c r="I110" i="3"/>
  <c r="J110" i="3" s="1"/>
  <c r="I111" i="3"/>
  <c r="J111" i="3" s="1"/>
  <c r="I112" i="3"/>
  <c r="J112" i="3" s="1"/>
  <c r="I113" i="3"/>
  <c r="J113" i="3" s="1"/>
  <c r="I114" i="3"/>
  <c r="J114" i="3" s="1"/>
  <c r="I115" i="3"/>
  <c r="J115" i="3" s="1"/>
  <c r="I116" i="3"/>
  <c r="J116" i="3" s="1"/>
  <c r="I117" i="3"/>
  <c r="J117" i="3" s="1"/>
  <c r="I118" i="3"/>
  <c r="J118" i="3" s="1"/>
  <c r="I119" i="3"/>
  <c r="J119" i="3" s="1"/>
  <c r="I120" i="3"/>
  <c r="J120" i="3" s="1"/>
  <c r="I123" i="3"/>
  <c r="J123" i="3" s="1"/>
  <c r="I124" i="3"/>
  <c r="J124" i="3" s="1"/>
  <c r="I125" i="3"/>
  <c r="J125" i="3" s="1"/>
  <c r="I126" i="3"/>
  <c r="J126" i="3" s="1"/>
  <c r="I127" i="3"/>
  <c r="J127" i="3" s="1"/>
  <c r="I131" i="3"/>
  <c r="J131" i="3" s="1"/>
  <c r="I132" i="3"/>
  <c r="J132" i="3" s="1"/>
  <c r="I133" i="3"/>
  <c r="J133" i="3" s="1"/>
  <c r="I137" i="3"/>
  <c r="J137" i="3" s="1"/>
  <c r="I138" i="3"/>
  <c r="J138" i="3" s="1"/>
  <c r="I139" i="3"/>
  <c r="J139" i="3" s="1"/>
  <c r="I140" i="3"/>
  <c r="J140" i="3" s="1"/>
  <c r="I141" i="3"/>
  <c r="J141" i="3" s="1"/>
  <c r="I142" i="3"/>
  <c r="J142" i="3" s="1"/>
  <c r="I143" i="3"/>
  <c r="J143" i="3" s="1"/>
  <c r="I144" i="3"/>
  <c r="J144" i="3" s="1"/>
  <c r="I145" i="3"/>
  <c r="J145" i="3" s="1"/>
  <c r="I146" i="3"/>
  <c r="J146" i="3" s="1"/>
  <c r="I147" i="3"/>
  <c r="J147" i="3" s="1"/>
  <c r="I148" i="3"/>
  <c r="I149" i="3"/>
  <c r="J149" i="3" s="1"/>
  <c r="I150" i="3"/>
  <c r="J150" i="3" s="1"/>
  <c r="I151" i="3"/>
  <c r="J151" i="3" s="1"/>
  <c r="I152" i="3"/>
  <c r="J152" i="3" s="1"/>
  <c r="I153" i="3"/>
  <c r="J153" i="3" s="1"/>
  <c r="I154" i="3"/>
  <c r="J154" i="3" s="1"/>
  <c r="I155" i="3"/>
  <c r="J155" i="3" s="1"/>
  <c r="I156" i="3"/>
  <c r="J156" i="3" s="1"/>
  <c r="I157" i="3"/>
  <c r="J157" i="3" s="1"/>
  <c r="I158" i="3"/>
  <c r="J158" i="3" s="1"/>
  <c r="I159" i="3"/>
  <c r="J159" i="3" s="1"/>
  <c r="I160" i="3"/>
  <c r="J160" i="3" s="1"/>
  <c r="I161" i="3"/>
  <c r="J161" i="3" s="1"/>
  <c r="I162" i="3"/>
  <c r="J162" i="3" s="1"/>
  <c r="I163" i="3"/>
  <c r="J163" i="3" s="1"/>
  <c r="I164" i="3"/>
  <c r="J164" i="3" s="1"/>
  <c r="I165" i="3"/>
  <c r="J165" i="3" s="1"/>
  <c r="I166" i="3"/>
  <c r="J166" i="3" s="1"/>
  <c r="I167" i="3"/>
  <c r="J167" i="3" s="1"/>
  <c r="I168" i="3"/>
  <c r="J168" i="3" s="1"/>
  <c r="I169" i="3"/>
  <c r="J169" i="3" s="1"/>
  <c r="I170" i="3"/>
  <c r="J170" i="3" s="1"/>
  <c r="I171" i="3"/>
  <c r="J171" i="3" s="1"/>
  <c r="I175" i="3"/>
  <c r="J175" i="3" s="1"/>
  <c r="I181" i="3"/>
  <c r="J181" i="3" s="1"/>
  <c r="I182" i="3"/>
  <c r="J182" i="3" s="1"/>
  <c r="I183" i="3"/>
  <c r="J183" i="3" s="1"/>
  <c r="I184" i="3"/>
  <c r="J184" i="3" s="1"/>
  <c r="I185" i="3"/>
  <c r="J185" i="3" s="1"/>
  <c r="I186" i="3"/>
  <c r="J186" i="3" s="1"/>
  <c r="I187" i="3"/>
  <c r="J187" i="3" s="1"/>
  <c r="I188" i="3"/>
  <c r="J188" i="3" s="1"/>
  <c r="I189" i="3"/>
  <c r="J189" i="3" s="1"/>
  <c r="I190" i="3"/>
  <c r="J190" i="3" s="1"/>
  <c r="I191" i="3"/>
  <c r="J191" i="3" s="1"/>
  <c r="I192" i="3"/>
  <c r="J192" i="3" s="1"/>
  <c r="I193" i="3"/>
  <c r="J193" i="3" s="1"/>
  <c r="I194" i="3"/>
  <c r="J194" i="3" s="1"/>
  <c r="I195" i="3"/>
  <c r="J195" i="3" s="1"/>
  <c r="I196" i="3"/>
  <c r="J196" i="3" s="1"/>
  <c r="I197" i="3"/>
  <c r="J197" i="3" s="1"/>
  <c r="I198" i="3"/>
  <c r="J198" i="3" s="1"/>
  <c r="I199" i="3"/>
  <c r="J199" i="3" s="1"/>
  <c r="I200" i="3"/>
  <c r="J200" i="3" s="1"/>
  <c r="I201" i="3"/>
  <c r="J201" i="3" s="1"/>
  <c r="I202" i="3"/>
  <c r="J202" i="3" s="1"/>
  <c r="I203" i="3"/>
  <c r="J203" i="3" s="1"/>
  <c r="I204" i="3"/>
  <c r="J204" i="3" s="1"/>
  <c r="I205" i="3"/>
  <c r="J205" i="3" s="1"/>
  <c r="I206" i="3"/>
  <c r="J206" i="3" s="1"/>
  <c r="I207" i="3"/>
  <c r="J207" i="3" s="1"/>
  <c r="I208" i="3"/>
  <c r="J208" i="3" s="1"/>
  <c r="I214" i="3"/>
  <c r="J214" i="3" s="1"/>
  <c r="I215" i="3"/>
  <c r="J215" i="3" s="1"/>
  <c r="I216" i="3"/>
  <c r="J216" i="3" s="1"/>
  <c r="I217" i="3"/>
  <c r="J217" i="3" s="1"/>
  <c r="I219" i="3"/>
  <c r="J219" i="3" s="1"/>
  <c r="I220" i="3"/>
  <c r="J220" i="3" s="1"/>
  <c r="I221" i="3"/>
  <c r="J221" i="3" s="1"/>
  <c r="I244" i="3"/>
  <c r="J244" i="3" s="1"/>
  <c r="I245" i="3"/>
  <c r="J245" i="3" s="1"/>
  <c r="I258" i="3"/>
  <c r="J258" i="3" s="1"/>
  <c r="I264" i="3"/>
  <c r="J264" i="3" s="1"/>
  <c r="I265" i="3"/>
  <c r="J265" i="3" s="1"/>
  <c r="I282" i="3"/>
  <c r="J282" i="3" s="1"/>
  <c r="I287" i="3"/>
  <c r="J287" i="3" s="1"/>
  <c r="I288" i="3"/>
  <c r="J288" i="3" s="1"/>
  <c r="I289" i="3"/>
  <c r="J289" i="3" s="1"/>
  <c r="I290" i="3"/>
  <c r="J290" i="3" s="1"/>
  <c r="I292" i="3"/>
  <c r="J292" i="3" s="1"/>
  <c r="I293" i="3"/>
  <c r="J293" i="3" s="1"/>
  <c r="I294" i="3"/>
  <c r="J294" i="3" s="1"/>
  <c r="I295" i="3"/>
  <c r="J295" i="3" s="1"/>
  <c r="I296" i="3"/>
  <c r="J296" i="3" s="1"/>
  <c r="I297" i="3"/>
  <c r="J297" i="3" s="1"/>
  <c r="I298" i="3"/>
  <c r="J298" i="3" s="1"/>
  <c r="I299" i="3"/>
  <c r="J299" i="3" s="1"/>
  <c r="I302" i="3"/>
  <c r="J302" i="3" s="1"/>
  <c r="I303" i="3"/>
  <c r="J303" i="3" s="1"/>
  <c r="I304" i="3"/>
  <c r="J304" i="3" s="1"/>
  <c r="I326" i="3"/>
  <c r="J326" i="3" s="1"/>
  <c r="I327" i="3"/>
  <c r="J327" i="3" s="1"/>
  <c r="I328" i="3"/>
  <c r="J328" i="3" s="1"/>
  <c r="I329" i="3"/>
  <c r="J329" i="3" s="1"/>
  <c r="I330" i="3"/>
  <c r="J330" i="3" s="1"/>
  <c r="I331" i="3"/>
  <c r="J331" i="3" s="1"/>
  <c r="I357" i="3"/>
  <c r="J357" i="3" s="1"/>
  <c r="I358" i="3"/>
  <c r="J358" i="3" s="1"/>
  <c r="I367" i="3"/>
  <c r="J367" i="3" s="1"/>
  <c r="I368" i="3"/>
  <c r="J368" i="3" s="1"/>
  <c r="I369" i="3"/>
  <c r="J369" i="3" s="1"/>
  <c r="I370" i="3"/>
  <c r="J370" i="3" s="1"/>
  <c r="I371" i="3"/>
  <c r="J371" i="3" s="1"/>
  <c r="I372" i="3"/>
  <c r="J372" i="3" s="1"/>
  <c r="I373" i="3"/>
  <c r="J373" i="3" s="1"/>
  <c r="I374" i="3"/>
  <c r="J374" i="3" s="1"/>
  <c r="I375" i="3"/>
  <c r="J375" i="3" s="1"/>
  <c r="I380" i="3"/>
  <c r="J380" i="3" s="1"/>
  <c r="I431" i="3"/>
  <c r="J431" i="3" s="1"/>
  <c r="I432" i="3"/>
  <c r="J432" i="3" s="1"/>
  <c r="I433" i="3"/>
  <c r="J433" i="3" s="1"/>
  <c r="I434" i="3"/>
  <c r="J434" i="3" s="1"/>
  <c r="I487" i="3"/>
  <c r="J487" i="3" s="1"/>
  <c r="I488" i="3"/>
  <c r="J488" i="3" s="1"/>
  <c r="I489" i="3"/>
  <c r="J489" i="3" s="1"/>
  <c r="I490" i="3"/>
  <c r="J490" i="3" s="1"/>
  <c r="I491" i="3"/>
  <c r="J491" i="3" s="1"/>
  <c r="I492" i="3"/>
  <c r="J492" i="3" s="1"/>
  <c r="I493" i="3"/>
  <c r="J493" i="3" s="1"/>
  <c r="I494" i="3"/>
  <c r="J494" i="3" s="1"/>
  <c r="I495" i="3"/>
  <c r="J495" i="3" s="1"/>
  <c r="I496" i="3"/>
  <c r="J496" i="3" s="1"/>
  <c r="I499" i="3"/>
  <c r="J499" i="3" s="1"/>
  <c r="I500" i="3"/>
  <c r="J500" i="3" s="1"/>
  <c r="I501" i="3"/>
  <c r="J501" i="3" s="1"/>
  <c r="I502" i="3"/>
  <c r="J502" i="3" s="1"/>
  <c r="I503" i="3"/>
  <c r="J503" i="3" s="1"/>
  <c r="I517" i="3"/>
  <c r="J517" i="3" s="1"/>
  <c r="I528" i="3"/>
  <c r="J528" i="3" s="1"/>
  <c r="I529" i="3"/>
  <c r="J529" i="3" s="1"/>
  <c r="I530" i="3"/>
  <c r="J530" i="3" s="1"/>
  <c r="I531" i="3"/>
  <c r="J531" i="3" s="1"/>
  <c r="I532" i="3"/>
  <c r="J532" i="3" s="1"/>
  <c r="I533" i="3"/>
  <c r="J533" i="3" s="1"/>
  <c r="I534" i="3"/>
  <c r="J534" i="3" s="1"/>
  <c r="I535" i="3"/>
  <c r="J535" i="3" s="1"/>
  <c r="I536" i="3"/>
  <c r="J536" i="3" s="1"/>
  <c r="I537" i="3"/>
  <c r="J537" i="3" s="1"/>
  <c r="I538" i="3"/>
  <c r="J538" i="3" s="1"/>
  <c r="I539" i="3"/>
  <c r="J539" i="3" s="1"/>
  <c r="I541" i="3"/>
  <c r="J541" i="3" s="1"/>
  <c r="I542" i="3"/>
  <c r="J542" i="3" s="1"/>
  <c r="I545" i="3"/>
  <c r="J545" i="3" s="1"/>
  <c r="I546" i="3"/>
  <c r="J546" i="3" s="1"/>
  <c r="I562" i="3"/>
  <c r="J562" i="3" s="1"/>
  <c r="I563" i="3"/>
  <c r="J563" i="3" s="1"/>
  <c r="I564" i="3"/>
  <c r="J564" i="3" s="1"/>
  <c r="I565" i="3"/>
  <c r="J565" i="3" s="1"/>
  <c r="I566" i="3"/>
  <c r="J566" i="3" s="1"/>
  <c r="I570" i="3"/>
  <c r="J570" i="3" s="1"/>
  <c r="I571" i="3"/>
  <c r="J571" i="3" s="1"/>
  <c r="I572" i="3"/>
  <c r="J572" i="3" s="1"/>
  <c r="I573" i="3"/>
  <c r="J573" i="3" s="1"/>
  <c r="I596" i="3"/>
  <c r="J596" i="3" s="1"/>
  <c r="I597" i="3"/>
  <c r="J597" i="3" s="1"/>
  <c r="I607" i="3"/>
  <c r="J607" i="3" s="1"/>
  <c r="I608" i="3"/>
  <c r="J608" i="3" s="1"/>
  <c r="I609" i="3"/>
  <c r="J609" i="3" s="1"/>
  <c r="I610" i="3"/>
  <c r="J610" i="3" s="1"/>
  <c r="I611" i="3"/>
  <c r="J611" i="3" s="1"/>
  <c r="I613" i="3"/>
  <c r="J613" i="3" s="1"/>
  <c r="I629" i="3"/>
  <c r="J629" i="3" s="1"/>
  <c r="I630" i="3"/>
  <c r="J630" i="3" s="1"/>
  <c r="I631" i="3"/>
  <c r="J631" i="3" s="1"/>
  <c r="I632" i="3"/>
  <c r="J632" i="3" s="1"/>
  <c r="I633" i="3"/>
  <c r="J633" i="3" s="1"/>
  <c r="I634" i="3"/>
  <c r="J634" i="3" s="1"/>
  <c r="I635" i="3"/>
  <c r="J635" i="3" s="1"/>
  <c r="I636" i="3"/>
  <c r="J636" i="3" s="1"/>
  <c r="I645" i="3"/>
  <c r="J645" i="3" s="1"/>
  <c r="I646" i="3"/>
  <c r="J646" i="3" s="1"/>
  <c r="I647" i="3"/>
  <c r="J647" i="3" s="1"/>
  <c r="I648" i="3"/>
  <c r="J648" i="3" s="1"/>
  <c r="I649" i="3"/>
  <c r="J649" i="3" s="1"/>
  <c r="I650" i="3"/>
  <c r="J650" i="3" s="1"/>
  <c r="I651" i="3"/>
  <c r="J651" i="3" s="1"/>
  <c r="I652" i="3"/>
  <c r="J652" i="3" s="1"/>
  <c r="I653" i="3"/>
  <c r="J653" i="3" s="1"/>
  <c r="I654" i="3"/>
  <c r="J654" i="3" s="1"/>
  <c r="I655" i="3"/>
  <c r="J655" i="3" s="1"/>
  <c r="I656" i="3"/>
  <c r="J656" i="3" s="1"/>
  <c r="I657" i="3"/>
  <c r="J657" i="3" s="1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K2" i="3"/>
  <c r="K3" i="3"/>
  <c r="K4" i="3"/>
  <c r="K8" i="3"/>
  <c r="I8" i="3" s="1"/>
  <c r="K9" i="3"/>
  <c r="I9" i="3" s="1"/>
  <c r="J9" i="3" s="1"/>
  <c r="K10" i="3"/>
  <c r="I10" i="3" s="1"/>
  <c r="J10" i="3" s="1"/>
  <c r="K11" i="3"/>
  <c r="I11" i="3" s="1"/>
  <c r="J11" i="3" s="1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I26" i="3" s="1"/>
  <c r="J26" i="3" s="1"/>
  <c r="K27" i="3"/>
  <c r="I27" i="3" s="1"/>
  <c r="J27" i="3" s="1"/>
  <c r="K28" i="3"/>
  <c r="I28" i="3" s="1"/>
  <c r="J28" i="3" s="1"/>
  <c r="K29" i="3"/>
  <c r="I29" i="3" s="1"/>
  <c r="J29" i="3" s="1"/>
  <c r="K30" i="3"/>
  <c r="I30" i="3" s="1"/>
  <c r="J30" i="3" s="1"/>
  <c r="K31" i="3"/>
  <c r="I31" i="3" s="1"/>
  <c r="J31" i="3" s="1"/>
  <c r="K32" i="3"/>
  <c r="I32" i="3" s="1"/>
  <c r="J32" i="3" s="1"/>
  <c r="K33" i="3"/>
  <c r="I33" i="3" s="1"/>
  <c r="J33" i="3" s="1"/>
  <c r="K34" i="3"/>
  <c r="I34" i="3" s="1"/>
  <c r="J34" i="3" s="1"/>
  <c r="K35" i="3"/>
  <c r="I35" i="3" s="1"/>
  <c r="J35" i="3" s="1"/>
  <c r="K36" i="3"/>
  <c r="I36" i="3" s="1"/>
  <c r="J36" i="3" s="1"/>
  <c r="K37" i="3"/>
  <c r="I37" i="3" s="1"/>
  <c r="J37" i="3" s="1"/>
  <c r="K38" i="3"/>
  <c r="I38" i="3" s="1"/>
  <c r="J38" i="3" s="1"/>
  <c r="K39" i="3"/>
  <c r="I39" i="3" s="1"/>
  <c r="J39" i="3" s="1"/>
  <c r="K40" i="3"/>
  <c r="I40" i="3" s="1"/>
  <c r="J40" i="3" s="1"/>
  <c r="K41" i="3"/>
  <c r="I41" i="3" s="1"/>
  <c r="J41" i="3" s="1"/>
  <c r="K42" i="3"/>
  <c r="I42" i="3" s="1"/>
  <c r="J42" i="3" s="1"/>
  <c r="K43" i="3"/>
  <c r="I43" i="3" s="1"/>
  <c r="J43" i="3" s="1"/>
  <c r="K44" i="3"/>
  <c r="I44" i="3" s="1"/>
  <c r="J44" i="3" s="1"/>
  <c r="K45" i="3"/>
  <c r="I45" i="3" s="1"/>
  <c r="J45" i="3" s="1"/>
  <c r="K46" i="3"/>
  <c r="I46" i="3" s="1"/>
  <c r="J46" i="3" s="1"/>
  <c r="K47" i="3"/>
  <c r="I47" i="3" s="1"/>
  <c r="J47" i="3" s="1"/>
  <c r="K48" i="3"/>
  <c r="I48" i="3" s="1"/>
  <c r="J48" i="3" s="1"/>
  <c r="K49" i="3"/>
  <c r="I49" i="3" s="1"/>
  <c r="J49" i="3" s="1"/>
  <c r="K50" i="3"/>
  <c r="K51" i="3"/>
  <c r="I51" i="3" s="1"/>
  <c r="J51" i="3" s="1"/>
  <c r="K52" i="3"/>
  <c r="I52" i="3" s="1"/>
  <c r="J52" i="3" s="1"/>
  <c r="K53" i="3"/>
  <c r="I53" i="3" s="1"/>
  <c r="J53" i="3" s="1"/>
  <c r="K54" i="3"/>
  <c r="K55" i="3"/>
  <c r="K56" i="3"/>
  <c r="K57" i="3"/>
  <c r="K58" i="3"/>
  <c r="I58" i="3" s="1"/>
  <c r="J58" i="3" s="1"/>
  <c r="K59" i="3"/>
  <c r="I59" i="3" s="1"/>
  <c r="J59" i="3" s="1"/>
  <c r="K60" i="3"/>
  <c r="I60" i="3" s="1"/>
  <c r="J60" i="3" s="1"/>
  <c r="K61" i="3"/>
  <c r="I61" i="3" s="1"/>
  <c r="J61" i="3" s="1"/>
  <c r="K62" i="3"/>
  <c r="I62" i="3" s="1"/>
  <c r="J62" i="3" s="1"/>
  <c r="K63" i="3"/>
  <c r="I63" i="3" s="1"/>
  <c r="J63" i="3" s="1"/>
  <c r="K64" i="3"/>
  <c r="I64" i="3" s="1"/>
  <c r="J64" i="3" s="1"/>
  <c r="K65" i="3"/>
  <c r="I65" i="3" s="1"/>
  <c r="J65" i="3" s="1"/>
  <c r="K66" i="3"/>
  <c r="I66" i="3" s="1"/>
  <c r="J66" i="3" s="1"/>
  <c r="K67" i="3"/>
  <c r="I67" i="3" s="1"/>
  <c r="J67" i="3" s="1"/>
  <c r="K68" i="3"/>
  <c r="I68" i="3" s="1"/>
  <c r="J68" i="3" s="1"/>
  <c r="K69" i="3"/>
  <c r="I69" i="3" s="1"/>
  <c r="J69" i="3" s="1"/>
  <c r="K70" i="3"/>
  <c r="I70" i="3" s="1"/>
  <c r="J70" i="3" s="1"/>
  <c r="K71" i="3"/>
  <c r="I71" i="3" s="1"/>
  <c r="J71" i="3" s="1"/>
  <c r="K72" i="3"/>
  <c r="I72" i="3" s="1"/>
  <c r="J72" i="3" s="1"/>
  <c r="K73" i="3"/>
  <c r="K74" i="3"/>
  <c r="I74" i="3" s="1"/>
  <c r="J74" i="3" s="1"/>
  <c r="K75" i="3"/>
  <c r="I75" i="3" s="1"/>
  <c r="J75" i="3" s="1"/>
  <c r="K76" i="3"/>
  <c r="I76" i="3" s="1"/>
  <c r="J76" i="3" s="1"/>
  <c r="K77" i="3"/>
  <c r="I77" i="3" s="1"/>
  <c r="J77" i="3" s="1"/>
  <c r="K78" i="3"/>
  <c r="I78" i="3" s="1"/>
  <c r="J78" i="3" s="1"/>
  <c r="K79" i="3"/>
  <c r="I79" i="3" s="1"/>
  <c r="J79" i="3" s="1"/>
  <c r="K80" i="3"/>
  <c r="I80" i="3" s="1"/>
  <c r="J80" i="3" s="1"/>
  <c r="K81" i="3"/>
  <c r="I81" i="3" s="1"/>
  <c r="J81" i="3" s="1"/>
  <c r="K82" i="3"/>
  <c r="K83" i="3"/>
  <c r="K84" i="3"/>
  <c r="I84" i="3" s="1"/>
  <c r="J84" i="3" s="1"/>
  <c r="K85" i="3"/>
  <c r="K86" i="3"/>
  <c r="K87" i="3"/>
  <c r="I87" i="3" s="1"/>
  <c r="J87" i="3" s="1"/>
  <c r="K88" i="3"/>
  <c r="I88" i="3" s="1"/>
  <c r="J88" i="3" s="1"/>
  <c r="K89" i="3"/>
  <c r="I89" i="3" s="1"/>
  <c r="J89" i="3" s="1"/>
  <c r="K90" i="3"/>
  <c r="I90" i="3" s="1"/>
  <c r="J90" i="3" s="1"/>
  <c r="K91" i="3"/>
  <c r="I91" i="3" s="1"/>
  <c r="J91" i="3" s="1"/>
  <c r="K92" i="3"/>
  <c r="I92" i="3" s="1"/>
  <c r="J92" i="3" s="1"/>
  <c r="K93" i="3"/>
  <c r="I93" i="3" s="1"/>
  <c r="J93" i="3" s="1"/>
  <c r="K94" i="3"/>
  <c r="I94" i="3" s="1"/>
  <c r="J94" i="3" s="1"/>
  <c r="K95" i="3"/>
  <c r="I95" i="3" s="1"/>
  <c r="J95" i="3" s="1"/>
  <c r="K96" i="3"/>
  <c r="I96" i="3" s="1"/>
  <c r="J96" i="3" s="1"/>
  <c r="K97" i="3"/>
  <c r="I97" i="3" s="1"/>
  <c r="J97" i="3" s="1"/>
  <c r="K98" i="3"/>
  <c r="K99" i="3"/>
  <c r="I99" i="3" s="1"/>
  <c r="J99" i="3" s="1"/>
  <c r="K100" i="3"/>
  <c r="K101" i="3"/>
  <c r="K102" i="3"/>
  <c r="K103" i="3"/>
  <c r="I103" i="3" s="1"/>
  <c r="J103" i="3" s="1"/>
  <c r="K104" i="3"/>
  <c r="I104" i="3" s="1"/>
  <c r="J104" i="3" s="1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I121" i="3" s="1"/>
  <c r="J121" i="3" s="1"/>
  <c r="K122" i="3"/>
  <c r="I122" i="3" s="1"/>
  <c r="J122" i="3" s="1"/>
  <c r="K123" i="3"/>
  <c r="K124" i="3"/>
  <c r="K125" i="3"/>
  <c r="K126" i="3"/>
  <c r="K127" i="3"/>
  <c r="K128" i="3"/>
  <c r="I128" i="3" s="1"/>
  <c r="J128" i="3" s="1"/>
  <c r="K129" i="3"/>
  <c r="I129" i="3" s="1"/>
  <c r="J129" i="3" s="1"/>
  <c r="K130" i="3"/>
  <c r="I130" i="3" s="1"/>
  <c r="J130" i="3" s="1"/>
  <c r="K131" i="3"/>
  <c r="K132" i="3"/>
  <c r="K133" i="3"/>
  <c r="K134" i="3"/>
  <c r="I134" i="3" s="1"/>
  <c r="J134" i="3" s="1"/>
  <c r="K135" i="3"/>
  <c r="I135" i="3" s="1"/>
  <c r="J135" i="3" s="1"/>
  <c r="K136" i="3"/>
  <c r="I136" i="3" s="1"/>
  <c r="J136" i="3" s="1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I172" i="3" s="1"/>
  <c r="J172" i="3" s="1"/>
  <c r="K173" i="3"/>
  <c r="I173" i="3" s="1"/>
  <c r="J173" i="3" s="1"/>
  <c r="K174" i="3"/>
  <c r="I174" i="3" s="1"/>
  <c r="J174" i="3" s="1"/>
  <c r="K175" i="3"/>
  <c r="K176" i="3"/>
  <c r="I176" i="3" s="1"/>
  <c r="J176" i="3" s="1"/>
  <c r="K177" i="3"/>
  <c r="I177" i="3" s="1"/>
  <c r="J177" i="3" s="1"/>
  <c r="K178" i="3"/>
  <c r="I178" i="3" s="1"/>
  <c r="J178" i="3" s="1"/>
  <c r="K179" i="3"/>
  <c r="I179" i="3" s="1"/>
  <c r="J179" i="3" s="1"/>
  <c r="K180" i="3"/>
  <c r="I180" i="3" s="1"/>
  <c r="J180" i="3" s="1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I218" i="3" s="1"/>
  <c r="J218" i="3" s="1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I242" i="3" s="1"/>
  <c r="J242" i="3" s="1"/>
  <c r="K243" i="3"/>
  <c r="I243" i="3" s="1"/>
  <c r="J243" i="3" s="1"/>
  <c r="K244" i="3"/>
  <c r="K245" i="3"/>
  <c r="K246" i="3"/>
  <c r="I246" i="3" s="1"/>
  <c r="J246" i="3" s="1"/>
  <c r="K247" i="3"/>
  <c r="I247" i="3" s="1"/>
  <c r="J247" i="3" s="1"/>
  <c r="K248" i="3"/>
  <c r="I248" i="3" s="1"/>
  <c r="J248" i="3" s="1"/>
  <c r="K249" i="3"/>
  <c r="I249" i="3" s="1"/>
  <c r="J249" i="3" s="1"/>
  <c r="K250" i="3"/>
  <c r="I250" i="3" s="1"/>
  <c r="J250" i="3" s="1"/>
  <c r="K251" i="3"/>
  <c r="I251" i="3" s="1"/>
  <c r="J251" i="3" s="1"/>
  <c r="K252" i="3"/>
  <c r="K253" i="3"/>
  <c r="K254" i="3"/>
  <c r="K255" i="3"/>
  <c r="K256" i="3"/>
  <c r="K257" i="3"/>
  <c r="K258" i="3"/>
  <c r="K259" i="3"/>
  <c r="I259" i="3" s="1"/>
  <c r="J259" i="3" s="1"/>
  <c r="K260" i="3"/>
  <c r="I260" i="3" s="1"/>
  <c r="J260" i="3" s="1"/>
  <c r="K261" i="3"/>
  <c r="I261" i="3" s="1"/>
  <c r="J261" i="3" s="1"/>
  <c r="K262" i="3"/>
  <c r="I262" i="3" s="1"/>
  <c r="J262" i="3" s="1"/>
  <c r="K263" i="3"/>
  <c r="I263" i="3" s="1"/>
  <c r="J263" i="3" s="1"/>
  <c r="K264" i="3"/>
  <c r="K265" i="3"/>
  <c r="K266" i="3"/>
  <c r="I266" i="3" s="1"/>
  <c r="J266" i="3" s="1"/>
  <c r="K267" i="3"/>
  <c r="I267" i="3" s="1"/>
  <c r="J267" i="3" s="1"/>
  <c r="K268" i="3"/>
  <c r="I268" i="3" s="1"/>
  <c r="J268" i="3" s="1"/>
  <c r="K269" i="3"/>
  <c r="I269" i="3" s="1"/>
  <c r="J269" i="3" s="1"/>
  <c r="K270" i="3"/>
  <c r="I270" i="3" s="1"/>
  <c r="J270" i="3" s="1"/>
  <c r="K271" i="3"/>
  <c r="I271" i="3" s="1"/>
  <c r="J271" i="3" s="1"/>
  <c r="K272" i="3"/>
  <c r="I272" i="3" s="1"/>
  <c r="J272" i="3" s="1"/>
  <c r="K273" i="3"/>
  <c r="I273" i="3" s="1"/>
  <c r="J273" i="3" s="1"/>
  <c r="K274" i="3"/>
  <c r="I274" i="3" s="1"/>
  <c r="J274" i="3" s="1"/>
  <c r="K275" i="3"/>
  <c r="I275" i="3" s="1"/>
  <c r="J275" i="3" s="1"/>
  <c r="K276" i="3"/>
  <c r="I276" i="3" s="1"/>
  <c r="J276" i="3" s="1"/>
  <c r="K277" i="3"/>
  <c r="I277" i="3" s="1"/>
  <c r="J277" i="3" s="1"/>
  <c r="K278" i="3"/>
  <c r="I278" i="3" s="1"/>
  <c r="J278" i="3" s="1"/>
  <c r="K279" i="3"/>
  <c r="I279" i="3" s="1"/>
  <c r="J279" i="3" s="1"/>
  <c r="K280" i="3"/>
  <c r="I280" i="3" s="1"/>
  <c r="J280" i="3" s="1"/>
  <c r="K281" i="3"/>
  <c r="I281" i="3" s="1"/>
  <c r="J281" i="3" s="1"/>
  <c r="K282" i="3"/>
  <c r="K285" i="3"/>
  <c r="I285" i="3" s="1"/>
  <c r="J285" i="3" s="1"/>
  <c r="K286" i="3"/>
  <c r="I286" i="3" s="1"/>
  <c r="J286" i="3" s="1"/>
  <c r="K287" i="3"/>
  <c r="K288" i="3"/>
  <c r="K289" i="3"/>
  <c r="K290" i="3"/>
  <c r="K291" i="3"/>
  <c r="I291" i="3" s="1"/>
  <c r="J291" i="3" s="1"/>
  <c r="K292" i="3"/>
  <c r="K293" i="3"/>
  <c r="K294" i="3"/>
  <c r="K295" i="3"/>
  <c r="K296" i="3"/>
  <c r="K297" i="3"/>
  <c r="K298" i="3"/>
  <c r="K299" i="3"/>
  <c r="K300" i="3"/>
  <c r="I300" i="3" s="1"/>
  <c r="J300" i="3" s="1"/>
  <c r="K301" i="3"/>
  <c r="I301" i="3" s="1"/>
  <c r="J301" i="3" s="1"/>
  <c r="K302" i="3"/>
  <c r="K303" i="3"/>
  <c r="K304" i="3"/>
  <c r="K305" i="3"/>
  <c r="I305" i="3" s="1"/>
  <c r="J305" i="3" s="1"/>
  <c r="K306" i="3"/>
  <c r="I306" i="3" s="1"/>
  <c r="J306" i="3" s="1"/>
  <c r="K307" i="3"/>
  <c r="I307" i="3" s="1"/>
  <c r="J307" i="3" s="1"/>
  <c r="K308" i="3"/>
  <c r="I308" i="3" s="1"/>
  <c r="J308" i="3" s="1"/>
  <c r="K309" i="3"/>
  <c r="I309" i="3" s="1"/>
  <c r="J309" i="3" s="1"/>
  <c r="K310" i="3"/>
  <c r="I310" i="3" s="1"/>
  <c r="J310" i="3" s="1"/>
  <c r="K311" i="3"/>
  <c r="I311" i="3" s="1"/>
  <c r="J311" i="3" s="1"/>
  <c r="K312" i="3"/>
  <c r="I312" i="3" s="1"/>
  <c r="J312" i="3" s="1"/>
  <c r="K313" i="3"/>
  <c r="I313" i="3" s="1"/>
  <c r="J313" i="3" s="1"/>
  <c r="K314" i="3"/>
  <c r="I314" i="3" s="1"/>
  <c r="J314" i="3" s="1"/>
  <c r="K315" i="3"/>
  <c r="I315" i="3" s="1"/>
  <c r="J315" i="3" s="1"/>
  <c r="K316" i="3"/>
  <c r="I316" i="3" s="1"/>
  <c r="J316" i="3" s="1"/>
  <c r="K317" i="3"/>
  <c r="I317" i="3" s="1"/>
  <c r="J317" i="3" s="1"/>
  <c r="K318" i="3"/>
  <c r="I318" i="3" s="1"/>
  <c r="J318" i="3" s="1"/>
  <c r="K319" i="3"/>
  <c r="I319" i="3" s="1"/>
  <c r="J319" i="3" s="1"/>
  <c r="K320" i="3"/>
  <c r="I320" i="3" s="1"/>
  <c r="J320" i="3" s="1"/>
  <c r="K321" i="3"/>
  <c r="I321" i="3" s="1"/>
  <c r="J321" i="3" s="1"/>
  <c r="K322" i="3"/>
  <c r="I322" i="3" s="1"/>
  <c r="J322" i="3" s="1"/>
  <c r="K323" i="3"/>
  <c r="I323" i="3" s="1"/>
  <c r="J323" i="3" s="1"/>
  <c r="K324" i="3"/>
  <c r="I324" i="3" s="1"/>
  <c r="J324" i="3" s="1"/>
  <c r="K325" i="3"/>
  <c r="I325" i="3" s="1"/>
  <c r="J325" i="3" s="1"/>
  <c r="K326" i="3"/>
  <c r="K327" i="3"/>
  <c r="K328" i="3"/>
  <c r="K329" i="3"/>
  <c r="K330" i="3"/>
  <c r="K331" i="3"/>
  <c r="K334" i="3"/>
  <c r="I334" i="3" s="1"/>
  <c r="J334" i="3" s="1"/>
  <c r="K335" i="3"/>
  <c r="I335" i="3" s="1"/>
  <c r="J335" i="3" s="1"/>
  <c r="K336" i="3"/>
  <c r="I336" i="3" s="1"/>
  <c r="J336" i="3" s="1"/>
  <c r="K337" i="3"/>
  <c r="I337" i="3" s="1"/>
  <c r="J337" i="3" s="1"/>
  <c r="K338" i="3"/>
  <c r="I338" i="3" s="1"/>
  <c r="J338" i="3" s="1"/>
  <c r="K339" i="3"/>
  <c r="I339" i="3" s="1"/>
  <c r="J339" i="3" s="1"/>
  <c r="K340" i="3"/>
  <c r="I340" i="3" s="1"/>
  <c r="J340" i="3" s="1"/>
  <c r="K341" i="3"/>
  <c r="I341" i="3" s="1"/>
  <c r="J341" i="3" s="1"/>
  <c r="K342" i="3"/>
  <c r="I342" i="3" s="1"/>
  <c r="J342" i="3" s="1"/>
  <c r="K343" i="3"/>
  <c r="I343" i="3" s="1"/>
  <c r="J343" i="3" s="1"/>
  <c r="K344" i="3"/>
  <c r="I344" i="3" s="1"/>
  <c r="J344" i="3" s="1"/>
  <c r="K345" i="3"/>
  <c r="I345" i="3" s="1"/>
  <c r="J345" i="3" s="1"/>
  <c r="K346" i="3"/>
  <c r="I346" i="3" s="1"/>
  <c r="J346" i="3" s="1"/>
  <c r="K347" i="3"/>
  <c r="I347" i="3" s="1"/>
  <c r="J347" i="3" s="1"/>
  <c r="K348" i="3"/>
  <c r="I348" i="3" s="1"/>
  <c r="J348" i="3" s="1"/>
  <c r="K349" i="3"/>
  <c r="I349" i="3" s="1"/>
  <c r="J349" i="3" s="1"/>
  <c r="K350" i="3"/>
  <c r="I350" i="3" s="1"/>
  <c r="J350" i="3" s="1"/>
  <c r="K351" i="3"/>
  <c r="I351" i="3" s="1"/>
  <c r="J351" i="3" s="1"/>
  <c r="K352" i="3"/>
  <c r="I352" i="3" s="1"/>
  <c r="J352" i="3" s="1"/>
  <c r="K353" i="3"/>
  <c r="I353" i="3" s="1"/>
  <c r="J353" i="3" s="1"/>
  <c r="K354" i="3"/>
  <c r="I354" i="3" s="1"/>
  <c r="J354" i="3" s="1"/>
  <c r="K355" i="3"/>
  <c r="I355" i="3" s="1"/>
  <c r="J355" i="3" s="1"/>
  <c r="K356" i="3"/>
  <c r="I356" i="3" s="1"/>
  <c r="J356" i="3" s="1"/>
  <c r="K357" i="3"/>
  <c r="K358" i="3"/>
  <c r="K359" i="3"/>
  <c r="I359" i="3" s="1"/>
  <c r="J359" i="3" s="1"/>
  <c r="K360" i="3"/>
  <c r="I360" i="3" s="1"/>
  <c r="J360" i="3" s="1"/>
  <c r="K361" i="3"/>
  <c r="I361" i="3" s="1"/>
  <c r="J361" i="3" s="1"/>
  <c r="K362" i="3"/>
  <c r="I362" i="3" s="1"/>
  <c r="J362" i="3" s="1"/>
  <c r="K363" i="3"/>
  <c r="I363" i="3" s="1"/>
  <c r="J363" i="3" s="1"/>
  <c r="K364" i="3"/>
  <c r="I364" i="3" s="1"/>
  <c r="J364" i="3" s="1"/>
  <c r="K365" i="3"/>
  <c r="I365" i="3" s="1"/>
  <c r="J365" i="3" s="1"/>
  <c r="K366" i="3"/>
  <c r="I366" i="3" s="1"/>
  <c r="J366" i="3" s="1"/>
  <c r="K367" i="3"/>
  <c r="K368" i="3"/>
  <c r="K369" i="3"/>
  <c r="K370" i="3"/>
  <c r="K371" i="3"/>
  <c r="K372" i="3"/>
  <c r="K373" i="3"/>
  <c r="K374" i="3"/>
  <c r="K375" i="3"/>
  <c r="K376" i="3"/>
  <c r="I376" i="3" s="1"/>
  <c r="J376" i="3" s="1"/>
  <c r="K377" i="3"/>
  <c r="I377" i="3" s="1"/>
  <c r="J377" i="3" s="1"/>
  <c r="K378" i="3"/>
  <c r="I378" i="3" s="1"/>
  <c r="J378" i="3" s="1"/>
  <c r="K379" i="3"/>
  <c r="I379" i="3" s="1"/>
  <c r="J379" i="3" s="1"/>
  <c r="K380" i="3"/>
  <c r="K381" i="3"/>
  <c r="I381" i="3" s="1"/>
  <c r="J381" i="3" s="1"/>
  <c r="K382" i="3"/>
  <c r="I382" i="3" s="1"/>
  <c r="J382" i="3" s="1"/>
  <c r="K383" i="3"/>
  <c r="I383" i="3" s="1"/>
  <c r="J383" i="3" s="1"/>
  <c r="K384" i="3"/>
  <c r="I384" i="3" s="1"/>
  <c r="J384" i="3" s="1"/>
  <c r="K385" i="3"/>
  <c r="I385" i="3" s="1"/>
  <c r="J385" i="3" s="1"/>
  <c r="K386" i="3"/>
  <c r="I386" i="3" s="1"/>
  <c r="J386" i="3" s="1"/>
  <c r="K387" i="3"/>
  <c r="I387" i="3" s="1"/>
  <c r="J387" i="3" s="1"/>
  <c r="K388" i="3"/>
  <c r="I388" i="3" s="1"/>
  <c r="J388" i="3" s="1"/>
  <c r="K389" i="3"/>
  <c r="I389" i="3" s="1"/>
  <c r="J389" i="3" s="1"/>
  <c r="K390" i="3"/>
  <c r="I390" i="3" s="1"/>
  <c r="J390" i="3" s="1"/>
  <c r="K391" i="3"/>
  <c r="I391" i="3" s="1"/>
  <c r="J391" i="3" s="1"/>
  <c r="K392" i="3"/>
  <c r="I392" i="3" s="1"/>
  <c r="J392" i="3" s="1"/>
  <c r="K393" i="3"/>
  <c r="I393" i="3" s="1"/>
  <c r="J393" i="3" s="1"/>
  <c r="K394" i="3"/>
  <c r="I394" i="3" s="1"/>
  <c r="J394" i="3" s="1"/>
  <c r="K395" i="3"/>
  <c r="I395" i="3" s="1"/>
  <c r="J395" i="3" s="1"/>
  <c r="K396" i="3"/>
  <c r="I396" i="3" s="1"/>
  <c r="J396" i="3" s="1"/>
  <c r="K397" i="3"/>
  <c r="I397" i="3" s="1"/>
  <c r="J397" i="3" s="1"/>
  <c r="K398" i="3"/>
  <c r="I398" i="3" s="1"/>
  <c r="J398" i="3" s="1"/>
  <c r="K399" i="3"/>
  <c r="I399" i="3" s="1"/>
  <c r="J399" i="3" s="1"/>
  <c r="K400" i="3"/>
  <c r="I400" i="3" s="1"/>
  <c r="J400" i="3" s="1"/>
  <c r="K401" i="3"/>
  <c r="I401" i="3" s="1"/>
  <c r="J401" i="3" s="1"/>
  <c r="K402" i="3"/>
  <c r="I402" i="3" s="1"/>
  <c r="J402" i="3" s="1"/>
  <c r="K403" i="3"/>
  <c r="I403" i="3" s="1"/>
  <c r="J403" i="3" s="1"/>
  <c r="K404" i="3"/>
  <c r="I404" i="3" s="1"/>
  <c r="J404" i="3" s="1"/>
  <c r="K405" i="3"/>
  <c r="I405" i="3" s="1"/>
  <c r="J405" i="3" s="1"/>
  <c r="K406" i="3"/>
  <c r="I406" i="3" s="1"/>
  <c r="J406" i="3" s="1"/>
  <c r="K407" i="3"/>
  <c r="I407" i="3" s="1"/>
  <c r="J407" i="3" s="1"/>
  <c r="K408" i="3"/>
  <c r="I408" i="3" s="1"/>
  <c r="J408" i="3" s="1"/>
  <c r="K409" i="3"/>
  <c r="I409" i="3" s="1"/>
  <c r="J409" i="3" s="1"/>
  <c r="K410" i="3"/>
  <c r="I410" i="3" s="1"/>
  <c r="J410" i="3" s="1"/>
  <c r="K411" i="3"/>
  <c r="I411" i="3" s="1"/>
  <c r="J411" i="3" s="1"/>
  <c r="K412" i="3"/>
  <c r="I412" i="3" s="1"/>
  <c r="J412" i="3" s="1"/>
  <c r="K413" i="3"/>
  <c r="I413" i="3" s="1"/>
  <c r="J413" i="3" s="1"/>
  <c r="K414" i="3"/>
  <c r="I414" i="3" s="1"/>
  <c r="J414" i="3" s="1"/>
  <c r="K415" i="3"/>
  <c r="I415" i="3" s="1"/>
  <c r="J415" i="3" s="1"/>
  <c r="K416" i="3"/>
  <c r="I416" i="3" s="1"/>
  <c r="J416" i="3" s="1"/>
  <c r="K417" i="3"/>
  <c r="I417" i="3" s="1"/>
  <c r="J417" i="3" s="1"/>
  <c r="K418" i="3"/>
  <c r="I418" i="3" s="1"/>
  <c r="J418" i="3" s="1"/>
  <c r="K419" i="3"/>
  <c r="I419" i="3" s="1"/>
  <c r="J419" i="3" s="1"/>
  <c r="K420" i="3"/>
  <c r="I420" i="3" s="1"/>
  <c r="J420" i="3" s="1"/>
  <c r="K421" i="3"/>
  <c r="I421" i="3" s="1"/>
  <c r="J421" i="3" s="1"/>
  <c r="K422" i="3"/>
  <c r="I422" i="3" s="1"/>
  <c r="J422" i="3" s="1"/>
  <c r="K423" i="3"/>
  <c r="I423" i="3" s="1"/>
  <c r="J423" i="3" s="1"/>
  <c r="K424" i="3"/>
  <c r="I424" i="3" s="1"/>
  <c r="J424" i="3" s="1"/>
  <c r="K425" i="3"/>
  <c r="I425" i="3" s="1"/>
  <c r="J425" i="3" s="1"/>
  <c r="K426" i="3"/>
  <c r="I426" i="3" s="1"/>
  <c r="J426" i="3" s="1"/>
  <c r="K427" i="3"/>
  <c r="I427" i="3" s="1"/>
  <c r="J427" i="3" s="1"/>
  <c r="K428" i="3"/>
  <c r="I428" i="3" s="1"/>
  <c r="J428" i="3" s="1"/>
  <c r="K429" i="3"/>
  <c r="I429" i="3" s="1"/>
  <c r="J429" i="3" s="1"/>
  <c r="K430" i="3"/>
  <c r="I430" i="3" s="1"/>
  <c r="J430" i="3" s="1"/>
  <c r="K431" i="3"/>
  <c r="K432" i="3"/>
  <c r="K433" i="3"/>
  <c r="K434" i="3"/>
  <c r="K435" i="3"/>
  <c r="I435" i="3" s="1"/>
  <c r="J435" i="3" s="1"/>
  <c r="K436" i="3"/>
  <c r="I436" i="3" s="1"/>
  <c r="J436" i="3" s="1"/>
  <c r="K437" i="3"/>
  <c r="I437" i="3" s="1"/>
  <c r="J437" i="3" s="1"/>
  <c r="K438" i="3"/>
  <c r="I438" i="3" s="1"/>
  <c r="J438" i="3" s="1"/>
  <c r="K439" i="3"/>
  <c r="I439" i="3" s="1"/>
  <c r="J439" i="3" s="1"/>
  <c r="K440" i="3"/>
  <c r="I440" i="3" s="1"/>
  <c r="J440" i="3" s="1"/>
  <c r="K441" i="3"/>
  <c r="I441" i="3" s="1"/>
  <c r="J441" i="3" s="1"/>
  <c r="K442" i="3"/>
  <c r="I442" i="3" s="1"/>
  <c r="J442" i="3" s="1"/>
  <c r="K443" i="3"/>
  <c r="I443" i="3" s="1"/>
  <c r="J443" i="3" s="1"/>
  <c r="K444" i="3"/>
  <c r="I444" i="3" s="1"/>
  <c r="J444" i="3" s="1"/>
  <c r="K445" i="3"/>
  <c r="I445" i="3" s="1"/>
  <c r="J445" i="3" s="1"/>
  <c r="K446" i="3"/>
  <c r="I446" i="3" s="1"/>
  <c r="J446" i="3" s="1"/>
  <c r="K447" i="3"/>
  <c r="I447" i="3" s="1"/>
  <c r="J447" i="3" s="1"/>
  <c r="K448" i="3"/>
  <c r="I448" i="3" s="1"/>
  <c r="J448" i="3" s="1"/>
  <c r="K449" i="3"/>
  <c r="I449" i="3" s="1"/>
  <c r="J449" i="3" s="1"/>
  <c r="K450" i="3"/>
  <c r="I450" i="3" s="1"/>
  <c r="J450" i="3" s="1"/>
  <c r="K451" i="3"/>
  <c r="I451" i="3" s="1"/>
  <c r="J451" i="3" s="1"/>
  <c r="K452" i="3"/>
  <c r="I452" i="3" s="1"/>
  <c r="J452" i="3" s="1"/>
  <c r="K453" i="3"/>
  <c r="I453" i="3" s="1"/>
  <c r="J453" i="3" s="1"/>
  <c r="K454" i="3"/>
  <c r="I454" i="3" s="1"/>
  <c r="J454" i="3" s="1"/>
  <c r="K455" i="3"/>
  <c r="I455" i="3" s="1"/>
  <c r="J455" i="3" s="1"/>
  <c r="K456" i="3"/>
  <c r="I456" i="3" s="1"/>
  <c r="J456" i="3" s="1"/>
  <c r="K457" i="3"/>
  <c r="I457" i="3" s="1"/>
  <c r="J457" i="3" s="1"/>
  <c r="K458" i="3"/>
  <c r="I458" i="3" s="1"/>
  <c r="J458" i="3" s="1"/>
  <c r="K459" i="3"/>
  <c r="I459" i="3" s="1"/>
  <c r="J459" i="3" s="1"/>
  <c r="K460" i="3"/>
  <c r="I460" i="3" s="1"/>
  <c r="J460" i="3" s="1"/>
  <c r="K461" i="3"/>
  <c r="I461" i="3" s="1"/>
  <c r="J461" i="3" s="1"/>
  <c r="K462" i="3"/>
  <c r="I462" i="3" s="1"/>
  <c r="J462" i="3" s="1"/>
  <c r="K463" i="3"/>
  <c r="I463" i="3" s="1"/>
  <c r="J463" i="3" s="1"/>
  <c r="K464" i="3"/>
  <c r="I464" i="3" s="1"/>
  <c r="J464" i="3" s="1"/>
  <c r="K465" i="3"/>
  <c r="I465" i="3" s="1"/>
  <c r="J465" i="3" s="1"/>
  <c r="K466" i="3"/>
  <c r="I466" i="3" s="1"/>
  <c r="J466" i="3" s="1"/>
  <c r="K467" i="3"/>
  <c r="I467" i="3" s="1"/>
  <c r="J467" i="3" s="1"/>
  <c r="K468" i="3"/>
  <c r="I468" i="3" s="1"/>
  <c r="J468" i="3" s="1"/>
  <c r="K469" i="3"/>
  <c r="I469" i="3" s="1"/>
  <c r="J469" i="3" s="1"/>
  <c r="K470" i="3"/>
  <c r="I470" i="3" s="1"/>
  <c r="J470" i="3" s="1"/>
  <c r="K471" i="3"/>
  <c r="I471" i="3" s="1"/>
  <c r="J471" i="3" s="1"/>
  <c r="K472" i="3"/>
  <c r="I472" i="3" s="1"/>
  <c r="J472" i="3" s="1"/>
  <c r="K473" i="3"/>
  <c r="I473" i="3" s="1"/>
  <c r="J473" i="3" s="1"/>
  <c r="K474" i="3"/>
  <c r="I474" i="3" s="1"/>
  <c r="J474" i="3" s="1"/>
  <c r="K475" i="3"/>
  <c r="I475" i="3" s="1"/>
  <c r="J475" i="3" s="1"/>
  <c r="K476" i="3"/>
  <c r="I476" i="3" s="1"/>
  <c r="J476" i="3" s="1"/>
  <c r="K477" i="3"/>
  <c r="I477" i="3" s="1"/>
  <c r="J477" i="3" s="1"/>
  <c r="K478" i="3"/>
  <c r="I478" i="3" s="1"/>
  <c r="J478" i="3" s="1"/>
  <c r="K479" i="3"/>
  <c r="I479" i="3" s="1"/>
  <c r="J479" i="3" s="1"/>
  <c r="K480" i="3"/>
  <c r="I480" i="3" s="1"/>
  <c r="J480" i="3" s="1"/>
  <c r="K481" i="3"/>
  <c r="I481" i="3" s="1"/>
  <c r="J481" i="3" s="1"/>
  <c r="K482" i="3"/>
  <c r="I482" i="3" s="1"/>
  <c r="J482" i="3" s="1"/>
  <c r="K483" i="3"/>
  <c r="I483" i="3" s="1"/>
  <c r="J483" i="3" s="1"/>
  <c r="K484" i="3"/>
  <c r="I484" i="3" s="1"/>
  <c r="J484" i="3" s="1"/>
  <c r="K485" i="3"/>
  <c r="I485" i="3" s="1"/>
  <c r="J485" i="3" s="1"/>
  <c r="K486" i="3"/>
  <c r="I486" i="3" s="1"/>
  <c r="J486" i="3" s="1"/>
  <c r="K487" i="3"/>
  <c r="K488" i="3"/>
  <c r="K489" i="3"/>
  <c r="K490" i="3"/>
  <c r="K491" i="3"/>
  <c r="K492" i="3"/>
  <c r="K493" i="3"/>
  <c r="K494" i="3"/>
  <c r="K495" i="3"/>
  <c r="K496" i="3"/>
  <c r="K497" i="3"/>
  <c r="I497" i="3" s="1"/>
  <c r="J497" i="3" s="1"/>
  <c r="K498" i="3"/>
  <c r="I498" i="3" s="1"/>
  <c r="J498" i="3" s="1"/>
  <c r="K499" i="3"/>
  <c r="K500" i="3"/>
  <c r="K501" i="3"/>
  <c r="K502" i="3"/>
  <c r="K503" i="3"/>
  <c r="K504" i="3"/>
  <c r="I504" i="3" s="1"/>
  <c r="J504" i="3" s="1"/>
  <c r="K505" i="3"/>
  <c r="I505" i="3" s="1"/>
  <c r="J505" i="3" s="1"/>
  <c r="K506" i="3"/>
  <c r="I506" i="3" s="1"/>
  <c r="J506" i="3" s="1"/>
  <c r="K507" i="3"/>
  <c r="I507" i="3" s="1"/>
  <c r="J507" i="3" s="1"/>
  <c r="K508" i="3"/>
  <c r="I508" i="3" s="1"/>
  <c r="J508" i="3" s="1"/>
  <c r="K509" i="3"/>
  <c r="I509" i="3" s="1"/>
  <c r="J509" i="3" s="1"/>
  <c r="K510" i="3"/>
  <c r="I510" i="3" s="1"/>
  <c r="J510" i="3" s="1"/>
  <c r="K511" i="3"/>
  <c r="I511" i="3" s="1"/>
  <c r="J511" i="3" s="1"/>
  <c r="K512" i="3"/>
  <c r="I512" i="3" s="1"/>
  <c r="J512" i="3" s="1"/>
  <c r="K513" i="3"/>
  <c r="I513" i="3" s="1"/>
  <c r="J513" i="3" s="1"/>
  <c r="K514" i="3"/>
  <c r="I514" i="3" s="1"/>
  <c r="J514" i="3" s="1"/>
  <c r="K515" i="3"/>
  <c r="I515" i="3" s="1"/>
  <c r="J515" i="3" s="1"/>
  <c r="K516" i="3"/>
  <c r="I516" i="3" s="1"/>
  <c r="J516" i="3" s="1"/>
  <c r="K517" i="3"/>
  <c r="K518" i="3"/>
  <c r="I518" i="3" s="1"/>
  <c r="J518" i="3" s="1"/>
  <c r="K519" i="3"/>
  <c r="I519" i="3" s="1"/>
  <c r="J519" i="3" s="1"/>
  <c r="K520" i="3"/>
  <c r="I520" i="3" s="1"/>
  <c r="J520" i="3" s="1"/>
  <c r="K521" i="3"/>
  <c r="I521" i="3" s="1"/>
  <c r="J521" i="3" s="1"/>
  <c r="K522" i="3"/>
  <c r="I522" i="3" s="1"/>
  <c r="J522" i="3" s="1"/>
  <c r="K523" i="3"/>
  <c r="I523" i="3" s="1"/>
  <c r="J523" i="3" s="1"/>
  <c r="K524" i="3"/>
  <c r="I524" i="3" s="1"/>
  <c r="J524" i="3" s="1"/>
  <c r="K525" i="3"/>
  <c r="I525" i="3" s="1"/>
  <c r="J525" i="3" s="1"/>
  <c r="K526" i="3"/>
  <c r="I526" i="3" s="1"/>
  <c r="J526" i="3" s="1"/>
  <c r="K527" i="3"/>
  <c r="I527" i="3" s="1"/>
  <c r="J527" i="3" s="1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I540" i="3" s="1"/>
  <c r="J540" i="3" s="1"/>
  <c r="K541" i="3"/>
  <c r="K542" i="3"/>
  <c r="K543" i="3"/>
  <c r="I543" i="3" s="1"/>
  <c r="J543" i="3" s="1"/>
  <c r="K544" i="3"/>
  <c r="I544" i="3" s="1"/>
  <c r="J544" i="3" s="1"/>
  <c r="K545" i="3"/>
  <c r="K546" i="3"/>
  <c r="K547" i="3"/>
  <c r="I547" i="3" s="1"/>
  <c r="J547" i="3" s="1"/>
  <c r="K548" i="3"/>
  <c r="I548" i="3" s="1"/>
  <c r="J548" i="3" s="1"/>
  <c r="K549" i="3"/>
  <c r="I549" i="3" s="1"/>
  <c r="J549" i="3" s="1"/>
  <c r="K550" i="3"/>
  <c r="I550" i="3" s="1"/>
  <c r="J550" i="3" s="1"/>
  <c r="K551" i="3"/>
  <c r="I551" i="3" s="1"/>
  <c r="J551" i="3" s="1"/>
  <c r="K552" i="3"/>
  <c r="I552" i="3" s="1"/>
  <c r="J552" i="3" s="1"/>
  <c r="K553" i="3"/>
  <c r="I553" i="3" s="1"/>
  <c r="J553" i="3" s="1"/>
  <c r="K554" i="3"/>
  <c r="I554" i="3" s="1"/>
  <c r="J554" i="3" s="1"/>
  <c r="K555" i="3"/>
  <c r="I555" i="3" s="1"/>
  <c r="J555" i="3" s="1"/>
  <c r="K556" i="3"/>
  <c r="I556" i="3" s="1"/>
  <c r="J556" i="3" s="1"/>
  <c r="K557" i="3"/>
  <c r="I557" i="3" s="1"/>
  <c r="J557" i="3" s="1"/>
  <c r="K558" i="3"/>
  <c r="I558" i="3" s="1"/>
  <c r="J558" i="3" s="1"/>
  <c r="K559" i="3"/>
  <c r="I559" i="3" s="1"/>
  <c r="J559" i="3" s="1"/>
  <c r="K560" i="3"/>
  <c r="I560" i="3" s="1"/>
  <c r="J560" i="3" s="1"/>
  <c r="K561" i="3"/>
  <c r="I561" i="3" s="1"/>
  <c r="J561" i="3" s="1"/>
  <c r="K562" i="3"/>
  <c r="K563" i="3"/>
  <c r="K564" i="3"/>
  <c r="K565" i="3"/>
  <c r="K566" i="3"/>
  <c r="K567" i="3"/>
  <c r="I567" i="3" s="1"/>
  <c r="J567" i="3" s="1"/>
  <c r="K568" i="3"/>
  <c r="I568" i="3" s="1"/>
  <c r="J568" i="3" s="1"/>
  <c r="K569" i="3"/>
  <c r="I569" i="3" s="1"/>
  <c r="J569" i="3" s="1"/>
  <c r="K570" i="3"/>
  <c r="K571" i="3"/>
  <c r="K572" i="3"/>
  <c r="K573" i="3"/>
  <c r="K574" i="3"/>
  <c r="I574" i="3" s="1"/>
  <c r="J574" i="3" s="1"/>
  <c r="K575" i="3"/>
  <c r="I575" i="3" s="1"/>
  <c r="J575" i="3" s="1"/>
  <c r="K576" i="3"/>
  <c r="I576" i="3" s="1"/>
  <c r="J576" i="3" s="1"/>
  <c r="K577" i="3"/>
  <c r="I577" i="3" s="1"/>
  <c r="J577" i="3" s="1"/>
  <c r="K578" i="3"/>
  <c r="I578" i="3" s="1"/>
  <c r="J578" i="3" s="1"/>
  <c r="K579" i="3"/>
  <c r="I579" i="3" s="1"/>
  <c r="J579" i="3" s="1"/>
  <c r="K580" i="3"/>
  <c r="I580" i="3" s="1"/>
  <c r="J580" i="3" s="1"/>
  <c r="K581" i="3"/>
  <c r="I581" i="3" s="1"/>
  <c r="J581" i="3" s="1"/>
  <c r="K582" i="3"/>
  <c r="I582" i="3" s="1"/>
  <c r="J582" i="3" s="1"/>
  <c r="K583" i="3"/>
  <c r="I583" i="3" s="1"/>
  <c r="J583" i="3" s="1"/>
  <c r="K584" i="3"/>
  <c r="I584" i="3" s="1"/>
  <c r="J584" i="3" s="1"/>
  <c r="K585" i="3"/>
  <c r="I585" i="3" s="1"/>
  <c r="J585" i="3" s="1"/>
  <c r="K586" i="3"/>
  <c r="I586" i="3" s="1"/>
  <c r="J586" i="3" s="1"/>
  <c r="K587" i="3"/>
  <c r="I587" i="3" s="1"/>
  <c r="J587" i="3" s="1"/>
  <c r="K588" i="3"/>
  <c r="I588" i="3" s="1"/>
  <c r="J588" i="3" s="1"/>
  <c r="K589" i="3"/>
  <c r="I589" i="3" s="1"/>
  <c r="J589" i="3" s="1"/>
  <c r="K590" i="3"/>
  <c r="I590" i="3" s="1"/>
  <c r="J590" i="3" s="1"/>
  <c r="K591" i="3"/>
  <c r="I591" i="3" s="1"/>
  <c r="J591" i="3" s="1"/>
  <c r="K592" i="3"/>
  <c r="I592" i="3" s="1"/>
  <c r="J592" i="3" s="1"/>
  <c r="K593" i="3"/>
  <c r="I593" i="3" s="1"/>
  <c r="J593" i="3" s="1"/>
  <c r="K594" i="3"/>
  <c r="I594" i="3" s="1"/>
  <c r="J594" i="3" s="1"/>
  <c r="K595" i="3"/>
  <c r="I595" i="3" s="1"/>
  <c r="J595" i="3" s="1"/>
  <c r="K596" i="3"/>
  <c r="K597" i="3"/>
  <c r="K598" i="3"/>
  <c r="I598" i="3" s="1"/>
  <c r="J598" i="3" s="1"/>
  <c r="K599" i="3"/>
  <c r="I599" i="3" s="1"/>
  <c r="J599" i="3" s="1"/>
  <c r="K600" i="3"/>
  <c r="I600" i="3" s="1"/>
  <c r="J600" i="3" s="1"/>
  <c r="K601" i="3"/>
  <c r="I601" i="3" s="1"/>
  <c r="J601" i="3" s="1"/>
  <c r="K602" i="3"/>
  <c r="I602" i="3" s="1"/>
  <c r="J602" i="3" s="1"/>
  <c r="K603" i="3"/>
  <c r="I603" i="3" s="1"/>
  <c r="J603" i="3" s="1"/>
  <c r="K604" i="3"/>
  <c r="I604" i="3" s="1"/>
  <c r="J604" i="3" s="1"/>
  <c r="K605" i="3"/>
  <c r="I605" i="3" s="1"/>
  <c r="J605" i="3" s="1"/>
  <c r="K606" i="3"/>
  <c r="I606" i="3" s="1"/>
  <c r="J606" i="3" s="1"/>
  <c r="K607" i="3"/>
  <c r="K608" i="3"/>
  <c r="K609" i="3"/>
  <c r="K610" i="3"/>
  <c r="K611" i="3"/>
  <c r="K612" i="3"/>
  <c r="I612" i="3" s="1"/>
  <c r="J612" i="3" s="1"/>
  <c r="K613" i="3"/>
  <c r="K614" i="3"/>
  <c r="I614" i="3" s="1"/>
  <c r="J614" i="3" s="1"/>
  <c r="K615" i="3"/>
  <c r="I615" i="3" s="1"/>
  <c r="J615" i="3" s="1"/>
  <c r="K616" i="3"/>
  <c r="I616" i="3" s="1"/>
  <c r="J616" i="3" s="1"/>
  <c r="K617" i="3"/>
  <c r="I617" i="3" s="1"/>
  <c r="J617" i="3" s="1"/>
  <c r="K618" i="3"/>
  <c r="I618" i="3" s="1"/>
  <c r="J618" i="3" s="1"/>
  <c r="K619" i="3"/>
  <c r="I619" i="3" s="1"/>
  <c r="J619" i="3" s="1"/>
  <c r="K620" i="3"/>
  <c r="I620" i="3" s="1"/>
  <c r="J620" i="3" s="1"/>
  <c r="K621" i="3"/>
  <c r="I621" i="3" s="1"/>
  <c r="J621" i="3" s="1"/>
  <c r="K622" i="3"/>
  <c r="I622" i="3" s="1"/>
  <c r="J622" i="3" s="1"/>
  <c r="K623" i="3"/>
  <c r="I623" i="3" s="1"/>
  <c r="J623" i="3" s="1"/>
  <c r="K624" i="3"/>
  <c r="I624" i="3" s="1"/>
  <c r="J624" i="3" s="1"/>
  <c r="K625" i="3"/>
  <c r="I625" i="3" s="1"/>
  <c r="J625" i="3" s="1"/>
  <c r="K626" i="3"/>
  <c r="I626" i="3" s="1"/>
  <c r="J626" i="3" s="1"/>
  <c r="K627" i="3"/>
  <c r="I627" i="3" s="1"/>
  <c r="J627" i="3" s="1"/>
  <c r="K628" i="3"/>
  <c r="I628" i="3" s="1"/>
  <c r="J628" i="3" s="1"/>
  <c r="K629" i="3"/>
  <c r="K630" i="3"/>
  <c r="K631" i="3"/>
  <c r="K632" i="3"/>
  <c r="K633" i="3"/>
  <c r="K634" i="3"/>
  <c r="K635" i="3"/>
  <c r="K636" i="3"/>
  <c r="K637" i="3"/>
  <c r="I637" i="3" s="1"/>
  <c r="J637" i="3" s="1"/>
  <c r="K638" i="3"/>
  <c r="I638" i="3" s="1"/>
  <c r="J638" i="3" s="1"/>
  <c r="K639" i="3"/>
  <c r="I639" i="3" s="1"/>
  <c r="J639" i="3" s="1"/>
  <c r="K640" i="3"/>
  <c r="I640" i="3" s="1"/>
  <c r="J640" i="3" s="1"/>
  <c r="K641" i="3"/>
  <c r="I641" i="3" s="1"/>
  <c r="J641" i="3" s="1"/>
  <c r="K642" i="3"/>
  <c r="I642" i="3" s="1"/>
  <c r="J642" i="3" s="1"/>
  <c r="K643" i="3"/>
  <c r="I643" i="3" s="1"/>
  <c r="J643" i="3" s="1"/>
  <c r="K644" i="3"/>
  <c r="I644" i="3" s="1"/>
  <c r="J644" i="3" s="1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G3" i="3"/>
  <c r="G4" i="3"/>
  <c r="H4" i="3"/>
  <c r="G8" i="3"/>
  <c r="H8" i="3"/>
  <c r="G9" i="3"/>
  <c r="H9" i="3"/>
  <c r="G10" i="3"/>
  <c r="H10" i="3"/>
  <c r="G11" i="3"/>
  <c r="H11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31" i="3"/>
  <c r="H31" i="3"/>
  <c r="G32" i="3"/>
  <c r="H32" i="3"/>
  <c r="G33" i="3"/>
  <c r="H33" i="3"/>
  <c r="G34" i="3"/>
  <c r="H34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G50" i="3"/>
  <c r="H50" i="3"/>
  <c r="G51" i="3"/>
  <c r="H51" i="3"/>
  <c r="G52" i="3"/>
  <c r="H52" i="3"/>
  <c r="G53" i="3"/>
  <c r="H53" i="3"/>
  <c r="G54" i="3"/>
  <c r="H55" i="3"/>
  <c r="G56" i="3"/>
  <c r="G57" i="3"/>
  <c r="G58" i="3"/>
  <c r="H58" i="3"/>
  <c r="G59" i="3"/>
  <c r="H59" i="3"/>
  <c r="G60" i="3"/>
  <c r="H60" i="3"/>
  <c r="G61" i="3"/>
  <c r="H61" i="3"/>
  <c r="G62" i="3"/>
  <c r="H62" i="3"/>
  <c r="G63" i="3"/>
  <c r="H63" i="3"/>
  <c r="G64" i="3"/>
  <c r="H64" i="3"/>
  <c r="G65" i="3"/>
  <c r="H65" i="3"/>
  <c r="G66" i="3"/>
  <c r="H66" i="3"/>
  <c r="G67" i="3"/>
  <c r="H67" i="3"/>
  <c r="G68" i="3"/>
  <c r="H68" i="3"/>
  <c r="G69" i="3"/>
  <c r="H69" i="3"/>
  <c r="G70" i="3"/>
  <c r="H70" i="3"/>
  <c r="G71" i="3"/>
  <c r="H71" i="3"/>
  <c r="G72" i="3"/>
  <c r="H72" i="3"/>
  <c r="G73" i="3"/>
  <c r="H73" i="3"/>
  <c r="G74" i="3"/>
  <c r="H74" i="3"/>
  <c r="G75" i="3"/>
  <c r="H75" i="3"/>
  <c r="G76" i="3"/>
  <c r="H76" i="3"/>
  <c r="G77" i="3"/>
  <c r="H77" i="3"/>
  <c r="G78" i="3"/>
  <c r="H78" i="3"/>
  <c r="G79" i="3"/>
  <c r="H79" i="3"/>
  <c r="G80" i="3"/>
  <c r="H80" i="3"/>
  <c r="G81" i="3"/>
  <c r="H81" i="3"/>
  <c r="G82" i="3"/>
  <c r="H82" i="3"/>
  <c r="G83" i="3"/>
  <c r="H83" i="3"/>
  <c r="G84" i="3"/>
  <c r="H84" i="3"/>
  <c r="G85" i="3"/>
  <c r="H85" i="3"/>
  <c r="G86" i="3"/>
  <c r="H86" i="3"/>
  <c r="G87" i="3"/>
  <c r="H87" i="3"/>
  <c r="G88" i="3"/>
  <c r="H88" i="3"/>
  <c r="G89" i="3"/>
  <c r="H89" i="3"/>
  <c r="G91" i="3"/>
  <c r="H91" i="3"/>
  <c r="G92" i="3"/>
  <c r="H92" i="3"/>
  <c r="G93" i="3"/>
  <c r="H93" i="3"/>
  <c r="G94" i="3"/>
  <c r="H94" i="3"/>
  <c r="H95" i="3"/>
  <c r="H96" i="3"/>
  <c r="H97" i="3"/>
  <c r="G98" i="3"/>
  <c r="H98" i="3"/>
  <c r="G99" i="3"/>
  <c r="H99" i="3"/>
  <c r="G101" i="3"/>
  <c r="G102" i="3"/>
  <c r="G103" i="3"/>
  <c r="H103" i="3"/>
  <c r="G104" i="3"/>
  <c r="H104" i="3"/>
  <c r="G105" i="3"/>
  <c r="H105" i="3"/>
  <c r="G106" i="3"/>
  <c r="H106" i="3"/>
  <c r="G107" i="3"/>
  <c r="H107" i="3"/>
  <c r="G108" i="3"/>
  <c r="H108" i="3"/>
  <c r="G109" i="3"/>
  <c r="H109" i="3"/>
  <c r="G110" i="3"/>
  <c r="H110" i="3"/>
  <c r="G111" i="3"/>
  <c r="H111" i="3"/>
  <c r="G112" i="3"/>
  <c r="H112" i="3"/>
  <c r="G113" i="3"/>
  <c r="H113" i="3"/>
  <c r="G114" i="3"/>
  <c r="H114" i="3"/>
  <c r="G115" i="3"/>
  <c r="H115" i="3"/>
  <c r="G116" i="3"/>
  <c r="H116" i="3"/>
  <c r="G117" i="3"/>
  <c r="H117" i="3"/>
  <c r="G118" i="3"/>
  <c r="H118" i="3"/>
  <c r="G119" i="3"/>
  <c r="H119" i="3"/>
  <c r="G120" i="3"/>
  <c r="H120" i="3"/>
  <c r="G121" i="3"/>
  <c r="H121" i="3"/>
  <c r="G122" i="3"/>
  <c r="H122" i="3"/>
  <c r="G123" i="3"/>
  <c r="H123" i="3"/>
  <c r="G124" i="3"/>
  <c r="H124" i="3"/>
  <c r="G125" i="3"/>
  <c r="H125" i="3"/>
  <c r="G126" i="3"/>
  <c r="H126" i="3"/>
  <c r="G127" i="3"/>
  <c r="H127" i="3"/>
  <c r="G128" i="3"/>
  <c r="H128" i="3"/>
  <c r="G129" i="3"/>
  <c r="H129" i="3"/>
  <c r="G130" i="3"/>
  <c r="H130" i="3"/>
  <c r="G131" i="3"/>
  <c r="H131" i="3"/>
  <c r="G132" i="3"/>
  <c r="H132" i="3"/>
  <c r="G133" i="3"/>
  <c r="H133" i="3"/>
  <c r="G135" i="3"/>
  <c r="H135" i="3"/>
  <c r="G137" i="3"/>
  <c r="H137" i="3"/>
  <c r="G138" i="3"/>
  <c r="G139" i="3"/>
  <c r="G140" i="3"/>
  <c r="G141" i="3"/>
  <c r="H141" i="3"/>
  <c r="G142" i="3"/>
  <c r="H142" i="3"/>
  <c r="G143" i="3"/>
  <c r="H143" i="3"/>
  <c r="G144" i="3"/>
  <c r="H144" i="3"/>
  <c r="G145" i="3"/>
  <c r="H145" i="3"/>
  <c r="G146" i="3"/>
  <c r="H146" i="3"/>
  <c r="G147" i="3"/>
  <c r="H147" i="3"/>
  <c r="G148" i="3"/>
  <c r="H148" i="3"/>
  <c r="G149" i="3"/>
  <c r="H149" i="3"/>
  <c r="G150" i="3"/>
  <c r="H150" i="3"/>
  <c r="G151" i="3"/>
  <c r="H151" i="3"/>
  <c r="G152" i="3"/>
  <c r="H152" i="3"/>
  <c r="G153" i="3"/>
  <c r="H153" i="3"/>
  <c r="G154" i="3"/>
  <c r="H154" i="3"/>
  <c r="G155" i="3"/>
  <c r="H155" i="3"/>
  <c r="G156" i="3"/>
  <c r="H156" i="3"/>
  <c r="G157" i="3"/>
  <c r="H157" i="3"/>
  <c r="G158" i="3"/>
  <c r="H158" i="3"/>
  <c r="G159" i="3"/>
  <c r="H159" i="3"/>
  <c r="G160" i="3"/>
  <c r="H160" i="3"/>
  <c r="G161" i="3"/>
  <c r="H161" i="3"/>
  <c r="G162" i="3"/>
  <c r="H162" i="3"/>
  <c r="G163" i="3"/>
  <c r="H163" i="3"/>
  <c r="G164" i="3"/>
  <c r="H164" i="3"/>
  <c r="G165" i="3"/>
  <c r="H165" i="3"/>
  <c r="G166" i="3"/>
  <c r="H166" i="3"/>
  <c r="G167" i="3"/>
  <c r="H167" i="3"/>
  <c r="G168" i="3"/>
  <c r="H168" i="3"/>
  <c r="G169" i="3"/>
  <c r="H169" i="3"/>
  <c r="G170" i="3"/>
  <c r="H170" i="3"/>
  <c r="G171" i="3"/>
  <c r="H171" i="3"/>
  <c r="G172" i="3"/>
  <c r="H172" i="3"/>
  <c r="G173" i="3"/>
  <c r="H173" i="3"/>
  <c r="G174" i="3"/>
  <c r="H174" i="3"/>
  <c r="G175" i="3"/>
  <c r="H175" i="3"/>
  <c r="G176" i="3"/>
  <c r="H176" i="3"/>
  <c r="G177" i="3"/>
  <c r="H177" i="3"/>
  <c r="G178" i="3"/>
  <c r="H178" i="3"/>
  <c r="G179" i="3"/>
  <c r="H179" i="3"/>
  <c r="G180" i="3"/>
  <c r="H180" i="3"/>
  <c r="G181" i="3"/>
  <c r="H181" i="3"/>
  <c r="G182" i="3"/>
  <c r="H182" i="3"/>
  <c r="G183" i="3"/>
  <c r="H183" i="3"/>
  <c r="G184" i="3"/>
  <c r="H184" i="3"/>
  <c r="G185" i="3"/>
  <c r="H185" i="3"/>
  <c r="G186" i="3"/>
  <c r="H186" i="3"/>
  <c r="G187" i="3"/>
  <c r="H187" i="3"/>
  <c r="G188" i="3"/>
  <c r="H188" i="3"/>
  <c r="G189" i="3"/>
  <c r="H189" i="3"/>
  <c r="G190" i="3"/>
  <c r="H190" i="3"/>
  <c r="G191" i="3"/>
  <c r="H191" i="3"/>
  <c r="G192" i="3"/>
  <c r="H192" i="3"/>
  <c r="G193" i="3"/>
  <c r="H193" i="3"/>
  <c r="G194" i="3"/>
  <c r="H194" i="3"/>
  <c r="G195" i="3"/>
  <c r="H195" i="3"/>
  <c r="G196" i="3"/>
  <c r="H196" i="3"/>
  <c r="G197" i="3"/>
  <c r="H197" i="3"/>
  <c r="G198" i="3"/>
  <c r="H198" i="3"/>
  <c r="G199" i="3"/>
  <c r="H199" i="3"/>
  <c r="G200" i="3"/>
  <c r="H200" i="3"/>
  <c r="G201" i="3"/>
  <c r="H201" i="3"/>
  <c r="G202" i="3"/>
  <c r="H202" i="3"/>
  <c r="G203" i="3"/>
  <c r="H203" i="3"/>
  <c r="G204" i="3"/>
  <c r="H204" i="3"/>
  <c r="G205" i="3"/>
  <c r="H205" i="3"/>
  <c r="G206" i="3"/>
  <c r="H206" i="3"/>
  <c r="G207" i="3"/>
  <c r="H207" i="3"/>
  <c r="G208" i="3"/>
  <c r="H208" i="3"/>
  <c r="G209" i="3"/>
  <c r="H209" i="3"/>
  <c r="G210" i="3"/>
  <c r="H210" i="3"/>
  <c r="G211" i="3"/>
  <c r="H211" i="3"/>
  <c r="G212" i="3"/>
  <c r="H212" i="3"/>
  <c r="G213" i="3"/>
  <c r="H213" i="3"/>
  <c r="G214" i="3"/>
  <c r="H214" i="3"/>
  <c r="G215" i="3"/>
  <c r="H215" i="3"/>
  <c r="G216" i="3"/>
  <c r="H216" i="3"/>
  <c r="G217" i="3"/>
  <c r="H217" i="3"/>
  <c r="G218" i="3"/>
  <c r="H218" i="3"/>
  <c r="G219" i="3"/>
  <c r="H219" i="3"/>
  <c r="G220" i="3"/>
  <c r="H220" i="3"/>
  <c r="G221" i="3"/>
  <c r="H221" i="3"/>
  <c r="G222" i="3"/>
  <c r="H222" i="3"/>
  <c r="G223" i="3"/>
  <c r="H223" i="3"/>
  <c r="G224" i="3"/>
  <c r="H224" i="3"/>
  <c r="G225" i="3"/>
  <c r="H225" i="3"/>
  <c r="G226" i="3"/>
  <c r="H226" i="3"/>
  <c r="G227" i="3"/>
  <c r="H227" i="3"/>
  <c r="G228" i="3"/>
  <c r="H228" i="3"/>
  <c r="G229" i="3"/>
  <c r="H229" i="3"/>
  <c r="G230" i="3"/>
  <c r="H230" i="3"/>
  <c r="G231" i="3"/>
  <c r="H231" i="3"/>
  <c r="G232" i="3"/>
  <c r="H232" i="3"/>
  <c r="G233" i="3"/>
  <c r="H233" i="3"/>
  <c r="G234" i="3"/>
  <c r="H234" i="3"/>
  <c r="G235" i="3"/>
  <c r="H235" i="3"/>
  <c r="G236" i="3"/>
  <c r="H236" i="3"/>
  <c r="G237" i="3"/>
  <c r="H237" i="3"/>
  <c r="G238" i="3"/>
  <c r="H238" i="3"/>
  <c r="G239" i="3"/>
  <c r="H239" i="3"/>
  <c r="G240" i="3"/>
  <c r="H240" i="3"/>
  <c r="G241" i="3"/>
  <c r="H241" i="3"/>
  <c r="G242" i="3"/>
  <c r="H242" i="3"/>
  <c r="G243" i="3"/>
  <c r="H243" i="3"/>
  <c r="G244" i="3"/>
  <c r="H244" i="3"/>
  <c r="G245" i="3"/>
  <c r="H245" i="3"/>
  <c r="G246" i="3"/>
  <c r="H246" i="3"/>
  <c r="G247" i="3"/>
  <c r="H247" i="3"/>
  <c r="G248" i="3"/>
  <c r="H248" i="3"/>
  <c r="G249" i="3"/>
  <c r="H249" i="3"/>
  <c r="G250" i="3"/>
  <c r="H250" i="3"/>
  <c r="G251" i="3"/>
  <c r="H251" i="3"/>
  <c r="G252" i="3"/>
  <c r="H252" i="3"/>
  <c r="G253" i="3"/>
  <c r="H253" i="3"/>
  <c r="G254" i="3"/>
  <c r="H254" i="3"/>
  <c r="G255" i="3"/>
  <c r="H255" i="3"/>
  <c r="G256" i="3"/>
  <c r="H256" i="3"/>
  <c r="G257" i="3"/>
  <c r="H257" i="3"/>
  <c r="G258" i="3"/>
  <c r="H258" i="3"/>
  <c r="G259" i="3"/>
  <c r="H259" i="3"/>
  <c r="G260" i="3"/>
  <c r="H260" i="3"/>
  <c r="G261" i="3"/>
  <c r="H261" i="3"/>
  <c r="G262" i="3"/>
  <c r="H262" i="3"/>
  <c r="G263" i="3"/>
  <c r="H263" i="3"/>
  <c r="G264" i="3"/>
  <c r="G265" i="3"/>
  <c r="G266" i="3"/>
  <c r="H266" i="3"/>
  <c r="G267" i="3"/>
  <c r="H267" i="3"/>
  <c r="G268" i="3"/>
  <c r="H268" i="3"/>
  <c r="G269" i="3"/>
  <c r="H269" i="3"/>
  <c r="G270" i="3"/>
  <c r="H270" i="3"/>
  <c r="G271" i="3"/>
  <c r="H271" i="3"/>
  <c r="G272" i="3"/>
  <c r="H272" i="3"/>
  <c r="G273" i="3"/>
  <c r="H273" i="3"/>
  <c r="G274" i="3"/>
  <c r="H274" i="3"/>
  <c r="G275" i="3"/>
  <c r="H275" i="3"/>
  <c r="G276" i="3"/>
  <c r="H276" i="3"/>
  <c r="G277" i="3"/>
  <c r="H277" i="3"/>
  <c r="G278" i="3"/>
  <c r="H278" i="3"/>
  <c r="G279" i="3"/>
  <c r="H279" i="3"/>
  <c r="G280" i="3"/>
  <c r="H280" i="3"/>
  <c r="G281" i="3"/>
  <c r="H281" i="3"/>
  <c r="G282" i="3"/>
  <c r="H282" i="3"/>
  <c r="G285" i="3"/>
  <c r="H285" i="3"/>
  <c r="G286" i="3"/>
  <c r="H286" i="3"/>
  <c r="G287" i="3"/>
  <c r="H287" i="3"/>
  <c r="G288" i="3"/>
  <c r="H288" i="3"/>
  <c r="G289" i="3"/>
  <c r="H289" i="3"/>
  <c r="G290" i="3"/>
  <c r="H290" i="3"/>
  <c r="G291" i="3"/>
  <c r="H291" i="3"/>
  <c r="G292" i="3"/>
  <c r="H292" i="3"/>
  <c r="G293" i="3"/>
  <c r="H293" i="3"/>
  <c r="G294" i="3"/>
  <c r="H294" i="3"/>
  <c r="G295" i="3"/>
  <c r="H295" i="3"/>
  <c r="G296" i="3"/>
  <c r="H296" i="3"/>
  <c r="G297" i="3"/>
  <c r="H297" i="3"/>
  <c r="G298" i="3"/>
  <c r="G299" i="3"/>
  <c r="G300" i="3"/>
  <c r="H300" i="3"/>
  <c r="G301" i="3"/>
  <c r="H301" i="3"/>
  <c r="G302" i="3"/>
  <c r="H302" i="3"/>
  <c r="G303" i="3"/>
  <c r="H303" i="3"/>
  <c r="G304" i="3"/>
  <c r="H304" i="3"/>
  <c r="G305" i="3"/>
  <c r="H305" i="3"/>
  <c r="G306" i="3"/>
  <c r="H306" i="3"/>
  <c r="G307" i="3"/>
  <c r="H307" i="3"/>
  <c r="G308" i="3"/>
  <c r="H308" i="3"/>
  <c r="G309" i="3"/>
  <c r="H309" i="3"/>
  <c r="G310" i="3"/>
  <c r="H310" i="3"/>
  <c r="G311" i="3"/>
  <c r="H311" i="3"/>
  <c r="G312" i="3"/>
  <c r="H312" i="3"/>
  <c r="G313" i="3"/>
  <c r="H313" i="3"/>
  <c r="G314" i="3"/>
  <c r="H314" i="3"/>
  <c r="G315" i="3"/>
  <c r="H315" i="3"/>
  <c r="G316" i="3"/>
  <c r="H316" i="3"/>
  <c r="G317" i="3"/>
  <c r="H317" i="3"/>
  <c r="G318" i="3"/>
  <c r="H318" i="3"/>
  <c r="G319" i="3"/>
  <c r="H319" i="3"/>
  <c r="G320" i="3"/>
  <c r="H320" i="3"/>
  <c r="G321" i="3"/>
  <c r="H321" i="3"/>
  <c r="G322" i="3"/>
  <c r="H322" i="3"/>
  <c r="G323" i="3"/>
  <c r="H323" i="3"/>
  <c r="G324" i="3"/>
  <c r="H324" i="3"/>
  <c r="G325" i="3"/>
  <c r="H325" i="3"/>
  <c r="G326" i="3"/>
  <c r="H326" i="3"/>
  <c r="G327" i="3"/>
  <c r="H327" i="3"/>
  <c r="G328" i="3"/>
  <c r="H328" i="3"/>
  <c r="G329" i="3"/>
  <c r="H329" i="3"/>
  <c r="G330" i="3"/>
  <c r="H330" i="3"/>
  <c r="G331" i="3"/>
  <c r="G334" i="3"/>
  <c r="H334" i="3"/>
  <c r="G335" i="3"/>
  <c r="H335" i="3"/>
  <c r="G336" i="3"/>
  <c r="H336" i="3"/>
  <c r="G337" i="3"/>
  <c r="H337" i="3"/>
  <c r="G338" i="3"/>
  <c r="H338" i="3"/>
  <c r="G339" i="3"/>
  <c r="H339" i="3"/>
  <c r="G340" i="3"/>
  <c r="H340" i="3"/>
  <c r="G341" i="3"/>
  <c r="H341" i="3"/>
  <c r="G342" i="3"/>
  <c r="H342" i="3"/>
  <c r="G343" i="3"/>
  <c r="H343" i="3"/>
  <c r="G344" i="3"/>
  <c r="H344" i="3"/>
  <c r="G345" i="3"/>
  <c r="H345" i="3"/>
  <c r="G346" i="3"/>
  <c r="H346" i="3"/>
  <c r="G347" i="3"/>
  <c r="H347" i="3"/>
  <c r="G348" i="3"/>
  <c r="H348" i="3"/>
  <c r="G349" i="3"/>
  <c r="H349" i="3"/>
  <c r="G350" i="3"/>
  <c r="H350" i="3"/>
  <c r="G351" i="3"/>
  <c r="H351" i="3"/>
  <c r="G352" i="3"/>
  <c r="H352" i="3"/>
  <c r="G353" i="3"/>
  <c r="H353" i="3"/>
  <c r="G354" i="3"/>
  <c r="H354" i="3"/>
  <c r="G355" i="3"/>
  <c r="H355" i="3"/>
  <c r="G356" i="3"/>
  <c r="H356" i="3"/>
  <c r="G357" i="3"/>
  <c r="H357" i="3"/>
  <c r="G358" i="3"/>
  <c r="H358" i="3"/>
  <c r="G359" i="3"/>
  <c r="H359" i="3"/>
  <c r="G360" i="3"/>
  <c r="H360" i="3"/>
  <c r="G361" i="3"/>
  <c r="H361" i="3"/>
  <c r="G362" i="3"/>
  <c r="H362" i="3"/>
  <c r="G363" i="3"/>
  <c r="H363" i="3"/>
  <c r="G364" i="3"/>
  <c r="H364" i="3"/>
  <c r="G365" i="3"/>
  <c r="H365" i="3"/>
  <c r="G366" i="3"/>
  <c r="H366" i="3"/>
  <c r="G367" i="3"/>
  <c r="H367" i="3"/>
  <c r="G368" i="3"/>
  <c r="H368" i="3"/>
  <c r="G369" i="3"/>
  <c r="H369" i="3"/>
  <c r="G370" i="3"/>
  <c r="H370" i="3"/>
  <c r="G371" i="3"/>
  <c r="H371" i="3"/>
  <c r="G372" i="3"/>
  <c r="H372" i="3"/>
  <c r="G373" i="3"/>
  <c r="H373" i="3"/>
  <c r="G374" i="3"/>
  <c r="G375" i="3"/>
  <c r="G376" i="3"/>
  <c r="H376" i="3"/>
  <c r="G377" i="3"/>
  <c r="H377" i="3"/>
  <c r="G378" i="3"/>
  <c r="H378" i="3"/>
  <c r="G379" i="3"/>
  <c r="H379" i="3"/>
  <c r="G380" i="3"/>
  <c r="H380" i="3"/>
  <c r="G381" i="3"/>
  <c r="H381" i="3"/>
  <c r="G382" i="3"/>
  <c r="H382" i="3"/>
  <c r="G383" i="3"/>
  <c r="H383" i="3"/>
  <c r="G384" i="3"/>
  <c r="H384" i="3"/>
  <c r="G385" i="3"/>
  <c r="H385" i="3"/>
  <c r="G386" i="3"/>
  <c r="H386" i="3"/>
  <c r="G387" i="3"/>
  <c r="H387" i="3"/>
  <c r="G388" i="3"/>
  <c r="H388" i="3"/>
  <c r="G389" i="3"/>
  <c r="H389" i="3"/>
  <c r="G390" i="3"/>
  <c r="H390" i="3"/>
  <c r="G391" i="3"/>
  <c r="H391" i="3"/>
  <c r="G392" i="3"/>
  <c r="H392" i="3"/>
  <c r="G393" i="3"/>
  <c r="H393" i="3"/>
  <c r="G394" i="3"/>
  <c r="H394" i="3"/>
  <c r="G395" i="3"/>
  <c r="H395" i="3"/>
  <c r="G396" i="3"/>
  <c r="H396" i="3"/>
  <c r="G397" i="3"/>
  <c r="H397" i="3"/>
  <c r="G398" i="3"/>
  <c r="H398" i="3"/>
  <c r="G399" i="3"/>
  <c r="H399" i="3"/>
  <c r="G400" i="3"/>
  <c r="H400" i="3"/>
  <c r="G401" i="3"/>
  <c r="H401" i="3"/>
  <c r="G402" i="3"/>
  <c r="H402" i="3"/>
  <c r="G403" i="3"/>
  <c r="H403" i="3"/>
  <c r="G404" i="3"/>
  <c r="H404" i="3"/>
  <c r="G405" i="3"/>
  <c r="H405" i="3"/>
  <c r="G406" i="3"/>
  <c r="H406" i="3"/>
  <c r="G407" i="3"/>
  <c r="H407" i="3"/>
  <c r="G408" i="3"/>
  <c r="H408" i="3"/>
  <c r="G409" i="3"/>
  <c r="H409" i="3"/>
  <c r="G410" i="3"/>
  <c r="H410" i="3"/>
  <c r="G411" i="3"/>
  <c r="H411" i="3"/>
  <c r="G412" i="3"/>
  <c r="H412" i="3"/>
  <c r="G413" i="3"/>
  <c r="H413" i="3"/>
  <c r="G414" i="3"/>
  <c r="H414" i="3"/>
  <c r="G415" i="3"/>
  <c r="H415" i="3"/>
  <c r="G416" i="3"/>
  <c r="H416" i="3"/>
  <c r="G417" i="3"/>
  <c r="H417" i="3"/>
  <c r="G418" i="3"/>
  <c r="H418" i="3"/>
  <c r="G419" i="3"/>
  <c r="H419" i="3"/>
  <c r="G420" i="3"/>
  <c r="H420" i="3"/>
  <c r="G421" i="3"/>
  <c r="H421" i="3"/>
  <c r="G422" i="3"/>
  <c r="H422" i="3"/>
  <c r="G423" i="3"/>
  <c r="H423" i="3"/>
  <c r="G424" i="3"/>
  <c r="H424" i="3"/>
  <c r="G425" i="3"/>
  <c r="H425" i="3"/>
  <c r="G426" i="3"/>
  <c r="H426" i="3"/>
  <c r="G427" i="3"/>
  <c r="H427" i="3"/>
  <c r="G428" i="3"/>
  <c r="H428" i="3"/>
  <c r="G429" i="3"/>
  <c r="H429" i="3"/>
  <c r="G430" i="3"/>
  <c r="H430" i="3"/>
  <c r="G431" i="3"/>
  <c r="H431" i="3"/>
  <c r="G432" i="3"/>
  <c r="H432" i="3"/>
  <c r="G433" i="3"/>
  <c r="H433" i="3"/>
  <c r="G434" i="3"/>
  <c r="H434" i="3"/>
  <c r="G435" i="3"/>
  <c r="H435" i="3"/>
  <c r="G436" i="3"/>
  <c r="H436" i="3"/>
  <c r="G437" i="3"/>
  <c r="H437" i="3"/>
  <c r="G438" i="3"/>
  <c r="H438" i="3"/>
  <c r="G439" i="3"/>
  <c r="H439" i="3"/>
  <c r="G440" i="3"/>
  <c r="H440" i="3"/>
  <c r="G441" i="3"/>
  <c r="H441" i="3"/>
  <c r="G442" i="3"/>
  <c r="H442" i="3"/>
  <c r="G443" i="3"/>
  <c r="H443" i="3"/>
  <c r="G444" i="3"/>
  <c r="H444" i="3"/>
  <c r="G445" i="3"/>
  <c r="H445" i="3"/>
  <c r="G446" i="3"/>
  <c r="H446" i="3"/>
  <c r="G447" i="3"/>
  <c r="H447" i="3"/>
  <c r="G448" i="3"/>
  <c r="H448" i="3"/>
  <c r="G449" i="3"/>
  <c r="H449" i="3"/>
  <c r="G450" i="3"/>
  <c r="H450" i="3"/>
  <c r="G451" i="3"/>
  <c r="H451" i="3"/>
  <c r="G452" i="3"/>
  <c r="H452" i="3"/>
  <c r="G453" i="3"/>
  <c r="H453" i="3"/>
  <c r="G454" i="3"/>
  <c r="H454" i="3"/>
  <c r="G455" i="3"/>
  <c r="H455" i="3"/>
  <c r="G456" i="3"/>
  <c r="H456" i="3"/>
  <c r="G457" i="3"/>
  <c r="H457" i="3"/>
  <c r="G458" i="3"/>
  <c r="H458" i="3"/>
  <c r="G459" i="3"/>
  <c r="H459" i="3"/>
  <c r="G460" i="3"/>
  <c r="H460" i="3"/>
  <c r="G461" i="3"/>
  <c r="H461" i="3"/>
  <c r="G462" i="3"/>
  <c r="H462" i="3"/>
  <c r="G463" i="3"/>
  <c r="H463" i="3"/>
  <c r="G464" i="3"/>
  <c r="H464" i="3"/>
  <c r="G465" i="3"/>
  <c r="H465" i="3"/>
  <c r="G466" i="3"/>
  <c r="H466" i="3"/>
  <c r="G467" i="3"/>
  <c r="H467" i="3"/>
  <c r="G468" i="3"/>
  <c r="H468" i="3"/>
  <c r="G469" i="3"/>
  <c r="H469" i="3"/>
  <c r="G470" i="3"/>
  <c r="H470" i="3"/>
  <c r="G471" i="3"/>
  <c r="H471" i="3"/>
  <c r="G472" i="3"/>
  <c r="H472" i="3"/>
  <c r="G473" i="3"/>
  <c r="H473" i="3"/>
  <c r="G474" i="3"/>
  <c r="H474" i="3"/>
  <c r="G475" i="3"/>
  <c r="H475" i="3"/>
  <c r="G476" i="3"/>
  <c r="H476" i="3"/>
  <c r="G477" i="3"/>
  <c r="H477" i="3"/>
  <c r="G478" i="3"/>
  <c r="H478" i="3"/>
  <c r="G479" i="3"/>
  <c r="H479" i="3"/>
  <c r="G480" i="3"/>
  <c r="H480" i="3"/>
  <c r="G481" i="3"/>
  <c r="H481" i="3"/>
  <c r="G482" i="3"/>
  <c r="H482" i="3"/>
  <c r="G483" i="3"/>
  <c r="H483" i="3"/>
  <c r="G484" i="3"/>
  <c r="H484" i="3"/>
  <c r="G485" i="3"/>
  <c r="H485" i="3"/>
  <c r="G486" i="3"/>
  <c r="H486" i="3"/>
  <c r="G487" i="3"/>
  <c r="H487" i="3"/>
  <c r="G488" i="3"/>
  <c r="H488" i="3"/>
  <c r="G489" i="3"/>
  <c r="H489" i="3"/>
  <c r="G490" i="3"/>
  <c r="H490" i="3"/>
  <c r="G491" i="3"/>
  <c r="H491" i="3"/>
  <c r="G492" i="3"/>
  <c r="H492" i="3"/>
  <c r="G493" i="3"/>
  <c r="H493" i="3"/>
  <c r="G494" i="3"/>
  <c r="H494" i="3"/>
  <c r="G495" i="3"/>
  <c r="H495" i="3"/>
  <c r="G496" i="3"/>
  <c r="H496" i="3"/>
  <c r="G497" i="3"/>
  <c r="H497" i="3"/>
  <c r="G498" i="3"/>
  <c r="H498" i="3"/>
  <c r="G499" i="3"/>
  <c r="H499" i="3"/>
  <c r="G500" i="3"/>
  <c r="G501" i="3"/>
  <c r="H501" i="3"/>
  <c r="G502" i="3"/>
  <c r="H502" i="3"/>
  <c r="G503" i="3"/>
  <c r="H503" i="3"/>
  <c r="G504" i="3"/>
  <c r="H504" i="3"/>
  <c r="G505" i="3"/>
  <c r="H505" i="3"/>
  <c r="G506" i="3"/>
  <c r="H506" i="3"/>
  <c r="G507" i="3"/>
  <c r="H507" i="3"/>
  <c r="G508" i="3"/>
  <c r="H508" i="3"/>
  <c r="G509" i="3"/>
  <c r="H509" i="3"/>
  <c r="G510" i="3"/>
  <c r="H510" i="3"/>
  <c r="G511" i="3"/>
  <c r="H511" i="3"/>
  <c r="G512" i="3"/>
  <c r="H512" i="3"/>
  <c r="G513" i="3"/>
  <c r="H513" i="3"/>
  <c r="G514" i="3"/>
  <c r="H514" i="3"/>
  <c r="G515" i="3"/>
  <c r="H515" i="3"/>
  <c r="G516" i="3"/>
  <c r="H516" i="3"/>
  <c r="G517" i="3"/>
  <c r="H517" i="3"/>
  <c r="G518" i="3"/>
  <c r="H518" i="3"/>
  <c r="G519" i="3"/>
  <c r="H519" i="3"/>
  <c r="G520" i="3"/>
  <c r="H520" i="3"/>
  <c r="G521" i="3"/>
  <c r="H521" i="3"/>
  <c r="G522" i="3"/>
  <c r="H522" i="3"/>
  <c r="G523" i="3"/>
  <c r="H523" i="3"/>
  <c r="G524" i="3"/>
  <c r="H524" i="3"/>
  <c r="G525" i="3"/>
  <c r="H525" i="3"/>
  <c r="G526" i="3"/>
  <c r="H526" i="3"/>
  <c r="G527" i="3"/>
  <c r="H527" i="3"/>
  <c r="G528" i="3"/>
  <c r="H528" i="3"/>
  <c r="G529" i="3"/>
  <c r="H529" i="3"/>
  <c r="G530" i="3"/>
  <c r="H530" i="3"/>
  <c r="G531" i="3"/>
  <c r="H531" i="3"/>
  <c r="G532" i="3"/>
  <c r="H532" i="3"/>
  <c r="G533" i="3"/>
  <c r="H533" i="3"/>
  <c r="G534" i="3"/>
  <c r="H534" i="3"/>
  <c r="G535" i="3"/>
  <c r="H535" i="3"/>
  <c r="G536" i="3"/>
  <c r="H536" i="3"/>
  <c r="G537" i="3"/>
  <c r="H537" i="3"/>
  <c r="G538" i="3"/>
  <c r="H538" i="3"/>
  <c r="G539" i="3"/>
  <c r="H539" i="3"/>
  <c r="G540" i="3"/>
  <c r="H540" i="3"/>
  <c r="G541" i="3"/>
  <c r="H541" i="3"/>
  <c r="G542" i="3"/>
  <c r="H542" i="3"/>
  <c r="G543" i="3"/>
  <c r="H543" i="3"/>
  <c r="G544" i="3"/>
  <c r="H544" i="3"/>
  <c r="G545" i="3"/>
  <c r="H545" i="3"/>
  <c r="G546" i="3"/>
  <c r="H546" i="3"/>
  <c r="G547" i="3"/>
  <c r="H547" i="3"/>
  <c r="G548" i="3"/>
  <c r="H548" i="3"/>
  <c r="G549" i="3"/>
  <c r="H549" i="3"/>
  <c r="G550" i="3"/>
  <c r="H550" i="3"/>
  <c r="G551" i="3"/>
  <c r="H551" i="3"/>
  <c r="G552" i="3"/>
  <c r="H552" i="3"/>
  <c r="G553" i="3"/>
  <c r="H553" i="3"/>
  <c r="G554" i="3"/>
  <c r="H554" i="3"/>
  <c r="G555" i="3"/>
  <c r="H555" i="3"/>
  <c r="G556" i="3"/>
  <c r="H556" i="3"/>
  <c r="G557" i="3"/>
  <c r="H557" i="3"/>
  <c r="G558" i="3"/>
  <c r="H558" i="3"/>
  <c r="G559" i="3"/>
  <c r="H559" i="3"/>
  <c r="G560" i="3"/>
  <c r="H560" i="3"/>
  <c r="G561" i="3"/>
  <c r="H561" i="3"/>
  <c r="G562" i="3"/>
  <c r="H562" i="3"/>
  <c r="G563" i="3"/>
  <c r="H563" i="3"/>
  <c r="G564" i="3"/>
  <c r="H564" i="3"/>
  <c r="G565" i="3"/>
  <c r="H565" i="3"/>
  <c r="G566" i="3"/>
  <c r="H566" i="3"/>
  <c r="G567" i="3"/>
  <c r="H567" i="3"/>
  <c r="G568" i="3"/>
  <c r="H568" i="3"/>
  <c r="G569" i="3"/>
  <c r="H569" i="3"/>
  <c r="G570" i="3"/>
  <c r="H570" i="3"/>
  <c r="G571" i="3"/>
  <c r="H571" i="3"/>
  <c r="G572" i="3"/>
  <c r="H572" i="3"/>
  <c r="G573" i="3"/>
  <c r="H573" i="3"/>
  <c r="G574" i="3"/>
  <c r="H574" i="3"/>
  <c r="G575" i="3"/>
  <c r="H575" i="3"/>
  <c r="G576" i="3"/>
  <c r="H576" i="3"/>
  <c r="G577" i="3"/>
  <c r="H577" i="3"/>
  <c r="G578" i="3"/>
  <c r="H578" i="3"/>
  <c r="G579" i="3"/>
  <c r="H579" i="3"/>
  <c r="G580" i="3"/>
  <c r="H580" i="3"/>
  <c r="G581" i="3"/>
  <c r="H581" i="3"/>
  <c r="G582" i="3"/>
  <c r="H582" i="3"/>
  <c r="G583" i="3"/>
  <c r="H583" i="3"/>
  <c r="G584" i="3"/>
  <c r="H584" i="3"/>
  <c r="G585" i="3"/>
  <c r="H585" i="3"/>
  <c r="G586" i="3"/>
  <c r="H586" i="3"/>
  <c r="G587" i="3"/>
  <c r="H587" i="3"/>
  <c r="G588" i="3"/>
  <c r="H588" i="3"/>
  <c r="G589" i="3"/>
  <c r="H589" i="3"/>
  <c r="G590" i="3"/>
  <c r="H590" i="3"/>
  <c r="G591" i="3"/>
  <c r="H591" i="3"/>
  <c r="G592" i="3"/>
  <c r="H592" i="3"/>
  <c r="G593" i="3"/>
  <c r="H593" i="3"/>
  <c r="G594" i="3"/>
  <c r="H594" i="3"/>
  <c r="G595" i="3"/>
  <c r="H595" i="3"/>
  <c r="G596" i="3"/>
  <c r="H596" i="3"/>
  <c r="G597" i="3"/>
  <c r="H597" i="3"/>
  <c r="G598" i="3"/>
  <c r="H598" i="3"/>
  <c r="G599" i="3"/>
  <c r="H599" i="3"/>
  <c r="G600" i="3"/>
  <c r="H600" i="3"/>
  <c r="G601" i="3"/>
  <c r="H601" i="3"/>
  <c r="G603" i="3"/>
  <c r="H603" i="3"/>
  <c r="G604" i="3"/>
  <c r="H604" i="3"/>
  <c r="G605" i="3"/>
  <c r="H605" i="3"/>
  <c r="G606" i="3"/>
  <c r="H606" i="3"/>
  <c r="G607" i="3"/>
  <c r="H607" i="3"/>
  <c r="G608" i="3"/>
  <c r="H608" i="3"/>
  <c r="G609" i="3"/>
  <c r="H609" i="3"/>
  <c r="G610" i="3"/>
  <c r="H610" i="3"/>
  <c r="G611" i="3"/>
  <c r="H611" i="3"/>
  <c r="G612" i="3"/>
  <c r="H612" i="3"/>
  <c r="G614" i="3"/>
  <c r="H614" i="3"/>
  <c r="G615" i="3"/>
  <c r="H615" i="3"/>
  <c r="G616" i="3"/>
  <c r="H616" i="3"/>
  <c r="G617" i="3"/>
  <c r="H617" i="3"/>
  <c r="G618" i="3"/>
  <c r="H618" i="3"/>
  <c r="G619" i="3"/>
  <c r="H619" i="3"/>
  <c r="G620" i="3"/>
  <c r="H620" i="3"/>
  <c r="G621" i="3"/>
  <c r="H621" i="3"/>
  <c r="G622" i="3"/>
  <c r="H622" i="3"/>
  <c r="G623" i="3"/>
  <c r="H623" i="3"/>
  <c r="G624" i="3"/>
  <c r="H624" i="3"/>
  <c r="G625" i="3"/>
  <c r="H625" i="3"/>
  <c r="G626" i="3"/>
  <c r="H626" i="3"/>
  <c r="G627" i="3"/>
  <c r="H627" i="3"/>
  <c r="G628" i="3"/>
  <c r="H628" i="3"/>
  <c r="G629" i="3"/>
  <c r="H629" i="3"/>
  <c r="G630" i="3"/>
  <c r="H630" i="3"/>
  <c r="G631" i="3"/>
  <c r="H631" i="3"/>
  <c r="G632" i="3"/>
  <c r="H632" i="3"/>
  <c r="G633" i="3"/>
  <c r="H633" i="3"/>
  <c r="G634" i="3"/>
  <c r="H634" i="3"/>
  <c r="G635" i="3"/>
  <c r="H635" i="3"/>
  <c r="G636" i="3"/>
  <c r="H636" i="3"/>
  <c r="G637" i="3"/>
  <c r="H637" i="3"/>
  <c r="G638" i="3"/>
  <c r="H638" i="3"/>
  <c r="G639" i="3"/>
  <c r="H639" i="3"/>
  <c r="G640" i="3"/>
  <c r="H640" i="3"/>
  <c r="G641" i="3"/>
  <c r="H641" i="3"/>
  <c r="G642" i="3"/>
  <c r="H642" i="3"/>
  <c r="G643" i="3"/>
  <c r="H643" i="3"/>
  <c r="G644" i="3"/>
  <c r="H644" i="3"/>
  <c r="G645" i="3"/>
  <c r="H645" i="3"/>
  <c r="G646" i="3"/>
  <c r="H646" i="3"/>
  <c r="G647" i="3"/>
  <c r="H647" i="3"/>
  <c r="G648" i="3"/>
  <c r="H648" i="3"/>
  <c r="G649" i="3"/>
  <c r="H649" i="3"/>
  <c r="G650" i="3"/>
  <c r="H650" i="3"/>
  <c r="G651" i="3"/>
  <c r="H651" i="3"/>
  <c r="G652" i="3"/>
  <c r="H652" i="3"/>
  <c r="G653" i="3"/>
  <c r="H653" i="3"/>
  <c r="G654" i="3"/>
  <c r="H654" i="3"/>
  <c r="G655" i="3"/>
  <c r="H655" i="3"/>
  <c r="G656" i="3"/>
  <c r="H656" i="3"/>
  <c r="G657" i="3"/>
  <c r="H657" i="3"/>
  <c r="G659" i="3"/>
  <c r="H659" i="3"/>
  <c r="G660" i="3"/>
  <c r="H660" i="3"/>
  <c r="G661" i="3"/>
  <c r="H661" i="3"/>
  <c r="G662" i="3"/>
  <c r="H662" i="3"/>
  <c r="G663" i="3"/>
  <c r="H663" i="3"/>
  <c r="G664" i="3"/>
  <c r="H664" i="3"/>
  <c r="G665" i="3"/>
  <c r="H665" i="3"/>
  <c r="G666" i="3"/>
  <c r="H666" i="3"/>
  <c r="G667" i="3"/>
  <c r="H667" i="3"/>
  <c r="G668" i="3"/>
  <c r="H668" i="3"/>
  <c r="G669" i="3"/>
  <c r="H669" i="3"/>
  <c r="G670" i="3"/>
  <c r="H670" i="3"/>
  <c r="G671" i="3"/>
  <c r="H671" i="3"/>
  <c r="G672" i="3"/>
  <c r="H672" i="3"/>
  <c r="G673" i="3"/>
  <c r="H673" i="3"/>
  <c r="G674" i="3"/>
  <c r="H674" i="3"/>
  <c r="G675" i="3"/>
  <c r="H675" i="3"/>
  <c r="G676" i="3"/>
  <c r="H676" i="3"/>
  <c r="G677" i="3"/>
  <c r="H677" i="3"/>
  <c r="G678" i="3"/>
  <c r="H678" i="3"/>
  <c r="G679" i="3"/>
  <c r="H679" i="3"/>
  <c r="G680" i="3"/>
  <c r="H680" i="3"/>
  <c r="G681" i="3"/>
  <c r="H681" i="3"/>
  <c r="G682" i="3"/>
  <c r="H682" i="3"/>
  <c r="G683" i="3"/>
  <c r="H683" i="3"/>
  <c r="G684" i="3"/>
  <c r="H684" i="3"/>
  <c r="G685" i="3"/>
  <c r="H685" i="3"/>
  <c r="G686" i="3"/>
  <c r="H686" i="3"/>
  <c r="G687" i="3"/>
  <c r="H687" i="3"/>
  <c r="G688" i="3"/>
  <c r="H688" i="3"/>
  <c r="G689" i="3"/>
  <c r="H689" i="3"/>
  <c r="G690" i="3"/>
  <c r="H690" i="3"/>
  <c r="G691" i="3"/>
  <c r="H691" i="3"/>
  <c r="G692" i="3"/>
  <c r="H692" i="3"/>
  <c r="G693" i="3"/>
  <c r="H693" i="3"/>
  <c r="G694" i="3"/>
  <c r="H694" i="3"/>
  <c r="G695" i="3"/>
  <c r="H695" i="3"/>
  <c r="G696" i="3"/>
  <c r="H696" i="3"/>
  <c r="G697" i="3"/>
  <c r="H697" i="3"/>
  <c r="G698" i="3"/>
  <c r="H698" i="3"/>
  <c r="G699" i="3"/>
  <c r="H699" i="3"/>
  <c r="G700" i="3"/>
  <c r="H700" i="3"/>
  <c r="G701" i="3"/>
  <c r="H701" i="3"/>
  <c r="G702" i="3"/>
  <c r="H702" i="3"/>
  <c r="G703" i="3"/>
  <c r="H703" i="3"/>
  <c r="G704" i="3"/>
  <c r="H704" i="3"/>
  <c r="G705" i="3"/>
  <c r="H705" i="3"/>
  <c r="G706" i="3"/>
  <c r="H706" i="3"/>
  <c r="G707" i="3"/>
  <c r="H707" i="3"/>
  <c r="G708" i="3"/>
  <c r="H708" i="3"/>
  <c r="G709" i="3"/>
  <c r="H709" i="3"/>
  <c r="G710" i="3"/>
  <c r="H710" i="3"/>
  <c r="G711" i="3"/>
  <c r="H711" i="3"/>
  <c r="G712" i="3"/>
  <c r="H712" i="3"/>
  <c r="G713" i="3"/>
  <c r="H713" i="3"/>
  <c r="G714" i="3"/>
  <c r="H714" i="3"/>
  <c r="G715" i="3"/>
  <c r="H715" i="3"/>
  <c r="G716" i="3"/>
  <c r="H716" i="3"/>
  <c r="G717" i="3"/>
  <c r="H717" i="3"/>
  <c r="G718" i="3"/>
  <c r="H718" i="3"/>
  <c r="G719" i="3"/>
  <c r="H719" i="3"/>
  <c r="G720" i="3"/>
  <c r="H720" i="3"/>
  <c r="G721" i="3"/>
  <c r="H721" i="3"/>
  <c r="G722" i="3"/>
  <c r="H722" i="3"/>
  <c r="G723" i="3"/>
  <c r="H723" i="3"/>
  <c r="G724" i="3"/>
  <c r="H724" i="3"/>
  <c r="G725" i="3"/>
  <c r="H725" i="3"/>
  <c r="G726" i="3"/>
  <c r="H726" i="3"/>
  <c r="G727" i="3"/>
  <c r="H727" i="3"/>
  <c r="G728" i="3"/>
  <c r="H728" i="3"/>
  <c r="G729" i="3"/>
  <c r="H729" i="3"/>
  <c r="G730" i="3"/>
  <c r="H730" i="3"/>
  <c r="G731" i="3"/>
  <c r="H731" i="3"/>
  <c r="G732" i="3"/>
  <c r="H732" i="3"/>
  <c r="G733" i="3"/>
  <c r="H733" i="3"/>
  <c r="G734" i="3"/>
  <c r="H734" i="3"/>
  <c r="G735" i="3"/>
  <c r="H735" i="3"/>
  <c r="G736" i="3"/>
  <c r="H736" i="3"/>
  <c r="G737" i="3"/>
  <c r="H737" i="3"/>
  <c r="G738" i="3"/>
  <c r="H738" i="3"/>
  <c r="G739" i="3"/>
  <c r="H739" i="3"/>
  <c r="G740" i="3"/>
  <c r="H740" i="3"/>
  <c r="G741" i="3"/>
  <c r="H741" i="3"/>
  <c r="G742" i="3"/>
  <c r="H742" i="3"/>
  <c r="G743" i="3"/>
  <c r="H743" i="3"/>
  <c r="G744" i="3"/>
  <c r="H744" i="3"/>
  <c r="G745" i="3"/>
  <c r="H745" i="3"/>
  <c r="G746" i="3"/>
  <c r="H746" i="3"/>
  <c r="G747" i="3"/>
  <c r="H747" i="3"/>
  <c r="G748" i="3"/>
  <c r="H748" i="3"/>
  <c r="G749" i="3"/>
  <c r="H749" i="3"/>
  <c r="G750" i="3"/>
  <c r="H750" i="3"/>
  <c r="G751" i="3"/>
  <c r="H751" i="3"/>
  <c r="G752" i="3"/>
  <c r="H752" i="3"/>
  <c r="G753" i="3"/>
  <c r="H753" i="3"/>
  <c r="G754" i="3"/>
  <c r="H754" i="3"/>
  <c r="G755" i="3"/>
  <c r="H755" i="3"/>
  <c r="G756" i="3"/>
  <c r="H756" i="3"/>
  <c r="G757" i="3"/>
  <c r="H757" i="3"/>
  <c r="G758" i="3"/>
  <c r="H758" i="3"/>
  <c r="G759" i="3"/>
  <c r="H759" i="3"/>
  <c r="G760" i="3"/>
  <c r="H760" i="3"/>
  <c r="G761" i="3"/>
  <c r="H761" i="3"/>
  <c r="G762" i="3"/>
  <c r="H762" i="3"/>
  <c r="G763" i="3"/>
  <c r="H763" i="3"/>
  <c r="G764" i="3"/>
  <c r="H764" i="3"/>
  <c r="G765" i="3"/>
  <c r="H765" i="3"/>
  <c r="G766" i="3"/>
  <c r="H766" i="3"/>
  <c r="G767" i="3"/>
  <c r="H767" i="3"/>
  <c r="G768" i="3"/>
  <c r="H768" i="3"/>
  <c r="G769" i="3"/>
  <c r="H769" i="3"/>
  <c r="G770" i="3"/>
  <c r="H770" i="3"/>
  <c r="G771" i="3"/>
  <c r="H771" i="3"/>
  <c r="G772" i="3"/>
  <c r="H772" i="3"/>
  <c r="G773" i="3"/>
  <c r="H773" i="3"/>
  <c r="G774" i="3"/>
  <c r="H774" i="3"/>
  <c r="G775" i="3"/>
  <c r="H775" i="3"/>
  <c r="G776" i="3"/>
  <c r="H776" i="3"/>
  <c r="G777" i="3"/>
  <c r="H777" i="3"/>
  <c r="G778" i="3"/>
  <c r="H778" i="3"/>
  <c r="G779" i="3"/>
  <c r="H779" i="3"/>
  <c r="G780" i="3"/>
  <c r="H780" i="3"/>
  <c r="G781" i="3"/>
  <c r="H781" i="3"/>
  <c r="G782" i="3"/>
  <c r="H782" i="3"/>
  <c r="G783" i="3"/>
  <c r="H783" i="3"/>
  <c r="G784" i="3"/>
  <c r="H784" i="3"/>
  <c r="G785" i="3"/>
  <c r="H785" i="3"/>
  <c r="G786" i="3"/>
  <c r="H786" i="3"/>
  <c r="G787" i="3"/>
  <c r="H787" i="3"/>
  <c r="G788" i="3"/>
  <c r="H788" i="3"/>
  <c r="G789" i="3"/>
  <c r="H789" i="3"/>
  <c r="G790" i="3"/>
  <c r="H790" i="3"/>
  <c r="G791" i="3"/>
  <c r="H791" i="3"/>
  <c r="G792" i="3"/>
  <c r="H792" i="3"/>
  <c r="G793" i="3"/>
  <c r="H793" i="3"/>
  <c r="G794" i="3"/>
  <c r="H794" i="3"/>
  <c r="G795" i="3"/>
  <c r="H795" i="3"/>
  <c r="G796" i="3"/>
  <c r="H796" i="3"/>
  <c r="G797" i="3"/>
  <c r="H797" i="3"/>
  <c r="G798" i="3"/>
  <c r="H798" i="3"/>
  <c r="G799" i="3"/>
  <c r="H799" i="3"/>
  <c r="G800" i="3"/>
  <c r="H800" i="3"/>
  <c r="G801" i="3"/>
  <c r="H801" i="3"/>
  <c r="G802" i="3"/>
  <c r="H802" i="3"/>
  <c r="G803" i="3"/>
  <c r="H803" i="3"/>
  <c r="G804" i="3"/>
  <c r="H804" i="3"/>
  <c r="G805" i="3"/>
  <c r="H805" i="3"/>
  <c r="G806" i="3"/>
  <c r="H806" i="3"/>
  <c r="G807" i="3"/>
  <c r="H807" i="3"/>
  <c r="G808" i="3"/>
  <c r="H808" i="3"/>
  <c r="G809" i="3"/>
  <c r="H809" i="3"/>
  <c r="G810" i="3"/>
  <c r="H810" i="3"/>
  <c r="G811" i="3"/>
  <c r="H811" i="3"/>
  <c r="G812" i="3"/>
  <c r="H812" i="3"/>
  <c r="G813" i="3"/>
  <c r="H813" i="3"/>
  <c r="G814" i="3"/>
  <c r="H814" i="3"/>
  <c r="G815" i="3"/>
  <c r="H815" i="3"/>
  <c r="G816" i="3"/>
  <c r="H816" i="3"/>
  <c r="G817" i="3"/>
  <c r="H817" i="3"/>
  <c r="G818" i="3"/>
  <c r="H818" i="3"/>
  <c r="G819" i="3"/>
  <c r="H819" i="3"/>
  <c r="G820" i="3"/>
  <c r="H820" i="3"/>
  <c r="G821" i="3"/>
  <c r="H821" i="3"/>
  <c r="G822" i="3"/>
  <c r="H822" i="3"/>
  <c r="G823" i="3"/>
  <c r="H823" i="3"/>
  <c r="G824" i="3"/>
  <c r="H824" i="3"/>
  <c r="G825" i="3"/>
  <c r="H825" i="3"/>
  <c r="G826" i="3"/>
  <c r="H826" i="3"/>
  <c r="G827" i="3"/>
  <c r="H827" i="3"/>
  <c r="G828" i="3"/>
  <c r="H828" i="3"/>
  <c r="G829" i="3"/>
  <c r="H829" i="3"/>
  <c r="G830" i="3"/>
  <c r="H830" i="3"/>
  <c r="G831" i="3"/>
  <c r="H831" i="3"/>
  <c r="G832" i="3"/>
  <c r="H832" i="3"/>
  <c r="G833" i="3"/>
  <c r="H833" i="3"/>
  <c r="G834" i="3"/>
  <c r="H834" i="3"/>
  <c r="G835" i="3"/>
  <c r="H835" i="3"/>
  <c r="G836" i="3"/>
  <c r="H836" i="3"/>
  <c r="G837" i="3"/>
  <c r="H837" i="3"/>
  <c r="G838" i="3"/>
  <c r="H838" i="3"/>
  <c r="G839" i="3"/>
  <c r="H839" i="3"/>
  <c r="G840" i="3"/>
  <c r="H840" i="3"/>
  <c r="G841" i="3"/>
  <c r="H841" i="3"/>
  <c r="G842" i="3"/>
  <c r="H842" i="3"/>
  <c r="G843" i="3"/>
  <c r="H843" i="3"/>
  <c r="G844" i="3"/>
  <c r="H844" i="3"/>
  <c r="G845" i="3"/>
  <c r="H845" i="3"/>
  <c r="G846" i="3"/>
  <c r="H846" i="3"/>
  <c r="G847" i="3"/>
  <c r="H847" i="3"/>
  <c r="G848" i="3"/>
  <c r="H848" i="3"/>
  <c r="G849" i="3"/>
  <c r="H849" i="3"/>
  <c r="G850" i="3"/>
  <c r="H850" i="3"/>
  <c r="G851" i="3"/>
  <c r="H851" i="3"/>
  <c r="G852" i="3"/>
  <c r="H852" i="3"/>
  <c r="G853" i="3"/>
  <c r="H853" i="3"/>
  <c r="G854" i="3"/>
  <c r="H854" i="3"/>
  <c r="G855" i="3"/>
  <c r="H855" i="3"/>
  <c r="G856" i="3"/>
  <c r="H856" i="3"/>
  <c r="G857" i="3"/>
  <c r="H857" i="3"/>
  <c r="G858" i="3"/>
  <c r="H858" i="3"/>
  <c r="G859" i="3"/>
  <c r="H859" i="3"/>
  <c r="G860" i="3"/>
  <c r="H860" i="3"/>
  <c r="G861" i="3"/>
  <c r="H861" i="3"/>
  <c r="G862" i="3"/>
  <c r="H862" i="3"/>
  <c r="G863" i="3"/>
  <c r="H863" i="3"/>
  <c r="G864" i="3"/>
  <c r="H864" i="3"/>
  <c r="G865" i="3"/>
  <c r="H865" i="3"/>
  <c r="G866" i="3"/>
  <c r="H866" i="3"/>
  <c r="G867" i="3"/>
  <c r="H867" i="3"/>
  <c r="G868" i="3"/>
  <c r="H868" i="3"/>
  <c r="G869" i="3"/>
  <c r="H869" i="3"/>
  <c r="G870" i="3"/>
  <c r="H870" i="3"/>
  <c r="G871" i="3"/>
  <c r="H871" i="3"/>
  <c r="G872" i="3"/>
  <c r="H872" i="3"/>
  <c r="G873" i="3"/>
  <c r="H873" i="3"/>
  <c r="G874" i="3"/>
  <c r="H874" i="3"/>
  <c r="G875" i="3"/>
  <c r="H875" i="3"/>
  <c r="G876" i="3"/>
  <c r="H876" i="3"/>
  <c r="G877" i="3"/>
  <c r="H877" i="3"/>
  <c r="G878" i="3"/>
  <c r="H878" i="3"/>
  <c r="G879" i="3"/>
  <c r="H879" i="3"/>
  <c r="G880" i="3"/>
  <c r="H880" i="3"/>
  <c r="G881" i="3"/>
  <c r="H881" i="3"/>
  <c r="G882" i="3"/>
  <c r="H882" i="3"/>
  <c r="G883" i="3"/>
  <c r="H883" i="3"/>
  <c r="G884" i="3"/>
  <c r="H884" i="3"/>
  <c r="G885" i="3"/>
  <c r="H885" i="3"/>
  <c r="G886" i="3"/>
  <c r="H886" i="3"/>
  <c r="G887" i="3"/>
  <c r="H887" i="3"/>
  <c r="G888" i="3"/>
  <c r="H888" i="3"/>
  <c r="G889" i="3"/>
  <c r="H889" i="3"/>
  <c r="G890" i="3"/>
  <c r="H890" i="3"/>
  <c r="G891" i="3"/>
  <c r="H891" i="3"/>
  <c r="G892" i="3"/>
  <c r="H892" i="3"/>
  <c r="G893" i="3"/>
  <c r="H893" i="3"/>
  <c r="G894" i="3"/>
  <c r="H894" i="3"/>
  <c r="G895" i="3"/>
  <c r="H895" i="3"/>
  <c r="G896" i="3"/>
  <c r="H896" i="3"/>
  <c r="G897" i="3"/>
  <c r="H897" i="3"/>
  <c r="G898" i="3"/>
  <c r="H898" i="3"/>
  <c r="G899" i="3"/>
  <c r="H899" i="3"/>
  <c r="G900" i="3"/>
  <c r="H900" i="3"/>
  <c r="G901" i="3"/>
  <c r="H901" i="3"/>
  <c r="G902" i="3"/>
  <c r="H902" i="3"/>
  <c r="G903" i="3"/>
  <c r="H903" i="3"/>
  <c r="G904" i="3"/>
  <c r="H904" i="3"/>
  <c r="G905" i="3"/>
  <c r="H905" i="3"/>
  <c r="G906" i="3"/>
  <c r="H906" i="3"/>
  <c r="G907" i="3"/>
  <c r="H907" i="3"/>
  <c r="G908" i="3"/>
  <c r="H908" i="3"/>
  <c r="G909" i="3"/>
  <c r="H909" i="3"/>
  <c r="G910" i="3"/>
  <c r="H910" i="3"/>
  <c r="G911" i="3"/>
  <c r="H911" i="3"/>
  <c r="G912" i="3"/>
  <c r="H912" i="3"/>
  <c r="G913" i="3"/>
  <c r="H913" i="3"/>
  <c r="G914" i="3"/>
  <c r="H914" i="3"/>
  <c r="G915" i="3"/>
  <c r="H915" i="3"/>
  <c r="G916" i="3"/>
  <c r="H916" i="3"/>
  <c r="G917" i="3"/>
  <c r="H917" i="3"/>
  <c r="G918" i="3"/>
  <c r="H918" i="3"/>
  <c r="G919" i="3"/>
  <c r="H919" i="3"/>
  <c r="G920" i="3"/>
  <c r="H920" i="3"/>
  <c r="G921" i="3"/>
  <c r="H921" i="3"/>
  <c r="G922" i="3"/>
  <c r="H922" i="3"/>
  <c r="G923" i="3"/>
  <c r="H923" i="3"/>
  <c r="G924" i="3"/>
  <c r="H924" i="3"/>
  <c r="G925" i="3"/>
  <c r="H925" i="3"/>
  <c r="G926" i="3"/>
  <c r="H926" i="3"/>
  <c r="G927" i="3"/>
  <c r="H927" i="3"/>
  <c r="G928" i="3"/>
  <c r="H928" i="3"/>
  <c r="G929" i="3"/>
  <c r="H929" i="3"/>
  <c r="G930" i="3"/>
  <c r="H930" i="3"/>
  <c r="G931" i="3"/>
  <c r="H931" i="3"/>
  <c r="G932" i="3"/>
  <c r="H932" i="3"/>
  <c r="G933" i="3"/>
  <c r="H933" i="3"/>
  <c r="G934" i="3"/>
  <c r="H934" i="3"/>
  <c r="G935" i="3"/>
  <c r="H935" i="3"/>
  <c r="G936" i="3"/>
  <c r="H936" i="3"/>
  <c r="G937" i="3"/>
  <c r="H937" i="3"/>
  <c r="G938" i="3"/>
  <c r="H938" i="3"/>
  <c r="G939" i="3"/>
  <c r="H939" i="3"/>
  <c r="G940" i="3"/>
  <c r="H940" i="3"/>
  <c r="G941" i="3"/>
  <c r="H941" i="3"/>
  <c r="G942" i="3"/>
  <c r="H942" i="3"/>
  <c r="G943" i="3"/>
  <c r="H943" i="3"/>
  <c r="G944" i="3"/>
  <c r="H944" i="3"/>
  <c r="G945" i="3"/>
  <c r="H945" i="3"/>
  <c r="G946" i="3"/>
  <c r="H946" i="3"/>
  <c r="G947" i="3"/>
  <c r="H947" i="3"/>
  <c r="G948" i="3"/>
  <c r="H948" i="3"/>
  <c r="G949" i="3"/>
  <c r="H949" i="3"/>
  <c r="G950" i="3"/>
  <c r="H950" i="3"/>
  <c r="G951" i="3"/>
  <c r="H951" i="3"/>
  <c r="G952" i="3"/>
  <c r="H952" i="3"/>
  <c r="G953" i="3"/>
  <c r="H953" i="3"/>
  <c r="G954" i="3"/>
  <c r="H954" i="3"/>
  <c r="G955" i="3"/>
  <c r="H955" i="3"/>
  <c r="G956" i="3"/>
  <c r="H956" i="3"/>
  <c r="G957" i="3"/>
  <c r="H957" i="3"/>
  <c r="G958" i="3"/>
  <c r="H958" i="3"/>
  <c r="G959" i="3"/>
  <c r="H959" i="3"/>
  <c r="G960" i="3"/>
  <c r="H960" i="3"/>
  <c r="G961" i="3"/>
  <c r="H961" i="3"/>
  <c r="G962" i="3"/>
  <c r="H962" i="3"/>
  <c r="G963" i="3"/>
  <c r="H963" i="3"/>
  <c r="G964" i="3"/>
  <c r="H964" i="3"/>
  <c r="G965" i="3"/>
  <c r="H965" i="3"/>
  <c r="G966" i="3"/>
  <c r="H966" i="3"/>
  <c r="G967" i="3"/>
  <c r="H967" i="3"/>
  <c r="G968" i="3"/>
  <c r="H968" i="3"/>
  <c r="G969" i="3"/>
  <c r="H969" i="3"/>
  <c r="G970" i="3"/>
  <c r="H970" i="3"/>
  <c r="G971" i="3"/>
  <c r="H971" i="3"/>
  <c r="G972" i="3"/>
  <c r="H972" i="3"/>
  <c r="G973" i="3"/>
  <c r="H973" i="3"/>
  <c r="G974" i="3"/>
  <c r="H974" i="3"/>
  <c r="G975" i="3"/>
  <c r="H975" i="3"/>
  <c r="G976" i="3"/>
  <c r="H976" i="3"/>
  <c r="G977" i="3"/>
  <c r="H977" i="3"/>
  <c r="G978" i="3"/>
  <c r="H978" i="3"/>
  <c r="G979" i="3"/>
  <c r="H979" i="3"/>
  <c r="G980" i="3"/>
  <c r="H980" i="3"/>
  <c r="G981" i="3"/>
  <c r="H981" i="3"/>
  <c r="G982" i="3"/>
  <c r="H982" i="3"/>
  <c r="G983" i="3"/>
  <c r="H983" i="3"/>
  <c r="G984" i="3"/>
  <c r="H984" i="3"/>
  <c r="G985" i="3"/>
  <c r="H985" i="3"/>
  <c r="G986" i="3"/>
  <c r="H986" i="3"/>
  <c r="G987" i="3"/>
  <c r="H987" i="3"/>
  <c r="G988" i="3"/>
  <c r="H988" i="3"/>
  <c r="G989" i="3"/>
  <c r="H989" i="3"/>
  <c r="G990" i="3"/>
  <c r="H990" i="3"/>
  <c r="G991" i="3"/>
  <c r="H991" i="3"/>
  <c r="G992" i="3"/>
  <c r="H992" i="3"/>
  <c r="G993" i="3"/>
  <c r="H993" i="3"/>
  <c r="G994" i="3"/>
  <c r="H994" i="3"/>
  <c r="G995" i="3"/>
  <c r="H995" i="3"/>
  <c r="G996" i="3"/>
  <c r="H996" i="3"/>
  <c r="G997" i="3"/>
  <c r="H997" i="3"/>
  <c r="G998" i="3"/>
  <c r="H998" i="3"/>
  <c r="G999" i="3"/>
  <c r="H999" i="3"/>
  <c r="G1000" i="3"/>
  <c r="H1000" i="3"/>
  <c r="G1001" i="3"/>
  <c r="H1001" i="3"/>
  <c r="G1002" i="3"/>
  <c r="H1002" i="3"/>
  <c r="G1003" i="3"/>
  <c r="H1003" i="3"/>
  <c r="G1004" i="3"/>
  <c r="H1004" i="3"/>
  <c r="G1005" i="3"/>
  <c r="H1005" i="3"/>
  <c r="G1006" i="3"/>
  <c r="H1006" i="3"/>
  <c r="G1007" i="3"/>
  <c r="H1007" i="3"/>
  <c r="G1008" i="3"/>
  <c r="H1008" i="3"/>
  <c r="G1009" i="3"/>
  <c r="H1009" i="3"/>
  <c r="G1010" i="3"/>
  <c r="H1010" i="3"/>
  <c r="G1011" i="3"/>
  <c r="H1011" i="3"/>
  <c r="G1012" i="3"/>
  <c r="H1012" i="3"/>
  <c r="G1013" i="3"/>
  <c r="H1013" i="3"/>
  <c r="G1014" i="3"/>
  <c r="H1014" i="3"/>
  <c r="G1015" i="3"/>
  <c r="H1015" i="3"/>
  <c r="G1016" i="3"/>
  <c r="H1016" i="3"/>
  <c r="G1017" i="3"/>
  <c r="H1017" i="3"/>
  <c r="G1018" i="3"/>
  <c r="H1018" i="3"/>
  <c r="G1019" i="3"/>
  <c r="H1019" i="3"/>
  <c r="G1020" i="3"/>
  <c r="H1020" i="3"/>
  <c r="G1021" i="3"/>
  <c r="H1021" i="3"/>
  <c r="G1022" i="3"/>
  <c r="H1022" i="3"/>
  <c r="G1023" i="3"/>
  <c r="H1023" i="3"/>
  <c r="G1024" i="3"/>
  <c r="H1024" i="3"/>
  <c r="G1025" i="3"/>
  <c r="H1025" i="3"/>
  <c r="G1026" i="3"/>
  <c r="H1026" i="3"/>
  <c r="G1027" i="3"/>
  <c r="H1027" i="3"/>
  <c r="G1028" i="3"/>
  <c r="H1028" i="3"/>
  <c r="G1029" i="3"/>
  <c r="H1029" i="3"/>
  <c r="G1030" i="3"/>
  <c r="H1030" i="3"/>
  <c r="G1031" i="3"/>
  <c r="H1031" i="3"/>
  <c r="G1032" i="3"/>
  <c r="H1032" i="3"/>
  <c r="G1033" i="3"/>
  <c r="H1033" i="3"/>
  <c r="G1034" i="3"/>
  <c r="H1034" i="3"/>
  <c r="G1035" i="3"/>
  <c r="H1035" i="3"/>
  <c r="G1036" i="3"/>
  <c r="H1036" i="3"/>
  <c r="G1037" i="3"/>
  <c r="H1037" i="3"/>
  <c r="G1038" i="3"/>
  <c r="H1038" i="3"/>
  <c r="G1039" i="3"/>
  <c r="H1039" i="3"/>
  <c r="G1040" i="3"/>
  <c r="H1040" i="3"/>
  <c r="G1041" i="3"/>
  <c r="H1041" i="3"/>
  <c r="G1042" i="3"/>
  <c r="H1042" i="3"/>
  <c r="G1043" i="3"/>
  <c r="H1043" i="3"/>
  <c r="G1044" i="3"/>
  <c r="H1044" i="3"/>
  <c r="G1045" i="3"/>
  <c r="H1045" i="3"/>
  <c r="G1046" i="3"/>
  <c r="H1046" i="3"/>
  <c r="G1047" i="3"/>
  <c r="H1047" i="3"/>
  <c r="G1048" i="3"/>
  <c r="H1048" i="3"/>
  <c r="G1049" i="3"/>
  <c r="H1049" i="3"/>
  <c r="G1050" i="3"/>
  <c r="H1050" i="3"/>
  <c r="G1051" i="3"/>
  <c r="H1051" i="3"/>
  <c r="G1052" i="3"/>
  <c r="H1052" i="3"/>
  <c r="G1053" i="3"/>
  <c r="H1053" i="3"/>
  <c r="G1054" i="3"/>
  <c r="H1054" i="3"/>
  <c r="G1055" i="3"/>
  <c r="H1055" i="3"/>
  <c r="G1056" i="3"/>
  <c r="H1056" i="3"/>
  <c r="G1057" i="3"/>
  <c r="H1057" i="3"/>
  <c r="G1058" i="3"/>
  <c r="H1058" i="3"/>
  <c r="G1059" i="3"/>
  <c r="H1059" i="3"/>
  <c r="G1060" i="3"/>
  <c r="H1060" i="3"/>
  <c r="G1061" i="3"/>
  <c r="H1061" i="3"/>
  <c r="G1062" i="3"/>
  <c r="H1062" i="3"/>
  <c r="G1063" i="3"/>
  <c r="H1063" i="3"/>
  <c r="G1064" i="3"/>
  <c r="H1064" i="3"/>
  <c r="G1065" i="3"/>
  <c r="H1065" i="3"/>
  <c r="G1066" i="3"/>
  <c r="H1066" i="3"/>
  <c r="G1067" i="3"/>
  <c r="H1067" i="3"/>
  <c r="G1068" i="3"/>
  <c r="H1068" i="3"/>
  <c r="G1069" i="3"/>
  <c r="H1069" i="3"/>
  <c r="G1070" i="3"/>
  <c r="H1070" i="3"/>
  <c r="G1071" i="3"/>
  <c r="H1071" i="3"/>
  <c r="G1072" i="3"/>
  <c r="H1072" i="3"/>
  <c r="G1073" i="3"/>
  <c r="H1073" i="3"/>
  <c r="G1074" i="3"/>
  <c r="H1074" i="3"/>
  <c r="G1075" i="3"/>
  <c r="H1075" i="3"/>
  <c r="G1076" i="3"/>
  <c r="H1076" i="3"/>
  <c r="G1077" i="3"/>
  <c r="H1077" i="3"/>
  <c r="G1078" i="3"/>
  <c r="H1078" i="3"/>
  <c r="G1079" i="3"/>
  <c r="H1079" i="3"/>
  <c r="G1080" i="3"/>
  <c r="H1080" i="3"/>
  <c r="G1081" i="3"/>
  <c r="H1081" i="3"/>
  <c r="G1082" i="3"/>
  <c r="H1082" i="3"/>
  <c r="G1083" i="3"/>
  <c r="H1083" i="3"/>
  <c r="G1084" i="3"/>
  <c r="H1084" i="3"/>
  <c r="G1085" i="3"/>
  <c r="H1085" i="3"/>
  <c r="G1086" i="3"/>
  <c r="H1086" i="3"/>
  <c r="G1087" i="3"/>
  <c r="H1087" i="3"/>
  <c r="G1088" i="3"/>
  <c r="H1088" i="3"/>
  <c r="G1089" i="3"/>
  <c r="H1089" i="3"/>
  <c r="G1090" i="3"/>
  <c r="H1090" i="3"/>
  <c r="G1091" i="3"/>
  <c r="H1091" i="3"/>
  <c r="G1092" i="3"/>
  <c r="H1092" i="3"/>
  <c r="G1093" i="3"/>
  <c r="H1093" i="3"/>
  <c r="G1094" i="3"/>
  <c r="H1094" i="3"/>
  <c r="G1095" i="3"/>
  <c r="H1095" i="3"/>
  <c r="G1096" i="3"/>
  <c r="H1096" i="3"/>
  <c r="G1097" i="3"/>
  <c r="H1097" i="3"/>
  <c r="G1098" i="3"/>
  <c r="H1098" i="3"/>
  <c r="G1099" i="3"/>
  <c r="H1099" i="3"/>
  <c r="G1100" i="3"/>
  <c r="H1100" i="3"/>
  <c r="G1101" i="3"/>
  <c r="H1101" i="3"/>
  <c r="G1102" i="3"/>
  <c r="H1102" i="3"/>
  <c r="G1103" i="3"/>
  <c r="H1103" i="3"/>
  <c r="G1104" i="3"/>
  <c r="H1104" i="3"/>
  <c r="G1105" i="3"/>
  <c r="H1105" i="3"/>
  <c r="G1106" i="3"/>
  <c r="H1106" i="3"/>
  <c r="G1107" i="3"/>
  <c r="H1107" i="3"/>
  <c r="G1108" i="3"/>
  <c r="H1108" i="3"/>
  <c r="G1109" i="3"/>
  <c r="H1109" i="3"/>
  <c r="G1110" i="3"/>
  <c r="H1110" i="3"/>
  <c r="G1111" i="3"/>
  <c r="H1111" i="3"/>
  <c r="G1112" i="3"/>
  <c r="H1112" i="3"/>
  <c r="G1113" i="3"/>
  <c r="H1113" i="3"/>
  <c r="G1114" i="3"/>
  <c r="H1114" i="3"/>
  <c r="G1115" i="3"/>
  <c r="H1115" i="3"/>
  <c r="G1116" i="3"/>
  <c r="H1116" i="3"/>
  <c r="G1117" i="3"/>
  <c r="H1117" i="3"/>
  <c r="G1118" i="3"/>
  <c r="H1118" i="3"/>
  <c r="G1119" i="3"/>
  <c r="H1119" i="3"/>
  <c r="G1120" i="3"/>
  <c r="H1120" i="3"/>
  <c r="G1121" i="3"/>
  <c r="H1121" i="3"/>
  <c r="G1122" i="3"/>
  <c r="H1122" i="3"/>
  <c r="G1123" i="3"/>
  <c r="H1123" i="3"/>
  <c r="G1124" i="3"/>
  <c r="H1124" i="3"/>
  <c r="G1125" i="3"/>
  <c r="H1125" i="3"/>
  <c r="G1126" i="3"/>
  <c r="H1126" i="3"/>
  <c r="G1127" i="3"/>
  <c r="H1127" i="3"/>
  <c r="G1128" i="3"/>
  <c r="H1128" i="3"/>
  <c r="G1129" i="3"/>
  <c r="H1129" i="3"/>
  <c r="G1130" i="3"/>
  <c r="H1130" i="3"/>
  <c r="G1131" i="3"/>
  <c r="H1131" i="3"/>
  <c r="G1132" i="3"/>
  <c r="H1132" i="3"/>
  <c r="G1133" i="3"/>
  <c r="H1133" i="3"/>
  <c r="G1134" i="3"/>
  <c r="H1134" i="3"/>
  <c r="G1135" i="3"/>
  <c r="H1135" i="3"/>
  <c r="G1136" i="3"/>
  <c r="H1136" i="3"/>
  <c r="G1137" i="3"/>
  <c r="H1137" i="3"/>
  <c r="G1138" i="3"/>
  <c r="H1138" i="3"/>
  <c r="G1139" i="3"/>
  <c r="H1139" i="3"/>
  <c r="G1140" i="3"/>
  <c r="H1140" i="3"/>
  <c r="G1141" i="3"/>
  <c r="H1141" i="3"/>
  <c r="G1142" i="3"/>
  <c r="H1142" i="3"/>
  <c r="G1143" i="3"/>
  <c r="H1143" i="3"/>
  <c r="G1144" i="3"/>
  <c r="H1144" i="3"/>
  <c r="G1145" i="3"/>
  <c r="H1145" i="3"/>
  <c r="G1146" i="3"/>
  <c r="H1146" i="3"/>
  <c r="G1147" i="3"/>
  <c r="H1147" i="3"/>
  <c r="G1148" i="3"/>
  <c r="H1148" i="3"/>
  <c r="G1149" i="3"/>
  <c r="H1149" i="3"/>
  <c r="G1150" i="3"/>
  <c r="H1150" i="3"/>
  <c r="G1151" i="3"/>
  <c r="H1151" i="3"/>
  <c r="G1152" i="3"/>
  <c r="H1152" i="3"/>
  <c r="G1153" i="3"/>
  <c r="H1153" i="3"/>
  <c r="G1154" i="3"/>
  <c r="H1154" i="3"/>
  <c r="G1155" i="3"/>
  <c r="H1155" i="3"/>
  <c r="G1156" i="3"/>
  <c r="H1156" i="3"/>
  <c r="G1157" i="3"/>
  <c r="H1157" i="3"/>
  <c r="G1158" i="3"/>
  <c r="H1158" i="3"/>
  <c r="G1159" i="3"/>
  <c r="H1159" i="3"/>
  <c r="G1160" i="3"/>
  <c r="H1160" i="3"/>
  <c r="G1161" i="3"/>
  <c r="H1161" i="3"/>
  <c r="G1162" i="3"/>
  <c r="H1162" i="3"/>
  <c r="G1163" i="3"/>
  <c r="H1163" i="3"/>
  <c r="G1164" i="3"/>
  <c r="H1164" i="3"/>
  <c r="G1165" i="3"/>
  <c r="H1165" i="3"/>
  <c r="G1166" i="3"/>
  <c r="H1166" i="3"/>
  <c r="G1167" i="3"/>
  <c r="H1167" i="3"/>
  <c r="G1168" i="3"/>
  <c r="H1168" i="3"/>
  <c r="G1169" i="3"/>
  <c r="H1169" i="3"/>
  <c r="G1170" i="3"/>
  <c r="H1170" i="3"/>
  <c r="G1171" i="3"/>
  <c r="H1171" i="3"/>
  <c r="G1172" i="3"/>
  <c r="H1172" i="3"/>
  <c r="G1173" i="3"/>
  <c r="H1173" i="3"/>
  <c r="G1174" i="3"/>
  <c r="H1174" i="3"/>
  <c r="G1175" i="3"/>
  <c r="H1175" i="3"/>
  <c r="G1176" i="3"/>
  <c r="H1176" i="3"/>
  <c r="G1177" i="3"/>
  <c r="H1177" i="3"/>
  <c r="G1178" i="3"/>
  <c r="H1178" i="3"/>
  <c r="G1179" i="3"/>
  <c r="H1179" i="3"/>
  <c r="G1180" i="3"/>
  <c r="H1180" i="3"/>
  <c r="G1181" i="3"/>
  <c r="H1181" i="3"/>
  <c r="G1182" i="3"/>
  <c r="H1182" i="3"/>
  <c r="G1183" i="3"/>
  <c r="H1183" i="3"/>
  <c r="G1184" i="3"/>
  <c r="H1184" i="3"/>
  <c r="G1185" i="3"/>
  <c r="H1185" i="3"/>
  <c r="G1186" i="3"/>
  <c r="H1186" i="3"/>
  <c r="G1187" i="3"/>
  <c r="H1187" i="3"/>
  <c r="G1188" i="3"/>
  <c r="H1188" i="3"/>
  <c r="G1189" i="3"/>
  <c r="H1189" i="3"/>
  <c r="G1190" i="3"/>
  <c r="H1190" i="3"/>
  <c r="G1191" i="3"/>
  <c r="H1191" i="3"/>
  <c r="G1192" i="3"/>
  <c r="H1192" i="3"/>
  <c r="G1193" i="3"/>
  <c r="H1193" i="3"/>
  <c r="G1194" i="3"/>
  <c r="H1194" i="3"/>
  <c r="G1195" i="3"/>
  <c r="H1195" i="3"/>
  <c r="G1196" i="3"/>
  <c r="H1196" i="3"/>
  <c r="G1197" i="3"/>
  <c r="H1197" i="3"/>
  <c r="G1198" i="3"/>
  <c r="H1198" i="3"/>
  <c r="G1199" i="3"/>
  <c r="H1199" i="3"/>
  <c r="G1200" i="3"/>
  <c r="H1200" i="3"/>
  <c r="G1201" i="3"/>
  <c r="H1201" i="3"/>
  <c r="G1202" i="3"/>
  <c r="H1202" i="3"/>
  <c r="G1203" i="3"/>
  <c r="H1203" i="3"/>
  <c r="G1204" i="3"/>
  <c r="H1204" i="3"/>
  <c r="G1205" i="3"/>
  <c r="H1205" i="3"/>
  <c r="G1206" i="3"/>
  <c r="H1206" i="3"/>
  <c r="G1207" i="3"/>
  <c r="H1207" i="3"/>
  <c r="G1208" i="3"/>
  <c r="H1208" i="3"/>
  <c r="G1209" i="3"/>
  <c r="H1209" i="3"/>
  <c r="G1210" i="3"/>
  <c r="H1210" i="3"/>
  <c r="G1211" i="3"/>
  <c r="H1211" i="3"/>
  <c r="G1212" i="3"/>
  <c r="H1212" i="3"/>
  <c r="G1213" i="3"/>
  <c r="H1213" i="3"/>
  <c r="G1214" i="3"/>
  <c r="H1214" i="3"/>
  <c r="G1215" i="3"/>
  <c r="H1215" i="3"/>
  <c r="G1216" i="3"/>
  <c r="H1216" i="3"/>
  <c r="G1217" i="3"/>
  <c r="H1217" i="3"/>
  <c r="G1218" i="3"/>
  <c r="H1218" i="3"/>
  <c r="G1219" i="3"/>
  <c r="H1219" i="3"/>
  <c r="G1220" i="3"/>
  <c r="H1220" i="3"/>
  <c r="G1221" i="3"/>
  <c r="H1221" i="3"/>
  <c r="G1222" i="3"/>
  <c r="H1222" i="3"/>
  <c r="G1223" i="3"/>
  <c r="H1223" i="3"/>
  <c r="G1224" i="3"/>
  <c r="H1224" i="3"/>
  <c r="G1225" i="3"/>
  <c r="H1225" i="3"/>
  <c r="G1226" i="3"/>
  <c r="H1226" i="3"/>
  <c r="G1227" i="3"/>
  <c r="H1227" i="3"/>
  <c r="G1228" i="3"/>
  <c r="H1228" i="3"/>
  <c r="G1229" i="3"/>
  <c r="H1229" i="3"/>
  <c r="G1230" i="3"/>
  <c r="H1230" i="3"/>
  <c r="G1231" i="3"/>
  <c r="H1231" i="3"/>
  <c r="G1232" i="3"/>
  <c r="H1232" i="3"/>
  <c r="G1233" i="3"/>
  <c r="H1233" i="3"/>
  <c r="G1234" i="3"/>
  <c r="H1234" i="3"/>
  <c r="G1235" i="3"/>
  <c r="H1235" i="3"/>
  <c r="G1236" i="3"/>
  <c r="H1236" i="3"/>
  <c r="G1237" i="3"/>
  <c r="H1237" i="3"/>
  <c r="G1238" i="3"/>
  <c r="H1238" i="3"/>
  <c r="G1239" i="3"/>
  <c r="H1239" i="3"/>
  <c r="G1240" i="3"/>
  <c r="H1240" i="3"/>
  <c r="G1241" i="3"/>
  <c r="H1241" i="3"/>
  <c r="G1242" i="3"/>
  <c r="H1242" i="3"/>
  <c r="G1243" i="3"/>
  <c r="H1243" i="3"/>
  <c r="G1244" i="3"/>
  <c r="H1244" i="3"/>
  <c r="G1245" i="3"/>
  <c r="H1245" i="3"/>
  <c r="G1246" i="3"/>
  <c r="H1246" i="3"/>
  <c r="G1247" i="3"/>
  <c r="H1247" i="3"/>
  <c r="G1248" i="3"/>
  <c r="H1248" i="3"/>
  <c r="G1249" i="3"/>
  <c r="H1249" i="3"/>
  <c r="G1250" i="3"/>
  <c r="H1250" i="3"/>
  <c r="G1251" i="3"/>
  <c r="H1251" i="3"/>
  <c r="G1252" i="3"/>
  <c r="H1252" i="3"/>
  <c r="G1253" i="3"/>
  <c r="H1253" i="3"/>
  <c r="G1254" i="3"/>
  <c r="H1254" i="3"/>
  <c r="G1255" i="3"/>
  <c r="H1255" i="3"/>
  <c r="G1256" i="3"/>
  <c r="H1256" i="3"/>
  <c r="G1257" i="3"/>
  <c r="H1257" i="3"/>
  <c r="G1258" i="3"/>
  <c r="H1258" i="3"/>
  <c r="G1259" i="3"/>
  <c r="H1259" i="3"/>
  <c r="G1260" i="3"/>
  <c r="H1260" i="3"/>
  <c r="G1261" i="3"/>
  <c r="H1261" i="3"/>
  <c r="G1262" i="3"/>
  <c r="H1262" i="3"/>
  <c r="G1263" i="3"/>
  <c r="H1263" i="3"/>
  <c r="G1264" i="3"/>
  <c r="H1264" i="3"/>
  <c r="G1265" i="3"/>
  <c r="H1265" i="3"/>
  <c r="G1266" i="3"/>
  <c r="H1266" i="3"/>
  <c r="G1267" i="3"/>
  <c r="H1267" i="3"/>
  <c r="G1268" i="3"/>
  <c r="H1268" i="3"/>
  <c r="G1269" i="3"/>
  <c r="H1269" i="3"/>
  <c r="G1270" i="3"/>
  <c r="H1270" i="3"/>
  <c r="G1271" i="3"/>
  <c r="H1271" i="3"/>
  <c r="G1272" i="3"/>
  <c r="H1272" i="3"/>
  <c r="G1273" i="3"/>
  <c r="H1273" i="3"/>
  <c r="G1274" i="3"/>
  <c r="H1274" i="3"/>
  <c r="G1275" i="3"/>
  <c r="H1275" i="3"/>
  <c r="G1276" i="3"/>
  <c r="H1276" i="3"/>
  <c r="G1277" i="3"/>
  <c r="H1277" i="3"/>
  <c r="G1278" i="3"/>
  <c r="H1278" i="3"/>
  <c r="G1279" i="3"/>
  <c r="H1279" i="3"/>
  <c r="G1280" i="3"/>
  <c r="H1280" i="3"/>
  <c r="G1281" i="3"/>
  <c r="H1281" i="3"/>
  <c r="G1282" i="3"/>
  <c r="H1282" i="3"/>
  <c r="G1283" i="3"/>
  <c r="H1283" i="3"/>
  <c r="G1284" i="3"/>
  <c r="H1284" i="3"/>
  <c r="G1285" i="3"/>
  <c r="H1285" i="3"/>
  <c r="G1286" i="3"/>
  <c r="H1286" i="3"/>
  <c r="G1287" i="3"/>
  <c r="H1287" i="3"/>
  <c r="G1288" i="3"/>
  <c r="H1288" i="3"/>
  <c r="G1289" i="3"/>
  <c r="H1289" i="3"/>
  <c r="G1290" i="3"/>
  <c r="H1290" i="3"/>
  <c r="G1291" i="3"/>
  <c r="H1291" i="3"/>
  <c r="G1292" i="3"/>
  <c r="H1292" i="3"/>
  <c r="G1293" i="3"/>
  <c r="H1293" i="3"/>
  <c r="G1294" i="3"/>
  <c r="H1294" i="3"/>
  <c r="G1295" i="3"/>
  <c r="H1295" i="3"/>
  <c r="G1296" i="3"/>
  <c r="H1296" i="3"/>
  <c r="G1297" i="3"/>
  <c r="H1297" i="3"/>
  <c r="G1298" i="3"/>
  <c r="H1298" i="3"/>
  <c r="G1299" i="3"/>
  <c r="H1299" i="3"/>
  <c r="G1300" i="3"/>
  <c r="H1300" i="3"/>
  <c r="G1301" i="3"/>
  <c r="H1301" i="3"/>
  <c r="G1302" i="3"/>
  <c r="H1302" i="3"/>
  <c r="G1303" i="3"/>
  <c r="H1303" i="3"/>
  <c r="G1304" i="3"/>
  <c r="H1304" i="3"/>
  <c r="G1305" i="3"/>
  <c r="H1305" i="3"/>
  <c r="G1306" i="3"/>
  <c r="H1306" i="3"/>
  <c r="G1307" i="3"/>
  <c r="H1307" i="3"/>
  <c r="G1308" i="3"/>
  <c r="H1308" i="3"/>
  <c r="G1309" i="3"/>
  <c r="H1309" i="3"/>
  <c r="G1310" i="3"/>
  <c r="H1310" i="3"/>
  <c r="G1311" i="3"/>
  <c r="H1311" i="3"/>
  <c r="G1312" i="3"/>
  <c r="H1312" i="3"/>
  <c r="G1313" i="3"/>
  <c r="H1313" i="3"/>
  <c r="G1314" i="3"/>
  <c r="H1314" i="3"/>
  <c r="G1315" i="3"/>
  <c r="H1315" i="3"/>
  <c r="G1316" i="3"/>
  <c r="H1316" i="3"/>
  <c r="G1317" i="3"/>
  <c r="H1317" i="3"/>
  <c r="G1318" i="3"/>
  <c r="H1318" i="3"/>
  <c r="G1319" i="3"/>
  <c r="H1319" i="3"/>
  <c r="G1320" i="3"/>
  <c r="H1320" i="3"/>
  <c r="G1321" i="3"/>
  <c r="H1321" i="3"/>
  <c r="G1322" i="3"/>
  <c r="H1322" i="3"/>
  <c r="G1323" i="3"/>
  <c r="H1323" i="3"/>
  <c r="G1324" i="3"/>
  <c r="H1324" i="3"/>
  <c r="G1325" i="3"/>
  <c r="H1325" i="3"/>
  <c r="G1326" i="3"/>
  <c r="H1326" i="3"/>
  <c r="G1327" i="3"/>
  <c r="H1327" i="3"/>
  <c r="G1328" i="3"/>
  <c r="H1328" i="3"/>
  <c r="G1329" i="3"/>
  <c r="H1329" i="3"/>
  <c r="G1330" i="3"/>
  <c r="H1330" i="3"/>
  <c r="G1331" i="3"/>
  <c r="H1331" i="3"/>
  <c r="G1332" i="3"/>
  <c r="H1332" i="3"/>
  <c r="G1333" i="3"/>
  <c r="H1333" i="3"/>
  <c r="G1334" i="3"/>
  <c r="H1334" i="3"/>
  <c r="G1335" i="3"/>
  <c r="H1335" i="3"/>
  <c r="G1336" i="3"/>
  <c r="H1336" i="3"/>
  <c r="G1337" i="3"/>
  <c r="H1337" i="3"/>
  <c r="G1338" i="3"/>
  <c r="H1338" i="3"/>
  <c r="G1339" i="3"/>
  <c r="H1339" i="3"/>
  <c r="G1340" i="3"/>
  <c r="H1340" i="3"/>
  <c r="G1341" i="3"/>
  <c r="H1341" i="3"/>
  <c r="G1342" i="3"/>
  <c r="H1342" i="3"/>
  <c r="G1343" i="3"/>
  <c r="H1343" i="3"/>
  <c r="G1344" i="3"/>
  <c r="H1344" i="3"/>
  <c r="G1345" i="3"/>
  <c r="H1345" i="3"/>
  <c r="G1346" i="3"/>
  <c r="H1346" i="3"/>
  <c r="G1347" i="3"/>
  <c r="H1347" i="3"/>
  <c r="G1348" i="3"/>
  <c r="H1348" i="3"/>
  <c r="G1349" i="3"/>
  <c r="H1349" i="3"/>
  <c r="G1350" i="3"/>
  <c r="H1350" i="3"/>
  <c r="G1351" i="3"/>
  <c r="H1351" i="3"/>
  <c r="G1352" i="3"/>
  <c r="H1352" i="3"/>
  <c r="G1353" i="3"/>
  <c r="H1353" i="3"/>
  <c r="G1354" i="3"/>
  <c r="H1354" i="3"/>
  <c r="G1355" i="3"/>
  <c r="H1355" i="3"/>
  <c r="G1356" i="3"/>
  <c r="H1356" i="3"/>
  <c r="G1357" i="3"/>
  <c r="H1357" i="3"/>
  <c r="G1358" i="3"/>
  <c r="H1358" i="3"/>
  <c r="G1359" i="3"/>
  <c r="H1359" i="3"/>
  <c r="G1360" i="3"/>
  <c r="H1360" i="3"/>
  <c r="G1361" i="3"/>
  <c r="H1361" i="3"/>
  <c r="G1362" i="3"/>
  <c r="H1362" i="3"/>
  <c r="G1363" i="3"/>
  <c r="H1363" i="3"/>
  <c r="G1364" i="3"/>
  <c r="H1364" i="3"/>
  <c r="G1365" i="3"/>
  <c r="H1365" i="3"/>
  <c r="G1366" i="3"/>
  <c r="H1366" i="3"/>
  <c r="G1367" i="3"/>
  <c r="H1367" i="3"/>
  <c r="G1368" i="3"/>
  <c r="H1368" i="3"/>
  <c r="G1369" i="3"/>
  <c r="H1369" i="3"/>
  <c r="G1370" i="3"/>
  <c r="H1370" i="3"/>
  <c r="G1371" i="3"/>
  <c r="H1371" i="3"/>
  <c r="G1372" i="3"/>
  <c r="H1372" i="3"/>
  <c r="G1373" i="3"/>
  <c r="H1373" i="3"/>
  <c r="G1374" i="3"/>
  <c r="H1374" i="3"/>
  <c r="G1375" i="3"/>
  <c r="H1375" i="3"/>
  <c r="G1376" i="3"/>
  <c r="H1376" i="3"/>
  <c r="G1377" i="3"/>
  <c r="H1377" i="3"/>
  <c r="G1378" i="3"/>
  <c r="H1378" i="3"/>
  <c r="G1379" i="3"/>
  <c r="H1379" i="3"/>
  <c r="G1380" i="3"/>
  <c r="H1380" i="3"/>
  <c r="G1381" i="3"/>
  <c r="H1381" i="3"/>
  <c r="G1382" i="3"/>
  <c r="H1382" i="3"/>
  <c r="G1383" i="3"/>
  <c r="H1383" i="3"/>
  <c r="G1384" i="3"/>
  <c r="H1384" i="3"/>
  <c r="G1385" i="3"/>
  <c r="H1385" i="3"/>
  <c r="G1386" i="3"/>
  <c r="H1386" i="3"/>
  <c r="G1387" i="3"/>
  <c r="H1387" i="3"/>
  <c r="G1388" i="3"/>
  <c r="H1388" i="3"/>
  <c r="G1389" i="3"/>
  <c r="H1389" i="3"/>
  <c r="G1390" i="3"/>
  <c r="H1390" i="3"/>
  <c r="G1391" i="3"/>
  <c r="H1391" i="3"/>
  <c r="G1392" i="3"/>
  <c r="H1392" i="3"/>
  <c r="G1393" i="3"/>
  <c r="H1393" i="3"/>
  <c r="G1394" i="3"/>
  <c r="H1394" i="3"/>
  <c r="G1395" i="3"/>
  <c r="H1395" i="3"/>
  <c r="G1396" i="3"/>
  <c r="H1396" i="3"/>
  <c r="G1397" i="3"/>
  <c r="H1397" i="3"/>
  <c r="G1398" i="3"/>
  <c r="H1398" i="3"/>
  <c r="G1399" i="3"/>
  <c r="H1399" i="3"/>
  <c r="G1400" i="3"/>
  <c r="H1400" i="3"/>
  <c r="G1401" i="3"/>
  <c r="H1401" i="3"/>
  <c r="G1402" i="3"/>
  <c r="H1402" i="3"/>
  <c r="G1403" i="3"/>
  <c r="H1403" i="3"/>
  <c r="G1404" i="3"/>
  <c r="H1404" i="3"/>
  <c r="G1405" i="3"/>
  <c r="H1405" i="3"/>
  <c r="G1406" i="3"/>
  <c r="H1406" i="3"/>
  <c r="G1407" i="3"/>
  <c r="H1407" i="3"/>
  <c r="G1408" i="3"/>
  <c r="H1408" i="3"/>
  <c r="G1409" i="3"/>
  <c r="H1409" i="3"/>
  <c r="G1410" i="3"/>
  <c r="H1410" i="3"/>
  <c r="G1411" i="3"/>
  <c r="H1411" i="3"/>
  <c r="G1412" i="3"/>
  <c r="H1412" i="3"/>
  <c r="G1413" i="3"/>
  <c r="H1413" i="3"/>
  <c r="G1414" i="3"/>
  <c r="H1414" i="3"/>
  <c r="G1415" i="3"/>
  <c r="H1415" i="3"/>
  <c r="G1416" i="3"/>
  <c r="H1416" i="3"/>
  <c r="G1417" i="3"/>
  <c r="H1417" i="3"/>
  <c r="G1418" i="3"/>
  <c r="H1418" i="3"/>
  <c r="G1419" i="3"/>
  <c r="H1419" i="3"/>
  <c r="G1420" i="3"/>
  <c r="H1420" i="3"/>
  <c r="G1421" i="3"/>
  <c r="H1421" i="3"/>
  <c r="G1422" i="3"/>
  <c r="H1422" i="3"/>
  <c r="G1423" i="3"/>
  <c r="H1423" i="3"/>
  <c r="G1424" i="3"/>
  <c r="H1424" i="3"/>
  <c r="G1425" i="3"/>
  <c r="H1425" i="3"/>
  <c r="G1426" i="3"/>
  <c r="H1426" i="3"/>
  <c r="G1427" i="3"/>
  <c r="H1427" i="3"/>
  <c r="G1428" i="3"/>
  <c r="H1428" i="3"/>
  <c r="G1429" i="3"/>
  <c r="H1429" i="3"/>
  <c r="G1430" i="3"/>
  <c r="H1430" i="3"/>
  <c r="G1431" i="3"/>
  <c r="H1431" i="3"/>
  <c r="G1432" i="3"/>
  <c r="H1432" i="3"/>
  <c r="G1433" i="3"/>
  <c r="H1433" i="3"/>
  <c r="G1434" i="3"/>
  <c r="H1434" i="3"/>
  <c r="G1435" i="3"/>
  <c r="H1435" i="3"/>
  <c r="G1436" i="3"/>
  <c r="H1436" i="3"/>
  <c r="G1437" i="3"/>
  <c r="H1437" i="3"/>
  <c r="G1438" i="3"/>
  <c r="H1438" i="3"/>
  <c r="G1439" i="3"/>
  <c r="H1439" i="3"/>
  <c r="G1440" i="3"/>
  <c r="H1440" i="3"/>
  <c r="G1441" i="3"/>
  <c r="H1441" i="3"/>
  <c r="G1442" i="3"/>
  <c r="H1442" i="3"/>
  <c r="G1443" i="3"/>
  <c r="H1443" i="3"/>
  <c r="G1444" i="3"/>
  <c r="H1444" i="3"/>
  <c r="G1445" i="3"/>
  <c r="H1445" i="3"/>
  <c r="G1446" i="3"/>
  <c r="H1446" i="3"/>
  <c r="G1447" i="3"/>
  <c r="H1447" i="3"/>
  <c r="G1448" i="3"/>
  <c r="H1448" i="3"/>
  <c r="G1449" i="3"/>
  <c r="H1449" i="3"/>
  <c r="G1450" i="3"/>
  <c r="H1450" i="3"/>
  <c r="G1451" i="3"/>
  <c r="H1451" i="3"/>
  <c r="G1452" i="3"/>
  <c r="H1452" i="3"/>
  <c r="G1453" i="3"/>
  <c r="H1453" i="3"/>
  <c r="G1454" i="3"/>
  <c r="H1454" i="3"/>
  <c r="G1455" i="3"/>
  <c r="H1455" i="3"/>
  <c r="G1456" i="3"/>
  <c r="H1456" i="3"/>
  <c r="G1457" i="3"/>
  <c r="H1457" i="3"/>
  <c r="G1458" i="3"/>
  <c r="H1458" i="3"/>
  <c r="G1459" i="3"/>
  <c r="H1459" i="3"/>
  <c r="G1460" i="3"/>
  <c r="H1460" i="3"/>
  <c r="G1461" i="3"/>
  <c r="H1461" i="3"/>
  <c r="G1462" i="3"/>
  <c r="H1462" i="3"/>
  <c r="G1463" i="3"/>
  <c r="H1463" i="3"/>
  <c r="G1464" i="3"/>
  <c r="H1464" i="3"/>
  <c r="G1465" i="3"/>
  <c r="H1465" i="3"/>
  <c r="G1466" i="3"/>
  <c r="H1466" i="3"/>
  <c r="G1467" i="3"/>
  <c r="H1467" i="3"/>
  <c r="G1468" i="3"/>
  <c r="H1468" i="3"/>
  <c r="G1469" i="3"/>
  <c r="H1469" i="3"/>
  <c r="G1470" i="3"/>
  <c r="H1470" i="3"/>
  <c r="G1471" i="3"/>
  <c r="H1471" i="3"/>
  <c r="G1472" i="3"/>
  <c r="H1472" i="3"/>
  <c r="G1473" i="3"/>
  <c r="H1473" i="3"/>
  <c r="G1474" i="3"/>
  <c r="H1474" i="3"/>
  <c r="G1475" i="3"/>
  <c r="H1475" i="3"/>
  <c r="G1476" i="3"/>
  <c r="H1476" i="3"/>
  <c r="G1477" i="3"/>
  <c r="H1477" i="3"/>
  <c r="G1478" i="3"/>
  <c r="H1478" i="3"/>
  <c r="G1479" i="3"/>
  <c r="H1479" i="3"/>
  <c r="G1480" i="3"/>
  <c r="H1480" i="3"/>
  <c r="G1481" i="3"/>
  <c r="H1481" i="3"/>
  <c r="G1482" i="3"/>
  <c r="H1482" i="3"/>
  <c r="G1483" i="3"/>
  <c r="H1483" i="3"/>
  <c r="G1484" i="3"/>
  <c r="H1484" i="3"/>
  <c r="G1485" i="3"/>
  <c r="H1485" i="3"/>
  <c r="G1486" i="3"/>
  <c r="H1486" i="3"/>
  <c r="G1487" i="3"/>
  <c r="H1487" i="3"/>
  <c r="G1488" i="3"/>
  <c r="H1488" i="3"/>
  <c r="G1489" i="3"/>
  <c r="H1489" i="3"/>
  <c r="G1490" i="3"/>
  <c r="H1490" i="3"/>
  <c r="G1491" i="3"/>
  <c r="H1491" i="3"/>
  <c r="G1492" i="3"/>
  <c r="H1492" i="3"/>
  <c r="G1493" i="3"/>
  <c r="H1493" i="3"/>
  <c r="G1494" i="3"/>
  <c r="H1494" i="3"/>
  <c r="G1495" i="3"/>
  <c r="H1495" i="3"/>
  <c r="G1496" i="3"/>
  <c r="H1496" i="3"/>
  <c r="G1497" i="3"/>
  <c r="H1497" i="3"/>
  <c r="G1498" i="3"/>
  <c r="H1498" i="3"/>
  <c r="G1499" i="3"/>
  <c r="H1499" i="3"/>
  <c r="G1500" i="3"/>
  <c r="H1500" i="3"/>
  <c r="G1501" i="3"/>
  <c r="H1501" i="3"/>
  <c r="G1502" i="3"/>
  <c r="H1502" i="3"/>
  <c r="G1503" i="3"/>
  <c r="H1503" i="3"/>
  <c r="G1504" i="3"/>
  <c r="H1504" i="3"/>
  <c r="G1505" i="3"/>
  <c r="H1505" i="3"/>
  <c r="G1506" i="3"/>
  <c r="H1506" i="3"/>
  <c r="G1507" i="3"/>
  <c r="H1507" i="3"/>
  <c r="G1508" i="3"/>
  <c r="H1508" i="3"/>
  <c r="G1509" i="3"/>
  <c r="H1509" i="3"/>
  <c r="G1510" i="3"/>
  <c r="H1510" i="3"/>
  <c r="G1511" i="3"/>
  <c r="H1511" i="3"/>
  <c r="G1512" i="3"/>
  <c r="H1512" i="3"/>
  <c r="G1513" i="3"/>
  <c r="H1513" i="3"/>
  <c r="G1514" i="3"/>
  <c r="H1514" i="3"/>
  <c r="G1515" i="3"/>
  <c r="H1515" i="3"/>
  <c r="G1516" i="3"/>
  <c r="H1516" i="3"/>
  <c r="G1517" i="3"/>
  <c r="H1517" i="3"/>
  <c r="G1518" i="3"/>
  <c r="H1518" i="3"/>
  <c r="G1519" i="3"/>
  <c r="H1519" i="3"/>
  <c r="G1520" i="3"/>
  <c r="H1520" i="3"/>
  <c r="G1521" i="3"/>
  <c r="H1521" i="3"/>
  <c r="G1522" i="3"/>
  <c r="H1522" i="3"/>
  <c r="G1523" i="3"/>
  <c r="H1523" i="3"/>
  <c r="G1524" i="3"/>
  <c r="H1524" i="3"/>
  <c r="G1525" i="3"/>
  <c r="H1525" i="3"/>
  <c r="G1526" i="3"/>
  <c r="H1526" i="3"/>
  <c r="G1527" i="3"/>
  <c r="H1527" i="3"/>
  <c r="G1528" i="3"/>
  <c r="H1528" i="3"/>
  <c r="G1529" i="3"/>
  <c r="H1529" i="3"/>
  <c r="G1530" i="3"/>
  <c r="H1530" i="3"/>
  <c r="G1531" i="3"/>
  <c r="H1531" i="3"/>
  <c r="G1532" i="3"/>
  <c r="H1532" i="3"/>
  <c r="G1533" i="3"/>
  <c r="H1533" i="3"/>
  <c r="G1534" i="3"/>
  <c r="H1534" i="3"/>
  <c r="G1535" i="3"/>
  <c r="H1535" i="3"/>
  <c r="G1536" i="3"/>
  <c r="H1536" i="3"/>
  <c r="G1537" i="3"/>
  <c r="H1537" i="3"/>
  <c r="G1538" i="3"/>
  <c r="H1538" i="3"/>
  <c r="G1539" i="3"/>
  <c r="H1539" i="3"/>
  <c r="G1540" i="3"/>
  <c r="H1540" i="3"/>
  <c r="G1541" i="3"/>
  <c r="H1541" i="3"/>
  <c r="G1542" i="3"/>
  <c r="H1542" i="3"/>
  <c r="G1543" i="3"/>
  <c r="H1543" i="3"/>
  <c r="G1544" i="3"/>
  <c r="H1544" i="3"/>
  <c r="G1545" i="3"/>
  <c r="H1545" i="3"/>
  <c r="G1546" i="3"/>
  <c r="H1546" i="3"/>
  <c r="G1547" i="3"/>
  <c r="H1547" i="3"/>
  <c r="G1548" i="3"/>
  <c r="H1548" i="3"/>
  <c r="G1549" i="3"/>
  <c r="H1549" i="3"/>
  <c r="G1550" i="3"/>
  <c r="H1550" i="3"/>
  <c r="G1551" i="3"/>
  <c r="H1551" i="3"/>
  <c r="G1552" i="3"/>
  <c r="H1552" i="3"/>
  <c r="G1553" i="3"/>
  <c r="H1553" i="3"/>
  <c r="G1554" i="3"/>
  <c r="H1554" i="3"/>
  <c r="G1555" i="3"/>
  <c r="H1555" i="3"/>
  <c r="G1556" i="3"/>
  <c r="H1556" i="3"/>
  <c r="G1557" i="3"/>
  <c r="H1557" i="3"/>
  <c r="G1558" i="3"/>
  <c r="H1558" i="3"/>
  <c r="G1559" i="3"/>
  <c r="H1559" i="3"/>
  <c r="G1560" i="3"/>
  <c r="H1560" i="3"/>
  <c r="G1561" i="3"/>
  <c r="H1561" i="3"/>
  <c r="G1562" i="3"/>
  <c r="H1562" i="3"/>
  <c r="G1563" i="3"/>
  <c r="H1563" i="3"/>
  <c r="G1564" i="3"/>
  <c r="H1564" i="3"/>
  <c r="G1565" i="3"/>
  <c r="H1565" i="3"/>
  <c r="G1566" i="3"/>
  <c r="H1566" i="3"/>
  <c r="G1567" i="3"/>
  <c r="H1567" i="3"/>
  <c r="G1568" i="3"/>
  <c r="H1568" i="3"/>
  <c r="G1569" i="3"/>
  <c r="H1569" i="3"/>
  <c r="G1570" i="3"/>
  <c r="H1570" i="3"/>
  <c r="G1571" i="3"/>
  <c r="H1571" i="3"/>
  <c r="G1572" i="3"/>
  <c r="H1572" i="3"/>
  <c r="G1573" i="3"/>
  <c r="H1573" i="3"/>
  <c r="G1574" i="3"/>
  <c r="H1574" i="3"/>
  <c r="G1575" i="3"/>
  <c r="H1575" i="3"/>
  <c r="G1576" i="3"/>
  <c r="H1576" i="3"/>
  <c r="G1577" i="3"/>
  <c r="H1577" i="3"/>
  <c r="G1578" i="3"/>
  <c r="H1578" i="3"/>
  <c r="G1579" i="3"/>
  <c r="H1579" i="3"/>
  <c r="G1580" i="3"/>
  <c r="H1580" i="3"/>
  <c r="G1581" i="3"/>
  <c r="H1581" i="3"/>
  <c r="G1582" i="3"/>
  <c r="H1582" i="3"/>
  <c r="G1583" i="3"/>
  <c r="H1583" i="3"/>
  <c r="G1584" i="3"/>
  <c r="H1584" i="3"/>
  <c r="G1585" i="3"/>
  <c r="H1585" i="3"/>
  <c r="G1586" i="3"/>
  <c r="H1586" i="3"/>
  <c r="G1587" i="3"/>
  <c r="H1587" i="3"/>
  <c r="G1588" i="3"/>
  <c r="H1588" i="3"/>
  <c r="G1589" i="3"/>
  <c r="H1589" i="3"/>
  <c r="G1590" i="3"/>
  <c r="H1590" i="3"/>
  <c r="G1591" i="3"/>
  <c r="H1591" i="3"/>
  <c r="G1592" i="3"/>
  <c r="H1592" i="3"/>
  <c r="G1593" i="3"/>
  <c r="H1593" i="3"/>
  <c r="G1594" i="3"/>
  <c r="H1594" i="3"/>
  <c r="G1595" i="3"/>
  <c r="H1595" i="3"/>
  <c r="G1596" i="3"/>
  <c r="H1596" i="3"/>
  <c r="G1597" i="3"/>
  <c r="H1597" i="3"/>
  <c r="G1598" i="3"/>
  <c r="H1598" i="3"/>
  <c r="G1599" i="3"/>
  <c r="H1599" i="3"/>
  <c r="G1600" i="3"/>
  <c r="H1600" i="3"/>
  <c r="G1601" i="3"/>
  <c r="H1601" i="3"/>
  <c r="G1602" i="3"/>
  <c r="H1602" i="3"/>
  <c r="G1603" i="3"/>
  <c r="H1603" i="3"/>
  <c r="G1604" i="3"/>
  <c r="H1604" i="3"/>
  <c r="G1605" i="3"/>
  <c r="H1605" i="3"/>
  <c r="G1606" i="3"/>
  <c r="H1606" i="3"/>
  <c r="G1607" i="3"/>
  <c r="H1607" i="3"/>
  <c r="G1608" i="3"/>
  <c r="H1608" i="3"/>
  <c r="G1609" i="3"/>
  <c r="H1609" i="3"/>
  <c r="G1610" i="3"/>
  <c r="H1610" i="3"/>
  <c r="G1611" i="3"/>
  <c r="H1611" i="3"/>
  <c r="G1612" i="3"/>
  <c r="H1612" i="3"/>
  <c r="G1613" i="3"/>
  <c r="H1613" i="3"/>
  <c r="G1614" i="3"/>
  <c r="H1614" i="3"/>
  <c r="G1615" i="3"/>
  <c r="H1615" i="3"/>
  <c r="G1616" i="3"/>
  <c r="H1616" i="3"/>
  <c r="G1617" i="3"/>
  <c r="H1617" i="3"/>
  <c r="G1618" i="3"/>
  <c r="H1618" i="3"/>
  <c r="G1619" i="3"/>
  <c r="H1619" i="3"/>
  <c r="G1620" i="3"/>
  <c r="H1620" i="3"/>
  <c r="G1621" i="3"/>
  <c r="H1621" i="3"/>
  <c r="G1622" i="3"/>
  <c r="H1622" i="3"/>
  <c r="G1623" i="3"/>
  <c r="H1623" i="3"/>
  <c r="G1624" i="3"/>
  <c r="H1624" i="3"/>
  <c r="G1625" i="3"/>
  <c r="H1625" i="3"/>
  <c r="G1626" i="3"/>
  <c r="H1626" i="3"/>
  <c r="G1627" i="3"/>
  <c r="H1627" i="3"/>
  <c r="G1628" i="3"/>
  <c r="H1628" i="3"/>
  <c r="G1629" i="3"/>
  <c r="H1629" i="3"/>
  <c r="G1630" i="3"/>
  <c r="H1630" i="3"/>
  <c r="G1631" i="3"/>
  <c r="H1631" i="3"/>
  <c r="G1632" i="3"/>
  <c r="H1632" i="3"/>
  <c r="G1633" i="3"/>
  <c r="H1633" i="3"/>
  <c r="G1634" i="3"/>
  <c r="H1634" i="3"/>
  <c r="G1635" i="3"/>
  <c r="H1635" i="3"/>
  <c r="G1636" i="3"/>
  <c r="H1636" i="3"/>
  <c r="G1637" i="3"/>
  <c r="H1637" i="3"/>
  <c r="G1638" i="3"/>
  <c r="H1638" i="3"/>
  <c r="G1639" i="3"/>
  <c r="H1639" i="3"/>
  <c r="G1640" i="3"/>
  <c r="H1640" i="3"/>
  <c r="G1641" i="3"/>
  <c r="H1641" i="3"/>
  <c r="G1642" i="3"/>
  <c r="H1642" i="3"/>
  <c r="G1643" i="3"/>
  <c r="H1643" i="3"/>
  <c r="G1644" i="3"/>
  <c r="H1644" i="3"/>
  <c r="G1645" i="3"/>
  <c r="H1645" i="3"/>
  <c r="G1646" i="3"/>
  <c r="H1646" i="3"/>
  <c r="G1647" i="3"/>
  <c r="H1647" i="3"/>
  <c r="G1648" i="3"/>
  <c r="H1648" i="3"/>
  <c r="G1649" i="3"/>
  <c r="H1649" i="3"/>
  <c r="G1650" i="3"/>
  <c r="H1650" i="3"/>
  <c r="G1651" i="3"/>
  <c r="H1651" i="3"/>
  <c r="G1652" i="3"/>
  <c r="H1652" i="3"/>
  <c r="G1653" i="3"/>
  <c r="H1653" i="3"/>
  <c r="G1654" i="3"/>
  <c r="H1654" i="3"/>
  <c r="G1655" i="3"/>
  <c r="H1655" i="3"/>
  <c r="G1656" i="3"/>
  <c r="H1656" i="3"/>
  <c r="G1657" i="3"/>
  <c r="H1657" i="3"/>
  <c r="G1658" i="3"/>
  <c r="H1658" i="3"/>
  <c r="G1659" i="3"/>
  <c r="H1659" i="3"/>
  <c r="G1660" i="3"/>
  <c r="H1660" i="3"/>
  <c r="G1661" i="3"/>
  <c r="H1661" i="3"/>
  <c r="G1662" i="3"/>
  <c r="H1662" i="3"/>
  <c r="G1663" i="3"/>
  <c r="H1663" i="3"/>
  <c r="G1664" i="3"/>
  <c r="H1664" i="3"/>
  <c r="G1665" i="3"/>
  <c r="H1665" i="3"/>
  <c r="G1666" i="3"/>
  <c r="H1666" i="3"/>
  <c r="G1667" i="3"/>
  <c r="H1667" i="3"/>
  <c r="G1668" i="3"/>
  <c r="H1668" i="3"/>
  <c r="G1669" i="3"/>
  <c r="H1669" i="3"/>
  <c r="G1670" i="3"/>
  <c r="H1670" i="3"/>
  <c r="G1671" i="3"/>
  <c r="H1671" i="3"/>
  <c r="G1672" i="3"/>
  <c r="H1672" i="3"/>
  <c r="G1673" i="3"/>
  <c r="H1673" i="3"/>
  <c r="G1674" i="3"/>
  <c r="H1674" i="3"/>
  <c r="G1675" i="3"/>
  <c r="H1675" i="3"/>
  <c r="G1676" i="3"/>
  <c r="H1676" i="3"/>
  <c r="G1677" i="3"/>
  <c r="H1677" i="3"/>
  <c r="G1678" i="3"/>
  <c r="H1678" i="3"/>
  <c r="G1679" i="3"/>
  <c r="H1679" i="3"/>
  <c r="G1680" i="3"/>
  <c r="H1680" i="3"/>
  <c r="G1681" i="3"/>
  <c r="H1681" i="3"/>
  <c r="G1682" i="3"/>
  <c r="H1682" i="3"/>
  <c r="G1683" i="3"/>
  <c r="H1683" i="3"/>
  <c r="G1684" i="3"/>
  <c r="H1684" i="3"/>
  <c r="G1685" i="3"/>
  <c r="H1685" i="3"/>
  <c r="G1686" i="3"/>
  <c r="H1686" i="3"/>
  <c r="G1687" i="3"/>
  <c r="H1687" i="3"/>
  <c r="G1688" i="3"/>
  <c r="H1688" i="3"/>
  <c r="G1689" i="3"/>
  <c r="H1689" i="3"/>
  <c r="G1690" i="3"/>
  <c r="H1690" i="3"/>
  <c r="G1691" i="3"/>
  <c r="H1691" i="3"/>
  <c r="G1692" i="3"/>
  <c r="H1692" i="3"/>
  <c r="G1693" i="3"/>
  <c r="H1693" i="3"/>
  <c r="G1694" i="3"/>
  <c r="H1694" i="3"/>
  <c r="G1695" i="3"/>
  <c r="H1695" i="3"/>
  <c r="G1696" i="3"/>
  <c r="H1696" i="3"/>
  <c r="G1697" i="3"/>
  <c r="H1697" i="3"/>
  <c r="G1698" i="3"/>
  <c r="H1698" i="3"/>
  <c r="G1699" i="3"/>
  <c r="H1699" i="3"/>
  <c r="G1700" i="3"/>
  <c r="H1700" i="3"/>
  <c r="G1701" i="3"/>
  <c r="H1701" i="3"/>
  <c r="G1702" i="3"/>
  <c r="H1702" i="3"/>
  <c r="G1703" i="3"/>
  <c r="H1703" i="3"/>
  <c r="G1704" i="3"/>
  <c r="H1704" i="3"/>
  <c r="G1705" i="3"/>
  <c r="H1705" i="3"/>
  <c r="G1706" i="3"/>
  <c r="H1706" i="3"/>
  <c r="G1707" i="3"/>
  <c r="H1707" i="3"/>
  <c r="G1708" i="3"/>
  <c r="H1708" i="3"/>
  <c r="G1709" i="3"/>
  <c r="H1709" i="3"/>
  <c r="G1710" i="3"/>
  <c r="H1710" i="3"/>
  <c r="G1711" i="3"/>
  <c r="H1711" i="3"/>
  <c r="G1712" i="3"/>
  <c r="H1712" i="3"/>
  <c r="G1713" i="3"/>
  <c r="H1713" i="3"/>
  <c r="G1714" i="3"/>
  <c r="H1714" i="3"/>
  <c r="G1715" i="3"/>
  <c r="H1715" i="3"/>
  <c r="G1716" i="3"/>
  <c r="H1716" i="3"/>
  <c r="G1717" i="3"/>
  <c r="H1717" i="3"/>
  <c r="G1718" i="3"/>
  <c r="H1718" i="3"/>
  <c r="G1719" i="3"/>
  <c r="H1719" i="3"/>
  <c r="G1720" i="3"/>
  <c r="H1720" i="3"/>
  <c r="G1721" i="3"/>
  <c r="H1721" i="3"/>
  <c r="G1722" i="3"/>
  <c r="H1722" i="3"/>
  <c r="G1723" i="3"/>
  <c r="H1723" i="3"/>
  <c r="G1724" i="3"/>
  <c r="H1724" i="3"/>
  <c r="G1725" i="3"/>
  <c r="H1725" i="3"/>
  <c r="G1726" i="3"/>
  <c r="H1726" i="3"/>
  <c r="G1727" i="3"/>
  <c r="H1727" i="3"/>
  <c r="G1728" i="3"/>
  <c r="H1728" i="3"/>
  <c r="G1729" i="3"/>
  <c r="H1729" i="3"/>
  <c r="G1730" i="3"/>
  <c r="H1730" i="3"/>
  <c r="G1731" i="3"/>
  <c r="H1731" i="3"/>
  <c r="G1732" i="3"/>
  <c r="H1732" i="3"/>
  <c r="G1733" i="3"/>
  <c r="H1733" i="3"/>
  <c r="G1734" i="3"/>
  <c r="H1734" i="3"/>
  <c r="G1735" i="3"/>
  <c r="H1735" i="3"/>
  <c r="G1736" i="3"/>
  <c r="H1736" i="3"/>
  <c r="G1737" i="3"/>
  <c r="H1737" i="3"/>
  <c r="G1738" i="3"/>
  <c r="H1738" i="3"/>
  <c r="G1739" i="3"/>
  <c r="H1739" i="3"/>
  <c r="G1740" i="3"/>
  <c r="H1740" i="3"/>
  <c r="G1741" i="3"/>
  <c r="H1741" i="3"/>
  <c r="G1742" i="3"/>
  <c r="H1742" i="3"/>
  <c r="G1743" i="3"/>
  <c r="H1743" i="3"/>
  <c r="G1744" i="3"/>
  <c r="H1744" i="3"/>
  <c r="G1745" i="3"/>
  <c r="H1745" i="3"/>
  <c r="G1746" i="3"/>
  <c r="H1746" i="3"/>
  <c r="G1747" i="3"/>
  <c r="H1747" i="3"/>
  <c r="G1748" i="3"/>
  <c r="H1748" i="3"/>
  <c r="G1749" i="3"/>
  <c r="H1749" i="3"/>
  <c r="G1750" i="3"/>
  <c r="H1750" i="3"/>
  <c r="G1751" i="3"/>
  <c r="H1751" i="3"/>
  <c r="G1752" i="3"/>
  <c r="H1752" i="3"/>
  <c r="G1753" i="3"/>
  <c r="H1753" i="3"/>
  <c r="G1754" i="3"/>
  <c r="H1754" i="3"/>
  <c r="G1755" i="3"/>
  <c r="H1755" i="3"/>
  <c r="G1756" i="3"/>
  <c r="H1756" i="3"/>
  <c r="G1757" i="3"/>
  <c r="H1757" i="3"/>
  <c r="G1758" i="3"/>
  <c r="H1758" i="3"/>
  <c r="G1759" i="3"/>
  <c r="H1759" i="3"/>
  <c r="G1760" i="3"/>
  <c r="H1760" i="3"/>
  <c r="G1761" i="3"/>
  <c r="H1761" i="3"/>
  <c r="G1762" i="3"/>
  <c r="H1762" i="3"/>
  <c r="G1763" i="3"/>
  <c r="H1763" i="3"/>
  <c r="G1764" i="3"/>
  <c r="H1764" i="3"/>
  <c r="G1765" i="3"/>
  <c r="H1765" i="3"/>
  <c r="G1766" i="3"/>
  <c r="H1766" i="3"/>
  <c r="G1767" i="3"/>
  <c r="H1767" i="3"/>
  <c r="G1768" i="3"/>
  <c r="H1768" i="3"/>
  <c r="G1769" i="3"/>
  <c r="H1769" i="3"/>
  <c r="G1770" i="3"/>
  <c r="H1770" i="3"/>
  <c r="G1771" i="3"/>
  <c r="H1771" i="3"/>
  <c r="G1772" i="3"/>
  <c r="H1772" i="3"/>
  <c r="G1773" i="3"/>
  <c r="H1773" i="3"/>
  <c r="G1774" i="3"/>
  <c r="H1774" i="3"/>
  <c r="G1775" i="3"/>
  <c r="H1775" i="3"/>
  <c r="G1776" i="3"/>
  <c r="H1776" i="3"/>
  <c r="G1777" i="3"/>
  <c r="H1777" i="3"/>
  <c r="G1778" i="3"/>
  <c r="H1778" i="3"/>
  <c r="G1779" i="3"/>
  <c r="H1779" i="3"/>
  <c r="G1780" i="3"/>
  <c r="H1780" i="3"/>
  <c r="G1781" i="3"/>
  <c r="H1781" i="3"/>
  <c r="G1782" i="3"/>
  <c r="H1782" i="3"/>
  <c r="G1783" i="3"/>
  <c r="H1783" i="3"/>
  <c r="G1784" i="3"/>
  <c r="H1784" i="3"/>
  <c r="G1785" i="3"/>
  <c r="H1785" i="3"/>
  <c r="G1786" i="3"/>
  <c r="H1786" i="3"/>
  <c r="G1787" i="3"/>
  <c r="H1787" i="3"/>
  <c r="G1788" i="3"/>
  <c r="H1788" i="3"/>
  <c r="G1789" i="3"/>
  <c r="H1789" i="3"/>
  <c r="G1790" i="3"/>
  <c r="H1790" i="3"/>
  <c r="G1791" i="3"/>
  <c r="H1791" i="3"/>
  <c r="G1792" i="3"/>
  <c r="H1792" i="3"/>
  <c r="G1793" i="3"/>
  <c r="H1793" i="3"/>
  <c r="G1794" i="3"/>
  <c r="H1794" i="3"/>
  <c r="G1795" i="3"/>
  <c r="H1795" i="3"/>
  <c r="G1796" i="3"/>
  <c r="H1796" i="3"/>
  <c r="G1797" i="3"/>
  <c r="H1797" i="3"/>
  <c r="G1798" i="3"/>
  <c r="H1798" i="3"/>
  <c r="G1799" i="3"/>
  <c r="H1799" i="3"/>
  <c r="G1800" i="3"/>
  <c r="H1800" i="3"/>
  <c r="G1801" i="3"/>
  <c r="H1801" i="3"/>
  <c r="G1802" i="3"/>
  <c r="H1802" i="3"/>
  <c r="G1803" i="3"/>
  <c r="H1803" i="3"/>
  <c r="G1804" i="3"/>
  <c r="H1804" i="3"/>
  <c r="G1805" i="3"/>
  <c r="H1805" i="3"/>
  <c r="G1806" i="3"/>
  <c r="H1806" i="3"/>
  <c r="G1807" i="3"/>
  <c r="H1807" i="3"/>
  <c r="G1808" i="3"/>
  <c r="H1808" i="3"/>
  <c r="G1809" i="3"/>
  <c r="H1809" i="3"/>
  <c r="G1810" i="3"/>
  <c r="H1810" i="3"/>
  <c r="G1811" i="3"/>
  <c r="H1811" i="3"/>
  <c r="G1812" i="3"/>
  <c r="H1812" i="3"/>
  <c r="G1813" i="3"/>
  <c r="H1813" i="3"/>
  <c r="G1814" i="3"/>
  <c r="H1814" i="3"/>
  <c r="G1815" i="3"/>
  <c r="H1815" i="3"/>
  <c r="G1816" i="3"/>
  <c r="H1816" i="3"/>
  <c r="G1817" i="3"/>
  <c r="H1817" i="3"/>
  <c r="G1818" i="3"/>
  <c r="H1818" i="3"/>
  <c r="G1819" i="3"/>
  <c r="H1819" i="3"/>
  <c r="G1820" i="3"/>
  <c r="H1820" i="3"/>
  <c r="G1821" i="3"/>
  <c r="H1821" i="3"/>
  <c r="G1822" i="3"/>
  <c r="H1822" i="3"/>
  <c r="G1823" i="3"/>
  <c r="H1823" i="3"/>
  <c r="G1824" i="3"/>
  <c r="H1824" i="3"/>
  <c r="G1825" i="3"/>
  <c r="H1825" i="3"/>
  <c r="G1826" i="3"/>
  <c r="H1826" i="3"/>
  <c r="G1827" i="3"/>
  <c r="H1827" i="3"/>
  <c r="G1828" i="3"/>
  <c r="H1828" i="3"/>
  <c r="G1829" i="3"/>
  <c r="H1829" i="3"/>
  <c r="G1830" i="3"/>
  <c r="H1830" i="3"/>
  <c r="G1831" i="3"/>
  <c r="H1831" i="3"/>
  <c r="G1832" i="3"/>
  <c r="H1832" i="3"/>
  <c r="G1833" i="3"/>
  <c r="H1833" i="3"/>
  <c r="G1834" i="3"/>
  <c r="H1834" i="3"/>
  <c r="G1835" i="3"/>
  <c r="H1835" i="3"/>
  <c r="G1836" i="3"/>
  <c r="H1836" i="3"/>
  <c r="G1837" i="3"/>
  <c r="H1837" i="3"/>
  <c r="G1838" i="3"/>
  <c r="H1838" i="3"/>
  <c r="G1839" i="3"/>
  <c r="H1839" i="3"/>
  <c r="G1840" i="3"/>
  <c r="H1840" i="3"/>
  <c r="G1841" i="3"/>
  <c r="H1841" i="3"/>
  <c r="G1842" i="3"/>
  <c r="H1842" i="3"/>
  <c r="G1843" i="3"/>
  <c r="H1843" i="3"/>
  <c r="G1844" i="3"/>
  <c r="H1844" i="3"/>
  <c r="G1845" i="3"/>
  <c r="H1845" i="3"/>
  <c r="G1846" i="3"/>
  <c r="H1846" i="3"/>
  <c r="G1847" i="3"/>
  <c r="H1847" i="3"/>
  <c r="G1848" i="3"/>
  <c r="H1848" i="3"/>
  <c r="G1849" i="3"/>
  <c r="H1849" i="3"/>
  <c r="G1850" i="3"/>
  <c r="H1850" i="3"/>
  <c r="G1851" i="3"/>
  <c r="H1851" i="3"/>
  <c r="G1852" i="3"/>
  <c r="H1852" i="3"/>
  <c r="G1853" i="3"/>
  <c r="H1853" i="3"/>
  <c r="G1854" i="3"/>
  <c r="H1854" i="3"/>
  <c r="G1855" i="3"/>
  <c r="H1855" i="3"/>
  <c r="G1856" i="3"/>
  <c r="H1856" i="3"/>
  <c r="G1857" i="3"/>
  <c r="H1857" i="3"/>
  <c r="G1858" i="3"/>
  <c r="H1858" i="3"/>
  <c r="G1859" i="3"/>
  <c r="H1859" i="3"/>
  <c r="G1860" i="3"/>
  <c r="H1860" i="3"/>
  <c r="G1861" i="3"/>
  <c r="H1861" i="3"/>
  <c r="G1862" i="3"/>
  <c r="H1862" i="3"/>
  <c r="G1863" i="3"/>
  <c r="H1863" i="3"/>
  <c r="G1864" i="3"/>
  <c r="H1864" i="3"/>
  <c r="G1865" i="3"/>
  <c r="H1865" i="3"/>
  <c r="G1866" i="3"/>
  <c r="H1866" i="3"/>
  <c r="G1867" i="3"/>
  <c r="H1867" i="3"/>
  <c r="G1868" i="3"/>
  <c r="H1868" i="3"/>
  <c r="G1869" i="3"/>
  <c r="H1869" i="3"/>
  <c r="G1870" i="3"/>
  <c r="H1870" i="3"/>
  <c r="G1871" i="3"/>
  <c r="H1871" i="3"/>
  <c r="G1872" i="3"/>
  <c r="H1872" i="3"/>
  <c r="G1873" i="3"/>
  <c r="H1873" i="3"/>
  <c r="G1874" i="3"/>
  <c r="H1874" i="3"/>
  <c r="G1875" i="3"/>
  <c r="H1875" i="3"/>
  <c r="G1876" i="3"/>
  <c r="H1876" i="3"/>
  <c r="G1877" i="3"/>
  <c r="H1877" i="3"/>
  <c r="G1878" i="3"/>
  <c r="H1878" i="3"/>
  <c r="G1879" i="3"/>
  <c r="H1879" i="3"/>
  <c r="G1880" i="3"/>
  <c r="H1880" i="3"/>
  <c r="G1881" i="3"/>
  <c r="H1881" i="3"/>
  <c r="G1882" i="3"/>
  <c r="H1882" i="3"/>
  <c r="G1883" i="3"/>
  <c r="H1883" i="3"/>
  <c r="G1884" i="3"/>
  <c r="H1884" i="3"/>
  <c r="G1885" i="3"/>
  <c r="H1885" i="3"/>
  <c r="G1886" i="3"/>
  <c r="H1886" i="3"/>
  <c r="G1887" i="3"/>
  <c r="H1887" i="3"/>
  <c r="G1888" i="3"/>
  <c r="H1888" i="3"/>
  <c r="G1889" i="3"/>
  <c r="H1889" i="3"/>
  <c r="G1890" i="3"/>
  <c r="H1890" i="3"/>
  <c r="G1891" i="3"/>
  <c r="H1891" i="3"/>
  <c r="G1892" i="3"/>
  <c r="H1892" i="3"/>
  <c r="G1893" i="3"/>
  <c r="H1893" i="3"/>
  <c r="G1894" i="3"/>
  <c r="H1894" i="3"/>
  <c r="G1895" i="3"/>
  <c r="H1895" i="3"/>
  <c r="G1896" i="3"/>
  <c r="H1896" i="3"/>
  <c r="G1897" i="3"/>
  <c r="H1897" i="3"/>
  <c r="G1898" i="3"/>
  <c r="H1898" i="3"/>
  <c r="G1899" i="3"/>
  <c r="H1899" i="3"/>
  <c r="G1900" i="3"/>
  <c r="H1900" i="3"/>
  <c r="G1901" i="3"/>
  <c r="H1901" i="3"/>
  <c r="G1902" i="3"/>
  <c r="H1902" i="3"/>
  <c r="G1903" i="3"/>
  <c r="H1903" i="3"/>
  <c r="G1904" i="3"/>
  <c r="H1904" i="3"/>
  <c r="G1905" i="3"/>
  <c r="H1905" i="3"/>
  <c r="G1906" i="3"/>
  <c r="H1906" i="3"/>
  <c r="G1907" i="3"/>
  <c r="H1907" i="3"/>
  <c r="G1908" i="3"/>
  <c r="H1908" i="3"/>
  <c r="G1909" i="3"/>
  <c r="H1909" i="3"/>
  <c r="G1910" i="3"/>
  <c r="H1910" i="3"/>
  <c r="G1911" i="3"/>
  <c r="H1911" i="3"/>
  <c r="G1912" i="3"/>
  <c r="H1912" i="3"/>
  <c r="G1913" i="3"/>
  <c r="H1913" i="3"/>
  <c r="G1914" i="3"/>
  <c r="H1914" i="3"/>
  <c r="G1915" i="3"/>
  <c r="H1915" i="3"/>
  <c r="G1916" i="3"/>
  <c r="H1916" i="3"/>
  <c r="G1917" i="3"/>
  <c r="H1917" i="3"/>
  <c r="G1918" i="3"/>
  <c r="H1918" i="3"/>
  <c r="G1919" i="3"/>
  <c r="H1919" i="3"/>
  <c r="G1920" i="3"/>
  <c r="H1920" i="3"/>
  <c r="G1921" i="3"/>
  <c r="H1921" i="3"/>
  <c r="G1922" i="3"/>
  <c r="H1922" i="3"/>
  <c r="G1923" i="3"/>
  <c r="H1923" i="3"/>
  <c r="G1924" i="3"/>
  <c r="H1924" i="3"/>
  <c r="G1925" i="3"/>
  <c r="H1925" i="3"/>
  <c r="G1926" i="3"/>
  <c r="H1926" i="3"/>
  <c r="G1927" i="3"/>
  <c r="H1927" i="3"/>
  <c r="G1928" i="3"/>
  <c r="H1928" i="3"/>
  <c r="G1929" i="3"/>
  <c r="H1929" i="3"/>
  <c r="G1930" i="3"/>
  <c r="H1930" i="3"/>
  <c r="G1931" i="3"/>
  <c r="H1931" i="3"/>
  <c r="G1932" i="3"/>
  <c r="H1932" i="3"/>
  <c r="G1933" i="3"/>
  <c r="H1933" i="3"/>
  <c r="G1934" i="3"/>
  <c r="H1934" i="3"/>
  <c r="G1935" i="3"/>
  <c r="H1935" i="3"/>
  <c r="G1936" i="3"/>
  <c r="H1936" i="3"/>
  <c r="G1937" i="3"/>
  <c r="H1937" i="3"/>
  <c r="G1938" i="3"/>
  <c r="H1938" i="3"/>
  <c r="G1939" i="3"/>
  <c r="H1939" i="3"/>
  <c r="G1940" i="3"/>
  <c r="H1940" i="3"/>
  <c r="G1941" i="3"/>
  <c r="H1941" i="3"/>
  <c r="G1942" i="3"/>
  <c r="H1942" i="3"/>
  <c r="G1943" i="3"/>
  <c r="H1943" i="3"/>
  <c r="G1944" i="3"/>
  <c r="H1944" i="3"/>
  <c r="G1945" i="3"/>
  <c r="H1945" i="3"/>
  <c r="G1946" i="3"/>
  <c r="H1946" i="3"/>
  <c r="G1947" i="3"/>
  <c r="H1947" i="3"/>
  <c r="G1948" i="3"/>
  <c r="H1948" i="3"/>
  <c r="G1949" i="3"/>
  <c r="H1949" i="3"/>
  <c r="G1950" i="3"/>
  <c r="H1950" i="3"/>
  <c r="G1951" i="3"/>
  <c r="H1951" i="3"/>
  <c r="G1952" i="3"/>
  <c r="H1952" i="3"/>
  <c r="G1953" i="3"/>
  <c r="H1953" i="3"/>
  <c r="G1954" i="3"/>
  <c r="H1954" i="3"/>
  <c r="G1955" i="3"/>
  <c r="H1955" i="3"/>
  <c r="G1956" i="3"/>
  <c r="H1956" i="3"/>
  <c r="G1957" i="3"/>
  <c r="H1957" i="3"/>
  <c r="G1958" i="3"/>
  <c r="H1958" i="3"/>
  <c r="G1959" i="3"/>
  <c r="H1959" i="3"/>
  <c r="G1960" i="3"/>
  <c r="H1960" i="3"/>
  <c r="G1961" i="3"/>
  <c r="H1961" i="3"/>
  <c r="G1962" i="3"/>
  <c r="H1962" i="3"/>
  <c r="G1963" i="3"/>
  <c r="H1963" i="3"/>
  <c r="G1964" i="3"/>
  <c r="H1964" i="3"/>
  <c r="G1965" i="3"/>
  <c r="H1965" i="3"/>
  <c r="G1966" i="3"/>
  <c r="H1966" i="3"/>
  <c r="G1967" i="3"/>
  <c r="H1967" i="3"/>
  <c r="G1968" i="3"/>
  <c r="H1968" i="3"/>
  <c r="G1969" i="3"/>
  <c r="H1969" i="3"/>
  <c r="G1970" i="3"/>
  <c r="H1970" i="3"/>
  <c r="G1971" i="3"/>
  <c r="H1971" i="3"/>
  <c r="G1972" i="3"/>
  <c r="H1972" i="3"/>
  <c r="G1973" i="3"/>
  <c r="H1973" i="3"/>
  <c r="G1974" i="3"/>
  <c r="H1974" i="3"/>
  <c r="G1975" i="3"/>
  <c r="H1975" i="3"/>
  <c r="G1976" i="3"/>
  <c r="H1976" i="3"/>
  <c r="G1977" i="3"/>
  <c r="H1977" i="3"/>
  <c r="G1978" i="3"/>
  <c r="H1978" i="3"/>
  <c r="G1979" i="3"/>
  <c r="H1979" i="3"/>
  <c r="G1980" i="3"/>
  <c r="H1980" i="3"/>
  <c r="G1981" i="3"/>
  <c r="H1981" i="3"/>
  <c r="G1982" i="3"/>
  <c r="H1982" i="3"/>
  <c r="G1983" i="3"/>
  <c r="H1983" i="3"/>
  <c r="G1984" i="3"/>
  <c r="H1984" i="3"/>
  <c r="G1985" i="3"/>
  <c r="H1985" i="3"/>
  <c r="G1986" i="3"/>
  <c r="H1986" i="3"/>
  <c r="G1987" i="3"/>
  <c r="H1987" i="3"/>
  <c r="G1988" i="3"/>
  <c r="H1988" i="3"/>
  <c r="G1989" i="3"/>
  <c r="H1989" i="3"/>
  <c r="G1990" i="3"/>
  <c r="H1990" i="3"/>
  <c r="G1991" i="3"/>
  <c r="H1991" i="3"/>
  <c r="G1992" i="3"/>
  <c r="H1992" i="3"/>
  <c r="G1993" i="3"/>
  <c r="H1993" i="3"/>
  <c r="G1994" i="3"/>
  <c r="H1994" i="3"/>
  <c r="G1995" i="3"/>
  <c r="H1995" i="3"/>
  <c r="G1996" i="3"/>
  <c r="H1996" i="3"/>
  <c r="G1997" i="3"/>
  <c r="H1997" i="3"/>
  <c r="G1998" i="3"/>
  <c r="H1998" i="3"/>
  <c r="G1999" i="3"/>
  <c r="H1999" i="3"/>
  <c r="G2000" i="3"/>
  <c r="H2000" i="3"/>
  <c r="G2001" i="3"/>
  <c r="H2001" i="3"/>
  <c r="G2002" i="3"/>
  <c r="H2002" i="3"/>
  <c r="G2003" i="3"/>
  <c r="H2003" i="3"/>
  <c r="G2004" i="3"/>
  <c r="H2004" i="3"/>
  <c r="G2005" i="3"/>
  <c r="H2005" i="3"/>
  <c r="G2006" i="3"/>
  <c r="H2006" i="3"/>
  <c r="G2007" i="3"/>
  <c r="H2007" i="3"/>
  <c r="G2008" i="3"/>
  <c r="H2008" i="3"/>
  <c r="G2009" i="3"/>
  <c r="H2009" i="3"/>
  <c r="G2010" i="3"/>
  <c r="H2010" i="3"/>
  <c r="G2011" i="3"/>
  <c r="H2011" i="3"/>
  <c r="G2012" i="3"/>
  <c r="H2012" i="3"/>
  <c r="G2013" i="3"/>
  <c r="H2013" i="3"/>
  <c r="G2014" i="3"/>
  <c r="H2014" i="3"/>
  <c r="G2015" i="3"/>
  <c r="H2015" i="3"/>
  <c r="G2016" i="3"/>
  <c r="H2016" i="3"/>
  <c r="G2017" i="3"/>
  <c r="H2017" i="3"/>
  <c r="G2018" i="3"/>
  <c r="H2018" i="3"/>
  <c r="G2019" i="3"/>
  <c r="H2019" i="3"/>
  <c r="G2020" i="3"/>
  <c r="H2020" i="3"/>
  <c r="G2021" i="3"/>
  <c r="H2021" i="3"/>
  <c r="G2022" i="3"/>
  <c r="H2022" i="3"/>
  <c r="G2023" i="3"/>
  <c r="H2023" i="3"/>
  <c r="G2024" i="3"/>
  <c r="H2024" i="3"/>
  <c r="G2025" i="3"/>
  <c r="H2025" i="3"/>
  <c r="G2026" i="3"/>
  <c r="H2026" i="3"/>
  <c r="G2027" i="3"/>
  <c r="H2027" i="3"/>
  <c r="G2028" i="3"/>
  <c r="H2028" i="3"/>
  <c r="G2029" i="3"/>
  <c r="H2029" i="3"/>
  <c r="G2030" i="3"/>
  <c r="H2030" i="3"/>
  <c r="G2031" i="3"/>
  <c r="H2031" i="3"/>
  <c r="G2032" i="3"/>
  <c r="H2032" i="3"/>
  <c r="G2033" i="3"/>
  <c r="H2033" i="3"/>
  <c r="G2034" i="3"/>
  <c r="H2034" i="3"/>
  <c r="G2035" i="3"/>
  <c r="H2035" i="3"/>
  <c r="G2036" i="3"/>
  <c r="H2036" i="3"/>
  <c r="G2037" i="3"/>
  <c r="H2037" i="3"/>
  <c r="G2038" i="3"/>
  <c r="H2038" i="3"/>
  <c r="G2039" i="3"/>
  <c r="H2039" i="3"/>
  <c r="G2040" i="3"/>
  <c r="H2040" i="3"/>
  <c r="G2041" i="3"/>
  <c r="H2041" i="3"/>
  <c r="G2042" i="3"/>
  <c r="H2042" i="3"/>
  <c r="G2043" i="3"/>
  <c r="H2043" i="3"/>
  <c r="G2044" i="3"/>
  <c r="H2044" i="3"/>
  <c r="G2045" i="3"/>
  <c r="H2045" i="3"/>
  <c r="G2046" i="3"/>
  <c r="H2046" i="3"/>
  <c r="G2047" i="3"/>
  <c r="H2047" i="3"/>
  <c r="G2048" i="3"/>
  <c r="H2048" i="3"/>
  <c r="G2049" i="3"/>
  <c r="H2049" i="3"/>
  <c r="G2050" i="3"/>
  <c r="H2050" i="3"/>
  <c r="G2051" i="3"/>
  <c r="H2051" i="3"/>
  <c r="G2052" i="3"/>
  <c r="H2052" i="3"/>
  <c r="G2053" i="3"/>
  <c r="H2053" i="3"/>
  <c r="G2054" i="3"/>
  <c r="H2054" i="3"/>
  <c r="G2055" i="3"/>
  <c r="H2055" i="3"/>
  <c r="G2056" i="3"/>
  <c r="H2056" i="3"/>
  <c r="G2057" i="3"/>
  <c r="H2057" i="3"/>
  <c r="G2058" i="3"/>
  <c r="H2058" i="3"/>
  <c r="G2059" i="3"/>
  <c r="H2059" i="3"/>
  <c r="G2060" i="3"/>
  <c r="H2060" i="3"/>
  <c r="G2061" i="3"/>
  <c r="H2061" i="3"/>
  <c r="G2062" i="3"/>
  <c r="H2062" i="3"/>
  <c r="G2063" i="3"/>
  <c r="H2063" i="3"/>
  <c r="G2064" i="3"/>
  <c r="H2064" i="3"/>
  <c r="G2065" i="3"/>
  <c r="H2065" i="3"/>
  <c r="G2066" i="3"/>
  <c r="H2066" i="3"/>
  <c r="G2067" i="3"/>
  <c r="H2067" i="3"/>
  <c r="G2068" i="3"/>
  <c r="H2068" i="3"/>
  <c r="G2069" i="3"/>
  <c r="H2069" i="3"/>
  <c r="G2070" i="3"/>
  <c r="H2070" i="3"/>
  <c r="G2071" i="3"/>
  <c r="H2071" i="3"/>
  <c r="G2072" i="3"/>
  <c r="H2072" i="3"/>
  <c r="G2073" i="3"/>
  <c r="H2073" i="3"/>
  <c r="G2074" i="3"/>
  <c r="H2074" i="3"/>
  <c r="G2075" i="3"/>
  <c r="H2075" i="3"/>
  <c r="G2076" i="3"/>
  <c r="H2076" i="3"/>
  <c r="G2077" i="3"/>
  <c r="H2077" i="3"/>
  <c r="G2078" i="3"/>
  <c r="H2078" i="3"/>
  <c r="G2079" i="3"/>
  <c r="H2079" i="3"/>
  <c r="G2080" i="3"/>
  <c r="H2080" i="3"/>
  <c r="G2081" i="3"/>
  <c r="H2081" i="3"/>
  <c r="G2082" i="3"/>
  <c r="H2082" i="3"/>
  <c r="G2083" i="3"/>
  <c r="H2083" i="3"/>
  <c r="G2084" i="3"/>
  <c r="H2084" i="3"/>
  <c r="G2085" i="3"/>
  <c r="H2085" i="3"/>
  <c r="G2086" i="3"/>
  <c r="H2086" i="3"/>
  <c r="G2087" i="3"/>
  <c r="H2087" i="3"/>
  <c r="G2088" i="3"/>
  <c r="H2088" i="3"/>
  <c r="G2089" i="3"/>
  <c r="H2089" i="3"/>
  <c r="G2090" i="3"/>
  <c r="H2090" i="3"/>
  <c r="G2091" i="3"/>
  <c r="H2091" i="3"/>
  <c r="G2092" i="3"/>
  <c r="H2092" i="3"/>
  <c r="G2093" i="3"/>
  <c r="H2093" i="3"/>
  <c r="G2094" i="3"/>
  <c r="H2094" i="3"/>
  <c r="G2095" i="3"/>
  <c r="H2095" i="3"/>
  <c r="G2096" i="3"/>
  <c r="H2096" i="3"/>
  <c r="G2097" i="3"/>
  <c r="H2097" i="3"/>
  <c r="G2098" i="3"/>
  <c r="H2098" i="3"/>
  <c r="G2099" i="3"/>
  <c r="H2099" i="3"/>
  <c r="G2100" i="3"/>
  <c r="H2100" i="3"/>
  <c r="G2101" i="3"/>
  <c r="H2101" i="3"/>
  <c r="G2102" i="3"/>
  <c r="H2102" i="3"/>
  <c r="G2103" i="3"/>
  <c r="H2103" i="3"/>
  <c r="G2104" i="3"/>
  <c r="H2104" i="3"/>
  <c r="G2105" i="3"/>
  <c r="H2105" i="3"/>
  <c r="G2106" i="3"/>
  <c r="H2106" i="3"/>
  <c r="G2107" i="3"/>
  <c r="H2107" i="3"/>
  <c r="G2108" i="3"/>
  <c r="H2108" i="3"/>
  <c r="G2109" i="3"/>
  <c r="H2109" i="3"/>
  <c r="G2110" i="3"/>
  <c r="H2110" i="3"/>
  <c r="G2111" i="3"/>
  <c r="H2111" i="3"/>
  <c r="G2112" i="3"/>
  <c r="H2112" i="3"/>
  <c r="G2113" i="3"/>
  <c r="H2113" i="3"/>
  <c r="G2114" i="3"/>
  <c r="H2114" i="3"/>
  <c r="G2115" i="3"/>
  <c r="H2115" i="3"/>
  <c r="G2116" i="3"/>
  <c r="H2116" i="3"/>
  <c r="G2117" i="3"/>
  <c r="H2117" i="3"/>
  <c r="G2118" i="3"/>
  <c r="H2118" i="3"/>
  <c r="G2119" i="3"/>
  <c r="H2119" i="3"/>
  <c r="G2120" i="3"/>
  <c r="H2120" i="3"/>
  <c r="G2121" i="3"/>
  <c r="H2121" i="3"/>
  <c r="G2122" i="3"/>
  <c r="H2122" i="3"/>
  <c r="G2123" i="3"/>
  <c r="H2123" i="3"/>
  <c r="G2124" i="3"/>
  <c r="H2124" i="3"/>
  <c r="G2125" i="3"/>
  <c r="H2125" i="3"/>
  <c r="G2126" i="3"/>
  <c r="H2126" i="3"/>
  <c r="G2127" i="3"/>
  <c r="H2127" i="3"/>
  <c r="G2128" i="3"/>
  <c r="H2128" i="3"/>
  <c r="G2129" i="3"/>
  <c r="H2129" i="3"/>
  <c r="G2130" i="3"/>
  <c r="H2130" i="3"/>
  <c r="G2131" i="3"/>
  <c r="H2131" i="3"/>
  <c r="G2132" i="3"/>
  <c r="H2132" i="3"/>
  <c r="G2133" i="3"/>
  <c r="H2133" i="3"/>
  <c r="G2134" i="3"/>
  <c r="H2134" i="3"/>
  <c r="G2135" i="3"/>
  <c r="H2135" i="3"/>
  <c r="G2136" i="3"/>
  <c r="H2136" i="3"/>
  <c r="G2137" i="3"/>
  <c r="H2137" i="3"/>
  <c r="G2138" i="3"/>
  <c r="H2138" i="3"/>
  <c r="G2139" i="3"/>
  <c r="H2139" i="3"/>
  <c r="G2140" i="3"/>
  <c r="H2140" i="3"/>
  <c r="G2141" i="3"/>
  <c r="H2141" i="3"/>
  <c r="G2142" i="3"/>
  <c r="H2142" i="3"/>
  <c r="G2143" i="3"/>
  <c r="H2143" i="3"/>
  <c r="G2144" i="3"/>
  <c r="H2144" i="3"/>
  <c r="G2145" i="3"/>
  <c r="H2145" i="3"/>
  <c r="G2146" i="3"/>
  <c r="H2146" i="3"/>
  <c r="G2147" i="3"/>
  <c r="H2147" i="3"/>
  <c r="G2148" i="3"/>
  <c r="H2148" i="3"/>
  <c r="G2149" i="3"/>
  <c r="H2149" i="3"/>
  <c r="G2150" i="3"/>
  <c r="H2150" i="3"/>
  <c r="G2151" i="3"/>
  <c r="H2151" i="3"/>
  <c r="G2152" i="3"/>
  <c r="H2152" i="3"/>
  <c r="G2153" i="3"/>
  <c r="H2153" i="3"/>
  <c r="G2154" i="3"/>
  <c r="H2154" i="3"/>
  <c r="G2155" i="3"/>
  <c r="H2155" i="3"/>
  <c r="G2156" i="3"/>
  <c r="H2156" i="3"/>
  <c r="G2157" i="3"/>
  <c r="H2157" i="3"/>
  <c r="G2158" i="3"/>
  <c r="H2158" i="3"/>
  <c r="G2159" i="3"/>
  <c r="H2159" i="3"/>
  <c r="G2160" i="3"/>
  <c r="H2160" i="3"/>
  <c r="G2161" i="3"/>
  <c r="H2161" i="3"/>
  <c r="G2162" i="3"/>
  <c r="H2162" i="3"/>
  <c r="G2163" i="3"/>
  <c r="H2163" i="3"/>
  <c r="G2164" i="3"/>
  <c r="H2164" i="3"/>
  <c r="G2165" i="3"/>
  <c r="H2165" i="3"/>
  <c r="G2166" i="3"/>
  <c r="H2166" i="3"/>
  <c r="G2167" i="3"/>
  <c r="H2167" i="3"/>
  <c r="G2168" i="3"/>
  <c r="H2168" i="3"/>
  <c r="G2169" i="3"/>
  <c r="H2169" i="3"/>
  <c r="G2170" i="3"/>
  <c r="H2170" i="3"/>
  <c r="G2171" i="3"/>
  <c r="H2171" i="3"/>
  <c r="G2172" i="3"/>
  <c r="H2172" i="3"/>
  <c r="G2173" i="3"/>
  <c r="H2173" i="3"/>
  <c r="G2174" i="3"/>
  <c r="H2174" i="3"/>
  <c r="G2175" i="3"/>
  <c r="H2175" i="3"/>
  <c r="G2176" i="3"/>
  <c r="H2176" i="3"/>
  <c r="G2177" i="3"/>
  <c r="H2177" i="3"/>
  <c r="G2178" i="3"/>
  <c r="H2178" i="3"/>
  <c r="G2179" i="3"/>
  <c r="H2179" i="3"/>
  <c r="G2180" i="3"/>
  <c r="H2180" i="3"/>
  <c r="G2181" i="3"/>
  <c r="H2181" i="3"/>
  <c r="G2182" i="3"/>
  <c r="H2182" i="3"/>
  <c r="G2183" i="3"/>
  <c r="H2183" i="3"/>
  <c r="G2184" i="3"/>
  <c r="H2184" i="3"/>
  <c r="G2185" i="3"/>
  <c r="H2185" i="3"/>
  <c r="G2186" i="3"/>
  <c r="H2186" i="3"/>
  <c r="G2187" i="3"/>
  <c r="H2187" i="3"/>
  <c r="G2188" i="3"/>
  <c r="H2188" i="3"/>
  <c r="G2189" i="3"/>
  <c r="H2189" i="3"/>
  <c r="G2190" i="3"/>
  <c r="H2190" i="3"/>
  <c r="G2191" i="3"/>
  <c r="H2191" i="3"/>
  <c r="G2192" i="3"/>
  <c r="H2192" i="3"/>
  <c r="G2193" i="3"/>
  <c r="H2193" i="3"/>
  <c r="G2194" i="3"/>
  <c r="H2194" i="3"/>
  <c r="G2195" i="3"/>
  <c r="H2195" i="3"/>
  <c r="G2196" i="3"/>
  <c r="H2196" i="3"/>
  <c r="G2197" i="3"/>
  <c r="H2197" i="3"/>
  <c r="G2198" i="3"/>
  <c r="H2198" i="3"/>
  <c r="G2199" i="3"/>
  <c r="H2199" i="3"/>
  <c r="G2200" i="3"/>
  <c r="H2200" i="3"/>
  <c r="G2201" i="3"/>
  <c r="H2201" i="3"/>
  <c r="G2202" i="3"/>
  <c r="H2202" i="3"/>
  <c r="G2203" i="3"/>
  <c r="H2203" i="3"/>
  <c r="G2204" i="3"/>
  <c r="H2204" i="3"/>
  <c r="G2205" i="3"/>
  <c r="H2205" i="3"/>
  <c r="G2206" i="3"/>
  <c r="H2206" i="3"/>
  <c r="G2207" i="3"/>
  <c r="H2207" i="3"/>
  <c r="G2208" i="3"/>
  <c r="H2208" i="3"/>
  <c r="G2209" i="3"/>
  <c r="H2209" i="3"/>
  <c r="G2210" i="3"/>
  <c r="H2210" i="3"/>
  <c r="G2211" i="3"/>
  <c r="H2211" i="3"/>
  <c r="G2212" i="3"/>
  <c r="H2212" i="3"/>
  <c r="G2213" i="3"/>
  <c r="H2213" i="3"/>
  <c r="G2214" i="3"/>
  <c r="H2214" i="3"/>
  <c r="G2215" i="3"/>
  <c r="H2215" i="3"/>
  <c r="G2216" i="3"/>
  <c r="H2216" i="3"/>
  <c r="G2217" i="3"/>
  <c r="H2217" i="3"/>
  <c r="G2218" i="3"/>
  <c r="H2218" i="3"/>
  <c r="G2219" i="3"/>
  <c r="H2219" i="3"/>
  <c r="G2220" i="3"/>
  <c r="H2220" i="3"/>
  <c r="G2221" i="3"/>
  <c r="H2221" i="3"/>
  <c r="G2222" i="3"/>
  <c r="H2222" i="3"/>
  <c r="G2223" i="3"/>
  <c r="H2223" i="3"/>
  <c r="G2224" i="3"/>
  <c r="H2224" i="3"/>
  <c r="G2225" i="3"/>
  <c r="H2225" i="3"/>
  <c r="G2226" i="3"/>
  <c r="H2226" i="3"/>
  <c r="G2227" i="3"/>
  <c r="H2227" i="3"/>
  <c r="G2228" i="3"/>
  <c r="H2228" i="3"/>
  <c r="G2229" i="3"/>
  <c r="H2229" i="3"/>
  <c r="G2230" i="3"/>
  <c r="H2230" i="3"/>
  <c r="G2231" i="3"/>
  <c r="H2231" i="3"/>
  <c r="G2232" i="3"/>
  <c r="H2232" i="3"/>
  <c r="G2233" i="3"/>
  <c r="H2233" i="3"/>
  <c r="G2234" i="3"/>
  <c r="H2234" i="3"/>
  <c r="G2235" i="3"/>
  <c r="H2235" i="3"/>
  <c r="G2236" i="3"/>
  <c r="H2236" i="3"/>
  <c r="G2237" i="3"/>
  <c r="H2237" i="3"/>
  <c r="G2238" i="3"/>
  <c r="H2238" i="3"/>
  <c r="G2239" i="3"/>
  <c r="H2239" i="3"/>
  <c r="G2240" i="3"/>
  <c r="H2240" i="3"/>
  <c r="G2241" i="3"/>
  <c r="H2241" i="3"/>
  <c r="G2242" i="3"/>
  <c r="H2242" i="3"/>
  <c r="G2243" i="3"/>
  <c r="H2243" i="3"/>
  <c r="G2244" i="3"/>
  <c r="H2244" i="3"/>
  <c r="G2245" i="3"/>
  <c r="H2245" i="3"/>
  <c r="G2246" i="3"/>
  <c r="H2246" i="3"/>
  <c r="G2247" i="3"/>
  <c r="H2247" i="3"/>
  <c r="G2248" i="3"/>
  <c r="H2248" i="3"/>
  <c r="G2249" i="3"/>
  <c r="H2249" i="3"/>
  <c r="G2250" i="3"/>
  <c r="H2250" i="3"/>
  <c r="G2251" i="3"/>
  <c r="H2251" i="3"/>
  <c r="G2252" i="3"/>
  <c r="H2252" i="3"/>
  <c r="G2253" i="3"/>
  <c r="H2253" i="3"/>
  <c r="G2254" i="3"/>
  <c r="H2254" i="3"/>
  <c r="G2255" i="3"/>
  <c r="H2255" i="3"/>
  <c r="G2256" i="3"/>
  <c r="H2256" i="3"/>
  <c r="G2257" i="3"/>
  <c r="H2257" i="3"/>
  <c r="G2258" i="3"/>
  <c r="H2258" i="3"/>
  <c r="G2259" i="3"/>
  <c r="H2259" i="3"/>
  <c r="G2260" i="3"/>
  <c r="H2260" i="3"/>
  <c r="G2261" i="3"/>
  <c r="H2261" i="3"/>
  <c r="G2262" i="3"/>
  <c r="H2262" i="3"/>
  <c r="G2263" i="3"/>
  <c r="H2263" i="3"/>
  <c r="G2264" i="3"/>
  <c r="H2264" i="3"/>
  <c r="G2265" i="3"/>
  <c r="H2265" i="3"/>
  <c r="G2266" i="3"/>
  <c r="H2266" i="3"/>
  <c r="G2267" i="3"/>
  <c r="H2267" i="3"/>
  <c r="G2268" i="3"/>
  <c r="H2268" i="3"/>
  <c r="G2269" i="3"/>
  <c r="H2269" i="3"/>
  <c r="G2270" i="3"/>
  <c r="H2270" i="3"/>
  <c r="G2271" i="3"/>
  <c r="H2271" i="3"/>
  <c r="G2272" i="3"/>
  <c r="H2272" i="3"/>
  <c r="G2273" i="3"/>
  <c r="H2273" i="3"/>
  <c r="G2274" i="3"/>
  <c r="H2274" i="3"/>
  <c r="G2275" i="3"/>
  <c r="H2275" i="3"/>
  <c r="G2276" i="3"/>
  <c r="H2276" i="3"/>
  <c r="G2277" i="3"/>
  <c r="H2277" i="3"/>
  <c r="G2278" i="3"/>
  <c r="H2278" i="3"/>
  <c r="G2279" i="3"/>
  <c r="H2279" i="3"/>
  <c r="G2280" i="3"/>
  <c r="H2280" i="3"/>
  <c r="G2281" i="3"/>
  <c r="H2281" i="3"/>
  <c r="G2282" i="3"/>
  <c r="H2282" i="3"/>
  <c r="G2283" i="3"/>
  <c r="H2283" i="3"/>
  <c r="G2284" i="3"/>
  <c r="H2284" i="3"/>
  <c r="G2285" i="3"/>
  <c r="H2285" i="3"/>
  <c r="G2286" i="3"/>
  <c r="H2286" i="3"/>
  <c r="G2287" i="3"/>
  <c r="H2287" i="3"/>
  <c r="G2288" i="3"/>
  <c r="H2288" i="3"/>
  <c r="G2289" i="3"/>
  <c r="H2289" i="3"/>
  <c r="G2290" i="3"/>
  <c r="H2290" i="3"/>
  <c r="G2291" i="3"/>
  <c r="H2291" i="3"/>
  <c r="G2292" i="3"/>
  <c r="H2292" i="3"/>
  <c r="G2293" i="3"/>
  <c r="H2293" i="3"/>
  <c r="G2294" i="3"/>
  <c r="H2294" i="3"/>
  <c r="G2295" i="3"/>
  <c r="H2295" i="3"/>
  <c r="G2296" i="3"/>
  <c r="H2296" i="3"/>
  <c r="G2297" i="3"/>
  <c r="H2297" i="3"/>
  <c r="G2298" i="3"/>
  <c r="H2298" i="3"/>
  <c r="G2299" i="3"/>
  <c r="H2299" i="3"/>
  <c r="G2300" i="3"/>
  <c r="H2300" i="3"/>
  <c r="G2301" i="3"/>
  <c r="H2301" i="3"/>
  <c r="G2302" i="3"/>
  <c r="H2302" i="3"/>
  <c r="G2303" i="3"/>
  <c r="H2303" i="3"/>
  <c r="G2304" i="3"/>
  <c r="H2304" i="3"/>
  <c r="G2305" i="3"/>
  <c r="H2305" i="3"/>
  <c r="G2306" i="3"/>
  <c r="H2306" i="3"/>
  <c r="G2307" i="3"/>
  <c r="H2307" i="3"/>
  <c r="G2308" i="3"/>
  <c r="H2308" i="3"/>
  <c r="G2309" i="3"/>
  <c r="H2309" i="3"/>
  <c r="G2310" i="3"/>
  <c r="H2310" i="3"/>
  <c r="G2311" i="3"/>
  <c r="H2311" i="3"/>
  <c r="G2312" i="3"/>
  <c r="H2312" i="3"/>
  <c r="G2313" i="3"/>
  <c r="H2313" i="3"/>
  <c r="G2314" i="3"/>
  <c r="H2314" i="3"/>
  <c r="G2315" i="3"/>
  <c r="H2315" i="3"/>
  <c r="G2316" i="3"/>
  <c r="H2316" i="3"/>
  <c r="G2317" i="3"/>
  <c r="H2317" i="3"/>
  <c r="G2318" i="3"/>
  <c r="H2318" i="3"/>
  <c r="G2319" i="3"/>
  <c r="H2319" i="3"/>
  <c r="G2320" i="3"/>
  <c r="H2320" i="3"/>
  <c r="G2321" i="3"/>
  <c r="H2321" i="3"/>
  <c r="G2322" i="3"/>
  <c r="H2322" i="3"/>
  <c r="G2323" i="3"/>
  <c r="H2323" i="3"/>
  <c r="G2324" i="3"/>
  <c r="H2324" i="3"/>
  <c r="G2325" i="3"/>
  <c r="H2325" i="3"/>
  <c r="G2326" i="3"/>
  <c r="H2326" i="3"/>
  <c r="G2327" i="3"/>
  <c r="H2327" i="3"/>
  <c r="G2328" i="3"/>
  <c r="H2328" i="3"/>
  <c r="G2329" i="3"/>
  <c r="H2329" i="3"/>
  <c r="G2330" i="3"/>
  <c r="H2330" i="3"/>
  <c r="G2331" i="3"/>
  <c r="H2331" i="3"/>
  <c r="G2332" i="3"/>
  <c r="H2332" i="3"/>
  <c r="G2333" i="3"/>
  <c r="H2333" i="3"/>
  <c r="G2334" i="3"/>
  <c r="H2334" i="3"/>
  <c r="G2335" i="3"/>
  <c r="H2335" i="3"/>
  <c r="G2336" i="3"/>
  <c r="H2336" i="3"/>
  <c r="G2337" i="3"/>
  <c r="H2337" i="3"/>
  <c r="G2338" i="3"/>
  <c r="H2338" i="3"/>
  <c r="G2339" i="3"/>
  <c r="H2339" i="3"/>
  <c r="G2340" i="3"/>
  <c r="H2340" i="3"/>
  <c r="G2341" i="3"/>
  <c r="H2341" i="3"/>
  <c r="G2342" i="3"/>
  <c r="H2342" i="3"/>
  <c r="G2343" i="3"/>
  <c r="H2343" i="3"/>
  <c r="G2344" i="3"/>
  <c r="H2344" i="3"/>
  <c r="G2345" i="3"/>
  <c r="H2345" i="3"/>
  <c r="G2346" i="3"/>
  <c r="H2346" i="3"/>
  <c r="G2347" i="3"/>
  <c r="H2347" i="3"/>
  <c r="G2348" i="3"/>
  <c r="H2348" i="3"/>
  <c r="G2349" i="3"/>
  <c r="H2349" i="3"/>
  <c r="G2350" i="3"/>
  <c r="H2350" i="3"/>
  <c r="G2351" i="3"/>
  <c r="H2351" i="3"/>
  <c r="G2352" i="3"/>
  <c r="H2352" i="3"/>
  <c r="G2353" i="3"/>
  <c r="H2353" i="3"/>
  <c r="G2354" i="3"/>
  <c r="H2354" i="3"/>
  <c r="G2355" i="3"/>
  <c r="H2355" i="3"/>
  <c r="G2356" i="3"/>
  <c r="H2356" i="3"/>
  <c r="G2357" i="3"/>
  <c r="H2357" i="3"/>
  <c r="G2358" i="3"/>
  <c r="H2358" i="3"/>
  <c r="G2359" i="3"/>
  <c r="H2359" i="3"/>
  <c r="G2360" i="3"/>
  <c r="H2360" i="3"/>
  <c r="G2361" i="3"/>
  <c r="H2361" i="3"/>
  <c r="G2362" i="3"/>
  <c r="H2362" i="3"/>
  <c r="G2363" i="3"/>
  <c r="H2363" i="3"/>
  <c r="G2364" i="3"/>
  <c r="H2364" i="3"/>
  <c r="G2365" i="3"/>
  <c r="H2365" i="3"/>
  <c r="G2366" i="3"/>
  <c r="H2366" i="3"/>
  <c r="G2367" i="3"/>
  <c r="H2367" i="3"/>
  <c r="G2368" i="3"/>
  <c r="H2368" i="3"/>
  <c r="G2369" i="3"/>
  <c r="H2369" i="3"/>
  <c r="G2370" i="3"/>
  <c r="H2370" i="3"/>
  <c r="G2371" i="3"/>
  <c r="H2371" i="3"/>
  <c r="G2372" i="3"/>
  <c r="H2372" i="3"/>
  <c r="G2373" i="3"/>
  <c r="H2373" i="3"/>
  <c r="G2374" i="3"/>
  <c r="H2374" i="3"/>
  <c r="G2375" i="3"/>
  <c r="H2375" i="3"/>
  <c r="G2376" i="3"/>
  <c r="H2376" i="3"/>
  <c r="G2377" i="3"/>
  <c r="H2377" i="3"/>
  <c r="G2378" i="3"/>
  <c r="H2378" i="3"/>
  <c r="G2379" i="3"/>
  <c r="H2379" i="3"/>
  <c r="G2380" i="3"/>
  <c r="H2380" i="3"/>
  <c r="G2381" i="3"/>
  <c r="H2381" i="3"/>
  <c r="G2382" i="3"/>
  <c r="H2382" i="3"/>
  <c r="G2383" i="3"/>
  <c r="H2383" i="3"/>
  <c r="G2384" i="3"/>
  <c r="H2384" i="3"/>
  <c r="G2385" i="3"/>
  <c r="H2385" i="3"/>
  <c r="G2386" i="3"/>
  <c r="H2386" i="3"/>
  <c r="G2387" i="3"/>
  <c r="H2387" i="3"/>
  <c r="G2388" i="3"/>
  <c r="H2388" i="3"/>
  <c r="G2389" i="3"/>
  <c r="H2389" i="3"/>
  <c r="G2390" i="3"/>
  <c r="H2390" i="3"/>
  <c r="G2391" i="3"/>
  <c r="H2391" i="3"/>
  <c r="G2392" i="3"/>
  <c r="H2392" i="3"/>
  <c r="G2393" i="3"/>
  <c r="H2393" i="3"/>
  <c r="G2394" i="3"/>
  <c r="H2394" i="3"/>
  <c r="G2395" i="3"/>
  <c r="H2395" i="3"/>
  <c r="G2396" i="3"/>
  <c r="H2396" i="3"/>
  <c r="G2397" i="3"/>
  <c r="H2397" i="3"/>
  <c r="G2398" i="3"/>
  <c r="H2398" i="3"/>
  <c r="G2399" i="3"/>
  <c r="H2399" i="3"/>
  <c r="G2400" i="3"/>
  <c r="H2400" i="3"/>
  <c r="G2401" i="3"/>
  <c r="H2401" i="3"/>
  <c r="G2402" i="3"/>
  <c r="H2402" i="3"/>
  <c r="G2403" i="3"/>
  <c r="H2403" i="3"/>
  <c r="G2404" i="3"/>
  <c r="H2404" i="3"/>
  <c r="G2405" i="3"/>
  <c r="H2405" i="3"/>
  <c r="G2406" i="3"/>
  <c r="H2406" i="3"/>
  <c r="G2407" i="3"/>
  <c r="H2407" i="3"/>
  <c r="G2408" i="3"/>
  <c r="H2408" i="3"/>
  <c r="G2409" i="3"/>
  <c r="H2409" i="3"/>
  <c r="G2410" i="3"/>
  <c r="H2410" i="3"/>
  <c r="G2411" i="3"/>
  <c r="H2411" i="3"/>
  <c r="G2412" i="3"/>
  <c r="H2412" i="3"/>
  <c r="G2413" i="3"/>
  <c r="H2413" i="3"/>
  <c r="G2414" i="3"/>
  <c r="H2414" i="3"/>
  <c r="G2415" i="3"/>
  <c r="H2415" i="3"/>
  <c r="G2416" i="3"/>
  <c r="H2416" i="3"/>
  <c r="G2417" i="3"/>
  <c r="H2417" i="3"/>
  <c r="G2418" i="3"/>
  <c r="H2418" i="3"/>
  <c r="G2419" i="3"/>
  <c r="H2419" i="3"/>
  <c r="G2420" i="3"/>
  <c r="H2420" i="3"/>
  <c r="G2421" i="3"/>
  <c r="H2421" i="3"/>
  <c r="G2422" i="3"/>
  <c r="H2422" i="3"/>
  <c r="G2423" i="3"/>
  <c r="H2423" i="3"/>
  <c r="G2424" i="3"/>
  <c r="H2424" i="3"/>
  <c r="G2425" i="3"/>
  <c r="H2425" i="3"/>
  <c r="G2426" i="3"/>
  <c r="H2426" i="3"/>
  <c r="G2427" i="3"/>
  <c r="H2427" i="3"/>
  <c r="G2428" i="3"/>
  <c r="H2428" i="3"/>
  <c r="G2429" i="3"/>
  <c r="H2429" i="3"/>
  <c r="G2430" i="3"/>
  <c r="H2430" i="3"/>
  <c r="G2431" i="3"/>
  <c r="H2431" i="3"/>
  <c r="G2432" i="3"/>
  <c r="H2432" i="3"/>
  <c r="G2433" i="3"/>
  <c r="H2433" i="3"/>
  <c r="G2434" i="3"/>
  <c r="H2434" i="3"/>
  <c r="G2435" i="3"/>
  <c r="H2435" i="3"/>
  <c r="G2436" i="3"/>
  <c r="H2436" i="3"/>
  <c r="G2437" i="3"/>
  <c r="H2437" i="3"/>
  <c r="G2438" i="3"/>
  <c r="H2438" i="3"/>
  <c r="G2439" i="3"/>
  <c r="H2439" i="3"/>
  <c r="G2440" i="3"/>
  <c r="H2440" i="3"/>
  <c r="G2441" i="3"/>
  <c r="H2441" i="3"/>
  <c r="G2442" i="3"/>
  <c r="H2442" i="3"/>
  <c r="G2443" i="3"/>
  <c r="H2443" i="3"/>
  <c r="G2444" i="3"/>
  <c r="H2444" i="3"/>
  <c r="G2445" i="3"/>
  <c r="H2445" i="3"/>
  <c r="G2446" i="3"/>
  <c r="H2446" i="3"/>
  <c r="G2447" i="3"/>
  <c r="H2447" i="3"/>
  <c r="G2448" i="3"/>
  <c r="H2448" i="3"/>
  <c r="G2449" i="3"/>
  <c r="H2449" i="3"/>
  <c r="G2450" i="3"/>
  <c r="H2450" i="3"/>
  <c r="G2451" i="3"/>
  <c r="H2451" i="3"/>
  <c r="G2452" i="3"/>
  <c r="H2452" i="3"/>
  <c r="G2453" i="3"/>
  <c r="H2453" i="3"/>
  <c r="G2454" i="3"/>
  <c r="H2454" i="3"/>
  <c r="G2455" i="3"/>
  <c r="H2455" i="3"/>
  <c r="G2456" i="3"/>
  <c r="H2456" i="3"/>
  <c r="G2457" i="3"/>
  <c r="H2457" i="3"/>
  <c r="G2458" i="3"/>
  <c r="H2458" i="3"/>
  <c r="G2459" i="3"/>
  <c r="H2459" i="3"/>
  <c r="G2460" i="3"/>
  <c r="H2460" i="3"/>
  <c r="G2461" i="3"/>
  <c r="H2461" i="3"/>
  <c r="G2462" i="3"/>
  <c r="H2462" i="3"/>
  <c r="G2463" i="3"/>
  <c r="H2463" i="3"/>
  <c r="G2464" i="3"/>
  <c r="H2464" i="3"/>
  <c r="G2465" i="3"/>
  <c r="H2465" i="3"/>
  <c r="G2466" i="3"/>
  <c r="H2466" i="3"/>
  <c r="G2467" i="3"/>
  <c r="H2467" i="3"/>
  <c r="G2468" i="3"/>
  <c r="H2468" i="3"/>
  <c r="G2469" i="3"/>
  <c r="H2469" i="3"/>
  <c r="G2470" i="3"/>
  <c r="H2470" i="3"/>
  <c r="G2471" i="3"/>
  <c r="H2471" i="3"/>
  <c r="G2472" i="3"/>
  <c r="H2472" i="3"/>
  <c r="G2473" i="3"/>
  <c r="H2473" i="3"/>
  <c r="G2474" i="3"/>
  <c r="H2474" i="3"/>
  <c r="G2475" i="3"/>
  <c r="H2475" i="3"/>
  <c r="G2476" i="3"/>
  <c r="H2476" i="3"/>
  <c r="G2477" i="3"/>
  <c r="H2477" i="3"/>
  <c r="G2478" i="3"/>
  <c r="H2478" i="3"/>
  <c r="G2479" i="3"/>
  <c r="H2479" i="3"/>
  <c r="G2480" i="3"/>
  <c r="H2480" i="3"/>
  <c r="G2481" i="3"/>
  <c r="H2481" i="3"/>
  <c r="G2482" i="3"/>
  <c r="H2482" i="3"/>
  <c r="G2483" i="3"/>
  <c r="H2483" i="3"/>
  <c r="G2484" i="3"/>
  <c r="H2484" i="3"/>
  <c r="G2485" i="3"/>
  <c r="H2485" i="3"/>
  <c r="G2486" i="3"/>
  <c r="H2486" i="3"/>
  <c r="G2487" i="3"/>
  <c r="H2487" i="3"/>
  <c r="G2488" i="3"/>
  <c r="H2488" i="3"/>
  <c r="G2489" i="3"/>
  <c r="H2489" i="3"/>
  <c r="G2490" i="3"/>
  <c r="H2490" i="3"/>
  <c r="G2491" i="3"/>
  <c r="H2491" i="3"/>
  <c r="G2492" i="3"/>
  <c r="H2492" i="3"/>
  <c r="G2493" i="3"/>
  <c r="H2493" i="3"/>
  <c r="G2494" i="3"/>
  <c r="H2494" i="3"/>
  <c r="G2495" i="3"/>
  <c r="H2495" i="3"/>
  <c r="G2496" i="3"/>
  <c r="H2496" i="3"/>
  <c r="G2497" i="3"/>
  <c r="H2497" i="3"/>
  <c r="G2498" i="3"/>
  <c r="H2498" i="3"/>
  <c r="G2499" i="3"/>
  <c r="H2499" i="3"/>
  <c r="G2500" i="3"/>
  <c r="H2500" i="3"/>
  <c r="G2501" i="3"/>
  <c r="H2501" i="3"/>
  <c r="G2502" i="3"/>
  <c r="H2502" i="3"/>
  <c r="G2503" i="3"/>
  <c r="H2503" i="3"/>
  <c r="G2504" i="3"/>
  <c r="H2504" i="3"/>
  <c r="G2505" i="3"/>
  <c r="H2505" i="3"/>
  <c r="G2506" i="3"/>
  <c r="H2506" i="3"/>
  <c r="G2507" i="3"/>
  <c r="H2507" i="3"/>
  <c r="G2508" i="3"/>
  <c r="H2508" i="3"/>
  <c r="G2509" i="3"/>
  <c r="H2509" i="3"/>
  <c r="G2510" i="3"/>
  <c r="H2510" i="3"/>
  <c r="G2511" i="3"/>
  <c r="H2511" i="3"/>
  <c r="G2512" i="3"/>
  <c r="H2512" i="3"/>
  <c r="G2513" i="3"/>
  <c r="H2513" i="3"/>
  <c r="G2514" i="3"/>
  <c r="H2514" i="3"/>
  <c r="G2515" i="3"/>
  <c r="H2515" i="3"/>
  <c r="G2516" i="3"/>
  <c r="H2516" i="3"/>
  <c r="G2517" i="3"/>
  <c r="H2517" i="3"/>
  <c r="G2518" i="3"/>
  <c r="H2518" i="3"/>
  <c r="G2519" i="3"/>
  <c r="H2519" i="3"/>
  <c r="G2520" i="3"/>
  <c r="H2520" i="3"/>
  <c r="G2521" i="3"/>
  <c r="H2521" i="3"/>
  <c r="G2522" i="3"/>
  <c r="H2522" i="3"/>
  <c r="G2523" i="3"/>
  <c r="H2523" i="3"/>
  <c r="G2524" i="3"/>
  <c r="H2524" i="3"/>
  <c r="G2525" i="3"/>
  <c r="H2525" i="3"/>
  <c r="G2526" i="3"/>
  <c r="H2526" i="3"/>
  <c r="G2527" i="3"/>
  <c r="H2527" i="3"/>
  <c r="G2528" i="3"/>
  <c r="H2528" i="3"/>
  <c r="G2529" i="3"/>
  <c r="H2529" i="3"/>
  <c r="G2530" i="3"/>
  <c r="H2530" i="3"/>
  <c r="G2531" i="3"/>
  <c r="H2531" i="3"/>
  <c r="G2532" i="3"/>
  <c r="H2532" i="3"/>
  <c r="G2533" i="3"/>
  <c r="H2533" i="3"/>
  <c r="G2534" i="3"/>
  <c r="H2534" i="3"/>
  <c r="G2535" i="3"/>
  <c r="H2535" i="3"/>
  <c r="G2536" i="3"/>
  <c r="H2536" i="3"/>
  <c r="G2537" i="3"/>
  <c r="H2537" i="3"/>
  <c r="G2538" i="3"/>
  <c r="H2538" i="3"/>
  <c r="G2539" i="3"/>
  <c r="H2539" i="3"/>
  <c r="G2540" i="3"/>
  <c r="H2540" i="3"/>
  <c r="G2541" i="3"/>
  <c r="H2541" i="3"/>
  <c r="G2542" i="3"/>
  <c r="H2542" i="3"/>
  <c r="G2543" i="3"/>
  <c r="H2543" i="3"/>
  <c r="G2544" i="3"/>
  <c r="H2544" i="3"/>
  <c r="G2545" i="3"/>
  <c r="H2545" i="3"/>
  <c r="G2546" i="3"/>
  <c r="H2546" i="3"/>
  <c r="G2547" i="3"/>
  <c r="H2547" i="3"/>
  <c r="G2548" i="3"/>
  <c r="H2548" i="3"/>
  <c r="G2549" i="3"/>
  <c r="H2549" i="3"/>
  <c r="G2550" i="3"/>
  <c r="H2550" i="3"/>
  <c r="G2551" i="3"/>
  <c r="H2551" i="3"/>
  <c r="G2552" i="3"/>
  <c r="H2552" i="3"/>
  <c r="G2553" i="3"/>
  <c r="H2553" i="3"/>
  <c r="G2554" i="3"/>
  <c r="H2554" i="3"/>
  <c r="G2555" i="3"/>
  <c r="H2555" i="3"/>
  <c r="G2556" i="3"/>
  <c r="H2556" i="3"/>
  <c r="G2557" i="3"/>
  <c r="H2557" i="3"/>
  <c r="G2558" i="3"/>
  <c r="H2558" i="3"/>
  <c r="G2559" i="3"/>
  <c r="H2559" i="3"/>
  <c r="G2560" i="3"/>
  <c r="H2560" i="3"/>
  <c r="G2561" i="3"/>
  <c r="H2561" i="3"/>
  <c r="G2562" i="3"/>
  <c r="H2562" i="3"/>
  <c r="G2563" i="3"/>
  <c r="H2563" i="3"/>
  <c r="G2564" i="3"/>
  <c r="H2564" i="3"/>
  <c r="G2565" i="3"/>
  <c r="H2565" i="3"/>
  <c r="G2566" i="3"/>
  <c r="H2566" i="3"/>
  <c r="G2567" i="3"/>
  <c r="H2567" i="3"/>
  <c r="G2568" i="3"/>
  <c r="H2568" i="3"/>
  <c r="G2569" i="3"/>
  <c r="H2569" i="3"/>
  <c r="G2570" i="3"/>
  <c r="H2570" i="3"/>
  <c r="G2571" i="3"/>
  <c r="H2571" i="3"/>
  <c r="G2572" i="3"/>
  <c r="H2572" i="3"/>
  <c r="G2573" i="3"/>
  <c r="H2573" i="3"/>
  <c r="G2574" i="3"/>
  <c r="H2574" i="3"/>
  <c r="G2575" i="3"/>
  <c r="H2575" i="3"/>
  <c r="G2576" i="3"/>
  <c r="H2576" i="3"/>
  <c r="G2577" i="3"/>
  <c r="H2577" i="3"/>
  <c r="G2578" i="3"/>
  <c r="H2578" i="3"/>
  <c r="G2579" i="3"/>
  <c r="H2579" i="3"/>
  <c r="G2580" i="3"/>
  <c r="H2580" i="3"/>
  <c r="G2581" i="3"/>
  <c r="H2581" i="3"/>
  <c r="G2582" i="3"/>
  <c r="H2582" i="3"/>
  <c r="G2583" i="3"/>
  <c r="H2583" i="3"/>
  <c r="G2584" i="3"/>
  <c r="H2584" i="3"/>
  <c r="G2585" i="3"/>
  <c r="H2585" i="3"/>
  <c r="G2586" i="3"/>
  <c r="H2586" i="3"/>
  <c r="G2587" i="3"/>
  <c r="H2587" i="3"/>
  <c r="G2588" i="3"/>
  <c r="H2588" i="3"/>
  <c r="G2589" i="3"/>
  <c r="H2589" i="3"/>
  <c r="G2590" i="3"/>
  <c r="H2590" i="3"/>
  <c r="G2591" i="3"/>
  <c r="H2591" i="3"/>
  <c r="G2592" i="3"/>
  <c r="H2592" i="3"/>
  <c r="G2593" i="3"/>
  <c r="H2593" i="3"/>
  <c r="G2594" i="3"/>
  <c r="H2594" i="3"/>
  <c r="G2595" i="3"/>
  <c r="H2595" i="3"/>
  <c r="G2596" i="3"/>
  <c r="H2596" i="3"/>
  <c r="G2597" i="3"/>
  <c r="H2597" i="3"/>
  <c r="G2598" i="3"/>
  <c r="H2598" i="3"/>
  <c r="G2599" i="3"/>
  <c r="H2599" i="3"/>
  <c r="G2600" i="3"/>
  <c r="H2600" i="3"/>
  <c r="G2601" i="3"/>
  <c r="H2601" i="3"/>
  <c r="G2602" i="3"/>
  <c r="H2602" i="3"/>
  <c r="G2603" i="3"/>
  <c r="H2603" i="3"/>
  <c r="G2604" i="3"/>
  <c r="H2604" i="3"/>
  <c r="G2605" i="3"/>
  <c r="H2605" i="3"/>
  <c r="G2606" i="3"/>
  <c r="H2606" i="3"/>
  <c r="G2607" i="3"/>
  <c r="H2607" i="3"/>
  <c r="G2608" i="3"/>
  <c r="H2608" i="3"/>
  <c r="G2609" i="3"/>
  <c r="H2609" i="3"/>
  <c r="G2610" i="3"/>
  <c r="H2610" i="3"/>
  <c r="G2611" i="3"/>
  <c r="H2611" i="3"/>
  <c r="G2612" i="3"/>
  <c r="H2612" i="3"/>
  <c r="G2613" i="3"/>
  <c r="H2613" i="3"/>
  <c r="G2614" i="3"/>
  <c r="H2614" i="3"/>
  <c r="G2615" i="3"/>
  <c r="H2615" i="3"/>
  <c r="G2616" i="3"/>
  <c r="H2616" i="3"/>
  <c r="G2617" i="3"/>
  <c r="H2617" i="3"/>
  <c r="G2618" i="3"/>
  <c r="H2618" i="3"/>
  <c r="G2619" i="3"/>
  <c r="H2619" i="3"/>
  <c r="G2620" i="3"/>
  <c r="H2620" i="3"/>
  <c r="G2621" i="3"/>
  <c r="H2621" i="3"/>
  <c r="G2622" i="3"/>
  <c r="H2622" i="3"/>
  <c r="G2623" i="3"/>
  <c r="H2623" i="3"/>
  <c r="G2624" i="3"/>
  <c r="H2624" i="3"/>
  <c r="G2625" i="3"/>
  <c r="H2625" i="3"/>
  <c r="G2626" i="3"/>
  <c r="H2626" i="3"/>
  <c r="G2627" i="3"/>
  <c r="H2627" i="3"/>
  <c r="G2628" i="3"/>
  <c r="H2628" i="3"/>
  <c r="G2629" i="3"/>
  <c r="H2629" i="3"/>
  <c r="G2630" i="3"/>
  <c r="H2630" i="3"/>
  <c r="G2631" i="3"/>
  <c r="H2631" i="3"/>
  <c r="G2632" i="3"/>
  <c r="H2632" i="3"/>
  <c r="G2633" i="3"/>
  <c r="H2633" i="3"/>
  <c r="G2634" i="3"/>
  <c r="H2634" i="3"/>
  <c r="G2635" i="3"/>
  <c r="H2635" i="3"/>
  <c r="G2636" i="3"/>
  <c r="H2636" i="3"/>
  <c r="G2637" i="3"/>
  <c r="H2637" i="3"/>
  <c r="G2638" i="3"/>
  <c r="H2638" i="3"/>
  <c r="G2639" i="3"/>
  <c r="H2639" i="3"/>
  <c r="G2640" i="3"/>
  <c r="H2640" i="3"/>
  <c r="G2641" i="3"/>
  <c r="H2641" i="3"/>
  <c r="G2642" i="3"/>
  <c r="H2642" i="3"/>
  <c r="G2643" i="3"/>
  <c r="H2643" i="3"/>
  <c r="G2644" i="3"/>
  <c r="H2644" i="3"/>
  <c r="G2645" i="3"/>
  <c r="H2645" i="3"/>
  <c r="G2646" i="3"/>
  <c r="H2646" i="3"/>
  <c r="G2647" i="3"/>
  <c r="H2647" i="3"/>
  <c r="G2648" i="3"/>
  <c r="H2648" i="3"/>
  <c r="G2649" i="3"/>
  <c r="H2649" i="3"/>
  <c r="G2650" i="3"/>
  <c r="H2650" i="3"/>
  <c r="G2651" i="3"/>
  <c r="H2651" i="3"/>
  <c r="G2652" i="3"/>
  <c r="H2652" i="3"/>
  <c r="G2653" i="3"/>
  <c r="H2653" i="3"/>
  <c r="G2654" i="3"/>
  <c r="H2654" i="3"/>
  <c r="G2655" i="3"/>
  <c r="H2655" i="3"/>
  <c r="G2656" i="3"/>
  <c r="H2656" i="3"/>
  <c r="G2657" i="3"/>
  <c r="H2657" i="3"/>
  <c r="G2658" i="3"/>
  <c r="H2658" i="3"/>
  <c r="G2659" i="3"/>
  <c r="H2659" i="3"/>
  <c r="G2660" i="3"/>
  <c r="H2660" i="3"/>
  <c r="G2661" i="3"/>
  <c r="H2661" i="3"/>
  <c r="G2662" i="3"/>
  <c r="H2662" i="3"/>
  <c r="G2663" i="3"/>
  <c r="H2663" i="3"/>
  <c r="G2664" i="3"/>
  <c r="H2664" i="3"/>
  <c r="G2665" i="3"/>
  <c r="H2665" i="3"/>
  <c r="G2666" i="3"/>
  <c r="H2666" i="3"/>
  <c r="G2667" i="3"/>
  <c r="H2667" i="3"/>
  <c r="G2668" i="3"/>
  <c r="H2668" i="3"/>
  <c r="G2669" i="3"/>
  <c r="H2669" i="3"/>
  <c r="G2670" i="3"/>
  <c r="H2670" i="3"/>
  <c r="G2671" i="3"/>
  <c r="H2671" i="3"/>
  <c r="G2672" i="3"/>
  <c r="H2672" i="3"/>
  <c r="G2673" i="3"/>
  <c r="H2673" i="3"/>
  <c r="G2674" i="3"/>
  <c r="H2674" i="3"/>
  <c r="G2675" i="3"/>
  <c r="H2675" i="3"/>
  <c r="G2676" i="3"/>
  <c r="H2676" i="3"/>
  <c r="G2677" i="3"/>
  <c r="H2677" i="3"/>
  <c r="G2678" i="3"/>
  <c r="H2678" i="3"/>
  <c r="G2679" i="3"/>
  <c r="H2679" i="3"/>
  <c r="G2680" i="3"/>
  <c r="H2680" i="3"/>
  <c r="G2681" i="3"/>
  <c r="H2681" i="3"/>
  <c r="G2682" i="3"/>
  <c r="H2682" i="3"/>
  <c r="G2683" i="3"/>
  <c r="H2683" i="3"/>
  <c r="G2684" i="3"/>
  <c r="H2684" i="3"/>
  <c r="G2685" i="3"/>
  <c r="H2685" i="3"/>
  <c r="G2686" i="3"/>
  <c r="H2686" i="3"/>
  <c r="G2687" i="3"/>
  <c r="H2687" i="3"/>
  <c r="G2688" i="3"/>
  <c r="H2688" i="3"/>
  <c r="G2689" i="3"/>
  <c r="H2689" i="3"/>
  <c r="G2690" i="3"/>
  <c r="H2690" i="3"/>
  <c r="G2691" i="3"/>
  <c r="H2691" i="3"/>
  <c r="G2692" i="3"/>
  <c r="H2692" i="3"/>
  <c r="G2693" i="3"/>
  <c r="H2693" i="3"/>
  <c r="G2694" i="3"/>
  <c r="H2694" i="3"/>
  <c r="G2695" i="3"/>
  <c r="H2695" i="3"/>
  <c r="G2696" i="3"/>
  <c r="H2696" i="3"/>
  <c r="G2697" i="3"/>
  <c r="H2697" i="3"/>
  <c r="G2698" i="3"/>
  <c r="H2698" i="3"/>
  <c r="G2699" i="3"/>
  <c r="H2699" i="3"/>
  <c r="G2700" i="3"/>
  <c r="H2700" i="3"/>
  <c r="G2701" i="3"/>
  <c r="H2701" i="3"/>
  <c r="G2702" i="3"/>
  <c r="H2702" i="3"/>
  <c r="G2703" i="3"/>
  <c r="H2703" i="3"/>
  <c r="G2704" i="3"/>
  <c r="H2704" i="3"/>
  <c r="G2705" i="3"/>
  <c r="H2705" i="3"/>
  <c r="G2706" i="3"/>
  <c r="H2706" i="3"/>
  <c r="G2707" i="3"/>
  <c r="H2707" i="3"/>
  <c r="G2708" i="3"/>
  <c r="H2708" i="3"/>
  <c r="G2709" i="3"/>
  <c r="H2709" i="3"/>
  <c r="G2710" i="3"/>
  <c r="H2710" i="3"/>
  <c r="G2711" i="3"/>
  <c r="H2711" i="3"/>
  <c r="G2712" i="3"/>
  <c r="H2712" i="3"/>
  <c r="G2713" i="3"/>
  <c r="H2713" i="3"/>
  <c r="G2714" i="3"/>
  <c r="H2714" i="3"/>
  <c r="G2715" i="3"/>
  <c r="H2715" i="3"/>
  <c r="G2716" i="3"/>
  <c r="H2716" i="3"/>
  <c r="G2717" i="3"/>
  <c r="H2717" i="3"/>
  <c r="G2718" i="3"/>
  <c r="H2718" i="3"/>
  <c r="G2719" i="3"/>
  <c r="H2719" i="3"/>
  <c r="G2720" i="3"/>
  <c r="H2720" i="3"/>
  <c r="G2721" i="3"/>
  <c r="H2721" i="3"/>
  <c r="G2722" i="3"/>
  <c r="H2722" i="3"/>
  <c r="G2723" i="3"/>
  <c r="H2723" i="3"/>
  <c r="G2724" i="3"/>
  <c r="H2724" i="3"/>
  <c r="G2725" i="3"/>
  <c r="H2725" i="3"/>
  <c r="G2726" i="3"/>
  <c r="H2726" i="3"/>
  <c r="G2727" i="3"/>
  <c r="H2727" i="3"/>
  <c r="G2728" i="3"/>
  <c r="H2728" i="3"/>
  <c r="G2729" i="3"/>
  <c r="H2729" i="3"/>
  <c r="G2730" i="3"/>
  <c r="H2730" i="3"/>
  <c r="G2731" i="3"/>
  <c r="H2731" i="3"/>
  <c r="G2732" i="3"/>
  <c r="H2732" i="3"/>
  <c r="G2733" i="3"/>
  <c r="H2733" i="3"/>
  <c r="G2734" i="3"/>
  <c r="H2734" i="3"/>
  <c r="G2735" i="3"/>
  <c r="H2735" i="3"/>
  <c r="G2736" i="3"/>
  <c r="H2736" i="3"/>
  <c r="G2737" i="3"/>
  <c r="H2737" i="3"/>
  <c r="G2738" i="3"/>
  <c r="H2738" i="3"/>
  <c r="G2739" i="3"/>
  <c r="H2739" i="3"/>
  <c r="G2740" i="3"/>
  <c r="H2740" i="3"/>
  <c r="G2741" i="3"/>
  <c r="H2741" i="3"/>
  <c r="G2742" i="3"/>
  <c r="H2742" i="3"/>
  <c r="G2743" i="3"/>
  <c r="H2743" i="3"/>
  <c r="G2744" i="3"/>
  <c r="H2744" i="3"/>
  <c r="G2745" i="3"/>
  <c r="H2745" i="3"/>
  <c r="G2746" i="3"/>
  <c r="H2746" i="3"/>
  <c r="G2747" i="3"/>
  <c r="H2747" i="3"/>
  <c r="G2748" i="3"/>
  <c r="H2748" i="3"/>
  <c r="G2749" i="3"/>
  <c r="H2749" i="3"/>
  <c r="G2750" i="3"/>
  <c r="H2750" i="3"/>
  <c r="G2751" i="3"/>
  <c r="H2751" i="3"/>
  <c r="G2752" i="3"/>
  <c r="H2752" i="3"/>
  <c r="G2753" i="3"/>
  <c r="H2753" i="3"/>
  <c r="G2754" i="3"/>
  <c r="H2754" i="3"/>
  <c r="G2755" i="3"/>
  <c r="H2755" i="3"/>
  <c r="G2756" i="3"/>
  <c r="H2756" i="3"/>
  <c r="G2757" i="3"/>
  <c r="H2757" i="3"/>
  <c r="G2758" i="3"/>
  <c r="H2758" i="3"/>
  <c r="G2759" i="3"/>
  <c r="H2759" i="3"/>
  <c r="G2760" i="3"/>
  <c r="H2760" i="3"/>
  <c r="G2761" i="3"/>
  <c r="H2761" i="3"/>
  <c r="G2762" i="3"/>
  <c r="H2762" i="3"/>
  <c r="G2763" i="3"/>
  <c r="H2763" i="3"/>
  <c r="G2764" i="3"/>
  <c r="H2764" i="3"/>
  <c r="G2765" i="3"/>
  <c r="H2765" i="3"/>
  <c r="G2766" i="3"/>
  <c r="H2766" i="3"/>
  <c r="G2767" i="3"/>
  <c r="H2767" i="3"/>
  <c r="G2768" i="3"/>
  <c r="H2768" i="3"/>
  <c r="G2769" i="3"/>
  <c r="H2769" i="3"/>
  <c r="G2770" i="3"/>
  <c r="H2770" i="3"/>
  <c r="G2771" i="3"/>
  <c r="H2771" i="3"/>
  <c r="G2772" i="3"/>
  <c r="H2772" i="3"/>
  <c r="G2773" i="3"/>
  <c r="H2773" i="3"/>
  <c r="G2774" i="3"/>
  <c r="H2774" i="3"/>
  <c r="G2775" i="3"/>
  <c r="H2775" i="3"/>
  <c r="G2776" i="3"/>
  <c r="H2776" i="3"/>
  <c r="G2777" i="3"/>
  <c r="H2777" i="3"/>
  <c r="G2778" i="3"/>
  <c r="H2778" i="3"/>
  <c r="G2779" i="3"/>
  <c r="H2779" i="3"/>
  <c r="G2780" i="3"/>
  <c r="H2780" i="3"/>
  <c r="G2781" i="3"/>
  <c r="H2781" i="3"/>
  <c r="G2782" i="3"/>
  <c r="H2782" i="3"/>
  <c r="G2783" i="3"/>
  <c r="H2783" i="3"/>
  <c r="G2784" i="3"/>
  <c r="H2784" i="3"/>
  <c r="G2785" i="3"/>
  <c r="H2785" i="3"/>
  <c r="G2786" i="3"/>
  <c r="H2786" i="3"/>
  <c r="G2787" i="3"/>
  <c r="H2787" i="3"/>
  <c r="G2788" i="3"/>
  <c r="H2788" i="3"/>
  <c r="G2789" i="3"/>
  <c r="H2789" i="3"/>
  <c r="G2790" i="3"/>
  <c r="H2790" i="3"/>
  <c r="G2791" i="3"/>
  <c r="H2791" i="3"/>
  <c r="G2792" i="3"/>
  <c r="H2792" i="3"/>
  <c r="G2793" i="3"/>
  <c r="H2793" i="3"/>
  <c r="G2794" i="3"/>
  <c r="H2794" i="3"/>
  <c r="G2795" i="3"/>
  <c r="H2795" i="3"/>
  <c r="G2796" i="3"/>
  <c r="H2796" i="3"/>
  <c r="G2797" i="3"/>
  <c r="H2797" i="3"/>
  <c r="G2798" i="3"/>
  <c r="H2798" i="3"/>
  <c r="G2799" i="3"/>
  <c r="H2799" i="3"/>
  <c r="G2800" i="3"/>
  <c r="H2800" i="3"/>
  <c r="G2801" i="3"/>
  <c r="H2801" i="3"/>
  <c r="G2802" i="3"/>
  <c r="H2802" i="3"/>
  <c r="G2803" i="3"/>
  <c r="H2803" i="3"/>
  <c r="G2804" i="3"/>
  <c r="H2804" i="3"/>
  <c r="G2805" i="3"/>
  <c r="H2805" i="3"/>
  <c r="G2806" i="3"/>
  <c r="H2806" i="3"/>
  <c r="G2807" i="3"/>
  <c r="H2807" i="3"/>
  <c r="G2808" i="3"/>
  <c r="H2808" i="3"/>
  <c r="G2809" i="3"/>
  <c r="H2809" i="3"/>
  <c r="G2810" i="3"/>
  <c r="H2810" i="3"/>
  <c r="G2811" i="3"/>
  <c r="H2811" i="3"/>
  <c r="G2812" i="3"/>
  <c r="H2812" i="3"/>
  <c r="G2813" i="3"/>
  <c r="H2813" i="3"/>
  <c r="G2814" i="3"/>
  <c r="H2814" i="3"/>
  <c r="G2815" i="3"/>
  <c r="H2815" i="3"/>
  <c r="G2816" i="3"/>
  <c r="H2816" i="3"/>
  <c r="G2817" i="3"/>
  <c r="H2817" i="3"/>
  <c r="G2818" i="3"/>
  <c r="H2818" i="3"/>
  <c r="G2819" i="3"/>
  <c r="H2819" i="3"/>
  <c r="G2820" i="3"/>
  <c r="H2820" i="3"/>
  <c r="G2821" i="3"/>
  <c r="H2821" i="3"/>
  <c r="G2822" i="3"/>
  <c r="H2822" i="3"/>
  <c r="G2823" i="3"/>
  <c r="H2823" i="3"/>
  <c r="G2824" i="3"/>
  <c r="H2824" i="3"/>
  <c r="G2825" i="3"/>
  <c r="H2825" i="3"/>
  <c r="G2826" i="3"/>
  <c r="H2826" i="3"/>
  <c r="G2827" i="3"/>
  <c r="H2827" i="3"/>
  <c r="G2828" i="3"/>
  <c r="H2828" i="3"/>
  <c r="G2829" i="3"/>
  <c r="H2829" i="3"/>
  <c r="G2830" i="3"/>
  <c r="H2830" i="3"/>
  <c r="G2831" i="3"/>
  <c r="H2831" i="3"/>
  <c r="G2832" i="3"/>
  <c r="H2832" i="3"/>
  <c r="G2833" i="3"/>
  <c r="H2833" i="3"/>
  <c r="G2834" i="3"/>
  <c r="H2834" i="3"/>
  <c r="G2835" i="3"/>
  <c r="H2835" i="3"/>
  <c r="G2836" i="3"/>
  <c r="H2836" i="3"/>
  <c r="G2837" i="3"/>
  <c r="H2837" i="3"/>
  <c r="G2838" i="3"/>
  <c r="H2838" i="3"/>
  <c r="G2839" i="3"/>
  <c r="H2839" i="3"/>
  <c r="G2840" i="3"/>
  <c r="H2840" i="3"/>
  <c r="G2841" i="3"/>
  <c r="H2841" i="3"/>
  <c r="G2842" i="3"/>
  <c r="H2842" i="3"/>
  <c r="G2843" i="3"/>
  <c r="H2843" i="3"/>
  <c r="G2844" i="3"/>
  <c r="H2844" i="3"/>
  <c r="G2845" i="3"/>
  <c r="H2845" i="3"/>
  <c r="G2846" i="3"/>
  <c r="H2846" i="3"/>
  <c r="G2847" i="3"/>
  <c r="H2847" i="3"/>
  <c r="G2848" i="3"/>
  <c r="H2848" i="3"/>
  <c r="G2849" i="3"/>
  <c r="H2849" i="3"/>
  <c r="G2850" i="3"/>
  <c r="H2850" i="3"/>
  <c r="G2851" i="3"/>
  <c r="H2851" i="3"/>
  <c r="G2852" i="3"/>
  <c r="H2852" i="3"/>
  <c r="G2853" i="3"/>
  <c r="H2853" i="3"/>
  <c r="G2854" i="3"/>
  <c r="H2854" i="3"/>
  <c r="G2855" i="3"/>
  <c r="H2855" i="3"/>
  <c r="G2856" i="3"/>
  <c r="H2856" i="3"/>
  <c r="G2857" i="3"/>
  <c r="H2857" i="3"/>
  <c r="G2858" i="3"/>
  <c r="H2858" i="3"/>
  <c r="G2859" i="3"/>
  <c r="H2859" i="3"/>
  <c r="G2860" i="3"/>
  <c r="H2860" i="3"/>
  <c r="G2861" i="3"/>
  <c r="H2861" i="3"/>
  <c r="G2862" i="3"/>
  <c r="H2862" i="3"/>
  <c r="G2863" i="3"/>
  <c r="H2863" i="3"/>
  <c r="G2864" i="3"/>
  <c r="H2864" i="3"/>
  <c r="G2865" i="3"/>
  <c r="H2865" i="3"/>
  <c r="G2866" i="3"/>
  <c r="H2866" i="3"/>
  <c r="G2867" i="3"/>
  <c r="H2867" i="3"/>
  <c r="G2868" i="3"/>
  <c r="H2868" i="3"/>
  <c r="G2869" i="3"/>
  <c r="H2869" i="3"/>
  <c r="G2870" i="3"/>
  <c r="H2870" i="3"/>
  <c r="G2871" i="3"/>
  <c r="H2871" i="3"/>
  <c r="G2872" i="3"/>
  <c r="H2872" i="3"/>
  <c r="G2873" i="3"/>
  <c r="H2873" i="3"/>
  <c r="G2874" i="3"/>
  <c r="H2874" i="3"/>
  <c r="G2875" i="3"/>
  <c r="H2875" i="3"/>
  <c r="G2876" i="3"/>
  <c r="H2876" i="3"/>
  <c r="G2877" i="3"/>
  <c r="H2877" i="3"/>
  <c r="G2878" i="3"/>
  <c r="H2878" i="3"/>
  <c r="G2879" i="3"/>
  <c r="H2879" i="3"/>
  <c r="G2880" i="3"/>
  <c r="H2880" i="3"/>
  <c r="G2881" i="3"/>
  <c r="H2881" i="3"/>
  <c r="G2882" i="3"/>
  <c r="H2882" i="3"/>
  <c r="G2883" i="3"/>
  <c r="H2883" i="3"/>
  <c r="G2884" i="3"/>
  <c r="H2884" i="3"/>
  <c r="G2885" i="3"/>
  <c r="H2885" i="3"/>
  <c r="G2886" i="3"/>
  <c r="H2886" i="3"/>
  <c r="G2887" i="3"/>
  <c r="H2887" i="3"/>
  <c r="G2888" i="3"/>
  <c r="H2888" i="3"/>
  <c r="G2889" i="3"/>
  <c r="H2889" i="3"/>
  <c r="G2890" i="3"/>
  <c r="H2890" i="3"/>
  <c r="G2891" i="3"/>
  <c r="H2891" i="3"/>
  <c r="G2892" i="3"/>
  <c r="H2892" i="3"/>
  <c r="G2893" i="3"/>
  <c r="H2893" i="3"/>
  <c r="G2894" i="3"/>
  <c r="H2894" i="3"/>
  <c r="G2895" i="3"/>
  <c r="H2895" i="3"/>
  <c r="G2896" i="3"/>
  <c r="H2896" i="3"/>
  <c r="G2897" i="3"/>
  <c r="H2897" i="3"/>
  <c r="G2898" i="3"/>
  <c r="H2898" i="3"/>
  <c r="G2899" i="3"/>
  <c r="H2899" i="3"/>
  <c r="G2900" i="3"/>
  <c r="H2900" i="3"/>
  <c r="G2901" i="3"/>
  <c r="H2901" i="3"/>
  <c r="G2902" i="3"/>
  <c r="H2902" i="3"/>
  <c r="G2903" i="3"/>
  <c r="H2903" i="3"/>
  <c r="G2904" i="3"/>
  <c r="H2904" i="3"/>
  <c r="G2905" i="3"/>
  <c r="H2905" i="3"/>
  <c r="G2906" i="3"/>
  <c r="H2906" i="3"/>
  <c r="G2907" i="3"/>
  <c r="H2907" i="3"/>
  <c r="G2908" i="3"/>
  <c r="H2908" i="3"/>
  <c r="G2909" i="3"/>
  <c r="H2909" i="3"/>
  <c r="G2910" i="3"/>
  <c r="H2910" i="3"/>
  <c r="G2911" i="3"/>
  <c r="H2911" i="3"/>
  <c r="G2912" i="3"/>
  <c r="H2912" i="3"/>
  <c r="G2913" i="3"/>
  <c r="H2913" i="3"/>
  <c r="G2914" i="3"/>
  <c r="H2914" i="3"/>
  <c r="G2915" i="3"/>
  <c r="H2915" i="3"/>
  <c r="G2916" i="3"/>
  <c r="H2916" i="3"/>
  <c r="G2917" i="3"/>
  <c r="H2917" i="3"/>
  <c r="G2918" i="3"/>
  <c r="H2918" i="3"/>
  <c r="G2919" i="3"/>
  <c r="H2919" i="3"/>
  <c r="G2920" i="3"/>
  <c r="H2920" i="3"/>
  <c r="G2921" i="3"/>
  <c r="H2921" i="3"/>
  <c r="G2922" i="3"/>
  <c r="H2922" i="3"/>
  <c r="G2923" i="3"/>
  <c r="H2923" i="3"/>
  <c r="G2924" i="3"/>
  <c r="H2924" i="3"/>
  <c r="G2925" i="3"/>
  <c r="H2925" i="3"/>
  <c r="G2926" i="3"/>
  <c r="H2926" i="3"/>
  <c r="G2927" i="3"/>
  <c r="H2927" i="3"/>
  <c r="G2928" i="3"/>
  <c r="H2928" i="3"/>
  <c r="G2929" i="3"/>
  <c r="H2929" i="3"/>
  <c r="G2930" i="3"/>
  <c r="H2930" i="3"/>
  <c r="G2931" i="3"/>
  <c r="H2931" i="3"/>
  <c r="G2932" i="3"/>
  <c r="H2932" i="3"/>
  <c r="G2933" i="3"/>
  <c r="H2933" i="3"/>
  <c r="G2934" i="3"/>
  <c r="H2934" i="3"/>
  <c r="G2935" i="3"/>
  <c r="H2935" i="3"/>
  <c r="G2936" i="3"/>
  <c r="H2936" i="3"/>
  <c r="G2937" i="3"/>
  <c r="H2937" i="3"/>
  <c r="G2938" i="3"/>
  <c r="H2938" i="3"/>
  <c r="G2939" i="3"/>
  <c r="H2939" i="3"/>
  <c r="G2940" i="3"/>
  <c r="H2940" i="3"/>
  <c r="G2941" i="3"/>
  <c r="H2941" i="3"/>
  <c r="G2942" i="3"/>
  <c r="H2942" i="3"/>
  <c r="G2943" i="3"/>
  <c r="H2943" i="3"/>
  <c r="G2944" i="3"/>
  <c r="H2944" i="3"/>
  <c r="G2945" i="3"/>
  <c r="H2945" i="3"/>
  <c r="G2946" i="3"/>
  <c r="H2946" i="3"/>
  <c r="G2947" i="3"/>
  <c r="H2947" i="3"/>
  <c r="G2948" i="3"/>
  <c r="H2948" i="3"/>
  <c r="G2949" i="3"/>
  <c r="H2949" i="3"/>
  <c r="G2950" i="3"/>
  <c r="H2950" i="3"/>
  <c r="G2951" i="3"/>
  <c r="H2951" i="3"/>
  <c r="G2952" i="3"/>
  <c r="H2952" i="3"/>
  <c r="G2953" i="3"/>
  <c r="H2953" i="3"/>
  <c r="G2954" i="3"/>
  <c r="H2954" i="3"/>
  <c r="G2955" i="3"/>
  <c r="H2955" i="3"/>
  <c r="G2956" i="3"/>
  <c r="H2956" i="3"/>
  <c r="G2957" i="3"/>
  <c r="H2957" i="3"/>
  <c r="G2958" i="3"/>
  <c r="H2958" i="3"/>
  <c r="G2959" i="3"/>
  <c r="H2959" i="3"/>
  <c r="G2960" i="3"/>
  <c r="H2960" i="3"/>
  <c r="G2961" i="3"/>
  <c r="H2961" i="3"/>
  <c r="G2962" i="3"/>
  <c r="H2962" i="3"/>
  <c r="G2963" i="3"/>
  <c r="H2963" i="3"/>
  <c r="G2964" i="3"/>
  <c r="H2964" i="3"/>
  <c r="G2965" i="3"/>
  <c r="H2965" i="3"/>
  <c r="G2966" i="3"/>
  <c r="H2966" i="3"/>
  <c r="G2967" i="3"/>
  <c r="H2967" i="3"/>
  <c r="G2968" i="3"/>
  <c r="H2968" i="3"/>
  <c r="G2969" i="3"/>
  <c r="H2969" i="3"/>
  <c r="G2970" i="3"/>
  <c r="H2970" i="3"/>
  <c r="G2971" i="3"/>
  <c r="H2971" i="3"/>
  <c r="G2972" i="3"/>
  <c r="H2972" i="3"/>
  <c r="G2973" i="3"/>
  <c r="H2973" i="3"/>
  <c r="G2974" i="3"/>
  <c r="H2974" i="3"/>
  <c r="G2975" i="3"/>
  <c r="H2975" i="3"/>
  <c r="G2976" i="3"/>
  <c r="H2976" i="3"/>
  <c r="G2977" i="3"/>
  <c r="H2977" i="3"/>
  <c r="G2978" i="3"/>
  <c r="H2978" i="3"/>
  <c r="G2979" i="3"/>
  <c r="H2979" i="3"/>
  <c r="G2980" i="3"/>
  <c r="H2980" i="3"/>
  <c r="G2981" i="3"/>
  <c r="H2981" i="3"/>
  <c r="G2982" i="3"/>
  <c r="H2982" i="3"/>
  <c r="G2983" i="3"/>
  <c r="H2983" i="3"/>
  <c r="G2984" i="3"/>
  <c r="H2984" i="3"/>
  <c r="G2985" i="3"/>
  <c r="H2985" i="3"/>
  <c r="G2986" i="3"/>
  <c r="H2986" i="3"/>
  <c r="G2987" i="3"/>
  <c r="H2987" i="3"/>
  <c r="G2988" i="3"/>
  <c r="H2988" i="3"/>
  <c r="G2989" i="3"/>
  <c r="H2989" i="3"/>
  <c r="G2990" i="3"/>
  <c r="H2990" i="3"/>
  <c r="G2991" i="3"/>
  <c r="H2991" i="3"/>
  <c r="G2992" i="3"/>
  <c r="H2992" i="3"/>
  <c r="G2993" i="3"/>
  <c r="H2993" i="3"/>
  <c r="G2994" i="3"/>
  <c r="H2994" i="3"/>
  <c r="G2995" i="3"/>
  <c r="H2995" i="3"/>
  <c r="G2996" i="3"/>
  <c r="H2996" i="3"/>
  <c r="G2997" i="3"/>
  <c r="H2997" i="3"/>
  <c r="G2998" i="3"/>
  <c r="H2998" i="3"/>
  <c r="G2999" i="3"/>
  <c r="H2999" i="3"/>
  <c r="G3000" i="3"/>
  <c r="H3000" i="3"/>
  <c r="G3001" i="3"/>
  <c r="H3001" i="3"/>
  <c r="G3002" i="3"/>
  <c r="H3002" i="3"/>
  <c r="G3003" i="3"/>
  <c r="H3003" i="3"/>
  <c r="G3004" i="3"/>
  <c r="H3004" i="3"/>
  <c r="G3005" i="3"/>
  <c r="H3005" i="3"/>
  <c r="G3006" i="3"/>
  <c r="H3006" i="3"/>
  <c r="G3007" i="3"/>
  <c r="H3007" i="3"/>
  <c r="G3008" i="3"/>
  <c r="H3008" i="3"/>
  <c r="G3009" i="3"/>
  <c r="H3009" i="3"/>
  <c r="G3010" i="3"/>
  <c r="H3010" i="3"/>
  <c r="G3011" i="3"/>
  <c r="H3011" i="3"/>
  <c r="G3012" i="3"/>
  <c r="H3012" i="3"/>
  <c r="G3013" i="3"/>
  <c r="H3013" i="3"/>
  <c r="G3014" i="3"/>
  <c r="H3014" i="3"/>
  <c r="G3015" i="3"/>
  <c r="H3015" i="3"/>
  <c r="G3016" i="3"/>
  <c r="H3016" i="3"/>
  <c r="G3017" i="3"/>
  <c r="H3017" i="3"/>
  <c r="G3018" i="3"/>
  <c r="H3018" i="3"/>
  <c r="G3019" i="3"/>
  <c r="H3019" i="3"/>
  <c r="G3020" i="3"/>
  <c r="H3020" i="3"/>
  <c r="G3021" i="3"/>
  <c r="H3021" i="3"/>
  <c r="G3022" i="3"/>
  <c r="H3022" i="3"/>
  <c r="G3023" i="3"/>
  <c r="H3023" i="3"/>
  <c r="G3024" i="3"/>
  <c r="H3024" i="3"/>
  <c r="G3025" i="3"/>
  <c r="H3025" i="3"/>
  <c r="G3026" i="3"/>
  <c r="H3026" i="3"/>
  <c r="G3027" i="3"/>
  <c r="H3027" i="3"/>
  <c r="G3028" i="3"/>
  <c r="H3028" i="3"/>
  <c r="G3029" i="3"/>
  <c r="H3029" i="3"/>
  <c r="G3030" i="3"/>
  <c r="H3030" i="3"/>
  <c r="G3031" i="3"/>
  <c r="H3031" i="3"/>
  <c r="G3032" i="3"/>
  <c r="H3032" i="3"/>
  <c r="G3033" i="3"/>
  <c r="H3033" i="3"/>
  <c r="G3034" i="3"/>
  <c r="H3034" i="3"/>
  <c r="G3035" i="3"/>
  <c r="H3035" i="3"/>
  <c r="G3036" i="3"/>
  <c r="H3036" i="3"/>
  <c r="G3037" i="3"/>
  <c r="H3037" i="3"/>
  <c r="G3038" i="3"/>
  <c r="H3038" i="3"/>
  <c r="G3039" i="3"/>
  <c r="H3039" i="3"/>
  <c r="G3040" i="3"/>
  <c r="H3040" i="3"/>
  <c r="G3041" i="3"/>
  <c r="H3041" i="3"/>
  <c r="G3042" i="3"/>
  <c r="H3042" i="3"/>
  <c r="G3043" i="3"/>
  <c r="H3043" i="3"/>
  <c r="G3044" i="3"/>
  <c r="H3044" i="3"/>
  <c r="G3045" i="3"/>
  <c r="H3045" i="3"/>
  <c r="G3046" i="3"/>
  <c r="H3046" i="3"/>
  <c r="G3047" i="3"/>
  <c r="H3047" i="3"/>
  <c r="G3048" i="3"/>
  <c r="H3048" i="3"/>
  <c r="G3049" i="3"/>
  <c r="H3049" i="3"/>
  <c r="G3050" i="3"/>
  <c r="H3050" i="3"/>
  <c r="G3051" i="3"/>
  <c r="H3051" i="3"/>
  <c r="G3052" i="3"/>
  <c r="H3052" i="3"/>
  <c r="G3053" i="3"/>
  <c r="H3053" i="3"/>
  <c r="G3054" i="3"/>
  <c r="H3054" i="3"/>
  <c r="G3055" i="3"/>
  <c r="H3055" i="3"/>
  <c r="G3056" i="3"/>
  <c r="H3056" i="3"/>
  <c r="G3057" i="3"/>
  <c r="H3057" i="3"/>
  <c r="G3058" i="3"/>
  <c r="H3058" i="3"/>
  <c r="G3059" i="3"/>
  <c r="H3059" i="3"/>
  <c r="G3060" i="3"/>
  <c r="H3060" i="3"/>
  <c r="G3061" i="3"/>
  <c r="H3061" i="3"/>
  <c r="G3062" i="3"/>
  <c r="H3062" i="3"/>
  <c r="G3063" i="3"/>
  <c r="H3063" i="3"/>
  <c r="G3064" i="3"/>
  <c r="H3064" i="3"/>
  <c r="G3065" i="3"/>
  <c r="H3065" i="3"/>
  <c r="G3066" i="3"/>
  <c r="H3066" i="3"/>
  <c r="G3067" i="3"/>
  <c r="H3067" i="3"/>
  <c r="G3068" i="3"/>
  <c r="H3068" i="3"/>
  <c r="G3069" i="3"/>
  <c r="H3069" i="3"/>
  <c r="G3070" i="3"/>
  <c r="H3070" i="3"/>
  <c r="G3071" i="3"/>
  <c r="H3071" i="3"/>
  <c r="G3072" i="3"/>
  <c r="H3072" i="3"/>
  <c r="G3073" i="3"/>
  <c r="H3073" i="3"/>
  <c r="G3074" i="3"/>
  <c r="H3074" i="3"/>
  <c r="G3075" i="3"/>
  <c r="H3075" i="3"/>
  <c r="G3076" i="3"/>
  <c r="H3076" i="3"/>
  <c r="G3077" i="3"/>
  <c r="H3077" i="3"/>
  <c r="G3078" i="3"/>
  <c r="H3078" i="3"/>
  <c r="G3079" i="3"/>
  <c r="H3079" i="3"/>
  <c r="G3080" i="3"/>
  <c r="H3080" i="3"/>
  <c r="G3081" i="3"/>
  <c r="H3081" i="3"/>
  <c r="G3082" i="3"/>
  <c r="H3082" i="3"/>
  <c r="G3083" i="3"/>
  <c r="H3083" i="3"/>
  <c r="G3084" i="3"/>
  <c r="H3084" i="3"/>
  <c r="G3085" i="3"/>
  <c r="H3085" i="3"/>
  <c r="G3086" i="3"/>
  <c r="H3086" i="3"/>
  <c r="G3087" i="3"/>
  <c r="H3087" i="3"/>
  <c r="G3088" i="3"/>
  <c r="H3088" i="3"/>
  <c r="G3089" i="3"/>
  <c r="H3089" i="3"/>
  <c r="G3090" i="3"/>
  <c r="H3090" i="3"/>
  <c r="G3091" i="3"/>
  <c r="H3091" i="3"/>
  <c r="G3092" i="3"/>
  <c r="H3092" i="3"/>
  <c r="G3093" i="3"/>
  <c r="H3093" i="3"/>
  <c r="G3094" i="3"/>
  <c r="H3094" i="3"/>
  <c r="G3095" i="3"/>
  <c r="H3095" i="3"/>
  <c r="G3096" i="3"/>
  <c r="H3096" i="3"/>
  <c r="G3097" i="3"/>
  <c r="H3097" i="3"/>
  <c r="G3098" i="3"/>
  <c r="H3098" i="3"/>
  <c r="G3099" i="3"/>
  <c r="H3099" i="3"/>
  <c r="G3100" i="3"/>
  <c r="H3100" i="3"/>
  <c r="G3101" i="3"/>
  <c r="H3101" i="3"/>
  <c r="G3102" i="3"/>
  <c r="H3102" i="3"/>
  <c r="G3103" i="3"/>
  <c r="H3103" i="3"/>
  <c r="G3104" i="3"/>
  <c r="H3104" i="3"/>
  <c r="G3105" i="3"/>
  <c r="H3105" i="3"/>
  <c r="G3106" i="3"/>
  <c r="H3106" i="3"/>
  <c r="G3107" i="3"/>
  <c r="H3107" i="3"/>
  <c r="G3108" i="3"/>
  <c r="H3108" i="3"/>
  <c r="G3109" i="3"/>
  <c r="H3109" i="3"/>
  <c r="G3110" i="3"/>
  <c r="H3110" i="3"/>
  <c r="G3111" i="3"/>
  <c r="H3111" i="3"/>
  <c r="G3112" i="3"/>
  <c r="H3112" i="3"/>
  <c r="G3113" i="3"/>
  <c r="H3113" i="3"/>
  <c r="G3114" i="3"/>
  <c r="H3114" i="3"/>
  <c r="G3115" i="3"/>
  <c r="H3115" i="3"/>
  <c r="G3116" i="3"/>
  <c r="H3116" i="3"/>
  <c r="G3117" i="3"/>
  <c r="H3117" i="3"/>
  <c r="G3118" i="3"/>
  <c r="H3118" i="3"/>
  <c r="G3119" i="3"/>
  <c r="H3119" i="3"/>
  <c r="G3120" i="3"/>
  <c r="H3120" i="3"/>
  <c r="G3121" i="3"/>
  <c r="H3121" i="3"/>
  <c r="G3122" i="3"/>
  <c r="H3122" i="3"/>
  <c r="G3123" i="3"/>
  <c r="H3123" i="3"/>
  <c r="G3124" i="3"/>
  <c r="H3124" i="3"/>
  <c r="G3125" i="3"/>
  <c r="H3125" i="3"/>
  <c r="G3126" i="3"/>
  <c r="H3126" i="3"/>
  <c r="G3127" i="3"/>
  <c r="H3127" i="3"/>
  <c r="G3128" i="3"/>
  <c r="H3128" i="3"/>
  <c r="G3129" i="3"/>
  <c r="H3129" i="3"/>
  <c r="G3130" i="3"/>
  <c r="H3130" i="3"/>
  <c r="G3131" i="3"/>
  <c r="H3131" i="3"/>
  <c r="G3132" i="3"/>
  <c r="H3132" i="3"/>
  <c r="G3133" i="3"/>
  <c r="H3133" i="3"/>
  <c r="G3134" i="3"/>
  <c r="H3134" i="3"/>
  <c r="G3135" i="3"/>
  <c r="H3135" i="3"/>
  <c r="G3136" i="3"/>
  <c r="H3136" i="3"/>
  <c r="G3137" i="3"/>
  <c r="H3137" i="3"/>
  <c r="G3138" i="3"/>
  <c r="H3138" i="3"/>
  <c r="G3139" i="3"/>
  <c r="H3139" i="3"/>
  <c r="G3140" i="3"/>
  <c r="H3140" i="3"/>
  <c r="G3141" i="3"/>
  <c r="H3141" i="3"/>
  <c r="G3142" i="3"/>
  <c r="H3142" i="3"/>
  <c r="G3143" i="3"/>
  <c r="H3143" i="3"/>
  <c r="G3144" i="3"/>
  <c r="H3144" i="3"/>
  <c r="G3145" i="3"/>
  <c r="H3145" i="3"/>
  <c r="G3146" i="3"/>
  <c r="H3146" i="3"/>
  <c r="G3147" i="3"/>
  <c r="H3147" i="3"/>
  <c r="G3148" i="3"/>
  <c r="H3148" i="3"/>
  <c r="G3149" i="3"/>
  <c r="H3149" i="3"/>
  <c r="G3150" i="3"/>
  <c r="H3150" i="3"/>
  <c r="G3151" i="3"/>
  <c r="H3151" i="3"/>
  <c r="G3152" i="3"/>
  <c r="H3152" i="3"/>
  <c r="G3153" i="3"/>
  <c r="H3153" i="3"/>
  <c r="G3154" i="3"/>
  <c r="H3154" i="3"/>
  <c r="G3155" i="3"/>
  <c r="H3155" i="3"/>
  <c r="G3156" i="3"/>
  <c r="H3156" i="3"/>
  <c r="G3157" i="3"/>
  <c r="H3157" i="3"/>
  <c r="G3158" i="3"/>
  <c r="H3158" i="3"/>
  <c r="G3159" i="3"/>
  <c r="H3159" i="3"/>
  <c r="G3160" i="3"/>
  <c r="H3160" i="3"/>
  <c r="G3161" i="3"/>
  <c r="H3161" i="3"/>
  <c r="G3162" i="3"/>
  <c r="H3162" i="3"/>
  <c r="G3163" i="3"/>
  <c r="H3163" i="3"/>
  <c r="G3164" i="3"/>
  <c r="H3164" i="3"/>
  <c r="G3165" i="3"/>
  <c r="H3165" i="3"/>
  <c r="G3166" i="3"/>
  <c r="H3166" i="3"/>
  <c r="G3167" i="3"/>
  <c r="H3167" i="3"/>
  <c r="G3168" i="3"/>
  <c r="H3168" i="3"/>
  <c r="G3169" i="3"/>
  <c r="H3169" i="3"/>
  <c r="G3170" i="3"/>
  <c r="H3170" i="3"/>
  <c r="G3171" i="3"/>
  <c r="H3171" i="3"/>
  <c r="G3172" i="3"/>
  <c r="H3172" i="3"/>
  <c r="G3173" i="3"/>
  <c r="H3173" i="3"/>
  <c r="G3174" i="3"/>
  <c r="H3174" i="3"/>
  <c r="G3175" i="3"/>
  <c r="H3175" i="3"/>
  <c r="G3176" i="3"/>
  <c r="H3176" i="3"/>
  <c r="G3177" i="3"/>
  <c r="H3177" i="3"/>
  <c r="G3178" i="3"/>
  <c r="H3178" i="3"/>
  <c r="G3179" i="3"/>
  <c r="H3179" i="3"/>
  <c r="G3180" i="3"/>
  <c r="H3180" i="3"/>
  <c r="G3181" i="3"/>
  <c r="H3181" i="3"/>
  <c r="G3182" i="3"/>
  <c r="H3182" i="3"/>
  <c r="G3183" i="3"/>
  <c r="H3183" i="3"/>
  <c r="G3184" i="3"/>
  <c r="H3184" i="3"/>
  <c r="G3185" i="3"/>
  <c r="H3185" i="3"/>
  <c r="G3186" i="3"/>
  <c r="H3186" i="3"/>
  <c r="G3187" i="3"/>
  <c r="H3187" i="3"/>
  <c r="G3188" i="3"/>
  <c r="H3188" i="3"/>
  <c r="G3189" i="3"/>
  <c r="H3189" i="3"/>
  <c r="G3190" i="3"/>
  <c r="H3190" i="3"/>
  <c r="G3191" i="3"/>
  <c r="H3191" i="3"/>
  <c r="G3192" i="3"/>
  <c r="H3192" i="3"/>
  <c r="G3193" i="3"/>
  <c r="H3193" i="3"/>
  <c r="G3194" i="3"/>
  <c r="H3194" i="3"/>
  <c r="G3195" i="3"/>
  <c r="H3195" i="3"/>
  <c r="G3196" i="3"/>
  <c r="H3196" i="3"/>
  <c r="G3197" i="3"/>
  <c r="H3197" i="3"/>
  <c r="G3198" i="3"/>
  <c r="H3198" i="3"/>
  <c r="G3199" i="3"/>
  <c r="H3199" i="3"/>
  <c r="G3200" i="3"/>
  <c r="H3200" i="3"/>
  <c r="G3201" i="3"/>
  <c r="H3201" i="3"/>
  <c r="G3202" i="3"/>
  <c r="H3202" i="3"/>
  <c r="G3203" i="3"/>
  <c r="H3203" i="3"/>
  <c r="G3204" i="3"/>
  <c r="H3204" i="3"/>
  <c r="G3205" i="3"/>
  <c r="H3205" i="3"/>
  <c r="G3206" i="3"/>
  <c r="H3206" i="3"/>
  <c r="G3207" i="3"/>
  <c r="H3207" i="3"/>
  <c r="G3208" i="3"/>
  <c r="H3208" i="3"/>
  <c r="G3209" i="3"/>
  <c r="H3209" i="3"/>
  <c r="G3210" i="3"/>
  <c r="H3210" i="3"/>
  <c r="G3211" i="3"/>
  <c r="H3211" i="3"/>
  <c r="G3212" i="3"/>
  <c r="H3212" i="3"/>
  <c r="G3213" i="3"/>
  <c r="H3213" i="3"/>
  <c r="G3214" i="3"/>
  <c r="H3214" i="3"/>
  <c r="G3215" i="3"/>
  <c r="H3215" i="3"/>
  <c r="G3216" i="3"/>
  <c r="H3216" i="3"/>
  <c r="G3217" i="3"/>
  <c r="H3217" i="3"/>
  <c r="G3218" i="3"/>
  <c r="H3218" i="3"/>
  <c r="G3219" i="3"/>
  <c r="H3219" i="3"/>
  <c r="G3220" i="3"/>
  <c r="H3220" i="3"/>
  <c r="G3221" i="3"/>
  <c r="H3221" i="3"/>
  <c r="G3222" i="3"/>
  <c r="H3222" i="3"/>
  <c r="G3223" i="3"/>
  <c r="H3223" i="3"/>
  <c r="G3224" i="3"/>
  <c r="H3224" i="3"/>
  <c r="G3225" i="3"/>
  <c r="H3225" i="3"/>
  <c r="G3226" i="3"/>
  <c r="H3226" i="3"/>
  <c r="G3227" i="3"/>
  <c r="H3227" i="3"/>
  <c r="G3228" i="3"/>
  <c r="H3228" i="3"/>
  <c r="G3229" i="3"/>
  <c r="H3229" i="3"/>
  <c r="G3230" i="3"/>
  <c r="H3230" i="3"/>
  <c r="G3231" i="3"/>
  <c r="H3231" i="3"/>
  <c r="G3232" i="3"/>
  <c r="H3232" i="3"/>
  <c r="G3233" i="3"/>
  <c r="H3233" i="3"/>
  <c r="G3234" i="3"/>
  <c r="H3234" i="3"/>
  <c r="G3235" i="3"/>
  <c r="H3235" i="3"/>
  <c r="G3236" i="3"/>
  <c r="H3236" i="3"/>
  <c r="G3237" i="3"/>
  <c r="H3237" i="3"/>
  <c r="G3238" i="3"/>
  <c r="H3238" i="3"/>
  <c r="G3239" i="3"/>
  <c r="H3239" i="3"/>
  <c r="G3240" i="3"/>
  <c r="H3240" i="3"/>
  <c r="G3241" i="3"/>
  <c r="H3241" i="3"/>
  <c r="G3242" i="3"/>
  <c r="H3242" i="3"/>
  <c r="G3243" i="3"/>
  <c r="H3243" i="3"/>
  <c r="G3244" i="3"/>
  <c r="H3244" i="3"/>
  <c r="G3245" i="3"/>
  <c r="H3245" i="3"/>
  <c r="G3246" i="3"/>
  <c r="H3246" i="3"/>
  <c r="G3247" i="3"/>
  <c r="H3247" i="3"/>
  <c r="G3248" i="3"/>
  <c r="H3248" i="3"/>
  <c r="G3249" i="3"/>
  <c r="H3249" i="3"/>
  <c r="G3250" i="3"/>
  <c r="H3250" i="3"/>
  <c r="G3251" i="3"/>
  <c r="H3251" i="3"/>
  <c r="G3252" i="3"/>
  <c r="H3252" i="3"/>
  <c r="G3253" i="3"/>
  <c r="H3253" i="3"/>
  <c r="G3254" i="3"/>
  <c r="H3254" i="3"/>
  <c r="G3255" i="3"/>
  <c r="H3255" i="3"/>
  <c r="G3256" i="3"/>
  <c r="H3256" i="3"/>
  <c r="G3257" i="3"/>
  <c r="H3257" i="3"/>
  <c r="G3258" i="3"/>
  <c r="H3258" i="3"/>
  <c r="G3259" i="3"/>
  <c r="H3259" i="3"/>
  <c r="G3260" i="3"/>
  <c r="H3260" i="3"/>
  <c r="G3261" i="3"/>
  <c r="H3261" i="3"/>
  <c r="G3262" i="3"/>
  <c r="H3262" i="3"/>
  <c r="G3263" i="3"/>
  <c r="H3263" i="3"/>
  <c r="G3264" i="3"/>
  <c r="H3264" i="3"/>
  <c r="G3265" i="3"/>
  <c r="H3265" i="3"/>
  <c r="G3266" i="3"/>
  <c r="H3266" i="3"/>
  <c r="G3267" i="3"/>
  <c r="H3267" i="3"/>
  <c r="G3268" i="3"/>
  <c r="H3268" i="3"/>
  <c r="G3269" i="3"/>
  <c r="H3269" i="3"/>
  <c r="G3270" i="3"/>
  <c r="H3270" i="3"/>
  <c r="G3271" i="3"/>
  <c r="H3271" i="3"/>
  <c r="G3272" i="3"/>
  <c r="H3272" i="3"/>
  <c r="G3273" i="3"/>
  <c r="H3273" i="3"/>
  <c r="G3274" i="3"/>
  <c r="H3274" i="3"/>
  <c r="G3275" i="3"/>
  <c r="H3275" i="3"/>
  <c r="G3276" i="3"/>
  <c r="H3276" i="3"/>
  <c r="G3277" i="3"/>
  <c r="H3277" i="3"/>
  <c r="G3278" i="3"/>
  <c r="H3278" i="3"/>
  <c r="G3279" i="3"/>
  <c r="H3279" i="3"/>
  <c r="G3280" i="3"/>
  <c r="H3280" i="3"/>
  <c r="G3281" i="3"/>
  <c r="H3281" i="3"/>
  <c r="G3282" i="3"/>
  <c r="H3282" i="3"/>
  <c r="G3283" i="3"/>
  <c r="H3283" i="3"/>
  <c r="G3284" i="3"/>
  <c r="H3284" i="3"/>
  <c r="G3285" i="3"/>
  <c r="H3285" i="3"/>
  <c r="G3286" i="3"/>
  <c r="H3286" i="3"/>
  <c r="G3287" i="3"/>
  <c r="H3287" i="3"/>
  <c r="G3288" i="3"/>
  <c r="H3288" i="3"/>
  <c r="G3289" i="3"/>
  <c r="H3289" i="3"/>
  <c r="G3290" i="3"/>
  <c r="H3290" i="3"/>
  <c r="G3291" i="3"/>
  <c r="H3291" i="3"/>
  <c r="G3292" i="3"/>
  <c r="H3292" i="3"/>
  <c r="G3293" i="3"/>
  <c r="H3293" i="3"/>
  <c r="G3294" i="3"/>
  <c r="H3294" i="3"/>
  <c r="G3295" i="3"/>
  <c r="H3295" i="3"/>
  <c r="G3296" i="3"/>
  <c r="H3296" i="3"/>
  <c r="G3297" i="3"/>
  <c r="H3297" i="3"/>
  <c r="G3298" i="3"/>
  <c r="H3298" i="3"/>
  <c r="G3299" i="3"/>
  <c r="H3299" i="3"/>
  <c r="G3300" i="3"/>
  <c r="H3300" i="3"/>
  <c r="G3301" i="3"/>
  <c r="H3301" i="3"/>
  <c r="G3302" i="3"/>
  <c r="H3302" i="3"/>
  <c r="G3303" i="3"/>
  <c r="H3303" i="3"/>
  <c r="G3304" i="3"/>
  <c r="H3304" i="3"/>
  <c r="G3305" i="3"/>
  <c r="H3305" i="3"/>
  <c r="G3306" i="3"/>
  <c r="H3306" i="3"/>
  <c r="G3307" i="3"/>
  <c r="H3307" i="3"/>
  <c r="G3308" i="3"/>
  <c r="H3308" i="3"/>
  <c r="G3309" i="3"/>
  <c r="H3309" i="3"/>
  <c r="G3310" i="3"/>
  <c r="H3310" i="3"/>
  <c r="G3311" i="3"/>
  <c r="H3311" i="3"/>
  <c r="G3312" i="3"/>
  <c r="H3312" i="3"/>
  <c r="G3313" i="3"/>
  <c r="H3313" i="3"/>
  <c r="G3314" i="3"/>
  <c r="H3314" i="3"/>
  <c r="G3315" i="3"/>
  <c r="H3315" i="3"/>
  <c r="G3316" i="3"/>
  <c r="H3316" i="3"/>
  <c r="G3317" i="3"/>
  <c r="H3317" i="3"/>
  <c r="G3318" i="3"/>
  <c r="H3318" i="3"/>
  <c r="G3319" i="3"/>
  <c r="H3319" i="3"/>
  <c r="G3320" i="3"/>
  <c r="H3320" i="3"/>
  <c r="G3321" i="3"/>
  <c r="H3321" i="3"/>
  <c r="G3322" i="3"/>
  <c r="H3322" i="3"/>
  <c r="G3323" i="3"/>
  <c r="H3323" i="3"/>
  <c r="G3324" i="3"/>
  <c r="H3324" i="3"/>
  <c r="G3325" i="3"/>
  <c r="H3325" i="3"/>
  <c r="G3326" i="3"/>
  <c r="H3326" i="3"/>
  <c r="G3327" i="3"/>
  <c r="H3327" i="3"/>
  <c r="G3328" i="3"/>
  <c r="H3328" i="3"/>
  <c r="G3329" i="3"/>
  <c r="H3329" i="3"/>
  <c r="G3330" i="3"/>
  <c r="H3330" i="3"/>
  <c r="G3331" i="3"/>
  <c r="H3331" i="3"/>
  <c r="G3332" i="3"/>
  <c r="H3332" i="3"/>
  <c r="G3333" i="3"/>
  <c r="H3333" i="3"/>
  <c r="G3334" i="3"/>
  <c r="H3334" i="3"/>
  <c r="G3335" i="3"/>
  <c r="H3335" i="3"/>
  <c r="G3336" i="3"/>
  <c r="H3336" i="3"/>
  <c r="G3337" i="3"/>
  <c r="H3337" i="3"/>
  <c r="G3338" i="3"/>
  <c r="H3338" i="3"/>
  <c r="G3339" i="3"/>
  <c r="H3339" i="3"/>
  <c r="G3340" i="3"/>
  <c r="H3340" i="3"/>
  <c r="G3341" i="3"/>
  <c r="H3341" i="3"/>
  <c r="G3342" i="3"/>
  <c r="H3342" i="3"/>
  <c r="G3343" i="3"/>
  <c r="H3343" i="3"/>
  <c r="G3344" i="3"/>
  <c r="H3344" i="3"/>
  <c r="G3345" i="3"/>
  <c r="H3345" i="3"/>
  <c r="G3346" i="3"/>
  <c r="H3346" i="3"/>
  <c r="G3347" i="3"/>
  <c r="H3347" i="3"/>
  <c r="G3348" i="3"/>
  <c r="H3348" i="3"/>
  <c r="G3349" i="3"/>
  <c r="H3349" i="3"/>
  <c r="G3350" i="3"/>
  <c r="H3350" i="3"/>
  <c r="G3351" i="3"/>
  <c r="H3351" i="3"/>
  <c r="G3352" i="3"/>
  <c r="H3352" i="3"/>
  <c r="G3353" i="3"/>
  <c r="H3353" i="3"/>
  <c r="G3354" i="3"/>
  <c r="H3354" i="3"/>
  <c r="G3355" i="3"/>
  <c r="H3355" i="3"/>
  <c r="G3356" i="3"/>
  <c r="H3356" i="3"/>
  <c r="G3357" i="3"/>
  <c r="H3357" i="3"/>
  <c r="G3358" i="3"/>
  <c r="H3358" i="3"/>
  <c r="G3359" i="3"/>
  <c r="H3359" i="3"/>
  <c r="G3360" i="3"/>
  <c r="H3360" i="3"/>
  <c r="G3361" i="3"/>
  <c r="H3361" i="3"/>
  <c r="G3362" i="3"/>
  <c r="H3362" i="3"/>
  <c r="G3363" i="3"/>
  <c r="H3363" i="3"/>
  <c r="G3364" i="3"/>
  <c r="H3364" i="3"/>
  <c r="G3365" i="3"/>
  <c r="H3365" i="3"/>
  <c r="G3366" i="3"/>
  <c r="H3366" i="3"/>
  <c r="G3367" i="3"/>
  <c r="H3367" i="3"/>
  <c r="G3368" i="3"/>
  <c r="H3368" i="3"/>
  <c r="G3369" i="3"/>
  <c r="H3369" i="3"/>
  <c r="G3370" i="3"/>
  <c r="H3370" i="3"/>
  <c r="G3371" i="3"/>
  <c r="H3371" i="3"/>
  <c r="G3372" i="3"/>
  <c r="H3372" i="3"/>
  <c r="G3373" i="3"/>
  <c r="H3373" i="3"/>
  <c r="G3374" i="3"/>
  <c r="H3374" i="3"/>
  <c r="G3375" i="3"/>
  <c r="H3375" i="3"/>
  <c r="G3376" i="3"/>
  <c r="H3376" i="3"/>
  <c r="G3377" i="3"/>
  <c r="H3377" i="3"/>
  <c r="G3378" i="3"/>
  <c r="H3378" i="3"/>
  <c r="G3379" i="3"/>
  <c r="H3379" i="3"/>
  <c r="G3380" i="3"/>
  <c r="H3380" i="3"/>
  <c r="G3381" i="3"/>
  <c r="H3381" i="3"/>
  <c r="G3382" i="3"/>
  <c r="H3382" i="3"/>
  <c r="G3383" i="3"/>
  <c r="H3383" i="3"/>
  <c r="G3384" i="3"/>
  <c r="H3384" i="3"/>
  <c r="G3385" i="3"/>
  <c r="H3385" i="3"/>
  <c r="G3386" i="3"/>
  <c r="H3386" i="3"/>
  <c r="G3387" i="3"/>
  <c r="H3387" i="3"/>
  <c r="G3388" i="3"/>
  <c r="H3388" i="3"/>
  <c r="G3389" i="3"/>
  <c r="H3389" i="3"/>
  <c r="G3390" i="3"/>
  <c r="H3390" i="3"/>
  <c r="G3391" i="3"/>
  <c r="H3391" i="3"/>
  <c r="G3392" i="3"/>
  <c r="H3392" i="3"/>
  <c r="G3393" i="3"/>
  <c r="H3393" i="3"/>
  <c r="G3394" i="3"/>
  <c r="H3394" i="3"/>
  <c r="G3395" i="3"/>
  <c r="H3395" i="3"/>
  <c r="G3396" i="3"/>
  <c r="H3396" i="3"/>
  <c r="G3397" i="3"/>
  <c r="H3397" i="3"/>
  <c r="G3398" i="3"/>
  <c r="H3398" i="3"/>
  <c r="G3399" i="3"/>
  <c r="H3399" i="3"/>
  <c r="G3400" i="3"/>
  <c r="H3400" i="3"/>
  <c r="G3401" i="3"/>
  <c r="H3401" i="3"/>
  <c r="G3402" i="3"/>
  <c r="H3402" i="3"/>
  <c r="G3403" i="3"/>
  <c r="H3403" i="3"/>
  <c r="G3404" i="3"/>
  <c r="H3404" i="3"/>
  <c r="G3405" i="3"/>
  <c r="H3405" i="3"/>
  <c r="G3406" i="3"/>
  <c r="H3406" i="3"/>
  <c r="G3407" i="3"/>
  <c r="H3407" i="3"/>
  <c r="G3408" i="3"/>
  <c r="H3408" i="3"/>
  <c r="G3409" i="3"/>
  <c r="H3409" i="3"/>
  <c r="G3410" i="3"/>
  <c r="H3410" i="3"/>
  <c r="G3411" i="3"/>
  <c r="H3411" i="3"/>
  <c r="G3412" i="3"/>
  <c r="H3412" i="3"/>
  <c r="G3413" i="3"/>
  <c r="H3413" i="3"/>
  <c r="G3414" i="3"/>
  <c r="H3414" i="3"/>
  <c r="G3415" i="3"/>
  <c r="H3415" i="3"/>
  <c r="G3416" i="3"/>
  <c r="H3416" i="3"/>
  <c r="G3417" i="3"/>
  <c r="H3417" i="3"/>
  <c r="G3418" i="3"/>
  <c r="H3418" i="3"/>
  <c r="G3419" i="3"/>
  <c r="H3419" i="3"/>
  <c r="G3420" i="3"/>
  <c r="H3420" i="3"/>
  <c r="G3421" i="3"/>
  <c r="H3421" i="3"/>
  <c r="G3422" i="3"/>
  <c r="H3422" i="3"/>
  <c r="G3423" i="3"/>
  <c r="H3423" i="3"/>
  <c r="G3424" i="3"/>
  <c r="H3424" i="3"/>
  <c r="G3425" i="3"/>
  <c r="H3425" i="3"/>
  <c r="G3426" i="3"/>
  <c r="H3426" i="3"/>
  <c r="G3427" i="3"/>
  <c r="H3427" i="3"/>
  <c r="G3428" i="3"/>
  <c r="H3428" i="3"/>
  <c r="G3429" i="3"/>
  <c r="H3429" i="3"/>
  <c r="G3430" i="3"/>
  <c r="H3430" i="3"/>
  <c r="G3431" i="3"/>
  <c r="H3431" i="3"/>
  <c r="G3432" i="3"/>
  <c r="H3432" i="3"/>
  <c r="G3433" i="3"/>
  <c r="H3433" i="3"/>
  <c r="G3434" i="3"/>
  <c r="H3434" i="3"/>
  <c r="G3435" i="3"/>
  <c r="H3435" i="3"/>
  <c r="G3436" i="3"/>
  <c r="H3436" i="3"/>
  <c r="G3437" i="3"/>
  <c r="H3437" i="3"/>
  <c r="G3438" i="3"/>
  <c r="H3438" i="3"/>
  <c r="G3439" i="3"/>
  <c r="H3439" i="3"/>
  <c r="G3440" i="3"/>
  <c r="H3440" i="3"/>
  <c r="G3441" i="3"/>
  <c r="H3441" i="3"/>
  <c r="G3442" i="3"/>
  <c r="H3442" i="3"/>
  <c r="G3443" i="3"/>
  <c r="H3443" i="3"/>
  <c r="G3444" i="3"/>
  <c r="H3444" i="3"/>
  <c r="G3445" i="3"/>
  <c r="H3445" i="3"/>
  <c r="G3446" i="3"/>
  <c r="H3446" i="3"/>
  <c r="G3447" i="3"/>
  <c r="H3447" i="3"/>
  <c r="G3448" i="3"/>
  <c r="H3448" i="3"/>
  <c r="G3449" i="3"/>
  <c r="H3449" i="3"/>
  <c r="G3450" i="3"/>
  <c r="H3450" i="3"/>
  <c r="G3451" i="3"/>
  <c r="H3451" i="3"/>
  <c r="G3452" i="3"/>
  <c r="H3452" i="3"/>
  <c r="G3453" i="3"/>
  <c r="H3453" i="3"/>
  <c r="G3454" i="3"/>
  <c r="H3454" i="3"/>
  <c r="G3455" i="3"/>
  <c r="H3455" i="3"/>
  <c r="G3456" i="3"/>
  <c r="H3456" i="3"/>
  <c r="G3457" i="3"/>
  <c r="H3457" i="3"/>
  <c r="G3458" i="3"/>
  <c r="H3458" i="3"/>
  <c r="G3459" i="3"/>
  <c r="H3459" i="3"/>
  <c r="G3460" i="3"/>
  <c r="H3460" i="3"/>
  <c r="G3461" i="3"/>
  <c r="H3461" i="3"/>
  <c r="G3462" i="3"/>
  <c r="H3462" i="3"/>
  <c r="G3463" i="3"/>
  <c r="H3463" i="3"/>
  <c r="G3464" i="3"/>
  <c r="H3464" i="3"/>
  <c r="G3465" i="3"/>
  <c r="H3465" i="3"/>
  <c r="G3466" i="3"/>
  <c r="H3466" i="3"/>
  <c r="G3467" i="3"/>
  <c r="H3467" i="3"/>
  <c r="G3468" i="3"/>
  <c r="H3468" i="3"/>
  <c r="G3469" i="3"/>
  <c r="H3469" i="3"/>
  <c r="G3470" i="3"/>
  <c r="H3470" i="3"/>
  <c r="G3471" i="3"/>
  <c r="H3471" i="3"/>
  <c r="G3472" i="3"/>
  <c r="H3472" i="3"/>
  <c r="G3473" i="3"/>
  <c r="H3473" i="3"/>
  <c r="G3474" i="3"/>
  <c r="H3474" i="3"/>
  <c r="G3475" i="3"/>
  <c r="H3475" i="3"/>
  <c r="G3476" i="3"/>
  <c r="H3476" i="3"/>
  <c r="G3477" i="3"/>
  <c r="H3477" i="3"/>
  <c r="G3478" i="3"/>
  <c r="H3478" i="3"/>
  <c r="G3479" i="3"/>
  <c r="H3479" i="3"/>
  <c r="G3480" i="3"/>
  <c r="H3480" i="3"/>
  <c r="G3481" i="3"/>
  <c r="H3481" i="3"/>
  <c r="G3482" i="3"/>
  <c r="H3482" i="3"/>
  <c r="G3483" i="3"/>
  <c r="H3483" i="3"/>
  <c r="G3484" i="3"/>
  <c r="H3484" i="3"/>
  <c r="G3485" i="3"/>
  <c r="H3485" i="3"/>
  <c r="G3486" i="3"/>
  <c r="H3486" i="3"/>
  <c r="G3487" i="3"/>
  <c r="H3487" i="3"/>
  <c r="G3488" i="3"/>
  <c r="H3488" i="3"/>
  <c r="G3489" i="3"/>
  <c r="H3489" i="3"/>
  <c r="G3490" i="3"/>
  <c r="H3490" i="3"/>
  <c r="G3491" i="3"/>
  <c r="H3491" i="3"/>
  <c r="G3492" i="3"/>
  <c r="H3492" i="3"/>
  <c r="G3493" i="3"/>
  <c r="H3493" i="3"/>
  <c r="G3494" i="3"/>
  <c r="H3494" i="3"/>
  <c r="G3495" i="3"/>
  <c r="H3495" i="3"/>
  <c r="G3496" i="3"/>
  <c r="H3496" i="3"/>
  <c r="G3497" i="3"/>
  <c r="H3497" i="3"/>
  <c r="G3498" i="3"/>
  <c r="H3498" i="3"/>
  <c r="G3499" i="3"/>
  <c r="H3499" i="3"/>
  <c r="G3500" i="3"/>
  <c r="H3500" i="3"/>
  <c r="G3501" i="3"/>
  <c r="H3501" i="3"/>
  <c r="G3502" i="3"/>
  <c r="H3502" i="3"/>
  <c r="G3503" i="3"/>
  <c r="H3503" i="3"/>
  <c r="G3504" i="3"/>
  <c r="H3504" i="3"/>
  <c r="G3505" i="3"/>
  <c r="H3505" i="3"/>
  <c r="G3506" i="3"/>
  <c r="H3506" i="3"/>
  <c r="G3507" i="3"/>
  <c r="H3507" i="3"/>
  <c r="G3508" i="3"/>
  <c r="H3508" i="3"/>
  <c r="G3509" i="3"/>
  <c r="H3509" i="3"/>
  <c r="G3510" i="3"/>
  <c r="H3510" i="3"/>
  <c r="G3511" i="3"/>
  <c r="H3511" i="3"/>
  <c r="G3512" i="3"/>
  <c r="H3512" i="3"/>
  <c r="G3513" i="3"/>
  <c r="H3513" i="3"/>
  <c r="G3514" i="3"/>
  <c r="H3514" i="3"/>
  <c r="G3515" i="3"/>
  <c r="H3515" i="3"/>
  <c r="G3516" i="3"/>
  <c r="H3516" i="3"/>
  <c r="G3517" i="3"/>
  <c r="H3517" i="3"/>
  <c r="G3518" i="3"/>
  <c r="H3518" i="3"/>
  <c r="G3519" i="3"/>
  <c r="H3519" i="3"/>
  <c r="G3520" i="3"/>
  <c r="H3520" i="3"/>
  <c r="G3521" i="3"/>
  <c r="H3521" i="3"/>
  <c r="G3522" i="3"/>
  <c r="H3522" i="3"/>
  <c r="G3523" i="3"/>
  <c r="H3523" i="3"/>
  <c r="G3524" i="3"/>
  <c r="H3524" i="3"/>
  <c r="G3525" i="3"/>
  <c r="H3525" i="3"/>
  <c r="G3526" i="3"/>
  <c r="H3526" i="3"/>
  <c r="G3527" i="3"/>
  <c r="H3527" i="3"/>
  <c r="G3528" i="3"/>
  <c r="H3528" i="3"/>
  <c r="G3529" i="3"/>
  <c r="H3529" i="3"/>
  <c r="G3530" i="3"/>
  <c r="H3530" i="3"/>
  <c r="G3531" i="3"/>
  <c r="H3531" i="3"/>
  <c r="G3532" i="3"/>
  <c r="H3532" i="3"/>
  <c r="G3533" i="3"/>
  <c r="H3533" i="3"/>
  <c r="G3534" i="3"/>
  <c r="H3534" i="3"/>
  <c r="G3535" i="3"/>
  <c r="H3535" i="3"/>
  <c r="G3536" i="3"/>
  <c r="H3536" i="3"/>
  <c r="G3537" i="3"/>
  <c r="H3537" i="3"/>
  <c r="G3538" i="3"/>
  <c r="H3538" i="3"/>
  <c r="G3539" i="3"/>
  <c r="H3539" i="3"/>
  <c r="G3540" i="3"/>
  <c r="H3540" i="3"/>
  <c r="G3541" i="3"/>
  <c r="H3541" i="3"/>
  <c r="G3542" i="3"/>
  <c r="H3542" i="3"/>
  <c r="G3543" i="3"/>
  <c r="H3543" i="3"/>
  <c r="G3544" i="3"/>
  <c r="H3544" i="3"/>
  <c r="G3545" i="3"/>
  <c r="H3545" i="3"/>
  <c r="G3546" i="3"/>
  <c r="H3546" i="3"/>
  <c r="G3547" i="3"/>
  <c r="H3547" i="3"/>
  <c r="G3548" i="3"/>
  <c r="H3548" i="3"/>
  <c r="G3549" i="3"/>
  <c r="H3549" i="3"/>
  <c r="G3550" i="3"/>
  <c r="H3550" i="3"/>
  <c r="G3551" i="3"/>
  <c r="H3551" i="3"/>
  <c r="G3552" i="3"/>
  <c r="H3552" i="3"/>
  <c r="G3553" i="3"/>
  <c r="H3553" i="3"/>
  <c r="G3554" i="3"/>
  <c r="H3554" i="3"/>
  <c r="G3555" i="3"/>
  <c r="H3555" i="3"/>
  <c r="G3556" i="3"/>
  <c r="H3556" i="3"/>
  <c r="G3557" i="3"/>
  <c r="H3557" i="3"/>
  <c r="G3558" i="3"/>
  <c r="H3558" i="3"/>
  <c r="G3559" i="3"/>
  <c r="H3559" i="3"/>
  <c r="G3560" i="3"/>
  <c r="H3560" i="3"/>
  <c r="G3561" i="3"/>
  <c r="H3561" i="3"/>
  <c r="G3562" i="3"/>
  <c r="H3562" i="3"/>
  <c r="G3563" i="3"/>
  <c r="H3563" i="3"/>
  <c r="G3564" i="3"/>
  <c r="H3564" i="3"/>
  <c r="G3565" i="3"/>
  <c r="H3565" i="3"/>
  <c r="G3566" i="3"/>
  <c r="H3566" i="3"/>
  <c r="G3567" i="3"/>
  <c r="H3567" i="3"/>
  <c r="G3568" i="3"/>
  <c r="H3568" i="3"/>
  <c r="G3569" i="3"/>
  <c r="H3569" i="3"/>
  <c r="G3570" i="3"/>
  <c r="H3570" i="3"/>
  <c r="G3571" i="3"/>
  <c r="H3571" i="3"/>
  <c r="G3572" i="3"/>
  <c r="H3572" i="3"/>
  <c r="G3573" i="3"/>
  <c r="H3573" i="3"/>
  <c r="G3574" i="3"/>
  <c r="H3574" i="3"/>
  <c r="G3575" i="3"/>
  <c r="H3575" i="3"/>
  <c r="G3576" i="3"/>
  <c r="H3576" i="3"/>
  <c r="G3577" i="3"/>
  <c r="H3577" i="3"/>
  <c r="G3578" i="3"/>
  <c r="H3578" i="3"/>
  <c r="G3579" i="3"/>
  <c r="H3579" i="3"/>
  <c r="G3580" i="3"/>
  <c r="H3580" i="3"/>
  <c r="G3581" i="3"/>
  <c r="H3581" i="3"/>
  <c r="G3582" i="3"/>
  <c r="H3582" i="3"/>
  <c r="G3583" i="3"/>
  <c r="H3583" i="3"/>
  <c r="G3584" i="3"/>
  <c r="H3584" i="3"/>
  <c r="G3585" i="3"/>
  <c r="H3585" i="3"/>
  <c r="G3586" i="3"/>
  <c r="H3586" i="3"/>
  <c r="G3587" i="3"/>
  <c r="H3587" i="3"/>
  <c r="G3588" i="3"/>
  <c r="H3588" i="3"/>
  <c r="G3589" i="3"/>
  <c r="H3589" i="3"/>
  <c r="G3590" i="3"/>
  <c r="H3590" i="3"/>
  <c r="G3591" i="3"/>
  <c r="H3591" i="3"/>
  <c r="G3592" i="3"/>
  <c r="H3592" i="3"/>
  <c r="G3593" i="3"/>
  <c r="H3593" i="3"/>
  <c r="G3594" i="3"/>
  <c r="H3594" i="3"/>
  <c r="G3595" i="3"/>
  <c r="H3595" i="3"/>
  <c r="G3596" i="3"/>
  <c r="H3596" i="3"/>
  <c r="G3597" i="3"/>
  <c r="H3597" i="3"/>
  <c r="G3598" i="3"/>
  <c r="H3598" i="3"/>
  <c r="G3599" i="3"/>
  <c r="H3599" i="3"/>
  <c r="G3600" i="3"/>
  <c r="H3600" i="3"/>
  <c r="G3601" i="3"/>
  <c r="H3601" i="3"/>
  <c r="G3602" i="3"/>
  <c r="H3602" i="3"/>
  <c r="G3603" i="3"/>
  <c r="H3603" i="3"/>
  <c r="G3604" i="3"/>
  <c r="H3604" i="3"/>
  <c r="G3605" i="3"/>
  <c r="H3605" i="3"/>
  <c r="G3606" i="3"/>
  <c r="H3606" i="3"/>
  <c r="G3607" i="3"/>
  <c r="H3607" i="3"/>
  <c r="G3608" i="3"/>
  <c r="H3608" i="3"/>
  <c r="G3609" i="3"/>
  <c r="H3609" i="3"/>
  <c r="G3610" i="3"/>
  <c r="H3610" i="3"/>
  <c r="G3611" i="3"/>
  <c r="H3611" i="3"/>
  <c r="G3612" i="3"/>
  <c r="H3612" i="3"/>
  <c r="G3613" i="3"/>
  <c r="H3613" i="3"/>
  <c r="G3614" i="3"/>
  <c r="H3614" i="3"/>
  <c r="G3615" i="3"/>
  <c r="H3615" i="3"/>
  <c r="G3616" i="3"/>
  <c r="H3616" i="3"/>
  <c r="G3617" i="3"/>
  <c r="H3617" i="3"/>
  <c r="G3618" i="3"/>
  <c r="H3618" i="3"/>
  <c r="G3619" i="3"/>
  <c r="H3619" i="3"/>
  <c r="G3620" i="3"/>
  <c r="H3620" i="3"/>
  <c r="G3621" i="3"/>
  <c r="H3621" i="3"/>
  <c r="G3622" i="3"/>
  <c r="H3622" i="3"/>
  <c r="G3623" i="3"/>
  <c r="H3623" i="3"/>
  <c r="G3624" i="3"/>
  <c r="H3624" i="3"/>
  <c r="G3625" i="3"/>
  <c r="H3625" i="3"/>
  <c r="G3626" i="3"/>
  <c r="H3626" i="3"/>
  <c r="G3627" i="3"/>
  <c r="H3627" i="3"/>
  <c r="G3628" i="3"/>
  <c r="H3628" i="3"/>
  <c r="G3629" i="3"/>
  <c r="H3629" i="3"/>
  <c r="G3630" i="3"/>
  <c r="H3630" i="3"/>
  <c r="G3631" i="3"/>
  <c r="H3631" i="3"/>
  <c r="G3632" i="3"/>
  <c r="H3632" i="3"/>
  <c r="G3633" i="3"/>
  <c r="H3633" i="3"/>
  <c r="G3634" i="3"/>
  <c r="H3634" i="3"/>
  <c r="G3635" i="3"/>
  <c r="H3635" i="3"/>
  <c r="G3636" i="3"/>
  <c r="H3636" i="3"/>
  <c r="G3637" i="3"/>
  <c r="H3637" i="3"/>
  <c r="G3638" i="3"/>
  <c r="H3638" i="3"/>
  <c r="G3639" i="3"/>
  <c r="H3639" i="3"/>
  <c r="G3640" i="3"/>
  <c r="H3640" i="3"/>
  <c r="G3641" i="3"/>
  <c r="H3641" i="3"/>
  <c r="G3642" i="3"/>
  <c r="H3642" i="3"/>
  <c r="G3643" i="3"/>
  <c r="H3643" i="3"/>
  <c r="G3644" i="3"/>
  <c r="H3644" i="3"/>
  <c r="G3645" i="3"/>
  <c r="H3645" i="3"/>
  <c r="G3646" i="3"/>
  <c r="H3646" i="3"/>
  <c r="G3647" i="3"/>
  <c r="H3647" i="3"/>
  <c r="G3648" i="3"/>
  <c r="H3648" i="3"/>
  <c r="G3649" i="3"/>
  <c r="H3649" i="3"/>
  <c r="G3650" i="3"/>
  <c r="H3650" i="3"/>
  <c r="G3651" i="3"/>
  <c r="H3651" i="3"/>
  <c r="G3652" i="3"/>
  <c r="H3652" i="3"/>
  <c r="G3653" i="3"/>
  <c r="H3653" i="3"/>
  <c r="G3654" i="3"/>
  <c r="H3654" i="3"/>
  <c r="G3655" i="3"/>
  <c r="H3655" i="3"/>
  <c r="G3656" i="3"/>
  <c r="H3656" i="3"/>
  <c r="G3657" i="3"/>
  <c r="H3657" i="3"/>
  <c r="G3658" i="3"/>
  <c r="H3658" i="3"/>
  <c r="G3659" i="3"/>
  <c r="H3659" i="3"/>
  <c r="G3660" i="3"/>
  <c r="H3660" i="3"/>
  <c r="G3661" i="3"/>
  <c r="H3661" i="3"/>
  <c r="G3662" i="3"/>
  <c r="H3662" i="3"/>
  <c r="G3663" i="3"/>
  <c r="H3663" i="3"/>
  <c r="G3664" i="3"/>
  <c r="H3664" i="3"/>
  <c r="G3665" i="3"/>
  <c r="H3665" i="3"/>
  <c r="G3666" i="3"/>
  <c r="H3666" i="3"/>
  <c r="G3667" i="3"/>
  <c r="H3667" i="3"/>
  <c r="G3668" i="3"/>
  <c r="H3668" i="3"/>
  <c r="G3669" i="3"/>
  <c r="H3669" i="3"/>
  <c r="G3670" i="3"/>
  <c r="H3670" i="3"/>
  <c r="G3671" i="3"/>
  <c r="H3671" i="3"/>
  <c r="G3672" i="3"/>
  <c r="H3672" i="3"/>
  <c r="G3673" i="3"/>
  <c r="H3673" i="3"/>
  <c r="G3674" i="3"/>
  <c r="H3674" i="3"/>
  <c r="G3675" i="3"/>
  <c r="H3675" i="3"/>
  <c r="G3676" i="3"/>
  <c r="H3676" i="3"/>
  <c r="G3677" i="3"/>
  <c r="H3677" i="3"/>
  <c r="G3678" i="3"/>
  <c r="H3678" i="3"/>
  <c r="G3679" i="3"/>
  <c r="H3679" i="3"/>
  <c r="G3680" i="3"/>
  <c r="H3680" i="3"/>
  <c r="G3681" i="3"/>
  <c r="H3681" i="3"/>
  <c r="G3682" i="3"/>
  <c r="H3682" i="3"/>
  <c r="G3683" i="3"/>
  <c r="H3683" i="3"/>
  <c r="G3684" i="3"/>
  <c r="H3684" i="3"/>
  <c r="G3685" i="3"/>
  <c r="H3685" i="3"/>
  <c r="G3686" i="3"/>
  <c r="H3686" i="3"/>
  <c r="G3687" i="3"/>
  <c r="H3687" i="3"/>
  <c r="G3688" i="3"/>
  <c r="H3688" i="3"/>
  <c r="G3689" i="3"/>
  <c r="H3689" i="3"/>
  <c r="G3690" i="3"/>
  <c r="H3690" i="3"/>
  <c r="G3691" i="3"/>
  <c r="H3691" i="3"/>
  <c r="G3692" i="3"/>
  <c r="H3692" i="3"/>
  <c r="G3693" i="3"/>
  <c r="H3693" i="3"/>
  <c r="G3694" i="3"/>
  <c r="H3694" i="3"/>
  <c r="G3695" i="3"/>
  <c r="H3695" i="3"/>
  <c r="G3696" i="3"/>
  <c r="H3696" i="3"/>
  <c r="G3697" i="3"/>
  <c r="H3697" i="3"/>
  <c r="G3698" i="3"/>
  <c r="H3698" i="3"/>
  <c r="G3699" i="3"/>
  <c r="H3699" i="3"/>
  <c r="G3700" i="3"/>
  <c r="H3700" i="3"/>
  <c r="G3701" i="3"/>
  <c r="H3701" i="3"/>
  <c r="G3702" i="3"/>
  <c r="H3702" i="3"/>
  <c r="G3703" i="3"/>
  <c r="H3703" i="3"/>
  <c r="G3704" i="3"/>
  <c r="H3704" i="3"/>
  <c r="G3705" i="3"/>
  <c r="H3705" i="3"/>
  <c r="G3706" i="3"/>
  <c r="H3706" i="3"/>
  <c r="G3707" i="3"/>
  <c r="H3707" i="3"/>
  <c r="G3708" i="3"/>
  <c r="H3708" i="3"/>
  <c r="G3709" i="3"/>
  <c r="H3709" i="3"/>
  <c r="G3710" i="3"/>
  <c r="H3710" i="3"/>
  <c r="G3711" i="3"/>
  <c r="H3711" i="3"/>
  <c r="G3712" i="3"/>
  <c r="H3712" i="3"/>
  <c r="G3713" i="3"/>
  <c r="H3713" i="3"/>
  <c r="G3714" i="3"/>
  <c r="H3714" i="3"/>
  <c r="G3715" i="3"/>
  <c r="H3715" i="3"/>
  <c r="G3716" i="3"/>
  <c r="H3716" i="3"/>
  <c r="G3717" i="3"/>
  <c r="H3717" i="3"/>
  <c r="G3718" i="3"/>
  <c r="H3718" i="3"/>
  <c r="G3719" i="3"/>
  <c r="H3719" i="3"/>
  <c r="G3720" i="3"/>
  <c r="H3720" i="3"/>
  <c r="G3721" i="3"/>
  <c r="H3721" i="3"/>
  <c r="G3722" i="3"/>
  <c r="H3722" i="3"/>
  <c r="G3723" i="3"/>
  <c r="H3723" i="3"/>
  <c r="G3724" i="3"/>
  <c r="H3724" i="3"/>
  <c r="G3725" i="3"/>
  <c r="H3725" i="3"/>
  <c r="G3726" i="3"/>
  <c r="H3726" i="3"/>
  <c r="G3727" i="3"/>
  <c r="H3727" i="3"/>
  <c r="G3728" i="3"/>
  <c r="H3728" i="3"/>
  <c r="G3729" i="3"/>
  <c r="H3729" i="3"/>
  <c r="G3730" i="3"/>
  <c r="H3730" i="3"/>
  <c r="G3731" i="3"/>
  <c r="H3731" i="3"/>
  <c r="G3732" i="3"/>
  <c r="H3732" i="3"/>
  <c r="G3733" i="3"/>
  <c r="H3733" i="3"/>
  <c r="G3734" i="3"/>
  <c r="H3734" i="3"/>
  <c r="G3735" i="3"/>
  <c r="H3735" i="3"/>
  <c r="G3736" i="3"/>
  <c r="H3736" i="3"/>
  <c r="G3737" i="3"/>
  <c r="H3737" i="3"/>
  <c r="G3738" i="3"/>
  <c r="H3738" i="3"/>
  <c r="G3739" i="3"/>
  <c r="H3739" i="3"/>
  <c r="G3740" i="3"/>
  <c r="H3740" i="3"/>
  <c r="G3741" i="3"/>
  <c r="H3741" i="3"/>
  <c r="G3742" i="3"/>
  <c r="H3742" i="3"/>
  <c r="G3743" i="3"/>
  <c r="H3743" i="3"/>
  <c r="G3744" i="3"/>
  <c r="H3744" i="3"/>
  <c r="G3745" i="3"/>
  <c r="H3745" i="3"/>
  <c r="G3746" i="3"/>
  <c r="H3746" i="3"/>
  <c r="G3747" i="3"/>
  <c r="H3747" i="3"/>
  <c r="G3748" i="3"/>
  <c r="H3748" i="3"/>
  <c r="G3749" i="3"/>
  <c r="H3749" i="3"/>
  <c r="G3750" i="3"/>
  <c r="H3750" i="3"/>
  <c r="G3751" i="3"/>
  <c r="H3751" i="3"/>
  <c r="G3752" i="3"/>
  <c r="H3752" i="3"/>
  <c r="G3753" i="3"/>
  <c r="H3753" i="3"/>
  <c r="G3754" i="3"/>
  <c r="H3754" i="3"/>
  <c r="G3755" i="3"/>
  <c r="H3755" i="3"/>
  <c r="G3756" i="3"/>
  <c r="H3756" i="3"/>
  <c r="G3757" i="3"/>
  <c r="H3757" i="3"/>
  <c r="G3758" i="3"/>
  <c r="H3758" i="3"/>
  <c r="G3759" i="3"/>
  <c r="H3759" i="3"/>
  <c r="G3760" i="3"/>
  <c r="H3760" i="3"/>
  <c r="G3761" i="3"/>
  <c r="H3761" i="3"/>
  <c r="G3762" i="3"/>
  <c r="H3762" i="3"/>
  <c r="G3763" i="3"/>
  <c r="H3763" i="3"/>
  <c r="G3764" i="3"/>
  <c r="H3764" i="3"/>
  <c r="G3765" i="3"/>
  <c r="H3765" i="3"/>
  <c r="G3766" i="3"/>
  <c r="H3766" i="3"/>
  <c r="G3767" i="3"/>
  <c r="H3767" i="3"/>
  <c r="G3768" i="3"/>
  <c r="H3768" i="3"/>
  <c r="G3769" i="3"/>
  <c r="H3769" i="3"/>
  <c r="G3770" i="3"/>
  <c r="H3770" i="3"/>
  <c r="G3771" i="3"/>
  <c r="H3771" i="3"/>
  <c r="G3772" i="3"/>
  <c r="H3772" i="3"/>
  <c r="G3773" i="3"/>
  <c r="H3773" i="3"/>
  <c r="G3774" i="3"/>
  <c r="H3774" i="3"/>
  <c r="G3775" i="3"/>
  <c r="H3775" i="3"/>
  <c r="G3776" i="3"/>
  <c r="H3776" i="3"/>
  <c r="G3777" i="3"/>
  <c r="H3777" i="3"/>
  <c r="G3778" i="3"/>
  <c r="H3778" i="3"/>
  <c r="G3779" i="3"/>
  <c r="H3779" i="3"/>
  <c r="G3780" i="3"/>
  <c r="H3780" i="3"/>
  <c r="G3781" i="3"/>
  <c r="H3781" i="3"/>
  <c r="G3782" i="3"/>
  <c r="H3782" i="3"/>
  <c r="G3783" i="3"/>
  <c r="H3783" i="3"/>
  <c r="G3784" i="3"/>
  <c r="H3784" i="3"/>
  <c r="G3785" i="3"/>
  <c r="H3785" i="3"/>
  <c r="G3786" i="3"/>
  <c r="H3786" i="3"/>
  <c r="G3787" i="3"/>
  <c r="H3787" i="3"/>
  <c r="G3788" i="3"/>
  <c r="H3788" i="3"/>
  <c r="G3789" i="3"/>
  <c r="H3789" i="3"/>
  <c r="G3790" i="3"/>
  <c r="H3790" i="3"/>
  <c r="G3791" i="3"/>
  <c r="H3791" i="3"/>
  <c r="G3792" i="3"/>
  <c r="H3792" i="3"/>
  <c r="G3793" i="3"/>
  <c r="H3793" i="3"/>
  <c r="G3794" i="3"/>
  <c r="H3794" i="3"/>
  <c r="G3795" i="3"/>
  <c r="H3795" i="3"/>
  <c r="G3796" i="3"/>
  <c r="H3796" i="3"/>
  <c r="G3797" i="3"/>
  <c r="H3797" i="3"/>
  <c r="G3798" i="3"/>
  <c r="H3798" i="3"/>
  <c r="G3799" i="3"/>
  <c r="H3799" i="3"/>
  <c r="G3800" i="3"/>
  <c r="H3800" i="3"/>
  <c r="G3801" i="3"/>
  <c r="H3801" i="3"/>
  <c r="G3802" i="3"/>
  <c r="H3802" i="3"/>
  <c r="G3803" i="3"/>
  <c r="H3803" i="3"/>
  <c r="G3804" i="3"/>
  <c r="H3804" i="3"/>
  <c r="G3805" i="3"/>
  <c r="H3805" i="3"/>
  <c r="G3806" i="3"/>
  <c r="H3806" i="3"/>
  <c r="G3807" i="3"/>
  <c r="H3807" i="3"/>
  <c r="G3808" i="3"/>
  <c r="H3808" i="3"/>
  <c r="G3809" i="3"/>
  <c r="H3809" i="3"/>
  <c r="G3810" i="3"/>
  <c r="H3810" i="3"/>
  <c r="G3811" i="3"/>
  <c r="H3811" i="3"/>
  <c r="G3812" i="3"/>
  <c r="H3812" i="3"/>
  <c r="G3813" i="3"/>
  <c r="H3813" i="3"/>
  <c r="G3814" i="3"/>
  <c r="H3814" i="3"/>
  <c r="G3815" i="3"/>
  <c r="H3815" i="3"/>
  <c r="G3816" i="3"/>
  <c r="H3816" i="3"/>
  <c r="G3817" i="3"/>
  <c r="H3817" i="3"/>
  <c r="G3818" i="3"/>
  <c r="H3818" i="3"/>
  <c r="G3819" i="3"/>
  <c r="H3819" i="3"/>
  <c r="G3820" i="3"/>
  <c r="H3820" i="3"/>
  <c r="G3821" i="3"/>
  <c r="H3821" i="3"/>
  <c r="G3822" i="3"/>
  <c r="H3822" i="3"/>
  <c r="G3823" i="3"/>
  <c r="H3823" i="3"/>
  <c r="G3824" i="3"/>
  <c r="H3824" i="3"/>
  <c r="G3825" i="3"/>
  <c r="H3825" i="3"/>
  <c r="G3826" i="3"/>
  <c r="H3826" i="3"/>
  <c r="G3827" i="3"/>
  <c r="H3827" i="3"/>
  <c r="G3828" i="3"/>
  <c r="H3828" i="3"/>
  <c r="G3829" i="3"/>
  <c r="H3829" i="3"/>
  <c r="G3830" i="3"/>
  <c r="H3830" i="3"/>
  <c r="G3831" i="3"/>
  <c r="H3831" i="3"/>
  <c r="G3832" i="3"/>
  <c r="H3832" i="3"/>
  <c r="G3833" i="3"/>
  <c r="H3833" i="3"/>
  <c r="G3834" i="3"/>
  <c r="H3834" i="3"/>
  <c r="G3835" i="3"/>
  <c r="H3835" i="3"/>
  <c r="G3836" i="3"/>
  <c r="H3836" i="3"/>
  <c r="G3837" i="3"/>
  <c r="H3837" i="3"/>
  <c r="G3838" i="3"/>
  <c r="H3838" i="3"/>
  <c r="G3839" i="3"/>
  <c r="H3839" i="3"/>
  <c r="G3840" i="3"/>
  <c r="H3840" i="3"/>
  <c r="G3841" i="3"/>
  <c r="H3841" i="3"/>
  <c r="G3842" i="3"/>
  <c r="H3842" i="3"/>
  <c r="G3843" i="3"/>
  <c r="H3843" i="3"/>
  <c r="G3844" i="3"/>
  <c r="H3844" i="3"/>
  <c r="G3845" i="3"/>
  <c r="H3845" i="3"/>
  <c r="G3846" i="3"/>
  <c r="H3846" i="3"/>
  <c r="G3847" i="3"/>
  <c r="H3847" i="3"/>
  <c r="G3848" i="3"/>
  <c r="H3848" i="3"/>
  <c r="G3849" i="3"/>
  <c r="H3849" i="3"/>
  <c r="G3850" i="3"/>
  <c r="H3850" i="3"/>
  <c r="G3851" i="3"/>
  <c r="H3851" i="3"/>
  <c r="G3852" i="3"/>
  <c r="H3852" i="3"/>
  <c r="G3853" i="3"/>
  <c r="H3853" i="3"/>
  <c r="G3854" i="3"/>
  <c r="H3854" i="3"/>
  <c r="G3855" i="3"/>
  <c r="H3855" i="3"/>
  <c r="G3856" i="3"/>
  <c r="H3856" i="3"/>
  <c r="G3857" i="3"/>
  <c r="H3857" i="3"/>
  <c r="G3858" i="3"/>
  <c r="H3858" i="3"/>
  <c r="G3859" i="3"/>
  <c r="H3859" i="3"/>
  <c r="G3860" i="3"/>
  <c r="H3860" i="3"/>
  <c r="G3861" i="3"/>
  <c r="H3861" i="3"/>
  <c r="G3862" i="3"/>
  <c r="H3862" i="3"/>
  <c r="G3863" i="3"/>
  <c r="H3863" i="3"/>
  <c r="G3864" i="3"/>
  <c r="H3864" i="3"/>
  <c r="G3865" i="3"/>
  <c r="H3865" i="3"/>
  <c r="G3866" i="3"/>
  <c r="H3866" i="3"/>
  <c r="G3867" i="3"/>
  <c r="H3867" i="3"/>
  <c r="G3868" i="3"/>
  <c r="H3868" i="3"/>
  <c r="G3869" i="3"/>
  <c r="H3869" i="3"/>
  <c r="G3870" i="3"/>
  <c r="H3870" i="3"/>
  <c r="G3871" i="3"/>
  <c r="H3871" i="3"/>
  <c r="G3872" i="3"/>
  <c r="H3872" i="3"/>
  <c r="G3873" i="3"/>
  <c r="H3873" i="3"/>
  <c r="G3874" i="3"/>
  <c r="H3874" i="3"/>
  <c r="G3875" i="3"/>
  <c r="H3875" i="3"/>
  <c r="G3876" i="3"/>
  <c r="H3876" i="3"/>
  <c r="G3877" i="3"/>
  <c r="H3877" i="3"/>
  <c r="G3878" i="3"/>
  <c r="H3878" i="3"/>
  <c r="G3879" i="3"/>
  <c r="H3879" i="3"/>
  <c r="G3880" i="3"/>
  <c r="H3880" i="3"/>
  <c r="G3881" i="3"/>
  <c r="H3881" i="3"/>
  <c r="G3882" i="3"/>
  <c r="H3882" i="3"/>
  <c r="G3883" i="3"/>
  <c r="H3883" i="3"/>
  <c r="G3884" i="3"/>
  <c r="H3884" i="3"/>
  <c r="G3885" i="3"/>
  <c r="H3885" i="3"/>
  <c r="G3886" i="3"/>
  <c r="H3886" i="3"/>
  <c r="G3887" i="3"/>
  <c r="H3887" i="3"/>
  <c r="G3888" i="3"/>
  <c r="H3888" i="3"/>
  <c r="G3889" i="3"/>
  <c r="H3889" i="3"/>
  <c r="G3890" i="3"/>
  <c r="H3890" i="3"/>
  <c r="G3891" i="3"/>
  <c r="H3891" i="3"/>
  <c r="G3892" i="3"/>
  <c r="H3892" i="3"/>
  <c r="G3893" i="3"/>
  <c r="H3893" i="3"/>
  <c r="G3894" i="3"/>
  <c r="H3894" i="3"/>
  <c r="G3895" i="3"/>
  <c r="H3895" i="3"/>
  <c r="G3896" i="3"/>
  <c r="H3896" i="3"/>
  <c r="G3897" i="3"/>
  <c r="H3897" i="3"/>
  <c r="G3898" i="3"/>
  <c r="H3898" i="3"/>
  <c r="G3899" i="3"/>
  <c r="H3899" i="3"/>
  <c r="G3900" i="3"/>
  <c r="H3900" i="3"/>
  <c r="G3901" i="3"/>
  <c r="H3901" i="3"/>
  <c r="G3902" i="3"/>
  <c r="H3902" i="3"/>
  <c r="G3903" i="3"/>
  <c r="H3903" i="3"/>
  <c r="G3904" i="3"/>
  <c r="H3904" i="3"/>
  <c r="G3905" i="3"/>
  <c r="H3905" i="3"/>
  <c r="G3906" i="3"/>
  <c r="H3906" i="3"/>
  <c r="G3907" i="3"/>
  <c r="H3907" i="3"/>
  <c r="G3908" i="3"/>
  <c r="H3908" i="3"/>
  <c r="G3909" i="3"/>
  <c r="H3909" i="3"/>
  <c r="G3910" i="3"/>
  <c r="H3910" i="3"/>
  <c r="G3911" i="3"/>
  <c r="H3911" i="3"/>
  <c r="G3912" i="3"/>
  <c r="H3912" i="3"/>
  <c r="G3913" i="3"/>
  <c r="H3913" i="3"/>
  <c r="G3914" i="3"/>
  <c r="H3914" i="3"/>
  <c r="G3915" i="3"/>
  <c r="H3915" i="3"/>
  <c r="G3916" i="3"/>
  <c r="H3916" i="3"/>
  <c r="G3917" i="3"/>
  <c r="H3917" i="3"/>
  <c r="G3918" i="3"/>
  <c r="H3918" i="3"/>
  <c r="G3919" i="3"/>
  <c r="H3919" i="3"/>
  <c r="G3920" i="3"/>
  <c r="H3920" i="3"/>
  <c r="G3921" i="3"/>
  <c r="H3921" i="3"/>
  <c r="G3922" i="3"/>
  <c r="H3922" i="3"/>
  <c r="G3923" i="3"/>
  <c r="H3923" i="3"/>
  <c r="G3924" i="3"/>
  <c r="H3924" i="3"/>
  <c r="G3925" i="3"/>
  <c r="H3925" i="3"/>
  <c r="G3926" i="3"/>
  <c r="H3926" i="3"/>
  <c r="G3927" i="3"/>
  <c r="H3927" i="3"/>
  <c r="G3928" i="3"/>
  <c r="H3928" i="3"/>
  <c r="G3929" i="3"/>
  <c r="H3929" i="3"/>
  <c r="G3930" i="3"/>
  <c r="H3930" i="3"/>
  <c r="G3931" i="3"/>
  <c r="H3931" i="3"/>
  <c r="G3932" i="3"/>
  <c r="H3932" i="3"/>
  <c r="G3933" i="3"/>
  <c r="H3933" i="3"/>
  <c r="G3934" i="3"/>
  <c r="H3934" i="3"/>
  <c r="G3935" i="3"/>
  <c r="H3935" i="3"/>
  <c r="G3936" i="3"/>
  <c r="H3936" i="3"/>
  <c r="G3937" i="3"/>
  <c r="H3937" i="3"/>
  <c r="G3938" i="3"/>
  <c r="H3938" i="3"/>
  <c r="G3939" i="3"/>
  <c r="H3939" i="3"/>
  <c r="G3940" i="3"/>
  <c r="H3940" i="3"/>
  <c r="G3941" i="3"/>
  <c r="H3941" i="3"/>
  <c r="G3942" i="3"/>
  <c r="H3942" i="3"/>
  <c r="G3943" i="3"/>
  <c r="H3943" i="3"/>
  <c r="G3944" i="3"/>
  <c r="H3944" i="3"/>
  <c r="G3945" i="3"/>
  <c r="H3945" i="3"/>
  <c r="G3946" i="3"/>
  <c r="H3946" i="3"/>
  <c r="G3947" i="3"/>
  <c r="H3947" i="3"/>
  <c r="G3948" i="3"/>
  <c r="H3948" i="3"/>
  <c r="G3949" i="3"/>
  <c r="H3949" i="3"/>
  <c r="G3950" i="3"/>
  <c r="H3950" i="3"/>
  <c r="G3951" i="3"/>
  <c r="H3951" i="3"/>
  <c r="G3952" i="3"/>
  <c r="H3952" i="3"/>
  <c r="G3953" i="3"/>
  <c r="H3953" i="3"/>
  <c r="G3954" i="3"/>
  <c r="H3954" i="3"/>
  <c r="G3955" i="3"/>
  <c r="H3955" i="3"/>
  <c r="G3956" i="3"/>
  <c r="H3956" i="3"/>
  <c r="G3957" i="3"/>
  <c r="H3957" i="3"/>
  <c r="G3958" i="3"/>
  <c r="H3958" i="3"/>
  <c r="G3959" i="3"/>
  <c r="H3959" i="3"/>
  <c r="G3960" i="3"/>
  <c r="H3960" i="3"/>
  <c r="G3961" i="3"/>
  <c r="H3961" i="3"/>
  <c r="G3962" i="3"/>
  <c r="H3962" i="3"/>
  <c r="G3963" i="3"/>
  <c r="H3963" i="3"/>
  <c r="G3964" i="3"/>
  <c r="H3964" i="3"/>
  <c r="G3965" i="3"/>
  <c r="H3965" i="3"/>
  <c r="G3966" i="3"/>
  <c r="H3966" i="3"/>
  <c r="G3967" i="3"/>
  <c r="H3967" i="3"/>
  <c r="G3968" i="3"/>
  <c r="H3968" i="3"/>
  <c r="G3969" i="3"/>
  <c r="H3969" i="3"/>
  <c r="G3970" i="3"/>
  <c r="H3970" i="3"/>
  <c r="G3971" i="3"/>
  <c r="H3971" i="3"/>
  <c r="G3972" i="3"/>
  <c r="H3972" i="3"/>
  <c r="G3973" i="3"/>
  <c r="H3973" i="3"/>
  <c r="G3974" i="3"/>
  <c r="H3974" i="3"/>
  <c r="G3975" i="3"/>
  <c r="H3975" i="3"/>
  <c r="G3976" i="3"/>
  <c r="H3976" i="3"/>
  <c r="G3977" i="3"/>
  <c r="H3977" i="3"/>
  <c r="G3978" i="3"/>
  <c r="H3978" i="3"/>
  <c r="G3979" i="3"/>
  <c r="H3979" i="3"/>
  <c r="G3980" i="3"/>
  <c r="H3980" i="3"/>
  <c r="G3981" i="3"/>
  <c r="H3981" i="3"/>
  <c r="G3982" i="3"/>
  <c r="H3982" i="3"/>
  <c r="G3983" i="3"/>
  <c r="H3983" i="3"/>
  <c r="G3984" i="3"/>
  <c r="H3984" i="3"/>
  <c r="G3985" i="3"/>
  <c r="H3985" i="3"/>
  <c r="G3986" i="3"/>
  <c r="H3986" i="3"/>
  <c r="G3987" i="3"/>
  <c r="H3987" i="3"/>
  <c r="G3988" i="3"/>
  <c r="H3988" i="3"/>
  <c r="G3989" i="3"/>
  <c r="H3989" i="3"/>
  <c r="G3990" i="3"/>
  <c r="H3990" i="3"/>
  <c r="G3991" i="3"/>
  <c r="H3991" i="3"/>
  <c r="G3992" i="3"/>
  <c r="H3992" i="3"/>
  <c r="G3993" i="3"/>
  <c r="H3993" i="3"/>
  <c r="G3994" i="3"/>
  <c r="H3994" i="3"/>
  <c r="G3995" i="3"/>
  <c r="H3995" i="3"/>
  <c r="G3996" i="3"/>
  <c r="H3996" i="3"/>
  <c r="G3997" i="3"/>
  <c r="H3997" i="3"/>
  <c r="G3998" i="3"/>
  <c r="H3998" i="3"/>
  <c r="G3999" i="3"/>
  <c r="H3999" i="3"/>
  <c r="G4000" i="3"/>
  <c r="H4000" i="3"/>
  <c r="G4001" i="3"/>
  <c r="H4001" i="3"/>
  <c r="G4002" i="3"/>
  <c r="H4002" i="3"/>
  <c r="G4003" i="3"/>
  <c r="H4003" i="3"/>
  <c r="G4004" i="3"/>
  <c r="H4004" i="3"/>
  <c r="G4005" i="3"/>
  <c r="H4005" i="3"/>
  <c r="G4006" i="3"/>
  <c r="H4006" i="3"/>
  <c r="G4007" i="3"/>
  <c r="H4007" i="3"/>
  <c r="G4008" i="3"/>
  <c r="H4008" i="3"/>
  <c r="G4009" i="3"/>
  <c r="H4009" i="3"/>
  <c r="G4010" i="3"/>
  <c r="H4010" i="3"/>
  <c r="G4011" i="3"/>
  <c r="H4011" i="3"/>
  <c r="G4012" i="3"/>
  <c r="H4012" i="3"/>
  <c r="G4013" i="3"/>
  <c r="H4013" i="3"/>
  <c r="G4014" i="3"/>
  <c r="H4014" i="3"/>
  <c r="G4015" i="3"/>
  <c r="H4015" i="3"/>
  <c r="G4016" i="3"/>
  <c r="H4016" i="3"/>
  <c r="G4017" i="3"/>
  <c r="H4017" i="3"/>
  <c r="G4018" i="3"/>
  <c r="H4018" i="3"/>
  <c r="G4019" i="3"/>
  <c r="H4019" i="3"/>
  <c r="G4020" i="3"/>
  <c r="H4020" i="3"/>
  <c r="G4021" i="3"/>
  <c r="H4021" i="3"/>
  <c r="G4022" i="3"/>
  <c r="H4022" i="3"/>
  <c r="G4023" i="3"/>
  <c r="H4023" i="3"/>
  <c r="G4024" i="3"/>
  <c r="H4024" i="3"/>
  <c r="G4025" i="3"/>
  <c r="H4025" i="3"/>
  <c r="G4026" i="3"/>
  <c r="H4026" i="3"/>
  <c r="G4027" i="3"/>
  <c r="H4027" i="3"/>
  <c r="G4028" i="3"/>
  <c r="H4028" i="3"/>
  <c r="G4029" i="3"/>
  <c r="H4029" i="3"/>
  <c r="G4030" i="3"/>
  <c r="H4030" i="3"/>
  <c r="G4031" i="3"/>
  <c r="H4031" i="3"/>
  <c r="G4032" i="3"/>
  <c r="H4032" i="3"/>
  <c r="G4033" i="3"/>
  <c r="H4033" i="3"/>
  <c r="G4034" i="3"/>
  <c r="H4034" i="3"/>
  <c r="G4035" i="3"/>
  <c r="H4035" i="3"/>
  <c r="G4036" i="3"/>
  <c r="H4036" i="3"/>
  <c r="G4037" i="3"/>
  <c r="H4037" i="3"/>
  <c r="G4038" i="3"/>
  <c r="H4038" i="3"/>
  <c r="G4039" i="3"/>
  <c r="H4039" i="3"/>
  <c r="G4040" i="3"/>
  <c r="H4040" i="3"/>
  <c r="G4041" i="3"/>
  <c r="H4041" i="3"/>
  <c r="G4042" i="3"/>
  <c r="H4042" i="3"/>
  <c r="G4043" i="3"/>
  <c r="H4043" i="3"/>
  <c r="G4044" i="3"/>
  <c r="H4044" i="3"/>
  <c r="G4045" i="3"/>
  <c r="H4045" i="3"/>
  <c r="G4046" i="3"/>
  <c r="H4046" i="3"/>
  <c r="G4047" i="3"/>
  <c r="H4047" i="3"/>
  <c r="G4048" i="3"/>
  <c r="H4048" i="3"/>
  <c r="G4049" i="3"/>
  <c r="H4049" i="3"/>
  <c r="G4050" i="3"/>
  <c r="H4050" i="3"/>
  <c r="G4051" i="3"/>
  <c r="H4051" i="3"/>
  <c r="G4052" i="3"/>
  <c r="H4052" i="3"/>
  <c r="G4053" i="3"/>
  <c r="H4053" i="3"/>
  <c r="G4054" i="3"/>
  <c r="H4054" i="3"/>
  <c r="G4055" i="3"/>
  <c r="H4055" i="3"/>
  <c r="G4056" i="3"/>
  <c r="H4056" i="3"/>
  <c r="G4057" i="3"/>
  <c r="H4057" i="3"/>
  <c r="G4058" i="3"/>
  <c r="H4058" i="3"/>
  <c r="G4059" i="3"/>
  <c r="H4059" i="3"/>
  <c r="G4060" i="3"/>
  <c r="H4060" i="3"/>
  <c r="G4061" i="3"/>
  <c r="H4061" i="3"/>
  <c r="G4062" i="3"/>
  <c r="H4062" i="3"/>
  <c r="G4063" i="3"/>
  <c r="H4063" i="3"/>
  <c r="G4064" i="3"/>
  <c r="H4064" i="3"/>
  <c r="G4065" i="3"/>
  <c r="H4065" i="3"/>
  <c r="G4066" i="3"/>
  <c r="H4066" i="3"/>
  <c r="G4067" i="3"/>
  <c r="H4067" i="3"/>
  <c r="G4068" i="3"/>
  <c r="H4068" i="3"/>
  <c r="G4069" i="3"/>
  <c r="H4069" i="3"/>
  <c r="G4070" i="3"/>
  <c r="H4070" i="3"/>
  <c r="G4071" i="3"/>
  <c r="H4071" i="3"/>
  <c r="G4072" i="3"/>
  <c r="H4072" i="3"/>
  <c r="G4073" i="3"/>
  <c r="H4073" i="3"/>
  <c r="G4074" i="3"/>
  <c r="H4074" i="3"/>
  <c r="G4075" i="3"/>
  <c r="H4075" i="3"/>
  <c r="G4076" i="3"/>
  <c r="H4076" i="3"/>
  <c r="G4077" i="3"/>
  <c r="H4077" i="3"/>
  <c r="G4078" i="3"/>
  <c r="H4078" i="3"/>
  <c r="G4079" i="3"/>
  <c r="H4079" i="3"/>
  <c r="G4080" i="3"/>
  <c r="H4080" i="3"/>
  <c r="G4081" i="3"/>
  <c r="H4081" i="3"/>
  <c r="G4082" i="3"/>
  <c r="H4082" i="3"/>
  <c r="G4083" i="3"/>
  <c r="H4083" i="3"/>
  <c r="G4084" i="3"/>
  <c r="H4084" i="3"/>
  <c r="G4085" i="3"/>
  <c r="H4085" i="3"/>
  <c r="G4086" i="3"/>
  <c r="H4086" i="3"/>
  <c r="G4087" i="3"/>
  <c r="H4087" i="3"/>
  <c r="G4088" i="3"/>
  <c r="H4088" i="3"/>
  <c r="G4089" i="3"/>
  <c r="H4089" i="3"/>
  <c r="G4090" i="3"/>
  <c r="H4090" i="3"/>
  <c r="G4091" i="3"/>
  <c r="H4091" i="3"/>
  <c r="G4092" i="3"/>
  <c r="H4092" i="3"/>
  <c r="G4093" i="3"/>
  <c r="H4093" i="3"/>
  <c r="G4094" i="3"/>
  <c r="H4094" i="3"/>
  <c r="G4095" i="3"/>
  <c r="H4095" i="3"/>
  <c r="G4096" i="3"/>
  <c r="H4096" i="3"/>
  <c r="G4097" i="3"/>
  <c r="H4097" i="3"/>
  <c r="G4098" i="3"/>
  <c r="H4098" i="3"/>
  <c r="G4099" i="3"/>
  <c r="H4099" i="3"/>
  <c r="G4100" i="3"/>
  <c r="H4100" i="3"/>
  <c r="G4101" i="3"/>
  <c r="H4101" i="3"/>
  <c r="G4102" i="3"/>
  <c r="H4102" i="3"/>
  <c r="G4103" i="3"/>
  <c r="H4103" i="3"/>
  <c r="G4104" i="3"/>
  <c r="H4104" i="3"/>
  <c r="G4105" i="3"/>
  <c r="H4105" i="3"/>
  <c r="G4106" i="3"/>
  <c r="H4106" i="3"/>
  <c r="G4107" i="3"/>
  <c r="H4107" i="3"/>
  <c r="G4108" i="3"/>
  <c r="H4108" i="3"/>
  <c r="G4109" i="3"/>
  <c r="H4109" i="3"/>
  <c r="G4110" i="3"/>
  <c r="H4110" i="3"/>
  <c r="G4111" i="3"/>
  <c r="H4111" i="3"/>
  <c r="G4112" i="3"/>
  <c r="H4112" i="3"/>
  <c r="G4113" i="3"/>
  <c r="H4113" i="3"/>
  <c r="G4114" i="3"/>
  <c r="H4114" i="3"/>
  <c r="G4115" i="3"/>
  <c r="H4115" i="3"/>
  <c r="G4116" i="3"/>
  <c r="H4116" i="3"/>
  <c r="G4117" i="3"/>
  <c r="H4117" i="3"/>
  <c r="G4118" i="3"/>
  <c r="H4118" i="3"/>
  <c r="G4119" i="3"/>
  <c r="H4119" i="3"/>
  <c r="G4120" i="3"/>
  <c r="H4120" i="3"/>
  <c r="G4121" i="3"/>
  <c r="H4121" i="3"/>
  <c r="G4122" i="3"/>
  <c r="H4122" i="3"/>
  <c r="G4123" i="3"/>
  <c r="H4123" i="3"/>
  <c r="G4124" i="3"/>
  <c r="H4124" i="3"/>
  <c r="G4125" i="3"/>
  <c r="H4125" i="3"/>
  <c r="G4126" i="3"/>
  <c r="H4126" i="3"/>
  <c r="G4127" i="3"/>
  <c r="H4127" i="3"/>
  <c r="G4128" i="3"/>
  <c r="H4128" i="3"/>
  <c r="G4129" i="3"/>
  <c r="H4129" i="3"/>
  <c r="G4130" i="3"/>
  <c r="H4130" i="3"/>
  <c r="G4131" i="3"/>
  <c r="H4131" i="3"/>
  <c r="G4132" i="3"/>
  <c r="H4132" i="3"/>
  <c r="G4133" i="3"/>
  <c r="H4133" i="3"/>
  <c r="G4134" i="3"/>
  <c r="H4134" i="3"/>
  <c r="G4135" i="3"/>
  <c r="H4135" i="3"/>
  <c r="G4136" i="3"/>
  <c r="H4136" i="3"/>
  <c r="G4137" i="3"/>
  <c r="H4137" i="3"/>
  <c r="G4138" i="3"/>
  <c r="H4138" i="3"/>
  <c r="G4139" i="3"/>
  <c r="H4139" i="3"/>
  <c r="G4140" i="3"/>
  <c r="H4140" i="3"/>
  <c r="G4141" i="3"/>
  <c r="H4141" i="3"/>
  <c r="G4142" i="3"/>
  <c r="H4142" i="3"/>
  <c r="G4143" i="3"/>
  <c r="H4143" i="3"/>
  <c r="G4144" i="3"/>
  <c r="H4144" i="3"/>
  <c r="G4145" i="3"/>
  <c r="H4145" i="3"/>
  <c r="G4146" i="3"/>
  <c r="H4146" i="3"/>
  <c r="G4147" i="3"/>
  <c r="H4147" i="3"/>
  <c r="G4148" i="3"/>
  <c r="H4148" i="3"/>
  <c r="G4149" i="3"/>
  <c r="H4149" i="3"/>
  <c r="G4150" i="3"/>
  <c r="H4150" i="3"/>
  <c r="G4151" i="3"/>
  <c r="H4151" i="3"/>
  <c r="G4152" i="3"/>
  <c r="H4152" i="3"/>
  <c r="G4153" i="3"/>
  <c r="H4153" i="3"/>
  <c r="G4154" i="3"/>
  <c r="H4154" i="3"/>
  <c r="G4155" i="3"/>
  <c r="H4155" i="3"/>
  <c r="G4156" i="3"/>
  <c r="H4156" i="3"/>
  <c r="G4157" i="3"/>
  <c r="H4157" i="3"/>
  <c r="G4158" i="3"/>
  <c r="H4158" i="3"/>
  <c r="G4159" i="3"/>
  <c r="H4159" i="3"/>
  <c r="G4160" i="3"/>
  <c r="H4160" i="3"/>
  <c r="G4161" i="3"/>
  <c r="H4161" i="3"/>
  <c r="G4162" i="3"/>
  <c r="H4162" i="3"/>
  <c r="G4163" i="3"/>
  <c r="H4163" i="3"/>
  <c r="G4164" i="3"/>
  <c r="H4164" i="3"/>
  <c r="G4165" i="3"/>
  <c r="H4165" i="3"/>
  <c r="G4166" i="3"/>
  <c r="H4166" i="3"/>
  <c r="G4167" i="3"/>
  <c r="H4167" i="3"/>
  <c r="G4168" i="3"/>
  <c r="H4168" i="3"/>
  <c r="G4169" i="3"/>
  <c r="H4169" i="3"/>
  <c r="G4170" i="3"/>
  <c r="H4170" i="3"/>
  <c r="G4171" i="3"/>
  <c r="H4171" i="3"/>
  <c r="G4172" i="3"/>
  <c r="H4172" i="3"/>
  <c r="G4173" i="3"/>
  <c r="H4173" i="3"/>
  <c r="G4174" i="3"/>
  <c r="H4174" i="3"/>
  <c r="G4175" i="3"/>
  <c r="H4175" i="3"/>
  <c r="G4176" i="3"/>
  <c r="H4176" i="3"/>
  <c r="G4177" i="3"/>
  <c r="H4177" i="3"/>
  <c r="G4178" i="3"/>
  <c r="H4178" i="3"/>
  <c r="G4179" i="3"/>
  <c r="H4179" i="3"/>
  <c r="G4180" i="3"/>
  <c r="H4180" i="3"/>
  <c r="G4181" i="3"/>
  <c r="H4181" i="3"/>
  <c r="G4182" i="3"/>
  <c r="H4182" i="3"/>
  <c r="G4183" i="3"/>
  <c r="H4183" i="3"/>
  <c r="G4184" i="3"/>
  <c r="H4184" i="3"/>
  <c r="G4185" i="3"/>
  <c r="H4185" i="3"/>
  <c r="G4186" i="3"/>
  <c r="H4186" i="3"/>
  <c r="G4187" i="3"/>
  <c r="H4187" i="3"/>
  <c r="G4188" i="3"/>
  <c r="H4188" i="3"/>
  <c r="G4189" i="3"/>
  <c r="H4189" i="3"/>
  <c r="G4190" i="3"/>
  <c r="H4190" i="3"/>
  <c r="G4191" i="3"/>
  <c r="H4191" i="3"/>
  <c r="G4192" i="3"/>
  <c r="H4192" i="3"/>
  <c r="G4193" i="3"/>
  <c r="H4193" i="3"/>
  <c r="G4194" i="3"/>
  <c r="H4194" i="3"/>
  <c r="G4195" i="3"/>
  <c r="H4195" i="3"/>
  <c r="G4196" i="3"/>
  <c r="H4196" i="3"/>
  <c r="G4197" i="3"/>
  <c r="H4197" i="3"/>
  <c r="G4198" i="3"/>
  <c r="H4198" i="3"/>
  <c r="G4199" i="3"/>
  <c r="H4199" i="3"/>
  <c r="G4200" i="3"/>
  <c r="H4200" i="3"/>
  <c r="G4201" i="3"/>
  <c r="H4201" i="3"/>
  <c r="G4202" i="3"/>
  <c r="H4202" i="3"/>
  <c r="G4203" i="3"/>
  <c r="H4203" i="3"/>
  <c r="G4204" i="3"/>
  <c r="H4204" i="3"/>
  <c r="G4205" i="3"/>
  <c r="H4205" i="3"/>
  <c r="G4206" i="3"/>
  <c r="H4206" i="3"/>
  <c r="G4207" i="3"/>
  <c r="H4207" i="3"/>
  <c r="G4208" i="3"/>
  <c r="H4208" i="3"/>
  <c r="G4209" i="3"/>
  <c r="H4209" i="3"/>
  <c r="G4210" i="3"/>
  <c r="H4210" i="3"/>
  <c r="G4211" i="3"/>
  <c r="H4211" i="3"/>
  <c r="G4212" i="3"/>
  <c r="H4212" i="3"/>
  <c r="G4213" i="3"/>
  <c r="H4213" i="3"/>
  <c r="G4214" i="3"/>
  <c r="H4214" i="3"/>
  <c r="G4215" i="3"/>
  <c r="H4215" i="3"/>
  <c r="G4216" i="3"/>
  <c r="H4216" i="3"/>
  <c r="G4217" i="3"/>
  <c r="H4217" i="3"/>
  <c r="G4218" i="3"/>
  <c r="H4218" i="3"/>
  <c r="G4219" i="3"/>
  <c r="H4219" i="3"/>
  <c r="G4220" i="3"/>
  <c r="H4220" i="3"/>
  <c r="G4221" i="3"/>
  <c r="H4221" i="3"/>
  <c r="G4222" i="3"/>
  <c r="H4222" i="3"/>
  <c r="G4223" i="3"/>
  <c r="H4223" i="3"/>
  <c r="G4224" i="3"/>
  <c r="H4224" i="3"/>
  <c r="G4225" i="3"/>
  <c r="H4225" i="3"/>
  <c r="G4226" i="3"/>
  <c r="H4226" i="3"/>
  <c r="G4227" i="3"/>
  <c r="H4227" i="3"/>
  <c r="G4228" i="3"/>
  <c r="H4228" i="3"/>
  <c r="G4229" i="3"/>
  <c r="H4229" i="3"/>
  <c r="G4230" i="3"/>
  <c r="H4230" i="3"/>
  <c r="G4231" i="3"/>
  <c r="H4231" i="3"/>
  <c r="G4232" i="3"/>
  <c r="H4232" i="3"/>
  <c r="G4233" i="3"/>
  <c r="H4233" i="3"/>
  <c r="G4234" i="3"/>
  <c r="H4234" i="3"/>
  <c r="G4235" i="3"/>
  <c r="H4235" i="3"/>
  <c r="G4236" i="3"/>
  <c r="H4236" i="3"/>
  <c r="G4237" i="3"/>
  <c r="H4237" i="3"/>
  <c r="G4238" i="3"/>
  <c r="H4238" i="3"/>
  <c r="G4239" i="3"/>
  <c r="H4239" i="3"/>
  <c r="G4240" i="3"/>
  <c r="H4240" i="3"/>
  <c r="G4241" i="3"/>
  <c r="H4241" i="3"/>
  <c r="G4242" i="3"/>
  <c r="H4242" i="3"/>
  <c r="G4243" i="3"/>
  <c r="H4243" i="3"/>
  <c r="G4244" i="3"/>
  <c r="H4244" i="3"/>
  <c r="G4245" i="3"/>
  <c r="H4245" i="3"/>
  <c r="G4246" i="3"/>
  <c r="H4246" i="3"/>
  <c r="G4247" i="3"/>
  <c r="H4247" i="3"/>
  <c r="G4248" i="3"/>
  <c r="H4248" i="3"/>
  <c r="G4249" i="3"/>
  <c r="H4249" i="3"/>
  <c r="G4250" i="3"/>
  <c r="H4250" i="3"/>
  <c r="G4251" i="3"/>
  <c r="H4251" i="3"/>
  <c r="G4252" i="3"/>
  <c r="H4252" i="3"/>
  <c r="G4253" i="3"/>
  <c r="H4253" i="3"/>
  <c r="G4254" i="3"/>
  <c r="H4254" i="3"/>
  <c r="G4255" i="3"/>
  <c r="H4255" i="3"/>
  <c r="G4256" i="3"/>
  <c r="H4256" i="3"/>
  <c r="G4257" i="3"/>
  <c r="H4257" i="3"/>
  <c r="G4258" i="3"/>
  <c r="H4258" i="3"/>
  <c r="G4259" i="3"/>
  <c r="H4259" i="3"/>
  <c r="G4260" i="3"/>
  <c r="H4260" i="3"/>
  <c r="G4261" i="3"/>
  <c r="H4261" i="3"/>
  <c r="G4262" i="3"/>
  <c r="H4262" i="3"/>
  <c r="G4263" i="3"/>
  <c r="H4263" i="3"/>
  <c r="G4264" i="3"/>
  <c r="H4264" i="3"/>
  <c r="G4265" i="3"/>
  <c r="H4265" i="3"/>
  <c r="G4266" i="3"/>
  <c r="H4266" i="3"/>
  <c r="G4267" i="3"/>
  <c r="H4267" i="3"/>
  <c r="G4268" i="3"/>
  <c r="H4268" i="3"/>
  <c r="G4269" i="3"/>
  <c r="H4269" i="3"/>
  <c r="G4270" i="3"/>
  <c r="H4270" i="3"/>
  <c r="G4271" i="3"/>
  <c r="H4271" i="3"/>
  <c r="G4272" i="3"/>
  <c r="H4272" i="3"/>
  <c r="G4273" i="3"/>
  <c r="H4273" i="3"/>
  <c r="G4274" i="3"/>
  <c r="H4274" i="3"/>
  <c r="G4275" i="3"/>
  <c r="H4275" i="3"/>
  <c r="G4276" i="3"/>
  <c r="H4276" i="3"/>
  <c r="G4277" i="3"/>
  <c r="H4277" i="3"/>
  <c r="G4278" i="3"/>
  <c r="H4278" i="3"/>
  <c r="G4279" i="3"/>
  <c r="H4279" i="3"/>
  <c r="G4280" i="3"/>
  <c r="H4280" i="3"/>
  <c r="G4281" i="3"/>
  <c r="H4281" i="3"/>
  <c r="G4282" i="3"/>
  <c r="H4282" i="3"/>
  <c r="G4283" i="3"/>
  <c r="H4283" i="3"/>
  <c r="G4284" i="3"/>
  <c r="H4284" i="3"/>
  <c r="G4285" i="3"/>
  <c r="H4285" i="3"/>
  <c r="G4286" i="3"/>
  <c r="H4286" i="3"/>
  <c r="G4287" i="3"/>
  <c r="H4287" i="3"/>
  <c r="G4288" i="3"/>
  <c r="H4288" i="3"/>
  <c r="G4289" i="3"/>
  <c r="H4289" i="3"/>
  <c r="G4290" i="3"/>
  <c r="H4290" i="3"/>
  <c r="G4291" i="3"/>
  <c r="H4291" i="3"/>
  <c r="G4292" i="3"/>
  <c r="H4292" i="3"/>
  <c r="G4293" i="3"/>
  <c r="H4293" i="3"/>
  <c r="G4294" i="3"/>
  <c r="H4294" i="3"/>
  <c r="G4295" i="3"/>
  <c r="H4295" i="3"/>
  <c r="G4296" i="3"/>
  <c r="H4296" i="3"/>
  <c r="G4297" i="3"/>
  <c r="H4297" i="3"/>
  <c r="G4298" i="3"/>
  <c r="H4298" i="3"/>
  <c r="G4299" i="3"/>
  <c r="H4299" i="3"/>
  <c r="G4300" i="3"/>
  <c r="H4300" i="3"/>
  <c r="G4301" i="3"/>
  <c r="H4301" i="3"/>
  <c r="G4302" i="3"/>
  <c r="H4302" i="3"/>
  <c r="G4303" i="3"/>
  <c r="H4303" i="3"/>
  <c r="G4304" i="3"/>
  <c r="H4304" i="3"/>
  <c r="G4305" i="3"/>
  <c r="H4305" i="3"/>
  <c r="G4306" i="3"/>
  <c r="H4306" i="3"/>
  <c r="G4307" i="3"/>
  <c r="H4307" i="3"/>
  <c r="G4308" i="3"/>
  <c r="H4308" i="3"/>
  <c r="G4309" i="3"/>
  <c r="H4309" i="3"/>
  <c r="G4310" i="3"/>
  <c r="H4310" i="3"/>
  <c r="G4311" i="3"/>
  <c r="H4311" i="3"/>
  <c r="G4312" i="3"/>
  <c r="H4312" i="3"/>
  <c r="G4313" i="3"/>
  <c r="H4313" i="3"/>
  <c r="G4314" i="3"/>
  <c r="H4314" i="3"/>
  <c r="G4315" i="3"/>
  <c r="H4315" i="3"/>
  <c r="G4316" i="3"/>
  <c r="H4316" i="3"/>
  <c r="G4317" i="3"/>
  <c r="H4317" i="3"/>
  <c r="G4318" i="3"/>
  <c r="H4318" i="3"/>
  <c r="G4319" i="3"/>
  <c r="H4319" i="3"/>
  <c r="G4320" i="3"/>
  <c r="H4320" i="3"/>
  <c r="G4321" i="3"/>
  <c r="H4321" i="3"/>
  <c r="G4322" i="3"/>
  <c r="H4322" i="3"/>
  <c r="G4323" i="3"/>
  <c r="H4323" i="3"/>
  <c r="G4324" i="3"/>
  <c r="H4324" i="3"/>
  <c r="G4325" i="3"/>
  <c r="H4325" i="3"/>
  <c r="G4326" i="3"/>
  <c r="H4326" i="3"/>
  <c r="G4327" i="3"/>
  <c r="H4327" i="3"/>
  <c r="G4328" i="3"/>
  <c r="H4328" i="3"/>
  <c r="G4329" i="3"/>
  <c r="H4329" i="3"/>
  <c r="G4330" i="3"/>
  <c r="H4330" i="3"/>
  <c r="G4331" i="3"/>
  <c r="H4331" i="3"/>
  <c r="G4332" i="3"/>
  <c r="H4332" i="3"/>
  <c r="G4333" i="3"/>
  <c r="H4333" i="3"/>
  <c r="G4334" i="3"/>
  <c r="H4334" i="3"/>
  <c r="G4335" i="3"/>
  <c r="H4335" i="3"/>
  <c r="G4336" i="3"/>
  <c r="H4336" i="3"/>
  <c r="G4337" i="3"/>
  <c r="H4337" i="3"/>
  <c r="G4338" i="3"/>
  <c r="H4338" i="3"/>
  <c r="G4339" i="3"/>
  <c r="H4339" i="3"/>
  <c r="G4340" i="3"/>
  <c r="H4340" i="3"/>
  <c r="G4341" i="3"/>
  <c r="H4341" i="3"/>
  <c r="G4342" i="3"/>
  <c r="H4342" i="3"/>
  <c r="G4343" i="3"/>
  <c r="H4343" i="3"/>
  <c r="G4344" i="3"/>
  <c r="H4344" i="3"/>
  <c r="G4345" i="3"/>
  <c r="H4345" i="3"/>
  <c r="G4346" i="3"/>
  <c r="H4346" i="3"/>
  <c r="G4347" i="3"/>
  <c r="H4347" i="3"/>
  <c r="G4348" i="3"/>
  <c r="H4348" i="3"/>
  <c r="G4349" i="3"/>
  <c r="H4349" i="3"/>
  <c r="G4350" i="3"/>
  <c r="H4350" i="3"/>
  <c r="G4351" i="3"/>
  <c r="H4351" i="3"/>
  <c r="G4352" i="3"/>
  <c r="H4352" i="3"/>
  <c r="G4353" i="3"/>
  <c r="H4353" i="3"/>
  <c r="G4354" i="3"/>
  <c r="H4354" i="3"/>
  <c r="G4355" i="3"/>
  <c r="H4355" i="3"/>
  <c r="G4356" i="3"/>
  <c r="H4356" i="3"/>
  <c r="G4357" i="3"/>
  <c r="H4357" i="3"/>
  <c r="G4358" i="3"/>
  <c r="H4358" i="3"/>
  <c r="G4359" i="3"/>
  <c r="H4359" i="3"/>
  <c r="G4360" i="3"/>
  <c r="H4360" i="3"/>
  <c r="G4361" i="3"/>
  <c r="H4361" i="3"/>
  <c r="G4362" i="3"/>
  <c r="H4362" i="3"/>
  <c r="G4363" i="3"/>
  <c r="H4363" i="3"/>
  <c r="G4364" i="3"/>
  <c r="H4364" i="3"/>
  <c r="G4365" i="3"/>
  <c r="H4365" i="3"/>
  <c r="G4366" i="3"/>
  <c r="H4366" i="3"/>
  <c r="G4367" i="3"/>
  <c r="H4367" i="3"/>
  <c r="G4368" i="3"/>
  <c r="H4368" i="3"/>
  <c r="G4369" i="3"/>
  <c r="H4369" i="3"/>
  <c r="G4370" i="3"/>
  <c r="H4370" i="3"/>
  <c r="G4371" i="3"/>
  <c r="H4371" i="3"/>
  <c r="G4372" i="3"/>
  <c r="H4372" i="3"/>
  <c r="G4373" i="3"/>
  <c r="H4373" i="3"/>
  <c r="G4374" i="3"/>
  <c r="H4374" i="3"/>
  <c r="G4375" i="3"/>
  <c r="H4375" i="3"/>
  <c r="G4376" i="3"/>
  <c r="H4376" i="3"/>
  <c r="G4377" i="3"/>
  <c r="H4377" i="3"/>
  <c r="G4378" i="3"/>
  <c r="H4378" i="3"/>
  <c r="G4379" i="3"/>
  <c r="H4379" i="3"/>
  <c r="G4380" i="3"/>
  <c r="H4380" i="3"/>
  <c r="G4381" i="3"/>
  <c r="H4381" i="3"/>
  <c r="G4382" i="3"/>
  <c r="H4382" i="3"/>
  <c r="G4383" i="3"/>
  <c r="H4383" i="3"/>
  <c r="G4384" i="3"/>
  <c r="H4384" i="3"/>
  <c r="G4385" i="3"/>
  <c r="H4385" i="3"/>
  <c r="G4386" i="3"/>
  <c r="H4386" i="3"/>
  <c r="G4387" i="3"/>
  <c r="H4387" i="3"/>
  <c r="G4388" i="3"/>
  <c r="H4388" i="3"/>
  <c r="G4389" i="3"/>
  <c r="H4389" i="3"/>
  <c r="G4390" i="3"/>
  <c r="H4390" i="3"/>
  <c r="G4391" i="3"/>
  <c r="H4391" i="3"/>
  <c r="G4392" i="3"/>
  <c r="H4392" i="3"/>
  <c r="G4393" i="3"/>
  <c r="H4393" i="3"/>
  <c r="G4394" i="3"/>
  <c r="H4394" i="3"/>
  <c r="G4395" i="3"/>
  <c r="H4395" i="3"/>
  <c r="G4396" i="3"/>
  <c r="H4396" i="3"/>
  <c r="G4397" i="3"/>
  <c r="H4397" i="3"/>
  <c r="G4398" i="3"/>
  <c r="H4398" i="3"/>
  <c r="G4399" i="3"/>
  <c r="H4399" i="3"/>
  <c r="G4400" i="3"/>
  <c r="H4400" i="3"/>
  <c r="G4401" i="3"/>
  <c r="H4401" i="3"/>
  <c r="G4402" i="3"/>
  <c r="H4402" i="3"/>
  <c r="G4403" i="3"/>
  <c r="H4403" i="3"/>
  <c r="G4404" i="3"/>
  <c r="H4404" i="3"/>
  <c r="G4405" i="3"/>
  <c r="H4405" i="3"/>
  <c r="G4406" i="3"/>
  <c r="H4406" i="3"/>
  <c r="G4407" i="3"/>
  <c r="H4407" i="3"/>
  <c r="G4408" i="3"/>
  <c r="H4408" i="3"/>
  <c r="G4409" i="3"/>
  <c r="H4409" i="3"/>
  <c r="G4410" i="3"/>
  <c r="H4410" i="3"/>
  <c r="G4411" i="3"/>
  <c r="H4411" i="3"/>
  <c r="G4412" i="3"/>
  <c r="H4412" i="3"/>
  <c r="G4413" i="3"/>
  <c r="H4413" i="3"/>
  <c r="G4414" i="3"/>
  <c r="H4414" i="3"/>
  <c r="G4415" i="3"/>
  <c r="H4415" i="3"/>
  <c r="G4416" i="3"/>
  <c r="H4416" i="3"/>
  <c r="G4417" i="3"/>
  <c r="H4417" i="3"/>
  <c r="G4418" i="3"/>
  <c r="H4418" i="3"/>
  <c r="G4419" i="3"/>
  <c r="H4419" i="3"/>
  <c r="G4420" i="3"/>
  <c r="H4420" i="3"/>
  <c r="G4421" i="3"/>
  <c r="H4421" i="3"/>
  <c r="G4422" i="3"/>
  <c r="H4422" i="3"/>
  <c r="G4423" i="3"/>
  <c r="H4423" i="3"/>
  <c r="G4424" i="3"/>
  <c r="H4424" i="3"/>
  <c r="G4425" i="3"/>
  <c r="H4425" i="3"/>
  <c r="G4426" i="3"/>
  <c r="H4426" i="3"/>
  <c r="G4427" i="3"/>
  <c r="H4427" i="3"/>
  <c r="G4428" i="3"/>
  <c r="H4428" i="3"/>
  <c r="G4429" i="3"/>
  <c r="H4429" i="3"/>
  <c r="G4430" i="3"/>
  <c r="H4430" i="3"/>
  <c r="G4431" i="3"/>
  <c r="H4431" i="3"/>
  <c r="G4432" i="3"/>
  <c r="H4432" i="3"/>
  <c r="G4433" i="3"/>
  <c r="H4433" i="3"/>
  <c r="G4434" i="3"/>
  <c r="H4434" i="3"/>
  <c r="G4435" i="3"/>
  <c r="H4435" i="3"/>
  <c r="G4436" i="3"/>
  <c r="H4436" i="3"/>
  <c r="G4437" i="3"/>
  <c r="H4437" i="3"/>
  <c r="G4438" i="3"/>
  <c r="H4438" i="3"/>
  <c r="G4439" i="3"/>
  <c r="H4439" i="3"/>
  <c r="G4440" i="3"/>
  <c r="H4440" i="3"/>
  <c r="G4441" i="3"/>
  <c r="H4441" i="3"/>
  <c r="G4442" i="3"/>
  <c r="H4442" i="3"/>
  <c r="G4443" i="3"/>
  <c r="H4443" i="3"/>
  <c r="G4444" i="3"/>
  <c r="H4444" i="3"/>
  <c r="G4445" i="3"/>
  <c r="H4445" i="3"/>
  <c r="G4446" i="3"/>
  <c r="H4446" i="3"/>
  <c r="G4447" i="3"/>
  <c r="H4447" i="3"/>
  <c r="G4448" i="3"/>
  <c r="H4448" i="3"/>
  <c r="G4449" i="3"/>
  <c r="H4449" i="3"/>
  <c r="G4450" i="3"/>
  <c r="H4450" i="3"/>
  <c r="G4451" i="3"/>
  <c r="H4451" i="3"/>
  <c r="G4452" i="3"/>
  <c r="H4452" i="3"/>
  <c r="G4453" i="3"/>
  <c r="H4453" i="3"/>
  <c r="G4454" i="3"/>
  <c r="H4454" i="3"/>
  <c r="G4455" i="3"/>
  <c r="H4455" i="3"/>
  <c r="G4456" i="3"/>
  <c r="H4456" i="3"/>
  <c r="G4457" i="3"/>
  <c r="H4457" i="3"/>
  <c r="G4458" i="3"/>
  <c r="H4458" i="3"/>
  <c r="G4459" i="3"/>
  <c r="H4459" i="3"/>
  <c r="G4460" i="3"/>
  <c r="H4460" i="3"/>
  <c r="G4461" i="3"/>
  <c r="H4461" i="3"/>
  <c r="G4462" i="3"/>
  <c r="H4462" i="3"/>
  <c r="G4463" i="3"/>
  <c r="H4463" i="3"/>
  <c r="G4464" i="3"/>
  <c r="H4464" i="3"/>
  <c r="G4465" i="3"/>
  <c r="H4465" i="3"/>
  <c r="G4466" i="3"/>
  <c r="H4466" i="3"/>
  <c r="G4467" i="3"/>
  <c r="H4467" i="3"/>
  <c r="G4468" i="3"/>
  <c r="H4468" i="3"/>
  <c r="G4469" i="3"/>
  <c r="H4469" i="3"/>
  <c r="G4470" i="3"/>
  <c r="H4470" i="3"/>
  <c r="G4471" i="3"/>
  <c r="H4471" i="3"/>
  <c r="G4472" i="3"/>
  <c r="H4472" i="3"/>
  <c r="G4473" i="3"/>
  <c r="H4473" i="3"/>
  <c r="G4474" i="3"/>
  <c r="H4474" i="3"/>
  <c r="G4475" i="3"/>
  <c r="H4475" i="3"/>
  <c r="G4476" i="3"/>
  <c r="H4476" i="3"/>
  <c r="G4477" i="3"/>
  <c r="H4477" i="3"/>
  <c r="G4478" i="3"/>
  <c r="H4478" i="3"/>
  <c r="G4479" i="3"/>
  <c r="H4479" i="3"/>
  <c r="G4480" i="3"/>
  <c r="H4480" i="3"/>
  <c r="G4481" i="3"/>
  <c r="H4481" i="3"/>
  <c r="G4482" i="3"/>
  <c r="H4482" i="3"/>
  <c r="G4483" i="3"/>
  <c r="H4483" i="3"/>
  <c r="G4484" i="3"/>
  <c r="H4484" i="3"/>
  <c r="G4485" i="3"/>
  <c r="H4485" i="3"/>
  <c r="G4486" i="3"/>
  <c r="H4486" i="3"/>
  <c r="G4487" i="3"/>
  <c r="H4487" i="3"/>
  <c r="G4488" i="3"/>
  <c r="H4488" i="3"/>
  <c r="G4489" i="3"/>
  <c r="H4489" i="3"/>
  <c r="G4490" i="3"/>
  <c r="H4490" i="3"/>
  <c r="G4491" i="3"/>
  <c r="H4491" i="3"/>
  <c r="G4492" i="3"/>
  <c r="H4492" i="3"/>
  <c r="G4493" i="3"/>
  <c r="H4493" i="3"/>
  <c r="G4494" i="3"/>
  <c r="H4494" i="3"/>
  <c r="G4495" i="3"/>
  <c r="H4495" i="3"/>
  <c r="G4496" i="3"/>
  <c r="H4496" i="3"/>
  <c r="G4497" i="3"/>
  <c r="H4497" i="3"/>
  <c r="G4498" i="3"/>
  <c r="H4498" i="3"/>
  <c r="G4499" i="3"/>
  <c r="H4499" i="3"/>
  <c r="G4500" i="3"/>
  <c r="H4500" i="3"/>
  <c r="G4501" i="3"/>
  <c r="H4501" i="3"/>
  <c r="G4502" i="3"/>
  <c r="H4502" i="3"/>
  <c r="G4503" i="3"/>
  <c r="H4503" i="3"/>
  <c r="G4504" i="3"/>
  <c r="H4504" i="3"/>
  <c r="G4505" i="3"/>
  <c r="H4505" i="3"/>
  <c r="G4506" i="3"/>
  <c r="H4506" i="3"/>
  <c r="G4507" i="3"/>
  <c r="H4507" i="3"/>
  <c r="G4508" i="3"/>
  <c r="H4508" i="3"/>
  <c r="G4509" i="3"/>
  <c r="H4509" i="3"/>
  <c r="G4510" i="3"/>
  <c r="H4510" i="3"/>
  <c r="G4511" i="3"/>
  <c r="H4511" i="3"/>
  <c r="G4512" i="3"/>
  <c r="H4512" i="3"/>
  <c r="G4513" i="3"/>
  <c r="H4513" i="3"/>
  <c r="G4514" i="3"/>
  <c r="H4514" i="3"/>
  <c r="G4515" i="3"/>
  <c r="H4515" i="3"/>
  <c r="G4516" i="3"/>
  <c r="H4516" i="3"/>
  <c r="G4517" i="3"/>
  <c r="H4517" i="3"/>
  <c r="G4518" i="3"/>
  <c r="H4518" i="3"/>
  <c r="G4519" i="3"/>
  <c r="H4519" i="3"/>
  <c r="G4520" i="3"/>
  <c r="H4520" i="3"/>
  <c r="G4521" i="3"/>
  <c r="H4521" i="3"/>
  <c r="G4522" i="3"/>
  <c r="H4522" i="3"/>
  <c r="G4523" i="3"/>
  <c r="H4523" i="3"/>
  <c r="G4524" i="3"/>
  <c r="H4524" i="3"/>
  <c r="G4525" i="3"/>
  <c r="H4525" i="3"/>
  <c r="G4526" i="3"/>
  <c r="H4526" i="3"/>
  <c r="G4527" i="3"/>
  <c r="H4527" i="3"/>
  <c r="G4528" i="3"/>
  <c r="H4528" i="3"/>
  <c r="G4529" i="3"/>
  <c r="H4529" i="3"/>
  <c r="G4530" i="3"/>
  <c r="H4530" i="3"/>
  <c r="G4531" i="3"/>
  <c r="H4531" i="3"/>
  <c r="G4532" i="3"/>
  <c r="H4532" i="3"/>
  <c r="G4533" i="3"/>
  <c r="H4533" i="3"/>
  <c r="G4534" i="3"/>
  <c r="H4534" i="3"/>
  <c r="G4535" i="3"/>
  <c r="H4535" i="3"/>
  <c r="G4536" i="3"/>
  <c r="H4536" i="3"/>
  <c r="G4537" i="3"/>
  <c r="H4537" i="3"/>
  <c r="G4538" i="3"/>
  <c r="H4538" i="3"/>
  <c r="G4539" i="3"/>
  <c r="H4539" i="3"/>
  <c r="G4540" i="3"/>
  <c r="H4540" i="3"/>
  <c r="G4541" i="3"/>
  <c r="H4541" i="3"/>
  <c r="G4542" i="3"/>
  <c r="H4542" i="3"/>
  <c r="G4543" i="3"/>
  <c r="H4543" i="3"/>
  <c r="G4544" i="3"/>
  <c r="H4544" i="3"/>
  <c r="G4545" i="3"/>
  <c r="H4545" i="3"/>
  <c r="G4546" i="3"/>
  <c r="H4546" i="3"/>
  <c r="G4547" i="3"/>
  <c r="H4547" i="3"/>
  <c r="G4548" i="3"/>
  <c r="H4548" i="3"/>
  <c r="G4549" i="3"/>
  <c r="H4549" i="3"/>
  <c r="G4550" i="3"/>
  <c r="H4550" i="3"/>
  <c r="G4551" i="3"/>
  <c r="H4551" i="3"/>
  <c r="G4552" i="3"/>
  <c r="H4552" i="3"/>
  <c r="G4553" i="3"/>
  <c r="H4553" i="3"/>
  <c r="G4554" i="3"/>
  <c r="H4554" i="3"/>
  <c r="G4555" i="3"/>
  <c r="H4555" i="3"/>
  <c r="G4556" i="3"/>
  <c r="H4556" i="3"/>
  <c r="G4557" i="3"/>
  <c r="H4557" i="3"/>
  <c r="G4558" i="3"/>
  <c r="H4558" i="3"/>
  <c r="G4559" i="3"/>
  <c r="H4559" i="3"/>
  <c r="G4560" i="3"/>
  <c r="H4560" i="3"/>
  <c r="G4561" i="3"/>
  <c r="H4561" i="3"/>
  <c r="G4562" i="3"/>
  <c r="H4562" i="3"/>
  <c r="G4563" i="3"/>
  <c r="H4563" i="3"/>
  <c r="G4564" i="3"/>
  <c r="H4564" i="3"/>
  <c r="G4565" i="3"/>
  <c r="H4565" i="3"/>
  <c r="G4566" i="3"/>
  <c r="H4566" i="3"/>
  <c r="G4567" i="3"/>
  <c r="H4567" i="3"/>
  <c r="G4568" i="3"/>
  <c r="H4568" i="3"/>
  <c r="G4569" i="3"/>
  <c r="H4569" i="3"/>
  <c r="G4570" i="3"/>
  <c r="H4570" i="3"/>
  <c r="G4571" i="3"/>
  <c r="H4571" i="3"/>
  <c r="G4572" i="3"/>
  <c r="H4572" i="3"/>
  <c r="G4573" i="3"/>
  <c r="H4573" i="3"/>
  <c r="G4574" i="3"/>
  <c r="H4574" i="3"/>
  <c r="G4575" i="3"/>
  <c r="H4575" i="3"/>
  <c r="G4576" i="3"/>
  <c r="H4576" i="3"/>
  <c r="G4577" i="3"/>
  <c r="H4577" i="3"/>
  <c r="G4578" i="3"/>
  <c r="H4578" i="3"/>
  <c r="G4579" i="3"/>
  <c r="H4579" i="3"/>
  <c r="G4580" i="3"/>
  <c r="H4580" i="3"/>
  <c r="G4581" i="3"/>
  <c r="H4581" i="3"/>
  <c r="G4582" i="3"/>
  <c r="H4582" i="3"/>
  <c r="G4583" i="3"/>
  <c r="H4583" i="3"/>
  <c r="G4584" i="3"/>
  <c r="H4584" i="3"/>
  <c r="G4585" i="3"/>
  <c r="H4585" i="3"/>
  <c r="G4586" i="3"/>
  <c r="H4586" i="3"/>
  <c r="G4587" i="3"/>
  <c r="H4587" i="3"/>
  <c r="G4588" i="3"/>
  <c r="H4588" i="3"/>
  <c r="G4589" i="3"/>
  <c r="H4589" i="3"/>
  <c r="G4590" i="3"/>
  <c r="H4590" i="3"/>
  <c r="G4591" i="3"/>
  <c r="H4591" i="3"/>
  <c r="G4592" i="3"/>
  <c r="H4592" i="3"/>
  <c r="G4593" i="3"/>
  <c r="H4593" i="3"/>
  <c r="G4594" i="3"/>
  <c r="H4594" i="3"/>
  <c r="G4595" i="3"/>
  <c r="H4595" i="3"/>
  <c r="G4596" i="3"/>
  <c r="H4596" i="3"/>
  <c r="G4597" i="3"/>
  <c r="H4597" i="3"/>
  <c r="G4598" i="3"/>
  <c r="H4598" i="3"/>
  <c r="G4599" i="3"/>
  <c r="H4599" i="3"/>
  <c r="G4600" i="3"/>
  <c r="H4600" i="3"/>
  <c r="G4601" i="3"/>
  <c r="H4601" i="3"/>
  <c r="G4602" i="3"/>
  <c r="H4602" i="3"/>
  <c r="G4603" i="3"/>
  <c r="H4603" i="3"/>
  <c r="G4604" i="3"/>
  <c r="H4604" i="3"/>
  <c r="G4605" i="3"/>
  <c r="H4605" i="3"/>
  <c r="G4606" i="3"/>
  <c r="H4606" i="3"/>
  <c r="G4607" i="3"/>
  <c r="H4607" i="3"/>
  <c r="G4608" i="3"/>
  <c r="H4608" i="3"/>
  <c r="G4609" i="3"/>
  <c r="H4609" i="3"/>
  <c r="G4610" i="3"/>
  <c r="H4610" i="3"/>
  <c r="G4611" i="3"/>
  <c r="H4611" i="3"/>
  <c r="G4612" i="3"/>
  <c r="H4612" i="3"/>
  <c r="G4613" i="3"/>
  <c r="H4613" i="3"/>
  <c r="G4614" i="3"/>
  <c r="H4614" i="3"/>
  <c r="G4615" i="3"/>
  <c r="H4615" i="3"/>
  <c r="G4616" i="3"/>
  <c r="H4616" i="3"/>
  <c r="G4617" i="3"/>
  <c r="H4617" i="3"/>
  <c r="G4618" i="3"/>
  <c r="H4618" i="3"/>
  <c r="G4619" i="3"/>
  <c r="H4619" i="3"/>
  <c r="G4620" i="3"/>
  <c r="H4620" i="3"/>
  <c r="G4621" i="3"/>
  <c r="H4621" i="3"/>
  <c r="G4622" i="3"/>
  <c r="H4622" i="3"/>
  <c r="G4623" i="3"/>
  <c r="H4623" i="3"/>
  <c r="G4624" i="3"/>
  <c r="H4624" i="3"/>
  <c r="G4625" i="3"/>
  <c r="H4625" i="3"/>
  <c r="G4626" i="3"/>
  <c r="H4626" i="3"/>
  <c r="G4627" i="3"/>
  <c r="H4627" i="3"/>
  <c r="G4628" i="3"/>
  <c r="H4628" i="3"/>
  <c r="G4629" i="3"/>
  <c r="H4629" i="3"/>
  <c r="G4630" i="3"/>
  <c r="H4630" i="3"/>
  <c r="G4631" i="3"/>
  <c r="H4631" i="3"/>
  <c r="G4632" i="3"/>
  <c r="H4632" i="3"/>
  <c r="G4633" i="3"/>
  <c r="H4633" i="3"/>
  <c r="G4634" i="3"/>
  <c r="H4634" i="3"/>
  <c r="G4635" i="3"/>
  <c r="H4635" i="3"/>
  <c r="G4636" i="3"/>
  <c r="H4636" i="3"/>
  <c r="G4637" i="3"/>
  <c r="H4637" i="3"/>
  <c r="G4638" i="3"/>
  <c r="H4638" i="3"/>
  <c r="G4639" i="3"/>
  <c r="H4639" i="3"/>
  <c r="G4640" i="3"/>
  <c r="H4640" i="3"/>
  <c r="G4641" i="3"/>
  <c r="H4641" i="3"/>
  <c r="G4642" i="3"/>
  <c r="H4642" i="3"/>
  <c r="G4643" i="3"/>
  <c r="H4643" i="3"/>
  <c r="G4644" i="3"/>
  <c r="H4644" i="3"/>
  <c r="G4645" i="3"/>
  <c r="H4645" i="3"/>
  <c r="G4646" i="3"/>
  <c r="H4646" i="3"/>
  <c r="G4647" i="3"/>
  <c r="H4647" i="3"/>
  <c r="G4648" i="3"/>
  <c r="H4648" i="3"/>
  <c r="G4649" i="3"/>
  <c r="H4649" i="3"/>
  <c r="G4650" i="3"/>
  <c r="H4650" i="3"/>
  <c r="G4651" i="3"/>
  <c r="H4651" i="3"/>
  <c r="G4652" i="3"/>
  <c r="H4652" i="3"/>
  <c r="G4653" i="3"/>
  <c r="H4653" i="3"/>
  <c r="G4654" i="3"/>
  <c r="H4654" i="3"/>
  <c r="G4655" i="3"/>
  <c r="H4655" i="3"/>
  <c r="G4656" i="3"/>
  <c r="H4656" i="3"/>
  <c r="G4657" i="3"/>
  <c r="H4657" i="3"/>
  <c r="G4658" i="3"/>
  <c r="H4658" i="3"/>
  <c r="G4659" i="3"/>
  <c r="H4659" i="3"/>
  <c r="G4660" i="3"/>
  <c r="H4660" i="3"/>
  <c r="G4661" i="3"/>
  <c r="H4661" i="3"/>
  <c r="G4662" i="3"/>
  <c r="H4662" i="3"/>
  <c r="G4663" i="3"/>
  <c r="H4663" i="3"/>
  <c r="G4664" i="3"/>
  <c r="H4664" i="3"/>
  <c r="G4665" i="3"/>
  <c r="H4665" i="3"/>
  <c r="G4666" i="3"/>
  <c r="H4666" i="3"/>
  <c r="G4667" i="3"/>
  <c r="H4667" i="3"/>
  <c r="G4668" i="3"/>
  <c r="H4668" i="3"/>
  <c r="G4669" i="3"/>
  <c r="H4669" i="3"/>
  <c r="G4670" i="3"/>
  <c r="H4670" i="3"/>
  <c r="G4671" i="3"/>
  <c r="H4671" i="3"/>
  <c r="G4672" i="3"/>
  <c r="H4672" i="3"/>
  <c r="G4673" i="3"/>
  <c r="H4673" i="3"/>
  <c r="G4674" i="3"/>
  <c r="H4674" i="3"/>
  <c r="G4675" i="3"/>
  <c r="H4675" i="3"/>
  <c r="G4676" i="3"/>
  <c r="H4676" i="3"/>
  <c r="G4677" i="3"/>
  <c r="H4677" i="3"/>
  <c r="G4678" i="3"/>
  <c r="H4678" i="3"/>
  <c r="G4679" i="3"/>
  <c r="H4679" i="3"/>
  <c r="G4680" i="3"/>
  <c r="H4680" i="3"/>
  <c r="G4681" i="3"/>
  <c r="H4681" i="3"/>
  <c r="G4682" i="3"/>
  <c r="H4682" i="3"/>
  <c r="G4683" i="3"/>
  <c r="H4683" i="3"/>
  <c r="G4684" i="3"/>
  <c r="H4684" i="3"/>
  <c r="G4685" i="3"/>
  <c r="H4685" i="3"/>
  <c r="G4686" i="3"/>
  <c r="H4686" i="3"/>
  <c r="G4687" i="3"/>
  <c r="H4687" i="3"/>
  <c r="G4688" i="3"/>
  <c r="H4688" i="3"/>
  <c r="G4689" i="3"/>
  <c r="H4689" i="3"/>
  <c r="G4690" i="3"/>
  <c r="H4690" i="3"/>
  <c r="G4691" i="3"/>
  <c r="H4691" i="3"/>
  <c r="G4692" i="3"/>
  <c r="H4692" i="3"/>
  <c r="G4693" i="3"/>
  <c r="H4693" i="3"/>
  <c r="G4694" i="3"/>
  <c r="H4694" i="3"/>
  <c r="G4695" i="3"/>
  <c r="H4695" i="3"/>
  <c r="G4696" i="3"/>
  <c r="H4696" i="3"/>
  <c r="G4697" i="3"/>
  <c r="H4697" i="3"/>
  <c r="G4698" i="3"/>
  <c r="H4698" i="3"/>
  <c r="G4699" i="3"/>
  <c r="H4699" i="3"/>
  <c r="G4700" i="3"/>
  <c r="H4700" i="3"/>
  <c r="G4701" i="3"/>
  <c r="H4701" i="3"/>
  <c r="G4702" i="3"/>
  <c r="H4702" i="3"/>
  <c r="G4703" i="3"/>
  <c r="H4703" i="3"/>
  <c r="G4704" i="3"/>
  <c r="H4704" i="3"/>
  <c r="G4705" i="3"/>
  <c r="H4705" i="3"/>
  <c r="G4706" i="3"/>
  <c r="H4706" i="3"/>
  <c r="G4707" i="3"/>
  <c r="H4707" i="3"/>
  <c r="G4708" i="3"/>
  <c r="H4708" i="3"/>
  <c r="G4709" i="3"/>
  <c r="H4709" i="3"/>
  <c r="G4710" i="3"/>
  <c r="H4710" i="3"/>
  <c r="G4711" i="3"/>
  <c r="H4711" i="3"/>
  <c r="G4712" i="3"/>
  <c r="H4712" i="3"/>
  <c r="G4713" i="3"/>
  <c r="H4713" i="3"/>
  <c r="G4714" i="3"/>
  <c r="H4714" i="3"/>
  <c r="G4715" i="3"/>
  <c r="H4715" i="3"/>
  <c r="G4716" i="3"/>
  <c r="H4716" i="3"/>
  <c r="G4717" i="3"/>
  <c r="H4717" i="3"/>
  <c r="G4718" i="3"/>
  <c r="H4718" i="3"/>
  <c r="G4719" i="3"/>
  <c r="H4719" i="3"/>
  <c r="G4720" i="3"/>
  <c r="H4720" i="3"/>
  <c r="G4721" i="3"/>
  <c r="H4721" i="3"/>
  <c r="G4722" i="3"/>
  <c r="H4722" i="3"/>
  <c r="G4723" i="3"/>
  <c r="H4723" i="3"/>
  <c r="G4724" i="3"/>
  <c r="H4724" i="3"/>
  <c r="G4725" i="3"/>
  <c r="H4725" i="3"/>
  <c r="G4726" i="3"/>
  <c r="H4726" i="3"/>
  <c r="G4727" i="3"/>
  <c r="H4727" i="3"/>
  <c r="G4728" i="3"/>
  <c r="H4728" i="3"/>
  <c r="G4729" i="3"/>
  <c r="H4729" i="3"/>
  <c r="G4730" i="3"/>
  <c r="H4730" i="3"/>
  <c r="G4731" i="3"/>
  <c r="H4731" i="3"/>
  <c r="G4732" i="3"/>
  <c r="H4732" i="3"/>
  <c r="G4733" i="3"/>
  <c r="H4733" i="3"/>
  <c r="G4734" i="3"/>
  <c r="H4734" i="3"/>
  <c r="G4735" i="3"/>
  <c r="H4735" i="3"/>
  <c r="G4736" i="3"/>
  <c r="H4736" i="3"/>
  <c r="G4737" i="3"/>
  <c r="H4737" i="3"/>
  <c r="G4738" i="3"/>
  <c r="H4738" i="3"/>
  <c r="G4739" i="3"/>
  <c r="H4739" i="3"/>
  <c r="G4740" i="3"/>
  <c r="H4740" i="3"/>
  <c r="G4741" i="3"/>
  <c r="H4741" i="3"/>
  <c r="G4742" i="3"/>
  <c r="H4742" i="3"/>
  <c r="G4743" i="3"/>
  <c r="H4743" i="3"/>
  <c r="G4744" i="3"/>
  <c r="H4744" i="3"/>
  <c r="G4745" i="3"/>
  <c r="H4745" i="3"/>
  <c r="G4746" i="3"/>
  <c r="H4746" i="3"/>
  <c r="G4747" i="3"/>
  <c r="H4747" i="3"/>
  <c r="G4748" i="3"/>
  <c r="H4748" i="3"/>
  <c r="G4749" i="3"/>
  <c r="H4749" i="3"/>
  <c r="G4750" i="3"/>
  <c r="H4750" i="3"/>
  <c r="G4751" i="3"/>
  <c r="H4751" i="3"/>
  <c r="G4752" i="3"/>
  <c r="H4752" i="3"/>
  <c r="G4753" i="3"/>
  <c r="H4753" i="3"/>
  <c r="G4754" i="3"/>
  <c r="H4754" i="3"/>
  <c r="G4755" i="3"/>
  <c r="H4755" i="3"/>
  <c r="G4756" i="3"/>
  <c r="H4756" i="3"/>
  <c r="G4757" i="3"/>
  <c r="H4757" i="3"/>
  <c r="G4758" i="3"/>
  <c r="H4758" i="3"/>
  <c r="G4759" i="3"/>
  <c r="H4759" i="3"/>
  <c r="G4760" i="3"/>
  <c r="H4760" i="3"/>
  <c r="G4761" i="3"/>
  <c r="H4761" i="3"/>
  <c r="G4762" i="3"/>
  <c r="H4762" i="3"/>
  <c r="G4763" i="3"/>
  <c r="H4763" i="3"/>
  <c r="G4764" i="3"/>
  <c r="H4764" i="3"/>
  <c r="G4765" i="3"/>
  <c r="H4765" i="3"/>
  <c r="G4766" i="3"/>
  <c r="H4766" i="3"/>
  <c r="G4767" i="3"/>
  <c r="H4767" i="3"/>
  <c r="G4768" i="3"/>
  <c r="H4768" i="3"/>
  <c r="G4769" i="3"/>
  <c r="H4769" i="3"/>
  <c r="G4770" i="3"/>
  <c r="H4770" i="3"/>
  <c r="G4771" i="3"/>
  <c r="H4771" i="3"/>
  <c r="G4772" i="3"/>
  <c r="H4772" i="3"/>
  <c r="G4773" i="3"/>
  <c r="H4773" i="3"/>
  <c r="G4774" i="3"/>
  <c r="H4774" i="3"/>
  <c r="G4775" i="3"/>
  <c r="H4775" i="3"/>
  <c r="G4776" i="3"/>
  <c r="H4776" i="3"/>
  <c r="G4777" i="3"/>
  <c r="H4777" i="3"/>
  <c r="G4778" i="3"/>
  <c r="H4778" i="3"/>
  <c r="G4779" i="3"/>
  <c r="H4779" i="3"/>
  <c r="G4780" i="3"/>
  <c r="H4780" i="3"/>
  <c r="G4781" i="3"/>
  <c r="H4781" i="3"/>
  <c r="G4782" i="3"/>
  <c r="H4782" i="3"/>
  <c r="G4783" i="3"/>
  <c r="H4783" i="3"/>
  <c r="G4784" i="3"/>
  <c r="H4784" i="3"/>
  <c r="G4785" i="3"/>
  <c r="H4785" i="3"/>
  <c r="G4786" i="3"/>
  <c r="H4786" i="3"/>
  <c r="G4787" i="3"/>
  <c r="H4787" i="3"/>
  <c r="G4788" i="3"/>
  <c r="H4788" i="3"/>
  <c r="G4789" i="3"/>
  <c r="H4789" i="3"/>
  <c r="G4790" i="3"/>
  <c r="H4790" i="3"/>
  <c r="G4791" i="3"/>
  <c r="H4791" i="3"/>
  <c r="G4792" i="3"/>
  <c r="H4792" i="3"/>
  <c r="G4793" i="3"/>
  <c r="H4793" i="3"/>
  <c r="G4794" i="3"/>
  <c r="H4794" i="3"/>
  <c r="G4795" i="3"/>
  <c r="H4795" i="3"/>
  <c r="G4796" i="3"/>
  <c r="H4796" i="3"/>
  <c r="G4797" i="3"/>
  <c r="H4797" i="3"/>
  <c r="G4798" i="3"/>
  <c r="H4798" i="3"/>
  <c r="G4799" i="3"/>
  <c r="H4799" i="3"/>
  <c r="G4800" i="3"/>
  <c r="H4800" i="3"/>
  <c r="G4801" i="3"/>
  <c r="H4801" i="3"/>
  <c r="G4802" i="3"/>
  <c r="H4802" i="3"/>
  <c r="G4803" i="3"/>
  <c r="H4803" i="3"/>
  <c r="G4804" i="3"/>
  <c r="H4804" i="3"/>
  <c r="G4805" i="3"/>
  <c r="H4805" i="3"/>
  <c r="G4806" i="3"/>
  <c r="H4806" i="3"/>
  <c r="G4807" i="3"/>
  <c r="H4807" i="3"/>
  <c r="G4808" i="3"/>
  <c r="H4808" i="3"/>
  <c r="G4809" i="3"/>
  <c r="H4809" i="3"/>
  <c r="G4810" i="3"/>
  <c r="H4810" i="3"/>
  <c r="G4811" i="3"/>
  <c r="H4811" i="3"/>
  <c r="G4812" i="3"/>
  <c r="H4812" i="3"/>
  <c r="G4813" i="3"/>
  <c r="H4813" i="3"/>
  <c r="G4814" i="3"/>
  <c r="H4814" i="3"/>
  <c r="G4815" i="3"/>
  <c r="H4815" i="3"/>
  <c r="G4816" i="3"/>
  <c r="H4816" i="3"/>
  <c r="G4817" i="3"/>
  <c r="H4817" i="3"/>
  <c r="G4818" i="3"/>
  <c r="H4818" i="3"/>
  <c r="G4819" i="3"/>
  <c r="H4819" i="3"/>
  <c r="G4820" i="3"/>
  <c r="H4820" i="3"/>
  <c r="G4821" i="3"/>
  <c r="H4821" i="3"/>
  <c r="G4822" i="3"/>
  <c r="H4822" i="3"/>
  <c r="G4823" i="3"/>
  <c r="H4823" i="3"/>
  <c r="G4824" i="3"/>
  <c r="H4824" i="3"/>
  <c r="G4825" i="3"/>
  <c r="H4825" i="3"/>
  <c r="G4826" i="3"/>
  <c r="H4826" i="3"/>
  <c r="G4827" i="3"/>
  <c r="H4827" i="3"/>
  <c r="G4828" i="3"/>
  <c r="H4828" i="3"/>
  <c r="G4829" i="3"/>
  <c r="H4829" i="3"/>
  <c r="G4830" i="3"/>
  <c r="H4830" i="3"/>
  <c r="G4831" i="3"/>
  <c r="H4831" i="3"/>
  <c r="G4832" i="3"/>
  <c r="H4832" i="3"/>
  <c r="G4833" i="3"/>
  <c r="H4833" i="3"/>
  <c r="G4834" i="3"/>
  <c r="H4834" i="3"/>
  <c r="G4835" i="3"/>
  <c r="H4835" i="3"/>
  <c r="G4836" i="3"/>
  <c r="H4836" i="3"/>
  <c r="G4837" i="3"/>
  <c r="H4837" i="3"/>
  <c r="G4838" i="3"/>
  <c r="H4838" i="3"/>
  <c r="G4839" i="3"/>
  <c r="H4839" i="3"/>
  <c r="G4840" i="3"/>
  <c r="H4840" i="3"/>
  <c r="G4841" i="3"/>
  <c r="H4841" i="3"/>
  <c r="G4842" i="3"/>
  <c r="H4842" i="3"/>
  <c r="G4843" i="3"/>
  <c r="H4843" i="3"/>
  <c r="G4844" i="3"/>
  <c r="H4844" i="3"/>
  <c r="G4845" i="3"/>
  <c r="H4845" i="3"/>
  <c r="G4846" i="3"/>
  <c r="H4846" i="3"/>
  <c r="G4847" i="3"/>
  <c r="H4847" i="3"/>
  <c r="G4848" i="3"/>
  <c r="H4848" i="3"/>
  <c r="G4849" i="3"/>
  <c r="H4849" i="3"/>
  <c r="G4850" i="3"/>
  <c r="H4850" i="3"/>
  <c r="G4851" i="3"/>
  <c r="H4851" i="3"/>
  <c r="G4852" i="3"/>
  <c r="H4852" i="3"/>
  <c r="G4853" i="3"/>
  <c r="H4853" i="3"/>
  <c r="G4854" i="3"/>
  <c r="H4854" i="3"/>
  <c r="G4855" i="3"/>
  <c r="H4855" i="3"/>
  <c r="G4856" i="3"/>
  <c r="H4856" i="3"/>
  <c r="G4857" i="3"/>
  <c r="H4857" i="3"/>
  <c r="G4858" i="3"/>
  <c r="H4858" i="3"/>
  <c r="G4859" i="3"/>
  <c r="H4859" i="3"/>
  <c r="G4860" i="3"/>
  <c r="H4860" i="3"/>
  <c r="G4861" i="3"/>
  <c r="H4861" i="3"/>
  <c r="G4862" i="3"/>
  <c r="H4862" i="3"/>
  <c r="G4863" i="3"/>
  <c r="H4863" i="3"/>
  <c r="G4864" i="3"/>
  <c r="H4864" i="3"/>
  <c r="G4865" i="3"/>
  <c r="H4865" i="3"/>
  <c r="G4866" i="3"/>
  <c r="H4866" i="3"/>
  <c r="G4867" i="3"/>
  <c r="H4867" i="3"/>
  <c r="G4868" i="3"/>
  <c r="H4868" i="3"/>
  <c r="G4869" i="3"/>
  <c r="H4869" i="3"/>
  <c r="G4870" i="3"/>
  <c r="H4870" i="3"/>
  <c r="G4871" i="3"/>
  <c r="H4871" i="3"/>
  <c r="G4872" i="3"/>
  <c r="H4872" i="3"/>
  <c r="G4873" i="3"/>
  <c r="H4873" i="3"/>
  <c r="G4874" i="3"/>
  <c r="H4874" i="3"/>
  <c r="G4875" i="3"/>
  <c r="H4875" i="3"/>
  <c r="G4876" i="3"/>
  <c r="H4876" i="3"/>
  <c r="G4877" i="3"/>
  <c r="H4877" i="3"/>
  <c r="G4878" i="3"/>
  <c r="H4878" i="3"/>
  <c r="G4879" i="3"/>
  <c r="H4879" i="3"/>
  <c r="G4880" i="3"/>
  <c r="H4880" i="3"/>
  <c r="G4881" i="3"/>
  <c r="H4881" i="3"/>
  <c r="G4882" i="3"/>
  <c r="H4882" i="3"/>
  <c r="G4883" i="3"/>
  <c r="H4883" i="3"/>
  <c r="G4884" i="3"/>
  <c r="H4884" i="3"/>
  <c r="G4885" i="3"/>
  <c r="H4885" i="3"/>
  <c r="G4886" i="3"/>
  <c r="H4886" i="3"/>
  <c r="G4887" i="3"/>
  <c r="H4887" i="3"/>
  <c r="G4888" i="3"/>
  <c r="H4888" i="3"/>
  <c r="G4889" i="3"/>
  <c r="H4889" i="3"/>
  <c r="G4890" i="3"/>
  <c r="H4890" i="3"/>
  <c r="G4891" i="3"/>
  <c r="H4891" i="3"/>
  <c r="G4892" i="3"/>
  <c r="H4892" i="3"/>
  <c r="G4893" i="3"/>
  <c r="H4893" i="3"/>
  <c r="G4894" i="3"/>
  <c r="H4894" i="3"/>
  <c r="G4895" i="3"/>
  <c r="H4895" i="3"/>
  <c r="G4896" i="3"/>
  <c r="H4896" i="3"/>
  <c r="G4897" i="3"/>
  <c r="H4897" i="3"/>
  <c r="G4898" i="3"/>
  <c r="H4898" i="3"/>
  <c r="G4899" i="3"/>
  <c r="H4899" i="3"/>
  <c r="G4900" i="3"/>
  <c r="H4900" i="3"/>
  <c r="G4901" i="3"/>
  <c r="H4901" i="3"/>
  <c r="G4902" i="3"/>
  <c r="H4902" i="3"/>
  <c r="G4903" i="3"/>
  <c r="H4903" i="3"/>
  <c r="G4904" i="3"/>
  <c r="H4904" i="3"/>
  <c r="G4905" i="3"/>
  <c r="H4905" i="3"/>
  <c r="G4906" i="3"/>
  <c r="H4906" i="3"/>
  <c r="G4907" i="3"/>
  <c r="H4907" i="3"/>
  <c r="G4908" i="3"/>
  <c r="H4908" i="3"/>
  <c r="G4909" i="3"/>
  <c r="H4909" i="3"/>
  <c r="G4910" i="3"/>
  <c r="H4910" i="3"/>
  <c r="G4911" i="3"/>
  <c r="H4911" i="3"/>
  <c r="G4912" i="3"/>
  <c r="H4912" i="3"/>
  <c r="G4913" i="3"/>
  <c r="H4913" i="3"/>
  <c r="G4914" i="3"/>
  <c r="H4914" i="3"/>
  <c r="G4915" i="3"/>
  <c r="H4915" i="3"/>
  <c r="G4916" i="3"/>
  <c r="H4916" i="3"/>
  <c r="G4917" i="3"/>
  <c r="H4917" i="3"/>
  <c r="G4918" i="3"/>
  <c r="H4918" i="3"/>
  <c r="G4919" i="3"/>
  <c r="H4919" i="3"/>
  <c r="G4920" i="3"/>
  <c r="H4920" i="3"/>
  <c r="G4921" i="3"/>
  <c r="H4921" i="3"/>
  <c r="G4922" i="3"/>
  <c r="H4922" i="3"/>
  <c r="G4923" i="3"/>
  <c r="H4923" i="3"/>
  <c r="G4924" i="3"/>
  <c r="H4924" i="3"/>
  <c r="G4925" i="3"/>
  <c r="H4925" i="3"/>
  <c r="G4926" i="3"/>
  <c r="H4926" i="3"/>
  <c r="G4927" i="3"/>
  <c r="H4927" i="3"/>
  <c r="G4928" i="3"/>
  <c r="H4928" i="3"/>
  <c r="G4929" i="3"/>
  <c r="H4929" i="3"/>
  <c r="G4930" i="3"/>
  <c r="H4930" i="3"/>
  <c r="G4931" i="3"/>
  <c r="H4931" i="3"/>
  <c r="G4932" i="3"/>
  <c r="H4932" i="3"/>
  <c r="G4933" i="3"/>
  <c r="H4933" i="3"/>
  <c r="G4934" i="3"/>
  <c r="H4934" i="3"/>
  <c r="G4935" i="3"/>
  <c r="H4935" i="3"/>
  <c r="G4936" i="3"/>
  <c r="H4936" i="3"/>
  <c r="G4937" i="3"/>
  <c r="H4937" i="3"/>
  <c r="G4938" i="3"/>
  <c r="H4938" i="3"/>
  <c r="G4939" i="3"/>
  <c r="H4939" i="3"/>
  <c r="G4940" i="3"/>
  <c r="H4940" i="3"/>
  <c r="G4941" i="3"/>
  <c r="H4941" i="3"/>
  <c r="G4942" i="3"/>
  <c r="H4942" i="3"/>
  <c r="G4943" i="3"/>
  <c r="H4943" i="3"/>
  <c r="G4944" i="3"/>
  <c r="H4944" i="3"/>
  <c r="G4945" i="3"/>
  <c r="H4945" i="3"/>
  <c r="G4946" i="3"/>
  <c r="H4946" i="3"/>
  <c r="G4947" i="3"/>
  <c r="H4947" i="3"/>
  <c r="G4948" i="3"/>
  <c r="H4948" i="3"/>
  <c r="G4949" i="3"/>
  <c r="H4949" i="3"/>
  <c r="G4950" i="3"/>
  <c r="H4950" i="3"/>
  <c r="G4951" i="3"/>
  <c r="H4951" i="3"/>
  <c r="G4952" i="3"/>
  <c r="H4952" i="3"/>
  <c r="G4953" i="3"/>
  <c r="H4953" i="3"/>
  <c r="G4954" i="3"/>
  <c r="H4954" i="3"/>
  <c r="G4955" i="3"/>
  <c r="H4955" i="3"/>
  <c r="G4956" i="3"/>
  <c r="H4956" i="3"/>
  <c r="G4957" i="3"/>
  <c r="H4957" i="3"/>
  <c r="G4958" i="3"/>
  <c r="H4958" i="3"/>
  <c r="G4959" i="3"/>
  <c r="H4959" i="3"/>
  <c r="G4960" i="3"/>
  <c r="H4960" i="3"/>
  <c r="G4961" i="3"/>
  <c r="H4961" i="3"/>
  <c r="G4962" i="3"/>
  <c r="H4962" i="3"/>
  <c r="G4963" i="3"/>
  <c r="H4963" i="3"/>
  <c r="G4964" i="3"/>
  <c r="H4964" i="3"/>
  <c r="G4965" i="3"/>
  <c r="H4965" i="3"/>
  <c r="G4966" i="3"/>
  <c r="H4966" i="3"/>
  <c r="G4967" i="3"/>
  <c r="H4967" i="3"/>
  <c r="G4968" i="3"/>
  <c r="H4968" i="3"/>
  <c r="G4969" i="3"/>
  <c r="H4969" i="3"/>
  <c r="G4970" i="3"/>
  <c r="H4970" i="3"/>
  <c r="G4971" i="3"/>
  <c r="H4971" i="3"/>
  <c r="G4972" i="3"/>
  <c r="H4972" i="3"/>
  <c r="G4973" i="3"/>
  <c r="H4973" i="3"/>
  <c r="G4974" i="3"/>
  <c r="H4974" i="3"/>
  <c r="G4975" i="3"/>
  <c r="H4975" i="3"/>
  <c r="G4976" i="3"/>
  <c r="H4976" i="3"/>
  <c r="G4977" i="3"/>
  <c r="H4977" i="3"/>
  <c r="G4978" i="3"/>
  <c r="H4978" i="3"/>
  <c r="G4979" i="3"/>
  <c r="H4979" i="3"/>
  <c r="G4980" i="3"/>
  <c r="H4980" i="3"/>
  <c r="G4981" i="3"/>
  <c r="H4981" i="3"/>
  <c r="G4982" i="3"/>
  <c r="H4982" i="3"/>
  <c r="G4983" i="3"/>
  <c r="H4983" i="3"/>
  <c r="G4984" i="3"/>
  <c r="H4984" i="3"/>
  <c r="G4985" i="3"/>
  <c r="H4985" i="3"/>
  <c r="G4986" i="3"/>
  <c r="H4986" i="3"/>
  <c r="G4987" i="3"/>
  <c r="H4987" i="3"/>
  <c r="G4988" i="3"/>
  <c r="H4988" i="3"/>
  <c r="G4989" i="3"/>
  <c r="H4989" i="3"/>
  <c r="G4990" i="3"/>
  <c r="H4990" i="3"/>
  <c r="G4991" i="3"/>
  <c r="H4991" i="3"/>
  <c r="G4992" i="3"/>
  <c r="H4992" i="3"/>
  <c r="G4993" i="3"/>
  <c r="H4993" i="3"/>
  <c r="G4994" i="3"/>
  <c r="H4994" i="3"/>
  <c r="G4995" i="3"/>
  <c r="H4995" i="3"/>
  <c r="G4996" i="3"/>
  <c r="H4996" i="3"/>
  <c r="G4997" i="3"/>
  <c r="H4997" i="3"/>
  <c r="G4998" i="3"/>
  <c r="H4998" i="3"/>
  <c r="G4999" i="3"/>
  <c r="H4999" i="3"/>
  <c r="G5000" i="3"/>
  <c r="H5000" i="3"/>
  <c r="G5001" i="3"/>
  <c r="H5001" i="3"/>
  <c r="G5002" i="3"/>
  <c r="H5002" i="3"/>
  <c r="G5003" i="3"/>
  <c r="H5003" i="3"/>
  <c r="G5004" i="3"/>
  <c r="H5004" i="3"/>
  <c r="G5005" i="3"/>
  <c r="H5005" i="3"/>
  <c r="G5006" i="3"/>
  <c r="H5006" i="3"/>
  <c r="G5007" i="3"/>
  <c r="H5007" i="3"/>
  <c r="G5008" i="3"/>
  <c r="H5008" i="3"/>
  <c r="G5009" i="3"/>
  <c r="H5009" i="3"/>
  <c r="G5010" i="3"/>
  <c r="H5010" i="3"/>
  <c r="G5011" i="3"/>
  <c r="H5011" i="3"/>
  <c r="G5012" i="3"/>
  <c r="H5012" i="3"/>
  <c r="G5013" i="3"/>
  <c r="H5013" i="3"/>
  <c r="G5014" i="3"/>
  <c r="H5014" i="3"/>
  <c r="G5015" i="3"/>
  <c r="H5015" i="3"/>
  <c r="G5016" i="3"/>
  <c r="H5016" i="3"/>
  <c r="G5017" i="3"/>
  <c r="H5017" i="3"/>
  <c r="G5018" i="3"/>
  <c r="H5018" i="3"/>
  <c r="G5019" i="3"/>
  <c r="H5019" i="3"/>
  <c r="G5020" i="3"/>
  <c r="H5020" i="3"/>
  <c r="G5021" i="3"/>
  <c r="H5021" i="3"/>
  <c r="G5022" i="3"/>
  <c r="H5022" i="3"/>
  <c r="G5023" i="3"/>
  <c r="H5023" i="3"/>
  <c r="G5024" i="3"/>
  <c r="H5024" i="3"/>
  <c r="G5025" i="3"/>
  <c r="H5025" i="3"/>
  <c r="G5026" i="3"/>
  <c r="H5026" i="3"/>
  <c r="G5027" i="3"/>
  <c r="H5027" i="3"/>
  <c r="G5028" i="3"/>
  <c r="H5028" i="3"/>
  <c r="G5029" i="3"/>
  <c r="H5029" i="3"/>
  <c r="G5030" i="3"/>
  <c r="H5030" i="3"/>
  <c r="G5031" i="3"/>
  <c r="H5031" i="3"/>
  <c r="G5032" i="3"/>
  <c r="H5032" i="3"/>
  <c r="G5033" i="3"/>
  <c r="H5033" i="3"/>
  <c r="G5034" i="3"/>
  <c r="H5034" i="3"/>
  <c r="G5035" i="3"/>
  <c r="H5035" i="3"/>
  <c r="G5036" i="3"/>
  <c r="H5036" i="3"/>
  <c r="G5037" i="3"/>
  <c r="H5037" i="3"/>
  <c r="G5038" i="3"/>
  <c r="H5038" i="3"/>
  <c r="G5039" i="3"/>
  <c r="H5039" i="3"/>
  <c r="G5040" i="3"/>
  <c r="H5040" i="3"/>
  <c r="G5041" i="3"/>
  <c r="H5041" i="3"/>
  <c r="G5042" i="3"/>
  <c r="H5042" i="3"/>
  <c r="G5043" i="3"/>
  <c r="H5043" i="3"/>
  <c r="G5044" i="3"/>
  <c r="H5044" i="3"/>
  <c r="G5045" i="3"/>
  <c r="H5045" i="3"/>
  <c r="G5046" i="3"/>
  <c r="H5046" i="3"/>
  <c r="G5047" i="3"/>
  <c r="H5047" i="3"/>
  <c r="G5048" i="3"/>
  <c r="H5048" i="3"/>
  <c r="G5049" i="3"/>
  <c r="H5049" i="3"/>
  <c r="G5050" i="3"/>
  <c r="H5050" i="3"/>
  <c r="G5051" i="3"/>
  <c r="H5051" i="3"/>
  <c r="G5052" i="3"/>
  <c r="H5052" i="3"/>
  <c r="G5053" i="3"/>
  <c r="H5053" i="3"/>
  <c r="G5054" i="3"/>
  <c r="H5054" i="3"/>
  <c r="G5055" i="3"/>
  <c r="H5055" i="3"/>
  <c r="G5056" i="3"/>
  <c r="H5056" i="3"/>
  <c r="G5057" i="3"/>
  <c r="H5057" i="3"/>
  <c r="G5058" i="3"/>
  <c r="H5058" i="3"/>
  <c r="G5059" i="3"/>
  <c r="H5059" i="3"/>
  <c r="G5060" i="3"/>
  <c r="H5060" i="3"/>
  <c r="G5061" i="3"/>
  <c r="H5061" i="3"/>
  <c r="G5062" i="3"/>
  <c r="H5062" i="3"/>
  <c r="G5063" i="3"/>
  <c r="H5063" i="3"/>
  <c r="G5064" i="3"/>
  <c r="H5064" i="3"/>
  <c r="G5065" i="3"/>
  <c r="H5065" i="3"/>
  <c r="G5066" i="3"/>
  <c r="H5066" i="3"/>
  <c r="G5067" i="3"/>
  <c r="H5067" i="3"/>
  <c r="G5068" i="3"/>
  <c r="H5068" i="3"/>
  <c r="G5069" i="3"/>
  <c r="H5069" i="3"/>
  <c r="G5070" i="3"/>
  <c r="H5070" i="3"/>
  <c r="G5071" i="3"/>
  <c r="H5071" i="3"/>
  <c r="G5072" i="3"/>
  <c r="H5072" i="3"/>
  <c r="G5073" i="3"/>
  <c r="H5073" i="3"/>
  <c r="G5074" i="3"/>
  <c r="H5074" i="3"/>
  <c r="G5075" i="3"/>
  <c r="H5075" i="3"/>
  <c r="G5076" i="3"/>
  <c r="H5076" i="3"/>
  <c r="G5077" i="3"/>
  <c r="H5077" i="3"/>
  <c r="G5078" i="3"/>
  <c r="H5078" i="3"/>
  <c r="G5079" i="3"/>
  <c r="H5079" i="3"/>
  <c r="G5080" i="3"/>
  <c r="H5080" i="3"/>
  <c r="G5081" i="3"/>
  <c r="H5081" i="3"/>
  <c r="G5082" i="3"/>
  <c r="H5082" i="3"/>
  <c r="G5083" i="3"/>
  <c r="H5083" i="3"/>
  <c r="G5084" i="3"/>
  <c r="H5084" i="3"/>
  <c r="G5085" i="3"/>
  <c r="H5085" i="3"/>
  <c r="G5086" i="3"/>
  <c r="H5086" i="3"/>
  <c r="G5087" i="3"/>
  <c r="H5087" i="3"/>
  <c r="G5088" i="3"/>
  <c r="H5088" i="3"/>
  <c r="G5089" i="3"/>
  <c r="H5089" i="3"/>
  <c r="G5090" i="3"/>
  <c r="H5090" i="3"/>
  <c r="G5091" i="3"/>
  <c r="H5091" i="3"/>
  <c r="G5092" i="3"/>
  <c r="H5092" i="3"/>
  <c r="G5093" i="3"/>
  <c r="H5093" i="3"/>
  <c r="G5094" i="3"/>
  <c r="H5094" i="3"/>
  <c r="G5095" i="3"/>
  <c r="H5095" i="3"/>
  <c r="G5096" i="3"/>
  <c r="H5096" i="3"/>
  <c r="G5097" i="3"/>
  <c r="H5097" i="3"/>
  <c r="G5098" i="3"/>
  <c r="H5098" i="3"/>
  <c r="G5099" i="3"/>
  <c r="H5099" i="3"/>
  <c r="G5100" i="3"/>
  <c r="H5100" i="3"/>
  <c r="G5101" i="3"/>
  <c r="H5101" i="3"/>
  <c r="G5102" i="3"/>
  <c r="H5102" i="3"/>
  <c r="G5103" i="3"/>
  <c r="H5103" i="3"/>
  <c r="G5104" i="3"/>
  <c r="H5104" i="3"/>
  <c r="G5105" i="3"/>
  <c r="H5105" i="3"/>
  <c r="G5106" i="3"/>
  <c r="H5106" i="3"/>
  <c r="G5107" i="3"/>
  <c r="H5107" i="3"/>
  <c r="G5108" i="3"/>
  <c r="H5108" i="3"/>
  <c r="G5109" i="3"/>
  <c r="H5109" i="3"/>
  <c r="G5110" i="3"/>
  <c r="H5110" i="3"/>
  <c r="G5111" i="3"/>
  <c r="H5111" i="3"/>
  <c r="G5112" i="3"/>
  <c r="H5112" i="3"/>
  <c r="G5113" i="3"/>
  <c r="H5113" i="3"/>
  <c r="G5114" i="3"/>
  <c r="H5114" i="3"/>
  <c r="G5115" i="3"/>
  <c r="H5115" i="3"/>
  <c r="G5116" i="3"/>
  <c r="H5116" i="3"/>
  <c r="G5117" i="3"/>
  <c r="H5117" i="3"/>
  <c r="G5118" i="3"/>
  <c r="H5118" i="3"/>
  <c r="G5119" i="3"/>
  <c r="H5119" i="3"/>
  <c r="G5120" i="3"/>
  <c r="H5120" i="3"/>
  <c r="G5121" i="3"/>
  <c r="H5121" i="3"/>
  <c r="G5122" i="3"/>
  <c r="H5122" i="3"/>
  <c r="G5123" i="3"/>
  <c r="H5123" i="3"/>
  <c r="G5124" i="3"/>
  <c r="H5124" i="3"/>
  <c r="G5125" i="3"/>
  <c r="H5125" i="3"/>
  <c r="G5126" i="3"/>
  <c r="H5126" i="3"/>
  <c r="G5127" i="3"/>
  <c r="H5127" i="3"/>
  <c r="G5128" i="3"/>
  <c r="H5128" i="3"/>
  <c r="G5129" i="3"/>
  <c r="H5129" i="3"/>
  <c r="G5130" i="3"/>
  <c r="H5130" i="3"/>
  <c r="G5131" i="3"/>
  <c r="H5131" i="3"/>
  <c r="G5132" i="3"/>
  <c r="H5132" i="3"/>
  <c r="G5133" i="3"/>
  <c r="H5133" i="3"/>
  <c r="G5134" i="3"/>
  <c r="H5134" i="3"/>
  <c r="G5135" i="3"/>
  <c r="H5135" i="3"/>
  <c r="G5136" i="3"/>
  <c r="H5136" i="3"/>
  <c r="G5137" i="3"/>
  <c r="H5137" i="3"/>
  <c r="G5138" i="3"/>
  <c r="H5138" i="3"/>
  <c r="G5139" i="3"/>
  <c r="H5139" i="3"/>
  <c r="G5140" i="3"/>
  <c r="H5140" i="3"/>
  <c r="G5141" i="3"/>
  <c r="H5141" i="3"/>
  <c r="G5142" i="3"/>
  <c r="H5142" i="3"/>
  <c r="G5143" i="3"/>
  <c r="H5143" i="3"/>
  <c r="G5144" i="3"/>
  <c r="H5144" i="3"/>
  <c r="G5145" i="3"/>
  <c r="H5145" i="3"/>
  <c r="G5146" i="3"/>
  <c r="H5146" i="3"/>
  <c r="G5147" i="3"/>
  <c r="H5147" i="3"/>
  <c r="G5148" i="3"/>
  <c r="H5148" i="3"/>
  <c r="G5149" i="3"/>
  <c r="H5149" i="3"/>
  <c r="G5150" i="3"/>
  <c r="H5150" i="3"/>
  <c r="G5151" i="3"/>
  <c r="H5151" i="3"/>
  <c r="G5152" i="3"/>
  <c r="H5152" i="3"/>
  <c r="G5153" i="3"/>
  <c r="H5153" i="3"/>
  <c r="G5154" i="3"/>
  <c r="H5154" i="3"/>
  <c r="G5155" i="3"/>
  <c r="H5155" i="3"/>
  <c r="G5156" i="3"/>
  <c r="H5156" i="3"/>
  <c r="G5157" i="3"/>
  <c r="H5157" i="3"/>
  <c r="G5158" i="3"/>
  <c r="H5158" i="3"/>
  <c r="G5159" i="3"/>
  <c r="H5159" i="3"/>
  <c r="G5160" i="3"/>
  <c r="H5160" i="3"/>
  <c r="G5161" i="3"/>
  <c r="H5161" i="3"/>
  <c r="G5162" i="3"/>
  <c r="H5162" i="3"/>
  <c r="G5163" i="3"/>
  <c r="H5163" i="3"/>
  <c r="G5164" i="3"/>
  <c r="H5164" i="3"/>
  <c r="G5165" i="3"/>
  <c r="H5165" i="3"/>
  <c r="G5166" i="3"/>
  <c r="H5166" i="3"/>
  <c r="G5167" i="3"/>
  <c r="H5167" i="3"/>
  <c r="G5168" i="3"/>
  <c r="H5168" i="3"/>
  <c r="G5169" i="3"/>
  <c r="H5169" i="3"/>
  <c r="G5170" i="3"/>
  <c r="H5170" i="3"/>
  <c r="G5171" i="3"/>
  <c r="H5171" i="3"/>
  <c r="G5172" i="3"/>
  <c r="H5172" i="3"/>
  <c r="G5173" i="3"/>
  <c r="H5173" i="3"/>
  <c r="G5174" i="3"/>
  <c r="H5174" i="3"/>
  <c r="G5175" i="3"/>
  <c r="H5175" i="3"/>
  <c r="G5176" i="3"/>
  <c r="H5176" i="3"/>
  <c r="G5177" i="3"/>
  <c r="H5177" i="3"/>
  <c r="G5178" i="3"/>
  <c r="H5178" i="3"/>
  <c r="G5179" i="3"/>
  <c r="H5179" i="3"/>
  <c r="G5180" i="3"/>
  <c r="H5180" i="3"/>
  <c r="G5181" i="3"/>
  <c r="H5181" i="3"/>
  <c r="G5182" i="3"/>
  <c r="H5182" i="3"/>
  <c r="G5183" i="3"/>
  <c r="H5183" i="3"/>
  <c r="G5184" i="3"/>
  <c r="H5184" i="3"/>
  <c r="G5185" i="3"/>
  <c r="H5185" i="3"/>
  <c r="G5186" i="3"/>
  <c r="H5186" i="3"/>
  <c r="G5187" i="3"/>
  <c r="H5187" i="3"/>
  <c r="G5188" i="3"/>
  <c r="H5188" i="3"/>
  <c r="G5189" i="3"/>
  <c r="H5189" i="3"/>
  <c r="G5190" i="3"/>
  <c r="H5190" i="3"/>
  <c r="G5191" i="3"/>
  <c r="H5191" i="3"/>
  <c r="G5192" i="3"/>
  <c r="H5192" i="3"/>
  <c r="G5193" i="3"/>
  <c r="H5193" i="3"/>
  <c r="G5194" i="3"/>
  <c r="H5194" i="3"/>
  <c r="G5195" i="3"/>
  <c r="H5195" i="3"/>
  <c r="G5196" i="3"/>
  <c r="H5196" i="3"/>
  <c r="G5197" i="3"/>
  <c r="H5197" i="3"/>
  <c r="G5198" i="3"/>
  <c r="H5198" i="3"/>
  <c r="G5199" i="3"/>
  <c r="H5199" i="3"/>
  <c r="G5200" i="3"/>
  <c r="H5200" i="3"/>
  <c r="G5201" i="3"/>
  <c r="H5201" i="3"/>
  <c r="G5202" i="3"/>
  <c r="H5202" i="3"/>
  <c r="G5203" i="3"/>
  <c r="H5203" i="3"/>
  <c r="G5204" i="3"/>
  <c r="H5204" i="3"/>
  <c r="G5205" i="3"/>
  <c r="H5205" i="3"/>
  <c r="G5206" i="3"/>
  <c r="H5206" i="3"/>
  <c r="G5207" i="3"/>
  <c r="H5207" i="3"/>
  <c r="G5208" i="3"/>
  <c r="H5208" i="3"/>
  <c r="G5209" i="3"/>
  <c r="H5209" i="3"/>
  <c r="G5210" i="3"/>
  <c r="H5210" i="3"/>
  <c r="G5211" i="3"/>
  <c r="H5211" i="3"/>
  <c r="G5212" i="3"/>
  <c r="H5212" i="3"/>
  <c r="G5213" i="3"/>
  <c r="H5213" i="3"/>
  <c r="G5214" i="3"/>
  <c r="H5214" i="3"/>
  <c r="G5215" i="3"/>
  <c r="H5215" i="3"/>
  <c r="G5216" i="3"/>
  <c r="H5216" i="3"/>
  <c r="G5217" i="3"/>
  <c r="H5217" i="3"/>
  <c r="G5218" i="3"/>
  <c r="H5218" i="3"/>
  <c r="G5219" i="3"/>
  <c r="H5219" i="3"/>
  <c r="G5220" i="3"/>
  <c r="H5220" i="3"/>
  <c r="G5221" i="3"/>
  <c r="H5221" i="3"/>
  <c r="G5222" i="3"/>
  <c r="H5222" i="3"/>
  <c r="G5223" i="3"/>
  <c r="H5223" i="3"/>
  <c r="G5224" i="3"/>
  <c r="H5224" i="3"/>
  <c r="G5225" i="3"/>
  <c r="H5225" i="3"/>
  <c r="G5226" i="3"/>
  <c r="H5226" i="3"/>
  <c r="G5227" i="3"/>
  <c r="H5227" i="3"/>
  <c r="G5228" i="3"/>
  <c r="H5228" i="3"/>
  <c r="G5229" i="3"/>
  <c r="H5229" i="3"/>
  <c r="G5230" i="3"/>
  <c r="H5230" i="3"/>
  <c r="G5231" i="3"/>
  <c r="H5231" i="3"/>
  <c r="G5232" i="3"/>
  <c r="H5232" i="3"/>
  <c r="G5233" i="3"/>
  <c r="H5233" i="3"/>
  <c r="G5234" i="3"/>
  <c r="H5234" i="3"/>
  <c r="G5235" i="3"/>
  <c r="H5235" i="3"/>
  <c r="G5236" i="3"/>
  <c r="H5236" i="3"/>
  <c r="G5237" i="3"/>
  <c r="H5237" i="3"/>
  <c r="G5238" i="3"/>
  <c r="H5238" i="3"/>
  <c r="G5239" i="3"/>
  <c r="H5239" i="3"/>
  <c r="G5240" i="3"/>
  <c r="H5240" i="3"/>
  <c r="G5241" i="3"/>
  <c r="H5241" i="3"/>
  <c r="G5242" i="3"/>
  <c r="H5242" i="3"/>
  <c r="G5243" i="3"/>
  <c r="H5243" i="3"/>
  <c r="G5244" i="3"/>
  <c r="H5244" i="3"/>
  <c r="G5245" i="3"/>
  <c r="H5245" i="3"/>
  <c r="G5246" i="3"/>
  <c r="H5246" i="3"/>
  <c r="G5247" i="3"/>
  <c r="H5247" i="3"/>
  <c r="G5248" i="3"/>
  <c r="H5248" i="3"/>
  <c r="G5249" i="3"/>
  <c r="H5249" i="3"/>
  <c r="G5250" i="3"/>
  <c r="H5250" i="3"/>
  <c r="G5251" i="3"/>
  <c r="H5251" i="3"/>
  <c r="G5252" i="3"/>
  <c r="H5252" i="3"/>
  <c r="G5253" i="3"/>
  <c r="H5253" i="3"/>
  <c r="G5254" i="3"/>
  <c r="H5254" i="3"/>
  <c r="G5255" i="3"/>
  <c r="H5255" i="3"/>
  <c r="G5256" i="3"/>
  <c r="H5256" i="3"/>
  <c r="G5257" i="3"/>
  <c r="H5257" i="3"/>
  <c r="G5258" i="3"/>
  <c r="H5258" i="3"/>
  <c r="G5259" i="3"/>
  <c r="H5259" i="3"/>
  <c r="G5260" i="3"/>
  <c r="H5260" i="3"/>
  <c r="G5261" i="3"/>
  <c r="H5261" i="3"/>
  <c r="G5262" i="3"/>
  <c r="H5262" i="3"/>
  <c r="G5263" i="3"/>
  <c r="H5263" i="3"/>
  <c r="G5264" i="3"/>
  <c r="H5264" i="3"/>
  <c r="G5265" i="3"/>
  <c r="H5265" i="3"/>
  <c r="G5266" i="3"/>
  <c r="H5266" i="3"/>
  <c r="G5267" i="3"/>
  <c r="H5267" i="3"/>
  <c r="G5268" i="3"/>
  <c r="H5268" i="3"/>
  <c r="G5269" i="3"/>
  <c r="H5269" i="3"/>
  <c r="G5270" i="3"/>
  <c r="H5270" i="3"/>
  <c r="G5271" i="3"/>
  <c r="H5271" i="3"/>
  <c r="G5272" i="3"/>
  <c r="H5272" i="3"/>
  <c r="G5273" i="3"/>
  <c r="H5273" i="3"/>
  <c r="G5274" i="3"/>
  <c r="H5274" i="3"/>
  <c r="G5275" i="3"/>
  <c r="H5275" i="3"/>
  <c r="G5276" i="3"/>
  <c r="H5276" i="3"/>
  <c r="G5277" i="3"/>
  <c r="H5277" i="3"/>
  <c r="G5278" i="3"/>
  <c r="H5278" i="3"/>
  <c r="G5279" i="3"/>
  <c r="H5279" i="3"/>
  <c r="G5280" i="3"/>
  <c r="H5280" i="3"/>
  <c r="G5281" i="3"/>
  <c r="H5281" i="3"/>
  <c r="G5282" i="3"/>
  <c r="H5282" i="3"/>
  <c r="G5283" i="3"/>
  <c r="H5283" i="3"/>
  <c r="G5284" i="3"/>
  <c r="H5284" i="3"/>
  <c r="G5285" i="3"/>
  <c r="H5285" i="3"/>
  <c r="G5286" i="3"/>
  <c r="H5286" i="3"/>
  <c r="G5287" i="3"/>
  <c r="H5287" i="3"/>
  <c r="G5288" i="3"/>
  <c r="H5288" i="3"/>
  <c r="G5289" i="3"/>
  <c r="H5289" i="3"/>
  <c r="G5290" i="3"/>
  <c r="H5290" i="3"/>
  <c r="G5291" i="3"/>
  <c r="H5291" i="3"/>
  <c r="G5292" i="3"/>
  <c r="H5292" i="3"/>
  <c r="G5293" i="3"/>
  <c r="H5293" i="3"/>
  <c r="G5294" i="3"/>
  <c r="H5294" i="3"/>
  <c r="G5295" i="3"/>
  <c r="H5295" i="3"/>
  <c r="G5296" i="3"/>
  <c r="H5296" i="3"/>
  <c r="G5297" i="3"/>
  <c r="H5297" i="3"/>
  <c r="G5298" i="3"/>
  <c r="H5298" i="3"/>
  <c r="G5299" i="3"/>
  <c r="H5299" i="3"/>
  <c r="G5300" i="3"/>
  <c r="H5300" i="3"/>
  <c r="G5301" i="3"/>
  <c r="H5301" i="3"/>
  <c r="G5302" i="3"/>
  <c r="H5302" i="3"/>
  <c r="G5303" i="3"/>
  <c r="H5303" i="3"/>
  <c r="G5304" i="3"/>
  <c r="H5304" i="3"/>
  <c r="G5305" i="3"/>
  <c r="H5305" i="3"/>
  <c r="G5306" i="3"/>
  <c r="H5306" i="3"/>
  <c r="G5307" i="3"/>
  <c r="H5307" i="3"/>
  <c r="G5308" i="3"/>
  <c r="H5308" i="3"/>
  <c r="G5309" i="3"/>
  <c r="H5309" i="3"/>
  <c r="G5310" i="3"/>
  <c r="H5310" i="3"/>
  <c r="G5311" i="3"/>
  <c r="H5311" i="3"/>
  <c r="G5312" i="3"/>
  <c r="H5312" i="3"/>
  <c r="G5313" i="3"/>
  <c r="H5313" i="3"/>
  <c r="G5314" i="3"/>
  <c r="H5314" i="3"/>
  <c r="G5315" i="3"/>
  <c r="H5315" i="3"/>
  <c r="G5316" i="3"/>
  <c r="H5316" i="3"/>
  <c r="G5317" i="3"/>
  <c r="H5317" i="3"/>
  <c r="G5318" i="3"/>
  <c r="H5318" i="3"/>
  <c r="G5319" i="3"/>
  <c r="H5319" i="3"/>
  <c r="G5320" i="3"/>
  <c r="H5320" i="3"/>
  <c r="G5321" i="3"/>
  <c r="H5321" i="3"/>
  <c r="G5322" i="3"/>
  <c r="H5322" i="3"/>
  <c r="G5323" i="3"/>
  <c r="H5323" i="3"/>
  <c r="G5324" i="3"/>
  <c r="H5324" i="3"/>
  <c r="G5325" i="3"/>
  <c r="H5325" i="3"/>
  <c r="G5326" i="3"/>
  <c r="H5326" i="3"/>
  <c r="G5327" i="3"/>
  <c r="H5327" i="3"/>
  <c r="G5328" i="3"/>
  <c r="H5328" i="3"/>
  <c r="G5329" i="3"/>
  <c r="H5329" i="3"/>
  <c r="G5330" i="3"/>
  <c r="H5330" i="3"/>
  <c r="G5331" i="3"/>
  <c r="H5331" i="3"/>
  <c r="G5332" i="3"/>
  <c r="H5332" i="3"/>
  <c r="G5333" i="3"/>
  <c r="H5333" i="3"/>
  <c r="G5334" i="3"/>
  <c r="H5334" i="3"/>
  <c r="G5335" i="3"/>
  <c r="H5335" i="3"/>
  <c r="G5336" i="3"/>
  <c r="H5336" i="3"/>
  <c r="G5337" i="3"/>
  <c r="H5337" i="3"/>
  <c r="G5338" i="3"/>
  <c r="H5338" i="3"/>
  <c r="G5339" i="3"/>
  <c r="H5339" i="3"/>
  <c r="G5340" i="3"/>
  <c r="H5340" i="3"/>
  <c r="G5341" i="3"/>
  <c r="H5341" i="3"/>
  <c r="G5342" i="3"/>
  <c r="H5342" i="3"/>
  <c r="G5343" i="3"/>
  <c r="H5343" i="3"/>
  <c r="G5344" i="3"/>
  <c r="H5344" i="3"/>
  <c r="G5345" i="3"/>
  <c r="H5345" i="3"/>
  <c r="G5346" i="3"/>
  <c r="H5346" i="3"/>
  <c r="G5347" i="3"/>
  <c r="H5347" i="3"/>
  <c r="G5348" i="3"/>
  <c r="H5348" i="3"/>
  <c r="G5349" i="3"/>
  <c r="H5349" i="3"/>
  <c r="G5350" i="3"/>
  <c r="H5350" i="3"/>
  <c r="G5351" i="3"/>
  <c r="H5351" i="3"/>
  <c r="G5352" i="3"/>
  <c r="H5352" i="3"/>
  <c r="G5353" i="3"/>
  <c r="H5353" i="3"/>
  <c r="G5354" i="3"/>
  <c r="H5354" i="3"/>
  <c r="G5355" i="3"/>
  <c r="H5355" i="3"/>
  <c r="G5356" i="3"/>
  <c r="H5356" i="3"/>
  <c r="G5357" i="3"/>
  <c r="H5357" i="3"/>
  <c r="G5358" i="3"/>
  <c r="H5358" i="3"/>
  <c r="G5359" i="3"/>
  <c r="H5359" i="3"/>
  <c r="G5360" i="3"/>
  <c r="H5360" i="3"/>
  <c r="G5361" i="3"/>
  <c r="H5361" i="3"/>
  <c r="G5362" i="3"/>
  <c r="H5362" i="3"/>
  <c r="G5363" i="3"/>
  <c r="H5363" i="3"/>
  <c r="G5364" i="3"/>
  <c r="H5364" i="3"/>
  <c r="G5365" i="3"/>
  <c r="H5365" i="3"/>
  <c r="G5366" i="3"/>
  <c r="H5366" i="3"/>
  <c r="G5367" i="3"/>
  <c r="H5367" i="3"/>
  <c r="G5368" i="3"/>
  <c r="H5368" i="3"/>
  <c r="G5369" i="3"/>
  <c r="H5369" i="3"/>
  <c r="G5370" i="3"/>
  <c r="H5370" i="3"/>
  <c r="G5371" i="3"/>
  <c r="H5371" i="3"/>
  <c r="G5372" i="3"/>
  <c r="H5372" i="3"/>
  <c r="G5373" i="3"/>
  <c r="H5373" i="3"/>
  <c r="G5374" i="3"/>
  <c r="H5374" i="3"/>
  <c r="G5375" i="3"/>
  <c r="H5375" i="3"/>
  <c r="G5376" i="3"/>
  <c r="H5376" i="3"/>
  <c r="G5377" i="3"/>
  <c r="H5377" i="3"/>
  <c r="G5378" i="3"/>
  <c r="H5378" i="3"/>
  <c r="G5379" i="3"/>
  <c r="H5379" i="3"/>
  <c r="G5380" i="3"/>
  <c r="H5380" i="3"/>
  <c r="G5381" i="3"/>
  <c r="H5381" i="3"/>
  <c r="G5382" i="3"/>
  <c r="H5382" i="3"/>
  <c r="G5383" i="3"/>
  <c r="H5383" i="3"/>
  <c r="G5384" i="3"/>
  <c r="H5384" i="3"/>
  <c r="G5385" i="3"/>
  <c r="H5385" i="3"/>
  <c r="G5386" i="3"/>
  <c r="H5386" i="3"/>
  <c r="G5387" i="3"/>
  <c r="H5387" i="3"/>
  <c r="G5388" i="3"/>
  <c r="H5388" i="3"/>
  <c r="G5389" i="3"/>
  <c r="H5389" i="3"/>
  <c r="G5390" i="3"/>
  <c r="H5390" i="3"/>
  <c r="G5391" i="3"/>
  <c r="H5391" i="3"/>
  <c r="G5392" i="3"/>
  <c r="H5392" i="3"/>
  <c r="G5393" i="3"/>
  <c r="H5393" i="3"/>
  <c r="G5394" i="3"/>
  <c r="H5394" i="3"/>
  <c r="G5395" i="3"/>
  <c r="H5395" i="3"/>
  <c r="G5396" i="3"/>
  <c r="H5396" i="3"/>
  <c r="G5397" i="3"/>
  <c r="H5397" i="3"/>
  <c r="G5398" i="3"/>
  <c r="H5398" i="3"/>
  <c r="G5399" i="3"/>
  <c r="H5399" i="3"/>
  <c r="G5400" i="3"/>
  <c r="H5400" i="3"/>
  <c r="G5401" i="3"/>
  <c r="H5401" i="3"/>
  <c r="G5402" i="3"/>
  <c r="H5402" i="3"/>
  <c r="G5403" i="3"/>
  <c r="H5403" i="3"/>
  <c r="G5404" i="3"/>
  <c r="H5404" i="3"/>
  <c r="G5405" i="3"/>
  <c r="H5405" i="3"/>
  <c r="G5406" i="3"/>
  <c r="H5406" i="3"/>
  <c r="G5407" i="3"/>
  <c r="H5407" i="3"/>
  <c r="G5408" i="3"/>
  <c r="H5408" i="3"/>
  <c r="G5409" i="3"/>
  <c r="H5409" i="3"/>
  <c r="G5410" i="3"/>
  <c r="H5410" i="3"/>
  <c r="G5411" i="3"/>
  <c r="H5411" i="3"/>
  <c r="G5412" i="3"/>
  <c r="H5412" i="3"/>
  <c r="G5413" i="3"/>
  <c r="H5413" i="3"/>
  <c r="G5414" i="3"/>
  <c r="H5414" i="3"/>
  <c r="G5415" i="3"/>
  <c r="H5415" i="3"/>
  <c r="G5416" i="3"/>
  <c r="H5416" i="3"/>
  <c r="G5417" i="3"/>
  <c r="H5417" i="3"/>
  <c r="G5418" i="3"/>
  <c r="H5418" i="3"/>
  <c r="G5419" i="3"/>
  <c r="H5419" i="3"/>
  <c r="G5420" i="3"/>
  <c r="H5420" i="3"/>
  <c r="G5421" i="3"/>
  <c r="H5421" i="3"/>
  <c r="G5422" i="3"/>
  <c r="H5422" i="3"/>
  <c r="G5423" i="3"/>
  <c r="H5423" i="3"/>
  <c r="G5424" i="3"/>
  <c r="H5424" i="3"/>
  <c r="G5425" i="3"/>
  <c r="H5425" i="3"/>
  <c r="G5426" i="3"/>
  <c r="H5426" i="3"/>
  <c r="G5427" i="3"/>
  <c r="H5427" i="3"/>
  <c r="G5428" i="3"/>
  <c r="H5428" i="3"/>
  <c r="G5429" i="3"/>
  <c r="H5429" i="3"/>
  <c r="G5430" i="3"/>
  <c r="H5430" i="3"/>
  <c r="G5431" i="3"/>
  <c r="H5431" i="3"/>
  <c r="G5432" i="3"/>
  <c r="H5432" i="3"/>
  <c r="G5433" i="3"/>
  <c r="H5433" i="3"/>
  <c r="G5434" i="3"/>
  <c r="H5434" i="3"/>
  <c r="G5435" i="3"/>
  <c r="H5435" i="3"/>
  <c r="G5436" i="3"/>
  <c r="H5436" i="3"/>
  <c r="G5437" i="3"/>
  <c r="H5437" i="3"/>
  <c r="G5438" i="3"/>
  <c r="H5438" i="3"/>
  <c r="G5439" i="3"/>
  <c r="H5439" i="3"/>
  <c r="G5440" i="3"/>
  <c r="H5440" i="3"/>
  <c r="G5441" i="3"/>
  <c r="H5441" i="3"/>
  <c r="G5442" i="3"/>
  <c r="H5442" i="3"/>
  <c r="G5443" i="3"/>
  <c r="H5443" i="3"/>
  <c r="G5444" i="3"/>
  <c r="H5444" i="3"/>
  <c r="G5445" i="3"/>
  <c r="H5445" i="3"/>
  <c r="G5446" i="3"/>
  <c r="H5446" i="3"/>
  <c r="G5447" i="3"/>
  <c r="H5447" i="3"/>
  <c r="G5448" i="3"/>
  <c r="H5448" i="3"/>
  <c r="G5449" i="3"/>
  <c r="H5449" i="3"/>
  <c r="G5450" i="3"/>
  <c r="H5450" i="3"/>
  <c r="G5451" i="3"/>
  <c r="H5451" i="3"/>
  <c r="G5452" i="3"/>
  <c r="H5452" i="3"/>
  <c r="G5453" i="3"/>
  <c r="H5453" i="3"/>
  <c r="G5454" i="3"/>
  <c r="H5454" i="3"/>
  <c r="G5455" i="3"/>
  <c r="H5455" i="3"/>
  <c r="G5456" i="3"/>
  <c r="H5456" i="3"/>
  <c r="G5457" i="3"/>
  <c r="H5457" i="3"/>
  <c r="G5458" i="3"/>
  <c r="H5458" i="3"/>
  <c r="G5459" i="3"/>
  <c r="H5459" i="3"/>
  <c r="G5460" i="3"/>
  <c r="H5460" i="3"/>
  <c r="G5461" i="3"/>
  <c r="H5461" i="3"/>
  <c r="G5462" i="3"/>
  <c r="H5462" i="3"/>
  <c r="G5463" i="3"/>
  <c r="H5463" i="3"/>
  <c r="G5464" i="3"/>
  <c r="H5464" i="3"/>
  <c r="G5465" i="3"/>
  <c r="H5465" i="3"/>
  <c r="G5466" i="3"/>
  <c r="H5466" i="3"/>
  <c r="G5467" i="3"/>
  <c r="H5467" i="3"/>
  <c r="G5468" i="3"/>
  <c r="H5468" i="3"/>
  <c r="G5469" i="3"/>
  <c r="H5469" i="3"/>
  <c r="G5470" i="3"/>
  <c r="H5470" i="3"/>
  <c r="G5471" i="3"/>
  <c r="H5471" i="3"/>
  <c r="G5472" i="3"/>
  <c r="H5472" i="3"/>
  <c r="G5473" i="3"/>
  <c r="H5473" i="3"/>
  <c r="G5474" i="3"/>
  <c r="H5474" i="3"/>
  <c r="G5475" i="3"/>
  <c r="H5475" i="3"/>
  <c r="G5476" i="3"/>
  <c r="H5476" i="3"/>
  <c r="G5477" i="3"/>
  <c r="H5477" i="3"/>
  <c r="G5478" i="3"/>
  <c r="H5478" i="3"/>
  <c r="G5479" i="3"/>
  <c r="H5479" i="3"/>
  <c r="G5480" i="3"/>
  <c r="H5480" i="3"/>
  <c r="G5481" i="3"/>
  <c r="H5481" i="3"/>
  <c r="G5482" i="3"/>
  <c r="H5482" i="3"/>
  <c r="G5483" i="3"/>
  <c r="H5483" i="3"/>
  <c r="G5484" i="3"/>
  <c r="H5484" i="3"/>
  <c r="G5485" i="3"/>
  <c r="H5485" i="3"/>
  <c r="G5486" i="3"/>
  <c r="H5486" i="3"/>
  <c r="G5487" i="3"/>
  <c r="H5487" i="3"/>
  <c r="G5488" i="3"/>
  <c r="H5488" i="3"/>
  <c r="G5489" i="3"/>
  <c r="H5489" i="3"/>
  <c r="G5490" i="3"/>
  <c r="H5490" i="3"/>
  <c r="G5491" i="3"/>
  <c r="H5491" i="3"/>
  <c r="G5492" i="3"/>
  <c r="H5492" i="3"/>
  <c r="G5493" i="3"/>
  <c r="H5493" i="3"/>
  <c r="G5494" i="3"/>
  <c r="H5494" i="3"/>
  <c r="G5495" i="3"/>
  <c r="H5495" i="3"/>
  <c r="G5496" i="3"/>
  <c r="H5496" i="3"/>
  <c r="G5497" i="3"/>
  <c r="H5497" i="3"/>
  <c r="G5498" i="3"/>
  <c r="H5498" i="3"/>
  <c r="G5499" i="3"/>
  <c r="H5499" i="3"/>
  <c r="G5500" i="3"/>
  <c r="H5500" i="3"/>
  <c r="G5501" i="3"/>
  <c r="H5501" i="3"/>
  <c r="G5502" i="3"/>
  <c r="H5502" i="3"/>
  <c r="G5503" i="3"/>
  <c r="H5503" i="3"/>
  <c r="G5504" i="3"/>
  <c r="H5504" i="3"/>
  <c r="G5505" i="3"/>
  <c r="H5505" i="3"/>
  <c r="G5506" i="3"/>
  <c r="H5506" i="3"/>
  <c r="G5507" i="3"/>
  <c r="H5507" i="3"/>
  <c r="G5508" i="3"/>
  <c r="H5508" i="3"/>
  <c r="G5509" i="3"/>
  <c r="H5509" i="3"/>
  <c r="G5510" i="3"/>
  <c r="H5510" i="3"/>
  <c r="G5511" i="3"/>
  <c r="H5511" i="3"/>
  <c r="G5512" i="3"/>
  <c r="H5512" i="3"/>
  <c r="G5513" i="3"/>
  <c r="H5513" i="3"/>
  <c r="G5514" i="3"/>
  <c r="H5514" i="3"/>
  <c r="G5515" i="3"/>
  <c r="H5515" i="3"/>
  <c r="G5516" i="3"/>
  <c r="H5516" i="3"/>
  <c r="G5517" i="3"/>
  <c r="H5517" i="3"/>
  <c r="G5518" i="3"/>
  <c r="H5518" i="3"/>
  <c r="G5519" i="3"/>
  <c r="H5519" i="3"/>
  <c r="G5520" i="3"/>
  <c r="H5520" i="3"/>
  <c r="G5521" i="3"/>
  <c r="H5521" i="3"/>
  <c r="G5522" i="3"/>
  <c r="H5522" i="3"/>
  <c r="G5523" i="3"/>
  <c r="H5523" i="3"/>
  <c r="G5524" i="3"/>
  <c r="H5524" i="3"/>
  <c r="G5525" i="3"/>
  <c r="H5525" i="3"/>
  <c r="G5526" i="3"/>
  <c r="H5526" i="3"/>
  <c r="G5527" i="3"/>
  <c r="H5527" i="3"/>
  <c r="G5528" i="3"/>
  <c r="H5528" i="3"/>
  <c r="G5529" i="3"/>
  <c r="H5529" i="3"/>
  <c r="G5530" i="3"/>
  <c r="H5530" i="3"/>
  <c r="G5531" i="3"/>
  <c r="H5531" i="3"/>
  <c r="G5532" i="3"/>
  <c r="H5532" i="3"/>
  <c r="G5533" i="3"/>
  <c r="H5533" i="3"/>
  <c r="G5534" i="3"/>
  <c r="H5534" i="3"/>
  <c r="G5535" i="3"/>
  <c r="H5535" i="3"/>
  <c r="G5536" i="3"/>
  <c r="H5536" i="3"/>
  <c r="G5537" i="3"/>
  <c r="H5537" i="3"/>
  <c r="G5538" i="3"/>
  <c r="H5538" i="3"/>
  <c r="G5539" i="3"/>
  <c r="H5539" i="3"/>
  <c r="G5540" i="3"/>
  <c r="H5540" i="3"/>
  <c r="G5541" i="3"/>
  <c r="H5541" i="3"/>
  <c r="G5542" i="3"/>
  <c r="H5542" i="3"/>
  <c r="G5543" i="3"/>
  <c r="H5543" i="3"/>
  <c r="G5544" i="3"/>
  <c r="H5544" i="3"/>
  <c r="G5545" i="3"/>
  <c r="H5545" i="3"/>
  <c r="G5546" i="3"/>
  <c r="H5546" i="3"/>
  <c r="G5547" i="3"/>
  <c r="H5547" i="3"/>
  <c r="G5548" i="3"/>
  <c r="H5548" i="3"/>
  <c r="G5549" i="3"/>
  <c r="H5549" i="3"/>
  <c r="G5550" i="3"/>
  <c r="H5550" i="3"/>
  <c r="G5551" i="3"/>
  <c r="H5551" i="3"/>
  <c r="G5552" i="3"/>
  <c r="H5552" i="3"/>
  <c r="G5553" i="3"/>
  <c r="H5553" i="3"/>
  <c r="G5554" i="3"/>
  <c r="H5554" i="3"/>
  <c r="G5555" i="3"/>
  <c r="H5555" i="3"/>
  <c r="G5556" i="3"/>
  <c r="H5556" i="3"/>
  <c r="G5557" i="3"/>
  <c r="H5557" i="3"/>
  <c r="G5558" i="3"/>
  <c r="H5558" i="3"/>
  <c r="G5559" i="3"/>
  <c r="H5559" i="3"/>
  <c r="G5560" i="3"/>
  <c r="H5560" i="3"/>
  <c r="G5561" i="3"/>
  <c r="H5561" i="3"/>
  <c r="G5562" i="3"/>
  <c r="H5562" i="3"/>
  <c r="G5563" i="3"/>
  <c r="H5563" i="3"/>
  <c r="G5564" i="3"/>
  <c r="H5564" i="3"/>
  <c r="G5565" i="3"/>
  <c r="H5565" i="3"/>
  <c r="G5566" i="3"/>
  <c r="H5566" i="3"/>
  <c r="G5567" i="3"/>
  <c r="H5567" i="3"/>
  <c r="G5568" i="3"/>
  <c r="H5568" i="3"/>
  <c r="G5569" i="3"/>
  <c r="H5569" i="3"/>
  <c r="G5570" i="3"/>
  <c r="H5570" i="3"/>
  <c r="G5571" i="3"/>
  <c r="H5571" i="3"/>
  <c r="G5572" i="3"/>
  <c r="H5572" i="3"/>
  <c r="G5573" i="3"/>
  <c r="H5573" i="3"/>
  <c r="G5574" i="3"/>
  <c r="H5574" i="3"/>
  <c r="G5575" i="3"/>
  <c r="H5575" i="3"/>
  <c r="G5576" i="3"/>
  <c r="H5576" i="3"/>
  <c r="G5577" i="3"/>
  <c r="H5577" i="3"/>
  <c r="G5578" i="3"/>
  <c r="H5578" i="3"/>
  <c r="G5579" i="3"/>
  <c r="H5579" i="3"/>
  <c r="G5580" i="3"/>
  <c r="H5580" i="3"/>
  <c r="G5581" i="3"/>
  <c r="H5581" i="3"/>
  <c r="G5582" i="3"/>
  <c r="H5582" i="3"/>
  <c r="G5583" i="3"/>
  <c r="H5583" i="3"/>
  <c r="G5584" i="3"/>
  <c r="H5584" i="3"/>
  <c r="G5585" i="3"/>
  <c r="H5585" i="3"/>
  <c r="G5586" i="3"/>
  <c r="H5586" i="3"/>
  <c r="G5587" i="3"/>
  <c r="H5587" i="3"/>
  <c r="G5588" i="3"/>
  <c r="H5588" i="3"/>
  <c r="G5589" i="3"/>
  <c r="H5589" i="3"/>
  <c r="G5590" i="3"/>
  <c r="H5590" i="3"/>
  <c r="G5591" i="3"/>
  <c r="H5591" i="3"/>
  <c r="G5592" i="3"/>
  <c r="H5592" i="3"/>
  <c r="G5593" i="3"/>
  <c r="H5593" i="3"/>
  <c r="G5594" i="3"/>
  <c r="H5594" i="3"/>
  <c r="G5595" i="3"/>
  <c r="H5595" i="3"/>
  <c r="G5596" i="3"/>
  <c r="H5596" i="3"/>
  <c r="G5597" i="3"/>
  <c r="H5597" i="3"/>
  <c r="G5598" i="3"/>
  <c r="H5598" i="3"/>
  <c r="G5599" i="3"/>
  <c r="H5599" i="3"/>
  <c r="G5600" i="3"/>
  <c r="H5600" i="3"/>
  <c r="G5601" i="3"/>
  <c r="H5601" i="3"/>
  <c r="G5602" i="3"/>
  <c r="H5602" i="3"/>
  <c r="G5603" i="3"/>
  <c r="H5603" i="3"/>
  <c r="G5604" i="3"/>
  <c r="H5604" i="3"/>
  <c r="G5605" i="3"/>
  <c r="H5605" i="3"/>
  <c r="G5606" i="3"/>
  <c r="H5606" i="3"/>
  <c r="G5607" i="3"/>
  <c r="H5607" i="3"/>
  <c r="G5608" i="3"/>
  <c r="H5608" i="3"/>
  <c r="G5609" i="3"/>
  <c r="H5609" i="3"/>
  <c r="G5610" i="3"/>
  <c r="H5610" i="3"/>
  <c r="G5611" i="3"/>
  <c r="H5611" i="3"/>
  <c r="G5612" i="3"/>
  <c r="H5612" i="3"/>
  <c r="G5613" i="3"/>
  <c r="H5613" i="3"/>
  <c r="G5614" i="3"/>
  <c r="H5614" i="3"/>
  <c r="G5615" i="3"/>
  <c r="H5615" i="3"/>
  <c r="G5616" i="3"/>
  <c r="H5616" i="3"/>
  <c r="G5617" i="3"/>
  <c r="H5617" i="3"/>
  <c r="G5618" i="3"/>
  <c r="H5618" i="3"/>
  <c r="G5619" i="3"/>
  <c r="H5619" i="3"/>
  <c r="G5620" i="3"/>
  <c r="H5620" i="3"/>
  <c r="G5621" i="3"/>
  <c r="H5621" i="3"/>
  <c r="G5622" i="3"/>
  <c r="H5622" i="3"/>
  <c r="G5623" i="3"/>
  <c r="H5623" i="3"/>
  <c r="G5624" i="3"/>
  <c r="H5624" i="3"/>
  <c r="G5625" i="3"/>
  <c r="H5625" i="3"/>
  <c r="G5626" i="3"/>
  <c r="H5626" i="3"/>
  <c r="G5627" i="3"/>
  <c r="H5627" i="3"/>
  <c r="G5628" i="3"/>
  <c r="H5628" i="3"/>
  <c r="G5629" i="3"/>
  <c r="H5629" i="3"/>
  <c r="G5630" i="3"/>
  <c r="H5630" i="3"/>
  <c r="G5631" i="3"/>
  <c r="H5631" i="3"/>
  <c r="G5632" i="3"/>
  <c r="H5632" i="3"/>
  <c r="G5633" i="3"/>
  <c r="H5633" i="3"/>
  <c r="G5634" i="3"/>
  <c r="H5634" i="3"/>
  <c r="G5635" i="3"/>
  <c r="H5635" i="3"/>
  <c r="G5636" i="3"/>
  <c r="H5636" i="3"/>
  <c r="G5637" i="3"/>
  <c r="H5637" i="3"/>
  <c r="G5638" i="3"/>
  <c r="H5638" i="3"/>
  <c r="G5639" i="3"/>
  <c r="H5639" i="3"/>
  <c r="G5640" i="3"/>
  <c r="H5640" i="3"/>
  <c r="G5641" i="3"/>
  <c r="H5641" i="3"/>
  <c r="G5642" i="3"/>
  <c r="H5642" i="3"/>
  <c r="G5643" i="3"/>
  <c r="H5643" i="3"/>
  <c r="G5644" i="3"/>
  <c r="H5644" i="3"/>
  <c r="G5645" i="3"/>
  <c r="H5645" i="3"/>
  <c r="G5646" i="3"/>
  <c r="H5646" i="3"/>
  <c r="G5647" i="3"/>
  <c r="H5647" i="3"/>
  <c r="G5648" i="3"/>
  <c r="H5648" i="3"/>
  <c r="G5649" i="3"/>
  <c r="H5649" i="3"/>
  <c r="G5650" i="3"/>
  <c r="H5650" i="3"/>
  <c r="G5651" i="3"/>
  <c r="H5651" i="3"/>
  <c r="G5652" i="3"/>
  <c r="H5652" i="3"/>
  <c r="G5653" i="3"/>
  <c r="H5653" i="3"/>
  <c r="G5654" i="3"/>
  <c r="H5654" i="3"/>
  <c r="G5655" i="3"/>
  <c r="H5655" i="3"/>
  <c r="G5656" i="3"/>
  <c r="H5656" i="3"/>
  <c r="G5657" i="3"/>
  <c r="H5657" i="3"/>
  <c r="G5658" i="3"/>
  <c r="H5658" i="3"/>
  <c r="G5659" i="3"/>
  <c r="H5659" i="3"/>
  <c r="G5660" i="3"/>
  <c r="H5660" i="3"/>
  <c r="G5661" i="3"/>
  <c r="H5661" i="3"/>
  <c r="G5662" i="3"/>
  <c r="H5662" i="3"/>
  <c r="G5663" i="3"/>
  <c r="H5663" i="3"/>
  <c r="G5664" i="3"/>
  <c r="H5664" i="3"/>
  <c r="G5665" i="3"/>
  <c r="H5665" i="3"/>
  <c r="G5666" i="3"/>
  <c r="H5666" i="3"/>
  <c r="G5667" i="3"/>
  <c r="H5667" i="3"/>
  <c r="G5668" i="3"/>
  <c r="H5668" i="3"/>
  <c r="G5669" i="3"/>
  <c r="H5669" i="3"/>
  <c r="G5670" i="3"/>
  <c r="H5670" i="3"/>
  <c r="G5671" i="3"/>
  <c r="H5671" i="3"/>
  <c r="G5672" i="3"/>
  <c r="H5672" i="3"/>
  <c r="G5673" i="3"/>
  <c r="H5673" i="3"/>
  <c r="G5674" i="3"/>
  <c r="H5674" i="3"/>
  <c r="G5675" i="3"/>
  <c r="H5675" i="3"/>
  <c r="G5676" i="3"/>
  <c r="H5676" i="3"/>
  <c r="G5677" i="3"/>
  <c r="H5677" i="3"/>
  <c r="G5678" i="3"/>
  <c r="H5678" i="3"/>
  <c r="G5679" i="3"/>
  <c r="H5679" i="3"/>
  <c r="G5680" i="3"/>
  <c r="H5680" i="3"/>
  <c r="G5681" i="3"/>
  <c r="H5681" i="3"/>
  <c r="G5682" i="3"/>
  <c r="H5682" i="3"/>
  <c r="G5683" i="3"/>
  <c r="H5683" i="3"/>
  <c r="G5684" i="3"/>
  <c r="H5684" i="3"/>
  <c r="G5685" i="3"/>
  <c r="H5685" i="3"/>
  <c r="G5686" i="3"/>
  <c r="H5686" i="3"/>
  <c r="G5687" i="3"/>
  <c r="H5687" i="3"/>
  <c r="G5688" i="3"/>
  <c r="H5688" i="3"/>
  <c r="G5689" i="3"/>
  <c r="H5689" i="3"/>
  <c r="G5690" i="3"/>
  <c r="H5690" i="3"/>
  <c r="G5691" i="3"/>
  <c r="H5691" i="3"/>
  <c r="G5692" i="3"/>
  <c r="H5692" i="3"/>
  <c r="G5693" i="3"/>
  <c r="H5693" i="3"/>
  <c r="G5694" i="3"/>
  <c r="H5694" i="3"/>
  <c r="G5695" i="3"/>
  <c r="H5695" i="3"/>
  <c r="G5696" i="3"/>
  <c r="H5696" i="3"/>
  <c r="G5697" i="3"/>
  <c r="H5697" i="3"/>
  <c r="G5698" i="3"/>
  <c r="H5698" i="3"/>
  <c r="G5699" i="3"/>
  <c r="H5699" i="3"/>
  <c r="G5700" i="3"/>
  <c r="H5700" i="3"/>
  <c r="G5701" i="3"/>
  <c r="H5701" i="3"/>
  <c r="G5702" i="3"/>
  <c r="H5702" i="3"/>
  <c r="G5703" i="3"/>
  <c r="H5703" i="3"/>
  <c r="G5704" i="3"/>
  <c r="H5704" i="3"/>
  <c r="G5705" i="3"/>
  <c r="H5705" i="3"/>
  <c r="G5706" i="3"/>
  <c r="H5706" i="3"/>
  <c r="G5707" i="3"/>
  <c r="H5707" i="3"/>
  <c r="G5708" i="3"/>
  <c r="H5708" i="3"/>
  <c r="G5709" i="3"/>
  <c r="H5709" i="3"/>
  <c r="G5710" i="3"/>
  <c r="H5710" i="3"/>
  <c r="G5711" i="3"/>
  <c r="H5711" i="3"/>
  <c r="G5712" i="3"/>
  <c r="H5712" i="3"/>
  <c r="G5713" i="3"/>
  <c r="H5713" i="3"/>
  <c r="G5714" i="3"/>
  <c r="H5714" i="3"/>
  <c r="G5715" i="3"/>
  <c r="H5715" i="3"/>
  <c r="G5716" i="3"/>
  <c r="H5716" i="3"/>
  <c r="G5717" i="3"/>
  <c r="H5717" i="3"/>
  <c r="G5718" i="3"/>
  <c r="H5718" i="3"/>
  <c r="G5719" i="3"/>
  <c r="H5719" i="3"/>
  <c r="G5720" i="3"/>
  <c r="H5720" i="3"/>
  <c r="G5721" i="3"/>
  <c r="H5721" i="3"/>
  <c r="G5722" i="3"/>
  <c r="H5722" i="3"/>
  <c r="G5723" i="3"/>
  <c r="H5723" i="3"/>
  <c r="G5724" i="3"/>
  <c r="H5724" i="3"/>
  <c r="G5725" i="3"/>
  <c r="H5725" i="3"/>
  <c r="G5726" i="3"/>
  <c r="H5726" i="3"/>
  <c r="G5727" i="3"/>
  <c r="H5727" i="3"/>
  <c r="G5728" i="3"/>
  <c r="H5728" i="3"/>
  <c r="G5729" i="3"/>
  <c r="H5729" i="3"/>
  <c r="G5730" i="3"/>
  <c r="H5730" i="3"/>
  <c r="G5731" i="3"/>
  <c r="H5731" i="3"/>
  <c r="G5732" i="3"/>
  <c r="H5732" i="3"/>
  <c r="G5733" i="3"/>
  <c r="H5733" i="3"/>
  <c r="G5734" i="3"/>
  <c r="H5734" i="3"/>
  <c r="G5735" i="3"/>
  <c r="H5735" i="3"/>
  <c r="G5736" i="3"/>
  <c r="H5736" i="3"/>
  <c r="G5737" i="3"/>
  <c r="H5737" i="3"/>
  <c r="G5738" i="3"/>
  <c r="H5738" i="3"/>
  <c r="G5739" i="3"/>
  <c r="H5739" i="3"/>
  <c r="G5740" i="3"/>
  <c r="H5740" i="3"/>
  <c r="G5741" i="3"/>
  <c r="H5741" i="3"/>
  <c r="G5742" i="3"/>
  <c r="H5742" i="3"/>
  <c r="G5743" i="3"/>
  <c r="H5743" i="3"/>
  <c r="G5744" i="3"/>
  <c r="H5744" i="3"/>
  <c r="G5745" i="3"/>
  <c r="H5745" i="3"/>
  <c r="G5746" i="3"/>
  <c r="H5746" i="3"/>
  <c r="G5747" i="3"/>
  <c r="H5747" i="3"/>
  <c r="G5748" i="3"/>
  <c r="H5748" i="3"/>
  <c r="G5749" i="3"/>
  <c r="H5749" i="3"/>
  <c r="G5750" i="3"/>
  <c r="H5750" i="3"/>
  <c r="G5751" i="3"/>
  <c r="H5751" i="3"/>
  <c r="G5752" i="3"/>
  <c r="H5752" i="3"/>
  <c r="G5753" i="3"/>
  <c r="H5753" i="3"/>
  <c r="G5754" i="3"/>
  <c r="H5754" i="3"/>
  <c r="G5755" i="3"/>
  <c r="H5755" i="3"/>
  <c r="G5756" i="3"/>
  <c r="H5756" i="3"/>
  <c r="G5757" i="3"/>
  <c r="H5757" i="3"/>
  <c r="G5758" i="3"/>
  <c r="H5758" i="3"/>
  <c r="G5759" i="3"/>
  <c r="H5759" i="3"/>
  <c r="G5760" i="3"/>
  <c r="H5760" i="3"/>
  <c r="G5761" i="3"/>
  <c r="H5761" i="3"/>
  <c r="G5762" i="3"/>
  <c r="H5762" i="3"/>
  <c r="G5763" i="3"/>
  <c r="H5763" i="3"/>
  <c r="G5764" i="3"/>
  <c r="H5764" i="3"/>
  <c r="G5765" i="3"/>
  <c r="H5765" i="3"/>
  <c r="G5766" i="3"/>
  <c r="H5766" i="3"/>
  <c r="G5767" i="3"/>
  <c r="H5767" i="3"/>
  <c r="G5768" i="3"/>
  <c r="H5768" i="3"/>
  <c r="G5769" i="3"/>
  <c r="H5769" i="3"/>
  <c r="G5770" i="3"/>
  <c r="H5770" i="3"/>
  <c r="G5771" i="3"/>
  <c r="H5771" i="3"/>
  <c r="G5772" i="3"/>
  <c r="H5772" i="3"/>
  <c r="G5773" i="3"/>
  <c r="H5773" i="3"/>
  <c r="G5774" i="3"/>
  <c r="H5774" i="3"/>
  <c r="G5775" i="3"/>
  <c r="H5775" i="3"/>
  <c r="G5776" i="3"/>
  <c r="H5776" i="3"/>
  <c r="G5777" i="3"/>
  <c r="H5777" i="3"/>
  <c r="G5778" i="3"/>
  <c r="H5778" i="3"/>
  <c r="G5779" i="3"/>
  <c r="H5779" i="3"/>
  <c r="G5780" i="3"/>
  <c r="H5780" i="3"/>
  <c r="G5781" i="3"/>
  <c r="H5781" i="3"/>
  <c r="G5782" i="3"/>
  <c r="H5782" i="3"/>
  <c r="G5783" i="3"/>
  <c r="H5783" i="3"/>
  <c r="G5784" i="3"/>
  <c r="H5784" i="3"/>
  <c r="G5785" i="3"/>
  <c r="H5785" i="3"/>
  <c r="G5786" i="3"/>
  <c r="H5786" i="3"/>
  <c r="G5787" i="3"/>
  <c r="H5787" i="3"/>
  <c r="G5788" i="3"/>
  <c r="H5788" i="3"/>
  <c r="G5789" i="3"/>
  <c r="H5789" i="3"/>
  <c r="G5790" i="3"/>
  <c r="H5790" i="3"/>
  <c r="G5791" i="3"/>
  <c r="H5791" i="3"/>
  <c r="G5792" i="3"/>
  <c r="H5792" i="3"/>
  <c r="G5793" i="3"/>
  <c r="H5793" i="3"/>
  <c r="G5794" i="3"/>
  <c r="H5794" i="3"/>
  <c r="G5795" i="3"/>
  <c r="H5795" i="3"/>
  <c r="G5796" i="3"/>
  <c r="H5796" i="3"/>
  <c r="G5797" i="3"/>
  <c r="H5797" i="3"/>
  <c r="G5798" i="3"/>
  <c r="H5798" i="3"/>
  <c r="G5799" i="3"/>
  <c r="H5799" i="3"/>
  <c r="G5800" i="3"/>
  <c r="H5800" i="3"/>
  <c r="G5801" i="3"/>
  <c r="H5801" i="3"/>
  <c r="G5802" i="3"/>
  <c r="H5802" i="3"/>
  <c r="G5803" i="3"/>
  <c r="H5803" i="3"/>
  <c r="G5804" i="3"/>
  <c r="H5804" i="3"/>
  <c r="G5805" i="3"/>
  <c r="H5805" i="3"/>
  <c r="G5806" i="3"/>
  <c r="H5806" i="3"/>
  <c r="G5807" i="3"/>
  <c r="H5807" i="3"/>
  <c r="G5808" i="3"/>
  <c r="H5808" i="3"/>
  <c r="G5809" i="3"/>
  <c r="H5809" i="3"/>
  <c r="G5810" i="3"/>
  <c r="H5810" i="3"/>
  <c r="G5811" i="3"/>
  <c r="H5811" i="3"/>
  <c r="G5812" i="3"/>
  <c r="H5812" i="3"/>
  <c r="G5813" i="3"/>
  <c r="H5813" i="3"/>
  <c r="G5814" i="3"/>
  <c r="H5814" i="3"/>
  <c r="G5815" i="3"/>
  <c r="H5815" i="3"/>
  <c r="G5816" i="3"/>
  <c r="H5816" i="3"/>
  <c r="G5817" i="3"/>
  <c r="H5817" i="3"/>
  <c r="G5818" i="3"/>
  <c r="H5818" i="3"/>
  <c r="G5819" i="3"/>
  <c r="H5819" i="3"/>
  <c r="G5820" i="3"/>
  <c r="H5820" i="3"/>
  <c r="G5821" i="3"/>
  <c r="H5821" i="3"/>
  <c r="G5822" i="3"/>
  <c r="H5822" i="3"/>
  <c r="G5823" i="3"/>
  <c r="H5823" i="3"/>
  <c r="G5824" i="3"/>
  <c r="H5824" i="3"/>
  <c r="G5825" i="3"/>
  <c r="H5825" i="3"/>
  <c r="G5826" i="3"/>
  <c r="H5826" i="3"/>
  <c r="G5827" i="3"/>
  <c r="H5827" i="3"/>
  <c r="G5828" i="3"/>
  <c r="H5828" i="3"/>
  <c r="G5829" i="3"/>
  <c r="H5829" i="3"/>
  <c r="G5830" i="3"/>
  <c r="H5830" i="3"/>
  <c r="G5831" i="3"/>
  <c r="H5831" i="3"/>
  <c r="G5832" i="3"/>
  <c r="H5832" i="3"/>
  <c r="G5833" i="3"/>
  <c r="H5833" i="3"/>
  <c r="G5834" i="3"/>
  <c r="H5834" i="3"/>
  <c r="G5835" i="3"/>
  <c r="H5835" i="3"/>
  <c r="G5836" i="3"/>
  <c r="H5836" i="3"/>
  <c r="G5837" i="3"/>
  <c r="H5837" i="3"/>
  <c r="G5838" i="3"/>
  <c r="H5838" i="3"/>
  <c r="G5839" i="3"/>
  <c r="H5839" i="3"/>
  <c r="G5840" i="3"/>
  <c r="H5840" i="3"/>
  <c r="G5841" i="3"/>
  <c r="H5841" i="3"/>
  <c r="G5842" i="3"/>
  <c r="H5842" i="3"/>
  <c r="G5843" i="3"/>
  <c r="H5843" i="3"/>
  <c r="G5844" i="3"/>
  <c r="H5844" i="3"/>
  <c r="G5845" i="3"/>
  <c r="H5845" i="3"/>
  <c r="G5846" i="3"/>
  <c r="H5846" i="3"/>
  <c r="G5847" i="3"/>
  <c r="H5847" i="3"/>
  <c r="G5848" i="3"/>
  <c r="H5848" i="3"/>
  <c r="G5849" i="3"/>
  <c r="H5849" i="3"/>
  <c r="G5850" i="3"/>
  <c r="H5850" i="3"/>
  <c r="G5851" i="3"/>
  <c r="H5851" i="3"/>
  <c r="G5852" i="3"/>
  <c r="H5852" i="3"/>
  <c r="G5853" i="3"/>
  <c r="H5853" i="3"/>
  <c r="G5854" i="3"/>
  <c r="H5854" i="3"/>
  <c r="G5855" i="3"/>
  <c r="H5855" i="3"/>
  <c r="G5856" i="3"/>
  <c r="H5856" i="3"/>
  <c r="G5857" i="3"/>
  <c r="H5857" i="3"/>
  <c r="G5858" i="3"/>
  <c r="H5858" i="3"/>
  <c r="G5859" i="3"/>
  <c r="H5859" i="3"/>
  <c r="G5860" i="3"/>
  <c r="H5860" i="3"/>
  <c r="G5861" i="3"/>
  <c r="H5861" i="3"/>
  <c r="G5862" i="3"/>
  <c r="H5862" i="3"/>
  <c r="G5863" i="3"/>
  <c r="H5863" i="3"/>
  <c r="G5864" i="3"/>
  <c r="H5864" i="3"/>
  <c r="G5865" i="3"/>
  <c r="H5865" i="3"/>
  <c r="G5866" i="3"/>
  <c r="H5866" i="3"/>
  <c r="G5867" i="3"/>
  <c r="H5867" i="3"/>
  <c r="G5868" i="3"/>
  <c r="H5868" i="3"/>
  <c r="G5869" i="3"/>
  <c r="H5869" i="3"/>
  <c r="G5870" i="3"/>
  <c r="H5870" i="3"/>
  <c r="G5871" i="3"/>
  <c r="H5871" i="3"/>
  <c r="G5872" i="3"/>
  <c r="H5872" i="3"/>
  <c r="G5873" i="3"/>
  <c r="H5873" i="3"/>
  <c r="G5874" i="3"/>
  <c r="H5874" i="3"/>
  <c r="G5875" i="3"/>
  <c r="H5875" i="3"/>
  <c r="G5876" i="3"/>
  <c r="H5876" i="3"/>
  <c r="G5877" i="3"/>
  <c r="H5877" i="3"/>
  <c r="G5878" i="3"/>
  <c r="H5878" i="3"/>
  <c r="G5879" i="3"/>
  <c r="H5879" i="3"/>
  <c r="G5880" i="3"/>
  <c r="H5880" i="3"/>
  <c r="G5881" i="3"/>
  <c r="H5881" i="3"/>
  <c r="G5882" i="3"/>
  <c r="H5882" i="3"/>
  <c r="G5883" i="3"/>
  <c r="H5883" i="3"/>
  <c r="G5884" i="3"/>
  <c r="H5884" i="3"/>
  <c r="G5885" i="3"/>
  <c r="H5885" i="3"/>
  <c r="G5886" i="3"/>
  <c r="H5886" i="3"/>
  <c r="G5887" i="3"/>
  <c r="H5887" i="3"/>
  <c r="G5888" i="3"/>
  <c r="H5888" i="3"/>
  <c r="G5889" i="3"/>
  <c r="H5889" i="3"/>
  <c r="G5890" i="3"/>
  <c r="H5890" i="3"/>
  <c r="G5891" i="3"/>
  <c r="H5891" i="3"/>
  <c r="G5892" i="3"/>
  <c r="H5892" i="3"/>
  <c r="G5893" i="3"/>
  <c r="H5893" i="3"/>
  <c r="G5894" i="3"/>
  <c r="H5894" i="3"/>
  <c r="G5895" i="3"/>
  <c r="H5895" i="3"/>
  <c r="G5896" i="3"/>
  <c r="H5896" i="3"/>
  <c r="G5897" i="3"/>
  <c r="H5897" i="3"/>
  <c r="G5898" i="3"/>
  <c r="H5898" i="3"/>
  <c r="G5899" i="3"/>
  <c r="H5899" i="3"/>
  <c r="G5900" i="3"/>
  <c r="H5900" i="3"/>
  <c r="G5901" i="3"/>
  <c r="H5901" i="3"/>
  <c r="G5902" i="3"/>
  <c r="H5902" i="3"/>
  <c r="G5903" i="3"/>
  <c r="H5903" i="3"/>
  <c r="G5904" i="3"/>
  <c r="H5904" i="3"/>
  <c r="G5905" i="3"/>
  <c r="H5905" i="3"/>
  <c r="G5906" i="3"/>
  <c r="H5906" i="3"/>
  <c r="G5907" i="3"/>
  <c r="H5907" i="3"/>
  <c r="G5908" i="3"/>
  <c r="H5908" i="3"/>
  <c r="G5909" i="3"/>
  <c r="H5909" i="3"/>
  <c r="G5910" i="3"/>
  <c r="H5910" i="3"/>
  <c r="G5911" i="3"/>
  <c r="H5911" i="3"/>
  <c r="G5912" i="3"/>
  <c r="H5912" i="3"/>
  <c r="G5913" i="3"/>
  <c r="H5913" i="3"/>
  <c r="G5914" i="3"/>
  <c r="H5914" i="3"/>
  <c r="G5915" i="3"/>
  <c r="H5915" i="3"/>
  <c r="G5916" i="3"/>
  <c r="H5916" i="3"/>
  <c r="G5917" i="3"/>
  <c r="H5917" i="3"/>
  <c r="G5918" i="3"/>
  <c r="H5918" i="3"/>
  <c r="G5919" i="3"/>
  <c r="H5919" i="3"/>
  <c r="G5920" i="3"/>
  <c r="H5920" i="3"/>
  <c r="G5921" i="3"/>
  <c r="H5921" i="3"/>
  <c r="G5922" i="3"/>
  <c r="H5922" i="3"/>
  <c r="G5923" i="3"/>
  <c r="H5923" i="3"/>
  <c r="G5924" i="3"/>
  <c r="H5924" i="3"/>
  <c r="G5925" i="3"/>
  <c r="H5925" i="3"/>
  <c r="G5926" i="3"/>
  <c r="H5926" i="3"/>
  <c r="G5927" i="3"/>
  <c r="H5927" i="3"/>
  <c r="G5928" i="3"/>
  <c r="H5928" i="3"/>
  <c r="G5929" i="3"/>
  <c r="H5929" i="3"/>
  <c r="G5930" i="3"/>
  <c r="H5930" i="3"/>
  <c r="G5931" i="3"/>
  <c r="H5931" i="3"/>
  <c r="G5932" i="3"/>
  <c r="H5932" i="3"/>
  <c r="G5933" i="3"/>
  <c r="H5933" i="3"/>
  <c r="G5934" i="3"/>
  <c r="H5934" i="3"/>
  <c r="G5935" i="3"/>
  <c r="H5935" i="3"/>
  <c r="G5936" i="3"/>
  <c r="H5936" i="3"/>
  <c r="G5937" i="3"/>
  <c r="H5937" i="3"/>
  <c r="G5938" i="3"/>
  <c r="H5938" i="3"/>
  <c r="G5939" i="3"/>
  <c r="H5939" i="3"/>
  <c r="G5940" i="3"/>
  <c r="H5940" i="3"/>
  <c r="G5941" i="3"/>
  <c r="H5941" i="3"/>
  <c r="G5942" i="3"/>
  <c r="H5942" i="3"/>
  <c r="G5943" i="3"/>
  <c r="H5943" i="3"/>
  <c r="G5944" i="3"/>
  <c r="H5944" i="3"/>
  <c r="G5945" i="3"/>
  <c r="H5945" i="3"/>
  <c r="G5946" i="3"/>
  <c r="H5946" i="3"/>
  <c r="G5947" i="3"/>
  <c r="H5947" i="3"/>
  <c r="G5948" i="3"/>
  <c r="H5948" i="3"/>
  <c r="G5949" i="3"/>
  <c r="H5949" i="3"/>
  <c r="G5950" i="3"/>
  <c r="H5950" i="3"/>
  <c r="G5951" i="3"/>
  <c r="H5951" i="3"/>
  <c r="G5952" i="3"/>
  <c r="H5952" i="3"/>
  <c r="G5953" i="3"/>
  <c r="H5953" i="3"/>
  <c r="G5954" i="3"/>
  <c r="H5954" i="3"/>
  <c r="G5955" i="3"/>
  <c r="H5955" i="3"/>
  <c r="G5956" i="3"/>
  <c r="H5956" i="3"/>
  <c r="G5957" i="3"/>
  <c r="H5957" i="3"/>
  <c r="G5958" i="3"/>
  <c r="H5958" i="3"/>
  <c r="G5959" i="3"/>
  <c r="H5959" i="3"/>
  <c r="G5960" i="3"/>
  <c r="H5960" i="3"/>
  <c r="G5961" i="3"/>
  <c r="H5961" i="3"/>
  <c r="G5962" i="3"/>
  <c r="H5962" i="3"/>
  <c r="G5963" i="3"/>
  <c r="H5963" i="3"/>
  <c r="G5964" i="3"/>
  <c r="H5964" i="3"/>
  <c r="G5965" i="3"/>
  <c r="H5965" i="3"/>
  <c r="G5966" i="3"/>
  <c r="H5966" i="3"/>
  <c r="G5967" i="3"/>
  <c r="H5967" i="3"/>
  <c r="G5968" i="3"/>
  <c r="H5968" i="3"/>
  <c r="G5969" i="3"/>
  <c r="H5969" i="3"/>
  <c r="G5970" i="3"/>
  <c r="H5970" i="3"/>
  <c r="G5971" i="3"/>
  <c r="H5971" i="3"/>
  <c r="G5972" i="3"/>
  <c r="H5972" i="3"/>
  <c r="G5973" i="3"/>
  <c r="H5973" i="3"/>
  <c r="G5974" i="3"/>
  <c r="H5974" i="3"/>
  <c r="G5975" i="3"/>
  <c r="H5975" i="3"/>
  <c r="G5976" i="3"/>
  <c r="H5976" i="3"/>
  <c r="G5977" i="3"/>
  <c r="H5977" i="3"/>
  <c r="G5978" i="3"/>
  <c r="H5978" i="3"/>
  <c r="G5979" i="3"/>
  <c r="H5979" i="3"/>
  <c r="G5980" i="3"/>
  <c r="H5980" i="3"/>
  <c r="G5981" i="3"/>
  <c r="H5981" i="3"/>
  <c r="G5982" i="3"/>
  <c r="H5982" i="3"/>
  <c r="G5983" i="3"/>
  <c r="H5983" i="3"/>
  <c r="G5984" i="3"/>
  <c r="H5984" i="3"/>
  <c r="G5985" i="3"/>
  <c r="H5985" i="3"/>
  <c r="G5986" i="3"/>
  <c r="H5986" i="3"/>
  <c r="G5987" i="3"/>
  <c r="H5987" i="3"/>
  <c r="G5988" i="3"/>
  <c r="H5988" i="3"/>
  <c r="G5989" i="3"/>
  <c r="H5989" i="3"/>
  <c r="G5990" i="3"/>
  <c r="H5990" i="3"/>
  <c r="G5991" i="3"/>
  <c r="H5991" i="3"/>
  <c r="G5992" i="3"/>
  <c r="H5992" i="3"/>
  <c r="G5993" i="3"/>
  <c r="H5993" i="3"/>
  <c r="G5994" i="3"/>
  <c r="H5994" i="3"/>
  <c r="G5995" i="3"/>
  <c r="H5995" i="3"/>
  <c r="G5996" i="3"/>
  <c r="H5996" i="3"/>
  <c r="G5997" i="3"/>
  <c r="H5997" i="3"/>
  <c r="G5998" i="3"/>
  <c r="H5998" i="3"/>
  <c r="G5999" i="3"/>
  <c r="H5999" i="3"/>
  <c r="G6000" i="3"/>
  <c r="H6000" i="3"/>
  <c r="G6001" i="3"/>
  <c r="H6001" i="3"/>
  <c r="G6002" i="3"/>
  <c r="H6002" i="3"/>
  <c r="G6003" i="3"/>
  <c r="H6003" i="3"/>
  <c r="G6004" i="3"/>
  <c r="H6004" i="3"/>
  <c r="G6005" i="3"/>
  <c r="H6005" i="3"/>
  <c r="G6006" i="3"/>
  <c r="H6006" i="3"/>
  <c r="G6007" i="3"/>
  <c r="H6007" i="3"/>
  <c r="G6008" i="3"/>
  <c r="H6008" i="3"/>
  <c r="G6009" i="3"/>
  <c r="H6009" i="3"/>
  <c r="G6010" i="3"/>
  <c r="H6010" i="3"/>
  <c r="G6011" i="3"/>
  <c r="H6011" i="3"/>
  <c r="G6012" i="3"/>
  <c r="H6012" i="3"/>
  <c r="G6013" i="3"/>
  <c r="H6013" i="3"/>
  <c r="G6014" i="3"/>
  <c r="H6014" i="3"/>
  <c r="G6015" i="3"/>
  <c r="H6015" i="3"/>
  <c r="G6016" i="3"/>
  <c r="H6016" i="3"/>
  <c r="G6017" i="3"/>
  <c r="H6017" i="3"/>
  <c r="G6018" i="3"/>
  <c r="H6018" i="3"/>
  <c r="G6019" i="3"/>
  <c r="H6019" i="3"/>
  <c r="G6020" i="3"/>
  <c r="H6020" i="3"/>
  <c r="G6021" i="3"/>
  <c r="H6021" i="3"/>
  <c r="G6022" i="3"/>
  <c r="H6022" i="3"/>
  <c r="G6023" i="3"/>
  <c r="H6023" i="3"/>
  <c r="G6024" i="3"/>
  <c r="H6024" i="3"/>
  <c r="G6025" i="3"/>
  <c r="H6025" i="3"/>
  <c r="G6026" i="3"/>
  <c r="H6026" i="3"/>
  <c r="G6027" i="3"/>
  <c r="H6027" i="3"/>
  <c r="G6028" i="3"/>
  <c r="H6028" i="3"/>
  <c r="G6029" i="3"/>
  <c r="H6029" i="3"/>
  <c r="G6030" i="3"/>
  <c r="H6030" i="3"/>
  <c r="G6031" i="3"/>
  <c r="H6031" i="3"/>
  <c r="G6032" i="3"/>
  <c r="H6032" i="3"/>
  <c r="G6033" i="3"/>
  <c r="H6033" i="3"/>
  <c r="G6034" i="3"/>
  <c r="H6034" i="3"/>
  <c r="G6035" i="3"/>
  <c r="H6035" i="3"/>
  <c r="G6036" i="3"/>
  <c r="H6036" i="3"/>
  <c r="G6037" i="3"/>
  <c r="H6037" i="3"/>
  <c r="G6038" i="3"/>
  <c r="H6038" i="3"/>
  <c r="G6039" i="3"/>
  <c r="H6039" i="3"/>
  <c r="G6040" i="3"/>
  <c r="H6040" i="3"/>
  <c r="G6041" i="3"/>
  <c r="H6041" i="3"/>
  <c r="G6042" i="3"/>
  <c r="H6042" i="3"/>
  <c r="G6043" i="3"/>
  <c r="H6043" i="3"/>
  <c r="G6044" i="3"/>
  <c r="H6044" i="3"/>
  <c r="G6045" i="3"/>
  <c r="H6045" i="3"/>
  <c r="G6046" i="3"/>
  <c r="H6046" i="3"/>
  <c r="G6047" i="3"/>
  <c r="H6047" i="3"/>
  <c r="G6048" i="3"/>
  <c r="H6048" i="3"/>
  <c r="G6049" i="3"/>
  <c r="H6049" i="3"/>
  <c r="G6050" i="3"/>
  <c r="H6050" i="3"/>
  <c r="G6051" i="3"/>
  <c r="H6051" i="3"/>
  <c r="G6052" i="3"/>
  <c r="H6052" i="3"/>
  <c r="G6053" i="3"/>
  <c r="H6053" i="3"/>
  <c r="G6054" i="3"/>
  <c r="H6054" i="3"/>
  <c r="G6055" i="3"/>
  <c r="H6055" i="3"/>
  <c r="G6056" i="3"/>
  <c r="H6056" i="3"/>
  <c r="G6057" i="3"/>
  <c r="H6057" i="3"/>
  <c r="G6058" i="3"/>
  <c r="H6058" i="3"/>
  <c r="G6059" i="3"/>
  <c r="H6059" i="3"/>
  <c r="G6060" i="3"/>
  <c r="H6060" i="3"/>
  <c r="G6061" i="3"/>
  <c r="H6061" i="3"/>
  <c r="G6062" i="3"/>
  <c r="H6062" i="3"/>
  <c r="G6063" i="3"/>
  <c r="H6063" i="3"/>
  <c r="G6064" i="3"/>
  <c r="H6064" i="3"/>
  <c r="G6065" i="3"/>
  <c r="H6065" i="3"/>
  <c r="G6066" i="3"/>
  <c r="H6066" i="3"/>
  <c r="G6067" i="3"/>
  <c r="H6067" i="3"/>
  <c r="G6068" i="3"/>
  <c r="H6068" i="3"/>
  <c r="G6069" i="3"/>
  <c r="H6069" i="3"/>
  <c r="G6070" i="3"/>
  <c r="H6070" i="3"/>
  <c r="G6071" i="3"/>
  <c r="H6071" i="3"/>
  <c r="G6072" i="3"/>
  <c r="H6072" i="3"/>
  <c r="G6073" i="3"/>
  <c r="H6073" i="3"/>
  <c r="G6074" i="3"/>
  <c r="H6074" i="3"/>
  <c r="G6075" i="3"/>
  <c r="H6075" i="3"/>
  <c r="G6076" i="3"/>
  <c r="H6076" i="3"/>
  <c r="G6077" i="3"/>
  <c r="H6077" i="3"/>
  <c r="G6078" i="3"/>
  <c r="H6078" i="3"/>
  <c r="G6079" i="3"/>
  <c r="H6079" i="3"/>
  <c r="G6080" i="3"/>
  <c r="H6080" i="3"/>
  <c r="G6081" i="3"/>
  <c r="H6081" i="3"/>
  <c r="G6082" i="3"/>
  <c r="H6082" i="3"/>
  <c r="G6083" i="3"/>
  <c r="H6083" i="3"/>
  <c r="G6084" i="3"/>
  <c r="H6084" i="3"/>
  <c r="G6085" i="3"/>
  <c r="H6085" i="3"/>
  <c r="G6086" i="3"/>
  <c r="H6086" i="3"/>
  <c r="G6087" i="3"/>
  <c r="H6087" i="3"/>
  <c r="G6088" i="3"/>
  <c r="H6088" i="3"/>
  <c r="G6089" i="3"/>
  <c r="H6089" i="3"/>
  <c r="G6090" i="3"/>
  <c r="H6090" i="3"/>
  <c r="G6091" i="3"/>
  <c r="H6091" i="3"/>
  <c r="G6092" i="3"/>
  <c r="H6092" i="3"/>
  <c r="G6093" i="3"/>
  <c r="H6093" i="3"/>
  <c r="G6094" i="3"/>
  <c r="H6094" i="3"/>
  <c r="G6095" i="3"/>
  <c r="H6095" i="3"/>
  <c r="G6096" i="3"/>
  <c r="H6096" i="3"/>
  <c r="G6097" i="3"/>
  <c r="H6097" i="3"/>
  <c r="G6098" i="3"/>
  <c r="H6098" i="3"/>
  <c r="G6099" i="3"/>
  <c r="H6099" i="3"/>
  <c r="G6100" i="3"/>
  <c r="H6100" i="3"/>
  <c r="G6101" i="3"/>
  <c r="H6101" i="3"/>
  <c r="G6102" i="3"/>
  <c r="H6102" i="3"/>
  <c r="G6103" i="3"/>
  <c r="H6103" i="3"/>
  <c r="G6104" i="3"/>
  <c r="H6104" i="3"/>
  <c r="G6105" i="3"/>
  <c r="H6105" i="3"/>
  <c r="G6106" i="3"/>
  <c r="H6106" i="3"/>
  <c r="G6107" i="3"/>
  <c r="H6107" i="3"/>
  <c r="G6108" i="3"/>
  <c r="H6108" i="3"/>
  <c r="G6109" i="3"/>
  <c r="H6109" i="3"/>
  <c r="G6110" i="3"/>
  <c r="H6110" i="3"/>
  <c r="G6111" i="3"/>
  <c r="H6111" i="3"/>
  <c r="G6112" i="3"/>
  <c r="H6112" i="3"/>
  <c r="G6113" i="3"/>
  <c r="H6113" i="3"/>
  <c r="G6114" i="3"/>
  <c r="H6114" i="3"/>
  <c r="G6115" i="3"/>
  <c r="H6115" i="3"/>
  <c r="G6116" i="3"/>
  <c r="H6116" i="3"/>
  <c r="G6117" i="3"/>
  <c r="H6117" i="3"/>
  <c r="G6118" i="3"/>
  <c r="H6118" i="3"/>
  <c r="G6119" i="3"/>
  <c r="H6119" i="3"/>
  <c r="G6120" i="3"/>
  <c r="H6120" i="3"/>
  <c r="G6121" i="3"/>
  <c r="H6121" i="3"/>
  <c r="G6122" i="3"/>
  <c r="H6122" i="3"/>
  <c r="G6123" i="3"/>
  <c r="H6123" i="3"/>
  <c r="G6124" i="3"/>
  <c r="H6124" i="3"/>
  <c r="G6125" i="3"/>
  <c r="H6125" i="3"/>
  <c r="G6126" i="3"/>
  <c r="H6126" i="3"/>
  <c r="G6127" i="3"/>
  <c r="H6127" i="3"/>
  <c r="G6128" i="3"/>
  <c r="H6128" i="3"/>
  <c r="G6129" i="3"/>
  <c r="H6129" i="3"/>
  <c r="G6130" i="3"/>
  <c r="H6130" i="3"/>
  <c r="G6131" i="3"/>
  <c r="H6131" i="3"/>
  <c r="G6132" i="3"/>
  <c r="H6132" i="3"/>
  <c r="G6133" i="3"/>
  <c r="H6133" i="3"/>
  <c r="G6134" i="3"/>
  <c r="H6134" i="3"/>
  <c r="G6135" i="3"/>
  <c r="H6135" i="3"/>
  <c r="G6136" i="3"/>
  <c r="H6136" i="3"/>
  <c r="G6137" i="3"/>
  <c r="H6137" i="3"/>
  <c r="G6138" i="3"/>
  <c r="H6138" i="3"/>
  <c r="G6139" i="3"/>
  <c r="H6139" i="3"/>
  <c r="G6140" i="3"/>
  <c r="H6140" i="3"/>
  <c r="G6141" i="3"/>
  <c r="H6141" i="3"/>
  <c r="G6142" i="3"/>
  <c r="H6142" i="3"/>
  <c r="G6143" i="3"/>
  <c r="H6143" i="3"/>
  <c r="G6144" i="3"/>
  <c r="H6144" i="3"/>
  <c r="G6145" i="3"/>
  <c r="H6145" i="3"/>
  <c r="G6146" i="3"/>
  <c r="H6146" i="3"/>
  <c r="G6147" i="3"/>
  <c r="H6147" i="3"/>
  <c r="G6148" i="3"/>
  <c r="H6148" i="3"/>
  <c r="G6149" i="3"/>
  <c r="H6149" i="3"/>
  <c r="G6150" i="3"/>
  <c r="H6150" i="3"/>
  <c r="G6151" i="3"/>
  <c r="H6151" i="3"/>
  <c r="G6152" i="3"/>
  <c r="H6152" i="3"/>
  <c r="G6153" i="3"/>
  <c r="H6153" i="3"/>
  <c r="G6154" i="3"/>
  <c r="H6154" i="3"/>
  <c r="G6155" i="3"/>
  <c r="H6155" i="3"/>
  <c r="G6156" i="3"/>
  <c r="H6156" i="3"/>
  <c r="G6157" i="3"/>
  <c r="H6157" i="3"/>
  <c r="G6158" i="3"/>
  <c r="H6158" i="3"/>
  <c r="G6159" i="3"/>
  <c r="H6159" i="3"/>
  <c r="G6160" i="3"/>
  <c r="H6160" i="3"/>
  <c r="G6161" i="3"/>
  <c r="H6161" i="3"/>
  <c r="G6162" i="3"/>
  <c r="H6162" i="3"/>
  <c r="G6163" i="3"/>
  <c r="H6163" i="3"/>
  <c r="G6164" i="3"/>
  <c r="H6164" i="3"/>
  <c r="G6165" i="3"/>
  <c r="H6165" i="3"/>
  <c r="G6166" i="3"/>
  <c r="H6166" i="3"/>
  <c r="G6167" i="3"/>
  <c r="H6167" i="3"/>
  <c r="G6168" i="3"/>
  <c r="H6168" i="3"/>
  <c r="G6169" i="3"/>
  <c r="H6169" i="3"/>
  <c r="G6170" i="3"/>
  <c r="H6170" i="3"/>
  <c r="G6171" i="3"/>
  <c r="H6171" i="3"/>
  <c r="G6172" i="3"/>
  <c r="H6172" i="3"/>
  <c r="G6173" i="3"/>
  <c r="H6173" i="3"/>
  <c r="G6174" i="3"/>
  <c r="H6174" i="3"/>
  <c r="G6175" i="3"/>
  <c r="H6175" i="3"/>
  <c r="G6176" i="3"/>
  <c r="H6176" i="3"/>
  <c r="G6177" i="3"/>
  <c r="H6177" i="3"/>
  <c r="G6178" i="3"/>
  <c r="H6178" i="3"/>
  <c r="G6179" i="3"/>
  <c r="H6179" i="3"/>
  <c r="G6180" i="3"/>
  <c r="H6180" i="3"/>
  <c r="G6181" i="3"/>
  <c r="H6181" i="3"/>
  <c r="G6182" i="3"/>
  <c r="H6182" i="3"/>
  <c r="G6183" i="3"/>
  <c r="H6183" i="3"/>
  <c r="G6184" i="3"/>
  <c r="H6184" i="3"/>
  <c r="G6185" i="3"/>
  <c r="H6185" i="3"/>
  <c r="G6186" i="3"/>
  <c r="H6186" i="3"/>
  <c r="G6187" i="3"/>
  <c r="H6187" i="3"/>
  <c r="G6188" i="3"/>
  <c r="H6188" i="3"/>
  <c r="G6189" i="3"/>
  <c r="H6189" i="3"/>
  <c r="G6190" i="3"/>
  <c r="H6190" i="3"/>
  <c r="G6191" i="3"/>
  <c r="H6191" i="3"/>
  <c r="G6192" i="3"/>
  <c r="H6192" i="3"/>
  <c r="G6193" i="3"/>
  <c r="H6193" i="3"/>
  <c r="G6194" i="3"/>
  <c r="H6194" i="3"/>
  <c r="G6195" i="3"/>
  <c r="H6195" i="3"/>
  <c r="G6196" i="3"/>
  <c r="H6196" i="3"/>
  <c r="G6197" i="3"/>
  <c r="H6197" i="3"/>
  <c r="G6198" i="3"/>
  <c r="H6198" i="3"/>
  <c r="G6199" i="3"/>
  <c r="H6199" i="3"/>
  <c r="G6200" i="3"/>
  <c r="H6200" i="3"/>
  <c r="G6201" i="3"/>
  <c r="H6201" i="3"/>
  <c r="G6202" i="3"/>
  <c r="H6202" i="3"/>
  <c r="G6203" i="3"/>
  <c r="H6203" i="3"/>
  <c r="G6204" i="3"/>
  <c r="H6204" i="3"/>
  <c r="G6205" i="3"/>
  <c r="H6205" i="3"/>
  <c r="G6206" i="3"/>
  <c r="H6206" i="3"/>
  <c r="G6207" i="3"/>
  <c r="H6207" i="3"/>
  <c r="G6208" i="3"/>
  <c r="H6208" i="3"/>
  <c r="G6209" i="3"/>
  <c r="H6209" i="3"/>
  <c r="G6210" i="3"/>
  <c r="H6210" i="3"/>
  <c r="G6211" i="3"/>
  <c r="H6211" i="3"/>
  <c r="G6212" i="3"/>
  <c r="H6212" i="3"/>
  <c r="G6213" i="3"/>
  <c r="H6213" i="3"/>
  <c r="G6214" i="3"/>
  <c r="H6214" i="3"/>
  <c r="G6215" i="3"/>
  <c r="H6215" i="3"/>
  <c r="G6216" i="3"/>
  <c r="H6216" i="3"/>
  <c r="G6217" i="3"/>
  <c r="H6217" i="3"/>
  <c r="G6218" i="3"/>
  <c r="H6218" i="3"/>
  <c r="G6219" i="3"/>
  <c r="H6219" i="3"/>
  <c r="G6220" i="3"/>
  <c r="H6220" i="3"/>
  <c r="G6221" i="3"/>
  <c r="H6221" i="3"/>
  <c r="G6222" i="3"/>
  <c r="H6222" i="3"/>
  <c r="G6223" i="3"/>
  <c r="H6223" i="3"/>
  <c r="G6224" i="3"/>
  <c r="H6224" i="3"/>
  <c r="G6225" i="3"/>
  <c r="H6225" i="3"/>
  <c r="G6226" i="3"/>
  <c r="H6226" i="3"/>
  <c r="G6227" i="3"/>
  <c r="H6227" i="3"/>
  <c r="G6228" i="3"/>
  <c r="H6228" i="3"/>
  <c r="G6229" i="3"/>
  <c r="H6229" i="3"/>
  <c r="G6230" i="3"/>
  <c r="H6230" i="3"/>
  <c r="G6231" i="3"/>
  <c r="H6231" i="3"/>
  <c r="G6232" i="3"/>
  <c r="H6232" i="3"/>
  <c r="G6233" i="3"/>
  <c r="H6233" i="3"/>
  <c r="G6234" i="3"/>
  <c r="H6234" i="3"/>
  <c r="G6235" i="3"/>
  <c r="H6235" i="3"/>
  <c r="G6236" i="3"/>
  <c r="H6236" i="3"/>
  <c r="G6237" i="3"/>
  <c r="H6237" i="3"/>
  <c r="G6238" i="3"/>
  <c r="H6238" i="3"/>
  <c r="G6239" i="3"/>
  <c r="H6239" i="3"/>
  <c r="G6240" i="3"/>
  <c r="H6240" i="3"/>
  <c r="G6241" i="3"/>
  <c r="H6241" i="3"/>
  <c r="G6242" i="3"/>
  <c r="H6242" i="3"/>
  <c r="G6243" i="3"/>
  <c r="H6243" i="3"/>
  <c r="G6244" i="3"/>
  <c r="H6244" i="3"/>
  <c r="G6245" i="3"/>
  <c r="H6245" i="3"/>
  <c r="G6246" i="3"/>
  <c r="H6246" i="3"/>
  <c r="G6247" i="3"/>
  <c r="H6247" i="3"/>
  <c r="G6248" i="3"/>
  <c r="H6248" i="3"/>
  <c r="G6249" i="3"/>
  <c r="H6249" i="3"/>
  <c r="G6250" i="3"/>
  <c r="H6250" i="3"/>
  <c r="G6251" i="3"/>
  <c r="H6251" i="3"/>
  <c r="G6252" i="3"/>
  <c r="H6252" i="3"/>
  <c r="G6253" i="3"/>
  <c r="H6253" i="3"/>
  <c r="G6254" i="3"/>
  <c r="H6254" i="3"/>
  <c r="G6255" i="3"/>
  <c r="H6255" i="3"/>
  <c r="G6256" i="3"/>
  <c r="H6256" i="3"/>
  <c r="G6257" i="3"/>
  <c r="H6257" i="3"/>
  <c r="G6258" i="3"/>
  <c r="H6258" i="3"/>
  <c r="G6259" i="3"/>
  <c r="H6259" i="3"/>
  <c r="G6260" i="3"/>
  <c r="H6260" i="3"/>
  <c r="G6261" i="3"/>
  <c r="H6261" i="3"/>
  <c r="G6262" i="3"/>
  <c r="H6262" i="3"/>
  <c r="G6263" i="3"/>
  <c r="H6263" i="3"/>
  <c r="G6264" i="3"/>
  <c r="H6264" i="3"/>
  <c r="G6265" i="3"/>
  <c r="H6265" i="3"/>
  <c r="G6266" i="3"/>
  <c r="H6266" i="3"/>
  <c r="G6267" i="3"/>
  <c r="H6267" i="3"/>
  <c r="G6268" i="3"/>
  <c r="H6268" i="3"/>
  <c r="G6269" i="3"/>
  <c r="H6269" i="3"/>
  <c r="G6270" i="3"/>
  <c r="H6270" i="3"/>
  <c r="G6271" i="3"/>
  <c r="H6271" i="3"/>
  <c r="G6272" i="3"/>
  <c r="H6272" i="3"/>
  <c r="G6273" i="3"/>
  <c r="H6273" i="3"/>
  <c r="G6274" i="3"/>
  <c r="H6274" i="3"/>
  <c r="G6275" i="3"/>
  <c r="H6275" i="3"/>
  <c r="G6276" i="3"/>
  <c r="H6276" i="3"/>
  <c r="G6277" i="3"/>
  <c r="H6277" i="3"/>
  <c r="G6278" i="3"/>
  <c r="H6278" i="3"/>
  <c r="G6279" i="3"/>
  <c r="H6279" i="3"/>
  <c r="G6280" i="3"/>
  <c r="H6280" i="3"/>
  <c r="G6281" i="3"/>
  <c r="H6281" i="3"/>
  <c r="G6282" i="3"/>
  <c r="H6282" i="3"/>
  <c r="G6283" i="3"/>
  <c r="H6283" i="3"/>
  <c r="G6284" i="3"/>
  <c r="H6284" i="3"/>
  <c r="G6285" i="3"/>
  <c r="H6285" i="3"/>
  <c r="G6286" i="3"/>
  <c r="H6286" i="3"/>
  <c r="G6287" i="3"/>
  <c r="H6287" i="3"/>
  <c r="G6288" i="3"/>
  <c r="H6288" i="3"/>
  <c r="G6289" i="3"/>
  <c r="H6289" i="3"/>
  <c r="G6290" i="3"/>
  <c r="H6290" i="3"/>
  <c r="G6291" i="3"/>
  <c r="H6291" i="3"/>
  <c r="G6292" i="3"/>
  <c r="H6292" i="3"/>
  <c r="G6293" i="3"/>
  <c r="H6293" i="3"/>
  <c r="G6294" i="3"/>
  <c r="H6294" i="3"/>
  <c r="G6295" i="3"/>
  <c r="H6295" i="3"/>
  <c r="G6296" i="3"/>
  <c r="H6296" i="3"/>
  <c r="G6297" i="3"/>
  <c r="H6297" i="3"/>
  <c r="G6298" i="3"/>
  <c r="H6298" i="3"/>
  <c r="G6299" i="3"/>
  <c r="H6299" i="3"/>
  <c r="G6300" i="3"/>
  <c r="H6300" i="3"/>
  <c r="G6301" i="3"/>
  <c r="H6301" i="3"/>
  <c r="G6302" i="3"/>
  <c r="H6302" i="3"/>
  <c r="G6303" i="3"/>
  <c r="H6303" i="3"/>
  <c r="G6304" i="3"/>
  <c r="H6304" i="3"/>
  <c r="G6305" i="3"/>
  <c r="H6305" i="3"/>
  <c r="G6306" i="3"/>
  <c r="H6306" i="3"/>
  <c r="G6307" i="3"/>
  <c r="H6307" i="3"/>
  <c r="G6308" i="3"/>
  <c r="H6308" i="3"/>
  <c r="G6309" i="3"/>
  <c r="H6309" i="3"/>
  <c r="G6310" i="3"/>
  <c r="H6310" i="3"/>
  <c r="G6311" i="3"/>
  <c r="H6311" i="3"/>
  <c r="G6312" i="3"/>
  <c r="H6312" i="3"/>
  <c r="G6313" i="3"/>
  <c r="H6313" i="3"/>
  <c r="G6314" i="3"/>
  <c r="H6314" i="3"/>
  <c r="G6315" i="3"/>
  <c r="H6315" i="3"/>
  <c r="G6316" i="3"/>
  <c r="H6316" i="3"/>
  <c r="G6317" i="3"/>
  <c r="H6317" i="3"/>
  <c r="G6318" i="3"/>
  <c r="H6318" i="3"/>
  <c r="G6319" i="3"/>
  <c r="H6319" i="3"/>
  <c r="G6320" i="3"/>
  <c r="H6320" i="3"/>
  <c r="G6321" i="3"/>
  <c r="H6321" i="3"/>
  <c r="G6322" i="3"/>
  <c r="H6322" i="3"/>
  <c r="G6323" i="3"/>
  <c r="H6323" i="3"/>
  <c r="G6324" i="3"/>
  <c r="H6324" i="3"/>
  <c r="G6325" i="3"/>
  <c r="H6325" i="3"/>
  <c r="G6326" i="3"/>
  <c r="H6326" i="3"/>
  <c r="G6327" i="3"/>
  <c r="H6327" i="3"/>
  <c r="G6328" i="3"/>
  <c r="H6328" i="3"/>
  <c r="G6329" i="3"/>
  <c r="H6329" i="3"/>
  <c r="G6330" i="3"/>
  <c r="H6330" i="3"/>
  <c r="G6331" i="3"/>
  <c r="H6331" i="3"/>
  <c r="G6332" i="3"/>
  <c r="H6332" i="3"/>
  <c r="G6333" i="3"/>
  <c r="H6333" i="3"/>
  <c r="G6334" i="3"/>
  <c r="H6334" i="3"/>
  <c r="G6335" i="3"/>
  <c r="H6335" i="3"/>
  <c r="G6336" i="3"/>
  <c r="H6336" i="3"/>
  <c r="G6337" i="3"/>
  <c r="H6337" i="3"/>
  <c r="G6338" i="3"/>
  <c r="H6338" i="3"/>
  <c r="G6339" i="3"/>
  <c r="H6339" i="3"/>
  <c r="G6340" i="3"/>
  <c r="H6340" i="3"/>
  <c r="G6341" i="3"/>
  <c r="H6341" i="3"/>
  <c r="G6342" i="3"/>
  <c r="H6342" i="3"/>
  <c r="G6343" i="3"/>
  <c r="H6343" i="3"/>
  <c r="G6344" i="3"/>
  <c r="H6344" i="3"/>
  <c r="G6345" i="3"/>
  <c r="H6345" i="3"/>
  <c r="G6346" i="3"/>
  <c r="H6346" i="3"/>
  <c r="G6347" i="3"/>
  <c r="H6347" i="3"/>
  <c r="G6348" i="3"/>
  <c r="H6348" i="3"/>
  <c r="G6349" i="3"/>
  <c r="H6349" i="3"/>
  <c r="G6350" i="3"/>
  <c r="H6350" i="3"/>
  <c r="G6351" i="3"/>
  <c r="H6351" i="3"/>
  <c r="G6352" i="3"/>
  <c r="H6352" i="3"/>
  <c r="G6353" i="3"/>
  <c r="H6353" i="3"/>
  <c r="G6354" i="3"/>
  <c r="H6354" i="3"/>
  <c r="G6355" i="3"/>
  <c r="H6355" i="3"/>
  <c r="G6356" i="3"/>
  <c r="H6356" i="3"/>
  <c r="G6357" i="3"/>
  <c r="H6357" i="3"/>
  <c r="G6358" i="3"/>
  <c r="H6358" i="3"/>
  <c r="G6359" i="3"/>
  <c r="H6359" i="3"/>
  <c r="G6360" i="3"/>
  <c r="H6360" i="3"/>
  <c r="G6361" i="3"/>
  <c r="H6361" i="3"/>
  <c r="G6362" i="3"/>
  <c r="H6362" i="3"/>
  <c r="G6363" i="3"/>
  <c r="H6363" i="3"/>
  <c r="G6364" i="3"/>
  <c r="H6364" i="3"/>
  <c r="G6365" i="3"/>
  <c r="H6365" i="3"/>
  <c r="G6366" i="3"/>
  <c r="H6366" i="3"/>
  <c r="G6367" i="3"/>
  <c r="H6367" i="3"/>
  <c r="G6368" i="3"/>
  <c r="H6368" i="3"/>
  <c r="G6369" i="3"/>
  <c r="H6369" i="3"/>
  <c r="G6370" i="3"/>
  <c r="H6370" i="3"/>
  <c r="G6371" i="3"/>
  <c r="H6371" i="3"/>
  <c r="G6372" i="3"/>
  <c r="H6372" i="3"/>
  <c r="G6373" i="3"/>
  <c r="H6373" i="3"/>
  <c r="G6374" i="3"/>
  <c r="H6374" i="3"/>
  <c r="G6375" i="3"/>
  <c r="H6375" i="3"/>
  <c r="G6376" i="3"/>
  <c r="H6376" i="3"/>
  <c r="G6377" i="3"/>
  <c r="H6377" i="3"/>
  <c r="G6378" i="3"/>
  <c r="H6378" i="3"/>
  <c r="G6379" i="3"/>
  <c r="H6379" i="3"/>
  <c r="G6380" i="3"/>
  <c r="H6380" i="3"/>
  <c r="G6381" i="3"/>
  <c r="H6381" i="3"/>
  <c r="G6382" i="3"/>
  <c r="H6382" i="3"/>
  <c r="G6383" i="3"/>
  <c r="H6383" i="3"/>
  <c r="G6384" i="3"/>
  <c r="H6384" i="3"/>
  <c r="G6385" i="3"/>
  <c r="H6385" i="3"/>
  <c r="G6386" i="3"/>
  <c r="H6386" i="3"/>
  <c r="G6387" i="3"/>
  <c r="H6387" i="3"/>
  <c r="G6388" i="3"/>
  <c r="H6388" i="3"/>
  <c r="G6389" i="3"/>
  <c r="H6389" i="3"/>
  <c r="G6390" i="3"/>
  <c r="H6390" i="3"/>
  <c r="G6391" i="3"/>
  <c r="H6391" i="3"/>
  <c r="G6392" i="3"/>
  <c r="H6392" i="3"/>
  <c r="G6393" i="3"/>
  <c r="H6393" i="3"/>
  <c r="G6394" i="3"/>
  <c r="H6394" i="3"/>
  <c r="G6395" i="3"/>
  <c r="H6395" i="3"/>
  <c r="G6396" i="3"/>
  <c r="H6396" i="3"/>
  <c r="G6397" i="3"/>
  <c r="H6397" i="3"/>
  <c r="G6398" i="3"/>
  <c r="H6398" i="3"/>
  <c r="G6399" i="3"/>
  <c r="H6399" i="3"/>
  <c r="G6400" i="3"/>
  <c r="H6400" i="3"/>
  <c r="G6401" i="3"/>
  <c r="H6401" i="3"/>
  <c r="G6402" i="3"/>
  <c r="H6402" i="3"/>
  <c r="G6403" i="3"/>
  <c r="H6403" i="3"/>
  <c r="G6404" i="3"/>
  <c r="H6404" i="3"/>
  <c r="G6405" i="3"/>
  <c r="H6405" i="3"/>
  <c r="G6406" i="3"/>
  <c r="H6406" i="3"/>
  <c r="G6407" i="3"/>
  <c r="H6407" i="3"/>
  <c r="G6408" i="3"/>
  <c r="H6408" i="3"/>
  <c r="G6409" i="3"/>
  <c r="H6409" i="3"/>
  <c r="G6410" i="3"/>
  <c r="H6410" i="3"/>
  <c r="G6411" i="3"/>
  <c r="H6411" i="3"/>
  <c r="G6412" i="3"/>
  <c r="H6412" i="3"/>
  <c r="G6413" i="3"/>
  <c r="H6413" i="3"/>
  <c r="G6414" i="3"/>
  <c r="H6414" i="3"/>
  <c r="G6415" i="3"/>
  <c r="H6415" i="3"/>
  <c r="G6416" i="3"/>
  <c r="H6416" i="3"/>
  <c r="G6417" i="3"/>
  <c r="H6417" i="3"/>
  <c r="G6418" i="3"/>
  <c r="H6418" i="3"/>
  <c r="G6419" i="3"/>
  <c r="H6419" i="3"/>
  <c r="G6420" i="3"/>
  <c r="H6420" i="3"/>
  <c r="G6421" i="3"/>
  <c r="H6421" i="3"/>
  <c r="G6422" i="3"/>
  <c r="H6422" i="3"/>
  <c r="G6423" i="3"/>
  <c r="H6423" i="3"/>
  <c r="G6424" i="3"/>
  <c r="H6424" i="3"/>
  <c r="G6425" i="3"/>
  <c r="H6425" i="3"/>
  <c r="G6426" i="3"/>
  <c r="H6426" i="3"/>
  <c r="G6427" i="3"/>
  <c r="H6427" i="3"/>
  <c r="G6428" i="3"/>
  <c r="H6428" i="3"/>
  <c r="G6429" i="3"/>
  <c r="H6429" i="3"/>
  <c r="G6430" i="3"/>
  <c r="H6430" i="3"/>
  <c r="G6431" i="3"/>
  <c r="H6431" i="3"/>
  <c r="G6432" i="3"/>
  <c r="H6432" i="3"/>
  <c r="G6433" i="3"/>
  <c r="H6433" i="3"/>
  <c r="G6434" i="3"/>
  <c r="H6434" i="3"/>
  <c r="G6435" i="3"/>
  <c r="H6435" i="3"/>
  <c r="G6436" i="3"/>
  <c r="H6436" i="3"/>
  <c r="G6437" i="3"/>
  <c r="H6437" i="3"/>
  <c r="G6438" i="3"/>
  <c r="H6438" i="3"/>
  <c r="G6439" i="3"/>
  <c r="H6439" i="3"/>
  <c r="G6440" i="3"/>
  <c r="H6440" i="3"/>
  <c r="G6441" i="3"/>
  <c r="H6441" i="3"/>
  <c r="G6442" i="3"/>
  <c r="H6442" i="3"/>
  <c r="G6443" i="3"/>
  <c r="H6443" i="3"/>
  <c r="G6444" i="3"/>
  <c r="H6444" i="3"/>
  <c r="G6445" i="3"/>
  <c r="H6445" i="3"/>
  <c r="G6446" i="3"/>
  <c r="H6446" i="3"/>
  <c r="G6447" i="3"/>
  <c r="H6447" i="3"/>
  <c r="G6448" i="3"/>
  <c r="H6448" i="3"/>
  <c r="G6449" i="3"/>
  <c r="H6449" i="3"/>
  <c r="G6450" i="3"/>
  <c r="H6450" i="3"/>
  <c r="G6451" i="3"/>
  <c r="H6451" i="3"/>
  <c r="G6452" i="3"/>
  <c r="H6452" i="3"/>
  <c r="G6453" i="3"/>
  <c r="H6453" i="3"/>
  <c r="G6454" i="3"/>
  <c r="H6454" i="3"/>
  <c r="G6455" i="3"/>
  <c r="H6455" i="3"/>
  <c r="G6456" i="3"/>
  <c r="H6456" i="3"/>
  <c r="G6457" i="3"/>
  <c r="H6457" i="3"/>
  <c r="G6458" i="3"/>
  <c r="H6458" i="3"/>
  <c r="G6459" i="3"/>
  <c r="H6459" i="3"/>
  <c r="G6460" i="3"/>
  <c r="H6460" i="3"/>
  <c r="G6461" i="3"/>
  <c r="H6461" i="3"/>
  <c r="G6462" i="3"/>
  <c r="H6462" i="3"/>
  <c r="G6463" i="3"/>
  <c r="H6463" i="3"/>
  <c r="G6464" i="3"/>
  <c r="H6464" i="3"/>
  <c r="G6465" i="3"/>
  <c r="H6465" i="3"/>
  <c r="G6466" i="3"/>
  <c r="H6466" i="3"/>
  <c r="G6467" i="3"/>
  <c r="H6467" i="3"/>
  <c r="G6468" i="3"/>
  <c r="H6468" i="3"/>
  <c r="G6469" i="3"/>
  <c r="H6469" i="3"/>
  <c r="G6470" i="3"/>
  <c r="H6470" i="3"/>
  <c r="G6471" i="3"/>
  <c r="H6471" i="3"/>
  <c r="G6472" i="3"/>
  <c r="H6472" i="3"/>
  <c r="G6473" i="3"/>
  <c r="H6473" i="3"/>
  <c r="G6474" i="3"/>
  <c r="H6474" i="3"/>
  <c r="G6475" i="3"/>
  <c r="H6475" i="3"/>
  <c r="G6476" i="3"/>
  <c r="H6476" i="3"/>
  <c r="G6477" i="3"/>
  <c r="H6477" i="3"/>
  <c r="G6478" i="3"/>
  <c r="H6478" i="3"/>
  <c r="G6479" i="3"/>
  <c r="H6479" i="3"/>
  <c r="G6480" i="3"/>
  <c r="H6480" i="3"/>
  <c r="G6481" i="3"/>
  <c r="H6481" i="3"/>
  <c r="G6482" i="3"/>
  <c r="H6482" i="3"/>
  <c r="G6483" i="3"/>
  <c r="H6483" i="3"/>
  <c r="G6484" i="3"/>
  <c r="H6484" i="3"/>
  <c r="G6485" i="3"/>
  <c r="H6485" i="3"/>
  <c r="G6486" i="3"/>
  <c r="H6486" i="3"/>
  <c r="G6487" i="3"/>
  <c r="H6487" i="3"/>
  <c r="G6488" i="3"/>
  <c r="H6488" i="3"/>
  <c r="G6489" i="3"/>
  <c r="H6489" i="3"/>
  <c r="G6490" i="3"/>
  <c r="H6490" i="3"/>
  <c r="G6491" i="3"/>
  <c r="H6491" i="3"/>
  <c r="G6492" i="3"/>
  <c r="H6492" i="3"/>
  <c r="G6493" i="3"/>
  <c r="H6493" i="3"/>
  <c r="G6494" i="3"/>
  <c r="H6494" i="3"/>
  <c r="G6495" i="3"/>
  <c r="H6495" i="3"/>
  <c r="G6496" i="3"/>
  <c r="H6496" i="3"/>
  <c r="G6497" i="3"/>
  <c r="H6497" i="3"/>
  <c r="G6498" i="3"/>
  <c r="H6498" i="3"/>
  <c r="G6499" i="3"/>
  <c r="H6499" i="3"/>
  <c r="G6500" i="3"/>
  <c r="H6500" i="3"/>
  <c r="G6501" i="3"/>
  <c r="H6501" i="3"/>
  <c r="G6502" i="3"/>
  <c r="H6502" i="3"/>
  <c r="G6503" i="3"/>
  <c r="H6503" i="3"/>
  <c r="G6504" i="3"/>
  <c r="H6504" i="3"/>
  <c r="G6505" i="3"/>
  <c r="H6505" i="3"/>
  <c r="G6506" i="3"/>
  <c r="H6506" i="3"/>
  <c r="G6507" i="3"/>
  <c r="H6507" i="3"/>
  <c r="G6508" i="3"/>
  <c r="H6508" i="3"/>
  <c r="G6509" i="3"/>
  <c r="H6509" i="3"/>
  <c r="G6510" i="3"/>
  <c r="H6510" i="3"/>
  <c r="G6511" i="3"/>
  <c r="H6511" i="3"/>
  <c r="G6512" i="3"/>
  <c r="H6512" i="3"/>
  <c r="G6513" i="3"/>
  <c r="H6513" i="3"/>
  <c r="G6514" i="3"/>
  <c r="H6514" i="3"/>
  <c r="G6515" i="3"/>
  <c r="H6515" i="3"/>
  <c r="G6516" i="3"/>
  <c r="H6516" i="3"/>
  <c r="G6517" i="3"/>
  <c r="H6517" i="3"/>
  <c r="G6518" i="3"/>
  <c r="H6518" i="3"/>
  <c r="G6519" i="3"/>
  <c r="H6519" i="3"/>
  <c r="G6520" i="3"/>
  <c r="H6520" i="3"/>
  <c r="G6521" i="3"/>
  <c r="H6521" i="3"/>
  <c r="G6522" i="3"/>
  <c r="H6522" i="3"/>
  <c r="G6523" i="3"/>
  <c r="H6523" i="3"/>
  <c r="G6524" i="3"/>
  <c r="H6524" i="3"/>
  <c r="G6525" i="3"/>
  <c r="H6525" i="3"/>
  <c r="G6526" i="3"/>
  <c r="H6526" i="3"/>
  <c r="G6527" i="3"/>
  <c r="H6527" i="3"/>
  <c r="G6528" i="3"/>
  <c r="H6528" i="3"/>
  <c r="G6529" i="3"/>
  <c r="H6529" i="3"/>
  <c r="G6530" i="3"/>
  <c r="H6530" i="3"/>
  <c r="G6531" i="3"/>
  <c r="H6531" i="3"/>
  <c r="G6532" i="3"/>
  <c r="H6532" i="3"/>
  <c r="G6533" i="3"/>
  <c r="H6533" i="3"/>
  <c r="G6534" i="3"/>
  <c r="H6534" i="3"/>
  <c r="G6535" i="3"/>
  <c r="H6535" i="3"/>
  <c r="G6536" i="3"/>
  <c r="H6536" i="3"/>
  <c r="G6537" i="3"/>
  <c r="H6537" i="3"/>
  <c r="G6538" i="3"/>
  <c r="H6538" i="3"/>
  <c r="G6539" i="3"/>
  <c r="H6539" i="3"/>
  <c r="G6540" i="3"/>
  <c r="H6540" i="3"/>
  <c r="G6541" i="3"/>
  <c r="H6541" i="3"/>
  <c r="G6542" i="3"/>
  <c r="H6542" i="3"/>
  <c r="G6543" i="3"/>
  <c r="H6543" i="3"/>
  <c r="G6544" i="3"/>
  <c r="H6544" i="3"/>
  <c r="G6545" i="3"/>
  <c r="H6545" i="3"/>
  <c r="G6546" i="3"/>
  <c r="H6546" i="3"/>
  <c r="G6547" i="3"/>
  <c r="H6547" i="3"/>
  <c r="G6548" i="3"/>
  <c r="H6548" i="3"/>
  <c r="G6549" i="3"/>
  <c r="H6549" i="3"/>
  <c r="G6550" i="3"/>
  <c r="H6550" i="3"/>
  <c r="G6551" i="3"/>
  <c r="H6551" i="3"/>
  <c r="G6552" i="3"/>
  <c r="H6552" i="3"/>
  <c r="G6553" i="3"/>
  <c r="H6553" i="3"/>
  <c r="G6554" i="3"/>
  <c r="H6554" i="3"/>
  <c r="G6555" i="3"/>
  <c r="H6555" i="3"/>
  <c r="G6556" i="3"/>
  <c r="H6556" i="3"/>
  <c r="G6557" i="3"/>
  <c r="H6557" i="3"/>
  <c r="G6558" i="3"/>
  <c r="H6558" i="3"/>
  <c r="G6559" i="3"/>
  <c r="H6559" i="3"/>
  <c r="G6560" i="3"/>
  <c r="H6560" i="3"/>
  <c r="G6561" i="3"/>
  <c r="H6561" i="3"/>
  <c r="G6562" i="3"/>
  <c r="H6562" i="3"/>
  <c r="G6563" i="3"/>
  <c r="H6563" i="3"/>
  <c r="G6564" i="3"/>
  <c r="H6564" i="3"/>
  <c r="G6565" i="3"/>
  <c r="H6565" i="3"/>
  <c r="G6566" i="3"/>
  <c r="H6566" i="3"/>
  <c r="G6567" i="3"/>
  <c r="H6567" i="3"/>
  <c r="G6568" i="3"/>
  <c r="H6568" i="3"/>
  <c r="G6569" i="3"/>
  <c r="H6569" i="3"/>
  <c r="G6570" i="3"/>
  <c r="H6570" i="3"/>
  <c r="G6571" i="3"/>
  <c r="H6571" i="3"/>
  <c r="G6572" i="3"/>
  <c r="H6572" i="3"/>
  <c r="G6573" i="3"/>
  <c r="H6573" i="3"/>
  <c r="G6574" i="3"/>
  <c r="H6574" i="3"/>
  <c r="G6575" i="3"/>
  <c r="H6575" i="3"/>
  <c r="G6576" i="3"/>
  <c r="H6576" i="3"/>
  <c r="G6577" i="3"/>
  <c r="H6577" i="3"/>
  <c r="G6578" i="3"/>
  <c r="H6578" i="3"/>
  <c r="G6579" i="3"/>
  <c r="H6579" i="3"/>
  <c r="G6580" i="3"/>
  <c r="H6580" i="3"/>
  <c r="G6581" i="3"/>
  <c r="H6581" i="3"/>
  <c r="G6582" i="3"/>
  <c r="H6582" i="3"/>
  <c r="G6583" i="3"/>
  <c r="H6583" i="3"/>
  <c r="G6584" i="3"/>
  <c r="H6584" i="3"/>
  <c r="G6585" i="3"/>
  <c r="H6585" i="3"/>
  <c r="G6586" i="3"/>
  <c r="H6586" i="3"/>
  <c r="G6587" i="3"/>
  <c r="H6587" i="3"/>
  <c r="G6588" i="3"/>
  <c r="H6588" i="3"/>
  <c r="G6589" i="3"/>
  <c r="H6589" i="3"/>
  <c r="G6590" i="3"/>
  <c r="H6590" i="3"/>
  <c r="G6591" i="3"/>
  <c r="H6591" i="3"/>
  <c r="G6592" i="3"/>
  <c r="H6592" i="3"/>
  <c r="G6593" i="3"/>
  <c r="H6593" i="3"/>
  <c r="G6594" i="3"/>
  <c r="H6594" i="3"/>
  <c r="G6595" i="3"/>
  <c r="H6595" i="3"/>
  <c r="G6596" i="3"/>
  <c r="H6596" i="3"/>
  <c r="G6597" i="3"/>
  <c r="H6597" i="3"/>
  <c r="G6598" i="3"/>
  <c r="H6598" i="3"/>
  <c r="G6599" i="3"/>
  <c r="H6599" i="3"/>
  <c r="G6600" i="3"/>
  <c r="H6600" i="3"/>
  <c r="G6601" i="3"/>
  <c r="H6601" i="3"/>
  <c r="G6602" i="3"/>
  <c r="H6602" i="3"/>
  <c r="G6603" i="3"/>
  <c r="H6603" i="3"/>
  <c r="G6604" i="3"/>
  <c r="H6604" i="3"/>
  <c r="G6605" i="3"/>
  <c r="H6605" i="3"/>
  <c r="G6606" i="3"/>
  <c r="H6606" i="3"/>
  <c r="G6607" i="3"/>
  <c r="H6607" i="3"/>
  <c r="G6608" i="3"/>
  <c r="H6608" i="3"/>
  <c r="G6609" i="3"/>
  <c r="H6609" i="3"/>
  <c r="G6610" i="3"/>
  <c r="H6610" i="3"/>
  <c r="G6611" i="3"/>
  <c r="H6611" i="3"/>
  <c r="G6612" i="3"/>
  <c r="H6612" i="3"/>
  <c r="G6613" i="3"/>
  <c r="H6613" i="3"/>
  <c r="G6614" i="3"/>
  <c r="H6614" i="3"/>
  <c r="G6615" i="3"/>
  <c r="H6615" i="3"/>
  <c r="G6616" i="3"/>
  <c r="H6616" i="3"/>
  <c r="G6617" i="3"/>
  <c r="H6617" i="3"/>
  <c r="G6618" i="3"/>
  <c r="H6618" i="3"/>
  <c r="G6619" i="3"/>
  <c r="H6619" i="3"/>
  <c r="G6620" i="3"/>
  <c r="H6620" i="3"/>
  <c r="G6621" i="3"/>
  <c r="H6621" i="3"/>
  <c r="G6622" i="3"/>
  <c r="H6622" i="3"/>
  <c r="G6623" i="3"/>
  <c r="H6623" i="3"/>
  <c r="G6624" i="3"/>
  <c r="H6624" i="3"/>
  <c r="G6625" i="3"/>
  <c r="H6625" i="3"/>
  <c r="G6626" i="3"/>
  <c r="H6626" i="3"/>
  <c r="G6627" i="3"/>
  <c r="H6627" i="3"/>
  <c r="G6628" i="3"/>
  <c r="H6628" i="3"/>
  <c r="G6629" i="3"/>
  <c r="H6629" i="3"/>
  <c r="G6630" i="3"/>
  <c r="H6630" i="3"/>
  <c r="G6631" i="3"/>
  <c r="H6631" i="3"/>
  <c r="G6632" i="3"/>
  <c r="H6632" i="3"/>
  <c r="G6633" i="3"/>
  <c r="H6633" i="3"/>
  <c r="G6634" i="3"/>
  <c r="H6634" i="3"/>
  <c r="G6635" i="3"/>
  <c r="H6635" i="3"/>
  <c r="G6636" i="3"/>
  <c r="H6636" i="3"/>
  <c r="G6637" i="3"/>
  <c r="H6637" i="3"/>
  <c r="G6638" i="3"/>
  <c r="H6638" i="3"/>
  <c r="G6639" i="3"/>
  <c r="H6639" i="3"/>
  <c r="G6640" i="3"/>
  <c r="H6640" i="3"/>
  <c r="G6641" i="3"/>
  <c r="H6641" i="3"/>
  <c r="G6642" i="3"/>
  <c r="H6642" i="3"/>
  <c r="G6643" i="3"/>
  <c r="H6643" i="3"/>
  <c r="G6644" i="3"/>
  <c r="H6644" i="3"/>
  <c r="G6645" i="3"/>
  <c r="H6645" i="3"/>
  <c r="G6646" i="3"/>
  <c r="H6646" i="3"/>
  <c r="G6647" i="3"/>
  <c r="H6647" i="3"/>
  <c r="G6648" i="3"/>
  <c r="H6648" i="3"/>
  <c r="G6649" i="3"/>
  <c r="H6649" i="3"/>
  <c r="G6650" i="3"/>
  <c r="H6650" i="3"/>
  <c r="G6651" i="3"/>
  <c r="H6651" i="3"/>
  <c r="G6652" i="3"/>
  <c r="H6652" i="3"/>
  <c r="G6653" i="3"/>
  <c r="H6653" i="3"/>
  <c r="G6654" i="3"/>
  <c r="H6654" i="3"/>
  <c r="G6655" i="3"/>
  <c r="H6655" i="3"/>
  <c r="G6656" i="3"/>
  <c r="H6656" i="3"/>
  <c r="G6657" i="3"/>
  <c r="H6657" i="3"/>
  <c r="G6658" i="3"/>
  <c r="H6658" i="3"/>
  <c r="G6659" i="3"/>
  <c r="H6659" i="3"/>
  <c r="G6660" i="3"/>
  <c r="H6660" i="3"/>
  <c r="G6661" i="3"/>
  <c r="H6661" i="3"/>
  <c r="G6662" i="3"/>
  <c r="H6662" i="3"/>
  <c r="G6663" i="3"/>
  <c r="H6663" i="3"/>
  <c r="G6664" i="3"/>
  <c r="H6664" i="3"/>
  <c r="G6665" i="3"/>
  <c r="H6665" i="3"/>
  <c r="G6666" i="3"/>
  <c r="H6666" i="3"/>
  <c r="G6667" i="3"/>
  <c r="H6667" i="3"/>
  <c r="G6668" i="3"/>
  <c r="H6668" i="3"/>
  <c r="G6669" i="3"/>
  <c r="H6669" i="3"/>
  <c r="G6670" i="3"/>
  <c r="H6670" i="3"/>
  <c r="G6671" i="3"/>
  <c r="H6671" i="3"/>
  <c r="G6672" i="3"/>
  <c r="H6672" i="3"/>
  <c r="G6673" i="3"/>
  <c r="H6673" i="3"/>
  <c r="G6674" i="3"/>
  <c r="H6674" i="3"/>
  <c r="G6675" i="3"/>
  <c r="H6675" i="3"/>
  <c r="G6676" i="3"/>
  <c r="H6676" i="3"/>
  <c r="G6677" i="3"/>
  <c r="H6677" i="3"/>
  <c r="G6678" i="3"/>
  <c r="H6678" i="3"/>
  <c r="G6679" i="3"/>
  <c r="H6679" i="3"/>
  <c r="G6680" i="3"/>
  <c r="H6680" i="3"/>
  <c r="G6681" i="3"/>
  <c r="H6681" i="3"/>
  <c r="G6682" i="3"/>
  <c r="H6682" i="3"/>
  <c r="G6683" i="3"/>
  <c r="H6683" i="3"/>
  <c r="G6684" i="3"/>
  <c r="H6684" i="3"/>
  <c r="G6685" i="3"/>
  <c r="H6685" i="3"/>
  <c r="G6686" i="3"/>
  <c r="H6686" i="3"/>
  <c r="G6687" i="3"/>
  <c r="H6687" i="3"/>
  <c r="G6688" i="3"/>
  <c r="H6688" i="3"/>
  <c r="G6689" i="3"/>
  <c r="H6689" i="3"/>
  <c r="G6690" i="3"/>
  <c r="H6690" i="3"/>
  <c r="G6691" i="3"/>
  <c r="H6691" i="3"/>
  <c r="G6692" i="3"/>
  <c r="H6692" i="3"/>
  <c r="G6693" i="3"/>
  <c r="H6693" i="3"/>
  <c r="G6694" i="3"/>
  <c r="H6694" i="3"/>
  <c r="G6695" i="3"/>
  <c r="H6695" i="3"/>
  <c r="G6696" i="3"/>
  <c r="H6696" i="3"/>
  <c r="G6697" i="3"/>
  <c r="H6697" i="3"/>
  <c r="G6698" i="3"/>
  <c r="H6698" i="3"/>
  <c r="G6699" i="3"/>
  <c r="H6699" i="3"/>
  <c r="G6700" i="3"/>
  <c r="H6700" i="3"/>
  <c r="G6701" i="3"/>
  <c r="H6701" i="3"/>
  <c r="G6702" i="3"/>
  <c r="H6702" i="3"/>
  <c r="G6703" i="3"/>
  <c r="H6703" i="3"/>
  <c r="G6704" i="3"/>
  <c r="H6704" i="3"/>
  <c r="G6705" i="3"/>
  <c r="H6705" i="3"/>
  <c r="G6706" i="3"/>
  <c r="H6706" i="3"/>
  <c r="G6707" i="3"/>
  <c r="H6707" i="3"/>
  <c r="G6708" i="3"/>
  <c r="H6708" i="3"/>
  <c r="G6709" i="3"/>
  <c r="H6709" i="3"/>
  <c r="G6710" i="3"/>
  <c r="H6710" i="3"/>
  <c r="G6711" i="3"/>
  <c r="H6711" i="3"/>
  <c r="G6712" i="3"/>
  <c r="H6712" i="3"/>
  <c r="G6713" i="3"/>
  <c r="H6713" i="3"/>
  <c r="G6714" i="3"/>
  <c r="H6714" i="3"/>
  <c r="G6715" i="3"/>
  <c r="H6715" i="3"/>
  <c r="G6716" i="3"/>
  <c r="H6716" i="3"/>
  <c r="G6717" i="3"/>
  <c r="H6717" i="3"/>
  <c r="G6718" i="3"/>
  <c r="H6718" i="3"/>
  <c r="G6719" i="3"/>
  <c r="H6719" i="3"/>
  <c r="G6720" i="3"/>
  <c r="H6720" i="3"/>
  <c r="G6721" i="3"/>
  <c r="H6721" i="3"/>
  <c r="G6722" i="3"/>
  <c r="H6722" i="3"/>
  <c r="G6723" i="3"/>
  <c r="H6723" i="3"/>
  <c r="G6724" i="3"/>
  <c r="H6724" i="3"/>
  <c r="G6725" i="3"/>
  <c r="H6725" i="3"/>
  <c r="G6726" i="3"/>
  <c r="H6726" i="3"/>
  <c r="G6727" i="3"/>
  <c r="H6727" i="3"/>
  <c r="G6728" i="3"/>
  <c r="H6728" i="3"/>
  <c r="G6729" i="3"/>
  <c r="H6729" i="3"/>
  <c r="G6730" i="3"/>
  <c r="H6730" i="3"/>
  <c r="G6731" i="3"/>
  <c r="H6731" i="3"/>
  <c r="G6732" i="3"/>
  <c r="H6732" i="3"/>
  <c r="G6733" i="3"/>
  <c r="H6733" i="3"/>
  <c r="G6734" i="3"/>
  <c r="H6734" i="3"/>
  <c r="G6735" i="3"/>
  <c r="H6735" i="3"/>
  <c r="G6736" i="3"/>
  <c r="H6736" i="3"/>
  <c r="G6737" i="3"/>
  <c r="H6737" i="3"/>
  <c r="G6738" i="3"/>
  <c r="H6738" i="3"/>
  <c r="G6739" i="3"/>
  <c r="H6739" i="3"/>
  <c r="G6740" i="3"/>
  <c r="H6740" i="3"/>
  <c r="G6741" i="3"/>
  <c r="H6741" i="3"/>
  <c r="G6742" i="3"/>
  <c r="H6742" i="3"/>
  <c r="G6743" i="3"/>
  <c r="H6743" i="3"/>
  <c r="G6744" i="3"/>
  <c r="H6744" i="3"/>
  <c r="G6745" i="3"/>
  <c r="H6745" i="3"/>
  <c r="G6746" i="3"/>
  <c r="H6746" i="3"/>
  <c r="G6747" i="3"/>
  <c r="H6747" i="3"/>
  <c r="G6748" i="3"/>
  <c r="H6748" i="3"/>
  <c r="G6749" i="3"/>
  <c r="H6749" i="3"/>
  <c r="G6750" i="3"/>
  <c r="H6750" i="3"/>
  <c r="G6751" i="3"/>
  <c r="H6751" i="3"/>
  <c r="G6752" i="3"/>
  <c r="H6752" i="3"/>
  <c r="G6753" i="3"/>
  <c r="H6753" i="3"/>
  <c r="G6754" i="3"/>
  <c r="H6754" i="3"/>
  <c r="G6755" i="3"/>
  <c r="H6755" i="3"/>
  <c r="G6756" i="3"/>
  <c r="H6756" i="3"/>
  <c r="G6757" i="3"/>
  <c r="H6757" i="3"/>
  <c r="G6758" i="3"/>
  <c r="H6758" i="3"/>
  <c r="G6759" i="3"/>
  <c r="H6759" i="3"/>
  <c r="G6760" i="3"/>
  <c r="H6760" i="3"/>
  <c r="G6761" i="3"/>
  <c r="H6761" i="3"/>
  <c r="G6762" i="3"/>
  <c r="H6762" i="3"/>
  <c r="G6763" i="3"/>
  <c r="H6763" i="3"/>
  <c r="G6764" i="3"/>
  <c r="H6764" i="3"/>
  <c r="G6765" i="3"/>
  <c r="H6765" i="3"/>
  <c r="G6766" i="3"/>
  <c r="H6766" i="3"/>
  <c r="G6767" i="3"/>
  <c r="H6767" i="3"/>
  <c r="G6768" i="3"/>
  <c r="H6768" i="3"/>
  <c r="G6769" i="3"/>
  <c r="H6769" i="3"/>
  <c r="G6770" i="3"/>
  <c r="H6770" i="3"/>
  <c r="G6771" i="3"/>
  <c r="H6771" i="3"/>
  <c r="G6772" i="3"/>
  <c r="H6772" i="3"/>
  <c r="G6773" i="3"/>
  <c r="H6773" i="3"/>
  <c r="G6774" i="3"/>
  <c r="H6774" i="3"/>
  <c r="G6775" i="3"/>
  <c r="H6775" i="3"/>
  <c r="G6776" i="3"/>
  <c r="H6776" i="3"/>
  <c r="G6777" i="3"/>
  <c r="H6777" i="3"/>
  <c r="G6778" i="3"/>
  <c r="H6778" i="3"/>
  <c r="G6779" i="3"/>
  <c r="H6779" i="3"/>
  <c r="G6780" i="3"/>
  <c r="H6780" i="3"/>
  <c r="G6781" i="3"/>
  <c r="H6781" i="3"/>
  <c r="G6782" i="3"/>
  <c r="H6782" i="3"/>
  <c r="G6783" i="3"/>
  <c r="H6783" i="3"/>
  <c r="G6784" i="3"/>
  <c r="H6784" i="3"/>
  <c r="G6785" i="3"/>
  <c r="H6785" i="3"/>
  <c r="G6786" i="3"/>
  <c r="H6786" i="3"/>
  <c r="G6787" i="3"/>
  <c r="H6787" i="3"/>
  <c r="G6788" i="3"/>
  <c r="H6788" i="3"/>
  <c r="G6789" i="3"/>
  <c r="H6789" i="3"/>
  <c r="G6790" i="3"/>
  <c r="H6790" i="3"/>
  <c r="G6791" i="3"/>
  <c r="H6791" i="3"/>
  <c r="G6792" i="3"/>
  <c r="H6792" i="3"/>
  <c r="G6793" i="3"/>
  <c r="H6793" i="3"/>
  <c r="G6794" i="3"/>
  <c r="H6794" i="3"/>
  <c r="G6795" i="3"/>
  <c r="H6795" i="3"/>
  <c r="G6796" i="3"/>
  <c r="H6796" i="3"/>
  <c r="G6797" i="3"/>
  <c r="H6797" i="3"/>
  <c r="G6798" i="3"/>
  <c r="H6798" i="3"/>
  <c r="G6799" i="3"/>
  <c r="H6799" i="3"/>
  <c r="G6800" i="3"/>
  <c r="H6800" i="3"/>
  <c r="G6801" i="3"/>
  <c r="H6801" i="3"/>
  <c r="G6802" i="3"/>
  <c r="H6802" i="3"/>
  <c r="G6803" i="3"/>
  <c r="H6803" i="3"/>
  <c r="G6804" i="3"/>
  <c r="H6804" i="3"/>
  <c r="G6805" i="3"/>
  <c r="H6805" i="3"/>
  <c r="G6806" i="3"/>
  <c r="H6806" i="3"/>
  <c r="G6807" i="3"/>
  <c r="H6807" i="3"/>
  <c r="G6808" i="3"/>
  <c r="H6808" i="3"/>
  <c r="G6809" i="3"/>
  <c r="H6809" i="3"/>
  <c r="G6810" i="3"/>
  <c r="H6810" i="3"/>
  <c r="G6811" i="3"/>
  <c r="H6811" i="3"/>
  <c r="G6812" i="3"/>
  <c r="H6812" i="3"/>
  <c r="G6813" i="3"/>
  <c r="H6813" i="3"/>
  <c r="G6814" i="3"/>
  <c r="H6814" i="3"/>
  <c r="G6815" i="3"/>
  <c r="H6815" i="3"/>
  <c r="G6816" i="3"/>
  <c r="H6816" i="3"/>
  <c r="G6817" i="3"/>
  <c r="H6817" i="3"/>
  <c r="G6818" i="3"/>
  <c r="H6818" i="3"/>
  <c r="G6819" i="3"/>
  <c r="H6819" i="3"/>
  <c r="G6820" i="3"/>
  <c r="H6820" i="3"/>
  <c r="G6821" i="3"/>
  <c r="H6821" i="3"/>
  <c r="G6822" i="3"/>
  <c r="H6822" i="3"/>
  <c r="G6823" i="3"/>
  <c r="H6823" i="3"/>
  <c r="G6824" i="3"/>
  <c r="H6824" i="3"/>
  <c r="G6825" i="3"/>
  <c r="H6825" i="3"/>
  <c r="G6826" i="3"/>
  <c r="H6826" i="3"/>
  <c r="G6827" i="3"/>
  <c r="H6827" i="3"/>
  <c r="G6828" i="3"/>
  <c r="H6828" i="3"/>
  <c r="G6829" i="3"/>
  <c r="H6829" i="3"/>
  <c r="G6830" i="3"/>
  <c r="H6830" i="3"/>
  <c r="G6831" i="3"/>
  <c r="H6831" i="3"/>
  <c r="G6832" i="3"/>
  <c r="H6832" i="3"/>
  <c r="G6833" i="3"/>
  <c r="H6833" i="3"/>
  <c r="G6834" i="3"/>
  <c r="H6834" i="3"/>
  <c r="G6835" i="3"/>
  <c r="H6835" i="3"/>
  <c r="G6836" i="3"/>
  <c r="H6836" i="3"/>
  <c r="G6837" i="3"/>
  <c r="H6837" i="3"/>
  <c r="G6838" i="3"/>
  <c r="H6838" i="3"/>
  <c r="G6839" i="3"/>
  <c r="H6839" i="3"/>
  <c r="G6840" i="3"/>
  <c r="H6840" i="3"/>
  <c r="G6841" i="3"/>
  <c r="H6841" i="3"/>
  <c r="G6842" i="3"/>
  <c r="H6842" i="3"/>
  <c r="G6843" i="3"/>
  <c r="H6843" i="3"/>
  <c r="G6844" i="3"/>
  <c r="H6844" i="3"/>
  <c r="G6845" i="3"/>
  <c r="H6845" i="3"/>
  <c r="G6846" i="3"/>
  <c r="H6846" i="3"/>
  <c r="G6847" i="3"/>
  <c r="H6847" i="3"/>
  <c r="G6848" i="3"/>
  <c r="H6848" i="3"/>
  <c r="G6849" i="3"/>
  <c r="H6849" i="3"/>
  <c r="G6850" i="3"/>
  <c r="H6850" i="3"/>
  <c r="G6851" i="3"/>
  <c r="H6851" i="3"/>
  <c r="G6852" i="3"/>
  <c r="H6852" i="3"/>
  <c r="G6853" i="3"/>
  <c r="H6853" i="3"/>
  <c r="G6854" i="3"/>
  <c r="H6854" i="3"/>
  <c r="G6855" i="3"/>
  <c r="H6855" i="3"/>
  <c r="G6856" i="3"/>
  <c r="H6856" i="3"/>
  <c r="G6857" i="3"/>
  <c r="H6857" i="3"/>
  <c r="G6858" i="3"/>
  <c r="H6858" i="3"/>
  <c r="G6859" i="3"/>
  <c r="H6859" i="3"/>
  <c r="G6860" i="3"/>
  <c r="H6860" i="3"/>
  <c r="G6861" i="3"/>
  <c r="H6861" i="3"/>
  <c r="G6862" i="3"/>
  <c r="H6862" i="3"/>
  <c r="G6863" i="3"/>
  <c r="H6863" i="3"/>
  <c r="G6864" i="3"/>
  <c r="H6864" i="3"/>
  <c r="G6865" i="3"/>
  <c r="H6865" i="3"/>
  <c r="G6866" i="3"/>
  <c r="H6866" i="3"/>
  <c r="G6867" i="3"/>
  <c r="H6867" i="3"/>
  <c r="G6868" i="3"/>
  <c r="H6868" i="3"/>
  <c r="G6869" i="3"/>
  <c r="H6869" i="3"/>
  <c r="G6870" i="3"/>
  <c r="H6870" i="3"/>
  <c r="G6871" i="3"/>
  <c r="H6871" i="3"/>
  <c r="G6872" i="3"/>
  <c r="H6872" i="3"/>
  <c r="G6873" i="3"/>
  <c r="H6873" i="3"/>
  <c r="G6874" i="3"/>
  <c r="H6874" i="3"/>
  <c r="G6875" i="3"/>
  <c r="H6875" i="3"/>
  <c r="G6876" i="3"/>
  <c r="H6876" i="3"/>
  <c r="G6877" i="3"/>
  <c r="H6877" i="3"/>
  <c r="G6878" i="3"/>
  <c r="H6878" i="3"/>
  <c r="G6879" i="3"/>
  <c r="H6879" i="3"/>
  <c r="G6880" i="3"/>
  <c r="H6880" i="3"/>
  <c r="G6881" i="3"/>
  <c r="H6881" i="3"/>
  <c r="G6882" i="3"/>
  <c r="H6882" i="3"/>
  <c r="G6883" i="3"/>
  <c r="H6883" i="3"/>
  <c r="G6884" i="3"/>
  <c r="H6884" i="3"/>
  <c r="G6885" i="3"/>
  <c r="H6885" i="3"/>
  <c r="G6886" i="3"/>
  <c r="H6886" i="3"/>
  <c r="G6887" i="3"/>
  <c r="H6887" i="3"/>
  <c r="G6888" i="3"/>
  <c r="H6888" i="3"/>
  <c r="G6889" i="3"/>
  <c r="H6889" i="3"/>
  <c r="G6890" i="3"/>
  <c r="H6890" i="3"/>
  <c r="G6891" i="3"/>
  <c r="H6891" i="3"/>
  <c r="G6892" i="3"/>
  <c r="H6892" i="3"/>
  <c r="G6893" i="3"/>
  <c r="H6893" i="3"/>
  <c r="G6894" i="3"/>
  <c r="H6894" i="3"/>
  <c r="G6895" i="3"/>
  <c r="H6895" i="3"/>
  <c r="G6896" i="3"/>
  <c r="H6896" i="3"/>
  <c r="G6897" i="3"/>
  <c r="H6897" i="3"/>
  <c r="G6898" i="3"/>
  <c r="H6898" i="3"/>
  <c r="G6899" i="3"/>
  <c r="H6899" i="3"/>
  <c r="G6900" i="3"/>
  <c r="H6900" i="3"/>
  <c r="G6901" i="3"/>
  <c r="H6901" i="3"/>
  <c r="G6902" i="3"/>
  <c r="H6902" i="3"/>
  <c r="G6903" i="3"/>
  <c r="H6903" i="3"/>
  <c r="G6904" i="3"/>
  <c r="H6904" i="3"/>
  <c r="G6905" i="3"/>
  <c r="H6905" i="3"/>
  <c r="G6906" i="3"/>
  <c r="H6906" i="3"/>
  <c r="G6907" i="3"/>
  <c r="H6907" i="3"/>
  <c r="G6908" i="3"/>
  <c r="H6908" i="3"/>
  <c r="G6909" i="3"/>
  <c r="H6909" i="3"/>
  <c r="G6910" i="3"/>
  <c r="H6910" i="3"/>
  <c r="G6911" i="3"/>
  <c r="H6911" i="3"/>
  <c r="G6912" i="3"/>
  <c r="H6912" i="3"/>
  <c r="G6913" i="3"/>
  <c r="H6913" i="3"/>
  <c r="G6914" i="3"/>
  <c r="H6914" i="3"/>
  <c r="G6915" i="3"/>
  <c r="H6915" i="3"/>
  <c r="G6916" i="3"/>
  <c r="H6916" i="3"/>
  <c r="G6917" i="3"/>
  <c r="H6917" i="3"/>
  <c r="G6918" i="3"/>
  <c r="H6918" i="3"/>
  <c r="G6919" i="3"/>
  <c r="H6919" i="3"/>
  <c r="G6920" i="3"/>
  <c r="H6920" i="3"/>
  <c r="G6921" i="3"/>
  <c r="H6921" i="3"/>
  <c r="G6922" i="3"/>
  <c r="H6922" i="3"/>
  <c r="G6923" i="3"/>
  <c r="H6923" i="3"/>
  <c r="G6924" i="3"/>
  <c r="H6924" i="3"/>
  <c r="G6925" i="3"/>
  <c r="H6925" i="3"/>
  <c r="G6926" i="3"/>
  <c r="H6926" i="3"/>
  <c r="G6927" i="3"/>
  <c r="H6927" i="3"/>
  <c r="G6928" i="3"/>
  <c r="H6928" i="3"/>
  <c r="G6929" i="3"/>
  <c r="H6929" i="3"/>
  <c r="G6930" i="3"/>
  <c r="H6930" i="3"/>
  <c r="G6931" i="3"/>
  <c r="H6931" i="3"/>
  <c r="G6932" i="3"/>
  <c r="H6932" i="3"/>
  <c r="G6933" i="3"/>
  <c r="H6933" i="3"/>
  <c r="G6934" i="3"/>
  <c r="H6934" i="3"/>
  <c r="G6935" i="3"/>
  <c r="H6935" i="3"/>
  <c r="G6936" i="3"/>
  <c r="H6936" i="3"/>
  <c r="G6937" i="3"/>
  <c r="H6937" i="3"/>
  <c r="G6938" i="3"/>
  <c r="H6938" i="3"/>
  <c r="G6939" i="3"/>
  <c r="H6939" i="3"/>
  <c r="G6940" i="3"/>
  <c r="H6940" i="3"/>
  <c r="G6941" i="3"/>
  <c r="H6941" i="3"/>
  <c r="G6942" i="3"/>
  <c r="H6942" i="3"/>
  <c r="G6943" i="3"/>
  <c r="H6943" i="3"/>
  <c r="G6944" i="3"/>
  <c r="H6944" i="3"/>
  <c r="G6945" i="3"/>
  <c r="H6945" i="3"/>
  <c r="G6946" i="3"/>
  <c r="H6946" i="3"/>
  <c r="G6947" i="3"/>
  <c r="H6947" i="3"/>
  <c r="G6948" i="3"/>
  <c r="H6948" i="3"/>
  <c r="G6949" i="3"/>
  <c r="H6949" i="3"/>
  <c r="G6950" i="3"/>
  <c r="H6950" i="3"/>
  <c r="G6951" i="3"/>
  <c r="H6951" i="3"/>
  <c r="G6952" i="3"/>
  <c r="H6952" i="3"/>
  <c r="G6953" i="3"/>
  <c r="H6953" i="3"/>
  <c r="G6954" i="3"/>
  <c r="H6954" i="3"/>
  <c r="G6955" i="3"/>
  <c r="H6955" i="3"/>
  <c r="G6956" i="3"/>
  <c r="H6956" i="3"/>
  <c r="G6957" i="3"/>
  <c r="H6957" i="3"/>
  <c r="G6958" i="3"/>
  <c r="H6958" i="3"/>
  <c r="G6959" i="3"/>
  <c r="H6959" i="3"/>
  <c r="G6960" i="3"/>
  <c r="H6960" i="3"/>
  <c r="G6961" i="3"/>
  <c r="H6961" i="3"/>
  <c r="G6962" i="3"/>
  <c r="H6962" i="3"/>
  <c r="G6963" i="3"/>
  <c r="H6963" i="3"/>
  <c r="G6964" i="3"/>
  <c r="H6964" i="3"/>
  <c r="G6965" i="3"/>
  <c r="H6965" i="3"/>
  <c r="G6966" i="3"/>
  <c r="H6966" i="3"/>
  <c r="G6967" i="3"/>
  <c r="H6967" i="3"/>
  <c r="G6968" i="3"/>
  <c r="H6968" i="3"/>
  <c r="G6969" i="3"/>
  <c r="H6969" i="3"/>
  <c r="G6970" i="3"/>
  <c r="H6970" i="3"/>
  <c r="G6971" i="3"/>
  <c r="H6971" i="3"/>
  <c r="G6972" i="3"/>
  <c r="H6972" i="3"/>
  <c r="G6973" i="3"/>
  <c r="H6973" i="3"/>
  <c r="G6974" i="3"/>
  <c r="H6974" i="3"/>
  <c r="G6975" i="3"/>
  <c r="H6975" i="3"/>
  <c r="G6976" i="3"/>
  <c r="H6976" i="3"/>
  <c r="G6977" i="3"/>
  <c r="H6977" i="3"/>
  <c r="G6978" i="3"/>
  <c r="H6978" i="3"/>
  <c r="G6979" i="3"/>
  <c r="H6979" i="3"/>
  <c r="G6980" i="3"/>
  <c r="H6980" i="3"/>
  <c r="G6981" i="3"/>
  <c r="H6981" i="3"/>
  <c r="G6982" i="3"/>
  <c r="H6982" i="3"/>
  <c r="G6983" i="3"/>
  <c r="H6983" i="3"/>
  <c r="G6984" i="3"/>
  <c r="H6984" i="3"/>
  <c r="G6985" i="3"/>
  <c r="H6985" i="3"/>
  <c r="G6986" i="3"/>
  <c r="H6986" i="3"/>
  <c r="G6987" i="3"/>
  <c r="H6987" i="3"/>
  <c r="G6988" i="3"/>
  <c r="H6988" i="3"/>
  <c r="G6989" i="3"/>
  <c r="H6989" i="3"/>
  <c r="G6990" i="3"/>
  <c r="H6990" i="3"/>
  <c r="G6991" i="3"/>
  <c r="H6991" i="3"/>
  <c r="G6992" i="3"/>
  <c r="H6992" i="3"/>
  <c r="G6993" i="3"/>
  <c r="H6993" i="3"/>
  <c r="G6994" i="3"/>
  <c r="H6994" i="3"/>
  <c r="G6995" i="3"/>
  <c r="H6995" i="3"/>
  <c r="G6996" i="3"/>
  <c r="H6996" i="3"/>
  <c r="G6997" i="3"/>
  <c r="H6997" i="3"/>
  <c r="G6998" i="3"/>
  <c r="H6998" i="3"/>
  <c r="G6999" i="3"/>
  <c r="H6999" i="3"/>
  <c r="G7000" i="3"/>
  <c r="H7000" i="3"/>
  <c r="G7001" i="3"/>
  <c r="H7001" i="3"/>
  <c r="G7002" i="3"/>
  <c r="H7002" i="3"/>
  <c r="G7003" i="3"/>
  <c r="H7003" i="3"/>
  <c r="G7004" i="3"/>
  <c r="H7004" i="3"/>
  <c r="G7005" i="3"/>
  <c r="H7005" i="3"/>
  <c r="G7006" i="3"/>
  <c r="H7006" i="3"/>
  <c r="G7007" i="3"/>
  <c r="H7007" i="3"/>
  <c r="G7008" i="3"/>
  <c r="H7008" i="3"/>
  <c r="G7009" i="3"/>
  <c r="H7009" i="3"/>
  <c r="G7010" i="3"/>
  <c r="H7010" i="3"/>
  <c r="G7011" i="3"/>
  <c r="H7011" i="3"/>
  <c r="G7012" i="3"/>
  <c r="H7012" i="3"/>
  <c r="G7013" i="3"/>
  <c r="H7013" i="3"/>
  <c r="G7014" i="3"/>
  <c r="H7014" i="3"/>
  <c r="G7015" i="3"/>
  <c r="H7015" i="3"/>
  <c r="G7016" i="3"/>
  <c r="H7016" i="3"/>
  <c r="G7017" i="3"/>
  <c r="H7017" i="3"/>
  <c r="G7018" i="3"/>
  <c r="H7018" i="3"/>
  <c r="G7019" i="3"/>
  <c r="H7019" i="3"/>
  <c r="G7020" i="3"/>
  <c r="H7020" i="3"/>
  <c r="G7021" i="3"/>
  <c r="H7021" i="3"/>
  <c r="G7022" i="3"/>
  <c r="H7022" i="3"/>
  <c r="G7023" i="3"/>
  <c r="H7023" i="3"/>
  <c r="G7024" i="3"/>
  <c r="H7024" i="3"/>
  <c r="G7025" i="3"/>
  <c r="H7025" i="3"/>
  <c r="G7026" i="3"/>
  <c r="H7026" i="3"/>
  <c r="G7027" i="3"/>
  <c r="H7027" i="3"/>
  <c r="G7028" i="3"/>
  <c r="H7028" i="3"/>
  <c r="G7029" i="3"/>
  <c r="H7029" i="3"/>
  <c r="G7030" i="3"/>
  <c r="H7030" i="3"/>
  <c r="G7031" i="3"/>
  <c r="H7031" i="3"/>
  <c r="G7032" i="3"/>
  <c r="H7032" i="3"/>
  <c r="G7033" i="3"/>
  <c r="H7033" i="3"/>
  <c r="G7034" i="3"/>
  <c r="H7034" i="3"/>
  <c r="G7035" i="3"/>
  <c r="H7035" i="3"/>
  <c r="G7036" i="3"/>
  <c r="H7036" i="3"/>
  <c r="G7037" i="3"/>
  <c r="H7037" i="3"/>
  <c r="G7038" i="3"/>
  <c r="H7038" i="3"/>
  <c r="G7039" i="3"/>
  <c r="H7039" i="3"/>
  <c r="G7040" i="3"/>
  <c r="H7040" i="3"/>
  <c r="G7041" i="3"/>
  <c r="H7041" i="3"/>
  <c r="G7042" i="3"/>
  <c r="H7042" i="3"/>
  <c r="G7043" i="3"/>
  <c r="H7043" i="3"/>
  <c r="G7044" i="3"/>
  <c r="H7044" i="3"/>
  <c r="G7045" i="3"/>
  <c r="H7045" i="3"/>
  <c r="G7046" i="3"/>
  <c r="H7046" i="3"/>
  <c r="G7047" i="3"/>
  <c r="H7047" i="3"/>
  <c r="G7048" i="3"/>
  <c r="H7048" i="3"/>
  <c r="G7049" i="3"/>
  <c r="H7049" i="3"/>
  <c r="G7050" i="3"/>
  <c r="H7050" i="3"/>
  <c r="G7051" i="3"/>
  <c r="H7051" i="3"/>
  <c r="G7052" i="3"/>
  <c r="H7052" i="3"/>
  <c r="G7053" i="3"/>
  <c r="H7053" i="3"/>
  <c r="G7054" i="3"/>
  <c r="H7054" i="3"/>
  <c r="G7055" i="3"/>
  <c r="H7055" i="3"/>
  <c r="G7056" i="3"/>
  <c r="H7056" i="3"/>
  <c r="G7057" i="3"/>
  <c r="H7057" i="3"/>
  <c r="G7058" i="3"/>
  <c r="H7058" i="3"/>
  <c r="G7059" i="3"/>
  <c r="H7059" i="3"/>
  <c r="G7060" i="3"/>
  <c r="H7060" i="3"/>
  <c r="G7061" i="3"/>
  <c r="H7061" i="3"/>
  <c r="G7062" i="3"/>
  <c r="H7062" i="3"/>
  <c r="G7063" i="3"/>
  <c r="H7063" i="3"/>
  <c r="G7064" i="3"/>
  <c r="H7064" i="3"/>
  <c r="G7065" i="3"/>
  <c r="H7065" i="3"/>
  <c r="G7066" i="3"/>
  <c r="H7066" i="3"/>
  <c r="G7067" i="3"/>
  <c r="H7067" i="3"/>
  <c r="G7068" i="3"/>
  <c r="H7068" i="3"/>
  <c r="G7069" i="3"/>
  <c r="H7069" i="3"/>
  <c r="G7070" i="3"/>
  <c r="H7070" i="3"/>
  <c r="G7071" i="3"/>
  <c r="H7071" i="3"/>
  <c r="G7072" i="3"/>
  <c r="H7072" i="3"/>
  <c r="G7073" i="3"/>
  <c r="H7073" i="3"/>
  <c r="G7074" i="3"/>
  <c r="H7074" i="3"/>
  <c r="G7075" i="3"/>
  <c r="H7075" i="3"/>
  <c r="G7076" i="3"/>
  <c r="H7076" i="3"/>
  <c r="G7077" i="3"/>
  <c r="H7077" i="3"/>
  <c r="G7078" i="3"/>
  <c r="H7078" i="3"/>
  <c r="G7079" i="3"/>
  <c r="H7079" i="3"/>
  <c r="G7080" i="3"/>
  <c r="H7080" i="3"/>
  <c r="G7081" i="3"/>
  <c r="H7081" i="3"/>
  <c r="G7082" i="3"/>
  <c r="H7082" i="3"/>
  <c r="G7083" i="3"/>
  <c r="H7083" i="3"/>
  <c r="G7084" i="3"/>
  <c r="H7084" i="3"/>
  <c r="G7085" i="3"/>
  <c r="H7085" i="3"/>
  <c r="G7086" i="3"/>
  <c r="H7086" i="3"/>
  <c r="G7087" i="3"/>
  <c r="H7087" i="3"/>
  <c r="G7088" i="3"/>
  <c r="H7088" i="3"/>
  <c r="G7089" i="3"/>
  <c r="H7089" i="3"/>
  <c r="G7090" i="3"/>
  <c r="H7090" i="3"/>
  <c r="G7091" i="3"/>
  <c r="H7091" i="3"/>
  <c r="G7092" i="3"/>
  <c r="H7092" i="3"/>
  <c r="G7093" i="3"/>
  <c r="H7093" i="3"/>
  <c r="G7094" i="3"/>
  <c r="H7094" i="3"/>
  <c r="G7095" i="3"/>
  <c r="H7095" i="3"/>
  <c r="G7096" i="3"/>
  <c r="H7096" i="3"/>
  <c r="G7097" i="3"/>
  <c r="H7097" i="3"/>
  <c r="G7098" i="3"/>
  <c r="H7098" i="3"/>
  <c r="G7099" i="3"/>
  <c r="H7099" i="3"/>
  <c r="G7100" i="3"/>
  <c r="H7100" i="3"/>
  <c r="G7101" i="3"/>
  <c r="H7101" i="3"/>
  <c r="G7102" i="3"/>
  <c r="H7102" i="3"/>
  <c r="G7103" i="3"/>
  <c r="H7103" i="3"/>
  <c r="G7104" i="3"/>
  <c r="H7104" i="3"/>
  <c r="G7105" i="3"/>
  <c r="H7105" i="3"/>
  <c r="G7106" i="3"/>
  <c r="H7106" i="3"/>
  <c r="G7107" i="3"/>
  <c r="H7107" i="3"/>
  <c r="G7108" i="3"/>
  <c r="H7108" i="3"/>
  <c r="G7109" i="3"/>
  <c r="H7109" i="3"/>
  <c r="G7110" i="3"/>
  <c r="H7110" i="3"/>
  <c r="G7111" i="3"/>
  <c r="H7111" i="3"/>
  <c r="G7112" i="3"/>
  <c r="H7112" i="3"/>
  <c r="G7113" i="3"/>
  <c r="H7113" i="3"/>
  <c r="G7114" i="3"/>
  <c r="H7114" i="3"/>
  <c r="G7115" i="3"/>
  <c r="H7115" i="3"/>
  <c r="G7116" i="3"/>
  <c r="H7116" i="3"/>
  <c r="G7117" i="3"/>
  <c r="H7117" i="3"/>
  <c r="G7118" i="3"/>
  <c r="H7118" i="3"/>
  <c r="G7119" i="3"/>
  <c r="H7119" i="3"/>
  <c r="G7120" i="3"/>
  <c r="H7120" i="3"/>
  <c r="G7121" i="3"/>
  <c r="H7121" i="3"/>
  <c r="G7122" i="3"/>
  <c r="H7122" i="3"/>
  <c r="G7123" i="3"/>
  <c r="H7123" i="3"/>
  <c r="G7124" i="3"/>
  <c r="H7124" i="3"/>
  <c r="G7125" i="3"/>
  <c r="H7125" i="3"/>
  <c r="G7126" i="3"/>
  <c r="H7126" i="3"/>
  <c r="G7127" i="3"/>
  <c r="H7127" i="3"/>
  <c r="G7128" i="3"/>
  <c r="H7128" i="3"/>
  <c r="G7129" i="3"/>
  <c r="H7129" i="3"/>
  <c r="G7130" i="3"/>
  <c r="H7130" i="3"/>
  <c r="G7131" i="3"/>
  <c r="H7131" i="3"/>
  <c r="G7132" i="3"/>
  <c r="H7132" i="3"/>
  <c r="G7133" i="3"/>
  <c r="H7133" i="3"/>
  <c r="G7134" i="3"/>
  <c r="H7134" i="3"/>
  <c r="G7135" i="3"/>
  <c r="H7135" i="3"/>
  <c r="G7136" i="3"/>
  <c r="H7136" i="3"/>
  <c r="G7137" i="3"/>
  <c r="H7137" i="3"/>
  <c r="G7138" i="3"/>
  <c r="H7138" i="3"/>
  <c r="G7139" i="3"/>
  <c r="H7139" i="3"/>
  <c r="G7140" i="3"/>
  <c r="H7140" i="3"/>
  <c r="G7141" i="3"/>
  <c r="H7141" i="3"/>
  <c r="G7142" i="3"/>
  <c r="H7142" i="3"/>
  <c r="G7143" i="3"/>
  <c r="H7143" i="3"/>
  <c r="G7144" i="3"/>
  <c r="H7144" i="3"/>
  <c r="G7145" i="3"/>
  <c r="H7145" i="3"/>
  <c r="G7146" i="3"/>
  <c r="H7146" i="3"/>
  <c r="G7147" i="3"/>
  <c r="H7147" i="3"/>
  <c r="G7148" i="3"/>
  <c r="H7148" i="3"/>
  <c r="G7149" i="3"/>
  <c r="H7149" i="3"/>
  <c r="G7150" i="3"/>
  <c r="H7150" i="3"/>
  <c r="G7151" i="3"/>
  <c r="H7151" i="3"/>
  <c r="G7152" i="3"/>
  <c r="H7152" i="3"/>
  <c r="G7153" i="3"/>
  <c r="H7153" i="3"/>
  <c r="G7154" i="3"/>
  <c r="H7154" i="3"/>
  <c r="G7155" i="3"/>
  <c r="H7155" i="3"/>
  <c r="G7156" i="3"/>
  <c r="H7156" i="3"/>
  <c r="G7157" i="3"/>
  <c r="H7157" i="3"/>
  <c r="G7158" i="3"/>
  <c r="H7158" i="3"/>
  <c r="G7159" i="3"/>
  <c r="H7159" i="3"/>
  <c r="G7160" i="3"/>
  <c r="H7160" i="3"/>
  <c r="G7161" i="3"/>
  <c r="H7161" i="3"/>
  <c r="G7162" i="3"/>
  <c r="H7162" i="3"/>
  <c r="G7163" i="3"/>
  <c r="H7163" i="3"/>
  <c r="G7164" i="3"/>
  <c r="H7164" i="3"/>
  <c r="G7165" i="3"/>
  <c r="H7165" i="3"/>
  <c r="G7166" i="3"/>
  <c r="H7166" i="3"/>
  <c r="G7167" i="3"/>
  <c r="H7167" i="3"/>
  <c r="G7168" i="3"/>
  <c r="H7168" i="3"/>
  <c r="G7169" i="3"/>
  <c r="H7169" i="3"/>
  <c r="G7170" i="3"/>
  <c r="H7170" i="3"/>
  <c r="G7171" i="3"/>
  <c r="H7171" i="3"/>
  <c r="G7172" i="3"/>
  <c r="H7172" i="3"/>
  <c r="G7173" i="3"/>
  <c r="H7173" i="3"/>
  <c r="G7174" i="3"/>
  <c r="H7174" i="3"/>
  <c r="G7175" i="3"/>
  <c r="H7175" i="3"/>
  <c r="G7176" i="3"/>
  <c r="H7176" i="3"/>
  <c r="G7177" i="3"/>
  <c r="H7177" i="3"/>
  <c r="G7178" i="3"/>
  <c r="H7178" i="3"/>
  <c r="G7179" i="3"/>
  <c r="H7179" i="3"/>
  <c r="G7180" i="3"/>
  <c r="H7180" i="3"/>
  <c r="G7181" i="3"/>
  <c r="H7181" i="3"/>
  <c r="G7182" i="3"/>
  <c r="H7182" i="3"/>
  <c r="G7183" i="3"/>
  <c r="H7183" i="3"/>
  <c r="G7184" i="3"/>
  <c r="H7184" i="3"/>
  <c r="G7185" i="3"/>
  <c r="H7185" i="3"/>
  <c r="G7186" i="3"/>
  <c r="H7186" i="3"/>
  <c r="G7187" i="3"/>
  <c r="H7187" i="3"/>
  <c r="G7188" i="3"/>
  <c r="H7188" i="3"/>
  <c r="G7189" i="3"/>
  <c r="H7189" i="3"/>
  <c r="G7190" i="3"/>
  <c r="H7190" i="3"/>
  <c r="G7191" i="3"/>
  <c r="H7191" i="3"/>
  <c r="G7192" i="3"/>
  <c r="H7192" i="3"/>
  <c r="G7193" i="3"/>
  <c r="H7193" i="3"/>
  <c r="G7194" i="3"/>
  <c r="H7194" i="3"/>
  <c r="G7195" i="3"/>
  <c r="H7195" i="3"/>
  <c r="G7196" i="3"/>
  <c r="H7196" i="3"/>
  <c r="G7197" i="3"/>
  <c r="H7197" i="3"/>
  <c r="G7198" i="3"/>
  <c r="H7198" i="3"/>
  <c r="G7199" i="3"/>
  <c r="H7199" i="3"/>
  <c r="G7200" i="3"/>
  <c r="H7200" i="3"/>
  <c r="G7201" i="3"/>
  <c r="H7201" i="3"/>
  <c r="G7202" i="3"/>
  <c r="H7202" i="3"/>
  <c r="G7203" i="3"/>
  <c r="H7203" i="3"/>
  <c r="G7204" i="3"/>
  <c r="H7204" i="3"/>
  <c r="G7205" i="3"/>
  <c r="H7205" i="3"/>
  <c r="G7206" i="3"/>
  <c r="H7206" i="3"/>
  <c r="G7207" i="3"/>
  <c r="H7207" i="3"/>
  <c r="G7208" i="3"/>
  <c r="H7208" i="3"/>
  <c r="G7209" i="3"/>
  <c r="H7209" i="3"/>
  <c r="G7210" i="3"/>
  <c r="H7210" i="3"/>
  <c r="G7211" i="3"/>
  <c r="H7211" i="3"/>
  <c r="G7212" i="3"/>
  <c r="H7212" i="3"/>
  <c r="G7213" i="3"/>
  <c r="H7213" i="3"/>
  <c r="G7214" i="3"/>
  <c r="H7214" i="3"/>
  <c r="G7215" i="3"/>
  <c r="H7215" i="3"/>
  <c r="G7216" i="3"/>
  <c r="H7216" i="3"/>
  <c r="G7217" i="3"/>
  <c r="H7217" i="3"/>
  <c r="G7218" i="3"/>
  <c r="H7218" i="3"/>
  <c r="G7219" i="3"/>
  <c r="H7219" i="3"/>
  <c r="G7220" i="3"/>
  <c r="H7220" i="3"/>
  <c r="G7221" i="3"/>
  <c r="H7221" i="3"/>
  <c r="G7222" i="3"/>
  <c r="H7222" i="3"/>
  <c r="G7223" i="3"/>
  <c r="H7223" i="3"/>
  <c r="G7224" i="3"/>
  <c r="H7224" i="3"/>
  <c r="G7225" i="3"/>
  <c r="H7225" i="3"/>
  <c r="G7226" i="3"/>
  <c r="H7226" i="3"/>
  <c r="G7227" i="3"/>
  <c r="H7227" i="3"/>
  <c r="G7228" i="3"/>
  <c r="H7228" i="3"/>
  <c r="G7229" i="3"/>
  <c r="H7229" i="3"/>
  <c r="G7230" i="3"/>
  <c r="H7230" i="3"/>
  <c r="G7231" i="3"/>
  <c r="H7231" i="3"/>
  <c r="G7232" i="3"/>
  <c r="H7232" i="3"/>
  <c r="G7233" i="3"/>
  <c r="H7233" i="3"/>
  <c r="G7234" i="3"/>
  <c r="H7234" i="3"/>
  <c r="G7235" i="3"/>
  <c r="H7235" i="3"/>
  <c r="G7236" i="3"/>
  <c r="H7236" i="3"/>
  <c r="G7237" i="3"/>
  <c r="H7237" i="3"/>
  <c r="G7238" i="3"/>
  <c r="H7238" i="3"/>
  <c r="G7239" i="3"/>
  <c r="H7239" i="3"/>
  <c r="G7240" i="3"/>
  <c r="H7240" i="3"/>
  <c r="G7241" i="3"/>
  <c r="H7241" i="3"/>
  <c r="G7242" i="3"/>
  <c r="H7242" i="3"/>
  <c r="G7243" i="3"/>
  <c r="H7243" i="3"/>
  <c r="G7244" i="3"/>
  <c r="H7244" i="3"/>
  <c r="G7245" i="3"/>
  <c r="H7245" i="3"/>
  <c r="G7246" i="3"/>
  <c r="H7246" i="3"/>
  <c r="G7247" i="3"/>
  <c r="H7247" i="3"/>
  <c r="G7248" i="3"/>
  <c r="H7248" i="3"/>
  <c r="G7249" i="3"/>
  <c r="H7249" i="3"/>
  <c r="G7250" i="3"/>
  <c r="H7250" i="3"/>
  <c r="G7251" i="3"/>
  <c r="H7251" i="3"/>
  <c r="G7252" i="3"/>
  <c r="H7252" i="3"/>
  <c r="G7253" i="3"/>
  <c r="H7253" i="3"/>
  <c r="G7254" i="3"/>
  <c r="H7254" i="3"/>
  <c r="G7255" i="3"/>
  <c r="H7255" i="3"/>
  <c r="G7256" i="3"/>
  <c r="H7256" i="3"/>
  <c r="G7257" i="3"/>
  <c r="H7257" i="3"/>
  <c r="G7258" i="3"/>
  <c r="H7258" i="3"/>
  <c r="G7259" i="3"/>
  <c r="H7259" i="3"/>
  <c r="G7260" i="3"/>
  <c r="H7260" i="3"/>
  <c r="G7261" i="3"/>
  <c r="H7261" i="3"/>
  <c r="G7262" i="3"/>
  <c r="H7262" i="3"/>
  <c r="G7263" i="3"/>
  <c r="H7263" i="3"/>
  <c r="G7264" i="3"/>
  <c r="H7264" i="3"/>
  <c r="G7265" i="3"/>
  <c r="H7265" i="3"/>
  <c r="G7266" i="3"/>
  <c r="H7266" i="3"/>
  <c r="G7267" i="3"/>
  <c r="H7267" i="3"/>
  <c r="G7268" i="3"/>
  <c r="H7268" i="3"/>
  <c r="G7269" i="3"/>
  <c r="H7269" i="3"/>
  <c r="G7270" i="3"/>
  <c r="H7270" i="3"/>
  <c r="G7271" i="3"/>
  <c r="H7271" i="3"/>
  <c r="G7272" i="3"/>
  <c r="H7272" i="3"/>
  <c r="G7273" i="3"/>
  <c r="H7273" i="3"/>
  <c r="G7274" i="3"/>
  <c r="H7274" i="3"/>
  <c r="G7275" i="3"/>
  <c r="H7275" i="3"/>
  <c r="G7276" i="3"/>
  <c r="H7276" i="3"/>
  <c r="G7277" i="3"/>
  <c r="H7277" i="3"/>
  <c r="G7278" i="3"/>
  <c r="H7278" i="3"/>
  <c r="G7279" i="3"/>
  <c r="H7279" i="3"/>
  <c r="G7280" i="3"/>
  <c r="H7280" i="3"/>
  <c r="G7281" i="3"/>
  <c r="H7281" i="3"/>
  <c r="G7282" i="3"/>
  <c r="H7282" i="3"/>
  <c r="G7283" i="3"/>
  <c r="H7283" i="3"/>
  <c r="G7284" i="3"/>
  <c r="H7284" i="3"/>
  <c r="G7285" i="3"/>
  <c r="H7285" i="3"/>
  <c r="G7286" i="3"/>
  <c r="H7286" i="3"/>
  <c r="G7287" i="3"/>
  <c r="H7287" i="3"/>
  <c r="G7288" i="3"/>
  <c r="H7288" i="3"/>
  <c r="G7289" i="3"/>
  <c r="H7289" i="3"/>
  <c r="G7290" i="3"/>
  <c r="H7290" i="3"/>
  <c r="G7291" i="3"/>
  <c r="H7291" i="3"/>
  <c r="G7292" i="3"/>
  <c r="H7292" i="3"/>
  <c r="G7293" i="3"/>
  <c r="H7293" i="3"/>
  <c r="G7294" i="3"/>
  <c r="H7294" i="3"/>
  <c r="G7295" i="3"/>
  <c r="H7295" i="3"/>
  <c r="G7296" i="3"/>
  <c r="H7296" i="3"/>
  <c r="G7297" i="3"/>
  <c r="H7297" i="3"/>
  <c r="G7298" i="3"/>
  <c r="H7298" i="3"/>
  <c r="G7299" i="3"/>
  <c r="H7299" i="3"/>
  <c r="G7300" i="3"/>
  <c r="H7300" i="3"/>
  <c r="G7301" i="3"/>
  <c r="H7301" i="3"/>
  <c r="G7302" i="3"/>
  <c r="H7302" i="3"/>
  <c r="G7303" i="3"/>
  <c r="H7303" i="3"/>
  <c r="G7304" i="3"/>
  <c r="H7304" i="3"/>
  <c r="G7305" i="3"/>
  <c r="H7305" i="3"/>
  <c r="G7306" i="3"/>
  <c r="H7306" i="3"/>
  <c r="G7307" i="3"/>
  <c r="H7307" i="3"/>
  <c r="G7308" i="3"/>
  <c r="H7308" i="3"/>
  <c r="G7309" i="3"/>
  <c r="H7309" i="3"/>
  <c r="G7310" i="3"/>
  <c r="H7310" i="3"/>
  <c r="G7311" i="3"/>
  <c r="H7311" i="3"/>
  <c r="G7312" i="3"/>
  <c r="H7312" i="3"/>
  <c r="G7313" i="3"/>
  <c r="H7313" i="3"/>
  <c r="G7314" i="3"/>
  <c r="H7314" i="3"/>
  <c r="G7315" i="3"/>
  <c r="H7315" i="3"/>
  <c r="G7316" i="3"/>
  <c r="H7316" i="3"/>
  <c r="G7317" i="3"/>
  <c r="H7317" i="3"/>
  <c r="G7318" i="3"/>
  <c r="H7318" i="3"/>
  <c r="G7319" i="3"/>
  <c r="H7319" i="3"/>
  <c r="G7320" i="3"/>
  <c r="H7320" i="3"/>
  <c r="G7321" i="3"/>
  <c r="H7321" i="3"/>
  <c r="G7322" i="3"/>
  <c r="H7322" i="3"/>
  <c r="G7323" i="3"/>
  <c r="H7323" i="3"/>
  <c r="G7324" i="3"/>
  <c r="H7324" i="3"/>
  <c r="G7325" i="3"/>
  <c r="H7325" i="3"/>
  <c r="G7326" i="3"/>
  <c r="H7326" i="3"/>
  <c r="G7327" i="3"/>
  <c r="H7327" i="3"/>
  <c r="G7328" i="3"/>
  <c r="H7328" i="3"/>
  <c r="G7329" i="3"/>
  <c r="H7329" i="3"/>
  <c r="G7330" i="3"/>
  <c r="H7330" i="3"/>
  <c r="G7331" i="3"/>
  <c r="H7331" i="3"/>
  <c r="G7332" i="3"/>
  <c r="H7332" i="3"/>
  <c r="G7333" i="3"/>
  <c r="H7333" i="3"/>
  <c r="G7334" i="3"/>
  <c r="H7334" i="3"/>
  <c r="G7335" i="3"/>
  <c r="H7335" i="3"/>
  <c r="G7336" i="3"/>
  <c r="H7336" i="3"/>
  <c r="G7337" i="3"/>
  <c r="H7337" i="3"/>
  <c r="G7338" i="3"/>
  <c r="H7338" i="3"/>
  <c r="G7339" i="3"/>
  <c r="H7339" i="3"/>
  <c r="G7340" i="3"/>
  <c r="H7340" i="3"/>
  <c r="G7341" i="3"/>
  <c r="H7341" i="3"/>
  <c r="G7342" i="3"/>
  <c r="H7342" i="3"/>
  <c r="G7343" i="3"/>
  <c r="H7343" i="3"/>
  <c r="G7344" i="3"/>
  <c r="H7344" i="3"/>
  <c r="G7345" i="3"/>
  <c r="H7345" i="3"/>
  <c r="G7346" i="3"/>
  <c r="H7346" i="3"/>
  <c r="G7347" i="3"/>
  <c r="H7347" i="3"/>
  <c r="G7348" i="3"/>
  <c r="H7348" i="3"/>
  <c r="G7349" i="3"/>
  <c r="H7349" i="3"/>
  <c r="G7350" i="3"/>
  <c r="H7350" i="3"/>
  <c r="G7351" i="3"/>
  <c r="H7351" i="3"/>
  <c r="G7352" i="3"/>
  <c r="H7352" i="3"/>
  <c r="G7353" i="3"/>
  <c r="H7353" i="3"/>
  <c r="G7354" i="3"/>
  <c r="H7354" i="3"/>
  <c r="G7355" i="3"/>
  <c r="H7355" i="3"/>
  <c r="G7356" i="3"/>
  <c r="H7356" i="3"/>
  <c r="G7357" i="3"/>
  <c r="H7357" i="3"/>
  <c r="G7358" i="3"/>
  <c r="H7358" i="3"/>
  <c r="G7359" i="3"/>
  <c r="H7359" i="3"/>
  <c r="G7360" i="3"/>
  <c r="H7360" i="3"/>
  <c r="G7361" i="3"/>
  <c r="H7361" i="3"/>
  <c r="G7362" i="3"/>
  <c r="H7362" i="3"/>
  <c r="G7363" i="3"/>
  <c r="H7363" i="3"/>
  <c r="G7364" i="3"/>
  <c r="H7364" i="3"/>
  <c r="G7365" i="3"/>
  <c r="H7365" i="3"/>
  <c r="G7366" i="3"/>
  <c r="H7366" i="3"/>
  <c r="G7367" i="3"/>
  <c r="H7367" i="3"/>
  <c r="G7368" i="3"/>
  <c r="H7368" i="3"/>
  <c r="G7369" i="3"/>
  <c r="H7369" i="3"/>
  <c r="G7370" i="3"/>
  <c r="H7370" i="3"/>
  <c r="G7371" i="3"/>
  <c r="H7371" i="3"/>
  <c r="G7372" i="3"/>
  <c r="H7372" i="3"/>
  <c r="G7373" i="3"/>
  <c r="H7373" i="3"/>
  <c r="G7374" i="3"/>
  <c r="H7374" i="3"/>
  <c r="G7375" i="3"/>
  <c r="H7375" i="3"/>
  <c r="G7376" i="3"/>
  <c r="H7376" i="3"/>
  <c r="G7377" i="3"/>
  <c r="H7377" i="3"/>
  <c r="G7378" i="3"/>
  <c r="H7378" i="3"/>
  <c r="G7379" i="3"/>
  <c r="H7379" i="3"/>
  <c r="G7380" i="3"/>
  <c r="H7380" i="3"/>
  <c r="G7381" i="3"/>
  <c r="H7381" i="3"/>
  <c r="G7382" i="3"/>
  <c r="H7382" i="3"/>
  <c r="G7383" i="3"/>
  <c r="H7383" i="3"/>
  <c r="G7384" i="3"/>
  <c r="H7384" i="3"/>
  <c r="G7385" i="3"/>
  <c r="H7385" i="3"/>
  <c r="G7386" i="3"/>
  <c r="H7386" i="3"/>
  <c r="G7387" i="3"/>
  <c r="H7387" i="3"/>
  <c r="G7388" i="3"/>
  <c r="H7388" i="3"/>
  <c r="G7389" i="3"/>
  <c r="H7389" i="3"/>
  <c r="G7390" i="3"/>
  <c r="H7390" i="3"/>
  <c r="G7391" i="3"/>
  <c r="H7391" i="3"/>
  <c r="G7392" i="3"/>
  <c r="H7392" i="3"/>
  <c r="G7393" i="3"/>
  <c r="H7393" i="3"/>
  <c r="G7394" i="3"/>
  <c r="H7394" i="3"/>
  <c r="G7395" i="3"/>
  <c r="H7395" i="3"/>
  <c r="G7396" i="3"/>
  <c r="H7396" i="3"/>
  <c r="G7397" i="3"/>
  <c r="H7397" i="3"/>
  <c r="G7398" i="3"/>
  <c r="H7398" i="3"/>
  <c r="G7399" i="3"/>
  <c r="H7399" i="3"/>
  <c r="G7400" i="3"/>
  <c r="H7400" i="3"/>
  <c r="G7401" i="3"/>
  <c r="H7401" i="3"/>
  <c r="G7402" i="3"/>
  <c r="H7402" i="3"/>
  <c r="G7403" i="3"/>
  <c r="H7403" i="3"/>
  <c r="G7404" i="3"/>
  <c r="H7404" i="3"/>
  <c r="G7405" i="3"/>
  <c r="H7405" i="3"/>
  <c r="G7406" i="3"/>
  <c r="H7406" i="3"/>
  <c r="G7407" i="3"/>
  <c r="H7407" i="3"/>
  <c r="G7408" i="3"/>
  <c r="H7408" i="3"/>
  <c r="G7409" i="3"/>
  <c r="H7409" i="3"/>
  <c r="G7410" i="3"/>
  <c r="H7410" i="3"/>
  <c r="G7411" i="3"/>
  <c r="H7411" i="3"/>
  <c r="G7412" i="3"/>
  <c r="H7412" i="3"/>
  <c r="G7413" i="3"/>
  <c r="H7413" i="3"/>
  <c r="G7414" i="3"/>
  <c r="H7414" i="3"/>
  <c r="G7415" i="3"/>
  <c r="H7415" i="3"/>
  <c r="G7416" i="3"/>
  <c r="H7416" i="3"/>
  <c r="G7417" i="3"/>
  <c r="H7417" i="3"/>
  <c r="G7418" i="3"/>
  <c r="H7418" i="3"/>
  <c r="G7419" i="3"/>
  <c r="H7419" i="3"/>
  <c r="G7420" i="3"/>
  <c r="H7420" i="3"/>
  <c r="G7421" i="3"/>
  <c r="H7421" i="3"/>
  <c r="G7422" i="3"/>
  <c r="H7422" i="3"/>
  <c r="G7423" i="3"/>
  <c r="H7423" i="3"/>
  <c r="G7424" i="3"/>
  <c r="H7424" i="3"/>
  <c r="G7425" i="3"/>
  <c r="H7425" i="3"/>
  <c r="G7426" i="3"/>
  <c r="H7426" i="3"/>
  <c r="G7427" i="3"/>
  <c r="H7427" i="3"/>
  <c r="G7428" i="3"/>
  <c r="H7428" i="3"/>
  <c r="G7429" i="3"/>
  <c r="H7429" i="3"/>
  <c r="G7430" i="3"/>
  <c r="H7430" i="3"/>
  <c r="G7431" i="3"/>
  <c r="H7431" i="3"/>
  <c r="G7432" i="3"/>
  <c r="H7432" i="3"/>
  <c r="G7433" i="3"/>
  <c r="H7433" i="3"/>
  <c r="G7434" i="3"/>
  <c r="H7434" i="3"/>
  <c r="G7435" i="3"/>
  <c r="H7435" i="3"/>
  <c r="G7436" i="3"/>
  <c r="H7436" i="3"/>
  <c r="G7437" i="3"/>
  <c r="H7437" i="3"/>
  <c r="G7438" i="3"/>
  <c r="H7438" i="3"/>
  <c r="G7439" i="3"/>
  <c r="H7439" i="3"/>
  <c r="G7440" i="3"/>
  <c r="H7440" i="3"/>
  <c r="G7441" i="3"/>
  <c r="H7441" i="3"/>
  <c r="G7442" i="3"/>
  <c r="H7442" i="3"/>
  <c r="G7443" i="3"/>
  <c r="H7443" i="3"/>
  <c r="G7444" i="3"/>
  <c r="H7444" i="3"/>
  <c r="G7445" i="3"/>
  <c r="H7445" i="3"/>
  <c r="G7446" i="3"/>
  <c r="H7446" i="3"/>
  <c r="G7447" i="3"/>
  <c r="H7447" i="3"/>
  <c r="G7448" i="3"/>
  <c r="H7448" i="3"/>
  <c r="G7449" i="3"/>
  <c r="H7449" i="3"/>
  <c r="G7450" i="3"/>
  <c r="H7450" i="3"/>
  <c r="G7451" i="3"/>
  <c r="H7451" i="3"/>
  <c r="G7452" i="3"/>
  <c r="H7452" i="3"/>
  <c r="G7453" i="3"/>
  <c r="H7453" i="3"/>
  <c r="G7454" i="3"/>
  <c r="H7454" i="3"/>
  <c r="G7455" i="3"/>
  <c r="H7455" i="3"/>
  <c r="G7456" i="3"/>
  <c r="H7456" i="3"/>
  <c r="G7457" i="3"/>
  <c r="H7457" i="3"/>
  <c r="G7458" i="3"/>
  <c r="H7458" i="3"/>
  <c r="G7459" i="3"/>
  <c r="H7459" i="3"/>
  <c r="G7460" i="3"/>
  <c r="H7460" i="3"/>
  <c r="G7461" i="3"/>
  <c r="H7461" i="3"/>
  <c r="G7462" i="3"/>
  <c r="H7462" i="3"/>
  <c r="G7463" i="3"/>
  <c r="H7463" i="3"/>
  <c r="G7464" i="3"/>
  <c r="H7464" i="3"/>
  <c r="G7465" i="3"/>
  <c r="H7465" i="3"/>
  <c r="G7466" i="3"/>
  <c r="H7466" i="3"/>
  <c r="G7467" i="3"/>
  <c r="H7467" i="3"/>
  <c r="G7468" i="3"/>
  <c r="H7468" i="3"/>
  <c r="G7469" i="3"/>
  <c r="H7469" i="3"/>
  <c r="G7470" i="3"/>
  <c r="H7470" i="3"/>
  <c r="G7471" i="3"/>
  <c r="H7471" i="3"/>
  <c r="G7472" i="3"/>
  <c r="H7472" i="3"/>
  <c r="G7473" i="3"/>
  <c r="H7473" i="3"/>
  <c r="G7474" i="3"/>
  <c r="H7474" i="3"/>
  <c r="G7475" i="3"/>
  <c r="H7475" i="3"/>
  <c r="G7476" i="3"/>
  <c r="H7476" i="3"/>
  <c r="G7477" i="3"/>
  <c r="H7477" i="3"/>
  <c r="G7478" i="3"/>
  <c r="H7478" i="3"/>
  <c r="G7479" i="3"/>
  <c r="H7479" i="3"/>
  <c r="G7480" i="3"/>
  <c r="H7480" i="3"/>
  <c r="G7481" i="3"/>
  <c r="H7481" i="3"/>
  <c r="G7482" i="3"/>
  <c r="H7482" i="3"/>
  <c r="G7483" i="3"/>
  <c r="H7483" i="3"/>
  <c r="G7484" i="3"/>
  <c r="H7484" i="3"/>
  <c r="G7485" i="3"/>
  <c r="H7485" i="3"/>
  <c r="G7486" i="3"/>
  <c r="H7486" i="3"/>
  <c r="G7487" i="3"/>
  <c r="H7487" i="3"/>
  <c r="G7488" i="3"/>
  <c r="H7488" i="3"/>
  <c r="G7489" i="3"/>
  <c r="H7489" i="3"/>
  <c r="G7490" i="3"/>
  <c r="H7490" i="3"/>
  <c r="G7491" i="3"/>
  <c r="H7491" i="3"/>
  <c r="G7492" i="3"/>
  <c r="H7492" i="3"/>
  <c r="G7493" i="3"/>
  <c r="H7493" i="3"/>
  <c r="G7494" i="3"/>
  <c r="H7494" i="3"/>
  <c r="G7495" i="3"/>
  <c r="H7495" i="3"/>
  <c r="G7496" i="3"/>
  <c r="H7496" i="3"/>
  <c r="G7497" i="3"/>
  <c r="H7497" i="3"/>
  <c r="G7498" i="3"/>
  <c r="H7498" i="3"/>
  <c r="G7499" i="3"/>
  <c r="H7499" i="3"/>
  <c r="G7500" i="3"/>
  <c r="H7500" i="3"/>
  <c r="G7501" i="3"/>
  <c r="H7501" i="3"/>
  <c r="G7502" i="3"/>
  <c r="H7502" i="3"/>
  <c r="G7503" i="3"/>
  <c r="H7503" i="3"/>
  <c r="G7504" i="3"/>
  <c r="H7504" i="3"/>
  <c r="G7505" i="3"/>
  <c r="H7505" i="3"/>
  <c r="G7506" i="3"/>
  <c r="H7506" i="3"/>
  <c r="G7507" i="3"/>
  <c r="H7507" i="3"/>
  <c r="G7508" i="3"/>
  <c r="H7508" i="3"/>
  <c r="G7509" i="3"/>
  <c r="H7509" i="3"/>
  <c r="G7510" i="3"/>
  <c r="H7510" i="3"/>
  <c r="G7511" i="3"/>
  <c r="H7511" i="3"/>
  <c r="G7512" i="3"/>
  <c r="H7512" i="3"/>
  <c r="G7513" i="3"/>
  <c r="H7513" i="3"/>
  <c r="G7514" i="3"/>
  <c r="H7514" i="3"/>
  <c r="G7515" i="3"/>
  <c r="H7515" i="3"/>
  <c r="G7516" i="3"/>
  <c r="H7516" i="3"/>
  <c r="G7517" i="3"/>
  <c r="H7517" i="3"/>
  <c r="G7518" i="3"/>
  <c r="H7518" i="3"/>
  <c r="G7519" i="3"/>
  <c r="H7519" i="3"/>
  <c r="G7520" i="3"/>
  <c r="H7520" i="3"/>
  <c r="G7521" i="3"/>
  <c r="H7521" i="3"/>
  <c r="G7522" i="3"/>
  <c r="H7522" i="3"/>
  <c r="G7523" i="3"/>
  <c r="H7523" i="3"/>
  <c r="G7524" i="3"/>
  <c r="H7524" i="3"/>
  <c r="G7525" i="3"/>
  <c r="H7525" i="3"/>
  <c r="G7526" i="3"/>
  <c r="H7526" i="3"/>
  <c r="G7527" i="3"/>
  <c r="H7527" i="3"/>
  <c r="G7528" i="3"/>
  <c r="H7528" i="3"/>
  <c r="G7529" i="3"/>
  <c r="H7529" i="3"/>
  <c r="G7530" i="3"/>
  <c r="H7530" i="3"/>
  <c r="G7531" i="3"/>
  <c r="H7531" i="3"/>
  <c r="G7532" i="3"/>
  <c r="H7532" i="3"/>
  <c r="G7533" i="3"/>
  <c r="H7533" i="3"/>
  <c r="G7534" i="3"/>
  <c r="H7534" i="3"/>
  <c r="G7535" i="3"/>
  <c r="H7535" i="3"/>
  <c r="G7536" i="3"/>
  <c r="H7536" i="3"/>
  <c r="G7537" i="3"/>
  <c r="H7537" i="3"/>
  <c r="G7538" i="3"/>
  <c r="H7538" i="3"/>
  <c r="G7539" i="3"/>
  <c r="H7539" i="3"/>
  <c r="G7540" i="3"/>
  <c r="H7540" i="3"/>
  <c r="G7541" i="3"/>
  <c r="H7541" i="3"/>
  <c r="G7542" i="3"/>
  <c r="H7542" i="3"/>
  <c r="G7543" i="3"/>
  <c r="H7543" i="3"/>
  <c r="G7544" i="3"/>
  <c r="H7544" i="3"/>
  <c r="G7545" i="3"/>
  <c r="H7545" i="3"/>
  <c r="G7546" i="3"/>
  <c r="H7546" i="3"/>
  <c r="G7547" i="3"/>
  <c r="H7547" i="3"/>
  <c r="G7548" i="3"/>
  <c r="H7548" i="3"/>
  <c r="G7549" i="3"/>
  <c r="H7549" i="3"/>
  <c r="G7550" i="3"/>
  <c r="H7550" i="3"/>
  <c r="G7551" i="3"/>
  <c r="H7551" i="3"/>
  <c r="G7552" i="3"/>
  <c r="H7552" i="3"/>
  <c r="G7553" i="3"/>
  <c r="H7553" i="3"/>
  <c r="G7554" i="3"/>
  <c r="H7554" i="3"/>
  <c r="G7555" i="3"/>
  <c r="H7555" i="3"/>
  <c r="G7556" i="3"/>
  <c r="H7556" i="3"/>
  <c r="G7557" i="3"/>
  <c r="H7557" i="3"/>
  <c r="G7558" i="3"/>
  <c r="H7558" i="3"/>
  <c r="G7559" i="3"/>
  <c r="H7559" i="3"/>
  <c r="G7560" i="3"/>
  <c r="H7560" i="3"/>
  <c r="G7561" i="3"/>
  <c r="H7561" i="3"/>
  <c r="G7562" i="3"/>
  <c r="H7562" i="3"/>
  <c r="G7563" i="3"/>
  <c r="H7563" i="3"/>
  <c r="G7564" i="3"/>
  <c r="H7564" i="3"/>
  <c r="G7565" i="3"/>
  <c r="H7565" i="3"/>
  <c r="G7566" i="3"/>
  <c r="H7566" i="3"/>
  <c r="G7567" i="3"/>
  <c r="H7567" i="3"/>
  <c r="G7568" i="3"/>
  <c r="H7568" i="3"/>
  <c r="G7569" i="3"/>
  <c r="H7569" i="3"/>
  <c r="G7570" i="3"/>
  <c r="H7570" i="3"/>
  <c r="G7571" i="3"/>
  <c r="H7571" i="3"/>
  <c r="G7572" i="3"/>
  <c r="H7572" i="3"/>
  <c r="G7573" i="3"/>
  <c r="H7573" i="3"/>
  <c r="G7574" i="3"/>
  <c r="H7574" i="3"/>
  <c r="G7575" i="3"/>
  <c r="H7575" i="3"/>
  <c r="G7576" i="3"/>
  <c r="H7576" i="3"/>
  <c r="G7577" i="3"/>
  <c r="H7577" i="3"/>
  <c r="G7578" i="3"/>
  <c r="H7578" i="3"/>
  <c r="G7579" i="3"/>
  <c r="H7579" i="3"/>
  <c r="G7580" i="3"/>
  <c r="H7580" i="3"/>
  <c r="G7581" i="3"/>
  <c r="H7581" i="3"/>
  <c r="G7582" i="3"/>
  <c r="H7582" i="3"/>
  <c r="G7583" i="3"/>
  <c r="H7583" i="3"/>
  <c r="G7584" i="3"/>
  <c r="H7584" i="3"/>
  <c r="G7585" i="3"/>
  <c r="H7585" i="3"/>
  <c r="G7586" i="3"/>
  <c r="H7586" i="3"/>
  <c r="G7587" i="3"/>
  <c r="H7587" i="3"/>
  <c r="G7588" i="3"/>
  <c r="H7588" i="3"/>
  <c r="G7589" i="3"/>
  <c r="H7589" i="3"/>
  <c r="G7590" i="3"/>
  <c r="H7590" i="3"/>
  <c r="G7591" i="3"/>
  <c r="H7591" i="3"/>
  <c r="G7592" i="3"/>
  <c r="H7592" i="3"/>
  <c r="G7593" i="3"/>
  <c r="H7593" i="3"/>
  <c r="G7594" i="3"/>
  <c r="H7594" i="3"/>
  <c r="G7595" i="3"/>
  <c r="H7595" i="3"/>
  <c r="G7596" i="3"/>
  <c r="H7596" i="3"/>
  <c r="G7597" i="3"/>
  <c r="H7597" i="3"/>
  <c r="G7598" i="3"/>
  <c r="H7598" i="3"/>
  <c r="G7599" i="3"/>
  <c r="H7599" i="3"/>
  <c r="G7600" i="3"/>
  <c r="H7600" i="3"/>
  <c r="G7601" i="3"/>
  <c r="H7601" i="3"/>
  <c r="G7602" i="3"/>
  <c r="H7602" i="3"/>
  <c r="G7603" i="3"/>
  <c r="H7603" i="3"/>
  <c r="G7604" i="3"/>
  <c r="H7604" i="3"/>
  <c r="G7605" i="3"/>
  <c r="H7605" i="3"/>
  <c r="G7606" i="3"/>
  <c r="H7606" i="3"/>
  <c r="G7607" i="3"/>
  <c r="H7607" i="3"/>
  <c r="G7608" i="3"/>
  <c r="H7608" i="3"/>
  <c r="G7609" i="3"/>
  <c r="H7609" i="3"/>
  <c r="G7610" i="3"/>
  <c r="H7610" i="3"/>
  <c r="G7611" i="3"/>
  <c r="H7611" i="3"/>
  <c r="G7612" i="3"/>
  <c r="H7612" i="3"/>
  <c r="G7613" i="3"/>
  <c r="H7613" i="3"/>
  <c r="G7614" i="3"/>
  <c r="H7614" i="3"/>
  <c r="G7615" i="3"/>
  <c r="H7615" i="3"/>
  <c r="G7616" i="3"/>
  <c r="H7616" i="3"/>
  <c r="G7617" i="3"/>
  <c r="H7617" i="3"/>
  <c r="G7618" i="3"/>
  <c r="H7618" i="3"/>
  <c r="G7619" i="3"/>
  <c r="H7619" i="3"/>
  <c r="G7620" i="3"/>
  <c r="H7620" i="3"/>
  <c r="G7621" i="3"/>
  <c r="H7621" i="3"/>
  <c r="G7622" i="3"/>
  <c r="H7622" i="3"/>
  <c r="G7623" i="3"/>
  <c r="H7623" i="3"/>
  <c r="G7624" i="3"/>
  <c r="H7624" i="3"/>
  <c r="G7625" i="3"/>
  <c r="H7625" i="3"/>
  <c r="G7626" i="3"/>
  <c r="H7626" i="3"/>
  <c r="G7627" i="3"/>
  <c r="H7627" i="3"/>
  <c r="G7628" i="3"/>
  <c r="H7628" i="3"/>
  <c r="G7629" i="3"/>
  <c r="H7629" i="3"/>
  <c r="G7630" i="3"/>
  <c r="H7630" i="3"/>
  <c r="G7631" i="3"/>
  <c r="H7631" i="3"/>
  <c r="G7632" i="3"/>
  <c r="H7632" i="3"/>
  <c r="G7633" i="3"/>
  <c r="H7633" i="3"/>
  <c r="G7634" i="3"/>
  <c r="H7634" i="3"/>
  <c r="G7635" i="3"/>
  <c r="H7635" i="3"/>
  <c r="G7636" i="3"/>
  <c r="H7636" i="3"/>
  <c r="G7637" i="3"/>
  <c r="H7637" i="3"/>
  <c r="G7638" i="3"/>
  <c r="H7638" i="3"/>
  <c r="G7639" i="3"/>
  <c r="H7639" i="3"/>
  <c r="G7640" i="3"/>
  <c r="H7640" i="3"/>
  <c r="G7641" i="3"/>
  <c r="H7641" i="3"/>
  <c r="G7642" i="3"/>
  <c r="H7642" i="3"/>
  <c r="G7643" i="3"/>
  <c r="H7643" i="3"/>
  <c r="G7644" i="3"/>
  <c r="H7644" i="3"/>
  <c r="G7645" i="3"/>
  <c r="H7645" i="3"/>
  <c r="G7646" i="3"/>
  <c r="H7646" i="3"/>
  <c r="G7647" i="3"/>
  <c r="H7647" i="3"/>
  <c r="G7648" i="3"/>
  <c r="H7648" i="3"/>
  <c r="G7649" i="3"/>
  <c r="H7649" i="3"/>
  <c r="G7650" i="3"/>
  <c r="H7650" i="3"/>
  <c r="G7651" i="3"/>
  <c r="H7651" i="3"/>
  <c r="G7652" i="3"/>
  <c r="H7652" i="3"/>
  <c r="G7653" i="3"/>
  <c r="H7653" i="3"/>
  <c r="G7654" i="3"/>
  <c r="H7654" i="3"/>
  <c r="G7655" i="3"/>
  <c r="H7655" i="3"/>
  <c r="G7656" i="3"/>
  <c r="H7656" i="3"/>
  <c r="G7657" i="3"/>
  <c r="H7657" i="3"/>
  <c r="G7658" i="3"/>
  <c r="H7658" i="3"/>
  <c r="G7659" i="3"/>
  <c r="H7659" i="3"/>
  <c r="G7660" i="3"/>
  <c r="H7660" i="3"/>
  <c r="G7661" i="3"/>
  <c r="H7661" i="3"/>
  <c r="G7662" i="3"/>
  <c r="H7662" i="3"/>
  <c r="G7663" i="3"/>
  <c r="H7663" i="3"/>
  <c r="G7664" i="3"/>
  <c r="H7664" i="3"/>
  <c r="G7665" i="3"/>
  <c r="H7665" i="3"/>
  <c r="G7666" i="3"/>
  <c r="H7666" i="3"/>
  <c r="G7667" i="3"/>
  <c r="H7667" i="3"/>
  <c r="G7668" i="3"/>
  <c r="H7668" i="3"/>
  <c r="G7669" i="3"/>
  <c r="H7669" i="3"/>
  <c r="G7670" i="3"/>
  <c r="H7670" i="3"/>
  <c r="G7671" i="3"/>
  <c r="H7671" i="3"/>
  <c r="G7672" i="3"/>
  <c r="H7672" i="3"/>
  <c r="G7673" i="3"/>
  <c r="H7673" i="3"/>
  <c r="G7674" i="3"/>
  <c r="H7674" i="3"/>
  <c r="G7675" i="3"/>
  <c r="H7675" i="3"/>
  <c r="G7676" i="3"/>
  <c r="H7676" i="3"/>
  <c r="G7677" i="3"/>
  <c r="H7677" i="3"/>
  <c r="G7678" i="3"/>
  <c r="H7678" i="3"/>
  <c r="G7679" i="3"/>
  <c r="H7679" i="3"/>
  <c r="G7680" i="3"/>
  <c r="H7680" i="3"/>
  <c r="G7681" i="3"/>
  <c r="H7681" i="3"/>
  <c r="G7682" i="3"/>
  <c r="H7682" i="3"/>
  <c r="G7683" i="3"/>
  <c r="H7683" i="3"/>
  <c r="G7684" i="3"/>
  <c r="H7684" i="3"/>
  <c r="G7685" i="3"/>
  <c r="H7685" i="3"/>
  <c r="G7686" i="3"/>
  <c r="H7686" i="3"/>
  <c r="G7687" i="3"/>
  <c r="H7687" i="3"/>
  <c r="G7688" i="3"/>
  <c r="H7688" i="3"/>
  <c r="G7689" i="3"/>
  <c r="H7689" i="3"/>
  <c r="G7690" i="3"/>
  <c r="H7690" i="3"/>
  <c r="G7691" i="3"/>
  <c r="H7691" i="3"/>
  <c r="G7692" i="3"/>
  <c r="H7692" i="3"/>
  <c r="G7693" i="3"/>
  <c r="H7693" i="3"/>
  <c r="G7694" i="3"/>
  <c r="H7694" i="3"/>
  <c r="G7695" i="3"/>
  <c r="H7695" i="3"/>
  <c r="G7696" i="3"/>
  <c r="H7696" i="3"/>
  <c r="G7697" i="3"/>
  <c r="H7697" i="3"/>
  <c r="G7698" i="3"/>
  <c r="H7698" i="3"/>
  <c r="G7699" i="3"/>
  <c r="H7699" i="3"/>
  <c r="G7700" i="3"/>
  <c r="H7700" i="3"/>
  <c r="G7701" i="3"/>
  <c r="H7701" i="3"/>
  <c r="G7702" i="3"/>
  <c r="H7702" i="3"/>
  <c r="G7703" i="3"/>
  <c r="H7703" i="3"/>
  <c r="G7704" i="3"/>
  <c r="H7704" i="3"/>
  <c r="G7705" i="3"/>
  <c r="H7705" i="3"/>
  <c r="G7706" i="3"/>
  <c r="H7706" i="3"/>
  <c r="G7707" i="3"/>
  <c r="H7707" i="3"/>
  <c r="G7708" i="3"/>
  <c r="H7708" i="3"/>
  <c r="G7709" i="3"/>
  <c r="H7709" i="3"/>
  <c r="G7710" i="3"/>
  <c r="H7710" i="3"/>
  <c r="G7711" i="3"/>
  <c r="H7711" i="3"/>
  <c r="G7712" i="3"/>
  <c r="H7712" i="3"/>
  <c r="G7713" i="3"/>
  <c r="H7713" i="3"/>
  <c r="G7714" i="3"/>
  <c r="H7714" i="3"/>
  <c r="G7715" i="3"/>
  <c r="H7715" i="3"/>
  <c r="G7716" i="3"/>
  <c r="H7716" i="3"/>
  <c r="G7717" i="3"/>
  <c r="H7717" i="3"/>
  <c r="G7718" i="3"/>
  <c r="H7718" i="3"/>
  <c r="G7719" i="3"/>
  <c r="H7719" i="3"/>
  <c r="G7720" i="3"/>
  <c r="H7720" i="3"/>
  <c r="G7721" i="3"/>
  <c r="H7721" i="3"/>
  <c r="G7722" i="3"/>
  <c r="H7722" i="3"/>
  <c r="G7723" i="3"/>
  <c r="H7723" i="3"/>
  <c r="G7724" i="3"/>
  <c r="H7724" i="3"/>
  <c r="G7725" i="3"/>
  <c r="H7725" i="3"/>
  <c r="G7726" i="3"/>
  <c r="H7726" i="3"/>
  <c r="G7727" i="3"/>
  <c r="H7727" i="3"/>
  <c r="G7728" i="3"/>
  <c r="H7728" i="3"/>
  <c r="G7729" i="3"/>
  <c r="H7729" i="3"/>
  <c r="G7730" i="3"/>
  <c r="H7730" i="3"/>
  <c r="G7731" i="3"/>
  <c r="H7731" i="3"/>
  <c r="G7732" i="3"/>
  <c r="H7732" i="3"/>
  <c r="G7733" i="3"/>
  <c r="H7733" i="3"/>
  <c r="G7734" i="3"/>
  <c r="H7734" i="3"/>
  <c r="G7735" i="3"/>
  <c r="H7735" i="3"/>
  <c r="G7736" i="3"/>
  <c r="H7736" i="3"/>
  <c r="G7737" i="3"/>
  <c r="H7737" i="3"/>
  <c r="G7738" i="3"/>
  <c r="H7738" i="3"/>
  <c r="G7739" i="3"/>
  <c r="H7739" i="3"/>
  <c r="G7740" i="3"/>
  <c r="H7740" i="3"/>
  <c r="G7741" i="3"/>
  <c r="H7741" i="3"/>
  <c r="G7742" i="3"/>
  <c r="H7742" i="3"/>
  <c r="G7743" i="3"/>
  <c r="H7743" i="3"/>
  <c r="G7744" i="3"/>
  <c r="H7744" i="3"/>
  <c r="G7745" i="3"/>
  <c r="H7745" i="3"/>
  <c r="G7746" i="3"/>
  <c r="H7746" i="3"/>
  <c r="G7747" i="3"/>
  <c r="H7747" i="3"/>
  <c r="G7748" i="3"/>
  <c r="H7748" i="3"/>
  <c r="G7749" i="3"/>
  <c r="H7749" i="3"/>
  <c r="G7750" i="3"/>
  <c r="H7750" i="3"/>
  <c r="G7751" i="3"/>
  <c r="H7751" i="3"/>
  <c r="G7752" i="3"/>
  <c r="H7752" i="3"/>
  <c r="G7753" i="3"/>
  <c r="H7753" i="3"/>
  <c r="G7754" i="3"/>
  <c r="H7754" i="3"/>
  <c r="G7755" i="3"/>
  <c r="H7755" i="3"/>
  <c r="G7756" i="3"/>
  <c r="H7756" i="3"/>
  <c r="G7757" i="3"/>
  <c r="H7757" i="3"/>
  <c r="G7758" i="3"/>
  <c r="H7758" i="3"/>
  <c r="G7759" i="3"/>
  <c r="H7759" i="3"/>
  <c r="G7760" i="3"/>
  <c r="H7760" i="3"/>
  <c r="G7761" i="3"/>
  <c r="H7761" i="3"/>
  <c r="G7762" i="3"/>
  <c r="H7762" i="3"/>
  <c r="G7763" i="3"/>
  <c r="H7763" i="3"/>
  <c r="G7764" i="3"/>
  <c r="H7764" i="3"/>
  <c r="G7765" i="3"/>
  <c r="H7765" i="3"/>
  <c r="G7766" i="3"/>
  <c r="H7766" i="3"/>
  <c r="G7767" i="3"/>
  <c r="H7767" i="3"/>
  <c r="G7768" i="3"/>
  <c r="H7768" i="3"/>
  <c r="G7769" i="3"/>
  <c r="H7769" i="3"/>
  <c r="G7770" i="3"/>
  <c r="H7770" i="3"/>
  <c r="G7771" i="3"/>
  <c r="H7771" i="3"/>
  <c r="G7772" i="3"/>
  <c r="H7772" i="3"/>
  <c r="G7773" i="3"/>
  <c r="H7773" i="3"/>
  <c r="G7774" i="3"/>
  <c r="H7774" i="3"/>
  <c r="G7775" i="3"/>
  <c r="H7775" i="3"/>
  <c r="G7776" i="3"/>
  <c r="H7776" i="3"/>
  <c r="G7777" i="3"/>
  <c r="H7777" i="3"/>
  <c r="G7778" i="3"/>
  <c r="H7778" i="3"/>
  <c r="G7779" i="3"/>
  <c r="H7779" i="3"/>
  <c r="G7780" i="3"/>
  <c r="H7780" i="3"/>
  <c r="G7781" i="3"/>
  <c r="H7781" i="3"/>
  <c r="G7782" i="3"/>
  <c r="H7782" i="3"/>
  <c r="G7783" i="3"/>
  <c r="H7783" i="3"/>
  <c r="G7784" i="3"/>
  <c r="H7784" i="3"/>
  <c r="G7785" i="3"/>
  <c r="H7785" i="3"/>
  <c r="G7786" i="3"/>
  <c r="H7786" i="3"/>
  <c r="G7787" i="3"/>
  <c r="H7787" i="3"/>
  <c r="G7788" i="3"/>
  <c r="H7788" i="3"/>
  <c r="G7789" i="3"/>
  <c r="H7789" i="3"/>
  <c r="G7790" i="3"/>
  <c r="H7790" i="3"/>
  <c r="G7791" i="3"/>
  <c r="H7791" i="3"/>
  <c r="G7792" i="3"/>
  <c r="H7792" i="3"/>
  <c r="G7793" i="3"/>
  <c r="H7793" i="3"/>
  <c r="G7794" i="3"/>
  <c r="H7794" i="3"/>
  <c r="G7795" i="3"/>
  <c r="H7795" i="3"/>
  <c r="G7796" i="3"/>
  <c r="H7796" i="3"/>
  <c r="G7797" i="3"/>
  <c r="H7797" i="3"/>
  <c r="G7798" i="3"/>
  <c r="H7798" i="3"/>
  <c r="G7799" i="3"/>
  <c r="H7799" i="3"/>
  <c r="G7800" i="3"/>
  <c r="H7800" i="3"/>
  <c r="G7801" i="3"/>
  <c r="H7801" i="3"/>
  <c r="G7802" i="3"/>
  <c r="H7802" i="3"/>
  <c r="G7803" i="3"/>
  <c r="H7803" i="3"/>
  <c r="G7804" i="3"/>
  <c r="H7804" i="3"/>
  <c r="G7805" i="3"/>
  <c r="H7805" i="3"/>
  <c r="G7806" i="3"/>
  <c r="H7806" i="3"/>
  <c r="G7807" i="3"/>
  <c r="H7807" i="3"/>
  <c r="G7808" i="3"/>
  <c r="H7808" i="3"/>
  <c r="G7809" i="3"/>
  <c r="H7809" i="3"/>
  <c r="G7810" i="3"/>
  <c r="H7810" i="3"/>
  <c r="G7811" i="3"/>
  <c r="H7811" i="3"/>
  <c r="G7812" i="3"/>
  <c r="H7812" i="3"/>
  <c r="G7813" i="3"/>
  <c r="H7813" i="3"/>
  <c r="G7814" i="3"/>
  <c r="H7814" i="3"/>
  <c r="G7815" i="3"/>
  <c r="H7815" i="3"/>
  <c r="G7816" i="3"/>
  <c r="H7816" i="3"/>
  <c r="G7817" i="3"/>
  <c r="H7817" i="3"/>
  <c r="G7818" i="3"/>
  <c r="H7818" i="3"/>
  <c r="G7819" i="3"/>
  <c r="H7819" i="3"/>
  <c r="G7820" i="3"/>
  <c r="H7820" i="3"/>
  <c r="G7821" i="3"/>
  <c r="H7821" i="3"/>
  <c r="G7822" i="3"/>
  <c r="H7822" i="3"/>
  <c r="G7823" i="3"/>
  <c r="H7823" i="3"/>
  <c r="G7824" i="3"/>
  <c r="H7824" i="3"/>
  <c r="G7825" i="3"/>
  <c r="H7825" i="3"/>
  <c r="G7826" i="3"/>
  <c r="H7826" i="3"/>
  <c r="G7827" i="3"/>
  <c r="H7827" i="3"/>
  <c r="G7828" i="3"/>
  <c r="H7828" i="3"/>
  <c r="G7829" i="3"/>
  <c r="H7829" i="3"/>
  <c r="G7830" i="3"/>
  <c r="H7830" i="3"/>
  <c r="G7831" i="3"/>
  <c r="H7831" i="3"/>
  <c r="G7832" i="3"/>
  <c r="H7832" i="3"/>
  <c r="G7833" i="3"/>
  <c r="H7833" i="3"/>
  <c r="G7834" i="3"/>
  <c r="H7834" i="3"/>
  <c r="G7835" i="3"/>
  <c r="H7835" i="3"/>
  <c r="G7836" i="3"/>
  <c r="H7836" i="3"/>
  <c r="G7837" i="3"/>
  <c r="H7837" i="3"/>
  <c r="G7838" i="3"/>
  <c r="H7838" i="3"/>
  <c r="G7839" i="3"/>
  <c r="H7839" i="3"/>
  <c r="G7840" i="3"/>
  <c r="H7840" i="3"/>
  <c r="G7841" i="3"/>
  <c r="H7841" i="3"/>
  <c r="G7842" i="3"/>
  <c r="H7842" i="3"/>
  <c r="G7843" i="3"/>
  <c r="H7843" i="3"/>
  <c r="G7844" i="3"/>
  <c r="H7844" i="3"/>
  <c r="G7845" i="3"/>
  <c r="H7845" i="3"/>
  <c r="G7846" i="3"/>
  <c r="H7846" i="3"/>
  <c r="G7847" i="3"/>
  <c r="H7847" i="3"/>
  <c r="G7848" i="3"/>
  <c r="H7848" i="3"/>
  <c r="G7849" i="3"/>
  <c r="H7849" i="3"/>
  <c r="G7850" i="3"/>
  <c r="H7850" i="3"/>
  <c r="G7851" i="3"/>
  <c r="H7851" i="3"/>
  <c r="G7852" i="3"/>
  <c r="H7852" i="3"/>
  <c r="G7853" i="3"/>
  <c r="H7853" i="3"/>
  <c r="G7854" i="3"/>
  <c r="H7854" i="3"/>
  <c r="G7855" i="3"/>
  <c r="H7855" i="3"/>
  <c r="G7856" i="3"/>
  <c r="H7856" i="3"/>
  <c r="G7857" i="3"/>
  <c r="H7857" i="3"/>
  <c r="G7858" i="3"/>
  <c r="H7858" i="3"/>
  <c r="G7859" i="3"/>
  <c r="H7859" i="3"/>
  <c r="G7860" i="3"/>
  <c r="H7860" i="3"/>
  <c r="G7861" i="3"/>
  <c r="H7861" i="3"/>
  <c r="G7862" i="3"/>
  <c r="H7862" i="3"/>
  <c r="G7863" i="3"/>
  <c r="H7863" i="3"/>
  <c r="G7864" i="3"/>
  <c r="H7864" i="3"/>
  <c r="G7865" i="3"/>
  <c r="H7865" i="3"/>
  <c r="G7866" i="3"/>
  <c r="H7866" i="3"/>
  <c r="G7867" i="3"/>
  <c r="H7867" i="3"/>
  <c r="G7868" i="3"/>
  <c r="H7868" i="3"/>
  <c r="G7869" i="3"/>
  <c r="H7869" i="3"/>
  <c r="G7870" i="3"/>
  <c r="H7870" i="3"/>
  <c r="G7871" i="3"/>
  <c r="H7871" i="3"/>
  <c r="G7872" i="3"/>
  <c r="H7872" i="3"/>
  <c r="G7873" i="3"/>
  <c r="H7873" i="3"/>
  <c r="G7874" i="3"/>
  <c r="H7874" i="3"/>
  <c r="G7875" i="3"/>
  <c r="H7875" i="3"/>
  <c r="G7876" i="3"/>
  <c r="H7876" i="3"/>
  <c r="G7877" i="3"/>
  <c r="H7877" i="3"/>
  <c r="G7878" i="3"/>
  <c r="H7878" i="3"/>
  <c r="G7879" i="3"/>
  <c r="H7879" i="3"/>
  <c r="G7880" i="3"/>
  <c r="H7880" i="3"/>
  <c r="G7881" i="3"/>
  <c r="H7881" i="3"/>
  <c r="G7882" i="3"/>
  <c r="H7882" i="3"/>
  <c r="G7883" i="3"/>
  <c r="H7883" i="3"/>
  <c r="G7884" i="3"/>
  <c r="H7884" i="3"/>
  <c r="G7885" i="3"/>
  <c r="H7885" i="3"/>
  <c r="G7886" i="3"/>
  <c r="H7886" i="3"/>
  <c r="G7887" i="3"/>
  <c r="H7887" i="3"/>
  <c r="G7888" i="3"/>
  <c r="H7888" i="3"/>
  <c r="G7889" i="3"/>
  <c r="H7889" i="3"/>
  <c r="G7890" i="3"/>
  <c r="H7890" i="3"/>
  <c r="G7891" i="3"/>
  <c r="H7891" i="3"/>
  <c r="G7892" i="3"/>
  <c r="H7892" i="3"/>
  <c r="G7893" i="3"/>
  <c r="H7893" i="3"/>
  <c r="G7894" i="3"/>
  <c r="H7894" i="3"/>
  <c r="G7895" i="3"/>
  <c r="H7895" i="3"/>
  <c r="G7896" i="3"/>
  <c r="H7896" i="3"/>
  <c r="G7897" i="3"/>
  <c r="H7897" i="3"/>
  <c r="G7898" i="3"/>
  <c r="H7898" i="3"/>
  <c r="G7899" i="3"/>
  <c r="H7899" i="3"/>
  <c r="G7900" i="3"/>
  <c r="H7900" i="3"/>
  <c r="G7901" i="3"/>
  <c r="H7901" i="3"/>
  <c r="G7902" i="3"/>
  <c r="H7902" i="3"/>
  <c r="G7903" i="3"/>
  <c r="H7903" i="3"/>
  <c r="G7904" i="3"/>
  <c r="H7904" i="3"/>
  <c r="G7905" i="3"/>
  <c r="H7905" i="3"/>
  <c r="G7906" i="3"/>
  <c r="H7906" i="3"/>
  <c r="G7907" i="3"/>
  <c r="H7907" i="3"/>
  <c r="G7908" i="3"/>
  <c r="H7908" i="3"/>
  <c r="G7909" i="3"/>
  <c r="H7909" i="3"/>
  <c r="G7910" i="3"/>
  <c r="H7910" i="3"/>
  <c r="G7911" i="3"/>
  <c r="H7911" i="3"/>
  <c r="G7912" i="3"/>
  <c r="H7912" i="3"/>
  <c r="G7913" i="3"/>
  <c r="H7913" i="3"/>
  <c r="G7914" i="3"/>
  <c r="H7914" i="3"/>
  <c r="G7915" i="3"/>
  <c r="H7915" i="3"/>
  <c r="G7916" i="3"/>
  <c r="H7916" i="3"/>
  <c r="G7917" i="3"/>
  <c r="H7917" i="3"/>
  <c r="G7918" i="3"/>
  <c r="H7918" i="3"/>
  <c r="G7919" i="3"/>
  <c r="H7919" i="3"/>
  <c r="G7920" i="3"/>
  <c r="H7920" i="3"/>
  <c r="G7921" i="3"/>
  <c r="H7921" i="3"/>
  <c r="G7922" i="3"/>
  <c r="H7922" i="3"/>
  <c r="G7923" i="3"/>
  <c r="H7923" i="3"/>
  <c r="G7924" i="3"/>
  <c r="H7924" i="3"/>
  <c r="G7925" i="3"/>
  <c r="H7925" i="3"/>
  <c r="G7926" i="3"/>
  <c r="H7926" i="3"/>
  <c r="G7927" i="3"/>
  <c r="H7927" i="3"/>
  <c r="G7928" i="3"/>
  <c r="H7928" i="3"/>
  <c r="G7929" i="3"/>
  <c r="H7929" i="3"/>
  <c r="G7930" i="3"/>
  <c r="H7930" i="3"/>
  <c r="G7931" i="3"/>
  <c r="H7931" i="3"/>
  <c r="G7932" i="3"/>
  <c r="H7932" i="3"/>
  <c r="G7933" i="3"/>
  <c r="H7933" i="3"/>
  <c r="G7934" i="3"/>
  <c r="H7934" i="3"/>
  <c r="G7935" i="3"/>
  <c r="H7935" i="3"/>
  <c r="G7936" i="3"/>
  <c r="H7936" i="3"/>
  <c r="G7937" i="3"/>
  <c r="H7937" i="3"/>
  <c r="G7938" i="3"/>
  <c r="H7938" i="3"/>
  <c r="G7939" i="3"/>
  <c r="H7939" i="3"/>
  <c r="G7940" i="3"/>
  <c r="H7940" i="3"/>
  <c r="G7941" i="3"/>
  <c r="H7941" i="3"/>
  <c r="G7942" i="3"/>
  <c r="H7942" i="3"/>
  <c r="G7943" i="3"/>
  <c r="H7943" i="3"/>
  <c r="G7944" i="3"/>
  <c r="H7944" i="3"/>
  <c r="G7945" i="3"/>
  <c r="H7945" i="3"/>
  <c r="G7946" i="3"/>
  <c r="H7946" i="3"/>
  <c r="G7947" i="3"/>
  <c r="H7947" i="3"/>
  <c r="G7948" i="3"/>
  <c r="H7948" i="3"/>
  <c r="G7949" i="3"/>
  <c r="H7949" i="3"/>
  <c r="G7950" i="3"/>
  <c r="H7950" i="3"/>
  <c r="G7951" i="3"/>
  <c r="H7951" i="3"/>
  <c r="G7952" i="3"/>
  <c r="H7952" i="3"/>
  <c r="G7953" i="3"/>
  <c r="H7953" i="3"/>
  <c r="G7954" i="3"/>
  <c r="H7954" i="3"/>
  <c r="G7955" i="3"/>
  <c r="H7955" i="3"/>
  <c r="G7956" i="3"/>
  <c r="H7956" i="3"/>
  <c r="G7957" i="3"/>
  <c r="H7957" i="3"/>
  <c r="G7958" i="3"/>
  <c r="H7958" i="3"/>
  <c r="G7959" i="3"/>
  <c r="H7959" i="3"/>
  <c r="G7960" i="3"/>
  <c r="H7960" i="3"/>
  <c r="G7961" i="3"/>
  <c r="H7961" i="3"/>
  <c r="G7962" i="3"/>
  <c r="H7962" i="3"/>
  <c r="G7963" i="3"/>
  <c r="H7963" i="3"/>
  <c r="G7964" i="3"/>
  <c r="H7964" i="3"/>
  <c r="G7965" i="3"/>
  <c r="H7965" i="3"/>
  <c r="G7966" i="3"/>
  <c r="H7966" i="3"/>
  <c r="G7967" i="3"/>
  <c r="H7967" i="3"/>
  <c r="G7968" i="3"/>
  <c r="H7968" i="3"/>
  <c r="G7969" i="3"/>
  <c r="H7969" i="3"/>
  <c r="G7970" i="3"/>
  <c r="H7970" i="3"/>
  <c r="G7971" i="3"/>
  <c r="H7971" i="3"/>
  <c r="G7972" i="3"/>
  <c r="H7972" i="3"/>
  <c r="G7973" i="3"/>
  <c r="H7973" i="3"/>
  <c r="G7974" i="3"/>
  <c r="H7974" i="3"/>
  <c r="G7975" i="3"/>
  <c r="H7975" i="3"/>
  <c r="G7976" i="3"/>
  <c r="H7976" i="3"/>
  <c r="G7977" i="3"/>
  <c r="H7977" i="3"/>
  <c r="G7978" i="3"/>
  <c r="H7978" i="3"/>
  <c r="G7979" i="3"/>
  <c r="H7979" i="3"/>
  <c r="G7980" i="3"/>
  <c r="H7980" i="3"/>
  <c r="G7981" i="3"/>
  <c r="H7981" i="3"/>
  <c r="G7982" i="3"/>
  <c r="H7982" i="3"/>
  <c r="G7983" i="3"/>
  <c r="H7983" i="3"/>
  <c r="G7984" i="3"/>
  <c r="H7984" i="3"/>
  <c r="G7985" i="3"/>
  <c r="H7985" i="3"/>
  <c r="G7986" i="3"/>
  <c r="H7986" i="3"/>
  <c r="G7987" i="3"/>
  <c r="H7987" i="3"/>
  <c r="G7988" i="3"/>
  <c r="H7988" i="3"/>
  <c r="G7989" i="3"/>
  <c r="H7989" i="3"/>
  <c r="G7990" i="3"/>
  <c r="H7990" i="3"/>
  <c r="G7991" i="3"/>
  <c r="H7991" i="3"/>
  <c r="G7992" i="3"/>
  <c r="H7992" i="3"/>
  <c r="G7993" i="3"/>
  <c r="H7993" i="3"/>
  <c r="G7994" i="3"/>
  <c r="H7994" i="3"/>
  <c r="G7995" i="3"/>
  <c r="H7995" i="3"/>
  <c r="G7996" i="3"/>
  <c r="H7996" i="3"/>
  <c r="G7997" i="3"/>
  <c r="H7997" i="3"/>
  <c r="G7998" i="3"/>
  <c r="H7998" i="3"/>
  <c r="G7999" i="3"/>
  <c r="H7999" i="3"/>
  <c r="G8000" i="3"/>
  <c r="H8000" i="3"/>
  <c r="G8001" i="3"/>
  <c r="H8001" i="3"/>
  <c r="G8002" i="3"/>
  <c r="H8002" i="3"/>
  <c r="G8003" i="3"/>
  <c r="H8003" i="3"/>
  <c r="G8004" i="3"/>
  <c r="H8004" i="3"/>
  <c r="G8005" i="3"/>
  <c r="H8005" i="3"/>
  <c r="G8006" i="3"/>
  <c r="H8006" i="3"/>
  <c r="G8007" i="3"/>
  <c r="H8007" i="3"/>
  <c r="G8008" i="3"/>
  <c r="H8008" i="3"/>
  <c r="G8009" i="3"/>
  <c r="H8009" i="3"/>
  <c r="G8010" i="3"/>
  <c r="H8010" i="3"/>
  <c r="G8011" i="3"/>
  <c r="H8011" i="3"/>
  <c r="G8012" i="3"/>
  <c r="H8012" i="3"/>
  <c r="G8013" i="3"/>
  <c r="H8013" i="3"/>
  <c r="G8014" i="3"/>
  <c r="H8014" i="3"/>
  <c r="G8015" i="3"/>
  <c r="H8015" i="3"/>
  <c r="G8016" i="3"/>
  <c r="H8016" i="3"/>
  <c r="G8017" i="3"/>
  <c r="H8017" i="3"/>
  <c r="G8018" i="3"/>
  <c r="H8018" i="3"/>
  <c r="G8019" i="3"/>
  <c r="H8019" i="3"/>
  <c r="G8020" i="3"/>
  <c r="H8020" i="3"/>
  <c r="G8021" i="3"/>
  <c r="H8021" i="3"/>
  <c r="G8022" i="3"/>
  <c r="H8022" i="3"/>
  <c r="G8023" i="3"/>
  <c r="H8023" i="3"/>
  <c r="G8024" i="3"/>
  <c r="H8024" i="3"/>
  <c r="G8025" i="3"/>
  <c r="H8025" i="3"/>
  <c r="G8026" i="3"/>
  <c r="H8026" i="3"/>
  <c r="G8027" i="3"/>
  <c r="H8027" i="3"/>
  <c r="G8028" i="3"/>
  <c r="H8028" i="3"/>
  <c r="G8029" i="3"/>
  <c r="H8029" i="3"/>
  <c r="G8030" i="3"/>
  <c r="H8030" i="3"/>
  <c r="G8031" i="3"/>
  <c r="H8031" i="3"/>
  <c r="G8032" i="3"/>
  <c r="H8032" i="3"/>
  <c r="G8033" i="3"/>
  <c r="H8033" i="3"/>
  <c r="G8034" i="3"/>
  <c r="H8034" i="3"/>
  <c r="G8035" i="3"/>
  <c r="H8035" i="3"/>
  <c r="G8036" i="3"/>
  <c r="H8036" i="3"/>
  <c r="G8037" i="3"/>
  <c r="H8037" i="3"/>
  <c r="G8038" i="3"/>
  <c r="H8038" i="3"/>
  <c r="G8039" i="3"/>
  <c r="H8039" i="3"/>
  <c r="G8040" i="3"/>
  <c r="H8040" i="3"/>
  <c r="G8041" i="3"/>
  <c r="H8041" i="3"/>
  <c r="G8042" i="3"/>
  <c r="H8042" i="3"/>
  <c r="G8043" i="3"/>
  <c r="H8043" i="3"/>
  <c r="G8044" i="3"/>
  <c r="H8044" i="3"/>
  <c r="G8045" i="3"/>
  <c r="H8045" i="3"/>
  <c r="G8046" i="3"/>
  <c r="H8046" i="3"/>
  <c r="G8047" i="3"/>
  <c r="H8047" i="3"/>
  <c r="G8048" i="3"/>
  <c r="H8048" i="3"/>
  <c r="G8049" i="3"/>
  <c r="H8049" i="3"/>
  <c r="G8050" i="3"/>
  <c r="H8050" i="3"/>
  <c r="G8051" i="3"/>
  <c r="H8051" i="3"/>
  <c r="G8052" i="3"/>
  <c r="H8052" i="3"/>
  <c r="G8053" i="3"/>
  <c r="H8053" i="3"/>
  <c r="G8054" i="3"/>
  <c r="H8054" i="3"/>
  <c r="G8055" i="3"/>
  <c r="H8055" i="3"/>
  <c r="G8056" i="3"/>
  <c r="H8056" i="3"/>
  <c r="G8057" i="3"/>
  <c r="H8057" i="3"/>
  <c r="G8058" i="3"/>
  <c r="H8058" i="3"/>
  <c r="G8059" i="3"/>
  <c r="H8059" i="3"/>
  <c r="G8060" i="3"/>
  <c r="H8060" i="3"/>
  <c r="G8061" i="3"/>
  <c r="H8061" i="3"/>
  <c r="G8062" i="3"/>
  <c r="H8062" i="3"/>
  <c r="G8063" i="3"/>
  <c r="H8063" i="3"/>
  <c r="G8064" i="3"/>
  <c r="H8064" i="3"/>
  <c r="G8065" i="3"/>
  <c r="H8065" i="3"/>
  <c r="G8066" i="3"/>
  <c r="H8066" i="3"/>
  <c r="G8067" i="3"/>
  <c r="H8067" i="3"/>
  <c r="G8068" i="3"/>
  <c r="H8068" i="3"/>
  <c r="G8069" i="3"/>
  <c r="H8069" i="3"/>
  <c r="G8070" i="3"/>
  <c r="H8070" i="3"/>
  <c r="G8071" i="3"/>
  <c r="H8071" i="3"/>
  <c r="G8072" i="3"/>
  <c r="H8072" i="3"/>
  <c r="G8073" i="3"/>
  <c r="H8073" i="3"/>
  <c r="G8074" i="3"/>
  <c r="H8074" i="3"/>
  <c r="G8075" i="3"/>
  <c r="H8075" i="3"/>
  <c r="G8076" i="3"/>
  <c r="H8076" i="3"/>
  <c r="G8077" i="3"/>
  <c r="H8077" i="3"/>
  <c r="G8078" i="3"/>
  <c r="H8078" i="3"/>
  <c r="G8079" i="3"/>
  <c r="H8079" i="3"/>
  <c r="G8080" i="3"/>
  <c r="H8080" i="3"/>
  <c r="G8081" i="3"/>
  <c r="H8081" i="3"/>
  <c r="G8082" i="3"/>
  <c r="H8082" i="3"/>
  <c r="G8083" i="3"/>
  <c r="H8083" i="3"/>
  <c r="G8084" i="3"/>
  <c r="H8084" i="3"/>
  <c r="G8085" i="3"/>
  <c r="H8085" i="3"/>
  <c r="G8086" i="3"/>
  <c r="H8086" i="3"/>
  <c r="G8087" i="3"/>
  <c r="H8087" i="3"/>
  <c r="G8088" i="3"/>
  <c r="H8088" i="3"/>
  <c r="G8089" i="3"/>
  <c r="H8089" i="3"/>
  <c r="G8090" i="3"/>
  <c r="H8090" i="3"/>
  <c r="G8091" i="3"/>
  <c r="H8091" i="3"/>
  <c r="G8092" i="3"/>
  <c r="H8092" i="3"/>
  <c r="G8093" i="3"/>
  <c r="H8093" i="3"/>
  <c r="G8094" i="3"/>
  <c r="H8094" i="3"/>
  <c r="G8095" i="3"/>
  <c r="H8095" i="3"/>
  <c r="G8096" i="3"/>
  <c r="H8096" i="3"/>
  <c r="G8097" i="3"/>
  <c r="H8097" i="3"/>
  <c r="G8098" i="3"/>
  <c r="H8098" i="3"/>
  <c r="G8099" i="3"/>
  <c r="H8099" i="3"/>
  <c r="G8100" i="3"/>
  <c r="H8100" i="3"/>
  <c r="G8101" i="3"/>
  <c r="H8101" i="3"/>
  <c r="G8102" i="3"/>
  <c r="H8102" i="3"/>
  <c r="G8103" i="3"/>
  <c r="H8103" i="3"/>
  <c r="G8104" i="3"/>
  <c r="H8104" i="3"/>
  <c r="G8105" i="3"/>
  <c r="H8105" i="3"/>
  <c r="G8106" i="3"/>
  <c r="H8106" i="3"/>
  <c r="G8107" i="3"/>
  <c r="H8107" i="3"/>
  <c r="G8108" i="3"/>
  <c r="H8108" i="3"/>
  <c r="G8109" i="3"/>
  <c r="H8109" i="3"/>
  <c r="G8110" i="3"/>
  <c r="H8110" i="3"/>
  <c r="G8111" i="3"/>
  <c r="H8111" i="3"/>
  <c r="G8112" i="3"/>
  <c r="H8112" i="3"/>
  <c r="G8113" i="3"/>
  <c r="H8113" i="3"/>
  <c r="G8114" i="3"/>
  <c r="H8114" i="3"/>
  <c r="G8115" i="3"/>
  <c r="H8115" i="3"/>
  <c r="G8116" i="3"/>
  <c r="H8116" i="3"/>
  <c r="G8117" i="3"/>
  <c r="H8117" i="3"/>
  <c r="G8118" i="3"/>
  <c r="H8118" i="3"/>
  <c r="G8119" i="3"/>
  <c r="H8119" i="3"/>
  <c r="G8120" i="3"/>
  <c r="H8120" i="3"/>
  <c r="G8121" i="3"/>
  <c r="H8121" i="3"/>
  <c r="G8122" i="3"/>
  <c r="H8122" i="3"/>
  <c r="G8123" i="3"/>
  <c r="H8123" i="3"/>
  <c r="G8124" i="3"/>
  <c r="H8124" i="3"/>
  <c r="G8125" i="3"/>
  <c r="H8125" i="3"/>
  <c r="G8126" i="3"/>
  <c r="H8126" i="3"/>
  <c r="G8127" i="3"/>
  <c r="H8127" i="3"/>
  <c r="G8128" i="3"/>
  <c r="H8128" i="3"/>
  <c r="G8129" i="3"/>
  <c r="H8129" i="3"/>
  <c r="G8130" i="3"/>
  <c r="H8130" i="3"/>
  <c r="G8131" i="3"/>
  <c r="H8131" i="3"/>
  <c r="G8132" i="3"/>
  <c r="H8132" i="3"/>
  <c r="G8133" i="3"/>
  <c r="H8133" i="3"/>
  <c r="G8134" i="3"/>
  <c r="H8134" i="3"/>
  <c r="G8135" i="3"/>
  <c r="H8135" i="3"/>
  <c r="G8136" i="3"/>
  <c r="H8136" i="3"/>
  <c r="G8137" i="3"/>
  <c r="H8137" i="3"/>
  <c r="G8138" i="3"/>
  <c r="H8138" i="3"/>
  <c r="G8139" i="3"/>
  <c r="H8139" i="3"/>
  <c r="G8140" i="3"/>
  <c r="H8140" i="3"/>
  <c r="G8141" i="3"/>
  <c r="H8141" i="3"/>
  <c r="G8142" i="3"/>
  <c r="H8142" i="3"/>
  <c r="G8143" i="3"/>
  <c r="H8143" i="3"/>
  <c r="G8144" i="3"/>
  <c r="H8144" i="3"/>
  <c r="G8145" i="3"/>
  <c r="H8145" i="3"/>
  <c r="G8146" i="3"/>
  <c r="H8146" i="3"/>
  <c r="G8147" i="3"/>
  <c r="H8147" i="3"/>
  <c r="G8148" i="3"/>
  <c r="H8148" i="3"/>
  <c r="G8149" i="3"/>
  <c r="H8149" i="3"/>
  <c r="G8150" i="3"/>
  <c r="H8150" i="3"/>
  <c r="G8151" i="3"/>
  <c r="H8151" i="3"/>
  <c r="G8152" i="3"/>
  <c r="H8152" i="3"/>
  <c r="G8153" i="3"/>
  <c r="H8153" i="3"/>
  <c r="G8154" i="3"/>
  <c r="H8154" i="3"/>
  <c r="G8155" i="3"/>
  <c r="H8155" i="3"/>
  <c r="G8156" i="3"/>
  <c r="H8156" i="3"/>
  <c r="G8157" i="3"/>
  <c r="H8157" i="3"/>
  <c r="G8158" i="3"/>
  <c r="H8158" i="3"/>
  <c r="G8159" i="3"/>
  <c r="H8159" i="3"/>
  <c r="G8160" i="3"/>
  <c r="H8160" i="3"/>
  <c r="G8161" i="3"/>
  <c r="H8161" i="3"/>
  <c r="G8162" i="3"/>
  <c r="H8162" i="3"/>
  <c r="G8163" i="3"/>
  <c r="H8163" i="3"/>
  <c r="G8164" i="3"/>
  <c r="H8164" i="3"/>
  <c r="G8165" i="3"/>
  <c r="H8165" i="3"/>
  <c r="G8166" i="3"/>
  <c r="H8166" i="3"/>
  <c r="G8167" i="3"/>
  <c r="H8167" i="3"/>
  <c r="G8168" i="3"/>
  <c r="H8168" i="3"/>
  <c r="G8169" i="3"/>
  <c r="H8169" i="3"/>
  <c r="G8170" i="3"/>
  <c r="H8170" i="3"/>
  <c r="G8171" i="3"/>
  <c r="H8171" i="3"/>
  <c r="G8172" i="3"/>
  <c r="H8172" i="3"/>
  <c r="G8173" i="3"/>
  <c r="H8173" i="3"/>
  <c r="G8174" i="3"/>
  <c r="H8174" i="3"/>
  <c r="G8175" i="3"/>
  <c r="H8175" i="3"/>
  <c r="G8176" i="3"/>
  <c r="H8176" i="3"/>
  <c r="G8177" i="3"/>
  <c r="H8177" i="3"/>
  <c r="G8178" i="3"/>
  <c r="H8178" i="3"/>
  <c r="G8179" i="3"/>
  <c r="H8179" i="3"/>
  <c r="G8180" i="3"/>
  <c r="H8180" i="3"/>
  <c r="G8181" i="3"/>
  <c r="H8181" i="3"/>
  <c r="G8182" i="3"/>
  <c r="H8182" i="3"/>
  <c r="G8183" i="3"/>
  <c r="H8183" i="3"/>
  <c r="G8184" i="3"/>
  <c r="H8184" i="3"/>
  <c r="G8185" i="3"/>
  <c r="H8185" i="3"/>
  <c r="G8186" i="3"/>
  <c r="H8186" i="3"/>
  <c r="G8187" i="3"/>
  <c r="H8187" i="3"/>
  <c r="G8188" i="3"/>
  <c r="H8188" i="3"/>
  <c r="G8189" i="3"/>
  <c r="H8189" i="3"/>
  <c r="G8190" i="3"/>
  <c r="H8190" i="3"/>
  <c r="G8191" i="3"/>
  <c r="H8191" i="3"/>
  <c r="G8192" i="3"/>
  <c r="H8192" i="3"/>
  <c r="G8193" i="3"/>
  <c r="H8193" i="3"/>
  <c r="G8194" i="3"/>
  <c r="H8194" i="3"/>
  <c r="G8195" i="3"/>
  <c r="H8195" i="3"/>
  <c r="G8196" i="3"/>
  <c r="H8196" i="3"/>
  <c r="G8197" i="3"/>
  <c r="H8197" i="3"/>
  <c r="G8198" i="3"/>
  <c r="H8198" i="3"/>
  <c r="G8199" i="3"/>
  <c r="H8199" i="3"/>
  <c r="G8200" i="3"/>
  <c r="H8200" i="3"/>
  <c r="G8201" i="3"/>
  <c r="H8201" i="3"/>
  <c r="G8202" i="3"/>
  <c r="H8202" i="3"/>
  <c r="G8203" i="3"/>
  <c r="H8203" i="3"/>
  <c r="G8204" i="3"/>
  <c r="H8204" i="3"/>
  <c r="G8205" i="3"/>
  <c r="H8205" i="3"/>
  <c r="G8206" i="3"/>
  <c r="H8206" i="3"/>
  <c r="G8207" i="3"/>
  <c r="H8207" i="3"/>
  <c r="G8208" i="3"/>
  <c r="H8208" i="3"/>
  <c r="G8209" i="3"/>
  <c r="H8209" i="3"/>
  <c r="G8210" i="3"/>
  <c r="H8210" i="3"/>
  <c r="G8211" i="3"/>
  <c r="H8211" i="3"/>
  <c r="G8212" i="3"/>
  <c r="H8212" i="3"/>
  <c r="G8213" i="3"/>
  <c r="H8213" i="3"/>
  <c r="G8214" i="3"/>
  <c r="H8214" i="3"/>
  <c r="G8215" i="3"/>
  <c r="H8215" i="3"/>
  <c r="G8216" i="3"/>
  <c r="H8216" i="3"/>
  <c r="G8217" i="3"/>
  <c r="H8217" i="3"/>
  <c r="G8218" i="3"/>
  <c r="H8218" i="3"/>
  <c r="G8219" i="3"/>
  <c r="H8219" i="3"/>
  <c r="G8220" i="3"/>
  <c r="H8220" i="3"/>
  <c r="G8221" i="3"/>
  <c r="H8221" i="3"/>
  <c r="G8222" i="3"/>
  <c r="H8222" i="3"/>
  <c r="G8223" i="3"/>
  <c r="H8223" i="3"/>
  <c r="G8224" i="3"/>
  <c r="H8224" i="3"/>
  <c r="G8225" i="3"/>
  <c r="H8225" i="3"/>
  <c r="G8226" i="3"/>
  <c r="H8226" i="3"/>
  <c r="G8227" i="3"/>
  <c r="H8227" i="3"/>
  <c r="G8228" i="3"/>
  <c r="H8228" i="3"/>
  <c r="G8229" i="3"/>
  <c r="H8229" i="3"/>
  <c r="G8230" i="3"/>
  <c r="H8230" i="3"/>
  <c r="G8231" i="3"/>
  <c r="H8231" i="3"/>
  <c r="G8232" i="3"/>
  <c r="H8232" i="3"/>
  <c r="G8233" i="3"/>
  <c r="H8233" i="3"/>
  <c r="G8234" i="3"/>
  <c r="H8234" i="3"/>
  <c r="G8235" i="3"/>
  <c r="H8235" i="3"/>
  <c r="G8236" i="3"/>
  <c r="H8236" i="3"/>
  <c r="G8237" i="3"/>
  <c r="H8237" i="3"/>
  <c r="G8238" i="3"/>
  <c r="H8238" i="3"/>
  <c r="G8239" i="3"/>
  <c r="H8239" i="3"/>
  <c r="G8240" i="3"/>
  <c r="H8240" i="3"/>
  <c r="G8241" i="3"/>
  <c r="H8241" i="3"/>
  <c r="G8242" i="3"/>
  <c r="H8242" i="3"/>
  <c r="G8243" i="3"/>
  <c r="H8243" i="3"/>
  <c r="G8244" i="3"/>
  <c r="H8244" i="3"/>
  <c r="G8245" i="3"/>
  <c r="H8245" i="3"/>
  <c r="G8246" i="3"/>
  <c r="H8246" i="3"/>
  <c r="G8247" i="3"/>
  <c r="H8247" i="3"/>
  <c r="G8248" i="3"/>
  <c r="H8248" i="3"/>
  <c r="G8249" i="3"/>
  <c r="H8249" i="3"/>
  <c r="G8250" i="3"/>
  <c r="H8250" i="3"/>
  <c r="G8251" i="3"/>
  <c r="H8251" i="3"/>
  <c r="G8252" i="3"/>
  <c r="H8252" i="3"/>
  <c r="G8253" i="3"/>
  <c r="H8253" i="3"/>
  <c r="G8254" i="3"/>
  <c r="H8254" i="3"/>
  <c r="G8255" i="3"/>
  <c r="H8255" i="3"/>
  <c r="G8256" i="3"/>
  <c r="H8256" i="3"/>
  <c r="G8257" i="3"/>
  <c r="H8257" i="3"/>
  <c r="G8258" i="3"/>
  <c r="H8258" i="3"/>
  <c r="G8259" i="3"/>
  <c r="H8259" i="3"/>
  <c r="G8260" i="3"/>
  <c r="H8260" i="3"/>
  <c r="G8261" i="3"/>
  <c r="H8261" i="3"/>
  <c r="G8262" i="3"/>
  <c r="H8262" i="3"/>
  <c r="G8263" i="3"/>
  <c r="H8263" i="3"/>
  <c r="G8264" i="3"/>
  <c r="H8264" i="3"/>
  <c r="G8265" i="3"/>
  <c r="H8265" i="3"/>
  <c r="G8266" i="3"/>
  <c r="H8266" i="3"/>
  <c r="G8267" i="3"/>
  <c r="H8267" i="3"/>
  <c r="G8268" i="3"/>
  <c r="H8268" i="3"/>
  <c r="G8269" i="3"/>
  <c r="H8269" i="3"/>
  <c r="G8270" i="3"/>
  <c r="H8270" i="3"/>
  <c r="G8271" i="3"/>
  <c r="H8271" i="3"/>
  <c r="G8272" i="3"/>
  <c r="H8272" i="3"/>
  <c r="G8273" i="3"/>
  <c r="H8273" i="3"/>
  <c r="G8274" i="3"/>
  <c r="H8274" i="3"/>
  <c r="G8275" i="3"/>
  <c r="H8275" i="3"/>
  <c r="G8276" i="3"/>
  <c r="H8276" i="3"/>
  <c r="G8277" i="3"/>
  <c r="H8277" i="3"/>
  <c r="G8278" i="3"/>
  <c r="H8278" i="3"/>
  <c r="G8279" i="3"/>
  <c r="H8279" i="3"/>
  <c r="G8280" i="3"/>
  <c r="H8280" i="3"/>
  <c r="G8281" i="3"/>
  <c r="H8281" i="3"/>
  <c r="G8282" i="3"/>
  <c r="H8282" i="3"/>
  <c r="G8283" i="3"/>
  <c r="H8283" i="3"/>
  <c r="G8284" i="3"/>
  <c r="H8284" i="3"/>
  <c r="G8285" i="3"/>
  <c r="H8285" i="3"/>
  <c r="G8286" i="3"/>
  <c r="H8286" i="3"/>
  <c r="G8287" i="3"/>
  <c r="H8287" i="3"/>
  <c r="G8288" i="3"/>
  <c r="H8288" i="3"/>
  <c r="G8289" i="3"/>
  <c r="H8289" i="3"/>
  <c r="G8290" i="3"/>
  <c r="H8290" i="3"/>
  <c r="G8291" i="3"/>
  <c r="H8291" i="3"/>
  <c r="G8292" i="3"/>
  <c r="H8292" i="3"/>
  <c r="G8293" i="3"/>
  <c r="H8293" i="3"/>
  <c r="G8294" i="3"/>
  <c r="H8294" i="3"/>
  <c r="G8295" i="3"/>
  <c r="H8295" i="3"/>
  <c r="G8296" i="3"/>
  <c r="H8296" i="3"/>
  <c r="G8297" i="3"/>
  <c r="H8297" i="3"/>
  <c r="G8298" i="3"/>
  <c r="H8298" i="3"/>
  <c r="G8299" i="3"/>
  <c r="H8299" i="3"/>
  <c r="G8300" i="3"/>
  <c r="H8300" i="3"/>
  <c r="G8301" i="3"/>
  <c r="H8301" i="3"/>
  <c r="G8302" i="3"/>
  <c r="H8302" i="3"/>
  <c r="G8303" i="3"/>
  <c r="H8303" i="3"/>
  <c r="G8304" i="3"/>
  <c r="H8304" i="3"/>
  <c r="G8305" i="3"/>
  <c r="H8305" i="3"/>
  <c r="G8306" i="3"/>
  <c r="H8306" i="3"/>
  <c r="G8307" i="3"/>
  <c r="H8307" i="3"/>
  <c r="G8308" i="3"/>
  <c r="H8308" i="3"/>
  <c r="G8309" i="3"/>
  <c r="H8309" i="3"/>
  <c r="G8310" i="3"/>
  <c r="H8310" i="3"/>
  <c r="G8311" i="3"/>
  <c r="H8311" i="3"/>
  <c r="G8312" i="3"/>
  <c r="H8312" i="3"/>
  <c r="G8313" i="3"/>
  <c r="H8313" i="3"/>
  <c r="G8314" i="3"/>
  <c r="H8314" i="3"/>
  <c r="G8315" i="3"/>
  <c r="H8315" i="3"/>
  <c r="G8316" i="3"/>
  <c r="H8316" i="3"/>
  <c r="G8317" i="3"/>
  <c r="H8317" i="3"/>
  <c r="G8318" i="3"/>
  <c r="H8318" i="3"/>
  <c r="G8319" i="3"/>
  <c r="H8319" i="3"/>
  <c r="G8320" i="3"/>
  <c r="H8320" i="3"/>
  <c r="G8321" i="3"/>
  <c r="H8321" i="3"/>
  <c r="G8322" i="3"/>
  <c r="H8322" i="3"/>
  <c r="G8323" i="3"/>
  <c r="H8323" i="3"/>
  <c r="G8324" i="3"/>
  <c r="H8324" i="3"/>
  <c r="G8325" i="3"/>
  <c r="H8325" i="3"/>
  <c r="G8326" i="3"/>
  <c r="H8326" i="3"/>
  <c r="G8327" i="3"/>
  <c r="H8327" i="3"/>
  <c r="G8328" i="3"/>
  <c r="H8328" i="3"/>
  <c r="G8329" i="3"/>
  <c r="H8329" i="3"/>
  <c r="G8330" i="3"/>
  <c r="H8330" i="3"/>
  <c r="G8331" i="3"/>
  <c r="H8331" i="3"/>
  <c r="G8332" i="3"/>
  <c r="H8332" i="3"/>
  <c r="G8333" i="3"/>
  <c r="H8333" i="3"/>
  <c r="G8334" i="3"/>
  <c r="H8334" i="3"/>
  <c r="G8335" i="3"/>
  <c r="H8335" i="3"/>
  <c r="G8336" i="3"/>
  <c r="H8336" i="3"/>
  <c r="G8337" i="3"/>
  <c r="H8337" i="3"/>
  <c r="G8338" i="3"/>
  <c r="H8338" i="3"/>
  <c r="G8339" i="3"/>
  <c r="H8339" i="3"/>
  <c r="G8340" i="3"/>
  <c r="H8340" i="3"/>
  <c r="G8341" i="3"/>
  <c r="H8341" i="3"/>
  <c r="G8342" i="3"/>
  <c r="H8342" i="3"/>
  <c r="G8343" i="3"/>
  <c r="H8343" i="3"/>
  <c r="G8344" i="3"/>
  <c r="H8344" i="3"/>
  <c r="G8345" i="3"/>
  <c r="H8345" i="3"/>
  <c r="G8346" i="3"/>
  <c r="H8346" i="3"/>
  <c r="G8347" i="3"/>
  <c r="H8347" i="3"/>
  <c r="G8348" i="3"/>
  <c r="H8348" i="3"/>
  <c r="G8349" i="3"/>
  <c r="H8349" i="3"/>
  <c r="G8350" i="3"/>
  <c r="H8350" i="3"/>
  <c r="G8351" i="3"/>
  <c r="H8351" i="3"/>
  <c r="G8352" i="3"/>
  <c r="H8352" i="3"/>
  <c r="G8353" i="3"/>
  <c r="H8353" i="3"/>
  <c r="G8354" i="3"/>
  <c r="H8354" i="3"/>
  <c r="G8355" i="3"/>
  <c r="H8355" i="3"/>
  <c r="G8356" i="3"/>
  <c r="H8356" i="3"/>
  <c r="G8357" i="3"/>
  <c r="H8357" i="3"/>
  <c r="G8358" i="3"/>
  <c r="H8358" i="3"/>
  <c r="G8359" i="3"/>
  <c r="H8359" i="3"/>
  <c r="G8360" i="3"/>
  <c r="H8360" i="3"/>
  <c r="G8361" i="3"/>
  <c r="H8361" i="3"/>
  <c r="G8362" i="3"/>
  <c r="H8362" i="3"/>
  <c r="G8363" i="3"/>
  <c r="H8363" i="3"/>
  <c r="G8364" i="3"/>
  <c r="H8364" i="3"/>
  <c r="G8365" i="3"/>
  <c r="H8365" i="3"/>
  <c r="G8366" i="3"/>
  <c r="H8366" i="3"/>
  <c r="G8367" i="3"/>
  <c r="H8367" i="3"/>
  <c r="G8368" i="3"/>
  <c r="H8368" i="3"/>
  <c r="G8369" i="3"/>
  <c r="H8369" i="3"/>
  <c r="G8370" i="3"/>
  <c r="H8370" i="3"/>
  <c r="G8371" i="3"/>
  <c r="H8371" i="3"/>
  <c r="G8372" i="3"/>
  <c r="H8372" i="3"/>
  <c r="G8373" i="3"/>
  <c r="H8373" i="3"/>
  <c r="G8374" i="3"/>
  <c r="H8374" i="3"/>
  <c r="G8375" i="3"/>
  <c r="H8375" i="3"/>
  <c r="G8376" i="3"/>
  <c r="H8376" i="3"/>
  <c r="G8377" i="3"/>
  <c r="H8377" i="3"/>
  <c r="G8378" i="3"/>
  <c r="H8378" i="3"/>
  <c r="G8379" i="3"/>
  <c r="H8379" i="3"/>
  <c r="G8380" i="3"/>
  <c r="H8380" i="3"/>
  <c r="G8381" i="3"/>
  <c r="H8381" i="3"/>
  <c r="G8382" i="3"/>
  <c r="H8382" i="3"/>
  <c r="G8383" i="3"/>
  <c r="H8383" i="3"/>
  <c r="G8384" i="3"/>
  <c r="H8384" i="3"/>
  <c r="G8385" i="3"/>
  <c r="H8385" i="3"/>
  <c r="G8386" i="3"/>
  <c r="H8386" i="3"/>
  <c r="G8387" i="3"/>
  <c r="H8387" i="3"/>
  <c r="G8388" i="3"/>
  <c r="H8388" i="3"/>
  <c r="G8389" i="3"/>
  <c r="H8389" i="3"/>
  <c r="G8390" i="3"/>
  <c r="H8390" i="3"/>
  <c r="G8391" i="3"/>
  <c r="H8391" i="3"/>
  <c r="G8392" i="3"/>
  <c r="H8392" i="3"/>
  <c r="G8393" i="3"/>
  <c r="H8393" i="3"/>
  <c r="G8394" i="3"/>
  <c r="H8394" i="3"/>
  <c r="G8395" i="3"/>
  <c r="H8395" i="3"/>
  <c r="G8396" i="3"/>
  <c r="H8396" i="3"/>
  <c r="G8397" i="3"/>
  <c r="H8397" i="3"/>
  <c r="G8398" i="3"/>
  <c r="H8398" i="3"/>
  <c r="G8399" i="3"/>
  <c r="H8399" i="3"/>
  <c r="G8400" i="3"/>
  <c r="H8400" i="3"/>
  <c r="G8401" i="3"/>
  <c r="H8401" i="3"/>
  <c r="G8402" i="3"/>
  <c r="H8402" i="3"/>
  <c r="G8403" i="3"/>
  <c r="H8403" i="3"/>
  <c r="G8404" i="3"/>
  <c r="H8404" i="3"/>
  <c r="G8405" i="3"/>
  <c r="H8405" i="3"/>
  <c r="G8406" i="3"/>
  <c r="H8406" i="3"/>
  <c r="G8407" i="3"/>
  <c r="H8407" i="3"/>
  <c r="G8408" i="3"/>
  <c r="H8408" i="3"/>
  <c r="G8409" i="3"/>
  <c r="H8409" i="3"/>
  <c r="G8410" i="3"/>
  <c r="H8410" i="3"/>
  <c r="G8411" i="3"/>
  <c r="H8411" i="3"/>
  <c r="G8412" i="3"/>
  <c r="H8412" i="3"/>
  <c r="G8413" i="3"/>
  <c r="H8413" i="3"/>
  <c r="G8414" i="3"/>
  <c r="H8414" i="3"/>
  <c r="G8415" i="3"/>
  <c r="H8415" i="3"/>
  <c r="G8416" i="3"/>
  <c r="H8416" i="3"/>
  <c r="G8417" i="3"/>
  <c r="H8417" i="3"/>
  <c r="G8418" i="3"/>
  <c r="H8418" i="3"/>
  <c r="G8419" i="3"/>
  <c r="H8419" i="3"/>
  <c r="G8420" i="3"/>
  <c r="H8420" i="3"/>
  <c r="G8421" i="3"/>
  <c r="H8421" i="3"/>
  <c r="G8422" i="3"/>
  <c r="H8422" i="3"/>
  <c r="G8423" i="3"/>
  <c r="H8423" i="3"/>
  <c r="G8424" i="3"/>
  <c r="H8424" i="3"/>
  <c r="G8425" i="3"/>
  <c r="H8425" i="3"/>
  <c r="G8426" i="3"/>
  <c r="H8426" i="3"/>
  <c r="G8427" i="3"/>
  <c r="H8427" i="3"/>
  <c r="G8428" i="3"/>
  <c r="H8428" i="3"/>
  <c r="G8429" i="3"/>
  <c r="H8429" i="3"/>
  <c r="G8430" i="3"/>
  <c r="H8430" i="3"/>
  <c r="G8431" i="3"/>
  <c r="H8431" i="3"/>
  <c r="G8432" i="3"/>
  <c r="H8432" i="3"/>
  <c r="G8433" i="3"/>
  <c r="H8433" i="3"/>
  <c r="G8434" i="3"/>
  <c r="H8434" i="3"/>
  <c r="G8435" i="3"/>
  <c r="H8435" i="3"/>
  <c r="G8436" i="3"/>
  <c r="H8436" i="3"/>
  <c r="G8437" i="3"/>
  <c r="H8437" i="3"/>
  <c r="G8438" i="3"/>
  <c r="H8438" i="3"/>
  <c r="G8439" i="3"/>
  <c r="H8439" i="3"/>
  <c r="G8440" i="3"/>
  <c r="H8440" i="3"/>
  <c r="G8441" i="3"/>
  <c r="H8441" i="3"/>
  <c r="G8442" i="3"/>
  <c r="H8442" i="3"/>
  <c r="G8443" i="3"/>
  <c r="H8443" i="3"/>
  <c r="G8444" i="3"/>
  <c r="H8444" i="3"/>
  <c r="G8445" i="3"/>
  <c r="H8445" i="3"/>
  <c r="G8446" i="3"/>
  <c r="H8446" i="3"/>
  <c r="G8447" i="3"/>
  <c r="H8447" i="3"/>
  <c r="G8448" i="3"/>
  <c r="H8448" i="3"/>
  <c r="G8449" i="3"/>
  <c r="H8449" i="3"/>
  <c r="G8450" i="3"/>
  <c r="H8450" i="3"/>
  <c r="G8451" i="3"/>
  <c r="H8451" i="3"/>
  <c r="G8452" i="3"/>
  <c r="H8452" i="3"/>
  <c r="G8453" i="3"/>
  <c r="H8453" i="3"/>
  <c r="G8454" i="3"/>
  <c r="H8454" i="3"/>
  <c r="G8455" i="3"/>
  <c r="H8455" i="3"/>
  <c r="G8456" i="3"/>
  <c r="H8456" i="3"/>
  <c r="G8457" i="3"/>
  <c r="H8457" i="3"/>
  <c r="G8458" i="3"/>
  <c r="H8458" i="3"/>
  <c r="G8459" i="3"/>
  <c r="H8459" i="3"/>
  <c r="G8460" i="3"/>
  <c r="H8460" i="3"/>
  <c r="G8461" i="3"/>
  <c r="H8461" i="3"/>
  <c r="G8462" i="3"/>
  <c r="H8462" i="3"/>
  <c r="G8463" i="3"/>
  <c r="H8463" i="3"/>
  <c r="G8464" i="3"/>
  <c r="H8464" i="3"/>
  <c r="G8465" i="3"/>
  <c r="H8465" i="3"/>
  <c r="G8466" i="3"/>
  <c r="H8466" i="3"/>
  <c r="G8467" i="3"/>
  <c r="H8467" i="3"/>
  <c r="G8468" i="3"/>
  <c r="H8468" i="3"/>
  <c r="G8469" i="3"/>
  <c r="H8469" i="3"/>
  <c r="G8470" i="3"/>
  <c r="H8470" i="3"/>
  <c r="G8471" i="3"/>
  <c r="H8471" i="3"/>
  <c r="G8472" i="3"/>
  <c r="H8472" i="3"/>
  <c r="G8473" i="3"/>
  <c r="H8473" i="3"/>
  <c r="G8474" i="3"/>
  <c r="H8474" i="3"/>
  <c r="G8475" i="3"/>
  <c r="H8475" i="3"/>
  <c r="G8476" i="3"/>
  <c r="H8476" i="3"/>
  <c r="G8477" i="3"/>
  <c r="H8477" i="3"/>
  <c r="G8478" i="3"/>
  <c r="H8478" i="3"/>
  <c r="G8479" i="3"/>
  <c r="H8479" i="3"/>
  <c r="G8480" i="3"/>
  <c r="H8480" i="3"/>
  <c r="G8481" i="3"/>
  <c r="H8481" i="3"/>
  <c r="G8482" i="3"/>
  <c r="H8482" i="3"/>
  <c r="G8483" i="3"/>
  <c r="H8483" i="3"/>
  <c r="G8484" i="3"/>
  <c r="H8484" i="3"/>
  <c r="G8485" i="3"/>
  <c r="H8485" i="3"/>
  <c r="G8486" i="3"/>
  <c r="H8486" i="3"/>
  <c r="G8487" i="3"/>
  <c r="H8487" i="3"/>
  <c r="G8488" i="3"/>
  <c r="H8488" i="3"/>
  <c r="G8489" i="3"/>
  <c r="H8489" i="3"/>
  <c r="G8490" i="3"/>
  <c r="H8490" i="3"/>
  <c r="G8491" i="3"/>
  <c r="H8491" i="3"/>
  <c r="G8492" i="3"/>
  <c r="H8492" i="3"/>
  <c r="G8493" i="3"/>
  <c r="H8493" i="3"/>
  <c r="G8494" i="3"/>
  <c r="H8494" i="3"/>
  <c r="G8495" i="3"/>
  <c r="H8495" i="3"/>
  <c r="G8496" i="3"/>
  <c r="H8496" i="3"/>
  <c r="G8497" i="3"/>
  <c r="H8497" i="3"/>
  <c r="G8498" i="3"/>
  <c r="H8498" i="3"/>
  <c r="G8499" i="3"/>
  <c r="H8499" i="3"/>
  <c r="G8500" i="3"/>
  <c r="H8500" i="3"/>
  <c r="G8501" i="3"/>
  <c r="H8501" i="3"/>
  <c r="G8502" i="3"/>
  <c r="H8502" i="3"/>
  <c r="G8503" i="3"/>
  <c r="H8503" i="3"/>
  <c r="G8504" i="3"/>
  <c r="H8504" i="3"/>
  <c r="G8505" i="3"/>
  <c r="H8505" i="3"/>
  <c r="G8506" i="3"/>
  <c r="H8506" i="3"/>
  <c r="G8507" i="3"/>
  <c r="H8507" i="3"/>
  <c r="G8508" i="3"/>
  <c r="H8508" i="3"/>
  <c r="G8509" i="3"/>
  <c r="H8509" i="3"/>
  <c r="G8510" i="3"/>
  <c r="H8510" i="3"/>
  <c r="G8511" i="3"/>
  <c r="H8511" i="3"/>
  <c r="G8512" i="3"/>
  <c r="H8512" i="3"/>
  <c r="G8513" i="3"/>
  <c r="H8513" i="3"/>
  <c r="G8514" i="3"/>
  <c r="H8514" i="3"/>
  <c r="G8515" i="3"/>
  <c r="H8515" i="3"/>
  <c r="G8516" i="3"/>
  <c r="H8516" i="3"/>
  <c r="G8517" i="3"/>
  <c r="H8517" i="3"/>
  <c r="G8518" i="3"/>
  <c r="H8518" i="3"/>
  <c r="G8519" i="3"/>
  <c r="H8519" i="3"/>
  <c r="G8520" i="3"/>
  <c r="H8520" i="3"/>
  <c r="G8521" i="3"/>
  <c r="H8521" i="3"/>
  <c r="G8522" i="3"/>
  <c r="H8522" i="3"/>
  <c r="G8523" i="3"/>
  <c r="H8523" i="3"/>
  <c r="G8524" i="3"/>
  <c r="H8524" i="3"/>
  <c r="G8525" i="3"/>
  <c r="H8525" i="3"/>
  <c r="G8526" i="3"/>
  <c r="H8526" i="3"/>
  <c r="G8527" i="3"/>
  <c r="H8527" i="3"/>
  <c r="G8528" i="3"/>
  <c r="H8528" i="3"/>
  <c r="G8529" i="3"/>
  <c r="H8529" i="3"/>
  <c r="G8530" i="3"/>
  <c r="H8530" i="3"/>
  <c r="G8531" i="3"/>
  <c r="H8531" i="3"/>
  <c r="G8532" i="3"/>
  <c r="H8532" i="3"/>
  <c r="G8533" i="3"/>
  <c r="H8533" i="3"/>
  <c r="G8534" i="3"/>
  <c r="H8534" i="3"/>
  <c r="G8535" i="3"/>
  <c r="H8535" i="3"/>
  <c r="G8536" i="3"/>
  <c r="H8536" i="3"/>
  <c r="G8537" i="3"/>
  <c r="H8537" i="3"/>
  <c r="G8538" i="3"/>
  <c r="H8538" i="3"/>
  <c r="G8539" i="3"/>
  <c r="H8539" i="3"/>
  <c r="G8540" i="3"/>
  <c r="H8540" i="3"/>
  <c r="G8541" i="3"/>
  <c r="H8541" i="3"/>
  <c r="G8542" i="3"/>
  <c r="H8542" i="3"/>
  <c r="G8543" i="3"/>
  <c r="H8543" i="3"/>
  <c r="G8544" i="3"/>
  <c r="H8544" i="3"/>
  <c r="G8545" i="3"/>
  <c r="H8545" i="3"/>
  <c r="G8546" i="3"/>
  <c r="H8546" i="3"/>
  <c r="G8547" i="3"/>
  <c r="H8547" i="3"/>
  <c r="G8548" i="3"/>
  <c r="H8548" i="3"/>
  <c r="G8549" i="3"/>
  <c r="H8549" i="3"/>
  <c r="G8550" i="3"/>
  <c r="H8550" i="3"/>
  <c r="G8551" i="3"/>
  <c r="H8551" i="3"/>
  <c r="G8552" i="3"/>
  <c r="H8552" i="3"/>
  <c r="G8553" i="3"/>
  <c r="H8553" i="3"/>
  <c r="G8554" i="3"/>
  <c r="H8554" i="3"/>
  <c r="G8555" i="3"/>
  <c r="H8555" i="3"/>
  <c r="G8556" i="3"/>
  <c r="H8556" i="3"/>
  <c r="G8557" i="3"/>
  <c r="H8557" i="3"/>
  <c r="G8558" i="3"/>
  <c r="H8558" i="3"/>
  <c r="G8559" i="3"/>
  <c r="H8559" i="3"/>
  <c r="G8560" i="3"/>
  <c r="H8560" i="3"/>
  <c r="G8561" i="3"/>
  <c r="H8561" i="3"/>
  <c r="G8562" i="3"/>
  <c r="H8562" i="3"/>
  <c r="G8563" i="3"/>
  <c r="H8563" i="3"/>
  <c r="G8564" i="3"/>
  <c r="H8564" i="3"/>
  <c r="G8565" i="3"/>
  <c r="H8565" i="3"/>
  <c r="G8566" i="3"/>
  <c r="H8566" i="3"/>
  <c r="G8567" i="3"/>
  <c r="H8567" i="3"/>
  <c r="G8568" i="3"/>
  <c r="H8568" i="3"/>
  <c r="G8569" i="3"/>
  <c r="H8569" i="3"/>
  <c r="G8570" i="3"/>
  <c r="H8570" i="3"/>
  <c r="G8571" i="3"/>
  <c r="H8571" i="3"/>
  <c r="G8572" i="3"/>
  <c r="H8572" i="3"/>
  <c r="G8573" i="3"/>
  <c r="H8573" i="3"/>
  <c r="G8574" i="3"/>
  <c r="H8574" i="3"/>
  <c r="G8575" i="3"/>
  <c r="H8575" i="3"/>
  <c r="G8576" i="3"/>
  <c r="H8576" i="3"/>
  <c r="G8577" i="3"/>
  <c r="H8577" i="3"/>
  <c r="G8578" i="3"/>
  <c r="H8578" i="3"/>
  <c r="G8579" i="3"/>
  <c r="H8579" i="3"/>
  <c r="G8580" i="3"/>
  <c r="H8580" i="3"/>
  <c r="G8581" i="3"/>
  <c r="H8581" i="3"/>
  <c r="G8582" i="3"/>
  <c r="H8582" i="3"/>
  <c r="G8583" i="3"/>
  <c r="H8583" i="3"/>
  <c r="G8584" i="3"/>
  <c r="H8584" i="3"/>
  <c r="G8585" i="3"/>
  <c r="H8585" i="3"/>
  <c r="G8586" i="3"/>
  <c r="H8586" i="3"/>
  <c r="G8587" i="3"/>
  <c r="H8587" i="3"/>
  <c r="G8588" i="3"/>
  <c r="H8588" i="3"/>
  <c r="G8589" i="3"/>
  <c r="H8589" i="3"/>
  <c r="G8590" i="3"/>
  <c r="H8590" i="3"/>
  <c r="G8591" i="3"/>
  <c r="H8591" i="3"/>
  <c r="G8592" i="3"/>
  <c r="H8592" i="3"/>
  <c r="G8593" i="3"/>
  <c r="H8593" i="3"/>
  <c r="G8594" i="3"/>
  <c r="H8594" i="3"/>
  <c r="G8595" i="3"/>
  <c r="H8595" i="3"/>
  <c r="G8596" i="3"/>
  <c r="H8596" i="3"/>
  <c r="G8597" i="3"/>
  <c r="H8597" i="3"/>
  <c r="G8598" i="3"/>
  <c r="H8598" i="3"/>
  <c r="G8599" i="3"/>
  <c r="H8599" i="3"/>
  <c r="G8600" i="3"/>
  <c r="H8600" i="3"/>
  <c r="G8601" i="3"/>
  <c r="H8601" i="3"/>
  <c r="G8602" i="3"/>
  <c r="H8602" i="3"/>
  <c r="G8603" i="3"/>
  <c r="H8603" i="3"/>
  <c r="G8604" i="3"/>
  <c r="H8604" i="3"/>
  <c r="G8605" i="3"/>
  <c r="H8605" i="3"/>
  <c r="G8606" i="3"/>
  <c r="H8606" i="3"/>
  <c r="G8607" i="3"/>
  <c r="H8607" i="3"/>
  <c r="G8608" i="3"/>
  <c r="H8608" i="3"/>
  <c r="G8609" i="3"/>
  <c r="H8609" i="3"/>
  <c r="G8610" i="3"/>
  <c r="H8610" i="3"/>
  <c r="G8611" i="3"/>
  <c r="H8611" i="3"/>
  <c r="G8612" i="3"/>
  <c r="H8612" i="3"/>
  <c r="G8613" i="3"/>
  <c r="H8613" i="3"/>
  <c r="G8614" i="3"/>
  <c r="H8614" i="3"/>
  <c r="G8615" i="3"/>
  <c r="H8615" i="3"/>
  <c r="G8616" i="3"/>
  <c r="H8616" i="3"/>
  <c r="G8617" i="3"/>
  <c r="H8617" i="3"/>
  <c r="G8618" i="3"/>
  <c r="H8618" i="3"/>
  <c r="G8619" i="3"/>
  <c r="H8619" i="3"/>
  <c r="G8620" i="3"/>
  <c r="H8620" i="3"/>
  <c r="G8621" i="3"/>
  <c r="H8621" i="3"/>
  <c r="G8622" i="3"/>
  <c r="H8622" i="3"/>
  <c r="G8623" i="3"/>
  <c r="H8623" i="3"/>
  <c r="G8624" i="3"/>
  <c r="H8624" i="3"/>
  <c r="G8625" i="3"/>
  <c r="H8625" i="3"/>
  <c r="G8626" i="3"/>
  <c r="H8626" i="3"/>
  <c r="G8627" i="3"/>
  <c r="H8627" i="3"/>
  <c r="G8628" i="3"/>
  <c r="H8628" i="3"/>
  <c r="G8629" i="3"/>
  <c r="H8629" i="3"/>
  <c r="G8630" i="3"/>
  <c r="H8630" i="3"/>
  <c r="G8631" i="3"/>
  <c r="H8631" i="3"/>
  <c r="G8632" i="3"/>
  <c r="H8632" i="3"/>
  <c r="G8633" i="3"/>
  <c r="H8633" i="3"/>
  <c r="G8634" i="3"/>
  <c r="H8634" i="3"/>
  <c r="G8635" i="3"/>
  <c r="H8635" i="3"/>
  <c r="G8636" i="3"/>
  <c r="H8636" i="3"/>
  <c r="G8637" i="3"/>
  <c r="H8637" i="3"/>
  <c r="G8638" i="3"/>
  <c r="H8638" i="3"/>
  <c r="G8639" i="3"/>
  <c r="H8639" i="3"/>
  <c r="G8640" i="3"/>
  <c r="H8640" i="3"/>
  <c r="G8641" i="3"/>
  <c r="H8641" i="3"/>
  <c r="G8642" i="3"/>
  <c r="H8642" i="3"/>
  <c r="G8643" i="3"/>
  <c r="H8643" i="3"/>
  <c r="G8644" i="3"/>
  <c r="H8644" i="3"/>
  <c r="G8645" i="3"/>
  <c r="H8645" i="3"/>
  <c r="G8646" i="3"/>
  <c r="H8646" i="3"/>
  <c r="G8647" i="3"/>
  <c r="H8647" i="3"/>
  <c r="G8648" i="3"/>
  <c r="H8648" i="3"/>
  <c r="G8649" i="3"/>
  <c r="H8649" i="3"/>
  <c r="G8650" i="3"/>
  <c r="H8650" i="3"/>
  <c r="G8651" i="3"/>
  <c r="H8651" i="3"/>
  <c r="G8652" i="3"/>
  <c r="H8652" i="3"/>
  <c r="G8653" i="3"/>
  <c r="H8653" i="3"/>
  <c r="G8654" i="3"/>
  <c r="H8654" i="3"/>
  <c r="G8655" i="3"/>
  <c r="H8655" i="3"/>
  <c r="G8656" i="3"/>
  <c r="H8656" i="3"/>
  <c r="G8657" i="3"/>
  <c r="H8657" i="3"/>
  <c r="G8658" i="3"/>
  <c r="H8658" i="3"/>
  <c r="G8659" i="3"/>
  <c r="H8659" i="3"/>
  <c r="G8660" i="3"/>
  <c r="H8660" i="3"/>
  <c r="G8661" i="3"/>
  <c r="H8661" i="3"/>
  <c r="G8662" i="3"/>
  <c r="H8662" i="3"/>
  <c r="G8663" i="3"/>
  <c r="H8663" i="3"/>
  <c r="G8664" i="3"/>
  <c r="H8664" i="3"/>
  <c r="G8665" i="3"/>
  <c r="H8665" i="3"/>
  <c r="G8666" i="3"/>
  <c r="H8666" i="3"/>
  <c r="G8667" i="3"/>
  <c r="H8667" i="3"/>
  <c r="G8668" i="3"/>
  <c r="H8668" i="3"/>
  <c r="G8669" i="3"/>
  <c r="H8669" i="3"/>
  <c r="G8670" i="3"/>
  <c r="H8670" i="3"/>
  <c r="G8671" i="3"/>
  <c r="H8671" i="3"/>
  <c r="G8672" i="3"/>
  <c r="H8672" i="3"/>
  <c r="G8673" i="3"/>
  <c r="H8673" i="3"/>
  <c r="G8674" i="3"/>
  <c r="H8674" i="3"/>
  <c r="G8675" i="3"/>
  <c r="H8675" i="3"/>
  <c r="G8676" i="3"/>
  <c r="H8676" i="3"/>
  <c r="G8677" i="3"/>
  <c r="H8677" i="3"/>
  <c r="G8678" i="3"/>
  <c r="H8678" i="3"/>
  <c r="G8679" i="3"/>
  <c r="H8679" i="3"/>
  <c r="G8680" i="3"/>
  <c r="H8680" i="3"/>
  <c r="G8681" i="3"/>
  <c r="H8681" i="3"/>
  <c r="G8682" i="3"/>
  <c r="H8682" i="3"/>
  <c r="G8683" i="3"/>
  <c r="H8683" i="3"/>
  <c r="G8684" i="3"/>
  <c r="H8684" i="3"/>
  <c r="G8685" i="3"/>
  <c r="H8685" i="3"/>
  <c r="G8686" i="3"/>
  <c r="H8686" i="3"/>
  <c r="G8687" i="3"/>
  <c r="H8687" i="3"/>
  <c r="G8688" i="3"/>
  <c r="H8688" i="3"/>
  <c r="G8689" i="3"/>
  <c r="H8689" i="3"/>
  <c r="G8690" i="3"/>
  <c r="H8690" i="3"/>
  <c r="G8691" i="3"/>
  <c r="H8691" i="3"/>
  <c r="G8692" i="3"/>
  <c r="H8692" i="3"/>
  <c r="G8693" i="3"/>
  <c r="H8693" i="3"/>
  <c r="G8694" i="3"/>
  <c r="H8694" i="3"/>
  <c r="G8695" i="3"/>
  <c r="H8695" i="3"/>
  <c r="G8696" i="3"/>
  <c r="H8696" i="3"/>
  <c r="G8697" i="3"/>
  <c r="H8697" i="3"/>
  <c r="G8698" i="3"/>
  <c r="H8698" i="3"/>
  <c r="G8699" i="3"/>
  <c r="H8699" i="3"/>
  <c r="G8700" i="3"/>
  <c r="H8700" i="3"/>
  <c r="G8701" i="3"/>
  <c r="H8701" i="3"/>
  <c r="G8702" i="3"/>
  <c r="H8702" i="3"/>
  <c r="G8703" i="3"/>
  <c r="H8703" i="3"/>
  <c r="G8704" i="3"/>
  <c r="H8704" i="3"/>
  <c r="G8705" i="3"/>
  <c r="H8705" i="3"/>
  <c r="G8706" i="3"/>
  <c r="H8706" i="3"/>
  <c r="G8707" i="3"/>
  <c r="H8707" i="3"/>
  <c r="G8708" i="3"/>
  <c r="H8708" i="3"/>
  <c r="G8709" i="3"/>
  <c r="H8709" i="3"/>
  <c r="G8710" i="3"/>
  <c r="H8710" i="3"/>
  <c r="G8711" i="3"/>
  <c r="H8711" i="3"/>
  <c r="G8712" i="3"/>
  <c r="H8712" i="3"/>
  <c r="G8713" i="3"/>
  <c r="H8713" i="3"/>
  <c r="G8714" i="3"/>
  <c r="H8714" i="3"/>
  <c r="G8715" i="3"/>
  <c r="H8715" i="3"/>
  <c r="G8716" i="3"/>
  <c r="H8716" i="3"/>
  <c r="G8717" i="3"/>
  <c r="H8717" i="3"/>
  <c r="G8718" i="3"/>
  <c r="H8718" i="3"/>
  <c r="G8719" i="3"/>
  <c r="H8719" i="3"/>
  <c r="G8720" i="3"/>
  <c r="H8720" i="3"/>
  <c r="G8721" i="3"/>
  <c r="H8721" i="3"/>
  <c r="G8722" i="3"/>
  <c r="H8722" i="3"/>
  <c r="G8723" i="3"/>
  <c r="H8723" i="3"/>
  <c r="G8724" i="3"/>
  <c r="H8724" i="3"/>
  <c r="G8725" i="3"/>
  <c r="H8725" i="3"/>
  <c r="G8726" i="3"/>
  <c r="H8726" i="3"/>
  <c r="G8727" i="3"/>
  <c r="H8727" i="3"/>
  <c r="G8728" i="3"/>
  <c r="H8728" i="3"/>
  <c r="G8729" i="3"/>
  <c r="H8729" i="3"/>
  <c r="G8730" i="3"/>
  <c r="H8730" i="3"/>
  <c r="G8731" i="3"/>
  <c r="H8731" i="3"/>
  <c r="G8732" i="3"/>
  <c r="H8732" i="3"/>
  <c r="G8733" i="3"/>
  <c r="H8733" i="3"/>
  <c r="G8734" i="3"/>
  <c r="H8734" i="3"/>
  <c r="G8735" i="3"/>
  <c r="H8735" i="3"/>
  <c r="G8736" i="3"/>
  <c r="H8736" i="3"/>
  <c r="G8737" i="3"/>
  <c r="H8737" i="3"/>
  <c r="G8738" i="3"/>
  <c r="H8738" i="3"/>
  <c r="G8739" i="3"/>
  <c r="H8739" i="3"/>
  <c r="G8740" i="3"/>
  <c r="H8740" i="3"/>
  <c r="G8741" i="3"/>
  <c r="H8741" i="3"/>
  <c r="G8742" i="3"/>
  <c r="H8742" i="3"/>
  <c r="G8743" i="3"/>
  <c r="H8743" i="3"/>
  <c r="G8744" i="3"/>
  <c r="H8744" i="3"/>
  <c r="G8745" i="3"/>
  <c r="H8745" i="3"/>
  <c r="G8746" i="3"/>
  <c r="H8746" i="3"/>
  <c r="G8747" i="3"/>
  <c r="H8747" i="3"/>
  <c r="G8748" i="3"/>
  <c r="H8748" i="3"/>
  <c r="G8749" i="3"/>
  <c r="H8749" i="3"/>
  <c r="G8750" i="3"/>
  <c r="H8750" i="3"/>
  <c r="G8751" i="3"/>
  <c r="H8751" i="3"/>
  <c r="G8752" i="3"/>
  <c r="H8752" i="3"/>
  <c r="G8753" i="3"/>
  <c r="H8753" i="3"/>
  <c r="G8754" i="3"/>
  <c r="H8754" i="3"/>
  <c r="G8755" i="3"/>
  <c r="H8755" i="3"/>
  <c r="G8756" i="3"/>
  <c r="H8756" i="3"/>
  <c r="G8757" i="3"/>
  <c r="H8757" i="3"/>
  <c r="G8758" i="3"/>
  <c r="H8758" i="3"/>
  <c r="G8759" i="3"/>
  <c r="H8759" i="3"/>
  <c r="G8760" i="3"/>
  <c r="H8760" i="3"/>
  <c r="G8761" i="3"/>
  <c r="H8761" i="3"/>
  <c r="G8762" i="3"/>
  <c r="H8762" i="3"/>
  <c r="G8763" i="3"/>
  <c r="H8763" i="3"/>
  <c r="G8764" i="3"/>
  <c r="H8764" i="3"/>
  <c r="G8765" i="3"/>
  <c r="H8765" i="3"/>
  <c r="G8766" i="3"/>
  <c r="H8766" i="3"/>
  <c r="G8767" i="3"/>
  <c r="H8767" i="3"/>
  <c r="G8768" i="3"/>
  <c r="H8768" i="3"/>
  <c r="G8769" i="3"/>
  <c r="H8769" i="3"/>
  <c r="G8770" i="3"/>
  <c r="H8770" i="3"/>
  <c r="G8771" i="3"/>
  <c r="H8771" i="3"/>
  <c r="G8772" i="3"/>
  <c r="H8772" i="3"/>
  <c r="G8773" i="3"/>
  <c r="H8773" i="3"/>
  <c r="G8774" i="3"/>
  <c r="H8774" i="3"/>
  <c r="G8775" i="3"/>
  <c r="H8775" i="3"/>
  <c r="G8776" i="3"/>
  <c r="H8776" i="3"/>
  <c r="G8777" i="3"/>
  <c r="H8777" i="3"/>
  <c r="G8778" i="3"/>
  <c r="H8778" i="3"/>
  <c r="G8779" i="3"/>
  <c r="H8779" i="3"/>
  <c r="G8780" i="3"/>
  <c r="H8780" i="3"/>
  <c r="G8781" i="3"/>
  <c r="H8781" i="3"/>
  <c r="G8782" i="3"/>
  <c r="H8782" i="3"/>
  <c r="G8783" i="3"/>
  <c r="H8783" i="3"/>
  <c r="G8784" i="3"/>
  <c r="H8784" i="3"/>
  <c r="G8785" i="3"/>
  <c r="H8785" i="3"/>
  <c r="G8786" i="3"/>
  <c r="H8786" i="3"/>
  <c r="G8787" i="3"/>
  <c r="H8787" i="3"/>
  <c r="G8788" i="3"/>
  <c r="H8788" i="3"/>
  <c r="G8789" i="3"/>
  <c r="H8789" i="3"/>
  <c r="G8790" i="3"/>
  <c r="H8790" i="3"/>
  <c r="G8791" i="3"/>
  <c r="H8791" i="3"/>
  <c r="G8792" i="3"/>
  <c r="H8792" i="3"/>
  <c r="G8793" i="3"/>
  <c r="H8793" i="3"/>
  <c r="G8794" i="3"/>
  <c r="H8794" i="3"/>
  <c r="G8795" i="3"/>
  <c r="H8795" i="3"/>
  <c r="G8796" i="3"/>
  <c r="H8796" i="3"/>
  <c r="G8797" i="3"/>
  <c r="H8797" i="3"/>
  <c r="G8798" i="3"/>
  <c r="H8798" i="3"/>
  <c r="G8799" i="3"/>
  <c r="H8799" i="3"/>
  <c r="G8800" i="3"/>
  <c r="H8800" i="3"/>
  <c r="G8801" i="3"/>
  <c r="H8801" i="3"/>
  <c r="G8802" i="3"/>
  <c r="H8802" i="3"/>
  <c r="G8803" i="3"/>
  <c r="H8803" i="3"/>
  <c r="G8804" i="3"/>
  <c r="H8804" i="3"/>
  <c r="G8805" i="3"/>
  <c r="H8805" i="3"/>
  <c r="G8806" i="3"/>
  <c r="H8806" i="3"/>
  <c r="G8807" i="3"/>
  <c r="H8807" i="3"/>
  <c r="G8808" i="3"/>
  <c r="H8808" i="3"/>
  <c r="G8809" i="3"/>
  <c r="H8809" i="3"/>
  <c r="G8810" i="3"/>
  <c r="H8810" i="3"/>
  <c r="G8811" i="3"/>
  <c r="H8811" i="3"/>
  <c r="G8812" i="3"/>
  <c r="H8812" i="3"/>
  <c r="G8813" i="3"/>
  <c r="H8813" i="3"/>
  <c r="G8814" i="3"/>
  <c r="H8814" i="3"/>
  <c r="G8815" i="3"/>
  <c r="H8815" i="3"/>
  <c r="G8816" i="3"/>
  <c r="H8816" i="3"/>
  <c r="G8817" i="3"/>
  <c r="H8817" i="3"/>
  <c r="G8818" i="3"/>
  <c r="H8818" i="3"/>
  <c r="G8819" i="3"/>
  <c r="H8819" i="3"/>
  <c r="G8820" i="3"/>
  <c r="H8820" i="3"/>
  <c r="G8821" i="3"/>
  <c r="H8821" i="3"/>
  <c r="G8822" i="3"/>
  <c r="H8822" i="3"/>
  <c r="G8823" i="3"/>
  <c r="H8823" i="3"/>
  <c r="G8824" i="3"/>
  <c r="H8824" i="3"/>
  <c r="G8825" i="3"/>
  <c r="H8825" i="3"/>
  <c r="G8826" i="3"/>
  <c r="H8826" i="3"/>
  <c r="G8827" i="3"/>
  <c r="H8827" i="3"/>
  <c r="G8828" i="3"/>
  <c r="H8828" i="3"/>
  <c r="G8829" i="3"/>
  <c r="H8829" i="3"/>
  <c r="G8830" i="3"/>
  <c r="H8830" i="3"/>
  <c r="G8831" i="3"/>
  <c r="H8831" i="3"/>
  <c r="G8832" i="3"/>
  <c r="H8832" i="3"/>
  <c r="G8833" i="3"/>
  <c r="H8833" i="3"/>
  <c r="G8834" i="3"/>
  <c r="H8834" i="3"/>
  <c r="G8835" i="3"/>
  <c r="H8835" i="3"/>
  <c r="G8836" i="3"/>
  <c r="H8836" i="3"/>
  <c r="G8837" i="3"/>
  <c r="H8837" i="3"/>
  <c r="G8838" i="3"/>
  <c r="H8838" i="3"/>
  <c r="G8839" i="3"/>
  <c r="H8839" i="3"/>
  <c r="G8840" i="3"/>
  <c r="H8840" i="3"/>
  <c r="G8841" i="3"/>
  <c r="H8841" i="3"/>
  <c r="G8842" i="3"/>
  <c r="H8842" i="3"/>
  <c r="G8843" i="3"/>
  <c r="H8843" i="3"/>
  <c r="G8844" i="3"/>
  <c r="H8844" i="3"/>
  <c r="G8845" i="3"/>
  <c r="H8845" i="3"/>
  <c r="G8846" i="3"/>
  <c r="H8846" i="3"/>
  <c r="G8847" i="3"/>
  <c r="H8847" i="3"/>
  <c r="G8848" i="3"/>
  <c r="H8848" i="3"/>
  <c r="G8849" i="3"/>
  <c r="H8849" i="3"/>
  <c r="G8850" i="3"/>
  <c r="H8850" i="3"/>
  <c r="G8851" i="3"/>
  <c r="H8851" i="3"/>
  <c r="G8852" i="3"/>
  <c r="H8852" i="3"/>
  <c r="G8853" i="3"/>
  <c r="H8853" i="3"/>
  <c r="G8854" i="3"/>
  <c r="H8854" i="3"/>
  <c r="G8855" i="3"/>
  <c r="H8855" i="3"/>
  <c r="G8856" i="3"/>
  <c r="H8856" i="3"/>
  <c r="G8857" i="3"/>
  <c r="H8857" i="3"/>
  <c r="G8858" i="3"/>
  <c r="H8858" i="3"/>
  <c r="G8859" i="3"/>
  <c r="H8859" i="3"/>
  <c r="G8860" i="3"/>
  <c r="H8860" i="3"/>
  <c r="G8861" i="3"/>
  <c r="H8861" i="3"/>
  <c r="G8862" i="3"/>
  <c r="H8862" i="3"/>
  <c r="G8863" i="3"/>
  <c r="H8863" i="3"/>
  <c r="G8864" i="3"/>
  <c r="H8864" i="3"/>
  <c r="G8865" i="3"/>
  <c r="H8865" i="3"/>
  <c r="G8866" i="3"/>
  <c r="H8866" i="3"/>
  <c r="G8867" i="3"/>
  <c r="H8867" i="3"/>
  <c r="G8868" i="3"/>
  <c r="H8868" i="3"/>
  <c r="G8869" i="3"/>
  <c r="H8869" i="3"/>
  <c r="G8870" i="3"/>
  <c r="H8870" i="3"/>
  <c r="G8871" i="3"/>
  <c r="H8871" i="3"/>
  <c r="G8872" i="3"/>
  <c r="H8872" i="3"/>
  <c r="G8873" i="3"/>
  <c r="H8873" i="3"/>
  <c r="G8874" i="3"/>
  <c r="H8874" i="3"/>
  <c r="G8875" i="3"/>
  <c r="H8875" i="3"/>
  <c r="G8876" i="3"/>
  <c r="H8876" i="3"/>
  <c r="G8877" i="3"/>
  <c r="H8877" i="3"/>
  <c r="G8878" i="3"/>
  <c r="H8878" i="3"/>
  <c r="G8879" i="3"/>
  <c r="H8879" i="3"/>
  <c r="G8880" i="3"/>
  <c r="H8880" i="3"/>
  <c r="G8881" i="3"/>
  <c r="H8881" i="3"/>
  <c r="G8882" i="3"/>
  <c r="H8882" i="3"/>
  <c r="G8883" i="3"/>
  <c r="H8883" i="3"/>
  <c r="G8884" i="3"/>
  <c r="H8884" i="3"/>
  <c r="G8885" i="3"/>
  <c r="H8885" i="3"/>
  <c r="G8886" i="3"/>
  <c r="H8886" i="3"/>
  <c r="G8887" i="3"/>
  <c r="H8887" i="3"/>
  <c r="G8888" i="3"/>
  <c r="H8888" i="3"/>
  <c r="G8889" i="3"/>
  <c r="H8889" i="3"/>
  <c r="G8890" i="3"/>
  <c r="H8890" i="3"/>
  <c r="G8891" i="3"/>
  <c r="H8891" i="3"/>
  <c r="G8892" i="3"/>
  <c r="H8892" i="3"/>
  <c r="G8893" i="3"/>
  <c r="H8893" i="3"/>
  <c r="G8894" i="3"/>
  <c r="H8894" i="3"/>
  <c r="G8895" i="3"/>
  <c r="H8895" i="3"/>
  <c r="G8896" i="3"/>
  <c r="H8896" i="3"/>
  <c r="G8897" i="3"/>
  <c r="H8897" i="3"/>
  <c r="G8898" i="3"/>
  <c r="H8898" i="3"/>
  <c r="G8899" i="3"/>
  <c r="H8899" i="3"/>
  <c r="G8900" i="3"/>
  <c r="H8900" i="3"/>
  <c r="G8901" i="3"/>
  <c r="H8901" i="3"/>
  <c r="G8902" i="3"/>
  <c r="H8902" i="3"/>
  <c r="G8903" i="3"/>
  <c r="H8903" i="3"/>
  <c r="G8904" i="3"/>
  <c r="H8904" i="3"/>
  <c r="G8905" i="3"/>
  <c r="H8905" i="3"/>
  <c r="G8906" i="3"/>
  <c r="H8906" i="3"/>
  <c r="G8907" i="3"/>
  <c r="H8907" i="3"/>
  <c r="G8908" i="3"/>
  <c r="H8908" i="3"/>
  <c r="G8909" i="3"/>
  <c r="H8909" i="3"/>
  <c r="G8910" i="3"/>
  <c r="H8910" i="3"/>
  <c r="G8911" i="3"/>
  <c r="H8911" i="3"/>
  <c r="G8912" i="3"/>
  <c r="H8912" i="3"/>
  <c r="G8913" i="3"/>
  <c r="H8913" i="3"/>
  <c r="G8914" i="3"/>
  <c r="H8914" i="3"/>
  <c r="G8915" i="3"/>
  <c r="H8915" i="3"/>
  <c r="G8916" i="3"/>
  <c r="H8916" i="3"/>
  <c r="G8917" i="3"/>
  <c r="H8917" i="3"/>
  <c r="G8918" i="3"/>
  <c r="H8918" i="3"/>
  <c r="G8919" i="3"/>
  <c r="H8919" i="3"/>
  <c r="G8920" i="3"/>
  <c r="H8920" i="3"/>
  <c r="G8921" i="3"/>
  <c r="H8921" i="3"/>
  <c r="G8922" i="3"/>
  <c r="H8922" i="3"/>
  <c r="G8923" i="3"/>
  <c r="H8923" i="3"/>
  <c r="G8924" i="3"/>
  <c r="H8924" i="3"/>
  <c r="G8925" i="3"/>
  <c r="H8925" i="3"/>
  <c r="G8926" i="3"/>
  <c r="H8926" i="3"/>
  <c r="G8927" i="3"/>
  <c r="H8927" i="3"/>
  <c r="G8928" i="3"/>
  <c r="H8928" i="3"/>
  <c r="G8929" i="3"/>
  <c r="H8929" i="3"/>
  <c r="G8930" i="3"/>
  <c r="H8930" i="3"/>
  <c r="G8931" i="3"/>
  <c r="H8931" i="3"/>
  <c r="G8932" i="3"/>
  <c r="H8932" i="3"/>
  <c r="G8933" i="3"/>
  <c r="H8933" i="3"/>
  <c r="G8934" i="3"/>
  <c r="H8934" i="3"/>
  <c r="G8935" i="3"/>
  <c r="H8935" i="3"/>
  <c r="G8936" i="3"/>
  <c r="H8936" i="3"/>
  <c r="G8937" i="3"/>
  <c r="H8937" i="3"/>
  <c r="G8938" i="3"/>
  <c r="H8938" i="3"/>
  <c r="G8939" i="3"/>
  <c r="H8939" i="3"/>
  <c r="G8940" i="3"/>
  <c r="H8940" i="3"/>
  <c r="G8941" i="3"/>
  <c r="H8941" i="3"/>
  <c r="G8942" i="3"/>
  <c r="H8942" i="3"/>
  <c r="G8943" i="3"/>
  <c r="H8943" i="3"/>
  <c r="G8944" i="3"/>
  <c r="H8944" i="3"/>
  <c r="G8945" i="3"/>
  <c r="H8945" i="3"/>
  <c r="G8946" i="3"/>
  <c r="H8946" i="3"/>
  <c r="G8947" i="3"/>
  <c r="H8947" i="3"/>
  <c r="G8948" i="3"/>
  <c r="H8948" i="3"/>
  <c r="G8949" i="3"/>
  <c r="H8949" i="3"/>
  <c r="G8950" i="3"/>
  <c r="H8950" i="3"/>
  <c r="G8951" i="3"/>
  <c r="H8951" i="3"/>
  <c r="G8952" i="3"/>
  <c r="H8952" i="3"/>
  <c r="G8953" i="3"/>
  <c r="H8953" i="3"/>
  <c r="G8954" i="3"/>
  <c r="H8954" i="3"/>
  <c r="G8955" i="3"/>
  <c r="H8955" i="3"/>
  <c r="G8956" i="3"/>
  <c r="H8956" i="3"/>
  <c r="G8957" i="3"/>
  <c r="H8957" i="3"/>
  <c r="G8958" i="3"/>
  <c r="H8958" i="3"/>
  <c r="G8959" i="3"/>
  <c r="H8959" i="3"/>
  <c r="G8960" i="3"/>
  <c r="H8960" i="3"/>
  <c r="G8961" i="3"/>
  <c r="H8961" i="3"/>
  <c r="G8962" i="3"/>
  <c r="H8962" i="3"/>
  <c r="G8963" i="3"/>
  <c r="H8963" i="3"/>
  <c r="G8964" i="3"/>
  <c r="H8964" i="3"/>
  <c r="G8965" i="3"/>
  <c r="H8965" i="3"/>
  <c r="G8966" i="3"/>
  <c r="H8966" i="3"/>
  <c r="G8967" i="3"/>
  <c r="H8967" i="3"/>
  <c r="G8968" i="3"/>
  <c r="H8968" i="3"/>
  <c r="G8969" i="3"/>
  <c r="H8969" i="3"/>
  <c r="G8970" i="3"/>
  <c r="H8970" i="3"/>
  <c r="G8971" i="3"/>
  <c r="H8971" i="3"/>
  <c r="G8972" i="3"/>
  <c r="H8972" i="3"/>
  <c r="G8973" i="3"/>
  <c r="H8973" i="3"/>
  <c r="G8974" i="3"/>
  <c r="H8974" i="3"/>
  <c r="G8975" i="3"/>
  <c r="H8975" i="3"/>
  <c r="G8976" i="3"/>
  <c r="H8976" i="3"/>
  <c r="G8977" i="3"/>
  <c r="H8977" i="3"/>
  <c r="G8978" i="3"/>
  <c r="H8978" i="3"/>
  <c r="G8979" i="3"/>
  <c r="H8979" i="3"/>
  <c r="G8980" i="3"/>
  <c r="H8980" i="3"/>
  <c r="G8981" i="3"/>
  <c r="H8981" i="3"/>
  <c r="G8982" i="3"/>
  <c r="H8982" i="3"/>
  <c r="G8983" i="3"/>
  <c r="H8983" i="3"/>
  <c r="G8984" i="3"/>
  <c r="H8984" i="3"/>
  <c r="G8985" i="3"/>
  <c r="H8985" i="3"/>
  <c r="G8986" i="3"/>
  <c r="H8986" i="3"/>
  <c r="G8987" i="3"/>
  <c r="H8987" i="3"/>
  <c r="G8988" i="3"/>
  <c r="H8988" i="3"/>
  <c r="G8989" i="3"/>
  <c r="H8989" i="3"/>
  <c r="G8990" i="3"/>
  <c r="H8990" i="3"/>
  <c r="G8991" i="3"/>
  <c r="H8991" i="3"/>
  <c r="G8992" i="3"/>
  <c r="H8992" i="3"/>
  <c r="G8993" i="3"/>
  <c r="H8993" i="3"/>
  <c r="G8994" i="3"/>
  <c r="H8994" i="3"/>
  <c r="G8995" i="3"/>
  <c r="H8995" i="3"/>
  <c r="G8996" i="3"/>
  <c r="H8996" i="3"/>
  <c r="G8997" i="3"/>
  <c r="H8997" i="3"/>
  <c r="G8998" i="3"/>
  <c r="H8998" i="3"/>
  <c r="G8999" i="3"/>
  <c r="H8999" i="3"/>
  <c r="G9000" i="3"/>
  <c r="H9000" i="3"/>
  <c r="G9001" i="3"/>
  <c r="H9001" i="3"/>
  <c r="G9002" i="3"/>
  <c r="H9002" i="3"/>
  <c r="G9003" i="3"/>
  <c r="H9003" i="3"/>
  <c r="G9004" i="3"/>
  <c r="H9004" i="3"/>
  <c r="G9005" i="3"/>
  <c r="H9005" i="3"/>
  <c r="G9006" i="3"/>
  <c r="H9006" i="3"/>
  <c r="G9007" i="3"/>
  <c r="H9007" i="3"/>
  <c r="G9008" i="3"/>
  <c r="H9008" i="3"/>
  <c r="G9009" i="3"/>
  <c r="H9009" i="3"/>
  <c r="G9010" i="3"/>
  <c r="H9010" i="3"/>
  <c r="G9011" i="3"/>
  <c r="H9011" i="3"/>
  <c r="G9012" i="3"/>
  <c r="H9012" i="3"/>
  <c r="G9013" i="3"/>
  <c r="H9013" i="3"/>
  <c r="G9014" i="3"/>
  <c r="H9014" i="3"/>
  <c r="G9015" i="3"/>
  <c r="H9015" i="3"/>
  <c r="G9016" i="3"/>
  <c r="H9016" i="3"/>
  <c r="G9017" i="3"/>
  <c r="H9017" i="3"/>
  <c r="G9018" i="3"/>
  <c r="H9018" i="3"/>
  <c r="G9019" i="3"/>
  <c r="H9019" i="3"/>
  <c r="G9020" i="3"/>
  <c r="H9020" i="3"/>
  <c r="G9021" i="3"/>
  <c r="H9021" i="3"/>
  <c r="G9022" i="3"/>
  <c r="H9022" i="3"/>
  <c r="G9023" i="3"/>
  <c r="H9023" i="3"/>
  <c r="G9024" i="3"/>
  <c r="H9024" i="3"/>
  <c r="G9025" i="3"/>
  <c r="H9025" i="3"/>
  <c r="G9026" i="3"/>
  <c r="H9026" i="3"/>
  <c r="G9027" i="3"/>
  <c r="H9027" i="3"/>
  <c r="G9028" i="3"/>
  <c r="H9028" i="3"/>
  <c r="G9029" i="3"/>
  <c r="H9029" i="3"/>
  <c r="G9030" i="3"/>
  <c r="H9030" i="3"/>
  <c r="G9031" i="3"/>
  <c r="H9031" i="3"/>
  <c r="G9032" i="3"/>
  <c r="H9032" i="3"/>
  <c r="G9033" i="3"/>
  <c r="H9033" i="3"/>
  <c r="G9034" i="3"/>
  <c r="H9034" i="3"/>
  <c r="G9035" i="3"/>
  <c r="H9035" i="3"/>
  <c r="G9036" i="3"/>
  <c r="H9036" i="3"/>
  <c r="G9037" i="3"/>
  <c r="H9037" i="3"/>
  <c r="G9038" i="3"/>
  <c r="H9038" i="3"/>
  <c r="G9039" i="3"/>
  <c r="H9039" i="3"/>
  <c r="G9040" i="3"/>
  <c r="H9040" i="3"/>
  <c r="G9041" i="3"/>
  <c r="H9041" i="3"/>
  <c r="G9042" i="3"/>
  <c r="H9042" i="3"/>
  <c r="G9043" i="3"/>
  <c r="H9043" i="3"/>
  <c r="G9044" i="3"/>
  <c r="H9044" i="3"/>
  <c r="G9045" i="3"/>
  <c r="H9045" i="3"/>
  <c r="G9046" i="3"/>
  <c r="H9046" i="3"/>
  <c r="G9047" i="3"/>
  <c r="H9047" i="3"/>
  <c r="G9048" i="3"/>
  <c r="H9048" i="3"/>
  <c r="G9049" i="3"/>
  <c r="H9049" i="3"/>
  <c r="G9050" i="3"/>
  <c r="H9050" i="3"/>
  <c r="G9051" i="3"/>
  <c r="H9051" i="3"/>
  <c r="G9052" i="3"/>
  <c r="H9052" i="3"/>
  <c r="G9053" i="3"/>
  <c r="H9053" i="3"/>
  <c r="G9054" i="3"/>
  <c r="H9054" i="3"/>
  <c r="G9055" i="3"/>
  <c r="H9055" i="3"/>
  <c r="G9056" i="3"/>
  <c r="H9056" i="3"/>
  <c r="G9057" i="3"/>
  <c r="H9057" i="3"/>
  <c r="G9058" i="3"/>
  <c r="H9058" i="3"/>
  <c r="G9059" i="3"/>
  <c r="H9059" i="3"/>
  <c r="G9060" i="3"/>
  <c r="H9060" i="3"/>
  <c r="G9061" i="3"/>
  <c r="H9061" i="3"/>
  <c r="G9062" i="3"/>
  <c r="H9062" i="3"/>
  <c r="G9063" i="3"/>
  <c r="H9063" i="3"/>
  <c r="G9064" i="3"/>
  <c r="H9064" i="3"/>
  <c r="G9065" i="3"/>
  <c r="H9065" i="3"/>
  <c r="G9066" i="3"/>
  <c r="H9066" i="3"/>
  <c r="G9067" i="3"/>
  <c r="H9067" i="3"/>
  <c r="G9068" i="3"/>
  <c r="H9068" i="3"/>
  <c r="G9069" i="3"/>
  <c r="H9069" i="3"/>
  <c r="G9070" i="3"/>
  <c r="H9070" i="3"/>
  <c r="G9071" i="3"/>
  <c r="H9071" i="3"/>
  <c r="G9072" i="3"/>
  <c r="H9072" i="3"/>
  <c r="G9073" i="3"/>
  <c r="H9073" i="3"/>
  <c r="G9074" i="3"/>
  <c r="H9074" i="3"/>
  <c r="G9075" i="3"/>
  <c r="H9075" i="3"/>
  <c r="G9076" i="3"/>
  <c r="H9076" i="3"/>
  <c r="G9077" i="3"/>
  <c r="H9077" i="3"/>
  <c r="G9078" i="3"/>
  <c r="H9078" i="3"/>
  <c r="G9079" i="3"/>
  <c r="H9079" i="3"/>
  <c r="G9080" i="3"/>
  <c r="H9080" i="3"/>
  <c r="G9081" i="3"/>
  <c r="H9081" i="3"/>
  <c r="G9082" i="3"/>
  <c r="H9082" i="3"/>
  <c r="G9083" i="3"/>
  <c r="H9083" i="3"/>
  <c r="G9084" i="3"/>
  <c r="H9084" i="3"/>
  <c r="G9085" i="3"/>
  <c r="H9085" i="3"/>
  <c r="G9086" i="3"/>
  <c r="H9086" i="3"/>
  <c r="G9087" i="3"/>
  <c r="H9087" i="3"/>
  <c r="G9088" i="3"/>
  <c r="H9088" i="3"/>
  <c r="G9089" i="3"/>
  <c r="H9089" i="3"/>
  <c r="G9090" i="3"/>
  <c r="H9090" i="3"/>
  <c r="G9091" i="3"/>
  <c r="H9091" i="3"/>
  <c r="G9092" i="3"/>
  <c r="H9092" i="3"/>
  <c r="G9093" i="3"/>
  <c r="H9093" i="3"/>
  <c r="G9094" i="3"/>
  <c r="H9094" i="3"/>
  <c r="G9095" i="3"/>
  <c r="H9095" i="3"/>
  <c r="G9096" i="3"/>
  <c r="H9096" i="3"/>
  <c r="G9097" i="3"/>
  <c r="H9097" i="3"/>
  <c r="G9098" i="3"/>
  <c r="H9098" i="3"/>
  <c r="G9099" i="3"/>
  <c r="H9099" i="3"/>
  <c r="G9100" i="3"/>
  <c r="H9100" i="3"/>
  <c r="G9101" i="3"/>
  <c r="H9101" i="3"/>
  <c r="G9102" i="3"/>
  <c r="H9102" i="3"/>
  <c r="G9103" i="3"/>
  <c r="H9103" i="3"/>
  <c r="G9104" i="3"/>
  <c r="H9104" i="3"/>
  <c r="G9105" i="3"/>
  <c r="H9105" i="3"/>
  <c r="G9106" i="3"/>
  <c r="H9106" i="3"/>
  <c r="G9107" i="3"/>
  <c r="H9107" i="3"/>
  <c r="G9108" i="3"/>
  <c r="H9108" i="3"/>
  <c r="G9109" i="3"/>
  <c r="H9109" i="3"/>
  <c r="G9110" i="3"/>
  <c r="H9110" i="3"/>
  <c r="G9111" i="3"/>
  <c r="H9111" i="3"/>
  <c r="G9112" i="3"/>
  <c r="H9112" i="3"/>
  <c r="G9113" i="3"/>
  <c r="H9113" i="3"/>
  <c r="G9114" i="3"/>
  <c r="H9114" i="3"/>
  <c r="G9115" i="3"/>
  <c r="H9115" i="3"/>
  <c r="G9116" i="3"/>
  <c r="H9116" i="3"/>
  <c r="G9117" i="3"/>
  <c r="H9117" i="3"/>
  <c r="G9118" i="3"/>
  <c r="H9118" i="3"/>
  <c r="G9119" i="3"/>
  <c r="H9119" i="3"/>
  <c r="G9120" i="3"/>
  <c r="H9120" i="3"/>
  <c r="G9121" i="3"/>
  <c r="H9121" i="3"/>
  <c r="G9122" i="3"/>
  <c r="H9122" i="3"/>
  <c r="G9123" i="3"/>
  <c r="H9123" i="3"/>
  <c r="G9124" i="3"/>
  <c r="H9124" i="3"/>
  <c r="G9125" i="3"/>
  <c r="H9125" i="3"/>
  <c r="G9126" i="3"/>
  <c r="H9126" i="3"/>
  <c r="G9127" i="3"/>
  <c r="H9127" i="3"/>
  <c r="G9128" i="3"/>
  <c r="H9128" i="3"/>
  <c r="G9129" i="3"/>
  <c r="H9129" i="3"/>
  <c r="G9130" i="3"/>
  <c r="H9130" i="3"/>
  <c r="G9131" i="3"/>
  <c r="H9131" i="3"/>
  <c r="G9132" i="3"/>
  <c r="H9132" i="3"/>
  <c r="G9133" i="3"/>
  <c r="H9133" i="3"/>
  <c r="G9134" i="3"/>
  <c r="H9134" i="3"/>
  <c r="G9135" i="3"/>
  <c r="H9135" i="3"/>
  <c r="G9136" i="3"/>
  <c r="H9136" i="3"/>
  <c r="G9137" i="3"/>
  <c r="H9137" i="3"/>
  <c r="G9138" i="3"/>
  <c r="H9138" i="3"/>
  <c r="G9139" i="3"/>
  <c r="H9139" i="3"/>
  <c r="G9140" i="3"/>
  <c r="H9140" i="3"/>
  <c r="G9141" i="3"/>
  <c r="H9141" i="3"/>
  <c r="G9142" i="3"/>
  <c r="H9142" i="3"/>
  <c r="G9143" i="3"/>
  <c r="H9143" i="3"/>
  <c r="G9144" i="3"/>
  <c r="H9144" i="3"/>
  <c r="G9145" i="3"/>
  <c r="H9145" i="3"/>
  <c r="G9146" i="3"/>
  <c r="H9146" i="3"/>
  <c r="G9147" i="3"/>
  <c r="H9147" i="3"/>
  <c r="G9148" i="3"/>
  <c r="H9148" i="3"/>
  <c r="G9149" i="3"/>
  <c r="H9149" i="3"/>
  <c r="G9150" i="3"/>
  <c r="H9150" i="3"/>
  <c r="G9151" i="3"/>
  <c r="H9151" i="3"/>
  <c r="G9152" i="3"/>
  <c r="H9152" i="3"/>
  <c r="G9153" i="3"/>
  <c r="H9153" i="3"/>
  <c r="G9154" i="3"/>
  <c r="H9154" i="3"/>
  <c r="G9155" i="3"/>
  <c r="H9155" i="3"/>
  <c r="G9156" i="3"/>
  <c r="H9156" i="3"/>
  <c r="G9157" i="3"/>
  <c r="H9157" i="3"/>
  <c r="G9158" i="3"/>
  <c r="H9158" i="3"/>
  <c r="G9159" i="3"/>
  <c r="H9159" i="3"/>
  <c r="G9160" i="3"/>
  <c r="H9160" i="3"/>
  <c r="G9161" i="3"/>
  <c r="H9161" i="3"/>
  <c r="G9162" i="3"/>
  <c r="H9162" i="3"/>
  <c r="G9163" i="3"/>
  <c r="H9163" i="3"/>
  <c r="G9164" i="3"/>
  <c r="H9164" i="3"/>
  <c r="G9165" i="3"/>
  <c r="H9165" i="3"/>
  <c r="G9166" i="3"/>
  <c r="H9166" i="3"/>
  <c r="G9167" i="3"/>
  <c r="H9167" i="3"/>
  <c r="G9168" i="3"/>
  <c r="H9168" i="3"/>
  <c r="G9169" i="3"/>
  <c r="H9169" i="3"/>
  <c r="G9170" i="3"/>
  <c r="H9170" i="3"/>
  <c r="G9171" i="3"/>
  <c r="H9171" i="3"/>
  <c r="G9172" i="3"/>
  <c r="H9172" i="3"/>
  <c r="G9173" i="3"/>
  <c r="H9173" i="3"/>
  <c r="G9174" i="3"/>
  <c r="H9174" i="3"/>
  <c r="G9175" i="3"/>
  <c r="H9175" i="3"/>
  <c r="G9176" i="3"/>
  <c r="H9176" i="3"/>
  <c r="G9177" i="3"/>
  <c r="H9177" i="3"/>
  <c r="G9178" i="3"/>
  <c r="H9178" i="3"/>
  <c r="G9179" i="3"/>
  <c r="H9179" i="3"/>
  <c r="G9180" i="3"/>
  <c r="H9180" i="3"/>
  <c r="G9181" i="3"/>
  <c r="H9181" i="3"/>
  <c r="G9182" i="3"/>
  <c r="H9182" i="3"/>
  <c r="G9183" i="3"/>
  <c r="H9183" i="3"/>
  <c r="G9184" i="3"/>
  <c r="H9184" i="3"/>
  <c r="G9185" i="3"/>
  <c r="H9185" i="3"/>
  <c r="G9186" i="3"/>
  <c r="H9186" i="3"/>
  <c r="G9187" i="3"/>
  <c r="H9187" i="3"/>
  <c r="G9188" i="3"/>
  <c r="H9188" i="3"/>
  <c r="G9189" i="3"/>
  <c r="H9189" i="3"/>
  <c r="G9190" i="3"/>
  <c r="H9190" i="3"/>
  <c r="G9191" i="3"/>
  <c r="H9191" i="3"/>
  <c r="G9192" i="3"/>
  <c r="H9192" i="3"/>
  <c r="G9193" i="3"/>
  <c r="H9193" i="3"/>
  <c r="G9194" i="3"/>
  <c r="H9194" i="3"/>
  <c r="G9195" i="3"/>
  <c r="H9195" i="3"/>
  <c r="G9196" i="3"/>
  <c r="H9196" i="3"/>
  <c r="G9197" i="3"/>
  <c r="H9197" i="3"/>
  <c r="G9198" i="3"/>
  <c r="H9198" i="3"/>
  <c r="G9199" i="3"/>
  <c r="H9199" i="3"/>
  <c r="G9200" i="3"/>
  <c r="H9200" i="3"/>
  <c r="G9201" i="3"/>
  <c r="H9201" i="3"/>
  <c r="G9202" i="3"/>
  <c r="H9202" i="3"/>
  <c r="G9203" i="3"/>
  <c r="H9203" i="3"/>
  <c r="G9204" i="3"/>
  <c r="H9204" i="3"/>
  <c r="G9205" i="3"/>
  <c r="H9205" i="3"/>
  <c r="G9206" i="3"/>
  <c r="H9206" i="3"/>
  <c r="G9207" i="3"/>
  <c r="H9207" i="3"/>
  <c r="G9208" i="3"/>
  <c r="H9208" i="3"/>
  <c r="G9209" i="3"/>
  <c r="H9209" i="3"/>
  <c r="G9210" i="3"/>
  <c r="H9210" i="3"/>
  <c r="G9211" i="3"/>
  <c r="H9211" i="3"/>
  <c r="G9212" i="3"/>
  <c r="H9212" i="3"/>
  <c r="G9213" i="3"/>
  <c r="H9213" i="3"/>
  <c r="G9214" i="3"/>
  <c r="H9214" i="3"/>
  <c r="G9215" i="3"/>
  <c r="H9215" i="3"/>
  <c r="G9216" i="3"/>
  <c r="H9216" i="3"/>
  <c r="G9217" i="3"/>
  <c r="H9217" i="3"/>
  <c r="G9218" i="3"/>
  <c r="H9218" i="3"/>
  <c r="G9219" i="3"/>
  <c r="H9219" i="3"/>
  <c r="G9220" i="3"/>
  <c r="H9220" i="3"/>
  <c r="G9221" i="3"/>
  <c r="H9221" i="3"/>
  <c r="G9222" i="3"/>
  <c r="H9222" i="3"/>
  <c r="G9223" i="3"/>
  <c r="H9223" i="3"/>
  <c r="G9224" i="3"/>
  <c r="H9224" i="3"/>
  <c r="G9225" i="3"/>
  <c r="H9225" i="3"/>
  <c r="G9226" i="3"/>
  <c r="H9226" i="3"/>
  <c r="G9227" i="3"/>
  <c r="H9227" i="3"/>
  <c r="G9228" i="3"/>
  <c r="H9228" i="3"/>
  <c r="G9229" i="3"/>
  <c r="H9229" i="3"/>
  <c r="G9230" i="3"/>
  <c r="H9230" i="3"/>
  <c r="G9231" i="3"/>
  <c r="H9231" i="3"/>
  <c r="G9232" i="3"/>
  <c r="H9232" i="3"/>
  <c r="G9233" i="3"/>
  <c r="H9233" i="3"/>
  <c r="G9234" i="3"/>
  <c r="H9234" i="3"/>
  <c r="G9235" i="3"/>
  <c r="H9235" i="3"/>
  <c r="G9236" i="3"/>
  <c r="H9236" i="3"/>
  <c r="G9237" i="3"/>
  <c r="H9237" i="3"/>
  <c r="G9238" i="3"/>
  <c r="H9238" i="3"/>
  <c r="G9239" i="3"/>
  <c r="H9239" i="3"/>
  <c r="G9240" i="3"/>
  <c r="H9240" i="3"/>
  <c r="G9241" i="3"/>
  <c r="H9241" i="3"/>
  <c r="G9242" i="3"/>
  <c r="H9242" i="3"/>
  <c r="G9243" i="3"/>
  <c r="H9243" i="3"/>
  <c r="G9244" i="3"/>
  <c r="H9244" i="3"/>
  <c r="G9245" i="3"/>
  <c r="H9245" i="3"/>
  <c r="G9246" i="3"/>
  <c r="H9246" i="3"/>
  <c r="G9247" i="3"/>
  <c r="H9247" i="3"/>
  <c r="G9248" i="3"/>
  <c r="H9248" i="3"/>
  <c r="G9249" i="3"/>
  <c r="H9249" i="3"/>
  <c r="G9250" i="3"/>
  <c r="H9250" i="3"/>
  <c r="G9251" i="3"/>
  <c r="H9251" i="3"/>
  <c r="G9252" i="3"/>
  <c r="H9252" i="3"/>
  <c r="G9253" i="3"/>
  <c r="H9253" i="3"/>
  <c r="G9254" i="3"/>
  <c r="H9254" i="3"/>
  <c r="G9255" i="3"/>
  <c r="H9255" i="3"/>
  <c r="G9256" i="3"/>
  <c r="H9256" i="3"/>
  <c r="G9257" i="3"/>
  <c r="H9257" i="3"/>
  <c r="G9258" i="3"/>
  <c r="H9258" i="3"/>
  <c r="G9259" i="3"/>
  <c r="H9259" i="3"/>
  <c r="G9260" i="3"/>
  <c r="H9260" i="3"/>
  <c r="G9261" i="3"/>
  <c r="H9261" i="3"/>
  <c r="G9262" i="3"/>
  <c r="H9262" i="3"/>
  <c r="G9263" i="3"/>
  <c r="H9263" i="3"/>
  <c r="G9264" i="3"/>
  <c r="H9264" i="3"/>
  <c r="G9265" i="3"/>
  <c r="H9265" i="3"/>
  <c r="G9266" i="3"/>
  <c r="H9266" i="3"/>
  <c r="G9267" i="3"/>
  <c r="H9267" i="3"/>
  <c r="G9268" i="3"/>
  <c r="H9268" i="3"/>
  <c r="G9269" i="3"/>
  <c r="H9269" i="3"/>
  <c r="G9270" i="3"/>
  <c r="H9270" i="3"/>
  <c r="G9271" i="3"/>
  <c r="H9271" i="3"/>
  <c r="G9272" i="3"/>
  <c r="H9272" i="3"/>
  <c r="G9273" i="3"/>
  <c r="H9273" i="3"/>
  <c r="G9274" i="3"/>
  <c r="H9274" i="3"/>
  <c r="G9275" i="3"/>
  <c r="H9275" i="3"/>
  <c r="G9276" i="3"/>
  <c r="H9276" i="3"/>
  <c r="G9277" i="3"/>
  <c r="H9277" i="3"/>
  <c r="G9278" i="3"/>
  <c r="H9278" i="3"/>
  <c r="G9279" i="3"/>
  <c r="H9279" i="3"/>
  <c r="G9280" i="3"/>
  <c r="H9280" i="3"/>
  <c r="G9281" i="3"/>
  <c r="H9281" i="3"/>
  <c r="G9282" i="3"/>
  <c r="H9282" i="3"/>
  <c r="G9283" i="3"/>
  <c r="H9283" i="3"/>
  <c r="G9284" i="3"/>
  <c r="H9284" i="3"/>
  <c r="G9285" i="3"/>
  <c r="H9285" i="3"/>
  <c r="G9286" i="3"/>
  <c r="H9286" i="3"/>
  <c r="G9287" i="3"/>
  <c r="H9287" i="3"/>
  <c r="G9288" i="3"/>
  <c r="H9288" i="3"/>
  <c r="G9289" i="3"/>
  <c r="H9289" i="3"/>
  <c r="G9290" i="3"/>
  <c r="H9290" i="3"/>
  <c r="G9291" i="3"/>
  <c r="H9291" i="3"/>
  <c r="G9292" i="3"/>
  <c r="H9292" i="3"/>
  <c r="G9293" i="3"/>
  <c r="H9293" i="3"/>
  <c r="G9294" i="3"/>
  <c r="H9294" i="3"/>
  <c r="G9295" i="3"/>
  <c r="H9295" i="3"/>
  <c r="G9296" i="3"/>
  <c r="H9296" i="3"/>
  <c r="G9297" i="3"/>
  <c r="H9297" i="3"/>
  <c r="G9298" i="3"/>
  <c r="H9298" i="3"/>
  <c r="G9299" i="3"/>
  <c r="H9299" i="3"/>
  <c r="G9300" i="3"/>
  <c r="H9300" i="3"/>
  <c r="G9301" i="3"/>
  <c r="H9301" i="3"/>
  <c r="G9302" i="3"/>
  <c r="H9302" i="3"/>
  <c r="G9303" i="3"/>
  <c r="H9303" i="3"/>
  <c r="G9304" i="3"/>
  <c r="H9304" i="3"/>
  <c r="G9305" i="3"/>
  <c r="H9305" i="3"/>
  <c r="G9306" i="3"/>
  <c r="H9306" i="3"/>
  <c r="G9307" i="3"/>
  <c r="H9307" i="3"/>
  <c r="G9308" i="3"/>
  <c r="H9308" i="3"/>
  <c r="G9309" i="3"/>
  <c r="H9309" i="3"/>
  <c r="G9310" i="3"/>
  <c r="H9310" i="3"/>
  <c r="G9311" i="3"/>
  <c r="H9311" i="3"/>
  <c r="G9312" i="3"/>
  <c r="H9312" i="3"/>
  <c r="G9313" i="3"/>
  <c r="H9313" i="3"/>
  <c r="G9314" i="3"/>
  <c r="H9314" i="3"/>
  <c r="G9315" i="3"/>
  <c r="H9315" i="3"/>
  <c r="G9316" i="3"/>
  <c r="H9316" i="3"/>
  <c r="G9317" i="3"/>
  <c r="H9317" i="3"/>
  <c r="G9318" i="3"/>
  <c r="H9318" i="3"/>
  <c r="G9319" i="3"/>
  <c r="H9319" i="3"/>
  <c r="G9320" i="3"/>
  <c r="H9320" i="3"/>
  <c r="G9321" i="3"/>
  <c r="H9321" i="3"/>
  <c r="G9322" i="3"/>
  <c r="H9322" i="3"/>
  <c r="G9323" i="3"/>
  <c r="H9323" i="3"/>
  <c r="G9324" i="3"/>
  <c r="H9324" i="3"/>
  <c r="G9325" i="3"/>
  <c r="H9325" i="3"/>
  <c r="G9326" i="3"/>
  <c r="H9326" i="3"/>
  <c r="G9327" i="3"/>
  <c r="H9327" i="3"/>
  <c r="G9328" i="3"/>
  <c r="H9328" i="3"/>
  <c r="G9329" i="3"/>
  <c r="H9329" i="3"/>
  <c r="G9330" i="3"/>
  <c r="H9330" i="3"/>
  <c r="G9331" i="3"/>
  <c r="H9331" i="3"/>
  <c r="G9332" i="3"/>
  <c r="H9332" i="3"/>
  <c r="G9333" i="3"/>
  <c r="H9333" i="3"/>
  <c r="G9334" i="3"/>
  <c r="H9334" i="3"/>
  <c r="G9335" i="3"/>
  <c r="H9335" i="3"/>
  <c r="G9336" i="3"/>
  <c r="H9336" i="3"/>
  <c r="G9337" i="3"/>
  <c r="H9337" i="3"/>
  <c r="G9338" i="3"/>
  <c r="H9338" i="3"/>
  <c r="G9339" i="3"/>
  <c r="H9339" i="3"/>
  <c r="G9340" i="3"/>
  <c r="H9340" i="3"/>
  <c r="G9341" i="3"/>
  <c r="H9341" i="3"/>
  <c r="G9342" i="3"/>
  <c r="H9342" i="3"/>
  <c r="G9343" i="3"/>
  <c r="H9343" i="3"/>
  <c r="G9344" i="3"/>
  <c r="H9344" i="3"/>
  <c r="G9345" i="3"/>
  <c r="H9345" i="3"/>
  <c r="G9346" i="3"/>
  <c r="H9346" i="3"/>
  <c r="G9347" i="3"/>
  <c r="H9347" i="3"/>
  <c r="G9348" i="3"/>
  <c r="H9348" i="3"/>
  <c r="G9349" i="3"/>
  <c r="H9349" i="3"/>
  <c r="G9350" i="3"/>
  <c r="H9350" i="3"/>
  <c r="G9351" i="3"/>
  <c r="H9351" i="3"/>
  <c r="G9352" i="3"/>
  <c r="H9352" i="3"/>
  <c r="G9353" i="3"/>
  <c r="H9353" i="3"/>
  <c r="G9354" i="3"/>
  <c r="H9354" i="3"/>
  <c r="G9355" i="3"/>
  <c r="H9355" i="3"/>
  <c r="G9356" i="3"/>
  <c r="H9356" i="3"/>
  <c r="G9357" i="3"/>
  <c r="H9357" i="3"/>
  <c r="G9358" i="3"/>
  <c r="H9358" i="3"/>
  <c r="G9359" i="3"/>
  <c r="H9359" i="3"/>
  <c r="G9360" i="3"/>
  <c r="H9360" i="3"/>
  <c r="G9361" i="3"/>
  <c r="H9361" i="3"/>
  <c r="G9362" i="3"/>
  <c r="H9362" i="3"/>
  <c r="G9363" i="3"/>
  <c r="H9363" i="3"/>
  <c r="G9364" i="3"/>
  <c r="H9364" i="3"/>
  <c r="G9365" i="3"/>
  <c r="H9365" i="3"/>
  <c r="G9366" i="3"/>
  <c r="H9366" i="3"/>
  <c r="G9367" i="3"/>
  <c r="H9367" i="3"/>
  <c r="G9368" i="3"/>
  <c r="H9368" i="3"/>
  <c r="G9369" i="3"/>
  <c r="H9369" i="3"/>
  <c r="G9370" i="3"/>
  <c r="H9370" i="3"/>
  <c r="G9371" i="3"/>
  <c r="H9371" i="3"/>
  <c r="G9372" i="3"/>
  <c r="H9372" i="3"/>
  <c r="G9373" i="3"/>
  <c r="H9373" i="3"/>
  <c r="G9374" i="3"/>
  <c r="H9374" i="3"/>
  <c r="G9375" i="3"/>
  <c r="H9375" i="3"/>
  <c r="G9376" i="3"/>
  <c r="H9376" i="3"/>
  <c r="G9377" i="3"/>
  <c r="H9377" i="3"/>
  <c r="G9378" i="3"/>
  <c r="H9378" i="3"/>
  <c r="G9379" i="3"/>
  <c r="H9379" i="3"/>
  <c r="G9380" i="3"/>
  <c r="H9380" i="3"/>
  <c r="G9381" i="3"/>
  <c r="H9381" i="3"/>
  <c r="G9382" i="3"/>
  <c r="H9382" i="3"/>
  <c r="G9383" i="3"/>
  <c r="H9383" i="3"/>
  <c r="G9384" i="3"/>
  <c r="H9384" i="3"/>
  <c r="G9385" i="3"/>
  <c r="H9385" i="3"/>
  <c r="G9386" i="3"/>
  <c r="H9386" i="3"/>
  <c r="G9387" i="3"/>
  <c r="H9387" i="3"/>
  <c r="G9388" i="3"/>
  <c r="H9388" i="3"/>
  <c r="G9389" i="3"/>
  <c r="H9389" i="3"/>
  <c r="G9390" i="3"/>
  <c r="H9390" i="3"/>
  <c r="G9391" i="3"/>
  <c r="H9391" i="3"/>
  <c r="G9392" i="3"/>
  <c r="H9392" i="3"/>
  <c r="G9393" i="3"/>
  <c r="H9393" i="3"/>
  <c r="G9394" i="3"/>
  <c r="H9394" i="3"/>
  <c r="G9395" i="3"/>
  <c r="H9395" i="3"/>
  <c r="G9396" i="3"/>
  <c r="H9396" i="3"/>
  <c r="G9397" i="3"/>
  <c r="H9397" i="3"/>
  <c r="G9398" i="3"/>
  <c r="H9398" i="3"/>
  <c r="G9399" i="3"/>
  <c r="H9399" i="3"/>
  <c r="G9400" i="3"/>
  <c r="H9400" i="3"/>
  <c r="G9401" i="3"/>
  <c r="H9401" i="3"/>
  <c r="G9402" i="3"/>
  <c r="H9402" i="3"/>
  <c r="G9403" i="3"/>
  <c r="H9403" i="3"/>
  <c r="G9404" i="3"/>
  <c r="H9404" i="3"/>
  <c r="G9405" i="3"/>
  <c r="H9405" i="3"/>
  <c r="G9406" i="3"/>
  <c r="H9406" i="3"/>
  <c r="G9407" i="3"/>
  <c r="H9407" i="3"/>
  <c r="G9408" i="3"/>
  <c r="H9408" i="3"/>
  <c r="G9409" i="3"/>
  <c r="H9409" i="3"/>
  <c r="G9410" i="3"/>
  <c r="H9410" i="3"/>
  <c r="G9411" i="3"/>
  <c r="H9411" i="3"/>
  <c r="G9412" i="3"/>
  <c r="H9412" i="3"/>
  <c r="G9413" i="3"/>
  <c r="H9413" i="3"/>
  <c r="G9414" i="3"/>
  <c r="H9414" i="3"/>
  <c r="G9415" i="3"/>
  <c r="H9415" i="3"/>
  <c r="G9416" i="3"/>
  <c r="H9416" i="3"/>
  <c r="G9417" i="3"/>
  <c r="H9417" i="3"/>
  <c r="G9418" i="3"/>
  <c r="H9418" i="3"/>
  <c r="G9419" i="3"/>
  <c r="H9419" i="3"/>
  <c r="G9420" i="3"/>
  <c r="H9420" i="3"/>
  <c r="G9421" i="3"/>
  <c r="H9421" i="3"/>
  <c r="G9422" i="3"/>
  <c r="H9422" i="3"/>
  <c r="G9423" i="3"/>
  <c r="H9423" i="3"/>
  <c r="G9424" i="3"/>
  <c r="H9424" i="3"/>
  <c r="G9425" i="3"/>
  <c r="H9425" i="3"/>
  <c r="G9426" i="3"/>
  <c r="H9426" i="3"/>
  <c r="G9427" i="3"/>
  <c r="H9427" i="3"/>
  <c r="G9428" i="3"/>
  <c r="H9428" i="3"/>
  <c r="G9429" i="3"/>
  <c r="H9429" i="3"/>
  <c r="G9430" i="3"/>
  <c r="H9430" i="3"/>
  <c r="G9431" i="3"/>
  <c r="H9431" i="3"/>
  <c r="G9432" i="3"/>
  <c r="H9432" i="3"/>
  <c r="G9433" i="3"/>
  <c r="H9433" i="3"/>
  <c r="G9434" i="3"/>
  <c r="H9434" i="3"/>
  <c r="G9435" i="3"/>
  <c r="H9435" i="3"/>
  <c r="G9436" i="3"/>
  <c r="H9436" i="3"/>
  <c r="G9437" i="3"/>
  <c r="H9437" i="3"/>
  <c r="G9438" i="3"/>
  <c r="H9438" i="3"/>
  <c r="G9439" i="3"/>
  <c r="H9439" i="3"/>
  <c r="G9440" i="3"/>
  <c r="H9440" i="3"/>
  <c r="G9441" i="3"/>
  <c r="H9441" i="3"/>
  <c r="G9442" i="3"/>
  <c r="H9442" i="3"/>
  <c r="G9443" i="3"/>
  <c r="H9443" i="3"/>
  <c r="G9444" i="3"/>
  <c r="H9444" i="3"/>
  <c r="G9445" i="3"/>
  <c r="H9445" i="3"/>
  <c r="G9446" i="3"/>
  <c r="H9446" i="3"/>
  <c r="G9447" i="3"/>
  <c r="H9447" i="3"/>
  <c r="G9448" i="3"/>
  <c r="H9448" i="3"/>
  <c r="G9449" i="3"/>
  <c r="H9449" i="3"/>
  <c r="G9450" i="3"/>
  <c r="H9450" i="3"/>
  <c r="G9451" i="3"/>
  <c r="H9451" i="3"/>
  <c r="G9452" i="3"/>
  <c r="H9452" i="3"/>
  <c r="G9453" i="3"/>
  <c r="H9453" i="3"/>
  <c r="G9454" i="3"/>
  <c r="H9454" i="3"/>
  <c r="G9455" i="3"/>
  <c r="H9455" i="3"/>
  <c r="G9456" i="3"/>
  <c r="H9456" i="3"/>
  <c r="G9457" i="3"/>
  <c r="H9457" i="3"/>
  <c r="G9458" i="3"/>
  <c r="H9458" i="3"/>
  <c r="G9459" i="3"/>
  <c r="H9459" i="3"/>
  <c r="G9460" i="3"/>
  <c r="H9460" i="3"/>
  <c r="G9461" i="3"/>
  <c r="H9461" i="3"/>
  <c r="G9462" i="3"/>
  <c r="H9462" i="3"/>
  <c r="G9463" i="3"/>
  <c r="H9463" i="3"/>
  <c r="G9464" i="3"/>
  <c r="H9464" i="3"/>
  <c r="G9465" i="3"/>
  <c r="H9465" i="3"/>
  <c r="G9466" i="3"/>
  <c r="H9466" i="3"/>
  <c r="G9467" i="3"/>
  <c r="H9467" i="3"/>
  <c r="G9468" i="3"/>
  <c r="H9468" i="3"/>
  <c r="G9469" i="3"/>
  <c r="H9469" i="3"/>
  <c r="G9470" i="3"/>
  <c r="H9470" i="3"/>
  <c r="G9471" i="3"/>
  <c r="H9471" i="3"/>
  <c r="G9472" i="3"/>
  <c r="H9472" i="3"/>
  <c r="G9473" i="3"/>
  <c r="H9473" i="3"/>
  <c r="G9474" i="3"/>
  <c r="H9474" i="3"/>
  <c r="G9475" i="3"/>
  <c r="H9475" i="3"/>
  <c r="G9476" i="3"/>
  <c r="H9476" i="3"/>
  <c r="G9477" i="3"/>
  <c r="H9477" i="3"/>
  <c r="G9478" i="3"/>
  <c r="H9478" i="3"/>
  <c r="G9479" i="3"/>
  <c r="H9479" i="3"/>
  <c r="G9480" i="3"/>
  <c r="H9480" i="3"/>
  <c r="G9481" i="3"/>
  <c r="H9481" i="3"/>
  <c r="G9482" i="3"/>
  <c r="H9482" i="3"/>
  <c r="G9483" i="3"/>
  <c r="H9483" i="3"/>
  <c r="G9484" i="3"/>
  <c r="H9484" i="3"/>
  <c r="G9485" i="3"/>
  <c r="H9485" i="3"/>
  <c r="G9486" i="3"/>
  <c r="H9486" i="3"/>
  <c r="G9487" i="3"/>
  <c r="H9487" i="3"/>
  <c r="G9488" i="3"/>
  <c r="H9488" i="3"/>
  <c r="G9489" i="3"/>
  <c r="H9489" i="3"/>
  <c r="G9490" i="3"/>
  <c r="H9490" i="3"/>
  <c r="G9491" i="3"/>
  <c r="H9491" i="3"/>
  <c r="G9492" i="3"/>
  <c r="H9492" i="3"/>
  <c r="G9493" i="3"/>
  <c r="H9493" i="3"/>
  <c r="G9494" i="3"/>
  <c r="H9494" i="3"/>
  <c r="G9495" i="3"/>
  <c r="H9495" i="3"/>
  <c r="G9496" i="3"/>
  <c r="H9496" i="3"/>
  <c r="G9497" i="3"/>
  <c r="H9497" i="3"/>
  <c r="G9498" i="3"/>
  <c r="H9498" i="3"/>
  <c r="G9499" i="3"/>
  <c r="H9499" i="3"/>
  <c r="G9500" i="3"/>
  <c r="H9500" i="3"/>
  <c r="G9501" i="3"/>
  <c r="H9501" i="3"/>
  <c r="G9502" i="3"/>
  <c r="H9502" i="3"/>
  <c r="G9503" i="3"/>
  <c r="H9503" i="3"/>
  <c r="G9504" i="3"/>
  <c r="H9504" i="3"/>
  <c r="G9505" i="3"/>
  <c r="H9505" i="3"/>
  <c r="G9506" i="3"/>
  <c r="H9506" i="3"/>
  <c r="G9507" i="3"/>
  <c r="H9507" i="3"/>
  <c r="G9508" i="3"/>
  <c r="H9508" i="3"/>
  <c r="G9509" i="3"/>
  <c r="H9509" i="3"/>
  <c r="G9510" i="3"/>
  <c r="H9510" i="3"/>
  <c r="G9511" i="3"/>
  <c r="H9511" i="3"/>
  <c r="G9512" i="3"/>
  <c r="H9512" i="3"/>
  <c r="G9513" i="3"/>
  <c r="H9513" i="3"/>
  <c r="G9514" i="3"/>
  <c r="H9514" i="3"/>
  <c r="G9515" i="3"/>
  <c r="H9515" i="3"/>
  <c r="G9516" i="3"/>
  <c r="H9516" i="3"/>
  <c r="G9517" i="3"/>
  <c r="H9517" i="3"/>
  <c r="G9518" i="3"/>
  <c r="H9518" i="3"/>
  <c r="G9519" i="3"/>
  <c r="H9519" i="3"/>
  <c r="G9520" i="3"/>
  <c r="H9520" i="3"/>
  <c r="G9521" i="3"/>
  <c r="H9521" i="3"/>
  <c r="G9522" i="3"/>
  <c r="H9522" i="3"/>
  <c r="G9523" i="3"/>
  <c r="H9523" i="3"/>
  <c r="G9524" i="3"/>
  <c r="H9524" i="3"/>
  <c r="G9525" i="3"/>
  <c r="H9525" i="3"/>
  <c r="G9526" i="3"/>
  <c r="H9526" i="3"/>
  <c r="G9527" i="3"/>
  <c r="H9527" i="3"/>
  <c r="G9528" i="3"/>
  <c r="H9528" i="3"/>
  <c r="G9529" i="3"/>
  <c r="H9529" i="3"/>
  <c r="G9530" i="3"/>
  <c r="H9530" i="3"/>
  <c r="G9531" i="3"/>
  <c r="H9531" i="3"/>
  <c r="G9532" i="3"/>
  <c r="H9532" i="3"/>
  <c r="G9533" i="3"/>
  <c r="H9533" i="3"/>
  <c r="G9534" i="3"/>
  <c r="H9534" i="3"/>
  <c r="G9535" i="3"/>
  <c r="H9535" i="3"/>
  <c r="G9536" i="3"/>
  <c r="H9536" i="3"/>
  <c r="G9537" i="3"/>
  <c r="H9537" i="3"/>
  <c r="G9538" i="3"/>
  <c r="H9538" i="3"/>
  <c r="G9539" i="3"/>
  <c r="H9539" i="3"/>
  <c r="G9540" i="3"/>
  <c r="H9540" i="3"/>
  <c r="G9541" i="3"/>
  <c r="H9541" i="3"/>
  <c r="G9542" i="3"/>
  <c r="H9542" i="3"/>
  <c r="G9543" i="3"/>
  <c r="H9543" i="3"/>
  <c r="G9544" i="3"/>
  <c r="H9544" i="3"/>
  <c r="G9545" i="3"/>
  <c r="H9545" i="3"/>
  <c r="G9546" i="3"/>
  <c r="H9546" i="3"/>
  <c r="G9547" i="3"/>
  <c r="H9547" i="3"/>
  <c r="G9548" i="3"/>
  <c r="H9548" i="3"/>
  <c r="G9549" i="3"/>
  <c r="H9549" i="3"/>
  <c r="G9550" i="3"/>
  <c r="H9550" i="3"/>
  <c r="G9551" i="3"/>
  <c r="H9551" i="3"/>
  <c r="G9552" i="3"/>
  <c r="H9552" i="3"/>
  <c r="G9553" i="3"/>
  <c r="H9553" i="3"/>
  <c r="G9554" i="3"/>
  <c r="H9554" i="3"/>
  <c r="G9555" i="3"/>
  <c r="H9555" i="3"/>
  <c r="G9556" i="3"/>
  <c r="H9556" i="3"/>
  <c r="G9557" i="3"/>
  <c r="H9557" i="3"/>
  <c r="G9558" i="3"/>
  <c r="H9558" i="3"/>
  <c r="G9559" i="3"/>
  <c r="H9559" i="3"/>
  <c r="G9560" i="3"/>
  <c r="H9560" i="3"/>
  <c r="G9561" i="3"/>
  <c r="H9561" i="3"/>
  <c r="G9562" i="3"/>
  <c r="H9562" i="3"/>
  <c r="G9563" i="3"/>
  <c r="H9563" i="3"/>
  <c r="G9564" i="3"/>
  <c r="H9564" i="3"/>
  <c r="G9565" i="3"/>
  <c r="H9565" i="3"/>
  <c r="G9566" i="3"/>
  <c r="H9566" i="3"/>
  <c r="G9567" i="3"/>
  <c r="H9567" i="3"/>
  <c r="G9568" i="3"/>
  <c r="H9568" i="3"/>
  <c r="G9569" i="3"/>
  <c r="H9569" i="3"/>
  <c r="G9570" i="3"/>
  <c r="H9570" i="3"/>
  <c r="G9571" i="3"/>
  <c r="H9571" i="3"/>
  <c r="G9572" i="3"/>
  <c r="H9572" i="3"/>
  <c r="G9573" i="3"/>
  <c r="H9573" i="3"/>
  <c r="G9574" i="3"/>
  <c r="H9574" i="3"/>
  <c r="G9575" i="3"/>
  <c r="H9575" i="3"/>
  <c r="G9576" i="3"/>
  <c r="H9576" i="3"/>
  <c r="G9577" i="3"/>
  <c r="H9577" i="3"/>
  <c r="G9578" i="3"/>
  <c r="H9578" i="3"/>
  <c r="G9579" i="3"/>
  <c r="H9579" i="3"/>
  <c r="G9580" i="3"/>
  <c r="H9580" i="3"/>
  <c r="G9581" i="3"/>
  <c r="H9581" i="3"/>
  <c r="G9582" i="3"/>
  <c r="H9582" i="3"/>
  <c r="G9583" i="3"/>
  <c r="H9583" i="3"/>
  <c r="G9584" i="3"/>
  <c r="H9584" i="3"/>
  <c r="G9585" i="3"/>
  <c r="H9585" i="3"/>
  <c r="G9586" i="3"/>
  <c r="H9586" i="3"/>
  <c r="G9587" i="3"/>
  <c r="H9587" i="3"/>
  <c r="G9588" i="3"/>
  <c r="H9588" i="3"/>
  <c r="G9589" i="3"/>
  <c r="H9589" i="3"/>
  <c r="G9590" i="3"/>
  <c r="H9590" i="3"/>
  <c r="G9591" i="3"/>
  <c r="H9591" i="3"/>
  <c r="G9592" i="3"/>
  <c r="H9592" i="3"/>
  <c r="G9593" i="3"/>
  <c r="H9593" i="3"/>
  <c r="G9594" i="3"/>
  <c r="H9594" i="3"/>
  <c r="G9595" i="3"/>
  <c r="H9595" i="3"/>
  <c r="G9596" i="3"/>
  <c r="H9596" i="3"/>
  <c r="G9597" i="3"/>
  <c r="H9597" i="3"/>
  <c r="G9598" i="3"/>
  <c r="H9598" i="3"/>
  <c r="G9599" i="3"/>
  <c r="H9599" i="3"/>
  <c r="G9600" i="3"/>
  <c r="H9600" i="3"/>
  <c r="G9601" i="3"/>
  <c r="H9601" i="3"/>
  <c r="G9602" i="3"/>
  <c r="H9602" i="3"/>
  <c r="G9603" i="3"/>
  <c r="H9603" i="3"/>
  <c r="G9604" i="3"/>
  <c r="H9604" i="3"/>
  <c r="G9605" i="3"/>
  <c r="H9605" i="3"/>
  <c r="G9606" i="3"/>
  <c r="H9606" i="3"/>
  <c r="G9607" i="3"/>
  <c r="H9607" i="3"/>
  <c r="G9608" i="3"/>
  <c r="H9608" i="3"/>
  <c r="G9609" i="3"/>
  <c r="H9609" i="3"/>
  <c r="G9610" i="3"/>
  <c r="H9610" i="3"/>
  <c r="G9611" i="3"/>
  <c r="H9611" i="3"/>
  <c r="G9612" i="3"/>
  <c r="H9612" i="3"/>
  <c r="G9613" i="3"/>
  <c r="H9613" i="3"/>
  <c r="G9614" i="3"/>
  <c r="H9614" i="3"/>
  <c r="G9615" i="3"/>
  <c r="H9615" i="3"/>
  <c r="G9616" i="3"/>
  <c r="H9616" i="3"/>
  <c r="G9617" i="3"/>
  <c r="H9617" i="3"/>
  <c r="G9618" i="3"/>
  <c r="H9618" i="3"/>
  <c r="G9619" i="3"/>
  <c r="H9619" i="3"/>
  <c r="G9620" i="3"/>
  <c r="H9620" i="3"/>
  <c r="G9621" i="3"/>
  <c r="H9621" i="3"/>
  <c r="G9622" i="3"/>
  <c r="H9622" i="3"/>
  <c r="G9623" i="3"/>
  <c r="H9623" i="3"/>
  <c r="G9624" i="3"/>
  <c r="H9624" i="3"/>
  <c r="G9625" i="3"/>
  <c r="H9625" i="3"/>
  <c r="G9626" i="3"/>
  <c r="H9626" i="3"/>
  <c r="G9627" i="3"/>
  <c r="H9627" i="3"/>
  <c r="G9628" i="3"/>
  <c r="H9628" i="3"/>
  <c r="G9629" i="3"/>
  <c r="H9629" i="3"/>
  <c r="G9630" i="3"/>
  <c r="H9630" i="3"/>
  <c r="G9631" i="3"/>
  <c r="H9631" i="3"/>
  <c r="G9632" i="3"/>
  <c r="H9632" i="3"/>
  <c r="G9633" i="3"/>
  <c r="H9633" i="3"/>
  <c r="G9634" i="3"/>
  <c r="H9634" i="3"/>
  <c r="G9635" i="3"/>
  <c r="H9635" i="3"/>
  <c r="G9636" i="3"/>
  <c r="H9636" i="3"/>
  <c r="G9637" i="3"/>
  <c r="H9637" i="3"/>
  <c r="G9638" i="3"/>
  <c r="H9638" i="3"/>
  <c r="G9639" i="3"/>
  <c r="H9639" i="3"/>
  <c r="G9640" i="3"/>
  <c r="H9640" i="3"/>
  <c r="G9641" i="3"/>
  <c r="H9641" i="3"/>
  <c r="G9642" i="3"/>
  <c r="H9642" i="3"/>
  <c r="G9643" i="3"/>
  <c r="H9643" i="3"/>
  <c r="G9644" i="3"/>
  <c r="H9644" i="3"/>
  <c r="G9645" i="3"/>
  <c r="H9645" i="3"/>
  <c r="G9646" i="3"/>
  <c r="H9646" i="3"/>
  <c r="G9647" i="3"/>
  <c r="H9647" i="3"/>
  <c r="G9648" i="3"/>
  <c r="H9648" i="3"/>
  <c r="G9649" i="3"/>
  <c r="H9649" i="3"/>
  <c r="G9650" i="3"/>
  <c r="H9650" i="3"/>
  <c r="G9651" i="3"/>
  <c r="H9651" i="3"/>
  <c r="G9652" i="3"/>
  <c r="H9652" i="3"/>
  <c r="G9653" i="3"/>
  <c r="H9653" i="3"/>
  <c r="G9654" i="3"/>
  <c r="H9654" i="3"/>
  <c r="G9655" i="3"/>
  <c r="H9655" i="3"/>
  <c r="G9656" i="3"/>
  <c r="H9656" i="3"/>
  <c r="G9657" i="3"/>
  <c r="H9657" i="3"/>
  <c r="G9658" i="3"/>
  <c r="H9658" i="3"/>
  <c r="G9659" i="3"/>
  <c r="H9659" i="3"/>
  <c r="G9660" i="3"/>
  <c r="H9660" i="3"/>
  <c r="G9661" i="3"/>
  <c r="H9661" i="3"/>
  <c r="G9662" i="3"/>
  <c r="H9662" i="3"/>
  <c r="G9663" i="3"/>
  <c r="H9663" i="3"/>
  <c r="G9664" i="3"/>
  <c r="H9664" i="3"/>
  <c r="G9665" i="3"/>
  <c r="H9665" i="3"/>
  <c r="G9666" i="3"/>
  <c r="H9666" i="3"/>
  <c r="G9667" i="3"/>
  <c r="H9667" i="3"/>
  <c r="G9668" i="3"/>
  <c r="H9668" i="3"/>
  <c r="G9669" i="3"/>
  <c r="H9669" i="3"/>
  <c r="G9670" i="3"/>
  <c r="H9670" i="3"/>
  <c r="G9671" i="3"/>
  <c r="H9671" i="3"/>
  <c r="G9672" i="3"/>
  <c r="H9672" i="3"/>
  <c r="G9673" i="3"/>
  <c r="H9673" i="3"/>
  <c r="G9674" i="3"/>
  <c r="H9674" i="3"/>
  <c r="G9675" i="3"/>
  <c r="H9675" i="3"/>
  <c r="G9676" i="3"/>
  <c r="H9676" i="3"/>
  <c r="G9677" i="3"/>
  <c r="H9677" i="3"/>
  <c r="G9678" i="3"/>
  <c r="H9678" i="3"/>
  <c r="G9679" i="3"/>
  <c r="H9679" i="3"/>
  <c r="G9680" i="3"/>
  <c r="H9680" i="3"/>
  <c r="G9681" i="3"/>
  <c r="H9681" i="3"/>
  <c r="G9682" i="3"/>
  <c r="H9682" i="3"/>
  <c r="G9683" i="3"/>
  <c r="H9683" i="3"/>
  <c r="G9684" i="3"/>
  <c r="H9684" i="3"/>
  <c r="G9685" i="3"/>
  <c r="H9685" i="3"/>
  <c r="G9686" i="3"/>
  <c r="H9686" i="3"/>
  <c r="G9687" i="3"/>
  <c r="H9687" i="3"/>
  <c r="G9688" i="3"/>
  <c r="H9688" i="3"/>
  <c r="G9689" i="3"/>
  <c r="H9689" i="3"/>
  <c r="G9690" i="3"/>
  <c r="H9690" i="3"/>
  <c r="G9691" i="3"/>
  <c r="H9691" i="3"/>
  <c r="G9692" i="3"/>
  <c r="H9692" i="3"/>
  <c r="G9693" i="3"/>
  <c r="H9693" i="3"/>
  <c r="G9694" i="3"/>
  <c r="H9694" i="3"/>
  <c r="G9695" i="3"/>
  <c r="H9695" i="3"/>
  <c r="G9696" i="3"/>
  <c r="H9696" i="3"/>
  <c r="G9697" i="3"/>
  <c r="H9697" i="3"/>
  <c r="G9698" i="3"/>
  <c r="H9698" i="3"/>
  <c r="G9699" i="3"/>
  <c r="H9699" i="3"/>
  <c r="G9700" i="3"/>
  <c r="H9700" i="3"/>
  <c r="G9701" i="3"/>
  <c r="H9701" i="3"/>
  <c r="G9702" i="3"/>
  <c r="H9702" i="3"/>
  <c r="G9703" i="3"/>
  <c r="H9703" i="3"/>
  <c r="G9704" i="3"/>
  <c r="H9704" i="3"/>
  <c r="G9705" i="3"/>
  <c r="H9705" i="3"/>
  <c r="G9706" i="3"/>
  <c r="H9706" i="3"/>
  <c r="G9707" i="3"/>
  <c r="H9707" i="3"/>
  <c r="G9708" i="3"/>
  <c r="H9708" i="3"/>
  <c r="G9709" i="3"/>
  <c r="H9709" i="3"/>
  <c r="G9710" i="3"/>
  <c r="H9710" i="3"/>
  <c r="G9711" i="3"/>
  <c r="H9711" i="3"/>
  <c r="G9712" i="3"/>
  <c r="H9712" i="3"/>
  <c r="G9713" i="3"/>
  <c r="H9713" i="3"/>
  <c r="G9714" i="3"/>
  <c r="H9714" i="3"/>
  <c r="G9715" i="3"/>
  <c r="H9715" i="3"/>
  <c r="G9716" i="3"/>
  <c r="H9716" i="3"/>
  <c r="G9717" i="3"/>
  <c r="H9717" i="3"/>
  <c r="G9718" i="3"/>
  <c r="H9718" i="3"/>
  <c r="G9719" i="3"/>
  <c r="H9719" i="3"/>
  <c r="G9720" i="3"/>
  <c r="H9720" i="3"/>
  <c r="G9721" i="3"/>
  <c r="H9721" i="3"/>
  <c r="G9722" i="3"/>
  <c r="H9722" i="3"/>
  <c r="G9723" i="3"/>
  <c r="H9723" i="3"/>
  <c r="G9724" i="3"/>
  <c r="H9724" i="3"/>
  <c r="G9725" i="3"/>
  <c r="H9725" i="3"/>
  <c r="G9726" i="3"/>
  <c r="H9726" i="3"/>
  <c r="G9727" i="3"/>
  <c r="H9727" i="3"/>
  <c r="G9728" i="3"/>
  <c r="H9728" i="3"/>
  <c r="G9729" i="3"/>
  <c r="H9729" i="3"/>
  <c r="G9730" i="3"/>
  <c r="H9730" i="3"/>
  <c r="G9731" i="3"/>
  <c r="H9731" i="3"/>
  <c r="G9732" i="3"/>
  <c r="H9732" i="3"/>
  <c r="G9733" i="3"/>
  <c r="H9733" i="3"/>
  <c r="G9734" i="3"/>
  <c r="H9734" i="3"/>
  <c r="G9735" i="3"/>
  <c r="H9735" i="3"/>
  <c r="G9736" i="3"/>
  <c r="H9736" i="3"/>
  <c r="G9737" i="3"/>
  <c r="H9737" i="3"/>
  <c r="G9738" i="3"/>
  <c r="H9738" i="3"/>
  <c r="G9739" i="3"/>
  <c r="H9739" i="3"/>
  <c r="G9740" i="3"/>
  <c r="H9740" i="3"/>
  <c r="G9741" i="3"/>
  <c r="H9741" i="3"/>
  <c r="G9742" i="3"/>
  <c r="H9742" i="3"/>
  <c r="G9743" i="3"/>
  <c r="H9743" i="3"/>
  <c r="G9744" i="3"/>
  <c r="H9744" i="3"/>
  <c r="G9745" i="3"/>
  <c r="H9745" i="3"/>
  <c r="G9746" i="3"/>
  <c r="H9746" i="3"/>
  <c r="G9747" i="3"/>
  <c r="H9747" i="3"/>
  <c r="G9748" i="3"/>
  <c r="H9748" i="3"/>
  <c r="G9749" i="3"/>
  <c r="H9749" i="3"/>
  <c r="G9750" i="3"/>
  <c r="H9750" i="3"/>
  <c r="G9751" i="3"/>
  <c r="H9751" i="3"/>
  <c r="G9752" i="3"/>
  <c r="H9752" i="3"/>
  <c r="G9753" i="3"/>
  <c r="H9753" i="3"/>
  <c r="G9754" i="3"/>
  <c r="H9754" i="3"/>
  <c r="G9755" i="3"/>
  <c r="H9755" i="3"/>
  <c r="G9756" i="3"/>
  <c r="H9756" i="3"/>
  <c r="G9757" i="3"/>
  <c r="H9757" i="3"/>
  <c r="G9758" i="3"/>
  <c r="H9758" i="3"/>
  <c r="G9759" i="3"/>
  <c r="H9759" i="3"/>
  <c r="G9760" i="3"/>
  <c r="H9760" i="3"/>
  <c r="G9761" i="3"/>
  <c r="H9761" i="3"/>
  <c r="G9762" i="3"/>
  <c r="H9762" i="3"/>
  <c r="G9763" i="3"/>
  <c r="H9763" i="3"/>
  <c r="G9764" i="3"/>
  <c r="H9764" i="3"/>
  <c r="G9765" i="3"/>
  <c r="H9765" i="3"/>
  <c r="G9766" i="3"/>
  <c r="H9766" i="3"/>
  <c r="G9767" i="3"/>
  <c r="H9767" i="3"/>
  <c r="G9768" i="3"/>
  <c r="H9768" i="3"/>
  <c r="G9769" i="3"/>
  <c r="H9769" i="3"/>
  <c r="G9770" i="3"/>
  <c r="H9770" i="3"/>
  <c r="G9771" i="3"/>
  <c r="H9771" i="3"/>
  <c r="G9772" i="3"/>
  <c r="H9772" i="3"/>
  <c r="G9773" i="3"/>
  <c r="H9773" i="3"/>
  <c r="G9774" i="3"/>
  <c r="H9774" i="3"/>
  <c r="G9775" i="3"/>
  <c r="H9775" i="3"/>
  <c r="G9776" i="3"/>
  <c r="H9776" i="3"/>
  <c r="G9777" i="3"/>
  <c r="H9777" i="3"/>
  <c r="G9778" i="3"/>
  <c r="H9778" i="3"/>
  <c r="G9779" i="3"/>
  <c r="H9779" i="3"/>
  <c r="G9780" i="3"/>
  <c r="H9780" i="3"/>
  <c r="G9781" i="3"/>
  <c r="H9781" i="3"/>
  <c r="G9782" i="3"/>
  <c r="H9782" i="3"/>
  <c r="G9783" i="3"/>
  <c r="H9783" i="3"/>
  <c r="G9784" i="3"/>
  <c r="H9784" i="3"/>
  <c r="G9785" i="3"/>
  <c r="H9785" i="3"/>
  <c r="G9786" i="3"/>
  <c r="H9786" i="3"/>
  <c r="G9787" i="3"/>
  <c r="H9787" i="3"/>
  <c r="G9788" i="3"/>
  <c r="H9788" i="3"/>
  <c r="G9789" i="3"/>
  <c r="H9789" i="3"/>
  <c r="G9790" i="3"/>
  <c r="H9790" i="3"/>
  <c r="G9791" i="3"/>
  <c r="H9791" i="3"/>
  <c r="G9792" i="3"/>
  <c r="H9792" i="3"/>
  <c r="G9793" i="3"/>
  <c r="H9793" i="3"/>
  <c r="G9794" i="3"/>
  <c r="H9794" i="3"/>
  <c r="G9795" i="3"/>
  <c r="H9795" i="3"/>
  <c r="G9796" i="3"/>
  <c r="H9796" i="3"/>
  <c r="G9797" i="3"/>
  <c r="H9797" i="3"/>
  <c r="G9798" i="3"/>
  <c r="H9798" i="3"/>
  <c r="G9799" i="3"/>
  <c r="H9799" i="3"/>
  <c r="G9800" i="3"/>
  <c r="H9800" i="3"/>
  <c r="G9801" i="3"/>
  <c r="H9801" i="3"/>
  <c r="G9802" i="3"/>
  <c r="H9802" i="3"/>
  <c r="G9803" i="3"/>
  <c r="H9803" i="3"/>
  <c r="G9804" i="3"/>
  <c r="H9804" i="3"/>
  <c r="G9805" i="3"/>
  <c r="H9805" i="3"/>
  <c r="G9806" i="3"/>
  <c r="H9806" i="3"/>
  <c r="G9807" i="3"/>
  <c r="H9807" i="3"/>
  <c r="G9808" i="3"/>
  <c r="H9808" i="3"/>
  <c r="G9809" i="3"/>
  <c r="H9809" i="3"/>
  <c r="G9810" i="3"/>
  <c r="H9810" i="3"/>
  <c r="G9811" i="3"/>
  <c r="H9811" i="3"/>
  <c r="G9812" i="3"/>
  <c r="H9812" i="3"/>
  <c r="G9813" i="3"/>
  <c r="H9813" i="3"/>
  <c r="G9814" i="3"/>
  <c r="H9814" i="3"/>
  <c r="G9815" i="3"/>
  <c r="H9815" i="3"/>
  <c r="G9816" i="3"/>
  <c r="H9816" i="3"/>
  <c r="G9817" i="3"/>
  <c r="H9817" i="3"/>
  <c r="G9818" i="3"/>
  <c r="H9818" i="3"/>
  <c r="G9819" i="3"/>
  <c r="H9819" i="3"/>
  <c r="G9820" i="3"/>
  <c r="H9820" i="3"/>
  <c r="G9821" i="3"/>
  <c r="H9821" i="3"/>
  <c r="G9822" i="3"/>
  <c r="H9822" i="3"/>
  <c r="G9823" i="3"/>
  <c r="H9823" i="3"/>
  <c r="G9824" i="3"/>
  <c r="H9824" i="3"/>
  <c r="G9825" i="3"/>
  <c r="H9825" i="3"/>
  <c r="G9826" i="3"/>
  <c r="H9826" i="3"/>
  <c r="G9827" i="3"/>
  <c r="H9827" i="3"/>
  <c r="G9828" i="3"/>
  <c r="H9828" i="3"/>
  <c r="G9829" i="3"/>
  <c r="H9829" i="3"/>
  <c r="G9830" i="3"/>
  <c r="H9830" i="3"/>
  <c r="G9831" i="3"/>
  <c r="H9831" i="3"/>
  <c r="G9832" i="3"/>
  <c r="H9832" i="3"/>
  <c r="G9833" i="3"/>
  <c r="H9833" i="3"/>
  <c r="G9834" i="3"/>
  <c r="H9834" i="3"/>
  <c r="G9835" i="3"/>
  <c r="H9835" i="3"/>
  <c r="G9836" i="3"/>
  <c r="H9836" i="3"/>
  <c r="G9837" i="3"/>
  <c r="H9837" i="3"/>
  <c r="G9838" i="3"/>
  <c r="H9838" i="3"/>
  <c r="G9839" i="3"/>
  <c r="H9839" i="3"/>
  <c r="G9840" i="3"/>
  <c r="H9840" i="3"/>
  <c r="G9841" i="3"/>
  <c r="H9841" i="3"/>
  <c r="G9842" i="3"/>
  <c r="H9842" i="3"/>
  <c r="G9843" i="3"/>
  <c r="H9843" i="3"/>
  <c r="G9844" i="3"/>
  <c r="H9844" i="3"/>
  <c r="G9845" i="3"/>
  <c r="H9845" i="3"/>
  <c r="G9846" i="3"/>
  <c r="H9846" i="3"/>
  <c r="G9847" i="3"/>
  <c r="H9847" i="3"/>
  <c r="G9848" i="3"/>
  <c r="H9848" i="3"/>
  <c r="G9849" i="3"/>
  <c r="H9849" i="3"/>
  <c r="G9850" i="3"/>
  <c r="H9850" i="3"/>
  <c r="G9851" i="3"/>
  <c r="H9851" i="3"/>
  <c r="G9852" i="3"/>
  <c r="H9852" i="3"/>
  <c r="G9853" i="3"/>
  <c r="H9853" i="3"/>
  <c r="G9854" i="3"/>
  <c r="H9854" i="3"/>
  <c r="G9855" i="3"/>
  <c r="H9855" i="3"/>
  <c r="G9856" i="3"/>
  <c r="H9856" i="3"/>
  <c r="G9857" i="3"/>
  <c r="H9857" i="3"/>
  <c r="G9858" i="3"/>
  <c r="H9858" i="3"/>
  <c r="G9859" i="3"/>
  <c r="H9859" i="3"/>
  <c r="G9860" i="3"/>
  <c r="H9860" i="3"/>
  <c r="G9861" i="3"/>
  <c r="H9861" i="3"/>
  <c r="G9862" i="3"/>
  <c r="H9862" i="3"/>
  <c r="G9863" i="3"/>
  <c r="H9863" i="3"/>
  <c r="G9864" i="3"/>
  <c r="H9864" i="3"/>
  <c r="G9865" i="3"/>
  <c r="H9865" i="3"/>
  <c r="G9866" i="3"/>
  <c r="H9866" i="3"/>
  <c r="G9867" i="3"/>
  <c r="H9867" i="3"/>
  <c r="G9868" i="3"/>
  <c r="H9868" i="3"/>
  <c r="G9869" i="3"/>
  <c r="H9869" i="3"/>
  <c r="G9870" i="3"/>
  <c r="H9870" i="3"/>
  <c r="G9871" i="3"/>
  <c r="H9871" i="3"/>
  <c r="G9872" i="3"/>
  <c r="H9872" i="3"/>
  <c r="G9873" i="3"/>
  <c r="H9873" i="3"/>
  <c r="G9874" i="3"/>
  <c r="H9874" i="3"/>
  <c r="G9875" i="3"/>
  <c r="H9875" i="3"/>
  <c r="G9876" i="3"/>
  <c r="H9876" i="3"/>
  <c r="G9877" i="3"/>
  <c r="H9877" i="3"/>
  <c r="G9878" i="3"/>
  <c r="H9878" i="3"/>
  <c r="G9879" i="3"/>
  <c r="H9879" i="3"/>
  <c r="G9880" i="3"/>
  <c r="H9880" i="3"/>
  <c r="G9881" i="3"/>
  <c r="H9881" i="3"/>
  <c r="G9882" i="3"/>
  <c r="H9882" i="3"/>
  <c r="G9883" i="3"/>
  <c r="H9883" i="3"/>
  <c r="G9884" i="3"/>
  <c r="H9884" i="3"/>
  <c r="G9885" i="3"/>
  <c r="H9885" i="3"/>
  <c r="G9886" i="3"/>
  <c r="H9886" i="3"/>
  <c r="G9887" i="3"/>
  <c r="H9887" i="3"/>
  <c r="G9888" i="3"/>
  <c r="H9888" i="3"/>
  <c r="G9889" i="3"/>
  <c r="H9889" i="3"/>
  <c r="G9890" i="3"/>
  <c r="H9890" i="3"/>
  <c r="G9891" i="3"/>
  <c r="H9891" i="3"/>
  <c r="G9892" i="3"/>
  <c r="H9892" i="3"/>
  <c r="G9893" i="3"/>
  <c r="H9893" i="3"/>
  <c r="G9894" i="3"/>
  <c r="H9894" i="3"/>
  <c r="G9895" i="3"/>
  <c r="H9895" i="3"/>
  <c r="G9896" i="3"/>
  <c r="H9896" i="3"/>
  <c r="G9897" i="3"/>
  <c r="H9897" i="3"/>
  <c r="G9898" i="3"/>
  <c r="H9898" i="3"/>
  <c r="G9899" i="3"/>
  <c r="H9899" i="3"/>
  <c r="G9900" i="3"/>
  <c r="H9900" i="3"/>
  <c r="G9901" i="3"/>
  <c r="H9901" i="3"/>
  <c r="G9902" i="3"/>
  <c r="H9902" i="3"/>
  <c r="G9903" i="3"/>
  <c r="H9903" i="3"/>
  <c r="G9904" i="3"/>
  <c r="H9904" i="3"/>
  <c r="G9905" i="3"/>
  <c r="H9905" i="3"/>
  <c r="G9906" i="3"/>
  <c r="H9906" i="3"/>
  <c r="G9907" i="3"/>
  <c r="H9907" i="3"/>
  <c r="G9908" i="3"/>
  <c r="H9908" i="3"/>
  <c r="G9909" i="3"/>
  <c r="H9909" i="3"/>
  <c r="G9910" i="3"/>
  <c r="H9910" i="3"/>
  <c r="G9911" i="3"/>
  <c r="H9911" i="3"/>
  <c r="G9912" i="3"/>
  <c r="H9912" i="3"/>
  <c r="G9913" i="3"/>
  <c r="H9913" i="3"/>
  <c r="G9914" i="3"/>
  <c r="H9914" i="3"/>
  <c r="G9915" i="3"/>
  <c r="H9915" i="3"/>
  <c r="G9916" i="3"/>
  <c r="H9916" i="3"/>
  <c r="G9917" i="3"/>
  <c r="H9917" i="3"/>
  <c r="G9918" i="3"/>
  <c r="H9918" i="3"/>
  <c r="G9919" i="3"/>
  <c r="H9919" i="3"/>
  <c r="G9920" i="3"/>
  <c r="H9920" i="3"/>
  <c r="G9921" i="3"/>
  <c r="H9921" i="3"/>
  <c r="G9922" i="3"/>
  <c r="H9922" i="3"/>
  <c r="G9923" i="3"/>
  <c r="H9923" i="3"/>
  <c r="G9924" i="3"/>
  <c r="H9924" i="3"/>
  <c r="G9925" i="3"/>
  <c r="H9925" i="3"/>
  <c r="G9926" i="3"/>
  <c r="H9926" i="3"/>
  <c r="G9927" i="3"/>
  <c r="H9927" i="3"/>
  <c r="G9928" i="3"/>
  <c r="H9928" i="3"/>
  <c r="G9929" i="3"/>
  <c r="H9929" i="3"/>
  <c r="G9930" i="3"/>
  <c r="H9930" i="3"/>
  <c r="G9931" i="3"/>
  <c r="H9931" i="3"/>
  <c r="G9932" i="3"/>
  <c r="H9932" i="3"/>
  <c r="G9933" i="3"/>
  <c r="H9933" i="3"/>
  <c r="G9934" i="3"/>
  <c r="H9934" i="3"/>
  <c r="G9935" i="3"/>
  <c r="H9935" i="3"/>
  <c r="G9936" i="3"/>
  <c r="H9936" i="3"/>
  <c r="G9937" i="3"/>
  <c r="H9937" i="3"/>
  <c r="G9938" i="3"/>
  <c r="H9938" i="3"/>
  <c r="G9939" i="3"/>
  <c r="H9939" i="3"/>
  <c r="G9940" i="3"/>
  <c r="H9940" i="3"/>
  <c r="G9941" i="3"/>
  <c r="H9941" i="3"/>
  <c r="G9942" i="3"/>
  <c r="H9942" i="3"/>
  <c r="G9943" i="3"/>
  <c r="H9943" i="3"/>
  <c r="G9944" i="3"/>
  <c r="H9944" i="3"/>
  <c r="G9945" i="3"/>
  <c r="H9945" i="3"/>
  <c r="G9946" i="3"/>
  <c r="H9946" i="3"/>
  <c r="G9947" i="3"/>
  <c r="H9947" i="3"/>
  <c r="G9948" i="3"/>
  <c r="H9948" i="3"/>
  <c r="G9949" i="3"/>
  <c r="H9949" i="3"/>
  <c r="G9950" i="3"/>
  <c r="H9950" i="3"/>
  <c r="G9951" i="3"/>
  <c r="H9951" i="3"/>
  <c r="G9952" i="3"/>
  <c r="H9952" i="3"/>
  <c r="G9953" i="3"/>
  <c r="H9953" i="3"/>
  <c r="G9954" i="3"/>
  <c r="H9954" i="3"/>
  <c r="G9955" i="3"/>
  <c r="H9955" i="3"/>
  <c r="G9956" i="3"/>
  <c r="H9956" i="3"/>
  <c r="G9957" i="3"/>
  <c r="H9957" i="3"/>
  <c r="G9958" i="3"/>
  <c r="H9958" i="3"/>
  <c r="G9959" i="3"/>
  <c r="H9959" i="3"/>
  <c r="G9960" i="3"/>
  <c r="H9960" i="3"/>
  <c r="G9961" i="3"/>
  <c r="H9961" i="3"/>
  <c r="G9962" i="3"/>
  <c r="H9962" i="3"/>
  <c r="G9963" i="3"/>
  <c r="H9963" i="3"/>
  <c r="G9964" i="3"/>
  <c r="H9964" i="3"/>
  <c r="G9965" i="3"/>
  <c r="H9965" i="3"/>
  <c r="G9966" i="3"/>
  <c r="H9966" i="3"/>
  <c r="G9967" i="3"/>
  <c r="H9967" i="3"/>
  <c r="G9968" i="3"/>
  <c r="H9968" i="3"/>
  <c r="G9969" i="3"/>
  <c r="H9969" i="3"/>
  <c r="G9970" i="3"/>
  <c r="H9970" i="3"/>
  <c r="G9971" i="3"/>
  <c r="H9971" i="3"/>
  <c r="G9972" i="3"/>
  <c r="H9972" i="3"/>
  <c r="G9973" i="3"/>
  <c r="H9973" i="3"/>
  <c r="G9974" i="3"/>
  <c r="H9974" i="3"/>
  <c r="G9975" i="3"/>
  <c r="H9975" i="3"/>
  <c r="G9976" i="3"/>
  <c r="H9976" i="3"/>
  <c r="G9977" i="3"/>
  <c r="H9977" i="3"/>
  <c r="G9978" i="3"/>
  <c r="H9978" i="3"/>
  <c r="G9979" i="3"/>
  <c r="H9979" i="3"/>
  <c r="G9980" i="3"/>
  <c r="H9980" i="3"/>
  <c r="G9981" i="3"/>
  <c r="H9981" i="3"/>
  <c r="G9982" i="3"/>
  <c r="H9982" i="3"/>
  <c r="G9983" i="3"/>
  <c r="H9983" i="3"/>
  <c r="G9984" i="3"/>
  <c r="H9984" i="3"/>
  <c r="G9985" i="3"/>
  <c r="H9985" i="3"/>
  <c r="G9986" i="3"/>
  <c r="H9986" i="3"/>
  <c r="G9987" i="3"/>
  <c r="H9987" i="3"/>
  <c r="G9988" i="3"/>
  <c r="H9988" i="3"/>
  <c r="G9989" i="3"/>
  <c r="H9989" i="3"/>
  <c r="G9990" i="3"/>
  <c r="H9990" i="3"/>
  <c r="G9991" i="3"/>
  <c r="H9991" i="3"/>
  <c r="G9992" i="3"/>
  <c r="H9992" i="3"/>
  <c r="G9993" i="3"/>
  <c r="H9993" i="3"/>
  <c r="G9994" i="3"/>
  <c r="H9994" i="3"/>
  <c r="G9995" i="3"/>
  <c r="H9995" i="3"/>
  <c r="G9996" i="3"/>
  <c r="H9996" i="3"/>
  <c r="G9997" i="3"/>
  <c r="H9997" i="3"/>
  <c r="G9998" i="3"/>
  <c r="H9998" i="3"/>
  <c r="G9999" i="3"/>
  <c r="H9999" i="3"/>
  <c r="G10000" i="3"/>
  <c r="H10000" i="3"/>
  <c r="G2" i="3"/>
  <c r="E29" i="9"/>
  <c r="E28" i="9"/>
  <c r="E27" i="9"/>
  <c r="E26" i="9"/>
  <c r="E25" i="9"/>
  <c r="E23" i="9"/>
  <c r="AC30" i="3" l="1"/>
  <c r="AC31" i="3"/>
  <c r="AC134" i="3"/>
  <c r="AD134" i="3" s="1"/>
  <c r="AC133" i="3"/>
  <c r="AD133" i="3" s="1"/>
  <c r="M28" i="2"/>
  <c r="M29" i="2" s="1"/>
  <c r="AC130" i="3"/>
  <c r="AD130" i="3" s="1"/>
  <c r="AC131" i="3"/>
  <c r="AD131" i="3" s="1"/>
  <c r="AC73" i="3"/>
  <c r="AD73" i="3" s="1"/>
  <c r="AC148" i="3"/>
  <c r="AC147" i="3"/>
  <c r="AD147" i="3" s="1"/>
  <c r="D8" i="6"/>
  <c r="AC75" i="3"/>
  <c r="AD75" i="3" s="1"/>
  <c r="AC74" i="3"/>
  <c r="AD74" i="3" s="1"/>
  <c r="AC33" i="3"/>
  <c r="AC32" i="3"/>
  <c r="AQ64" i="4"/>
  <c r="AR63" i="4"/>
  <c r="AN39" i="4"/>
  <c r="AM40" i="4" s="1"/>
  <c r="K21" i="4"/>
  <c r="D7" i="6"/>
  <c r="E7" i="6" s="1"/>
  <c r="D10" i="6"/>
  <c r="D9" i="6"/>
  <c r="E9" i="6" s="1"/>
  <c r="D5" i="6"/>
  <c r="D4" i="6"/>
  <c r="D6" i="6"/>
  <c r="I50" i="3"/>
  <c r="J50" i="3" s="1"/>
  <c r="J8" i="3"/>
  <c r="E7" i="9"/>
  <c r="E8" i="9" s="1"/>
  <c r="E30" i="9"/>
  <c r="E31" i="9" s="1"/>
  <c r="AI5" i="10"/>
  <c r="AI6" i="10" s="1"/>
  <c r="AH5" i="10"/>
  <c r="AH6" i="10" s="1"/>
  <c r="D13" i="6" l="1"/>
  <c r="E4" i="6"/>
  <c r="AI7" i="10"/>
  <c r="BB24" i="10"/>
  <c r="AH7" i="10"/>
  <c r="I12" i="10" s="1"/>
  <c r="BC24" i="10"/>
  <c r="BD24" i="10" s="1"/>
  <c r="AQ65" i="4"/>
  <c r="AR64" i="4"/>
  <c r="AN40" i="4"/>
  <c r="AM41" i="4" s="1"/>
  <c r="K22" i="4"/>
  <c r="AJ17" i="10"/>
  <c r="AJ19" i="10"/>
  <c r="AJ49" i="10"/>
  <c r="AJ22" i="10"/>
  <c r="AJ33" i="10"/>
  <c r="AJ21" i="10"/>
  <c r="AJ23" i="10"/>
  <c r="AJ34" i="10"/>
  <c r="AJ20" i="10"/>
  <c r="AJ24" i="10"/>
  <c r="AK43" i="10"/>
  <c r="AK37" i="10"/>
  <c r="AK38" i="10"/>
  <c r="AK21" i="10"/>
  <c r="AK33" i="10"/>
  <c r="AK24" i="10"/>
  <c r="AK34" i="10"/>
  <c r="AK20" i="10"/>
  <c r="AK22" i="10"/>
  <c r="AK23" i="10"/>
  <c r="AJ37" i="10"/>
  <c r="AJ38" i="10"/>
  <c r="AK19" i="10"/>
  <c r="AJ43" i="10"/>
  <c r="AK49" i="10"/>
  <c r="X35" i="3"/>
  <c r="AC35" i="3" s="1"/>
  <c r="AK17" i="10" l="1"/>
  <c r="I16" i="10"/>
  <c r="BC22" i="10"/>
  <c r="BD22" i="10" s="1"/>
  <c r="AI8" i="10"/>
  <c r="BB22" i="10"/>
  <c r="AH8" i="10"/>
  <c r="AL43" i="10"/>
  <c r="AQ66" i="4"/>
  <c r="AR65" i="4"/>
  <c r="AN41" i="4"/>
  <c r="AM42" i="4" s="1"/>
  <c r="K23" i="4"/>
  <c r="AL37" i="10"/>
  <c r="AL20" i="10"/>
  <c r="AL33" i="10"/>
  <c r="AL23" i="10"/>
  <c r="AL19" i="10"/>
  <c r="AL38" i="10"/>
  <c r="AL24" i="10"/>
  <c r="AL21" i="10"/>
  <c r="AL49" i="10"/>
  <c r="AL17" i="10"/>
  <c r="AL34" i="10"/>
  <c r="AL22" i="10"/>
  <c r="D29" i="9"/>
  <c r="D28" i="9"/>
  <c r="D27" i="9"/>
  <c r="D26" i="9"/>
  <c r="D25" i="9"/>
  <c r="D24" i="9"/>
  <c r="D23" i="9"/>
  <c r="D30" i="9" l="1"/>
  <c r="D31" i="9" s="1"/>
  <c r="AI9" i="10"/>
  <c r="AS25" i="10"/>
  <c r="AS24" i="10"/>
  <c r="BB19" i="10"/>
  <c r="AS18" i="10"/>
  <c r="AS22" i="10"/>
  <c r="AH9" i="10"/>
  <c r="AT25" i="10"/>
  <c r="AU25" i="10" s="1"/>
  <c r="AT24" i="10"/>
  <c r="AU24" i="10" s="1"/>
  <c r="BC19" i="10"/>
  <c r="BD19" i="10" s="1"/>
  <c r="AT18" i="10"/>
  <c r="AU18" i="10" s="1"/>
  <c r="AT22" i="10"/>
  <c r="AU22" i="10" s="1"/>
  <c r="I13" i="10"/>
  <c r="AQ67" i="4"/>
  <c r="AR66" i="4"/>
  <c r="AN42" i="4"/>
  <c r="AM43" i="4" s="1"/>
  <c r="K24" i="4"/>
  <c r="D7" i="9"/>
  <c r="D43" i="9" s="1"/>
  <c r="D41" i="9" l="1"/>
  <c r="D44" i="9" s="1"/>
  <c r="D49" i="9" s="1"/>
  <c r="D54" i="9" s="1"/>
  <c r="D48" i="9"/>
  <c r="D53" i="9" s="1"/>
  <c r="D8" i="9"/>
  <c r="D9" i="9" s="1"/>
  <c r="AI10" i="10"/>
  <c r="BB21" i="10"/>
  <c r="AS17" i="10"/>
  <c r="AS21" i="10"/>
  <c r="BB18" i="10"/>
  <c r="BB23" i="10"/>
  <c r="AS20" i="10"/>
  <c r="AS23" i="10"/>
  <c r="AJ18" i="10"/>
  <c r="AH10" i="10"/>
  <c r="BC23" i="10"/>
  <c r="BD23" i="10" s="1"/>
  <c r="AT17" i="10"/>
  <c r="AU17" i="10" s="1"/>
  <c r="BC18" i="10"/>
  <c r="BD18" i="10" s="1"/>
  <c r="AT20" i="10"/>
  <c r="AU20" i="10" s="1"/>
  <c r="AT21" i="10"/>
  <c r="AU21" i="10" s="1"/>
  <c r="BC21" i="10"/>
  <c r="BD21" i="10" s="1"/>
  <c r="AK18" i="10"/>
  <c r="AL18" i="10" s="1"/>
  <c r="AT23" i="10"/>
  <c r="AU23" i="10" s="1"/>
  <c r="AQ68" i="4"/>
  <c r="AR67" i="4"/>
  <c r="AN43" i="4"/>
  <c r="AM44" i="4" s="1"/>
  <c r="K25" i="4"/>
  <c r="I11" i="9"/>
  <c r="I27" i="9" l="1"/>
  <c r="I23" i="9"/>
  <c r="I29" i="9"/>
  <c r="I28" i="9"/>
  <c r="I26" i="9"/>
  <c r="I25" i="9"/>
  <c r="I24" i="9"/>
  <c r="H30" i="2"/>
  <c r="I30" i="2" s="1"/>
  <c r="I257" i="3"/>
  <c r="J257" i="3" s="1"/>
  <c r="I233" i="3"/>
  <c r="J233" i="3" s="1"/>
  <c r="I209" i="3"/>
  <c r="J209" i="3" s="1"/>
  <c r="H27" i="2"/>
  <c r="I27" i="2" s="1"/>
  <c r="I224" i="3"/>
  <c r="J224" i="3" s="1"/>
  <c r="I235" i="3"/>
  <c r="J235" i="3" s="1"/>
  <c r="I211" i="3"/>
  <c r="J211" i="3" s="1"/>
  <c r="I230" i="3"/>
  <c r="J230" i="3" s="1"/>
  <c r="I253" i="3"/>
  <c r="J253" i="3" s="1"/>
  <c r="I229" i="3"/>
  <c r="J229" i="3" s="1"/>
  <c r="I256" i="3"/>
  <c r="J256" i="3" s="1"/>
  <c r="I252" i="3"/>
  <c r="J252" i="3" s="1"/>
  <c r="I212" i="3"/>
  <c r="J212" i="3" s="1"/>
  <c r="I231" i="3"/>
  <c r="J231" i="3" s="1"/>
  <c r="I254" i="3"/>
  <c r="J254" i="3" s="1"/>
  <c r="I226" i="3"/>
  <c r="J226" i="3" s="1"/>
  <c r="I241" i="3"/>
  <c r="J241" i="3" s="1"/>
  <c r="I225" i="3"/>
  <c r="J225" i="3" s="1"/>
  <c r="I236" i="3"/>
  <c r="J236" i="3" s="1"/>
  <c r="I240" i="3"/>
  <c r="J240" i="3" s="1"/>
  <c r="I255" i="3"/>
  <c r="J255" i="3" s="1"/>
  <c r="I227" i="3"/>
  <c r="J227" i="3" s="1"/>
  <c r="I238" i="3"/>
  <c r="J238" i="3" s="1"/>
  <c r="I222" i="3"/>
  <c r="J222" i="3" s="1"/>
  <c r="I237" i="3"/>
  <c r="J237" i="3" s="1"/>
  <c r="I213" i="3"/>
  <c r="J213" i="3" s="1"/>
  <c r="I228" i="3"/>
  <c r="J228" i="3" s="1"/>
  <c r="I232" i="3"/>
  <c r="J232" i="3" s="1"/>
  <c r="I239" i="3"/>
  <c r="J239" i="3" s="1"/>
  <c r="I223" i="3"/>
  <c r="J223" i="3" s="1"/>
  <c r="I234" i="3"/>
  <c r="J234" i="3" s="1"/>
  <c r="I210" i="3"/>
  <c r="J210" i="3" s="1"/>
  <c r="AI11" i="10"/>
  <c r="AI12" i="10" s="1"/>
  <c r="AI13" i="10" s="1"/>
  <c r="BB20" i="10"/>
  <c r="AS19" i="10"/>
  <c r="BB17" i="10"/>
  <c r="AH11" i="10"/>
  <c r="AH12" i="10" s="1"/>
  <c r="AH13" i="10" s="1"/>
  <c r="AT19" i="10"/>
  <c r="AU19" i="10" s="1"/>
  <c r="BC20" i="10"/>
  <c r="BD20" i="10" s="1"/>
  <c r="BC17" i="10"/>
  <c r="BD17" i="10" s="1"/>
  <c r="I11" i="10"/>
  <c r="I9" i="10"/>
  <c r="I8" i="10"/>
  <c r="I10" i="10"/>
  <c r="I7" i="10"/>
  <c r="AQ69" i="4"/>
  <c r="AR68" i="4"/>
  <c r="K26" i="4"/>
  <c r="AL4" i="3"/>
  <c r="AL3" i="3"/>
  <c r="AL2" i="3"/>
  <c r="AB2" i="3"/>
  <c r="AB3" i="3"/>
  <c r="AB4" i="3"/>
  <c r="AC81" i="3" l="1"/>
  <c r="AD81" i="3" s="1"/>
  <c r="AC84" i="3"/>
  <c r="AC85" i="3"/>
  <c r="AC86" i="3"/>
  <c r="AC79" i="3"/>
  <c r="AD79" i="3" s="1"/>
  <c r="AC83" i="3"/>
  <c r="AD83" i="3" s="1"/>
  <c r="AC82" i="3"/>
  <c r="AD82" i="3" s="1"/>
  <c r="AC80" i="3"/>
  <c r="AD80" i="3" s="1"/>
  <c r="AC76" i="3"/>
  <c r="AD76" i="3" s="1"/>
  <c r="AC77" i="3"/>
  <c r="AD77" i="3" s="1"/>
  <c r="AC78" i="3"/>
  <c r="AD78" i="3" s="1"/>
  <c r="S11" i="9"/>
  <c r="T11" i="9" s="1"/>
  <c r="U11" i="9" s="1"/>
  <c r="V11" i="9" s="1"/>
  <c r="W11" i="9" s="1"/>
  <c r="X11" i="9" s="1"/>
  <c r="Y11" i="9" s="1"/>
  <c r="Z11" i="9" s="1"/>
  <c r="AA11" i="9" s="1"/>
  <c r="AB11" i="9" s="1"/>
  <c r="AC11" i="9" s="1"/>
  <c r="AD11" i="9" s="1"/>
  <c r="AE11" i="9" s="1"/>
  <c r="AF11" i="9" s="1"/>
  <c r="AG11" i="9" s="1"/>
  <c r="AH11" i="9" s="1"/>
  <c r="AI11" i="9" s="1"/>
  <c r="AJ11" i="9" s="1"/>
  <c r="AK11" i="9" s="1"/>
  <c r="AL11" i="9" s="1"/>
  <c r="AM11" i="9" s="1"/>
  <c r="AN11" i="9" s="1"/>
  <c r="AO11" i="9" s="1"/>
  <c r="AP11" i="9" s="1"/>
  <c r="AQ11" i="9" s="1"/>
  <c r="AR11" i="9" s="1"/>
  <c r="AS11" i="9" s="1"/>
  <c r="AT11" i="9" s="1"/>
  <c r="AU11" i="9" s="1"/>
  <c r="AV11" i="9" s="1"/>
  <c r="AW11" i="9" s="1"/>
  <c r="AX11" i="9" s="1"/>
  <c r="AY11" i="9" s="1"/>
  <c r="AZ11" i="9" s="1"/>
  <c r="BA11" i="9" s="1"/>
  <c r="BB11" i="9" s="1"/>
  <c r="BC11" i="9" s="1"/>
  <c r="BD11" i="9" s="1"/>
  <c r="BE11" i="9" s="1"/>
  <c r="BF11" i="9" s="1"/>
  <c r="BG11" i="9" s="1"/>
  <c r="BH11" i="9" s="1"/>
  <c r="BI11" i="9" s="1"/>
  <c r="BJ11" i="9" s="1"/>
  <c r="BK11" i="9" s="1"/>
  <c r="BL11" i="9" s="1"/>
  <c r="BM11" i="9" s="1"/>
  <c r="BN11" i="9" s="1"/>
  <c r="BO11" i="9" s="1"/>
  <c r="BP11" i="9" s="1"/>
  <c r="BQ11" i="9" s="1"/>
  <c r="BR11" i="9" s="1"/>
  <c r="BS11" i="9" s="1"/>
  <c r="BT11" i="9" s="1"/>
  <c r="BU11" i="9" s="1"/>
  <c r="BV11" i="9" s="1"/>
  <c r="BW11" i="9" s="1"/>
  <c r="BX11" i="9" s="1"/>
  <c r="BY11" i="9" s="1"/>
  <c r="BZ11" i="9" s="1"/>
  <c r="CA11" i="9" s="1"/>
  <c r="CB11" i="9" s="1"/>
  <c r="CC11" i="9" s="1"/>
  <c r="CD11" i="9" s="1"/>
  <c r="CE11" i="9" s="1"/>
  <c r="CF11" i="9" s="1"/>
  <c r="CG11" i="9" s="1"/>
  <c r="CH11" i="9" s="1"/>
  <c r="CI11" i="9" s="1"/>
  <c r="CJ11" i="9" s="1"/>
  <c r="CK11" i="9" s="1"/>
  <c r="CL11" i="9" s="1"/>
  <c r="CM11" i="9" s="1"/>
  <c r="CN11" i="9" s="1"/>
  <c r="CO11" i="9" s="1"/>
  <c r="CP11" i="9" s="1"/>
  <c r="CQ11" i="9" s="1"/>
  <c r="CR11" i="9" s="1"/>
  <c r="CS11" i="9" s="1"/>
  <c r="CT11" i="9" s="1"/>
  <c r="CU11" i="9" s="1"/>
  <c r="CV11" i="9" s="1"/>
  <c r="CW11" i="9" s="1"/>
  <c r="CX11" i="9" s="1"/>
  <c r="CY11" i="9" s="1"/>
  <c r="CZ11" i="9" s="1"/>
  <c r="DA11" i="9" s="1"/>
  <c r="DB11" i="9" s="1"/>
  <c r="DC11" i="9" s="1"/>
  <c r="DD11" i="9" s="1"/>
  <c r="DE11" i="9" s="1"/>
  <c r="DF11" i="9" s="1"/>
  <c r="DG11" i="9" s="1"/>
  <c r="DH11" i="9" s="1"/>
  <c r="DI11" i="9" s="1"/>
  <c r="DJ11" i="9" s="1"/>
  <c r="DK11" i="9" s="1"/>
  <c r="DL11" i="9" s="1"/>
  <c r="DM11" i="9" s="1"/>
  <c r="DN11" i="9" s="1"/>
  <c r="DO11" i="9" s="1"/>
  <c r="DP11" i="9" s="1"/>
  <c r="DQ11" i="9" s="1"/>
  <c r="DR11" i="9" s="1"/>
  <c r="DS11" i="9" s="1"/>
  <c r="DT11" i="9" s="1"/>
  <c r="DU11" i="9" s="1"/>
  <c r="DV11" i="9" s="1"/>
  <c r="DW11" i="9" s="1"/>
  <c r="DX11" i="9" s="1"/>
  <c r="DY11" i="9" s="1"/>
  <c r="DZ11" i="9" s="1"/>
  <c r="EA11" i="9" s="1"/>
  <c r="EB11" i="9" s="1"/>
  <c r="EC11" i="9" s="1"/>
  <c r="ED11" i="9" s="1"/>
  <c r="EE11" i="9" s="1"/>
  <c r="EF11" i="9" s="1"/>
  <c r="EG11" i="9" s="1"/>
  <c r="EH11" i="9" s="1"/>
  <c r="EI11" i="9" s="1"/>
  <c r="EJ11" i="9" s="1"/>
  <c r="EK11" i="9" s="1"/>
  <c r="EL11" i="9" s="1"/>
  <c r="EM11" i="9" s="1"/>
  <c r="EN11" i="9" s="1"/>
  <c r="EO11" i="9" s="1"/>
  <c r="EP11" i="9" s="1"/>
  <c r="EQ11" i="9" s="1"/>
  <c r="ER11" i="9" s="1"/>
  <c r="ES11" i="9" s="1"/>
  <c r="ET11" i="9" s="1"/>
  <c r="EU11" i="9" s="1"/>
  <c r="EV11" i="9" s="1"/>
  <c r="EW11" i="9" s="1"/>
  <c r="EX11" i="9" s="1"/>
  <c r="EY11" i="9" s="1"/>
  <c r="EZ11" i="9" s="1"/>
  <c r="FA11" i="9" s="1"/>
  <c r="FB11" i="9" s="1"/>
  <c r="FC11" i="9" s="1"/>
  <c r="FD11" i="9" s="1"/>
  <c r="FE11" i="9" s="1"/>
  <c r="FF11" i="9" s="1"/>
  <c r="FG11" i="9" s="1"/>
  <c r="FH11" i="9" s="1"/>
  <c r="FI11" i="9" s="1"/>
  <c r="FJ11" i="9" s="1"/>
  <c r="FK11" i="9" s="1"/>
  <c r="FL11" i="9" s="1"/>
  <c r="FM11" i="9" s="1"/>
  <c r="FN11" i="9" s="1"/>
  <c r="FO11" i="9" s="1"/>
  <c r="FP11" i="9" s="1"/>
  <c r="FQ11" i="9" s="1"/>
  <c r="FR11" i="9" s="1"/>
  <c r="FS11" i="9" s="1"/>
  <c r="FT11" i="9" s="1"/>
  <c r="FU11" i="9" s="1"/>
  <c r="FV11" i="9" s="1"/>
  <c r="FW11" i="9" s="1"/>
  <c r="FX11" i="9" s="1"/>
  <c r="FY11" i="9" s="1"/>
  <c r="FZ11" i="9" s="1"/>
  <c r="GA11" i="9" s="1"/>
  <c r="GB11" i="9" s="1"/>
  <c r="GC11" i="9" s="1"/>
  <c r="GD11" i="9" s="1"/>
  <c r="GE11" i="9" s="1"/>
  <c r="GF11" i="9" s="1"/>
  <c r="GG11" i="9" s="1"/>
  <c r="GH11" i="9" s="1"/>
  <c r="GI11" i="9" s="1"/>
  <c r="GJ11" i="9" s="1"/>
  <c r="GK11" i="9" s="1"/>
  <c r="GL11" i="9" s="1"/>
  <c r="GM11" i="9" s="1"/>
  <c r="GN11" i="9" s="1"/>
  <c r="GO11" i="9" s="1"/>
  <c r="GP11" i="9" s="1"/>
  <c r="GQ11" i="9" s="1"/>
  <c r="GR11" i="9" s="1"/>
  <c r="GS11" i="9" s="1"/>
  <c r="GT11" i="9" s="1"/>
  <c r="GU11" i="9" s="1"/>
  <c r="GV11" i="9" s="1"/>
  <c r="P3" i="3"/>
  <c r="U3" i="10"/>
  <c r="I7" i="9"/>
  <c r="I8" i="9" s="1"/>
  <c r="I30" i="9"/>
  <c r="I31" i="9" s="1"/>
  <c r="AQ70" i="4"/>
  <c r="AR70" i="4" s="1"/>
  <c r="AR69" i="4"/>
  <c r="K27" i="4"/>
  <c r="X3" i="3"/>
  <c r="AC3" i="3" s="1"/>
  <c r="X4" i="3"/>
  <c r="AC4" i="3" s="1"/>
  <c r="X128" i="3"/>
  <c r="AC128" i="3" s="1"/>
  <c r="X129" i="3"/>
  <c r="AC129" i="3" s="1"/>
  <c r="X132" i="3"/>
  <c r="AC132" i="3" s="1"/>
  <c r="X127" i="3"/>
  <c r="AC127" i="3" s="1"/>
  <c r="X29" i="3"/>
  <c r="AC29" i="3" s="1"/>
  <c r="X160" i="3"/>
  <c r="AC160" i="3" s="1"/>
  <c r="X34" i="3"/>
  <c r="AC34" i="3" s="1"/>
  <c r="X68" i="3"/>
  <c r="AC68" i="3" s="1"/>
  <c r="X2" i="3"/>
  <c r="AC2" i="3" s="1"/>
  <c r="X28" i="3"/>
  <c r="AC28" i="3" s="1"/>
  <c r="X27" i="3"/>
  <c r="AC27" i="3" s="1"/>
  <c r="X159" i="3"/>
  <c r="X67" i="3"/>
  <c r="AC67" i="3" s="1"/>
  <c r="X146" i="3"/>
  <c r="AC146" i="3" s="1"/>
  <c r="X98" i="3"/>
  <c r="AC98" i="3" s="1"/>
  <c r="X26" i="3"/>
  <c r="AC26" i="3" s="1"/>
  <c r="X25" i="3"/>
  <c r="AC25" i="3" s="1"/>
  <c r="X158" i="3"/>
  <c r="X66" i="3"/>
  <c r="AC66" i="3" s="1"/>
  <c r="X145" i="3"/>
  <c r="AC145" i="3" s="1"/>
  <c r="X97" i="3"/>
  <c r="AC97" i="3" s="1"/>
  <c r="X24" i="3"/>
  <c r="AC24" i="3" s="1"/>
  <c r="X23" i="3"/>
  <c r="AC23" i="3" s="1"/>
  <c r="X157" i="3"/>
  <c r="X65" i="3"/>
  <c r="AC65" i="3" s="1"/>
  <c r="X144" i="3"/>
  <c r="AC144" i="3" s="1"/>
  <c r="X96" i="3"/>
  <c r="AC96" i="3" s="1"/>
  <c r="X22" i="3"/>
  <c r="AC22" i="3" s="1"/>
  <c r="X21" i="3"/>
  <c r="AC21" i="3" s="1"/>
  <c r="X156" i="3"/>
  <c r="X64" i="3"/>
  <c r="AC64" i="3" s="1"/>
  <c r="AC125" i="3" l="1"/>
  <c r="AC158" i="3"/>
  <c r="AD158" i="3" s="1"/>
  <c r="AC123" i="3"/>
  <c r="AC156" i="3"/>
  <c r="AD156" i="3" s="1"/>
  <c r="AC124" i="3"/>
  <c r="AC157" i="3"/>
  <c r="AD157" i="3" s="1"/>
  <c r="AC126" i="3"/>
  <c r="AC159" i="3"/>
  <c r="AD159" i="3" s="1"/>
  <c r="M18" i="10"/>
  <c r="M15" i="10"/>
  <c r="M14" i="10"/>
  <c r="M12" i="10"/>
  <c r="M11" i="10"/>
  <c r="M10" i="10"/>
  <c r="M13" i="10"/>
  <c r="M17" i="10"/>
  <c r="M8" i="10"/>
  <c r="M9" i="10"/>
  <c r="M16" i="10"/>
  <c r="M7" i="10"/>
  <c r="AR46" i="4"/>
  <c r="K28" i="4"/>
  <c r="AD2" i="3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C29" i="5"/>
  <c r="GT18" i="5"/>
  <c r="GS18" i="5"/>
  <c r="GR18" i="5"/>
  <c r="GQ18" i="5"/>
  <c r="GP18" i="5"/>
  <c r="GO18" i="5"/>
  <c r="GN18" i="5"/>
  <c r="GM18" i="5"/>
  <c r="GL18" i="5"/>
  <c r="GK18" i="5"/>
  <c r="GJ18" i="5"/>
  <c r="GI18" i="5"/>
  <c r="GH18" i="5"/>
  <c r="GG18" i="5"/>
  <c r="GF18" i="5"/>
  <c r="GE18" i="5"/>
  <c r="GD18" i="5"/>
  <c r="GC18" i="5"/>
  <c r="GB18" i="5"/>
  <c r="GA18" i="5"/>
  <c r="FZ18" i="5"/>
  <c r="FY18" i="5"/>
  <c r="FX18" i="5"/>
  <c r="FW18" i="5"/>
  <c r="FV18" i="5"/>
  <c r="FU18" i="5"/>
  <c r="FT18" i="5"/>
  <c r="FS18" i="5"/>
  <c r="FR18" i="5"/>
  <c r="FQ18" i="5"/>
  <c r="FP18" i="5"/>
  <c r="FO18" i="5"/>
  <c r="FN18" i="5"/>
  <c r="FM18" i="5"/>
  <c r="FL18" i="5"/>
  <c r="FK18" i="5"/>
  <c r="FJ18" i="5"/>
  <c r="FI18" i="5"/>
  <c r="FH18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D5" i="4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AL14" i="4"/>
  <c r="AM14" i="4" s="1"/>
  <c r="AN7" i="4"/>
  <c r="AM6" i="4"/>
  <c r="AN6" i="4" s="1"/>
  <c r="X9" i="4"/>
  <c r="W7" i="4"/>
  <c r="F4" i="4"/>
  <c r="E3" i="4"/>
  <c r="H3" i="4" s="1"/>
  <c r="AT42" i="4"/>
  <c r="AT41" i="4"/>
  <c r="AT40" i="4"/>
  <c r="AT39" i="4"/>
  <c r="AT38" i="4"/>
  <c r="AT37" i="4"/>
  <c r="AT36" i="4"/>
  <c r="AT35" i="4"/>
  <c r="AT34" i="4"/>
  <c r="AT33" i="4"/>
  <c r="AT32" i="4"/>
  <c r="AT31" i="4"/>
  <c r="AT30" i="4"/>
  <c r="AT29" i="4"/>
  <c r="AT28" i="4"/>
  <c r="AT27" i="4"/>
  <c r="AT26" i="4"/>
  <c r="AT25" i="4"/>
  <c r="AT24" i="4"/>
  <c r="AT23" i="4"/>
  <c r="AT22" i="4"/>
  <c r="AT21" i="4"/>
  <c r="AT20" i="4"/>
  <c r="AT19" i="4"/>
  <c r="AT18" i="4"/>
  <c r="AT17" i="4"/>
  <c r="AT16" i="4"/>
  <c r="AT15" i="4"/>
  <c r="AT14" i="4"/>
  <c r="AT13" i="4"/>
  <c r="AT12" i="4"/>
  <c r="AT11" i="4"/>
  <c r="AT10" i="4"/>
  <c r="AT9" i="4"/>
  <c r="AT8" i="4"/>
  <c r="AT7" i="4"/>
  <c r="AT6" i="4"/>
  <c r="AT5" i="4"/>
  <c r="AT4" i="4"/>
  <c r="AT3" i="4"/>
  <c r="AS3" i="4" s="1"/>
  <c r="AR4" i="4" s="1"/>
  <c r="AX10" i="4"/>
  <c r="AX12" i="4" s="1"/>
  <c r="AX13" i="4" s="1"/>
  <c r="AN8" i="4" l="1"/>
  <c r="K29" i="4"/>
  <c r="W8" i="4"/>
  <c r="W9" i="4" s="1"/>
  <c r="W10" i="4" s="1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W26" i="4" s="1"/>
  <c r="W27" i="4" s="1"/>
  <c r="W28" i="4" s="1"/>
  <c r="W29" i="4" s="1"/>
  <c r="W30" i="4" s="1"/>
  <c r="W33" i="4" s="1"/>
  <c r="W34" i="4" s="1"/>
  <c r="W35" i="4" s="1"/>
  <c r="W36" i="4" s="1"/>
  <c r="W37" i="4" s="1"/>
  <c r="W38" i="4" s="1"/>
  <c r="W39" i="4" s="1"/>
  <c r="W40" i="4" s="1"/>
  <c r="W41" i="4" s="1"/>
  <c r="U7" i="4"/>
  <c r="X10" i="4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V9" i="4"/>
  <c r="Q5" i="4"/>
  <c r="P5" i="4"/>
  <c r="AS4" i="4"/>
  <c r="AR5" i="4" s="1"/>
  <c r="AS5" i="4" s="1"/>
  <c r="V10" i="4" l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J7" i="4"/>
  <c r="L7" i="4"/>
  <c r="G5" i="4"/>
  <c r="Q6" i="4" s="1"/>
  <c r="F5" i="4"/>
  <c r="K30" i="4"/>
  <c r="U8" i="4"/>
  <c r="T7" i="4"/>
  <c r="AR6" i="4"/>
  <c r="AS6" i="4" s="1"/>
  <c r="J8" i="4" l="1"/>
  <c r="L8" i="4"/>
  <c r="N7" i="4"/>
  <c r="M8" i="4" s="1"/>
  <c r="K31" i="4"/>
  <c r="AF7" i="4"/>
  <c r="AD7" i="4"/>
  <c r="AE7" i="4"/>
  <c r="U9" i="4"/>
  <c r="T8" i="4"/>
  <c r="AR7" i="4"/>
  <c r="AS7" i="4" s="1"/>
  <c r="N8" i="4" l="1"/>
  <c r="M9" i="4" s="1"/>
  <c r="AG7" i="4"/>
  <c r="S7" i="4" s="1"/>
  <c r="J9" i="4"/>
  <c r="L9" i="4"/>
  <c r="AC9" i="4"/>
  <c r="K32" i="4"/>
  <c r="AF8" i="4"/>
  <c r="AD8" i="4"/>
  <c r="AE8" i="4"/>
  <c r="T9" i="4"/>
  <c r="U10" i="4"/>
  <c r="AR8" i="4"/>
  <c r="AS8" i="4" s="1"/>
  <c r="AG8" i="4" l="1"/>
  <c r="S8" i="4" s="1"/>
  <c r="N9" i="4"/>
  <c r="M10" i="4" s="1"/>
  <c r="L10" i="4"/>
  <c r="AC10" i="4"/>
  <c r="K33" i="4"/>
  <c r="AF9" i="4"/>
  <c r="AD9" i="4"/>
  <c r="AE9" i="4"/>
  <c r="U11" i="4"/>
  <c r="T10" i="4"/>
  <c r="AR9" i="4"/>
  <c r="AS9" i="4" s="1"/>
  <c r="AG9" i="4" l="1"/>
  <c r="S9" i="4" s="1"/>
  <c r="L11" i="4"/>
  <c r="AC11" i="4"/>
  <c r="K34" i="4"/>
  <c r="AF10" i="4"/>
  <c r="AD10" i="4"/>
  <c r="AE10" i="4"/>
  <c r="U12" i="4"/>
  <c r="T11" i="4"/>
  <c r="AR10" i="4"/>
  <c r="AS10" i="4" s="1"/>
  <c r="AG10" i="4" l="1"/>
  <c r="S10" i="4" s="1"/>
  <c r="L12" i="4"/>
  <c r="AC12" i="4"/>
  <c r="K35" i="4"/>
  <c r="AF11" i="4"/>
  <c r="AD11" i="4"/>
  <c r="AE11" i="4"/>
  <c r="U13" i="4"/>
  <c r="T12" i="4"/>
  <c r="AR11" i="4"/>
  <c r="AS11" i="4" s="1"/>
  <c r="AG11" i="4" l="1"/>
  <c r="S11" i="4" s="1"/>
  <c r="L13" i="4"/>
  <c r="AC13" i="4"/>
  <c r="K36" i="4"/>
  <c r="AF12" i="4"/>
  <c r="AD12" i="4"/>
  <c r="AE12" i="4"/>
  <c r="U14" i="4"/>
  <c r="T13" i="4"/>
  <c r="AR12" i="4"/>
  <c r="AS12" i="4" s="1"/>
  <c r="AG12" i="4" l="1"/>
  <c r="S12" i="4" s="1"/>
  <c r="L14" i="4"/>
  <c r="AC14" i="4"/>
  <c r="K37" i="4"/>
  <c r="AF13" i="4"/>
  <c r="AD13" i="4"/>
  <c r="AE13" i="4"/>
  <c r="U15" i="4"/>
  <c r="T14" i="4"/>
  <c r="AR13" i="4"/>
  <c r="AS13" i="4" s="1"/>
  <c r="AG13" i="4" l="1"/>
  <c r="S13" i="4" s="1"/>
  <c r="L15" i="4"/>
  <c r="AC15" i="4"/>
  <c r="K38" i="4"/>
  <c r="AF14" i="4"/>
  <c r="AD14" i="4"/>
  <c r="AE14" i="4"/>
  <c r="U16" i="4"/>
  <c r="T15" i="4"/>
  <c r="AR14" i="4"/>
  <c r="AS14" i="4" s="1"/>
  <c r="AG14" i="4" l="1"/>
  <c r="S14" i="4" s="1"/>
  <c r="L16" i="4"/>
  <c r="AC16" i="4"/>
  <c r="K39" i="4"/>
  <c r="AF15" i="4"/>
  <c r="AD15" i="4"/>
  <c r="AE15" i="4"/>
  <c r="U17" i="4"/>
  <c r="T16" i="4"/>
  <c r="AR15" i="4"/>
  <c r="AS15" i="4" s="1"/>
  <c r="AG15" i="4" l="1"/>
  <c r="S15" i="4" s="1"/>
  <c r="L17" i="4"/>
  <c r="AC17" i="4"/>
  <c r="K40" i="4"/>
  <c r="AF16" i="4"/>
  <c r="AD16" i="4"/>
  <c r="AE16" i="4"/>
  <c r="U18" i="4"/>
  <c r="T17" i="4"/>
  <c r="AR16" i="4"/>
  <c r="AS16" i="4" s="1"/>
  <c r="AG16" i="4" l="1"/>
  <c r="S16" i="4" s="1"/>
  <c r="L18" i="4"/>
  <c r="AC18" i="4"/>
  <c r="K41" i="4"/>
  <c r="AF17" i="4"/>
  <c r="AD17" i="4"/>
  <c r="AE17" i="4"/>
  <c r="U19" i="4"/>
  <c r="T18" i="4"/>
  <c r="AR17" i="4"/>
  <c r="AS17" i="4" s="1"/>
  <c r="AG17" i="4" l="1"/>
  <c r="S17" i="4" s="1"/>
  <c r="L19" i="4"/>
  <c r="AC19" i="4"/>
  <c r="AF18" i="4"/>
  <c r="AD18" i="4"/>
  <c r="AE18" i="4"/>
  <c r="U20" i="4"/>
  <c r="T19" i="4"/>
  <c r="AR18" i="4"/>
  <c r="AS18" i="4" s="1"/>
  <c r="AG18" i="4" l="1"/>
  <c r="S18" i="4" s="1"/>
  <c r="L20" i="4"/>
  <c r="AC20" i="4"/>
  <c r="AF19" i="4"/>
  <c r="AD19" i="4"/>
  <c r="AE19" i="4"/>
  <c r="U21" i="4"/>
  <c r="T20" i="4"/>
  <c r="AR19" i="4"/>
  <c r="AS19" i="4" s="1"/>
  <c r="AG19" i="4" l="1"/>
  <c r="S19" i="4" s="1"/>
  <c r="L21" i="4"/>
  <c r="AC21" i="4"/>
  <c r="AF20" i="4"/>
  <c r="AD20" i="4"/>
  <c r="AE20" i="4"/>
  <c r="U22" i="4"/>
  <c r="T21" i="4"/>
  <c r="AR20" i="4"/>
  <c r="AS20" i="4" s="1"/>
  <c r="AG20" i="4" l="1"/>
  <c r="S20" i="4" s="1"/>
  <c r="L22" i="4"/>
  <c r="AC22" i="4"/>
  <c r="AF21" i="4"/>
  <c r="AD21" i="4"/>
  <c r="AE21" i="4"/>
  <c r="U23" i="4"/>
  <c r="T22" i="4"/>
  <c r="AR21" i="4"/>
  <c r="AS21" i="4" s="1"/>
  <c r="AG21" i="4" l="1"/>
  <c r="S21" i="4" s="1"/>
  <c r="L23" i="4"/>
  <c r="AC23" i="4"/>
  <c r="AF22" i="4"/>
  <c r="AD22" i="4"/>
  <c r="AE22" i="4"/>
  <c r="U24" i="4"/>
  <c r="T23" i="4"/>
  <c r="AR22" i="4"/>
  <c r="AS22" i="4" s="1"/>
  <c r="AG22" i="4" l="1"/>
  <c r="S22" i="4" s="1"/>
  <c r="L24" i="4"/>
  <c r="AC24" i="4"/>
  <c r="AF23" i="4"/>
  <c r="AD23" i="4"/>
  <c r="AE23" i="4"/>
  <c r="U25" i="4"/>
  <c r="T24" i="4"/>
  <c r="AR23" i="4"/>
  <c r="AS23" i="4" s="1"/>
  <c r="AG23" i="4" l="1"/>
  <c r="S23" i="4" s="1"/>
  <c r="L25" i="4"/>
  <c r="AC25" i="4"/>
  <c r="AF24" i="4"/>
  <c r="AD24" i="4"/>
  <c r="AE24" i="4"/>
  <c r="U26" i="4"/>
  <c r="T25" i="4"/>
  <c r="AR24" i="4"/>
  <c r="AS24" i="4" s="1"/>
  <c r="AG24" i="4" l="1"/>
  <c r="S24" i="4" s="1"/>
  <c r="L26" i="4"/>
  <c r="AC26" i="4"/>
  <c r="AF25" i="4"/>
  <c r="AD25" i="4"/>
  <c r="AE25" i="4"/>
  <c r="U27" i="4"/>
  <c r="T26" i="4"/>
  <c r="AR25" i="4"/>
  <c r="AS25" i="4" s="1"/>
  <c r="AG25" i="4" l="1"/>
  <c r="S25" i="4" s="1"/>
  <c r="L27" i="4"/>
  <c r="AC27" i="4"/>
  <c r="AF26" i="4"/>
  <c r="AD26" i="4"/>
  <c r="AE26" i="4"/>
  <c r="U28" i="4"/>
  <c r="T27" i="4"/>
  <c r="AR26" i="4"/>
  <c r="AS26" i="4" s="1"/>
  <c r="AG26" i="4" l="1"/>
  <c r="S26" i="4" s="1"/>
  <c r="L28" i="4"/>
  <c r="AC28" i="4"/>
  <c r="AF27" i="4"/>
  <c r="AD27" i="4"/>
  <c r="AE27" i="4"/>
  <c r="U29" i="4"/>
  <c r="T28" i="4"/>
  <c r="AR27" i="4"/>
  <c r="AS27" i="4" s="1"/>
  <c r="AG27" i="4" l="1"/>
  <c r="S27" i="4" s="1"/>
  <c r="L29" i="4"/>
  <c r="AC29" i="4"/>
  <c r="AF28" i="4"/>
  <c r="AD28" i="4"/>
  <c r="AE28" i="4"/>
  <c r="U30" i="4"/>
  <c r="T29" i="4"/>
  <c r="AR28" i="4"/>
  <c r="AS28" i="4" s="1"/>
  <c r="AG28" i="4" l="1"/>
  <c r="S28" i="4" s="1"/>
  <c r="L30" i="4"/>
  <c r="AC30" i="4"/>
  <c r="AF29" i="4"/>
  <c r="AD29" i="4"/>
  <c r="AE29" i="4"/>
  <c r="U31" i="4"/>
  <c r="T30" i="4"/>
  <c r="AR29" i="4"/>
  <c r="AS29" i="4" s="1"/>
  <c r="AG29" i="4" l="1"/>
  <c r="S29" i="4" s="1"/>
  <c r="L31" i="4"/>
  <c r="AC31" i="4"/>
  <c r="AF30" i="4"/>
  <c r="AD30" i="4"/>
  <c r="AE30" i="4"/>
  <c r="U32" i="4"/>
  <c r="T31" i="4"/>
  <c r="AR30" i="4"/>
  <c r="AS30" i="4" s="1"/>
  <c r="AG30" i="4" l="1"/>
  <c r="S30" i="4" s="1"/>
  <c r="L32" i="4"/>
  <c r="AC32" i="4"/>
  <c r="AF31" i="4"/>
  <c r="AD31" i="4"/>
  <c r="AE31" i="4"/>
  <c r="U33" i="4"/>
  <c r="T32" i="4"/>
  <c r="AR31" i="4"/>
  <c r="AS31" i="4" s="1"/>
  <c r="AG31" i="4" l="1"/>
  <c r="S31" i="4" s="1"/>
  <c r="L33" i="4"/>
  <c r="AC33" i="4"/>
  <c r="AF32" i="4"/>
  <c r="AD32" i="4"/>
  <c r="AE32" i="4"/>
  <c r="U34" i="4"/>
  <c r="T33" i="4"/>
  <c r="AR32" i="4"/>
  <c r="AS32" i="4" s="1"/>
  <c r="AG32" i="4" l="1"/>
  <c r="S32" i="4" s="1"/>
  <c r="L34" i="4"/>
  <c r="AC34" i="4"/>
  <c r="AF33" i="4"/>
  <c r="AD33" i="4"/>
  <c r="AE33" i="4"/>
  <c r="U35" i="4"/>
  <c r="T34" i="4"/>
  <c r="AR33" i="4"/>
  <c r="AS33" i="4" s="1"/>
  <c r="L35" i="4" l="1"/>
  <c r="AG33" i="4"/>
  <c r="S33" i="4" s="1"/>
  <c r="AC35" i="4"/>
  <c r="AF34" i="4"/>
  <c r="AD34" i="4"/>
  <c r="AE34" i="4"/>
  <c r="U36" i="4"/>
  <c r="T35" i="4"/>
  <c r="AR34" i="4"/>
  <c r="AS34" i="4" s="1"/>
  <c r="AG34" i="4" l="1"/>
  <c r="S34" i="4" s="1"/>
  <c r="L36" i="4"/>
  <c r="AC36" i="4"/>
  <c r="AF35" i="4"/>
  <c r="AD35" i="4"/>
  <c r="AE35" i="4"/>
  <c r="U37" i="4"/>
  <c r="T36" i="4"/>
  <c r="AR35" i="4"/>
  <c r="AS35" i="4" s="1"/>
  <c r="AG35" i="4" l="1"/>
  <c r="S35" i="4" s="1"/>
  <c r="L37" i="4"/>
  <c r="AC37" i="4"/>
  <c r="AF36" i="4"/>
  <c r="AD36" i="4"/>
  <c r="AE36" i="4"/>
  <c r="U38" i="4"/>
  <c r="T37" i="4"/>
  <c r="AR36" i="4"/>
  <c r="AS36" i="4" s="1"/>
  <c r="AG36" i="4" l="1"/>
  <c r="S36" i="4" s="1"/>
  <c r="L38" i="4"/>
  <c r="AC38" i="4"/>
  <c r="AF37" i="4"/>
  <c r="AD37" i="4"/>
  <c r="AE37" i="4"/>
  <c r="U39" i="4"/>
  <c r="T38" i="4"/>
  <c r="AR37" i="4"/>
  <c r="AS37" i="4" s="1"/>
  <c r="AG37" i="4" l="1"/>
  <c r="S37" i="4" s="1"/>
  <c r="L39" i="4"/>
  <c r="AC39" i="4"/>
  <c r="AF38" i="4"/>
  <c r="AD38" i="4"/>
  <c r="AE38" i="4"/>
  <c r="U40" i="4"/>
  <c r="T39" i="4"/>
  <c r="AR38" i="4"/>
  <c r="AS38" i="4" s="1"/>
  <c r="AG38" i="4" l="1"/>
  <c r="S38" i="4" s="1"/>
  <c r="L40" i="4"/>
  <c r="AC40" i="4"/>
  <c r="AF39" i="4"/>
  <c r="AD39" i="4"/>
  <c r="AE39" i="4"/>
  <c r="U41" i="4"/>
  <c r="T40" i="4"/>
  <c r="AR39" i="4"/>
  <c r="AS39" i="4" s="1"/>
  <c r="AG39" i="4" l="1"/>
  <c r="S39" i="4" s="1"/>
  <c r="T41" i="4"/>
  <c r="AF41" i="4" s="1"/>
  <c r="L41" i="4"/>
  <c r="AC41" i="4"/>
  <c r="AF40" i="4"/>
  <c r="AD40" i="4"/>
  <c r="AE40" i="4"/>
  <c r="AR40" i="4"/>
  <c r="AS40" i="4" s="1"/>
  <c r="AE41" i="4" l="1"/>
  <c r="AD41" i="4"/>
  <c r="AG41" i="4" s="1"/>
  <c r="S41" i="4" s="1"/>
  <c r="AG40" i="4"/>
  <c r="S40" i="4" s="1"/>
  <c r="AR41" i="4"/>
  <c r="AS41" i="4" s="1"/>
  <c r="AR42" i="4" l="1"/>
  <c r="AS42" i="4" s="1"/>
  <c r="AR43" i="4" l="1"/>
  <c r="AB29" i="3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C48" i="5"/>
  <c r="C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E2" i="5"/>
  <c r="D2" i="5"/>
  <c r="C2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32" i="5"/>
  <c r="D32" i="5" s="1"/>
  <c r="E32" i="5" s="1"/>
  <c r="F32" i="5" s="1"/>
  <c r="G32" i="5" s="1"/>
  <c r="H32" i="5" s="1"/>
  <c r="I32" i="5" s="1"/>
  <c r="J32" i="5" s="1"/>
  <c r="Z32" i="5" s="1"/>
  <c r="AA32" i="5" s="1"/>
  <c r="AB32" i="5" s="1"/>
  <c r="AC32" i="5" s="1"/>
  <c r="AD32" i="5" s="1"/>
  <c r="AE32" i="5" s="1"/>
  <c r="AF32" i="5" s="1"/>
  <c r="AG32" i="5" s="1"/>
  <c r="AH32" i="5" s="1"/>
  <c r="AI32" i="5" s="1"/>
  <c r="AJ32" i="5" s="1"/>
  <c r="AK32" i="5" s="1"/>
  <c r="AL32" i="5" s="1"/>
  <c r="AM32" i="5" s="1"/>
  <c r="AN32" i="5" s="1"/>
  <c r="AO32" i="5" s="1"/>
  <c r="AP32" i="5" s="1"/>
  <c r="AQ32" i="5" s="1"/>
  <c r="AR32" i="5" s="1"/>
  <c r="AS32" i="5" s="1"/>
  <c r="AT32" i="5" s="1"/>
  <c r="AU32" i="5" s="1"/>
  <c r="AV32" i="5" s="1"/>
  <c r="AW32" i="5" s="1"/>
  <c r="AX32" i="5" s="1"/>
  <c r="AY32" i="5" s="1"/>
  <c r="AZ32" i="5" s="1"/>
  <c r="BA32" i="5" s="1"/>
  <c r="BB32" i="5" s="1"/>
  <c r="BC32" i="5" s="1"/>
  <c r="BD32" i="5" s="1"/>
  <c r="BE32" i="5" s="1"/>
  <c r="BF32" i="5" s="1"/>
  <c r="BG32" i="5" s="1"/>
  <c r="BH32" i="5" s="1"/>
  <c r="BI32" i="5" s="1"/>
  <c r="BJ32" i="5" s="1"/>
  <c r="BK32" i="5" s="1"/>
  <c r="BL32" i="5" s="1"/>
  <c r="BM32" i="5" s="1"/>
  <c r="BN32" i="5" s="1"/>
  <c r="BO32" i="5" s="1"/>
  <c r="BP32" i="5" s="1"/>
  <c r="BQ32" i="5" s="1"/>
  <c r="BR32" i="5" s="1"/>
  <c r="BS32" i="5" s="1"/>
  <c r="BT32" i="5" s="1"/>
  <c r="BU32" i="5" s="1"/>
  <c r="BV32" i="5" s="1"/>
  <c r="BW32" i="5" s="1"/>
  <c r="BX32" i="5" s="1"/>
  <c r="BY32" i="5" s="1"/>
  <c r="BZ32" i="5" s="1"/>
  <c r="CA32" i="5" s="1"/>
  <c r="CB32" i="5" s="1"/>
  <c r="CC32" i="5" s="1"/>
  <c r="CD32" i="5" s="1"/>
  <c r="CE32" i="5" s="1"/>
  <c r="CF32" i="5" s="1"/>
  <c r="CG32" i="5" s="1"/>
  <c r="CH32" i="5" s="1"/>
  <c r="CI32" i="5" s="1"/>
  <c r="CJ32" i="5" s="1"/>
  <c r="CK32" i="5" s="1"/>
  <c r="CL32" i="5" s="1"/>
  <c r="CM32" i="5" s="1"/>
  <c r="CN32" i="5" s="1"/>
  <c r="CO32" i="5" s="1"/>
  <c r="CP32" i="5" s="1"/>
  <c r="CQ32" i="5" s="1"/>
  <c r="CR32" i="5" s="1"/>
  <c r="CS32" i="5" s="1"/>
  <c r="CT32" i="5" s="1"/>
  <c r="CU32" i="5" s="1"/>
  <c r="CV32" i="5" s="1"/>
  <c r="CW32" i="5" s="1"/>
  <c r="CX32" i="5" s="1"/>
  <c r="CY32" i="5" s="1"/>
  <c r="CZ32" i="5" s="1"/>
  <c r="DA32" i="5" s="1"/>
  <c r="DB32" i="5" s="1"/>
  <c r="DC32" i="5" s="1"/>
  <c r="DD32" i="5" s="1"/>
  <c r="DE32" i="5" s="1"/>
  <c r="DF32" i="5" s="1"/>
  <c r="DG32" i="5" s="1"/>
  <c r="DH32" i="5" s="1"/>
  <c r="DI32" i="5" s="1"/>
  <c r="DJ32" i="5" s="1"/>
  <c r="DK32" i="5" s="1"/>
  <c r="DL32" i="5" s="1"/>
  <c r="DM32" i="5" s="1"/>
  <c r="DN32" i="5" s="1"/>
  <c r="DO32" i="5" s="1"/>
  <c r="DP32" i="5" s="1"/>
  <c r="DQ32" i="5" s="1"/>
  <c r="DR32" i="5" s="1"/>
  <c r="DS32" i="5" s="1"/>
  <c r="DT32" i="5" s="1"/>
  <c r="DU32" i="5" s="1"/>
  <c r="DV32" i="5" s="1"/>
  <c r="DW32" i="5" s="1"/>
  <c r="DX32" i="5" s="1"/>
  <c r="DY32" i="5" s="1"/>
  <c r="DZ32" i="5" s="1"/>
  <c r="EA32" i="5" s="1"/>
  <c r="EB32" i="5" s="1"/>
  <c r="EC32" i="5" s="1"/>
  <c r="ED32" i="5" s="1"/>
  <c r="EE32" i="5" s="1"/>
  <c r="EF32" i="5" s="1"/>
  <c r="EG32" i="5" s="1"/>
  <c r="EH32" i="5" s="1"/>
  <c r="EI32" i="5" s="1"/>
  <c r="EJ32" i="5" s="1"/>
  <c r="EK32" i="5" s="1"/>
  <c r="EL32" i="5" s="1"/>
  <c r="EM32" i="5" s="1"/>
  <c r="EN32" i="5" s="1"/>
  <c r="EO32" i="5" s="1"/>
  <c r="EP32" i="5" s="1"/>
  <c r="EQ32" i="5" s="1"/>
  <c r="ER32" i="5" s="1"/>
  <c r="ES32" i="5" s="1"/>
  <c r="ET32" i="5" s="1"/>
  <c r="EU32" i="5" s="1"/>
  <c r="EV32" i="5" s="1"/>
  <c r="EW32" i="5" s="1"/>
  <c r="EX32" i="5" s="1"/>
  <c r="EY32" i="5" s="1"/>
  <c r="EZ32" i="5" s="1"/>
  <c r="FA32" i="5" s="1"/>
  <c r="FB32" i="5" s="1"/>
  <c r="FC32" i="5" s="1"/>
  <c r="FD32" i="5" s="1"/>
  <c r="FE32" i="5" s="1"/>
  <c r="FF32" i="5" s="1"/>
  <c r="FG32" i="5" s="1"/>
  <c r="FH32" i="5" s="1"/>
  <c r="FI32" i="5" s="1"/>
  <c r="FJ32" i="5" s="1"/>
  <c r="FK32" i="5" s="1"/>
  <c r="FL32" i="5" s="1"/>
  <c r="FM32" i="5" s="1"/>
  <c r="FN32" i="5" s="1"/>
  <c r="FO32" i="5" s="1"/>
  <c r="FP32" i="5" s="1"/>
  <c r="FQ32" i="5" s="1"/>
  <c r="FR32" i="5" s="1"/>
  <c r="FS32" i="5" s="1"/>
  <c r="FT32" i="5" s="1"/>
  <c r="FU32" i="5" s="1"/>
  <c r="FV32" i="5" s="1"/>
  <c r="FW32" i="5" s="1"/>
  <c r="FX32" i="5" s="1"/>
  <c r="FY32" i="5" s="1"/>
  <c r="FZ32" i="5" s="1"/>
  <c r="GA32" i="5" s="1"/>
  <c r="GB32" i="5" s="1"/>
  <c r="GC32" i="5" s="1"/>
  <c r="GD32" i="5" s="1"/>
  <c r="GE32" i="5" s="1"/>
  <c r="GF32" i="5" s="1"/>
  <c r="GG32" i="5" s="1"/>
  <c r="GH32" i="5" s="1"/>
  <c r="GI32" i="5" s="1"/>
  <c r="GJ32" i="5" s="1"/>
  <c r="GK32" i="5" s="1"/>
  <c r="GL32" i="5" s="1"/>
  <c r="GM32" i="5" s="1"/>
  <c r="GN32" i="5" s="1"/>
  <c r="GO32" i="5" s="1"/>
  <c r="GP32" i="5" s="1"/>
  <c r="GQ32" i="5" s="1"/>
  <c r="GR32" i="5" s="1"/>
  <c r="GS32" i="5" s="1"/>
  <c r="GT32" i="5" s="1"/>
  <c r="C9" i="5"/>
  <c r="C15" i="5"/>
  <c r="E19" i="8"/>
  <c r="D18" i="8"/>
  <c r="C18" i="8"/>
  <c r="E17" i="8"/>
  <c r="E16" i="8"/>
  <c r="C14" i="8"/>
  <c r="E14" i="8" s="1"/>
  <c r="E13" i="8"/>
  <c r="E11" i="8"/>
  <c r="C10" i="8"/>
  <c r="E10" i="8" s="1"/>
  <c r="E9" i="8"/>
  <c r="C8" i="8"/>
  <c r="E8" i="8" s="1"/>
  <c r="C7" i="8"/>
  <c r="E7" i="8" s="1"/>
  <c r="E6" i="8"/>
  <c r="D12" i="5"/>
  <c r="D14" i="5" s="1"/>
  <c r="G11" i="5"/>
  <c r="D5" i="5"/>
  <c r="E5" i="5" s="1"/>
  <c r="F5" i="5" s="1"/>
  <c r="G5" i="5" s="1"/>
  <c r="H5" i="5" s="1"/>
  <c r="I5" i="5" s="1"/>
  <c r="J5" i="5" s="1"/>
  <c r="K5" i="5" s="1"/>
  <c r="L5" i="5" s="1"/>
  <c r="M5" i="5" s="1"/>
  <c r="N5" i="5" s="1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C1" i="5"/>
  <c r="C3" i="7"/>
  <c r="C4" i="7"/>
  <c r="B4" i="7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D6" i="5"/>
  <c r="C6" i="5"/>
  <c r="X69" i="3"/>
  <c r="AC69" i="3" s="1"/>
  <c r="X70" i="3"/>
  <c r="AC70" i="3" s="1"/>
  <c r="X71" i="3"/>
  <c r="X72" i="3"/>
  <c r="X87" i="3"/>
  <c r="X135" i="3"/>
  <c r="X56" i="3"/>
  <c r="AC56" i="3" s="1"/>
  <c r="X115" i="3"/>
  <c r="AC115" i="3" s="1"/>
  <c r="X5" i="3"/>
  <c r="X6" i="3"/>
  <c r="X88" i="3"/>
  <c r="AC88" i="3" s="1"/>
  <c r="X136" i="3"/>
  <c r="AC136" i="3" s="1"/>
  <c r="X57" i="3"/>
  <c r="X149" i="3"/>
  <c r="AC149" i="3" s="1"/>
  <c r="AD149" i="3" s="1"/>
  <c r="X7" i="3"/>
  <c r="AC7" i="3" s="1"/>
  <c r="X8" i="3"/>
  <c r="AC8" i="3" s="1"/>
  <c r="X89" i="3"/>
  <c r="X137" i="3"/>
  <c r="X58" i="3"/>
  <c r="AC58" i="3" s="1"/>
  <c r="X150" i="3"/>
  <c r="X9" i="3"/>
  <c r="X10" i="3"/>
  <c r="X90" i="3"/>
  <c r="AC90" i="3" s="1"/>
  <c r="X138" i="3"/>
  <c r="AC138" i="3" s="1"/>
  <c r="X59" i="3"/>
  <c r="X151" i="3"/>
  <c r="AC151" i="3" s="1"/>
  <c r="AD151" i="3" s="1"/>
  <c r="X11" i="3"/>
  <c r="AC11" i="3" s="1"/>
  <c r="X12" i="3"/>
  <c r="AC12" i="3" s="1"/>
  <c r="X91" i="3"/>
  <c r="X139" i="3"/>
  <c r="X60" i="3"/>
  <c r="AC60" i="3" s="1"/>
  <c r="X152" i="3"/>
  <c r="X13" i="3"/>
  <c r="X14" i="3"/>
  <c r="X92" i="3"/>
  <c r="AC92" i="3" s="1"/>
  <c r="X140" i="3"/>
  <c r="AC140" i="3" s="1"/>
  <c r="X61" i="3"/>
  <c r="X153" i="3"/>
  <c r="AC153" i="3" s="1"/>
  <c r="AD153" i="3" s="1"/>
  <c r="X15" i="3"/>
  <c r="AC15" i="3" s="1"/>
  <c r="X16" i="3"/>
  <c r="AC16" i="3" s="1"/>
  <c r="X93" i="3"/>
  <c r="X141" i="3"/>
  <c r="X62" i="3"/>
  <c r="AC62" i="3" s="1"/>
  <c r="X154" i="3"/>
  <c r="X17" i="3"/>
  <c r="X18" i="3"/>
  <c r="X94" i="3"/>
  <c r="AC94" i="3" s="1"/>
  <c r="X142" i="3"/>
  <c r="AC142" i="3" s="1"/>
  <c r="X63" i="3"/>
  <c r="X155" i="3"/>
  <c r="X19" i="3"/>
  <c r="AC19" i="3" s="1"/>
  <c r="X20" i="3"/>
  <c r="AC20" i="3" s="1"/>
  <c r="X95" i="3"/>
  <c r="AC95" i="3" s="1"/>
  <c r="X143" i="3"/>
  <c r="AC143" i="3" s="1"/>
  <c r="AD64" i="3"/>
  <c r="AD123" i="3"/>
  <c r="AD21" i="3"/>
  <c r="AD22" i="3"/>
  <c r="AD96" i="3"/>
  <c r="AD144" i="3"/>
  <c r="AD65" i="3"/>
  <c r="AD124" i="3"/>
  <c r="AD23" i="3"/>
  <c r="AD24" i="3"/>
  <c r="AD97" i="3"/>
  <c r="AD145" i="3"/>
  <c r="AD66" i="3"/>
  <c r="AD125" i="3"/>
  <c r="AD25" i="3"/>
  <c r="AD26" i="3"/>
  <c r="AD98" i="3"/>
  <c r="AD146" i="3"/>
  <c r="AD67" i="3"/>
  <c r="AD126" i="3"/>
  <c r="AD27" i="3"/>
  <c r="AD28" i="3"/>
  <c r="AD68" i="3"/>
  <c r="AD34" i="3"/>
  <c r="AD33" i="3"/>
  <c r="AD160" i="3"/>
  <c r="AD29" i="3"/>
  <c r="AD127" i="3"/>
  <c r="AD132" i="3"/>
  <c r="AD129" i="3"/>
  <c r="AD128" i="3"/>
  <c r="AD4" i="3"/>
  <c r="AD3" i="3"/>
  <c r="AD35" i="3"/>
  <c r="AD32" i="3"/>
  <c r="AD148" i="3"/>
  <c r="AD30" i="3"/>
  <c r="AD31" i="3"/>
  <c r="AD109" i="3"/>
  <c r="AD110" i="3"/>
  <c r="AD111" i="3"/>
  <c r="AD112" i="3"/>
  <c r="AD113" i="3"/>
  <c r="AD114" i="3"/>
  <c r="AD99" i="3"/>
  <c r="AD100" i="3"/>
  <c r="AD101" i="3"/>
  <c r="AD102" i="3"/>
  <c r="AD103" i="3"/>
  <c r="AD104" i="3"/>
  <c r="AD105" i="3"/>
  <c r="AD106" i="3"/>
  <c r="AD107" i="3"/>
  <c r="AD108" i="3"/>
  <c r="AD84" i="3"/>
  <c r="AD85" i="3"/>
  <c r="AD86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C8" i="6"/>
  <c r="E8" i="6" s="1"/>
  <c r="C6" i="6"/>
  <c r="E6" i="6" s="1"/>
  <c r="C5" i="6"/>
  <c r="E5" i="6" s="1"/>
  <c r="AC122" i="3" l="1"/>
  <c r="AD122" i="3" s="1"/>
  <c r="AC155" i="3"/>
  <c r="AD155" i="3" s="1"/>
  <c r="AC119" i="3"/>
  <c r="AC152" i="3"/>
  <c r="AD152" i="3" s="1"/>
  <c r="AC121" i="3"/>
  <c r="AD121" i="3" s="1"/>
  <c r="AC154" i="3"/>
  <c r="AD154" i="3" s="1"/>
  <c r="AC117" i="3"/>
  <c r="AD117" i="3" s="1"/>
  <c r="AC150" i="3"/>
  <c r="AD150" i="3" s="1"/>
  <c r="E18" i="8"/>
  <c r="AC72" i="3"/>
  <c r="AD72" i="3" s="1"/>
  <c r="R26" i="5" s="1"/>
  <c r="Q26" i="5"/>
  <c r="D26" i="5"/>
  <c r="ED26" i="5"/>
  <c r="DF26" i="5"/>
  <c r="AC71" i="3"/>
  <c r="AD71" i="3" s="1"/>
  <c r="AC18" i="3"/>
  <c r="AD18" i="3" s="1"/>
  <c r="CB26" i="5" s="1"/>
  <c r="AC141" i="3"/>
  <c r="AD141" i="3" s="1"/>
  <c r="AC120" i="3"/>
  <c r="AD120" i="3" s="1"/>
  <c r="AC14" i="3"/>
  <c r="AD14" i="3" s="1"/>
  <c r="BD26" i="5" s="1"/>
  <c r="AC118" i="3"/>
  <c r="AD118" i="3" s="1"/>
  <c r="AC10" i="3"/>
  <c r="AD10" i="3" s="1"/>
  <c r="AF26" i="5" s="1"/>
  <c r="AC137" i="3"/>
  <c r="AD137" i="3" s="1"/>
  <c r="AC116" i="3"/>
  <c r="AD116" i="3" s="1"/>
  <c r="AC135" i="3"/>
  <c r="AD135" i="3" s="1"/>
  <c r="AD70" i="3"/>
  <c r="K26" i="5" s="1"/>
  <c r="W26" i="5"/>
  <c r="DX26" i="5"/>
  <c r="CZ26" i="5"/>
  <c r="AC139" i="3"/>
  <c r="AD139" i="3" s="1"/>
  <c r="AC63" i="3"/>
  <c r="AD63" i="3" s="1"/>
  <c r="AC17" i="3"/>
  <c r="AD17" i="3" s="1"/>
  <c r="BV26" i="5" s="1"/>
  <c r="AC93" i="3"/>
  <c r="AD93" i="3" s="1"/>
  <c r="AC61" i="3"/>
  <c r="AD61" i="3" s="1"/>
  <c r="AC13" i="3"/>
  <c r="AD13" i="3" s="1"/>
  <c r="AX26" i="5" s="1"/>
  <c r="AC91" i="3"/>
  <c r="AD91" i="3" s="1"/>
  <c r="AC59" i="3"/>
  <c r="AD59" i="3" s="1"/>
  <c r="AC9" i="3"/>
  <c r="AD9" i="3" s="1"/>
  <c r="Z26" i="5" s="1"/>
  <c r="AC89" i="3"/>
  <c r="AD89" i="3" s="1"/>
  <c r="AC57" i="3"/>
  <c r="AD57" i="3" s="1"/>
  <c r="AC5" i="3"/>
  <c r="AD5" i="3" s="1"/>
  <c r="AC87" i="3"/>
  <c r="AD87" i="3" s="1"/>
  <c r="AD69" i="3"/>
  <c r="F26" i="5" s="1"/>
  <c r="AC26" i="5"/>
  <c r="CT26" i="5"/>
  <c r="AC6" i="3"/>
  <c r="AD6" i="3" s="1"/>
  <c r="GT26" i="5"/>
  <c r="GD26" i="5"/>
  <c r="FN26" i="5"/>
  <c r="EX26" i="5"/>
  <c r="DV26" i="5"/>
  <c r="BZ26" i="5"/>
  <c r="AD26" i="5"/>
  <c r="GG26" i="5"/>
  <c r="FQ26" i="5"/>
  <c r="FA26" i="5"/>
  <c r="EK26" i="5"/>
  <c r="DU26" i="5"/>
  <c r="DE26" i="5"/>
  <c r="CO26" i="5"/>
  <c r="BY26" i="5"/>
  <c r="BI26" i="5"/>
  <c r="AS26" i="5"/>
  <c r="Y26" i="5"/>
  <c r="GE26" i="5"/>
  <c r="EY26" i="5"/>
  <c r="DS26" i="5"/>
  <c r="CM26" i="5"/>
  <c r="BG26" i="5"/>
  <c r="GF26" i="5"/>
  <c r="FP26" i="5"/>
  <c r="EZ26" i="5"/>
  <c r="EF26" i="5"/>
  <c r="DH26" i="5"/>
  <c r="CJ26" i="5"/>
  <c r="FC26" i="5"/>
  <c r="GP26" i="5"/>
  <c r="FZ26" i="5"/>
  <c r="FJ26" i="5"/>
  <c r="ET26" i="5"/>
  <c r="DJ26" i="5"/>
  <c r="BN26" i="5"/>
  <c r="GS26" i="5"/>
  <c r="GC26" i="5"/>
  <c r="FM26" i="5"/>
  <c r="EW26" i="5"/>
  <c r="EG26" i="5"/>
  <c r="DQ26" i="5"/>
  <c r="DA26" i="5"/>
  <c r="CK26" i="5"/>
  <c r="BU26" i="5"/>
  <c r="BE26" i="5"/>
  <c r="AO26" i="5"/>
  <c r="U26" i="5"/>
  <c r="FW26" i="5"/>
  <c r="EQ26" i="5"/>
  <c r="DK26" i="5"/>
  <c r="CE26" i="5"/>
  <c r="AY26" i="5"/>
  <c r="GR26" i="5"/>
  <c r="GB26" i="5"/>
  <c r="FL26" i="5"/>
  <c r="EV26" i="5"/>
  <c r="EB26" i="5"/>
  <c r="DD26" i="5"/>
  <c r="CF26" i="5"/>
  <c r="BH26" i="5"/>
  <c r="AJ26" i="5"/>
  <c r="L26" i="5"/>
  <c r="GA26" i="5"/>
  <c r="EU26" i="5"/>
  <c r="DO26" i="5"/>
  <c r="CI26" i="5"/>
  <c r="BC26" i="5"/>
  <c r="FR26" i="5"/>
  <c r="EH26" i="5"/>
  <c r="AP26" i="5"/>
  <c r="GK26" i="5"/>
  <c r="FE26" i="5"/>
  <c r="DY26" i="5"/>
  <c r="CS26" i="5"/>
  <c r="BM26" i="5"/>
  <c r="AG26" i="5"/>
  <c r="FG26" i="5"/>
  <c r="CU26" i="5"/>
  <c r="AA26" i="5"/>
  <c r="FT26" i="5"/>
  <c r="EN26" i="5"/>
  <c r="CR26" i="5"/>
  <c r="AV26" i="5"/>
  <c r="GM26" i="5"/>
  <c r="EE26" i="5"/>
  <c r="BS26" i="5"/>
  <c r="BL26" i="5"/>
  <c r="GI26" i="5"/>
  <c r="CQ26" i="5"/>
  <c r="BK26" i="5"/>
  <c r="GL26" i="5"/>
  <c r="FV26" i="5"/>
  <c r="FF26" i="5"/>
  <c r="EP26" i="5"/>
  <c r="CX26" i="5"/>
  <c r="BB26" i="5"/>
  <c r="GO26" i="5"/>
  <c r="FY26" i="5"/>
  <c r="FI26" i="5"/>
  <c r="ES26" i="5"/>
  <c r="EC26" i="5"/>
  <c r="DM26" i="5"/>
  <c r="CW26" i="5"/>
  <c r="CG26" i="5"/>
  <c r="BQ26" i="5"/>
  <c r="BA26" i="5"/>
  <c r="AK26" i="5"/>
  <c r="FO26" i="5"/>
  <c r="EI26" i="5"/>
  <c r="DC26" i="5"/>
  <c r="BW26" i="5"/>
  <c r="AQ26" i="5"/>
  <c r="GN26" i="5"/>
  <c r="FX26" i="5"/>
  <c r="FH26" i="5"/>
  <c r="ER26" i="5"/>
  <c r="DT26" i="5"/>
  <c r="CV26" i="5"/>
  <c r="BX26" i="5"/>
  <c r="AZ26" i="5"/>
  <c r="AB26" i="5"/>
  <c r="GQ26" i="5"/>
  <c r="FS26" i="5"/>
  <c r="EM26" i="5"/>
  <c r="DG26" i="5"/>
  <c r="CA26" i="5"/>
  <c r="AU26" i="5"/>
  <c r="GH26" i="5"/>
  <c r="FB26" i="5"/>
  <c r="CL26" i="5"/>
  <c r="FU26" i="5"/>
  <c r="EO26" i="5"/>
  <c r="DI26" i="5"/>
  <c r="CC26" i="5"/>
  <c r="AW26" i="5"/>
  <c r="EA26" i="5"/>
  <c r="BO26" i="5"/>
  <c r="GJ26" i="5"/>
  <c r="FD26" i="5"/>
  <c r="DP26" i="5"/>
  <c r="BT26" i="5"/>
  <c r="X26" i="5"/>
  <c r="FK26" i="5"/>
  <c r="CY26" i="5"/>
  <c r="AM26" i="5"/>
  <c r="AN26" i="5"/>
  <c r="DW26" i="5"/>
  <c r="AE26" i="5"/>
  <c r="DR26" i="5"/>
  <c r="AI26" i="5"/>
  <c r="EJ26" i="5"/>
  <c r="DL26" i="5"/>
  <c r="C26" i="5"/>
  <c r="DZ26" i="5"/>
  <c r="EL26" i="5"/>
  <c r="DN26" i="5"/>
  <c r="E12" i="5"/>
  <c r="H11" i="5"/>
  <c r="AD56" i="3"/>
  <c r="AD115" i="3"/>
  <c r="AD20" i="3"/>
  <c r="CN26" i="5" s="1"/>
  <c r="AD142" i="3"/>
  <c r="AD16" i="3"/>
  <c r="BP26" i="5" s="1"/>
  <c r="AD140" i="3"/>
  <c r="AD119" i="3"/>
  <c r="AD12" i="3"/>
  <c r="AR26" i="5" s="1"/>
  <c r="AD138" i="3"/>
  <c r="AD8" i="3"/>
  <c r="T26" i="5" s="1"/>
  <c r="AD136" i="3"/>
  <c r="AD143" i="3"/>
  <c r="AD19" i="3"/>
  <c r="CH26" i="5" s="1"/>
  <c r="AD94" i="3"/>
  <c r="AD62" i="3"/>
  <c r="AD15" i="3"/>
  <c r="BJ26" i="5" s="1"/>
  <c r="AD92" i="3"/>
  <c r="AD60" i="3"/>
  <c r="AD11" i="3"/>
  <c r="AL26" i="5" s="1"/>
  <c r="AD90" i="3"/>
  <c r="AD58" i="3"/>
  <c r="AD7" i="3"/>
  <c r="AD88" i="3"/>
  <c r="AD95" i="3"/>
  <c r="C5" i="7"/>
  <c r="E5" i="8"/>
  <c r="E4" i="8" s="1"/>
  <c r="E3" i="8" s="1"/>
  <c r="C19" i="5"/>
  <c r="C23" i="5"/>
  <c r="H18" i="8"/>
  <c r="C10" i="6"/>
  <c r="M26" i="5" l="1"/>
  <c r="O26" i="5"/>
  <c r="I26" i="5"/>
  <c r="S26" i="5"/>
  <c r="P26" i="5"/>
  <c r="G26" i="5"/>
  <c r="AH26" i="5"/>
  <c r="BR26" i="5"/>
  <c r="AT26" i="5"/>
  <c r="V26" i="5"/>
  <c r="CD26" i="5"/>
  <c r="N26" i="5"/>
  <c r="BF26" i="5"/>
  <c r="C13" i="6"/>
  <c r="E10" i="6"/>
  <c r="H26" i="5"/>
  <c r="E26" i="5"/>
  <c r="DB26" i="5"/>
  <c r="CP26" i="5"/>
  <c r="J26" i="5"/>
  <c r="F12" i="5"/>
  <c r="E14" i="5"/>
  <c r="I11" i="5"/>
  <c r="C6" i="7"/>
  <c r="E6" i="5"/>
  <c r="Y4" i="15" l="1"/>
  <c r="AA4" i="15" s="1"/>
  <c r="AB4" i="15" s="1"/>
  <c r="R4" i="15" s="1"/>
  <c r="C4" i="15" s="1"/>
  <c r="Y5" i="15"/>
  <c r="C21" i="5"/>
  <c r="D21" i="5" s="1"/>
  <c r="E21" i="5" s="1"/>
  <c r="E13" i="6"/>
  <c r="Y4" i="4"/>
  <c r="AA4" i="4" s="1"/>
  <c r="AB4" i="4" s="1"/>
  <c r="C4" i="4" s="1"/>
  <c r="O5" i="4" s="1"/>
  <c r="Y5" i="4"/>
  <c r="F14" i="5"/>
  <c r="J11" i="5"/>
  <c r="D23" i="5"/>
  <c r="C7" i="7"/>
  <c r="F6" i="5"/>
  <c r="Y6" i="15" l="1"/>
  <c r="AA5" i="15"/>
  <c r="AB5" i="15" s="1"/>
  <c r="R5" i="15" s="1"/>
  <c r="O5" i="15"/>
  <c r="E4" i="15"/>
  <c r="H4" i="15" s="1"/>
  <c r="AA5" i="4"/>
  <c r="AB5" i="4" s="1"/>
  <c r="R5" i="4" s="1"/>
  <c r="E4" i="4"/>
  <c r="H4" i="4" s="1"/>
  <c r="P6" i="4"/>
  <c r="H12" i="5"/>
  <c r="G14" i="5"/>
  <c r="K11" i="5"/>
  <c r="C8" i="7"/>
  <c r="F21" i="5"/>
  <c r="E23" i="5"/>
  <c r="C24" i="5"/>
  <c r="G6" i="5"/>
  <c r="C5" i="15" l="1"/>
  <c r="AA6" i="15"/>
  <c r="AB6" i="15" s="1"/>
  <c r="R6" i="15" s="1"/>
  <c r="Y7" i="15"/>
  <c r="C27" i="5"/>
  <c r="C28" i="5" s="1"/>
  <c r="C39" i="5" s="1"/>
  <c r="AA6" i="4"/>
  <c r="AB6" i="4" s="1"/>
  <c r="R6" i="4" s="1"/>
  <c r="Y7" i="4"/>
  <c r="G6" i="4"/>
  <c r="Q7" i="4" s="1"/>
  <c r="F6" i="4"/>
  <c r="C5" i="4"/>
  <c r="I12" i="5"/>
  <c r="H14" i="5"/>
  <c r="L11" i="5"/>
  <c r="C9" i="7"/>
  <c r="G21" i="5"/>
  <c r="F23" i="5"/>
  <c r="C30" i="5"/>
  <c r="H6" i="5"/>
  <c r="Y8" i="15" l="1"/>
  <c r="AA7" i="15"/>
  <c r="AB7" i="15" s="1"/>
  <c r="R7" i="15" s="1"/>
  <c r="E5" i="15"/>
  <c r="H5" i="15" s="1"/>
  <c r="O6" i="15"/>
  <c r="C6" i="15" s="1"/>
  <c r="O6" i="4"/>
  <c r="AI5" i="4"/>
  <c r="Y8" i="4"/>
  <c r="AA7" i="4"/>
  <c r="AB7" i="4" s="1"/>
  <c r="R7" i="4" s="1"/>
  <c r="E5" i="4"/>
  <c r="H5" i="4" s="1"/>
  <c r="AK5" i="4" s="1"/>
  <c r="I14" i="5"/>
  <c r="M11" i="5"/>
  <c r="H21" i="5"/>
  <c r="G23" i="5"/>
  <c r="C10" i="7"/>
  <c r="I6" i="5"/>
  <c r="O7" i="15" l="1"/>
  <c r="E6" i="15"/>
  <c r="H6" i="15" s="1"/>
  <c r="C7" i="15"/>
  <c r="AA8" i="15"/>
  <c r="AB8" i="15" s="1"/>
  <c r="R8" i="15" s="1"/>
  <c r="Y9" i="15"/>
  <c r="Y9" i="4"/>
  <c r="AA8" i="4"/>
  <c r="AB8" i="4" s="1"/>
  <c r="R8" i="4" s="1"/>
  <c r="P7" i="4"/>
  <c r="C6" i="4"/>
  <c r="J14" i="5"/>
  <c r="C11" i="7"/>
  <c r="I21" i="5"/>
  <c r="H23" i="5"/>
  <c r="J6" i="5"/>
  <c r="O8" i="15" l="1"/>
  <c r="C8" i="15" s="1"/>
  <c r="E7" i="15"/>
  <c r="H7" i="15" s="1"/>
  <c r="Y10" i="15"/>
  <c r="AA9" i="15"/>
  <c r="AB9" i="15" s="1"/>
  <c r="R9" i="15" s="1"/>
  <c r="O7" i="4"/>
  <c r="AI6" i="4"/>
  <c r="Y10" i="4"/>
  <c r="AA9" i="4"/>
  <c r="AB9" i="4" s="1"/>
  <c r="R9" i="4" s="1"/>
  <c r="G7" i="4"/>
  <c r="Q8" i="4" s="1"/>
  <c r="F7" i="4"/>
  <c r="E6" i="4"/>
  <c r="H6" i="4" s="1"/>
  <c r="AK6" i="4" s="1"/>
  <c r="K14" i="5"/>
  <c r="C12" i="7"/>
  <c r="J21" i="5"/>
  <c r="I23" i="5"/>
  <c r="K6" i="5"/>
  <c r="Y11" i="15" l="1"/>
  <c r="AA10" i="15"/>
  <c r="AB10" i="15" s="1"/>
  <c r="R10" i="15" s="1"/>
  <c r="O9" i="15"/>
  <c r="C9" i="15" s="1"/>
  <c r="E8" i="15"/>
  <c r="H8" i="15" s="1"/>
  <c r="Y11" i="4"/>
  <c r="AA10" i="4"/>
  <c r="AB10" i="4" s="1"/>
  <c r="J10" i="4" s="1"/>
  <c r="C7" i="4"/>
  <c r="AI7" i="4" s="1"/>
  <c r="P8" i="4"/>
  <c r="G8" i="4" s="1"/>
  <c r="Q9" i="4" s="1"/>
  <c r="L14" i="5"/>
  <c r="P11" i="5"/>
  <c r="Q11" i="5" s="1"/>
  <c r="C13" i="7"/>
  <c r="K21" i="5"/>
  <c r="J23" i="5"/>
  <c r="L6" i="5"/>
  <c r="O10" i="15" l="1"/>
  <c r="E9" i="15"/>
  <c r="H9" i="15" s="1"/>
  <c r="C10" i="15"/>
  <c r="Y12" i="15"/>
  <c r="AA11" i="15"/>
  <c r="AB11" i="15" s="1"/>
  <c r="R11" i="15" s="1"/>
  <c r="R10" i="4"/>
  <c r="I10" i="4"/>
  <c r="N10" i="4"/>
  <c r="M11" i="4" s="1"/>
  <c r="Y12" i="4"/>
  <c r="AA11" i="4"/>
  <c r="AB11" i="4" s="1"/>
  <c r="F8" i="4"/>
  <c r="O8" i="4"/>
  <c r="C8" i="4" s="1"/>
  <c r="E7" i="4"/>
  <c r="H7" i="4" s="1"/>
  <c r="AK7" i="4" s="1"/>
  <c r="N12" i="5"/>
  <c r="M14" i="5"/>
  <c r="C14" i="7"/>
  <c r="L21" i="5"/>
  <c r="K23" i="5"/>
  <c r="M6" i="5"/>
  <c r="Y13" i="15" l="1"/>
  <c r="AA12" i="15"/>
  <c r="AB12" i="15" s="1"/>
  <c r="R12" i="15" s="1"/>
  <c r="O11" i="15"/>
  <c r="C11" i="15" s="1"/>
  <c r="E10" i="15"/>
  <c r="H10" i="15" s="1"/>
  <c r="O9" i="4"/>
  <c r="C9" i="4" s="1"/>
  <c r="AI8" i="4"/>
  <c r="J11" i="4"/>
  <c r="Y13" i="4"/>
  <c r="AA12" i="4"/>
  <c r="AB12" i="4" s="1"/>
  <c r="P9" i="4"/>
  <c r="E8" i="4"/>
  <c r="H8" i="4" s="1"/>
  <c r="AK8" i="4" s="1"/>
  <c r="N14" i="5"/>
  <c r="R11" i="5"/>
  <c r="M21" i="5"/>
  <c r="L23" i="5"/>
  <c r="C15" i="7"/>
  <c r="N6" i="5"/>
  <c r="O5" i="5"/>
  <c r="O12" i="15" l="1"/>
  <c r="C12" i="15" s="1"/>
  <c r="E11" i="15"/>
  <c r="H11" i="15" s="1"/>
  <c r="AA13" i="15"/>
  <c r="AB13" i="15" s="1"/>
  <c r="R13" i="15" s="1"/>
  <c r="Y14" i="15"/>
  <c r="I11" i="4"/>
  <c r="N11" i="4"/>
  <c r="M12" i="4" s="1"/>
  <c r="R11" i="4"/>
  <c r="J12" i="4"/>
  <c r="R12" i="4" s="1"/>
  <c r="O10" i="4"/>
  <c r="C10" i="4" s="1"/>
  <c r="O11" i="4" s="1"/>
  <c r="AI9" i="4"/>
  <c r="Y14" i="4"/>
  <c r="AA13" i="4"/>
  <c r="AB13" i="4" s="1"/>
  <c r="G9" i="4"/>
  <c r="Q10" i="4" s="1"/>
  <c r="F9" i="4"/>
  <c r="E9" i="4"/>
  <c r="P12" i="5"/>
  <c r="O14" i="5"/>
  <c r="C16" i="7"/>
  <c r="O6" i="5"/>
  <c r="P5" i="5"/>
  <c r="N21" i="5"/>
  <c r="M23" i="5"/>
  <c r="Y15" i="15" l="1"/>
  <c r="AA14" i="15"/>
  <c r="AB14" i="15" s="1"/>
  <c r="R14" i="15" s="1"/>
  <c r="O13" i="15"/>
  <c r="C13" i="15" s="1"/>
  <c r="E12" i="15"/>
  <c r="H12" i="15" s="1"/>
  <c r="J13" i="4"/>
  <c r="I12" i="4"/>
  <c r="N12" i="4"/>
  <c r="M13" i="4" s="1"/>
  <c r="H9" i="4"/>
  <c r="AK9" i="4" s="1"/>
  <c r="Y15" i="4"/>
  <c r="AA14" i="4"/>
  <c r="AB14" i="4" s="1"/>
  <c r="E10" i="4"/>
  <c r="P10" i="4"/>
  <c r="G10" i="4" s="1"/>
  <c r="Q11" i="4" s="1"/>
  <c r="C11" i="4"/>
  <c r="O12" i="4" s="1"/>
  <c r="Q12" i="5"/>
  <c r="P14" i="5"/>
  <c r="O21" i="5"/>
  <c r="N23" i="5"/>
  <c r="C51" i="5"/>
  <c r="C17" i="7"/>
  <c r="Q5" i="5"/>
  <c r="P6" i="5"/>
  <c r="O14" i="15" l="1"/>
  <c r="C14" i="15" s="1"/>
  <c r="E13" i="15"/>
  <c r="H13" i="15" s="1"/>
  <c r="Y16" i="15"/>
  <c r="AA15" i="15"/>
  <c r="AB15" i="15" s="1"/>
  <c r="R15" i="15" s="1"/>
  <c r="J14" i="4"/>
  <c r="C12" i="4"/>
  <c r="O13" i="4" s="1"/>
  <c r="I13" i="4"/>
  <c r="N13" i="4"/>
  <c r="M14" i="4" s="1"/>
  <c r="R13" i="4"/>
  <c r="Y16" i="4"/>
  <c r="AA15" i="4"/>
  <c r="AB15" i="4" s="1"/>
  <c r="E11" i="4"/>
  <c r="F10" i="4"/>
  <c r="R12" i="5"/>
  <c r="Q14" i="5"/>
  <c r="R5" i="5"/>
  <c r="Q6" i="5"/>
  <c r="P21" i="5"/>
  <c r="O23" i="5"/>
  <c r="P5" i="16" s="1"/>
  <c r="P14" i="16" s="1"/>
  <c r="D27" i="16" s="1"/>
  <c r="D51" i="5"/>
  <c r="C18" i="7"/>
  <c r="E12" i="4" l="1"/>
  <c r="E27" i="16"/>
  <c r="F27" i="16" s="1"/>
  <c r="G27" i="16" s="1"/>
  <c r="H27" i="16" s="1"/>
  <c r="I27" i="16" s="1"/>
  <c r="J27" i="16" s="1"/>
  <c r="K27" i="16" s="1"/>
  <c r="L27" i="16" s="1"/>
  <c r="M27" i="16" s="1"/>
  <c r="N27" i="16" s="1"/>
  <c r="O27" i="16" s="1"/>
  <c r="P27" i="16" s="1"/>
  <c r="Q27" i="16" s="1"/>
  <c r="R27" i="16" s="1"/>
  <c r="S27" i="16" s="1"/>
  <c r="T27" i="16" s="1"/>
  <c r="U27" i="16" s="1"/>
  <c r="V27" i="16" s="1"/>
  <c r="W27" i="16" s="1"/>
  <c r="D28" i="16"/>
  <c r="AA16" i="15"/>
  <c r="AB16" i="15" s="1"/>
  <c r="R16" i="15" s="1"/>
  <c r="Y17" i="15"/>
  <c r="E14" i="15"/>
  <c r="H14" i="15" s="1"/>
  <c r="O15" i="15"/>
  <c r="C15" i="15" s="1"/>
  <c r="C13" i="4"/>
  <c r="O14" i="4" s="1"/>
  <c r="J15" i="4"/>
  <c r="I14" i="4"/>
  <c r="N14" i="4"/>
  <c r="M15" i="4" s="1"/>
  <c r="R14" i="4"/>
  <c r="Y17" i="4"/>
  <c r="AA16" i="4"/>
  <c r="AB16" i="4" s="1"/>
  <c r="H10" i="4"/>
  <c r="AK10" i="4" s="1"/>
  <c r="P11" i="4"/>
  <c r="G11" i="4" s="1"/>
  <c r="Q12" i="4" s="1"/>
  <c r="S12" i="5"/>
  <c r="R14" i="5"/>
  <c r="Q21" i="5"/>
  <c r="P23" i="5"/>
  <c r="E51" i="5"/>
  <c r="C19" i="7"/>
  <c r="S5" i="5"/>
  <c r="R6" i="5"/>
  <c r="E15" i="15" l="1"/>
  <c r="H15" i="15" s="1"/>
  <c r="O16" i="15"/>
  <c r="C16" i="15" s="1"/>
  <c r="E13" i="4"/>
  <c r="AA17" i="15"/>
  <c r="AB17" i="15" s="1"/>
  <c r="R17" i="15" s="1"/>
  <c r="Y18" i="15"/>
  <c r="J16" i="4"/>
  <c r="C14" i="4"/>
  <c r="O15" i="4" s="1"/>
  <c r="I15" i="4"/>
  <c r="N15" i="4"/>
  <c r="M16" i="4" s="1"/>
  <c r="R15" i="4"/>
  <c r="Y18" i="4"/>
  <c r="AA17" i="4"/>
  <c r="AB17" i="4" s="1"/>
  <c r="F11" i="4"/>
  <c r="T12" i="5"/>
  <c r="S14" i="5"/>
  <c r="C20" i="7"/>
  <c r="T5" i="5"/>
  <c r="S6" i="5"/>
  <c r="R21" i="5"/>
  <c r="Q23" i="5"/>
  <c r="F51" i="5"/>
  <c r="O17" i="15" l="1"/>
  <c r="C17" i="15"/>
  <c r="E16" i="15"/>
  <c r="H16" i="15" s="1"/>
  <c r="AA18" i="15"/>
  <c r="AB18" i="15" s="1"/>
  <c r="R18" i="15" s="1"/>
  <c r="Y19" i="15"/>
  <c r="J17" i="4"/>
  <c r="I16" i="4"/>
  <c r="N16" i="4"/>
  <c r="M17" i="4" s="1"/>
  <c r="C15" i="4"/>
  <c r="O16" i="4" s="1"/>
  <c r="E14" i="4"/>
  <c r="R16" i="4"/>
  <c r="Y19" i="4"/>
  <c r="AA18" i="4"/>
  <c r="AB18" i="4" s="1"/>
  <c r="H11" i="4"/>
  <c r="AK11" i="4" s="1"/>
  <c r="P12" i="4"/>
  <c r="G12" i="4" s="1"/>
  <c r="Q13" i="4" s="1"/>
  <c r="U12" i="5"/>
  <c r="T14" i="5"/>
  <c r="X11" i="5"/>
  <c r="C21" i="7"/>
  <c r="S21" i="5"/>
  <c r="R23" i="5"/>
  <c r="G51" i="5"/>
  <c r="U5" i="5"/>
  <c r="T6" i="5"/>
  <c r="E17" i="15" l="1"/>
  <c r="H17" i="15" s="1"/>
  <c r="O18" i="15"/>
  <c r="C18" i="15" s="1"/>
  <c r="AA19" i="15"/>
  <c r="AB19" i="15" s="1"/>
  <c r="R19" i="15" s="1"/>
  <c r="Y20" i="15"/>
  <c r="E15" i="4"/>
  <c r="I17" i="4"/>
  <c r="N17" i="4"/>
  <c r="M18" i="4" s="1"/>
  <c r="C16" i="4"/>
  <c r="O17" i="4" s="1"/>
  <c r="J18" i="4"/>
  <c r="R18" i="4" s="1"/>
  <c r="R17" i="4"/>
  <c r="Y20" i="4"/>
  <c r="AA19" i="4"/>
  <c r="AB19" i="4" s="1"/>
  <c r="F12" i="4"/>
  <c r="V12" i="5"/>
  <c r="U14" i="5"/>
  <c r="Y11" i="5"/>
  <c r="T21" i="5"/>
  <c r="S23" i="5"/>
  <c r="H51" i="5"/>
  <c r="U6" i="5"/>
  <c r="V5" i="5"/>
  <c r="C22" i="7"/>
  <c r="E18" i="15" l="1"/>
  <c r="H18" i="15" s="1"/>
  <c r="O19" i="15"/>
  <c r="C19" i="15" s="1"/>
  <c r="AA20" i="15"/>
  <c r="AB20" i="15" s="1"/>
  <c r="R20" i="15" s="1"/>
  <c r="Y21" i="15"/>
  <c r="C17" i="4"/>
  <c r="O18" i="4" s="1"/>
  <c r="E16" i="4"/>
  <c r="J19" i="4"/>
  <c r="I18" i="4"/>
  <c r="N18" i="4"/>
  <c r="M19" i="4" s="1"/>
  <c r="Y21" i="4"/>
  <c r="AA20" i="4"/>
  <c r="AB20" i="4" s="1"/>
  <c r="H12" i="4"/>
  <c r="AK12" i="4" s="1"/>
  <c r="P13" i="4"/>
  <c r="G13" i="4" s="1"/>
  <c r="Q14" i="4" s="1"/>
  <c r="W12" i="5"/>
  <c r="V14" i="5"/>
  <c r="Z11" i="5"/>
  <c r="U21" i="5"/>
  <c r="T23" i="5"/>
  <c r="I51" i="5"/>
  <c r="C23" i="7"/>
  <c r="W5" i="5"/>
  <c r="V6" i="5"/>
  <c r="Y22" i="15" l="1"/>
  <c r="AA21" i="15"/>
  <c r="AB21" i="15" s="1"/>
  <c r="R21" i="15" s="1"/>
  <c r="E17" i="4"/>
  <c r="O20" i="15"/>
  <c r="C20" i="15" s="1"/>
  <c r="E19" i="15"/>
  <c r="H19" i="15" s="1"/>
  <c r="I19" i="4"/>
  <c r="N19" i="4"/>
  <c r="M20" i="4" s="1"/>
  <c r="J20" i="4"/>
  <c r="R20" i="4" s="1"/>
  <c r="C18" i="4"/>
  <c r="O19" i="4" s="1"/>
  <c r="R19" i="4"/>
  <c r="Y22" i="4"/>
  <c r="AA21" i="4"/>
  <c r="AB21" i="4" s="1"/>
  <c r="F13" i="4"/>
  <c r="X12" i="5"/>
  <c r="W14" i="5"/>
  <c r="AA11" i="5"/>
  <c r="V21" i="5"/>
  <c r="U23" i="5"/>
  <c r="J51" i="5"/>
  <c r="C24" i="7"/>
  <c r="X5" i="5"/>
  <c r="W6" i="5"/>
  <c r="O21" i="15" l="1"/>
  <c r="C21" i="15" s="1"/>
  <c r="E20" i="15"/>
  <c r="H20" i="15" s="1"/>
  <c r="E18" i="4"/>
  <c r="C19" i="4"/>
  <c r="O20" i="4" s="1"/>
  <c r="AA22" i="15"/>
  <c r="AB22" i="15" s="1"/>
  <c r="R22" i="15" s="1"/>
  <c r="Y23" i="15"/>
  <c r="J21" i="4"/>
  <c r="I20" i="4"/>
  <c r="N20" i="4"/>
  <c r="M21" i="4" s="1"/>
  <c r="Y23" i="4"/>
  <c r="AA22" i="4"/>
  <c r="AB22" i="4" s="1"/>
  <c r="H13" i="4"/>
  <c r="AK13" i="4" s="1"/>
  <c r="P14" i="4"/>
  <c r="G14" i="4" s="1"/>
  <c r="Q15" i="4" s="1"/>
  <c r="Y12" i="5"/>
  <c r="X14" i="5"/>
  <c r="AB11" i="5"/>
  <c r="Y5" i="5"/>
  <c r="X6" i="5"/>
  <c r="W21" i="5"/>
  <c r="V23" i="5"/>
  <c r="K51" i="5"/>
  <c r="C25" i="7"/>
  <c r="E19" i="4" l="1"/>
  <c r="AA23" i="15"/>
  <c r="AB23" i="15" s="1"/>
  <c r="R23" i="15" s="1"/>
  <c r="Y24" i="15"/>
  <c r="O22" i="15"/>
  <c r="C22" i="15" s="1"/>
  <c r="E21" i="15"/>
  <c r="H21" i="15" s="1"/>
  <c r="J22" i="4"/>
  <c r="C20" i="4"/>
  <c r="O21" i="4" s="1"/>
  <c r="I21" i="4"/>
  <c r="N21" i="4"/>
  <c r="M22" i="4" s="1"/>
  <c r="R21" i="4"/>
  <c r="Y24" i="4"/>
  <c r="AA23" i="4"/>
  <c r="AB23" i="4" s="1"/>
  <c r="F14" i="4"/>
  <c r="Z12" i="5"/>
  <c r="Y14" i="5"/>
  <c r="AC11" i="5"/>
  <c r="C26" i="7"/>
  <c r="X21" i="5"/>
  <c r="W23" i="5"/>
  <c r="L51" i="5"/>
  <c r="Y6" i="5"/>
  <c r="Z5" i="5"/>
  <c r="E20" i="4" l="1"/>
  <c r="C21" i="4"/>
  <c r="O22" i="4" s="1"/>
  <c r="E22" i="15"/>
  <c r="H22" i="15" s="1"/>
  <c r="O23" i="15"/>
  <c r="C23" i="15" s="1"/>
  <c r="Y25" i="15"/>
  <c r="AA24" i="15"/>
  <c r="AB24" i="15" s="1"/>
  <c r="R24" i="15" s="1"/>
  <c r="J23" i="4"/>
  <c r="I22" i="4"/>
  <c r="N22" i="4"/>
  <c r="M23" i="4" s="1"/>
  <c r="R22" i="4"/>
  <c r="Y25" i="4"/>
  <c r="AA24" i="4"/>
  <c r="AB24" i="4" s="1"/>
  <c r="H14" i="4"/>
  <c r="AK14" i="4" s="1"/>
  <c r="P15" i="4"/>
  <c r="G15" i="4" s="1"/>
  <c r="Q16" i="4" s="1"/>
  <c r="AA12" i="5"/>
  <c r="Z14" i="5"/>
  <c r="AD11" i="5"/>
  <c r="Z6" i="5"/>
  <c r="AA5" i="5"/>
  <c r="C27" i="7"/>
  <c r="Y21" i="5"/>
  <c r="X23" i="5"/>
  <c r="M51" i="5"/>
  <c r="E21" i="4" l="1"/>
  <c r="E23" i="15"/>
  <c r="H23" i="15" s="1"/>
  <c r="O24" i="15"/>
  <c r="C24" i="15" s="1"/>
  <c r="C22" i="4"/>
  <c r="O23" i="4" s="1"/>
  <c r="Y26" i="15"/>
  <c r="AA25" i="15"/>
  <c r="AB25" i="15" s="1"/>
  <c r="R25" i="15" s="1"/>
  <c r="I23" i="4"/>
  <c r="N23" i="4"/>
  <c r="M24" i="4" s="1"/>
  <c r="J24" i="4"/>
  <c r="R23" i="4"/>
  <c r="Y26" i="4"/>
  <c r="AA25" i="4"/>
  <c r="AB25" i="4" s="1"/>
  <c r="F15" i="4"/>
  <c r="AB12" i="5"/>
  <c r="AA14" i="5"/>
  <c r="AB5" i="5"/>
  <c r="AA6" i="5"/>
  <c r="C28" i="7"/>
  <c r="Z21" i="5"/>
  <c r="Y23" i="5"/>
  <c r="N51" i="5"/>
  <c r="E22" i="4" l="1"/>
  <c r="Y27" i="15"/>
  <c r="AA26" i="15"/>
  <c r="AB26" i="15" s="1"/>
  <c r="R26" i="15" s="1"/>
  <c r="O25" i="15"/>
  <c r="C25" i="15" s="1"/>
  <c r="E24" i="15"/>
  <c r="H24" i="15" s="1"/>
  <c r="I24" i="4"/>
  <c r="N24" i="4"/>
  <c r="M25" i="4" s="1"/>
  <c r="J25" i="4"/>
  <c r="R25" i="4" s="1"/>
  <c r="R24" i="4"/>
  <c r="C23" i="4"/>
  <c r="O24" i="4" s="1"/>
  <c r="Y27" i="4"/>
  <c r="AA26" i="4"/>
  <c r="AB26" i="4" s="1"/>
  <c r="H15" i="4"/>
  <c r="AK15" i="4" s="1"/>
  <c r="P16" i="4"/>
  <c r="G16" i="4" s="1"/>
  <c r="Q17" i="4" s="1"/>
  <c r="AC12" i="5"/>
  <c r="AB14" i="5"/>
  <c r="C29" i="7"/>
  <c r="AA21" i="5"/>
  <c r="Z23" i="5"/>
  <c r="O51" i="5"/>
  <c r="U2" i="10" s="1"/>
  <c r="AC5" i="5"/>
  <c r="AB6" i="5"/>
  <c r="P93" i="10" l="1"/>
  <c r="P154" i="10"/>
  <c r="P103" i="10"/>
  <c r="P101" i="10"/>
  <c r="P15" i="10"/>
  <c r="P30" i="10"/>
  <c r="P80" i="10"/>
  <c r="P67" i="10"/>
  <c r="P166" i="10"/>
  <c r="P188" i="10"/>
  <c r="P62" i="10"/>
  <c r="P112" i="10"/>
  <c r="P41" i="10"/>
  <c r="P113" i="10"/>
  <c r="P52" i="10"/>
  <c r="P94" i="10"/>
  <c r="P42" i="10"/>
  <c r="P12" i="10"/>
  <c r="R12" i="10" s="1"/>
  <c r="P55" i="10"/>
  <c r="P125" i="10"/>
  <c r="P44" i="10"/>
  <c r="P120" i="10"/>
  <c r="P95" i="10"/>
  <c r="P124" i="10"/>
  <c r="P153" i="10"/>
  <c r="P177" i="10"/>
  <c r="P169" i="10"/>
  <c r="P33" i="10"/>
  <c r="P116" i="10"/>
  <c r="P51" i="10"/>
  <c r="P104" i="10"/>
  <c r="P47" i="10"/>
  <c r="P151" i="10"/>
  <c r="P135" i="10"/>
  <c r="P35" i="10"/>
  <c r="P34" i="10"/>
  <c r="P131" i="10"/>
  <c r="P97" i="10"/>
  <c r="P77" i="10"/>
  <c r="P132" i="10"/>
  <c r="P185" i="10"/>
  <c r="P61" i="10"/>
  <c r="P38" i="10"/>
  <c r="P84" i="10"/>
  <c r="P161" i="10"/>
  <c r="P40" i="10"/>
  <c r="P183" i="10"/>
  <c r="R2" i="10"/>
  <c r="P59" i="10"/>
  <c r="P202" i="10"/>
  <c r="P43" i="10"/>
  <c r="P168" i="10"/>
  <c r="P82" i="10"/>
  <c r="P152" i="10"/>
  <c r="P199" i="10"/>
  <c r="P193" i="10"/>
  <c r="P119" i="10"/>
  <c r="P192" i="10"/>
  <c r="P130" i="10"/>
  <c r="P73" i="10"/>
  <c r="P122" i="10"/>
  <c r="P175" i="10"/>
  <c r="P207" i="10"/>
  <c r="P186" i="10"/>
  <c r="P147" i="10"/>
  <c r="P197" i="10"/>
  <c r="P204" i="10"/>
  <c r="P133" i="10"/>
  <c r="P78" i="10"/>
  <c r="P157" i="10"/>
  <c r="P190" i="10"/>
  <c r="P37" i="10"/>
  <c r="P105" i="10"/>
  <c r="P142" i="10"/>
  <c r="P108" i="10"/>
  <c r="P81" i="10"/>
  <c r="P155" i="10"/>
  <c r="P99" i="10"/>
  <c r="P98" i="10"/>
  <c r="P141" i="10"/>
  <c r="P209" i="10"/>
  <c r="P128" i="10"/>
  <c r="P123" i="10"/>
  <c r="P64" i="10"/>
  <c r="P136" i="10"/>
  <c r="P201" i="10"/>
  <c r="P106" i="10"/>
  <c r="P13" i="10"/>
  <c r="P117" i="10"/>
  <c r="P159" i="10"/>
  <c r="P156" i="10"/>
  <c r="P48" i="10"/>
  <c r="P110" i="10"/>
  <c r="P158" i="10"/>
  <c r="P210" i="10"/>
  <c r="P182" i="10"/>
  <c r="P92" i="10"/>
  <c r="P46" i="10"/>
  <c r="P50" i="10"/>
  <c r="P87" i="10"/>
  <c r="P109" i="10"/>
  <c r="P27" i="10"/>
  <c r="P115" i="10"/>
  <c r="P39" i="10"/>
  <c r="P196" i="10"/>
  <c r="P29" i="10"/>
  <c r="P118" i="10"/>
  <c r="P194" i="10"/>
  <c r="P167" i="10"/>
  <c r="P16" i="10"/>
  <c r="P53" i="10"/>
  <c r="P173" i="10"/>
  <c r="P176" i="10"/>
  <c r="P85" i="10"/>
  <c r="P140" i="10"/>
  <c r="P54" i="10"/>
  <c r="P49" i="10"/>
  <c r="P184" i="10"/>
  <c r="P150" i="10"/>
  <c r="P137" i="10"/>
  <c r="P179" i="10"/>
  <c r="P178" i="10"/>
  <c r="P28" i="10"/>
  <c r="P198" i="10"/>
  <c r="P134" i="10"/>
  <c r="P57" i="10"/>
  <c r="P126" i="10"/>
  <c r="P191" i="10"/>
  <c r="P66" i="10"/>
  <c r="P60" i="10"/>
  <c r="P208" i="10"/>
  <c r="P86" i="10"/>
  <c r="P164" i="10"/>
  <c r="P100" i="10"/>
  <c r="P162" i="10"/>
  <c r="P32" i="10"/>
  <c r="P127" i="10"/>
  <c r="P107" i="10"/>
  <c r="P45" i="10"/>
  <c r="P138" i="10"/>
  <c r="P139" i="10"/>
  <c r="P121" i="10"/>
  <c r="P69" i="10"/>
  <c r="P149" i="10"/>
  <c r="P165" i="10"/>
  <c r="P148" i="10"/>
  <c r="P91" i="10"/>
  <c r="P58" i="10"/>
  <c r="P143" i="10"/>
  <c r="P181" i="10"/>
  <c r="P90" i="10"/>
  <c r="P88" i="10"/>
  <c r="P79" i="10"/>
  <c r="P187" i="10"/>
  <c r="P160" i="10"/>
  <c r="P68" i="10"/>
  <c r="P163" i="10"/>
  <c r="P89" i="10"/>
  <c r="P111" i="10"/>
  <c r="P71" i="10"/>
  <c r="P96" i="10"/>
  <c r="P206" i="10"/>
  <c r="P172" i="10"/>
  <c r="P170" i="10"/>
  <c r="P174" i="10"/>
  <c r="P102" i="10"/>
  <c r="P76" i="10"/>
  <c r="P26" i="10"/>
  <c r="P14" i="10"/>
  <c r="P74" i="10"/>
  <c r="P56" i="10"/>
  <c r="P171" i="10"/>
  <c r="P205" i="10"/>
  <c r="P75" i="10"/>
  <c r="P180" i="10"/>
  <c r="P63" i="10"/>
  <c r="P70" i="10"/>
  <c r="P200" i="10"/>
  <c r="P203" i="10"/>
  <c r="P72" i="10"/>
  <c r="P145" i="10"/>
  <c r="P129" i="10"/>
  <c r="P189" i="10"/>
  <c r="P195" i="10"/>
  <c r="P31" i="10"/>
  <c r="P146" i="10"/>
  <c r="P144" i="10"/>
  <c r="P114" i="10"/>
  <c r="P65" i="10"/>
  <c r="P83" i="10"/>
  <c r="C24" i="4"/>
  <c r="O25" i="4" s="1"/>
  <c r="E25" i="15"/>
  <c r="H25" i="15" s="1"/>
  <c r="O26" i="15"/>
  <c r="C26" i="15" s="1"/>
  <c r="E23" i="4"/>
  <c r="AA27" i="15"/>
  <c r="AB27" i="15" s="1"/>
  <c r="R27" i="15" s="1"/>
  <c r="Y28" i="15"/>
  <c r="I25" i="4"/>
  <c r="N25" i="4"/>
  <c r="M26" i="4" s="1"/>
  <c r="J26" i="4"/>
  <c r="R26" i="4" s="1"/>
  <c r="Y28" i="4"/>
  <c r="AA27" i="4"/>
  <c r="AB27" i="4" s="1"/>
  <c r="F16" i="4"/>
  <c r="AD12" i="5"/>
  <c r="AC14" i="5"/>
  <c r="AB21" i="5"/>
  <c r="AA23" i="5"/>
  <c r="P51" i="5"/>
  <c r="AC6" i="5"/>
  <c r="AD5" i="5"/>
  <c r="C30" i="7"/>
  <c r="Q13" i="10" l="1"/>
  <c r="R13" i="10" s="1"/>
  <c r="Q14" i="10" s="1"/>
  <c r="R14" i="10" s="1"/>
  <c r="Q15" i="10" s="1"/>
  <c r="R15" i="10" s="1"/>
  <c r="Q16" i="10" s="1"/>
  <c r="R16" i="10" s="1"/>
  <c r="E24" i="4"/>
  <c r="E26" i="15"/>
  <c r="H26" i="15" s="1"/>
  <c r="O27" i="15"/>
  <c r="C27" i="15" s="1"/>
  <c r="AA28" i="15"/>
  <c r="AB28" i="15" s="1"/>
  <c r="R28" i="15" s="1"/>
  <c r="Y29" i="15"/>
  <c r="I26" i="4"/>
  <c r="N26" i="4"/>
  <c r="M27" i="4" s="1"/>
  <c r="J27" i="4"/>
  <c r="R27" i="4" s="1"/>
  <c r="C25" i="4"/>
  <c r="O26" i="4" s="1"/>
  <c r="Y29" i="4"/>
  <c r="AA28" i="4"/>
  <c r="AB28" i="4" s="1"/>
  <c r="H16" i="4"/>
  <c r="AK16" i="4" s="1"/>
  <c r="P17" i="4"/>
  <c r="G17" i="4" s="1"/>
  <c r="Q18" i="4" s="1"/>
  <c r="AE12" i="5"/>
  <c r="AD14" i="5"/>
  <c r="AD6" i="5"/>
  <c r="AE5" i="5"/>
  <c r="C31" i="7"/>
  <c r="AC21" i="5"/>
  <c r="AB23" i="5"/>
  <c r="Q51" i="5"/>
  <c r="Y30" i="15" l="1"/>
  <c r="AA29" i="15"/>
  <c r="AB29" i="15" s="1"/>
  <c r="R29" i="15" s="1"/>
  <c r="E27" i="15"/>
  <c r="H27" i="15" s="1"/>
  <c r="O28" i="15"/>
  <c r="C28" i="15" s="1"/>
  <c r="E25" i="4"/>
  <c r="C26" i="4"/>
  <c r="O27" i="4" s="1"/>
  <c r="J28" i="4"/>
  <c r="I27" i="4"/>
  <c r="N27" i="4"/>
  <c r="M28" i="4" s="1"/>
  <c r="Y30" i="4"/>
  <c r="AA29" i="4"/>
  <c r="AB29" i="4" s="1"/>
  <c r="F17" i="4"/>
  <c r="AF12" i="5"/>
  <c r="AE14" i="5"/>
  <c r="C32" i="7"/>
  <c r="AD21" i="5"/>
  <c r="AC23" i="5"/>
  <c r="R51" i="5"/>
  <c r="AE6" i="5"/>
  <c r="AF5" i="5"/>
  <c r="E26" i="4" l="1"/>
  <c r="E28" i="15"/>
  <c r="H28" i="15" s="1"/>
  <c r="O29" i="15"/>
  <c r="C29" i="15" s="1"/>
  <c r="AA30" i="15"/>
  <c r="AB30" i="15" s="1"/>
  <c r="R30" i="15" s="1"/>
  <c r="Y31" i="15"/>
  <c r="J29" i="4"/>
  <c r="I28" i="4"/>
  <c r="N28" i="4"/>
  <c r="M29" i="4" s="1"/>
  <c r="C27" i="4"/>
  <c r="O28" i="4" s="1"/>
  <c r="R28" i="4"/>
  <c r="Y31" i="4"/>
  <c r="AA30" i="4"/>
  <c r="AB30" i="4" s="1"/>
  <c r="P18" i="4"/>
  <c r="G18" i="4" s="1"/>
  <c r="Q19" i="4" s="1"/>
  <c r="H17" i="4"/>
  <c r="AK17" i="4" s="1"/>
  <c r="AG12" i="5"/>
  <c r="AF14" i="5"/>
  <c r="AJ11" i="5"/>
  <c r="AE21" i="5"/>
  <c r="AD23" i="5"/>
  <c r="S51" i="5"/>
  <c r="AG5" i="5"/>
  <c r="AF6" i="5"/>
  <c r="C33" i="7"/>
  <c r="Y32" i="15" l="1"/>
  <c r="AA31" i="15"/>
  <c r="AB31" i="15" s="1"/>
  <c r="R31" i="15" s="1"/>
  <c r="E29" i="15"/>
  <c r="H29" i="15" s="1"/>
  <c r="O30" i="15"/>
  <c r="C30" i="15" s="1"/>
  <c r="E27" i="4"/>
  <c r="J30" i="4"/>
  <c r="C28" i="4"/>
  <c r="O29" i="4" s="1"/>
  <c r="I29" i="4"/>
  <c r="N29" i="4"/>
  <c r="M30" i="4" s="1"/>
  <c r="R29" i="4"/>
  <c r="Y32" i="4"/>
  <c r="AA31" i="4"/>
  <c r="AB31" i="4" s="1"/>
  <c r="F18" i="4"/>
  <c r="AH12" i="5"/>
  <c r="AG14" i="5"/>
  <c r="AK11" i="5"/>
  <c r="C34" i="7"/>
  <c r="AH5" i="5"/>
  <c r="AG6" i="5"/>
  <c r="AF21" i="5"/>
  <c r="AE23" i="5"/>
  <c r="T51" i="5"/>
  <c r="E28" i="4" l="1"/>
  <c r="O31" i="15"/>
  <c r="C31" i="15" s="1"/>
  <c r="E30" i="15"/>
  <c r="H30" i="15" s="1"/>
  <c r="C29" i="4"/>
  <c r="O30" i="4" s="1"/>
  <c r="AA32" i="15"/>
  <c r="AB32" i="15" s="1"/>
  <c r="R32" i="15" s="1"/>
  <c r="Y33" i="15"/>
  <c r="J31" i="4"/>
  <c r="I30" i="4"/>
  <c r="N30" i="4"/>
  <c r="M31" i="4" s="1"/>
  <c r="R30" i="4"/>
  <c r="Y33" i="4"/>
  <c r="AA32" i="4"/>
  <c r="AB32" i="4" s="1"/>
  <c r="H18" i="4"/>
  <c r="AK18" i="4" s="1"/>
  <c r="P19" i="4"/>
  <c r="G19" i="4" s="1"/>
  <c r="Q20" i="4" s="1"/>
  <c r="AI12" i="5"/>
  <c r="AH14" i="5"/>
  <c r="AL11" i="5"/>
  <c r="AI5" i="5"/>
  <c r="AH6" i="5"/>
  <c r="AG21" i="5"/>
  <c r="AF23" i="5"/>
  <c r="U51" i="5"/>
  <c r="C35" i="7"/>
  <c r="Y34" i="15" l="1"/>
  <c r="AA33" i="15"/>
  <c r="AB33" i="15" s="1"/>
  <c r="R33" i="15" s="1"/>
  <c r="O32" i="15"/>
  <c r="C32" i="15" s="1"/>
  <c r="E31" i="15"/>
  <c r="H31" i="15" s="1"/>
  <c r="J32" i="4"/>
  <c r="I31" i="4"/>
  <c r="N31" i="4"/>
  <c r="M32" i="4" s="1"/>
  <c r="R31" i="4"/>
  <c r="Y34" i="4"/>
  <c r="AA33" i="4"/>
  <c r="AB33" i="4" s="1"/>
  <c r="F19" i="4"/>
  <c r="AJ12" i="5"/>
  <c r="AI14" i="5"/>
  <c r="AM11" i="5"/>
  <c r="AH21" i="5"/>
  <c r="AG23" i="5"/>
  <c r="V51" i="5"/>
  <c r="C36" i="7"/>
  <c r="AI6" i="5"/>
  <c r="AJ5" i="5"/>
  <c r="C30" i="4"/>
  <c r="O31" i="4" s="1"/>
  <c r="E32" i="15" l="1"/>
  <c r="H32" i="15" s="1"/>
  <c r="O33" i="15"/>
  <c r="C33" i="15" s="1"/>
  <c r="Y35" i="15"/>
  <c r="AA34" i="15"/>
  <c r="AB34" i="15" s="1"/>
  <c r="R34" i="15" s="1"/>
  <c r="J33" i="4"/>
  <c r="I32" i="4"/>
  <c r="N32" i="4"/>
  <c r="M33" i="4" s="1"/>
  <c r="R32" i="4"/>
  <c r="Y35" i="4"/>
  <c r="AA34" i="4"/>
  <c r="AB34" i="4" s="1"/>
  <c r="H19" i="4"/>
  <c r="AK19" i="4" s="1"/>
  <c r="P20" i="4"/>
  <c r="G20" i="4" s="1"/>
  <c r="Q21" i="4" s="1"/>
  <c r="AK12" i="5"/>
  <c r="AJ14" i="5"/>
  <c r="AN11" i="5"/>
  <c r="AK5" i="5"/>
  <c r="AJ6" i="5"/>
  <c r="C37" i="7"/>
  <c r="AI21" i="5"/>
  <c r="AH23" i="5"/>
  <c r="W51" i="5"/>
  <c r="E29" i="4"/>
  <c r="AA35" i="15" l="1"/>
  <c r="AB35" i="15" s="1"/>
  <c r="R35" i="15" s="1"/>
  <c r="Y36" i="15"/>
  <c r="O34" i="15"/>
  <c r="C34" i="15" s="1"/>
  <c r="E33" i="15"/>
  <c r="H33" i="15" s="1"/>
  <c r="I33" i="4"/>
  <c r="N33" i="4"/>
  <c r="M34" i="4" s="1"/>
  <c r="J34" i="4"/>
  <c r="R34" i="4" s="1"/>
  <c r="R33" i="4"/>
  <c r="Y36" i="4"/>
  <c r="AA35" i="4"/>
  <c r="AB35" i="4" s="1"/>
  <c r="F20" i="4"/>
  <c r="AL12" i="5"/>
  <c r="AK14" i="5"/>
  <c r="AO11" i="5"/>
  <c r="C38" i="7"/>
  <c r="AJ21" i="5"/>
  <c r="AI23" i="5"/>
  <c r="X51" i="5"/>
  <c r="AK6" i="5"/>
  <c r="AL5" i="5"/>
  <c r="O35" i="15" l="1"/>
  <c r="C35" i="15" s="1"/>
  <c r="E34" i="15"/>
  <c r="H34" i="15" s="1"/>
  <c r="Y37" i="15"/>
  <c r="AA36" i="15"/>
  <c r="AB36" i="15" s="1"/>
  <c r="R36" i="15" s="1"/>
  <c r="J35" i="4"/>
  <c r="I34" i="4"/>
  <c r="N34" i="4"/>
  <c r="M35" i="4" s="1"/>
  <c r="Y37" i="4"/>
  <c r="AA36" i="4"/>
  <c r="AB36" i="4" s="1"/>
  <c r="H20" i="4"/>
  <c r="AK20" i="4" s="1"/>
  <c r="P21" i="4"/>
  <c r="G21" i="4" s="1"/>
  <c r="Q22" i="4" s="1"/>
  <c r="AM12" i="5"/>
  <c r="AL14" i="5"/>
  <c r="AP11" i="5"/>
  <c r="AK21" i="5"/>
  <c r="AJ23" i="5"/>
  <c r="Y51" i="5"/>
  <c r="AM5" i="5"/>
  <c r="AL6" i="5"/>
  <c r="C39" i="7"/>
  <c r="C31" i="4"/>
  <c r="O32" i="4" s="1"/>
  <c r="Y38" i="15" l="1"/>
  <c r="AA37" i="15"/>
  <c r="AB37" i="15" s="1"/>
  <c r="R37" i="15" s="1"/>
  <c r="O36" i="15"/>
  <c r="C36" i="15" s="1"/>
  <c r="E35" i="15"/>
  <c r="H35" i="15" s="1"/>
  <c r="J36" i="4"/>
  <c r="I35" i="4"/>
  <c r="N35" i="4"/>
  <c r="M36" i="4" s="1"/>
  <c r="R35" i="4"/>
  <c r="Y38" i="4"/>
  <c r="AA37" i="4"/>
  <c r="AB37" i="4" s="1"/>
  <c r="F21" i="4"/>
  <c r="AN12" i="5"/>
  <c r="AM14" i="5"/>
  <c r="AQ11" i="5"/>
  <c r="C40" i="7"/>
  <c r="AL21" i="5"/>
  <c r="AK23" i="5"/>
  <c r="Z51" i="5"/>
  <c r="AN5" i="5"/>
  <c r="AM6" i="5"/>
  <c r="E30" i="4"/>
  <c r="O37" i="15" l="1"/>
  <c r="C37" i="15" s="1"/>
  <c r="E36" i="15"/>
  <c r="H36" i="15" s="1"/>
  <c r="AA38" i="15"/>
  <c r="AB38" i="15" s="1"/>
  <c r="R38" i="15" s="1"/>
  <c r="Y39" i="15"/>
  <c r="J37" i="4"/>
  <c r="R37" i="4" s="1"/>
  <c r="I36" i="4"/>
  <c r="N36" i="4"/>
  <c r="M37" i="4" s="1"/>
  <c r="R36" i="4"/>
  <c r="Y39" i="4"/>
  <c r="AA38" i="4"/>
  <c r="AB38" i="4" s="1"/>
  <c r="H21" i="4"/>
  <c r="AK21" i="4" s="1"/>
  <c r="P22" i="4"/>
  <c r="G22" i="4" s="1"/>
  <c r="Q23" i="4" s="1"/>
  <c r="AO12" i="5"/>
  <c r="AN14" i="5"/>
  <c r="AR11" i="5"/>
  <c r="AM21" i="5"/>
  <c r="AL23" i="5"/>
  <c r="AA51" i="5"/>
  <c r="AN6" i="5"/>
  <c r="AO5" i="5"/>
  <c r="C41" i="7"/>
  <c r="Y40" i="15" l="1"/>
  <c r="AA39" i="15"/>
  <c r="AB39" i="15" s="1"/>
  <c r="R39" i="15" s="1"/>
  <c r="O38" i="15"/>
  <c r="C38" i="15" s="1"/>
  <c r="E37" i="15"/>
  <c r="H37" i="15" s="1"/>
  <c r="J38" i="4"/>
  <c r="I37" i="4"/>
  <c r="N37" i="4"/>
  <c r="M38" i="4" s="1"/>
  <c r="Y40" i="4"/>
  <c r="AA39" i="4"/>
  <c r="AB39" i="4" s="1"/>
  <c r="F22" i="4"/>
  <c r="AP12" i="5"/>
  <c r="AO14" i="5"/>
  <c r="AS11" i="5"/>
  <c r="AO6" i="5"/>
  <c r="AP5" i="5"/>
  <c r="C42" i="7"/>
  <c r="AN21" i="5"/>
  <c r="AM23" i="5"/>
  <c r="AB51" i="5"/>
  <c r="C32" i="4"/>
  <c r="O33" i="4" s="1"/>
  <c r="O39" i="15" l="1"/>
  <c r="C39" i="15" s="1"/>
  <c r="E38" i="15"/>
  <c r="H38" i="15" s="1"/>
  <c r="AA40" i="15"/>
  <c r="AB40" i="15" s="1"/>
  <c r="R40" i="15" s="1"/>
  <c r="Y41" i="15"/>
  <c r="AA41" i="15" s="1"/>
  <c r="AB41" i="15" s="1"/>
  <c r="R41" i="15" s="1"/>
  <c r="J39" i="4"/>
  <c r="I38" i="4"/>
  <c r="N38" i="4"/>
  <c r="M39" i="4" s="1"/>
  <c r="R38" i="4"/>
  <c r="Y41" i="4"/>
  <c r="AA41" i="4" s="1"/>
  <c r="AB41" i="4" s="1"/>
  <c r="AA40" i="4"/>
  <c r="AB40" i="4" s="1"/>
  <c r="H22" i="4"/>
  <c r="AK22" i="4" s="1"/>
  <c r="P23" i="4"/>
  <c r="G23" i="4" s="1"/>
  <c r="Q24" i="4" s="1"/>
  <c r="AQ12" i="5"/>
  <c r="AT11" i="5"/>
  <c r="C43" i="7"/>
  <c r="AO21" i="5"/>
  <c r="AN23" i="5"/>
  <c r="AC51" i="5"/>
  <c r="AQ5" i="5"/>
  <c r="AP6" i="5"/>
  <c r="E31" i="4"/>
  <c r="E39" i="15" l="1"/>
  <c r="H39" i="15" s="1"/>
  <c r="O40" i="15"/>
  <c r="C40" i="15" s="1"/>
  <c r="J40" i="4"/>
  <c r="J41" i="4"/>
  <c r="R41" i="4" s="1"/>
  <c r="I39" i="4"/>
  <c r="N39" i="4"/>
  <c r="M40" i="4" s="1"/>
  <c r="R39" i="4"/>
  <c r="F23" i="4"/>
  <c r="AR12" i="5"/>
  <c r="AU11" i="5"/>
  <c r="AP21" i="5"/>
  <c r="AO23" i="5"/>
  <c r="AD51" i="5"/>
  <c r="AR5" i="5"/>
  <c r="AQ6" i="5"/>
  <c r="C44" i="7"/>
  <c r="E40" i="15" l="1"/>
  <c r="H40" i="15" s="1"/>
  <c r="O41" i="15"/>
  <c r="C41" i="15" s="1"/>
  <c r="E41" i="15" s="1"/>
  <c r="H41" i="15" s="1"/>
  <c r="AJ15" i="15" s="1"/>
  <c r="AJ16" i="15" s="1"/>
  <c r="I40" i="4"/>
  <c r="N40" i="4"/>
  <c r="M41" i="4" s="1"/>
  <c r="N41" i="4" s="1"/>
  <c r="I41" i="4"/>
  <c r="R40" i="4"/>
  <c r="H23" i="4"/>
  <c r="AK23" i="4" s="1"/>
  <c r="P24" i="4"/>
  <c r="G24" i="4" s="1"/>
  <c r="Q25" i="4" s="1"/>
  <c r="AS12" i="5"/>
  <c r="AV11" i="5"/>
  <c r="C45" i="7"/>
  <c r="AR6" i="5"/>
  <c r="AS5" i="5"/>
  <c r="AQ21" i="5"/>
  <c r="AP23" i="5"/>
  <c r="AE51" i="5"/>
  <c r="C33" i="4"/>
  <c r="O34" i="4" s="1"/>
  <c r="F24" i="4" l="1"/>
  <c r="AT12" i="5"/>
  <c r="AW11" i="5"/>
  <c r="AS6" i="5"/>
  <c r="AT5" i="5"/>
  <c r="AR21" i="5"/>
  <c r="AQ23" i="5"/>
  <c r="AF51" i="5"/>
  <c r="C46" i="7"/>
  <c r="E32" i="4"/>
  <c r="H24" i="4" l="1"/>
  <c r="AK24" i="4" s="1"/>
  <c r="P25" i="4"/>
  <c r="G25" i="4" s="1"/>
  <c r="Q26" i="4" s="1"/>
  <c r="AU12" i="5"/>
  <c r="AX11" i="5"/>
  <c r="AT6" i="5"/>
  <c r="AU5" i="5"/>
  <c r="C47" i="7"/>
  <c r="AS21" i="5"/>
  <c r="AR23" i="5"/>
  <c r="AG51" i="5"/>
  <c r="F25" i="4" l="1"/>
  <c r="AV12" i="5"/>
  <c r="AY11" i="5"/>
  <c r="C48" i="7"/>
  <c r="AT21" i="5"/>
  <c r="AS23" i="5"/>
  <c r="AH51" i="5"/>
  <c r="AV5" i="5"/>
  <c r="AU6" i="5"/>
  <c r="C34" i="4"/>
  <c r="O35" i="4" s="1"/>
  <c r="H25" i="4" l="1"/>
  <c r="AK25" i="4" s="1"/>
  <c r="P26" i="4"/>
  <c r="G26" i="4" s="1"/>
  <c r="AW12" i="5"/>
  <c r="AZ11" i="5"/>
  <c r="AW5" i="5"/>
  <c r="AV6" i="5"/>
  <c r="AU21" i="5"/>
  <c r="AT23" i="5"/>
  <c r="AI51" i="5"/>
  <c r="C49" i="7"/>
  <c r="E33" i="4"/>
  <c r="Q27" i="4" l="1"/>
  <c r="F26" i="4"/>
  <c r="AX12" i="5"/>
  <c r="BA11" i="5"/>
  <c r="C50" i="7"/>
  <c r="AV21" i="5"/>
  <c r="AU23" i="5"/>
  <c r="AJ51" i="5"/>
  <c r="AW6" i="5"/>
  <c r="AX5" i="5"/>
  <c r="P27" i="4" l="1"/>
  <c r="G27" i="4" s="1"/>
  <c r="H26" i="4"/>
  <c r="AK26" i="4" s="1"/>
  <c r="AY12" i="5"/>
  <c r="BB11" i="5"/>
  <c r="AW21" i="5"/>
  <c r="AV23" i="5"/>
  <c r="AK51" i="5"/>
  <c r="AY5" i="5"/>
  <c r="AX6" i="5"/>
  <c r="C51" i="7"/>
  <c r="C35" i="4"/>
  <c r="O36" i="4" s="1"/>
  <c r="Q28" i="4" l="1"/>
  <c r="F27" i="4"/>
  <c r="AZ12" i="5"/>
  <c r="BC11" i="5"/>
  <c r="AZ5" i="5"/>
  <c r="AY6" i="5"/>
  <c r="AX21" i="5"/>
  <c r="AW23" i="5"/>
  <c r="AL51" i="5"/>
  <c r="C52" i="7"/>
  <c r="E34" i="4"/>
  <c r="P28" i="4" l="1"/>
  <c r="G28" i="4" s="1"/>
  <c r="H27" i="4"/>
  <c r="AK27" i="4" s="1"/>
  <c r="BA12" i="5"/>
  <c r="BD11" i="5"/>
  <c r="AY21" i="5"/>
  <c r="AX23" i="5"/>
  <c r="AM51" i="5"/>
  <c r="BA5" i="5"/>
  <c r="AZ6" i="5"/>
  <c r="C53" i="7"/>
  <c r="Q29" i="4" l="1"/>
  <c r="F28" i="4"/>
  <c r="BB12" i="5"/>
  <c r="BE11" i="5"/>
  <c r="BA6" i="5"/>
  <c r="BB5" i="5"/>
  <c r="C54" i="7"/>
  <c r="AZ21" i="5"/>
  <c r="AY23" i="5"/>
  <c r="AN51" i="5"/>
  <c r="C36" i="4"/>
  <c r="O37" i="4" s="1"/>
  <c r="P29" i="4" l="1"/>
  <c r="G29" i="4" s="1"/>
  <c r="Q30" i="4" s="1"/>
  <c r="H28" i="4"/>
  <c r="AK28" i="4" s="1"/>
  <c r="BC12" i="5"/>
  <c r="BF11" i="5"/>
  <c r="C55" i="7"/>
  <c r="BA21" i="5"/>
  <c r="AZ23" i="5"/>
  <c r="AO51" i="5"/>
  <c r="BC5" i="5"/>
  <c r="BB6" i="5"/>
  <c r="E35" i="4"/>
  <c r="F29" i="4" l="1"/>
  <c r="BD12" i="5"/>
  <c r="BG11" i="5"/>
  <c r="BB21" i="5"/>
  <c r="BA23" i="5"/>
  <c r="AP51" i="5"/>
  <c r="BD5" i="5"/>
  <c r="BC6" i="5"/>
  <c r="C56" i="7"/>
  <c r="P30" i="4" l="1"/>
  <c r="G30" i="4" s="1"/>
  <c r="Q31" i="4" s="1"/>
  <c r="H29" i="4"/>
  <c r="AK29" i="4" s="1"/>
  <c r="BE12" i="5"/>
  <c r="BH11" i="5"/>
  <c r="BE5" i="5"/>
  <c r="BD6" i="5"/>
  <c r="C57" i="7"/>
  <c r="BC21" i="5"/>
  <c r="BB23" i="5"/>
  <c r="AQ51" i="5"/>
  <c r="C37" i="4"/>
  <c r="O38" i="4" s="1"/>
  <c r="F30" i="4" l="1"/>
  <c r="BF12" i="5"/>
  <c r="BI11" i="5"/>
  <c r="C58" i="7"/>
  <c r="BD21" i="5"/>
  <c r="BC23" i="5"/>
  <c r="AR51" i="5"/>
  <c r="BE6" i="5"/>
  <c r="BF5" i="5"/>
  <c r="E36" i="4"/>
  <c r="P31" i="4" l="1"/>
  <c r="G31" i="4" s="1"/>
  <c r="Q32" i="4" s="1"/>
  <c r="H30" i="4"/>
  <c r="AK30" i="4" s="1"/>
  <c r="BG12" i="5"/>
  <c r="BJ11" i="5"/>
  <c r="BF6" i="5"/>
  <c r="BG5" i="5"/>
  <c r="BE21" i="5"/>
  <c r="BD23" i="5"/>
  <c r="AS51" i="5"/>
  <c r="C59" i="7"/>
  <c r="F31" i="4" l="1"/>
  <c r="BH12" i="5"/>
  <c r="BK11" i="5"/>
  <c r="BF21" i="5"/>
  <c r="BE23" i="5"/>
  <c r="AT51" i="5"/>
  <c r="BH5" i="5"/>
  <c r="BG6" i="5"/>
  <c r="C60" i="7"/>
  <c r="C38" i="4"/>
  <c r="O39" i="4" s="1"/>
  <c r="P32" i="4" l="1"/>
  <c r="G32" i="4" s="1"/>
  <c r="Q33" i="4" s="1"/>
  <c r="H31" i="4"/>
  <c r="AK31" i="4" s="1"/>
  <c r="BI12" i="5"/>
  <c r="BL11" i="5"/>
  <c r="C61" i="7"/>
  <c r="BI5" i="5"/>
  <c r="BH6" i="5"/>
  <c r="BG21" i="5"/>
  <c r="BF23" i="5"/>
  <c r="AU51" i="5"/>
  <c r="E37" i="4"/>
  <c r="F32" i="4" l="1"/>
  <c r="BJ12" i="5"/>
  <c r="BM11" i="5"/>
  <c r="BJ5" i="5"/>
  <c r="BI6" i="5"/>
  <c r="BH21" i="5"/>
  <c r="BG23" i="5"/>
  <c r="AV51" i="5"/>
  <c r="C62" i="7"/>
  <c r="P33" i="4" l="1"/>
  <c r="G33" i="4" s="1"/>
  <c r="Q34" i="4" s="1"/>
  <c r="H32" i="4"/>
  <c r="AK32" i="4" s="1"/>
  <c r="BK12" i="5"/>
  <c r="BN11" i="5"/>
  <c r="BI21" i="5"/>
  <c r="BH23" i="5"/>
  <c r="AW51" i="5"/>
  <c r="BJ6" i="5"/>
  <c r="BK5" i="5"/>
  <c r="C63" i="7"/>
  <c r="C39" i="4"/>
  <c r="O40" i="4" s="1"/>
  <c r="F33" i="4" l="1"/>
  <c r="BL12" i="5"/>
  <c r="BO11" i="5"/>
  <c r="C64" i="7"/>
  <c r="BJ21" i="5"/>
  <c r="BI23" i="5"/>
  <c r="AX51" i="5"/>
  <c r="BK6" i="5"/>
  <c r="BL5" i="5"/>
  <c r="E38" i="4"/>
  <c r="P34" i="4" l="1"/>
  <c r="G34" i="4" s="1"/>
  <c r="Q35" i="4" s="1"/>
  <c r="H33" i="4"/>
  <c r="AK33" i="4" s="1"/>
  <c r="BM12" i="5"/>
  <c r="BP11" i="5"/>
  <c r="BK21" i="5"/>
  <c r="BJ23" i="5"/>
  <c r="AY51" i="5"/>
  <c r="C65" i="7"/>
  <c r="BM5" i="5"/>
  <c r="BL6" i="5"/>
  <c r="F34" i="4" l="1"/>
  <c r="BN12" i="5"/>
  <c r="BQ11" i="5"/>
  <c r="BM6" i="5"/>
  <c r="BN5" i="5"/>
  <c r="C66" i="7"/>
  <c r="BL21" i="5"/>
  <c r="BK23" i="5"/>
  <c r="AZ51" i="5"/>
  <c r="C40" i="4"/>
  <c r="O41" i="4" s="1"/>
  <c r="P35" i="4" l="1"/>
  <c r="G35" i="4" s="1"/>
  <c r="Q36" i="4" s="1"/>
  <c r="H34" i="4"/>
  <c r="AK34" i="4" s="1"/>
  <c r="BO12" i="5"/>
  <c r="BR11" i="5"/>
  <c r="C67" i="7"/>
  <c r="BM21" i="5"/>
  <c r="BL23" i="5"/>
  <c r="BA51" i="5"/>
  <c r="BO5" i="5"/>
  <c r="BN6" i="5"/>
  <c r="E39" i="4"/>
  <c r="F35" i="4" l="1"/>
  <c r="BP12" i="5"/>
  <c r="BS11" i="5"/>
  <c r="BP5" i="5"/>
  <c r="BO6" i="5"/>
  <c r="BN21" i="5"/>
  <c r="BM23" i="5"/>
  <c r="BB51" i="5"/>
  <c r="C68" i="7"/>
  <c r="P36" i="4" l="1"/>
  <c r="G36" i="4" s="1"/>
  <c r="Q37" i="4" s="1"/>
  <c r="H35" i="4"/>
  <c r="AK35" i="4" s="1"/>
  <c r="BQ12" i="5"/>
  <c r="BT11" i="5"/>
  <c r="BO21" i="5"/>
  <c r="BN23" i="5"/>
  <c r="BC51" i="5"/>
  <c r="C69" i="7"/>
  <c r="BQ5" i="5"/>
  <c r="BP6" i="5"/>
  <c r="C41" i="4"/>
  <c r="F36" i="4" l="1"/>
  <c r="BR12" i="5"/>
  <c r="BU11" i="5"/>
  <c r="C70" i="7"/>
  <c r="BQ6" i="5"/>
  <c r="BR5" i="5"/>
  <c r="BP21" i="5"/>
  <c r="BO23" i="5"/>
  <c r="BD51" i="5"/>
  <c r="E40" i="4"/>
  <c r="P37" i="4" l="1"/>
  <c r="G37" i="4" s="1"/>
  <c r="Q38" i="4" s="1"/>
  <c r="H36" i="4"/>
  <c r="AK36" i="4" s="1"/>
  <c r="BS12" i="5"/>
  <c r="BV11" i="5"/>
  <c r="BQ21" i="5"/>
  <c r="BP23" i="5"/>
  <c r="BE51" i="5"/>
  <c r="BR6" i="5"/>
  <c r="BS5" i="5"/>
  <c r="C71" i="7"/>
  <c r="F37" i="4" l="1"/>
  <c r="BT12" i="5"/>
  <c r="BW11" i="5"/>
  <c r="BR21" i="5"/>
  <c r="BQ23" i="5"/>
  <c r="BF51" i="5"/>
  <c r="C72" i="7"/>
  <c r="BT5" i="5"/>
  <c r="BS6" i="5"/>
  <c r="E41" i="4"/>
  <c r="P38" i="4" l="1"/>
  <c r="G38" i="4" s="1"/>
  <c r="Q39" i="4" s="1"/>
  <c r="H37" i="4"/>
  <c r="AK37" i="4" s="1"/>
  <c r="BU12" i="5"/>
  <c r="BX11" i="5"/>
  <c r="BT6" i="5"/>
  <c r="BU5" i="5"/>
  <c r="C73" i="7"/>
  <c r="BS21" i="5"/>
  <c r="BR23" i="5"/>
  <c r="BG51" i="5"/>
  <c r="F38" i="4" l="1"/>
  <c r="BV12" i="5"/>
  <c r="BY11" i="5"/>
  <c r="C74" i="7"/>
  <c r="BU6" i="5"/>
  <c r="BV5" i="5"/>
  <c r="BT21" i="5"/>
  <c r="BS23" i="5"/>
  <c r="BH51" i="5"/>
  <c r="P39" i="4" l="1"/>
  <c r="G39" i="4" s="1"/>
  <c r="Q40" i="4" s="1"/>
  <c r="H38" i="4"/>
  <c r="AK38" i="4" s="1"/>
  <c r="BW12" i="5"/>
  <c r="BZ11" i="5"/>
  <c r="C75" i="7"/>
  <c r="BV6" i="5"/>
  <c r="BW5" i="5"/>
  <c r="BU21" i="5"/>
  <c r="BT23" i="5"/>
  <c r="BI51" i="5"/>
  <c r="F39" i="4" l="1"/>
  <c r="BX12" i="5"/>
  <c r="CA11" i="5"/>
  <c r="C76" i="7"/>
  <c r="BV21" i="5"/>
  <c r="BU23" i="5"/>
  <c r="BJ51" i="5"/>
  <c r="BX5" i="5"/>
  <c r="BW6" i="5"/>
  <c r="P40" i="4" l="1"/>
  <c r="G40" i="4" s="1"/>
  <c r="Q41" i="4" s="1"/>
  <c r="H39" i="4"/>
  <c r="AK39" i="4" s="1"/>
  <c r="BY12" i="5"/>
  <c r="CB11" i="5"/>
  <c r="BX6" i="5"/>
  <c r="BY5" i="5"/>
  <c r="BW21" i="5"/>
  <c r="BV23" i="5"/>
  <c r="BK51" i="5"/>
  <c r="C77" i="7"/>
  <c r="F40" i="4" l="1"/>
  <c r="BZ12" i="5"/>
  <c r="CC11" i="5"/>
  <c r="BX21" i="5"/>
  <c r="BW23" i="5"/>
  <c r="BL51" i="5"/>
  <c r="BZ5" i="5"/>
  <c r="BY6" i="5"/>
  <c r="C78" i="7"/>
  <c r="P41" i="4" l="1"/>
  <c r="G41" i="4" s="1"/>
  <c r="H40" i="4"/>
  <c r="AK40" i="4" s="1"/>
  <c r="CA12" i="5"/>
  <c r="CD11" i="5"/>
  <c r="C79" i="7"/>
  <c r="BZ6" i="5"/>
  <c r="CA5" i="5"/>
  <c r="BY21" i="5"/>
  <c r="BX23" i="5"/>
  <c r="BM51" i="5"/>
  <c r="F41" i="4" l="1"/>
  <c r="H41" i="4" s="1"/>
  <c r="AK41" i="4" s="1"/>
  <c r="CB12" i="5"/>
  <c r="CE11" i="5"/>
  <c r="BZ21" i="5"/>
  <c r="BY23" i="5"/>
  <c r="BN51" i="5"/>
  <c r="CB5" i="5"/>
  <c r="CA6" i="5"/>
  <c r="C80" i="7"/>
  <c r="AM15" i="4" l="1"/>
  <c r="AM16" i="4" s="1"/>
  <c r="CC12" i="5"/>
  <c r="CF11" i="5"/>
  <c r="CC5" i="5"/>
  <c r="CB6" i="5"/>
  <c r="CA21" i="5"/>
  <c r="BZ23" i="5"/>
  <c r="BO51" i="5"/>
  <c r="C81" i="7"/>
  <c r="CD12" i="5" l="1"/>
  <c r="CG11" i="5"/>
  <c r="C82" i="7"/>
  <c r="CB21" i="5"/>
  <c r="CA23" i="5"/>
  <c r="BP51" i="5"/>
  <c r="CD5" i="5"/>
  <c r="CC6" i="5"/>
  <c r="CE12" i="5" l="1"/>
  <c r="CH11" i="5"/>
  <c r="CC21" i="5"/>
  <c r="CB23" i="5"/>
  <c r="BQ51" i="5"/>
  <c r="CD6" i="5"/>
  <c r="CE5" i="5"/>
  <c r="C83" i="7"/>
  <c r="CF12" i="5" l="1"/>
  <c r="CI11" i="5"/>
  <c r="CE6" i="5"/>
  <c r="CF5" i="5"/>
  <c r="CD21" i="5"/>
  <c r="CC23" i="5"/>
  <c r="BR51" i="5"/>
  <c r="C84" i="7"/>
  <c r="CG12" i="5" l="1"/>
  <c r="CJ11" i="5"/>
  <c r="CE21" i="5"/>
  <c r="CD23" i="5"/>
  <c r="BS51" i="5"/>
  <c r="CG5" i="5"/>
  <c r="CF6" i="5"/>
  <c r="C85" i="7"/>
  <c r="CH12" i="5" l="1"/>
  <c r="CK11" i="5"/>
  <c r="CH5" i="5"/>
  <c r="CG6" i="5"/>
  <c r="C86" i="7"/>
  <c r="CF21" i="5"/>
  <c r="CE23" i="5"/>
  <c r="BT51" i="5"/>
  <c r="CI12" i="5" l="1"/>
  <c r="CL11" i="5"/>
  <c r="C87" i="7"/>
  <c r="CG21" i="5"/>
  <c r="CF23" i="5"/>
  <c r="BU51" i="5"/>
  <c r="CH6" i="5"/>
  <c r="CI5" i="5"/>
  <c r="CJ12" i="5" l="1"/>
  <c r="CM11" i="5"/>
  <c r="CH21" i="5"/>
  <c r="CG23" i="5"/>
  <c r="BV51" i="5"/>
  <c r="CJ5" i="5"/>
  <c r="CI6" i="5"/>
  <c r="C88" i="7"/>
  <c r="CK12" i="5" l="1"/>
  <c r="CN11" i="5"/>
  <c r="CK5" i="5"/>
  <c r="CJ6" i="5"/>
  <c r="C89" i="7"/>
  <c r="CI21" i="5"/>
  <c r="CH23" i="5"/>
  <c r="BW51" i="5"/>
  <c r="CL12" i="5" l="1"/>
  <c r="CO11" i="5"/>
  <c r="CJ21" i="5"/>
  <c r="CI23" i="5"/>
  <c r="BX51" i="5"/>
  <c r="CK6" i="5"/>
  <c r="CL5" i="5"/>
  <c r="C90" i="7"/>
  <c r="CM12" i="5" l="1"/>
  <c r="CP11" i="5"/>
  <c r="C91" i="7"/>
  <c r="CK21" i="5"/>
  <c r="CJ23" i="5"/>
  <c r="BY51" i="5"/>
  <c r="CM5" i="5"/>
  <c r="CL6" i="5"/>
  <c r="CN12" i="5" l="1"/>
  <c r="CQ11" i="5"/>
  <c r="C92" i="7"/>
  <c r="CN5" i="5"/>
  <c r="CM6" i="5"/>
  <c r="CL21" i="5"/>
  <c r="CK23" i="5"/>
  <c r="BZ51" i="5"/>
  <c r="CO12" i="5" l="1"/>
  <c r="CR11" i="5"/>
  <c r="CN6" i="5"/>
  <c r="CO5" i="5"/>
  <c r="CM21" i="5"/>
  <c r="CL23" i="5"/>
  <c r="CA51" i="5"/>
  <c r="C93" i="7"/>
  <c r="CP12" i="5" l="1"/>
  <c r="CS11" i="5"/>
  <c r="C94" i="7"/>
  <c r="CN21" i="5"/>
  <c r="CM23" i="5"/>
  <c r="CB51" i="5"/>
  <c r="CP5" i="5"/>
  <c r="CO6" i="5"/>
  <c r="CQ12" i="5" l="1"/>
  <c r="CT11" i="5"/>
  <c r="CO21" i="5"/>
  <c r="CN23" i="5"/>
  <c r="CC51" i="5"/>
  <c r="CP6" i="5"/>
  <c r="CQ5" i="5"/>
  <c r="C95" i="7"/>
  <c r="CR12" i="5" l="1"/>
  <c r="CU11" i="5"/>
  <c r="C96" i="7"/>
  <c r="CP21" i="5"/>
  <c r="CO23" i="5"/>
  <c r="CD51" i="5"/>
  <c r="CQ6" i="5"/>
  <c r="CR5" i="5"/>
  <c r="CS12" i="5" l="1"/>
  <c r="CV11" i="5"/>
  <c r="CR6" i="5"/>
  <c r="CS5" i="5"/>
  <c r="CQ21" i="5"/>
  <c r="CP23" i="5"/>
  <c r="CE51" i="5"/>
  <c r="C97" i="7"/>
  <c r="CT12" i="5" l="1"/>
  <c r="CW11" i="5"/>
  <c r="CR21" i="5"/>
  <c r="CQ23" i="5"/>
  <c r="CF51" i="5"/>
  <c r="C98" i="7"/>
  <c r="CS6" i="5"/>
  <c r="CT5" i="5"/>
  <c r="CU12" i="5" l="1"/>
  <c r="CX11" i="5"/>
  <c r="C99" i="7"/>
  <c r="CU5" i="5"/>
  <c r="CT6" i="5"/>
  <c r="CS21" i="5"/>
  <c r="CR23" i="5"/>
  <c r="CG51" i="5"/>
  <c r="CV12" i="5" l="1"/>
  <c r="CY11" i="5"/>
  <c r="CV5" i="5"/>
  <c r="CU6" i="5"/>
  <c r="CT21" i="5"/>
  <c r="CS23" i="5"/>
  <c r="CH51" i="5"/>
  <c r="C100" i="7"/>
  <c r="CW12" i="5" l="1"/>
  <c r="CZ11" i="5"/>
  <c r="C101" i="7"/>
  <c r="CV6" i="5"/>
  <c r="CW5" i="5"/>
  <c r="CU21" i="5"/>
  <c r="CT23" i="5"/>
  <c r="CI51" i="5"/>
  <c r="CX12" i="5" l="1"/>
  <c r="DA11" i="5"/>
  <c r="CX5" i="5"/>
  <c r="CW6" i="5"/>
  <c r="C102" i="7"/>
  <c r="CV21" i="5"/>
  <c r="CU23" i="5"/>
  <c r="CJ51" i="5"/>
  <c r="CY12" i="5" l="1"/>
  <c r="DB11" i="5"/>
  <c r="C103" i="7"/>
  <c r="CW21" i="5"/>
  <c r="CV23" i="5"/>
  <c r="CK51" i="5"/>
  <c r="CX6" i="5"/>
  <c r="CY5" i="5"/>
  <c r="CZ12" i="5" l="1"/>
  <c r="DC11" i="5"/>
  <c r="CX21" i="5"/>
  <c r="CW23" i="5"/>
  <c r="CL51" i="5"/>
  <c r="CZ5" i="5"/>
  <c r="CY6" i="5"/>
  <c r="C104" i="7"/>
  <c r="DA12" i="5" l="1"/>
  <c r="DD11" i="5"/>
  <c r="CZ6" i="5"/>
  <c r="DA5" i="5"/>
  <c r="C105" i="7"/>
  <c r="CY21" i="5"/>
  <c r="CX23" i="5"/>
  <c r="CM51" i="5"/>
  <c r="DB12" i="5" l="1"/>
  <c r="DE11" i="5"/>
  <c r="C106" i="7"/>
  <c r="CZ21" i="5"/>
  <c r="CY23" i="5"/>
  <c r="CN51" i="5"/>
  <c r="DB5" i="5"/>
  <c r="DA6" i="5"/>
  <c r="DC12" i="5" l="1"/>
  <c r="DF11" i="5"/>
  <c r="DC5" i="5"/>
  <c r="DB6" i="5"/>
  <c r="DA21" i="5"/>
  <c r="CZ23" i="5"/>
  <c r="CO51" i="5"/>
  <c r="C107" i="7"/>
  <c r="DD12" i="5" l="1"/>
  <c r="DG11" i="5"/>
  <c r="DB21" i="5"/>
  <c r="DA23" i="5"/>
  <c r="CP51" i="5"/>
  <c r="C108" i="7"/>
  <c r="DC6" i="5"/>
  <c r="DD5" i="5"/>
  <c r="DE12" i="5" l="1"/>
  <c r="DH11" i="5"/>
  <c r="DD6" i="5"/>
  <c r="DE5" i="5"/>
  <c r="C109" i="7"/>
  <c r="DC21" i="5"/>
  <c r="DB23" i="5"/>
  <c r="CQ51" i="5"/>
  <c r="DF12" i="5" l="1"/>
  <c r="DI11" i="5"/>
  <c r="C110" i="7"/>
  <c r="DE6" i="5"/>
  <c r="DF5" i="5"/>
  <c r="DD21" i="5"/>
  <c r="DC23" i="5"/>
  <c r="CR51" i="5"/>
  <c r="DG12" i="5" l="1"/>
  <c r="DJ11" i="5"/>
  <c r="DE21" i="5"/>
  <c r="DD23" i="5"/>
  <c r="CS51" i="5"/>
  <c r="C111" i="7"/>
  <c r="DG5" i="5"/>
  <c r="DF6" i="5"/>
  <c r="DH12" i="5" l="1"/>
  <c r="DK11" i="5"/>
  <c r="C112" i="7"/>
  <c r="DF21" i="5"/>
  <c r="DE23" i="5"/>
  <c r="CT51" i="5"/>
  <c r="DH5" i="5"/>
  <c r="DG6" i="5"/>
  <c r="DI12" i="5" l="1"/>
  <c r="DL11" i="5"/>
  <c r="DG21" i="5"/>
  <c r="DF23" i="5"/>
  <c r="CU51" i="5"/>
  <c r="C113" i="7"/>
  <c r="DI5" i="5"/>
  <c r="DH6" i="5"/>
  <c r="DJ12" i="5" l="1"/>
  <c r="DM11" i="5"/>
  <c r="C114" i="7"/>
  <c r="DI6" i="5"/>
  <c r="DJ5" i="5"/>
  <c r="DH21" i="5"/>
  <c r="DG23" i="5"/>
  <c r="CV51" i="5"/>
  <c r="DK12" i="5" l="1"/>
  <c r="DN11" i="5"/>
  <c r="DI21" i="5"/>
  <c r="DH23" i="5"/>
  <c r="CW51" i="5"/>
  <c r="DJ6" i="5"/>
  <c r="DK5" i="5"/>
  <c r="C115" i="7"/>
  <c r="DL12" i="5" l="1"/>
  <c r="DO11" i="5"/>
  <c r="DJ21" i="5"/>
  <c r="DI23" i="5"/>
  <c r="CX51" i="5"/>
  <c r="C116" i="7"/>
  <c r="DL5" i="5"/>
  <c r="DK6" i="5"/>
  <c r="DM12" i="5" l="1"/>
  <c r="DP11" i="5"/>
  <c r="C117" i="7"/>
  <c r="DL6" i="5"/>
  <c r="DM5" i="5"/>
  <c r="DK21" i="5"/>
  <c r="DJ23" i="5"/>
  <c r="CY51" i="5"/>
  <c r="DN12" i="5" l="1"/>
  <c r="DQ11" i="5"/>
  <c r="DL21" i="5"/>
  <c r="DK23" i="5"/>
  <c r="CZ51" i="5"/>
  <c r="DN5" i="5"/>
  <c r="DM6" i="5"/>
  <c r="C118" i="7"/>
  <c r="DO12" i="5" l="1"/>
  <c r="DR11" i="5"/>
  <c r="DN6" i="5"/>
  <c r="DO5" i="5"/>
  <c r="DM21" i="5"/>
  <c r="DL23" i="5"/>
  <c r="DA51" i="5"/>
  <c r="C119" i="7"/>
  <c r="DP12" i="5" l="1"/>
  <c r="DS11" i="5"/>
  <c r="C120" i="7"/>
  <c r="DN21" i="5"/>
  <c r="DM23" i="5"/>
  <c r="DB51" i="5"/>
  <c r="DP5" i="5"/>
  <c r="DO6" i="5"/>
  <c r="DQ12" i="5" l="1"/>
  <c r="DT11" i="5"/>
  <c r="DO21" i="5"/>
  <c r="DN23" i="5"/>
  <c r="DC51" i="5"/>
  <c r="DP6" i="5"/>
  <c r="DQ5" i="5"/>
  <c r="C121" i="7"/>
  <c r="DR12" i="5" l="1"/>
  <c r="DU11" i="5"/>
  <c r="C122" i="7"/>
  <c r="DQ6" i="5"/>
  <c r="DR5" i="5"/>
  <c r="DP21" i="5"/>
  <c r="DO23" i="5"/>
  <c r="DD51" i="5"/>
  <c r="DS12" i="5" l="1"/>
  <c r="DV11" i="5"/>
  <c r="DS5" i="5"/>
  <c r="DR6" i="5"/>
  <c r="DQ21" i="5"/>
  <c r="DP23" i="5"/>
  <c r="DE51" i="5"/>
  <c r="C123" i="7"/>
  <c r="DT12" i="5" l="1"/>
  <c r="DW11" i="5"/>
  <c r="DR21" i="5"/>
  <c r="DQ23" i="5"/>
  <c r="DF51" i="5"/>
  <c r="C124" i="7"/>
  <c r="DT5" i="5"/>
  <c r="DS6" i="5"/>
  <c r="DU12" i="5" l="1"/>
  <c r="DX11" i="5"/>
  <c r="DT6" i="5"/>
  <c r="DU5" i="5"/>
  <c r="C125" i="7"/>
  <c r="DS21" i="5"/>
  <c r="DR23" i="5"/>
  <c r="DG51" i="5"/>
  <c r="DV12" i="5" l="1"/>
  <c r="DY11" i="5"/>
  <c r="DU6" i="5"/>
  <c r="DV5" i="5"/>
  <c r="DT21" i="5"/>
  <c r="DS23" i="5"/>
  <c r="DH51" i="5"/>
  <c r="C126" i="7"/>
  <c r="DW12" i="5" l="1"/>
  <c r="DZ11" i="5"/>
  <c r="DU21" i="5"/>
  <c r="DT23" i="5"/>
  <c r="DI51" i="5"/>
  <c r="C127" i="7"/>
  <c r="DV6" i="5"/>
  <c r="DW5" i="5"/>
  <c r="DX12" i="5" l="1"/>
  <c r="EA11" i="5"/>
  <c r="C128" i="7"/>
  <c r="DW6" i="5"/>
  <c r="DX5" i="5"/>
  <c r="DV21" i="5"/>
  <c r="DU23" i="5"/>
  <c r="DJ51" i="5"/>
  <c r="DY12" i="5" l="1"/>
  <c r="EB11" i="5"/>
  <c r="DW21" i="5"/>
  <c r="DV23" i="5"/>
  <c r="DK51" i="5"/>
  <c r="C129" i="7"/>
  <c r="DY5" i="5"/>
  <c r="DX6" i="5"/>
  <c r="DZ12" i="5" l="1"/>
  <c r="EC11" i="5"/>
  <c r="C130" i="7"/>
  <c r="DX21" i="5"/>
  <c r="DW23" i="5"/>
  <c r="DL51" i="5"/>
  <c r="DZ5" i="5"/>
  <c r="DY6" i="5"/>
  <c r="EA12" i="5" l="1"/>
  <c r="ED11" i="5"/>
  <c r="DY21" i="5"/>
  <c r="DX23" i="5"/>
  <c r="DM51" i="5"/>
  <c r="EA5" i="5"/>
  <c r="DZ6" i="5"/>
  <c r="C131" i="7"/>
  <c r="EB12" i="5" l="1"/>
  <c r="EE11" i="5"/>
  <c r="EB5" i="5"/>
  <c r="EA6" i="5"/>
  <c r="DZ21" i="5"/>
  <c r="DY23" i="5"/>
  <c r="DN51" i="5"/>
  <c r="C132" i="7"/>
  <c r="EC12" i="5" l="1"/>
  <c r="EF11" i="5"/>
  <c r="C133" i="7"/>
  <c r="EB6" i="5"/>
  <c r="EC5" i="5"/>
  <c r="EA21" i="5"/>
  <c r="DZ23" i="5"/>
  <c r="DO51" i="5"/>
  <c r="ED12" i="5" l="1"/>
  <c r="EG11" i="5"/>
  <c r="EB21" i="5"/>
  <c r="EA23" i="5"/>
  <c r="DP51" i="5"/>
  <c r="C134" i="7"/>
  <c r="EC6" i="5"/>
  <c r="ED5" i="5"/>
  <c r="EE12" i="5" l="1"/>
  <c r="EH11" i="5"/>
  <c r="ED6" i="5"/>
  <c r="EE5" i="5"/>
  <c r="EC21" i="5"/>
  <c r="EB23" i="5"/>
  <c r="DQ51" i="5"/>
  <c r="C135" i="7"/>
  <c r="EF12" i="5" l="1"/>
  <c r="EI11" i="5"/>
  <c r="C136" i="7"/>
  <c r="ED21" i="5"/>
  <c r="EC23" i="5"/>
  <c r="DR51" i="5"/>
  <c r="EE6" i="5"/>
  <c r="EF5" i="5"/>
  <c r="EG12" i="5" l="1"/>
  <c r="EJ11" i="5"/>
  <c r="EF6" i="5"/>
  <c r="EG5" i="5"/>
  <c r="EE21" i="5"/>
  <c r="ED23" i="5"/>
  <c r="DS51" i="5"/>
  <c r="C137" i="7"/>
  <c r="EH12" i="5" l="1"/>
  <c r="EK11" i="5"/>
  <c r="EG6" i="5"/>
  <c r="EH5" i="5"/>
  <c r="C138" i="7"/>
  <c r="EF21" i="5"/>
  <c r="EE23" i="5"/>
  <c r="DT51" i="5"/>
  <c r="EI12" i="5" l="1"/>
  <c r="EL11" i="5"/>
  <c r="C139" i="7"/>
  <c r="EG21" i="5"/>
  <c r="EF23" i="5"/>
  <c r="DU51" i="5"/>
  <c r="EI5" i="5"/>
  <c r="EH6" i="5"/>
  <c r="EJ12" i="5" l="1"/>
  <c r="EM11" i="5"/>
  <c r="EH21" i="5"/>
  <c r="EG23" i="5"/>
  <c r="DV51" i="5"/>
  <c r="EJ5" i="5"/>
  <c r="EI6" i="5"/>
  <c r="C140" i="7"/>
  <c r="EK12" i="5" l="1"/>
  <c r="EN11" i="5"/>
  <c r="C141" i="7"/>
  <c r="EJ6" i="5"/>
  <c r="EK5" i="5"/>
  <c r="EI21" i="5"/>
  <c r="EH23" i="5"/>
  <c r="DW51" i="5"/>
  <c r="EL12" i="5" l="1"/>
  <c r="EO11" i="5"/>
  <c r="EJ21" i="5"/>
  <c r="EI23" i="5"/>
  <c r="DX51" i="5"/>
  <c r="EL5" i="5"/>
  <c r="EK6" i="5"/>
  <c r="C142" i="7"/>
  <c r="EM12" i="5" l="1"/>
  <c r="EP11" i="5"/>
  <c r="EM5" i="5"/>
  <c r="EL6" i="5"/>
  <c r="EK21" i="5"/>
  <c r="EJ23" i="5"/>
  <c r="DY51" i="5"/>
  <c r="C143" i="7"/>
  <c r="EN12" i="5" l="1"/>
  <c r="EQ11" i="5"/>
  <c r="EL21" i="5"/>
  <c r="EK23" i="5"/>
  <c r="DZ51" i="5"/>
  <c r="EN5" i="5"/>
  <c r="EM6" i="5"/>
  <c r="C144" i="7"/>
  <c r="EO12" i="5" l="1"/>
  <c r="ER11" i="5"/>
  <c r="C145" i="7"/>
  <c r="EN6" i="5"/>
  <c r="EO5" i="5"/>
  <c r="EM21" i="5"/>
  <c r="EL23" i="5"/>
  <c r="EA51" i="5"/>
  <c r="EP12" i="5" l="1"/>
  <c r="ES11" i="5"/>
  <c r="EN21" i="5"/>
  <c r="EM23" i="5"/>
  <c r="EB51" i="5"/>
  <c r="EO6" i="5"/>
  <c r="EP5" i="5"/>
  <c r="C146" i="7"/>
  <c r="EQ12" i="5" l="1"/>
  <c r="ET11" i="5"/>
  <c r="C147" i="7"/>
  <c r="EO21" i="5"/>
  <c r="EN23" i="5"/>
  <c r="EC51" i="5"/>
  <c r="EP6" i="5"/>
  <c r="EQ5" i="5"/>
  <c r="ER12" i="5" l="1"/>
  <c r="EU11" i="5"/>
  <c r="EP21" i="5"/>
  <c r="EO23" i="5"/>
  <c r="ED51" i="5"/>
  <c r="EQ6" i="5"/>
  <c r="ER5" i="5"/>
  <c r="C148" i="7"/>
  <c r="ES12" i="5" l="1"/>
  <c r="EV11" i="5"/>
  <c r="ER6" i="5"/>
  <c r="ES5" i="5"/>
  <c r="EQ21" i="5"/>
  <c r="EP23" i="5"/>
  <c r="EE51" i="5"/>
  <c r="C149" i="7"/>
  <c r="ET12" i="5" l="1"/>
  <c r="EW11" i="5"/>
  <c r="C150" i="7"/>
  <c r="ET5" i="5"/>
  <c r="ES6" i="5"/>
  <c r="ER21" i="5"/>
  <c r="EQ23" i="5"/>
  <c r="EF51" i="5"/>
  <c r="EU12" i="5" l="1"/>
  <c r="EX11" i="5"/>
  <c r="ES21" i="5"/>
  <c r="ER23" i="5"/>
  <c r="EG51" i="5"/>
  <c r="ET6" i="5"/>
  <c r="EU5" i="5"/>
  <c r="C151" i="7"/>
  <c r="EV12" i="5" l="1"/>
  <c r="EY11" i="5"/>
  <c r="C152" i="7"/>
  <c r="EU6" i="5"/>
  <c r="EV5" i="5"/>
  <c r="ET21" i="5"/>
  <c r="ES23" i="5"/>
  <c r="EH51" i="5"/>
  <c r="EW12" i="5" l="1"/>
  <c r="EZ11" i="5"/>
  <c r="EW5" i="5"/>
  <c r="EV6" i="5"/>
  <c r="EU21" i="5"/>
  <c r="ET23" i="5"/>
  <c r="EI51" i="5"/>
  <c r="C153" i="7"/>
  <c r="EX12" i="5" l="1"/>
  <c r="FA11" i="5"/>
  <c r="EV21" i="5"/>
  <c r="EU23" i="5"/>
  <c r="EJ51" i="5"/>
  <c r="EX5" i="5"/>
  <c r="EW6" i="5"/>
  <c r="C154" i="7"/>
  <c r="EY12" i="5" l="1"/>
  <c r="FB11" i="5"/>
  <c r="EY5" i="5"/>
  <c r="EX6" i="5"/>
  <c r="C155" i="7"/>
  <c r="EW21" i="5"/>
  <c r="EV23" i="5"/>
  <c r="EK51" i="5"/>
  <c r="EZ12" i="5" l="1"/>
  <c r="FC11" i="5"/>
  <c r="C156" i="7"/>
  <c r="EX21" i="5"/>
  <c r="EW23" i="5"/>
  <c r="EL51" i="5"/>
  <c r="EZ5" i="5"/>
  <c r="EY6" i="5"/>
  <c r="FA12" i="5" l="1"/>
  <c r="FD11" i="5"/>
  <c r="EY21" i="5"/>
  <c r="EX23" i="5"/>
  <c r="EM51" i="5"/>
  <c r="FA5" i="5"/>
  <c r="EZ6" i="5"/>
  <c r="C157" i="7"/>
  <c r="FB12" i="5" l="1"/>
  <c r="FE11" i="5"/>
  <c r="FB5" i="5"/>
  <c r="FA6" i="5"/>
  <c r="C158" i="7"/>
  <c r="EZ21" i="5"/>
  <c r="EY23" i="5"/>
  <c r="EN51" i="5"/>
  <c r="FC12" i="5" l="1"/>
  <c r="FF11" i="5"/>
  <c r="FA21" i="5"/>
  <c r="EZ23" i="5"/>
  <c r="EO51" i="5"/>
  <c r="C159" i="7"/>
  <c r="FB6" i="5"/>
  <c r="FC5" i="5"/>
  <c r="FD12" i="5" l="1"/>
  <c r="FG11" i="5"/>
  <c r="C160" i="7"/>
  <c r="FD5" i="5"/>
  <c r="FC6" i="5"/>
  <c r="FB21" i="5"/>
  <c r="FA23" i="5"/>
  <c r="EP51" i="5"/>
  <c r="FE12" i="5" l="1"/>
  <c r="FH11" i="5"/>
  <c r="FE5" i="5"/>
  <c r="FD6" i="5"/>
  <c r="FC21" i="5"/>
  <c r="FB23" i="5"/>
  <c r="EQ51" i="5"/>
  <c r="C161" i="7"/>
  <c r="FF12" i="5" l="1"/>
  <c r="FI11" i="5"/>
  <c r="FE6" i="5"/>
  <c r="FF5" i="5"/>
  <c r="C162" i="7"/>
  <c r="FD21" i="5"/>
  <c r="FC23" i="5"/>
  <c r="ER51" i="5"/>
  <c r="FG12" i="5" l="1"/>
  <c r="FJ11" i="5"/>
  <c r="C163" i="7"/>
  <c r="FG5" i="5"/>
  <c r="FF6" i="5"/>
  <c r="FE21" i="5"/>
  <c r="FD23" i="5"/>
  <c r="ES51" i="5"/>
  <c r="FH12" i="5" l="1"/>
  <c r="FK11" i="5"/>
  <c r="FG6" i="5"/>
  <c r="FH5" i="5"/>
  <c r="FF21" i="5"/>
  <c r="FE23" i="5"/>
  <c r="ET51" i="5"/>
  <c r="C164" i="7"/>
  <c r="FI12" i="5" l="1"/>
  <c r="FL11" i="5"/>
  <c r="FG21" i="5"/>
  <c r="FF23" i="5"/>
  <c r="EU51" i="5"/>
  <c r="C165" i="7"/>
  <c r="FI5" i="5"/>
  <c r="FH6" i="5"/>
  <c r="FJ12" i="5" l="1"/>
  <c r="FM11" i="5"/>
  <c r="FJ5" i="5"/>
  <c r="FI6" i="5"/>
  <c r="C166" i="7"/>
  <c r="FH21" i="5"/>
  <c r="FG23" i="5"/>
  <c r="EV51" i="5"/>
  <c r="FK12" i="5" l="1"/>
  <c r="FN11" i="5"/>
  <c r="C167" i="7"/>
  <c r="FI21" i="5"/>
  <c r="FH23" i="5"/>
  <c r="EW51" i="5"/>
  <c r="FJ6" i="5"/>
  <c r="FK5" i="5"/>
  <c r="FL12" i="5" l="1"/>
  <c r="FO11" i="5"/>
  <c r="FL5" i="5"/>
  <c r="FK6" i="5"/>
  <c r="FJ21" i="5"/>
  <c r="FI23" i="5"/>
  <c r="EX51" i="5"/>
  <c r="C168" i="7"/>
  <c r="FM12" i="5" l="1"/>
  <c r="FP11" i="5"/>
  <c r="FK21" i="5"/>
  <c r="FJ23" i="5"/>
  <c r="EY51" i="5"/>
  <c r="C169" i="7"/>
  <c r="FM5" i="5"/>
  <c r="FL6" i="5"/>
  <c r="FN12" i="5" l="1"/>
  <c r="FQ11" i="5"/>
  <c r="FN5" i="5"/>
  <c r="FM6" i="5"/>
  <c r="C170" i="7"/>
  <c r="FL21" i="5"/>
  <c r="FK23" i="5"/>
  <c r="EZ51" i="5"/>
  <c r="FO12" i="5" l="1"/>
  <c r="FR11" i="5"/>
  <c r="C171" i="7"/>
  <c r="FM21" i="5"/>
  <c r="FL23" i="5"/>
  <c r="FA51" i="5"/>
  <c r="FO5" i="5"/>
  <c r="FN6" i="5"/>
  <c r="FP12" i="5" l="1"/>
  <c r="FS11" i="5"/>
  <c r="FN21" i="5"/>
  <c r="FM23" i="5"/>
  <c r="FB51" i="5"/>
  <c r="FP5" i="5"/>
  <c r="FO6" i="5"/>
  <c r="C172" i="7"/>
  <c r="FQ12" i="5" l="1"/>
  <c r="FT11" i="5"/>
  <c r="C173" i="7"/>
  <c r="FO21" i="5"/>
  <c r="FN23" i="5"/>
  <c r="FC51" i="5"/>
  <c r="FQ5" i="5"/>
  <c r="FP6" i="5"/>
  <c r="FR12" i="5" l="1"/>
  <c r="FU11" i="5"/>
  <c r="FP21" i="5"/>
  <c r="FO23" i="5"/>
  <c r="FD51" i="5"/>
  <c r="FQ6" i="5"/>
  <c r="FR5" i="5"/>
  <c r="C174" i="7"/>
  <c r="FS12" i="5" l="1"/>
  <c r="FV11" i="5"/>
  <c r="FS5" i="5"/>
  <c r="FR6" i="5"/>
  <c r="FQ21" i="5"/>
  <c r="FP23" i="5"/>
  <c r="FE51" i="5"/>
  <c r="C175" i="7"/>
  <c r="FT12" i="5" l="1"/>
  <c r="FW11" i="5"/>
  <c r="FR21" i="5"/>
  <c r="FQ23" i="5"/>
  <c r="FF51" i="5"/>
  <c r="C176" i="7"/>
  <c r="FT5" i="5"/>
  <c r="FS6" i="5"/>
  <c r="FU12" i="5" l="1"/>
  <c r="FX11" i="5"/>
  <c r="C177" i="7"/>
  <c r="FU5" i="5"/>
  <c r="FT6" i="5"/>
  <c r="FS21" i="5"/>
  <c r="FR23" i="5"/>
  <c r="FG51" i="5"/>
  <c r="FV12" i="5" l="1"/>
  <c r="FY11" i="5"/>
  <c r="FV5" i="5"/>
  <c r="FU6" i="5"/>
  <c r="FT21" i="5"/>
  <c r="FS23" i="5"/>
  <c r="FH51" i="5"/>
  <c r="C178" i="7"/>
  <c r="FW12" i="5" l="1"/>
  <c r="FZ11" i="5"/>
  <c r="FU21" i="5"/>
  <c r="FT23" i="5"/>
  <c r="FI51" i="5"/>
  <c r="C179" i="7"/>
  <c r="FW5" i="5"/>
  <c r="FV6" i="5"/>
  <c r="FX12" i="5" l="1"/>
  <c r="GA11" i="5"/>
  <c r="FV21" i="5"/>
  <c r="FU23" i="5"/>
  <c r="FJ51" i="5"/>
  <c r="FX5" i="5"/>
  <c r="FW6" i="5"/>
  <c r="C180" i="7"/>
  <c r="FY12" i="5" l="1"/>
  <c r="GB11" i="5"/>
  <c r="FY5" i="5"/>
  <c r="FX6" i="5"/>
  <c r="C181" i="7"/>
  <c r="FW21" i="5"/>
  <c r="FV23" i="5"/>
  <c r="FK51" i="5"/>
  <c r="FZ12" i="5" l="1"/>
  <c r="GC11" i="5"/>
  <c r="C182" i="7"/>
  <c r="FX21" i="5"/>
  <c r="FW23" i="5"/>
  <c r="FL51" i="5"/>
  <c r="FZ5" i="5"/>
  <c r="FY6" i="5"/>
  <c r="GA12" i="5" l="1"/>
  <c r="GD11" i="5"/>
  <c r="FY21" i="5"/>
  <c r="FX23" i="5"/>
  <c r="FM51" i="5"/>
  <c r="GA5" i="5"/>
  <c r="FZ6" i="5"/>
  <c r="C183" i="7"/>
  <c r="GB12" i="5" l="1"/>
  <c r="GE11" i="5"/>
  <c r="C184" i="7"/>
  <c r="GB5" i="5"/>
  <c r="GA6" i="5"/>
  <c r="FZ21" i="5"/>
  <c r="FY23" i="5"/>
  <c r="FN51" i="5"/>
  <c r="GC12" i="5" l="1"/>
  <c r="GF11" i="5"/>
  <c r="GC5" i="5"/>
  <c r="GB6" i="5"/>
  <c r="GA21" i="5"/>
  <c r="FZ23" i="5"/>
  <c r="FO51" i="5"/>
  <c r="C185" i="7"/>
  <c r="GD12" i="5" l="1"/>
  <c r="GG11" i="5"/>
  <c r="GB21" i="5"/>
  <c r="GA23" i="5"/>
  <c r="FP51" i="5"/>
  <c r="GD5" i="5"/>
  <c r="GC6" i="5"/>
  <c r="C186" i="7"/>
  <c r="GE12" i="5" l="1"/>
  <c r="GH11" i="5"/>
  <c r="GC21" i="5"/>
  <c r="GB23" i="5"/>
  <c r="FQ51" i="5"/>
  <c r="C187" i="7"/>
  <c r="GE5" i="5"/>
  <c r="GD6" i="5"/>
  <c r="GF12" i="5" l="1"/>
  <c r="GI11" i="5"/>
  <c r="C188" i="7"/>
  <c r="GF5" i="5"/>
  <c r="GE6" i="5"/>
  <c r="GD21" i="5"/>
  <c r="GC23" i="5"/>
  <c r="FR51" i="5"/>
  <c r="GG12" i="5" l="1"/>
  <c r="GJ11" i="5"/>
  <c r="GG5" i="5"/>
  <c r="GF6" i="5"/>
  <c r="GE21" i="5"/>
  <c r="GD23" i="5"/>
  <c r="FS51" i="5"/>
  <c r="C189" i="7"/>
  <c r="GH12" i="5" l="1"/>
  <c r="GK11" i="5"/>
  <c r="GF21" i="5"/>
  <c r="GE23" i="5"/>
  <c r="FT51" i="5"/>
  <c r="C190" i="7"/>
  <c r="GG6" i="5"/>
  <c r="GH5" i="5"/>
  <c r="GI12" i="5" l="1"/>
  <c r="GL11" i="5"/>
  <c r="C191" i="7"/>
  <c r="GH6" i="5"/>
  <c r="GI5" i="5"/>
  <c r="GG21" i="5"/>
  <c r="GF23" i="5"/>
  <c r="FU51" i="5"/>
  <c r="GJ12" i="5" l="1"/>
  <c r="GM11" i="5"/>
  <c r="GH21" i="5"/>
  <c r="GG23" i="5"/>
  <c r="FV51" i="5"/>
  <c r="C192" i="7"/>
  <c r="GJ5" i="5"/>
  <c r="GI6" i="5"/>
  <c r="GK12" i="5" l="1"/>
  <c r="GN11" i="5"/>
  <c r="GI21" i="5"/>
  <c r="GH23" i="5"/>
  <c r="FW51" i="5"/>
  <c r="C193" i="7"/>
  <c r="GK5" i="5"/>
  <c r="GJ6" i="5"/>
  <c r="GL12" i="5" l="1"/>
  <c r="GO11" i="5"/>
  <c r="GL5" i="5"/>
  <c r="GK6" i="5"/>
  <c r="GJ21" i="5"/>
  <c r="GI23" i="5"/>
  <c r="FX51" i="5"/>
  <c r="C194" i="7"/>
  <c r="GM12" i="5" l="1"/>
  <c r="GP11" i="5"/>
  <c r="C195" i="7"/>
  <c r="GK21" i="5"/>
  <c r="GJ23" i="5"/>
  <c r="FY51" i="5"/>
  <c r="GM5" i="5"/>
  <c r="GL6" i="5"/>
  <c r="GN12" i="5" l="1"/>
  <c r="GQ11" i="5"/>
  <c r="GM6" i="5"/>
  <c r="GN5" i="5"/>
  <c r="GL21" i="5"/>
  <c r="GK23" i="5"/>
  <c r="FZ51" i="5"/>
  <c r="C196" i="7"/>
  <c r="GO12" i="5" l="1"/>
  <c r="GR11" i="5"/>
  <c r="GM21" i="5"/>
  <c r="GL23" i="5"/>
  <c r="GA51" i="5"/>
  <c r="GO5" i="5"/>
  <c r="GN6" i="5"/>
  <c r="C197" i="7"/>
  <c r="GP12" i="5" l="1"/>
  <c r="GS11" i="5"/>
  <c r="C198" i="7"/>
  <c r="GO6" i="5"/>
  <c r="GP5" i="5"/>
  <c r="GN21" i="5"/>
  <c r="GM23" i="5"/>
  <c r="GB51" i="5"/>
  <c r="GQ12" i="5" l="1"/>
  <c r="GT11" i="5"/>
  <c r="GP6" i="5"/>
  <c r="GQ5" i="5"/>
  <c r="GO21" i="5"/>
  <c r="GN23" i="5"/>
  <c r="GC51" i="5"/>
  <c r="C199" i="7"/>
  <c r="GR12" i="5" l="1"/>
  <c r="GR5" i="5"/>
  <c r="GQ6" i="5"/>
  <c r="C200" i="7"/>
  <c r="GP21" i="5"/>
  <c r="GO23" i="5"/>
  <c r="GD51" i="5"/>
  <c r="GS12" i="5" l="1"/>
  <c r="C201" i="7"/>
  <c r="GQ21" i="5"/>
  <c r="GP23" i="5"/>
  <c r="GE51" i="5"/>
  <c r="GS5" i="5"/>
  <c r="GR6" i="5"/>
  <c r="GT12" i="5" l="1"/>
  <c r="GR21" i="5"/>
  <c r="GQ23" i="5"/>
  <c r="GF51" i="5"/>
  <c r="C202" i="7"/>
  <c r="GS6" i="5"/>
  <c r="GT5" i="5"/>
  <c r="GT6" i="5" s="1"/>
  <c r="C203" i="7" l="1"/>
  <c r="GS21" i="5"/>
  <c r="GR23" i="5"/>
  <c r="GG51" i="5"/>
  <c r="GT21" i="5" l="1"/>
  <c r="GS51" i="5" s="1"/>
  <c r="GS23" i="5"/>
  <c r="GH51" i="5"/>
  <c r="GL51" i="5"/>
  <c r="C204" i="7"/>
  <c r="GK51" i="5" l="1"/>
  <c r="GM51" i="5"/>
  <c r="GO51" i="5"/>
  <c r="GP51" i="5"/>
  <c r="GQ51" i="5"/>
  <c r="C205" i="7"/>
  <c r="GT51" i="5"/>
  <c r="GT23" i="5"/>
  <c r="GI51" i="5"/>
  <c r="GJ51" i="5"/>
  <c r="GR51" i="5"/>
  <c r="GN51" i="5"/>
  <c r="N28" i="13" l="1"/>
  <c r="O28" i="13"/>
  <c r="P28" i="13"/>
  <c r="C206" i="7"/>
  <c r="C207" i="7" l="1"/>
  <c r="C208" i="7" l="1"/>
  <c r="C209" i="7" l="1"/>
  <c r="C210" i="7" l="1"/>
  <c r="C211" i="7" l="1"/>
  <c r="C212" i="7" l="1"/>
  <c r="C213" i="7" l="1"/>
  <c r="C214" i="7" l="1"/>
  <c r="C215" i="7" l="1"/>
  <c r="C216" i="7" l="1"/>
  <c r="C217" i="7" l="1"/>
  <c r="C218" i="7" l="1"/>
  <c r="C219" i="7" l="1"/>
  <c r="C220" i="7" l="1"/>
  <c r="C221" i="7" l="1"/>
  <c r="C222" i="7" l="1"/>
  <c r="C223" i="7" l="1"/>
  <c r="C224" i="7" l="1"/>
  <c r="C225" i="7" l="1"/>
  <c r="C226" i="7" l="1"/>
  <c r="C227" i="7" l="1"/>
  <c r="C228" i="7" l="1"/>
  <c r="C229" i="7" l="1"/>
  <c r="C230" i="7" l="1"/>
  <c r="C231" i="7" l="1"/>
  <c r="C232" i="7" l="1"/>
  <c r="C233" i="7" l="1"/>
  <c r="C234" i="7" l="1"/>
  <c r="C235" i="7" l="1"/>
  <c r="C236" i="7" l="1"/>
  <c r="C237" i="7" l="1"/>
  <c r="C238" i="7" l="1"/>
  <c r="C239" i="7" l="1"/>
  <c r="C240" i="7" l="1"/>
  <c r="C241" i="7" l="1"/>
  <c r="C242" i="7" l="1"/>
  <c r="C243" i="7" l="1"/>
  <c r="C244" i="7" l="1"/>
  <c r="C245" i="7" l="1"/>
  <c r="C246" i="7" l="1"/>
  <c r="C247" i="7" l="1"/>
  <c r="C248" i="7" l="1"/>
  <c r="C249" i="7" l="1"/>
  <c r="C250" i="7" l="1"/>
  <c r="C251" i="7" l="1"/>
  <c r="C252" i="7" l="1"/>
  <c r="C253" i="7" l="1"/>
  <c r="C254" i="7" l="1"/>
  <c r="C255" i="7" l="1"/>
  <c r="C256" i="7" l="1"/>
  <c r="C257" i="7" l="1"/>
  <c r="C258" i="7" l="1"/>
  <c r="C259" i="7" l="1"/>
  <c r="C260" i="7" l="1"/>
  <c r="C261" i="7" l="1"/>
  <c r="C262" i="7" l="1"/>
  <c r="C263" i="7" l="1"/>
  <c r="C264" i="7" l="1"/>
  <c r="C265" i="7" l="1"/>
  <c r="C266" i="7" l="1"/>
  <c r="C267" i="7" l="1"/>
  <c r="C268" i="7" l="1"/>
  <c r="C269" i="7" l="1"/>
  <c r="C270" i="7" l="1"/>
  <c r="C271" i="7" l="1"/>
  <c r="C272" i="7" l="1"/>
  <c r="C273" i="7" l="1"/>
  <c r="C274" i="7" l="1"/>
  <c r="C275" i="7" l="1"/>
  <c r="C276" i="7" l="1"/>
  <c r="C277" i="7" l="1"/>
  <c r="C278" i="7" l="1"/>
  <c r="C279" i="7" l="1"/>
  <c r="C280" i="7" l="1"/>
  <c r="C281" i="7" l="1"/>
  <c r="C282" i="7" l="1"/>
  <c r="C283" i="7" l="1"/>
  <c r="C284" i="7" l="1"/>
  <c r="C285" i="7" l="1"/>
  <c r="C286" i="7" l="1"/>
  <c r="C287" i="7" l="1"/>
  <c r="C288" i="7" l="1"/>
  <c r="C289" i="7" l="1"/>
  <c r="C290" i="7" l="1"/>
  <c r="C291" i="7" l="1"/>
  <c r="C292" i="7" l="1"/>
  <c r="C293" i="7" l="1"/>
  <c r="C294" i="7" l="1"/>
  <c r="C295" i="7" l="1"/>
  <c r="C296" i="7" l="1"/>
  <c r="C297" i="7" l="1"/>
  <c r="C298" i="7" l="1"/>
  <c r="C299" i="7" l="1"/>
  <c r="C300" i="7" l="1"/>
  <c r="C301" i="7" l="1"/>
  <c r="C302" i="7" l="1"/>
  <c r="C303" i="7" l="1"/>
  <c r="C304" i="7" l="1"/>
  <c r="C305" i="7" l="1"/>
  <c r="C306" i="7" l="1"/>
  <c r="C307" i="7" l="1"/>
  <c r="C308" i="7" l="1"/>
  <c r="C309" i="7" l="1"/>
  <c r="C310" i="7" l="1"/>
  <c r="C311" i="7" l="1"/>
  <c r="C312" i="7" l="1"/>
  <c r="C313" i="7" l="1"/>
  <c r="C314" i="7" l="1"/>
  <c r="C315" i="7" l="1"/>
  <c r="C316" i="7" l="1"/>
  <c r="C317" i="7" l="1"/>
  <c r="C318" i="7" l="1"/>
  <c r="C319" i="7" l="1"/>
  <c r="C320" i="7" l="1"/>
  <c r="C321" i="7" l="1"/>
  <c r="C322" i="7" l="1"/>
  <c r="C323" i="7" l="1"/>
  <c r="C324" i="7" l="1"/>
  <c r="C325" i="7" l="1"/>
  <c r="C326" i="7" l="1"/>
  <c r="C327" i="7" l="1"/>
  <c r="C328" i="7" l="1"/>
  <c r="C329" i="7" l="1"/>
  <c r="C330" i="7" l="1"/>
  <c r="C331" i="7" l="1"/>
  <c r="C332" i="7" l="1"/>
  <c r="C333" i="7" l="1"/>
  <c r="C334" i="7" l="1"/>
  <c r="C335" i="7" l="1"/>
  <c r="C336" i="7" l="1"/>
  <c r="C337" i="7" l="1"/>
  <c r="C338" i="7" l="1"/>
  <c r="C339" i="7" l="1"/>
  <c r="C340" i="7" l="1"/>
  <c r="C341" i="7" l="1"/>
  <c r="C342" i="7" l="1"/>
  <c r="C343" i="7" l="1"/>
  <c r="C344" i="7" l="1"/>
  <c r="C345" i="7" l="1"/>
  <c r="C346" i="7" l="1"/>
  <c r="C347" i="7" l="1"/>
  <c r="C348" i="7" l="1"/>
  <c r="C349" i="7" l="1"/>
  <c r="C350" i="7" l="1"/>
  <c r="C351" i="7" l="1"/>
  <c r="C352" i="7" l="1"/>
  <c r="C353" i="7" l="1"/>
  <c r="C354" i="7" l="1"/>
  <c r="C355" i="7" l="1"/>
  <c r="C356" i="7" l="1"/>
  <c r="C357" i="7" l="1"/>
  <c r="C358" i="7" l="1"/>
  <c r="C359" i="7" l="1"/>
  <c r="C360" i="7" l="1"/>
  <c r="C361" i="7" l="1"/>
  <c r="C362" i="7" l="1"/>
  <c r="C363" i="7" l="1"/>
  <c r="C364" i="7" l="1"/>
  <c r="C365" i="7" l="1"/>
  <c r="C366" i="7" l="1"/>
  <c r="C367" i="7" l="1"/>
  <c r="C368" i="7" l="1"/>
  <c r="C369" i="7" l="1"/>
  <c r="C370" i="7" l="1"/>
  <c r="C371" i="7" l="1"/>
  <c r="C372" i="7" l="1"/>
  <c r="C373" i="7" l="1"/>
  <c r="C374" i="7" l="1"/>
  <c r="C375" i="7" l="1"/>
  <c r="C376" i="7" l="1"/>
  <c r="C377" i="7" l="1"/>
  <c r="C378" i="7" l="1"/>
  <c r="C379" i="7" l="1"/>
  <c r="C380" i="7" l="1"/>
  <c r="C381" i="7" l="1"/>
  <c r="C382" i="7" l="1"/>
  <c r="C383" i="7" l="1"/>
  <c r="C384" i="7" l="1"/>
  <c r="C385" i="7" l="1"/>
  <c r="C386" i="7" l="1"/>
  <c r="C387" i="7" l="1"/>
  <c r="C388" i="7" l="1"/>
  <c r="C389" i="7" l="1"/>
  <c r="C390" i="7" l="1"/>
  <c r="C391" i="7" l="1"/>
  <c r="C392" i="7" l="1"/>
  <c r="C393" i="7" l="1"/>
  <c r="C394" i="7" l="1"/>
  <c r="C395" i="7" l="1"/>
  <c r="C396" i="7" l="1"/>
  <c r="C397" i="7" l="1"/>
  <c r="C398" i="7" l="1"/>
  <c r="C399" i="7" l="1"/>
  <c r="C400" i="7" l="1"/>
  <c r="C401" i="7" l="1"/>
  <c r="C402" i="7" l="1"/>
  <c r="C403" i="7" l="1"/>
  <c r="C404" i="7" l="1"/>
  <c r="C405" i="7" l="1"/>
  <c r="C406" i="7" l="1"/>
  <c r="C407" i="7" l="1"/>
  <c r="C408" i="7" l="1"/>
  <c r="C409" i="7" l="1"/>
  <c r="C410" i="7" l="1"/>
  <c r="C411" i="7" l="1"/>
  <c r="C412" i="7" l="1"/>
  <c r="C413" i="7" l="1"/>
  <c r="C414" i="7" l="1"/>
  <c r="C415" i="7" l="1"/>
  <c r="C416" i="7" l="1"/>
  <c r="C417" i="7" l="1"/>
  <c r="C418" i="7" l="1"/>
  <c r="C419" i="7" l="1"/>
  <c r="C420" i="7" l="1"/>
  <c r="C421" i="7" l="1"/>
  <c r="C422" i="7" l="1"/>
  <c r="C423" i="7" l="1"/>
  <c r="C424" i="7" l="1"/>
  <c r="C425" i="7" l="1"/>
  <c r="C426" i="7" l="1"/>
  <c r="C427" i="7" l="1"/>
  <c r="C428" i="7" l="1"/>
  <c r="C429" i="7" l="1"/>
  <c r="C430" i="7" l="1"/>
  <c r="C431" i="7" l="1"/>
  <c r="C432" i="7" l="1"/>
  <c r="C433" i="7" l="1"/>
  <c r="C435" i="7" l="1"/>
  <c r="C434" i="7"/>
  <c r="FS7" i="5" l="1"/>
  <c r="EY7" i="5"/>
  <c r="FV7" i="5"/>
  <c r="EH7" i="5"/>
  <c r="X7" i="5"/>
  <c r="FO7" i="5"/>
  <c r="GT7" i="5"/>
  <c r="AF7" i="5"/>
  <c r="CU7" i="5"/>
  <c r="CN7" i="5"/>
  <c r="GD7" i="5"/>
  <c r="DA7" i="5"/>
  <c r="GS7" i="5"/>
  <c r="FF7" i="5"/>
  <c r="AB7" i="5"/>
  <c r="EV7" i="5"/>
  <c r="GK7" i="5"/>
  <c r="GB7" i="5"/>
  <c r="CQ7" i="5"/>
  <c r="GA7" i="5"/>
  <c r="EX7" i="5"/>
  <c r="GC7" i="5"/>
  <c r="FU7" i="5"/>
  <c r="EM7" i="5"/>
  <c r="FM7" i="5"/>
  <c r="AV7" i="5"/>
  <c r="EW7" i="5"/>
  <c r="FX7" i="5"/>
  <c r="AJ7" i="5"/>
  <c r="GE7" i="5"/>
  <c r="BT7" i="5"/>
  <c r="GL7" i="5"/>
  <c r="GR7" i="5"/>
  <c r="DG7" i="5"/>
  <c r="DD7" i="5"/>
  <c r="FN7" i="5"/>
  <c r="AO7" i="5"/>
  <c r="AR7" i="5"/>
  <c r="CR7" i="5"/>
  <c r="DW7" i="5"/>
  <c r="DH7" i="5"/>
  <c r="FH7" i="5"/>
  <c r="FE7" i="5"/>
  <c r="GN7" i="5"/>
  <c r="DX7" i="5"/>
  <c r="FA7" i="5"/>
  <c r="FC7" i="5"/>
  <c r="EQ7" i="5"/>
  <c r="EA7" i="5"/>
  <c r="DK7" i="5"/>
  <c r="BL7" i="5"/>
  <c r="DP7" i="5"/>
  <c r="GQ7" i="5"/>
  <c r="FL7" i="5"/>
  <c r="CJ7" i="5"/>
  <c r="EK7" i="5"/>
  <c r="BN7" i="5"/>
  <c r="BA7" i="5"/>
  <c r="FW7" i="5"/>
  <c r="EF7" i="5"/>
  <c r="AC7" i="5"/>
  <c r="FJ7" i="5"/>
  <c r="AE7" i="5"/>
  <c r="AM7" i="5"/>
  <c r="ER7" i="5"/>
  <c r="CP7" i="5"/>
  <c r="BI7" i="5"/>
  <c r="AW7" i="5"/>
  <c r="BU7" i="5"/>
  <c r="GH7" i="5"/>
  <c r="Y7" i="5"/>
  <c r="EL7" i="5"/>
  <c r="EP7" i="5"/>
  <c r="BC7" i="5"/>
  <c r="AN7" i="5"/>
  <c r="BO7" i="5"/>
  <c r="AZ7" i="5"/>
  <c r="BY7" i="5"/>
  <c r="GI7" i="5"/>
  <c r="GG7" i="5"/>
  <c r="EC7" i="5"/>
  <c r="AX7" i="5"/>
  <c r="CA7" i="5"/>
  <c r="C7" i="5"/>
  <c r="C46" i="5" s="1"/>
  <c r="EZ7" i="5"/>
  <c r="CT7" i="5"/>
  <c r="FB7" i="5"/>
  <c r="FK7" i="5"/>
  <c r="CL7" i="5"/>
  <c r="EG7" i="5"/>
  <c r="CO7" i="5"/>
  <c r="Q7" i="5"/>
  <c r="CI7" i="5"/>
  <c r="DU7" i="5"/>
  <c r="AD7" i="5"/>
  <c r="FT7" i="5"/>
  <c r="CG7" i="5"/>
  <c r="BE7" i="5"/>
  <c r="DL7" i="5"/>
  <c r="CD7" i="5"/>
  <c r="BD7" i="5"/>
  <c r="AH7" i="5"/>
  <c r="DT7" i="5"/>
  <c r="U7" i="5"/>
  <c r="DZ7" i="5"/>
  <c r="FR7" i="5"/>
  <c r="J7" i="5"/>
  <c r="GF7" i="5"/>
  <c r="FP7" i="5"/>
  <c r="DR7" i="5"/>
  <c r="GJ7" i="5"/>
  <c r="DE7" i="5"/>
  <c r="DM7" i="5"/>
  <c r="DI7" i="5"/>
  <c r="R7" i="5"/>
  <c r="V7" i="5"/>
  <c r="DC7" i="5"/>
  <c r="FZ7" i="5"/>
  <c r="BH7" i="5"/>
  <c r="CE7" i="5"/>
  <c r="DQ7" i="5"/>
  <c r="AI7" i="5"/>
  <c r="AP7" i="5"/>
  <c r="BS7" i="5"/>
  <c r="EN7" i="5"/>
  <c r="AS7" i="5"/>
  <c r="BX7" i="5"/>
  <c r="DB7" i="5"/>
  <c r="BG7" i="5"/>
  <c r="ET7" i="5"/>
  <c r="CM7" i="5"/>
  <c r="DY7" i="5"/>
  <c r="CC7" i="5"/>
  <c r="FG7" i="5"/>
  <c r="GM7" i="5"/>
  <c r="AK7" i="5"/>
  <c r="CZ7" i="5"/>
  <c r="CY7" i="5"/>
  <c r="DJ7" i="5"/>
  <c r="EI7" i="5"/>
  <c r="BF7" i="5"/>
  <c r="BV7" i="5"/>
  <c r="AU7" i="5"/>
  <c r="EU7" i="5"/>
  <c r="FQ7" i="5"/>
  <c r="W7" i="5"/>
  <c r="CW7" i="5"/>
  <c r="BW7" i="5"/>
  <c r="DS7" i="5"/>
  <c r="Z7" i="5"/>
  <c r="EO7" i="5"/>
  <c r="BM7" i="5"/>
  <c r="AG7" i="5"/>
  <c r="P7" i="5"/>
  <c r="AY7" i="5"/>
  <c r="EJ7" i="5"/>
  <c r="CB7" i="5"/>
  <c r="BQ7" i="5"/>
  <c r="BK7" i="5"/>
  <c r="FD7" i="5"/>
  <c r="GP7" i="5"/>
  <c r="S7" i="5"/>
  <c r="AQ7" i="5"/>
  <c r="EE7" i="5"/>
  <c r="DO7" i="5"/>
  <c r="CS7" i="5"/>
  <c r="AA7" i="5"/>
  <c r="CF7" i="5"/>
  <c r="EB7" i="5"/>
  <c r="AL7" i="5"/>
  <c r="L7" i="5"/>
  <c r="I7" i="5"/>
  <c r="I46" i="5" s="1"/>
  <c r="FY7" i="5"/>
  <c r="DF7" i="5"/>
  <c r="O7" i="5"/>
  <c r="FI7" i="5"/>
  <c r="DN7" i="5"/>
  <c r="F7" i="5"/>
  <c r="F46" i="5" s="1"/>
  <c r="CK7" i="5"/>
  <c r="E7" i="5"/>
  <c r="E46" i="5" s="1"/>
  <c r="BJ7" i="5"/>
  <c r="CX7" i="5"/>
  <c r="BR7" i="5"/>
  <c r="DV7" i="5"/>
  <c r="BZ7" i="5"/>
  <c r="M7" i="5"/>
  <c r="K7" i="5"/>
  <c r="GO7" i="5"/>
  <c r="BB7" i="5"/>
  <c r="BP7" i="5"/>
  <c r="CV7" i="5"/>
  <c r="AT7" i="5"/>
  <c r="ES7" i="5"/>
  <c r="T7" i="5"/>
  <c r="H7" i="5"/>
  <c r="H46" i="5" s="1"/>
  <c r="D7" i="5"/>
  <c r="D46" i="5" s="1"/>
  <c r="N7" i="5"/>
  <c r="CH7" i="5"/>
  <c r="G7" i="5"/>
  <c r="G46" i="5" s="1"/>
  <c r="ED7" i="5"/>
  <c r="GO16" i="5" l="1"/>
  <c r="GO8" i="5"/>
  <c r="GO10" i="5" s="1"/>
  <c r="E16" i="5"/>
  <c r="E8" i="5"/>
  <c r="E10" i="5" s="1"/>
  <c r="EE16" i="5"/>
  <c r="EE8" i="5"/>
  <c r="EE10" i="5" s="1"/>
  <c r="BM16" i="5"/>
  <c r="BM8" i="5"/>
  <c r="BM10" i="5" s="1"/>
  <c r="EU16" i="5"/>
  <c r="EU8" i="5"/>
  <c r="EU10" i="5" s="1"/>
  <c r="EI16" i="5"/>
  <c r="EI8" i="5"/>
  <c r="EI10" i="5" s="1"/>
  <c r="AK16" i="5"/>
  <c r="AK8" i="5"/>
  <c r="AK10" i="5" s="1"/>
  <c r="DY16" i="5"/>
  <c r="DY8" i="5"/>
  <c r="DY10" i="5" s="1"/>
  <c r="DB16" i="5"/>
  <c r="DB8" i="5"/>
  <c r="DB10" i="5" s="1"/>
  <c r="BS16" i="5"/>
  <c r="BS8" i="5"/>
  <c r="BS10" i="5" s="1"/>
  <c r="CE16" i="5"/>
  <c r="CE8" i="5"/>
  <c r="CE10" i="5" s="1"/>
  <c r="V16" i="5"/>
  <c r="V8" i="5"/>
  <c r="V10" i="5" s="1"/>
  <c r="DE16" i="5"/>
  <c r="DE8" i="5"/>
  <c r="DE10" i="5" s="1"/>
  <c r="GF16" i="5"/>
  <c r="GF8" i="5"/>
  <c r="GF10" i="5" s="1"/>
  <c r="U16" i="5"/>
  <c r="U8" i="5"/>
  <c r="U10" i="5" s="1"/>
  <c r="CD16" i="5"/>
  <c r="CD8" i="5"/>
  <c r="CD10" i="5" s="1"/>
  <c r="FT16" i="5"/>
  <c r="FT8" i="5"/>
  <c r="FT10" i="5" s="1"/>
  <c r="Q8" i="5"/>
  <c r="Q10" i="5" s="1"/>
  <c r="Q16" i="5"/>
  <c r="Q17" i="5" s="1"/>
  <c r="Q19" i="5" s="1"/>
  <c r="Q24" i="5" s="1"/>
  <c r="Q27" i="5" s="1"/>
  <c r="Q28" i="5" s="1"/>
  <c r="Q30" i="5" s="1"/>
  <c r="FK16" i="5"/>
  <c r="FK8" i="5"/>
  <c r="FK10" i="5" s="1"/>
  <c r="C8" i="5"/>
  <c r="C10" i="5" s="1"/>
  <c r="C16" i="5"/>
  <c r="GG16" i="5"/>
  <c r="GG8" i="5"/>
  <c r="GG10" i="5" s="1"/>
  <c r="BO16" i="5"/>
  <c r="BO8" i="5"/>
  <c r="BO10" i="5" s="1"/>
  <c r="EL16" i="5"/>
  <c r="EL8" i="5"/>
  <c r="EL10" i="5" s="1"/>
  <c r="AW16" i="5"/>
  <c r="AW8" i="5"/>
  <c r="AW10" i="5" s="1"/>
  <c r="AM16" i="5"/>
  <c r="AM8" i="5"/>
  <c r="AM10" i="5" s="1"/>
  <c r="EF16" i="5"/>
  <c r="EF8" i="5"/>
  <c r="EF10" i="5" s="1"/>
  <c r="EK16" i="5"/>
  <c r="EK8" i="5"/>
  <c r="EK10" i="5" s="1"/>
  <c r="DP16" i="5"/>
  <c r="DP8" i="5"/>
  <c r="DP10" i="5" s="1"/>
  <c r="EQ16" i="5"/>
  <c r="EQ8" i="5"/>
  <c r="EQ10" i="5" s="1"/>
  <c r="GN16" i="5"/>
  <c r="GN8" i="5"/>
  <c r="GN10" i="5" s="1"/>
  <c r="DW16" i="5"/>
  <c r="DW8" i="5"/>
  <c r="DW10" i="5" s="1"/>
  <c r="FN16" i="5"/>
  <c r="FN8" i="5"/>
  <c r="FN10" i="5" s="1"/>
  <c r="GL16" i="5"/>
  <c r="GL8" i="5"/>
  <c r="GL10" i="5" s="1"/>
  <c r="FX16" i="5"/>
  <c r="FX8" i="5"/>
  <c r="FX10" i="5" s="1"/>
  <c r="EM16" i="5"/>
  <c r="EM8" i="5"/>
  <c r="EM10" i="5" s="1"/>
  <c r="GA16" i="5"/>
  <c r="GA8" i="5"/>
  <c r="GA10" i="5" s="1"/>
  <c r="EV16" i="5"/>
  <c r="EV8" i="5"/>
  <c r="EV10" i="5" s="1"/>
  <c r="DA16" i="5"/>
  <c r="DA8" i="5"/>
  <c r="DA10" i="5" s="1"/>
  <c r="AF16" i="5"/>
  <c r="AF8" i="5"/>
  <c r="AF10" i="5" s="1"/>
  <c r="EH16" i="5"/>
  <c r="EH8" i="5"/>
  <c r="EH10" i="5" s="1"/>
  <c r="D16" i="5"/>
  <c r="D8" i="5"/>
  <c r="D10" i="5" s="1"/>
  <c r="FI16" i="5"/>
  <c r="FI8" i="5"/>
  <c r="FI10" i="5" s="1"/>
  <c r="EJ16" i="5"/>
  <c r="EJ8" i="5"/>
  <c r="EJ10" i="5" s="1"/>
  <c r="G16" i="5"/>
  <c r="G8" i="5"/>
  <c r="G10" i="5" s="1"/>
  <c r="H16" i="5"/>
  <c r="H8" i="5"/>
  <c r="H10" i="5" s="1"/>
  <c r="CV16" i="5"/>
  <c r="CV8" i="5"/>
  <c r="CV10" i="5" s="1"/>
  <c r="K16" i="5"/>
  <c r="K8" i="5"/>
  <c r="K10" i="5" s="1"/>
  <c r="BR16" i="5"/>
  <c r="BR8" i="5"/>
  <c r="BR10" i="5" s="1"/>
  <c r="CK16" i="5"/>
  <c r="CK8" i="5"/>
  <c r="CK10" i="5" s="1"/>
  <c r="O16" i="5"/>
  <c r="O8" i="5"/>
  <c r="O10" i="5" s="1"/>
  <c r="L16" i="5"/>
  <c r="L8" i="5"/>
  <c r="L10" i="5" s="1"/>
  <c r="AA16" i="5"/>
  <c r="AA8" i="5"/>
  <c r="AA10" i="5" s="1"/>
  <c r="AQ16" i="5"/>
  <c r="AQ8" i="5"/>
  <c r="AQ10" i="5" s="1"/>
  <c r="BK16" i="5"/>
  <c r="BK8" i="5"/>
  <c r="BK10" i="5" s="1"/>
  <c r="AY16" i="5"/>
  <c r="AY8" i="5"/>
  <c r="AY10" i="5" s="1"/>
  <c r="EO16" i="5"/>
  <c r="EO8" i="5"/>
  <c r="EO10" i="5" s="1"/>
  <c r="CW16" i="5"/>
  <c r="CW8" i="5"/>
  <c r="CW10" i="5" s="1"/>
  <c r="AU16" i="5"/>
  <c r="AU8" i="5"/>
  <c r="AU10" i="5" s="1"/>
  <c r="DJ16" i="5"/>
  <c r="DJ8" i="5"/>
  <c r="DJ10" i="5" s="1"/>
  <c r="GM16" i="5"/>
  <c r="GM8" i="5"/>
  <c r="GM10" i="5" s="1"/>
  <c r="CM16" i="5"/>
  <c r="CM8" i="5"/>
  <c r="CM10" i="5" s="1"/>
  <c r="BX16" i="5"/>
  <c r="BX8" i="5"/>
  <c r="BX10" i="5" s="1"/>
  <c r="AP16" i="5"/>
  <c r="AP8" i="5"/>
  <c r="AP10" i="5" s="1"/>
  <c r="BH16" i="5"/>
  <c r="BH8" i="5"/>
  <c r="BH10" i="5" s="1"/>
  <c r="R16" i="5"/>
  <c r="R8" i="5"/>
  <c r="R10" i="5" s="1"/>
  <c r="GJ16" i="5"/>
  <c r="GJ8" i="5"/>
  <c r="GJ10" i="5" s="1"/>
  <c r="J16" i="5"/>
  <c r="J8" i="5"/>
  <c r="J10" i="5" s="1"/>
  <c r="DT16" i="5"/>
  <c r="DT8" i="5"/>
  <c r="DT10" i="5" s="1"/>
  <c r="DL16" i="5"/>
  <c r="DL8" i="5"/>
  <c r="DL10" i="5" s="1"/>
  <c r="AD16" i="5"/>
  <c r="AD8" i="5"/>
  <c r="AD10" i="5" s="1"/>
  <c r="CO16" i="5"/>
  <c r="CO8" i="5"/>
  <c r="CO10" i="5" s="1"/>
  <c r="FB16" i="5"/>
  <c r="FB8" i="5"/>
  <c r="FB10" i="5" s="1"/>
  <c r="CA16" i="5"/>
  <c r="CA8" i="5"/>
  <c r="CA10" i="5" s="1"/>
  <c r="GI16" i="5"/>
  <c r="GI8" i="5"/>
  <c r="GI10" i="5" s="1"/>
  <c r="AN16" i="5"/>
  <c r="AN8" i="5"/>
  <c r="AN10" i="5" s="1"/>
  <c r="Y16" i="5"/>
  <c r="Y8" i="5"/>
  <c r="Y10" i="5" s="1"/>
  <c r="BI16" i="5"/>
  <c r="BI8" i="5"/>
  <c r="BI10" i="5" s="1"/>
  <c r="AE16" i="5"/>
  <c r="AE8" i="5"/>
  <c r="AE10" i="5" s="1"/>
  <c r="FW16" i="5"/>
  <c r="FW8" i="5"/>
  <c r="FW10" i="5" s="1"/>
  <c r="CJ16" i="5"/>
  <c r="CJ8" i="5"/>
  <c r="CJ10" i="5" s="1"/>
  <c r="BL16" i="5"/>
  <c r="BL8" i="5"/>
  <c r="BL10" i="5" s="1"/>
  <c r="FC16" i="5"/>
  <c r="FC8" i="5"/>
  <c r="FC10" i="5" s="1"/>
  <c r="FE16" i="5"/>
  <c r="FE8" i="5"/>
  <c r="FE10" i="5" s="1"/>
  <c r="CR16" i="5"/>
  <c r="CR8" i="5"/>
  <c r="CR10" i="5" s="1"/>
  <c r="DD16" i="5"/>
  <c r="DD8" i="5"/>
  <c r="DD10" i="5" s="1"/>
  <c r="BT16" i="5"/>
  <c r="BT8" i="5"/>
  <c r="BT10" i="5" s="1"/>
  <c r="EW16" i="5"/>
  <c r="EW8" i="5"/>
  <c r="EW10" i="5" s="1"/>
  <c r="FU16" i="5"/>
  <c r="FU8" i="5"/>
  <c r="FU10" i="5" s="1"/>
  <c r="CQ16" i="5"/>
  <c r="CQ8" i="5"/>
  <c r="CQ10" i="5" s="1"/>
  <c r="AB16" i="5"/>
  <c r="AB8" i="5"/>
  <c r="AB10" i="5" s="1"/>
  <c r="GD16" i="5"/>
  <c r="GD8" i="5"/>
  <c r="GD10" i="5" s="1"/>
  <c r="GT16" i="5"/>
  <c r="GT8" i="5"/>
  <c r="GT10" i="5" s="1"/>
  <c r="FV16" i="5"/>
  <c r="FV8" i="5"/>
  <c r="FV10" i="5" s="1"/>
  <c r="ED16" i="5"/>
  <c r="ED8" i="5"/>
  <c r="ED10" i="5" s="1"/>
  <c r="DV16" i="5"/>
  <c r="DV8" i="5"/>
  <c r="DV10" i="5" s="1"/>
  <c r="CF16" i="5"/>
  <c r="CF8" i="5"/>
  <c r="CF10" i="5" s="1"/>
  <c r="FD16" i="5"/>
  <c r="FD8" i="5"/>
  <c r="FD10" i="5" s="1"/>
  <c r="BW16" i="5"/>
  <c r="BW8" i="5"/>
  <c r="BW10" i="5" s="1"/>
  <c r="CH16" i="5"/>
  <c r="CH8" i="5"/>
  <c r="CH10" i="5" s="1"/>
  <c r="T16" i="5"/>
  <c r="T8" i="5"/>
  <c r="T10" i="5" s="1"/>
  <c r="BP16" i="5"/>
  <c r="BP8" i="5"/>
  <c r="BP10" i="5" s="1"/>
  <c r="M16" i="5"/>
  <c r="M8" i="5"/>
  <c r="M10" i="5" s="1"/>
  <c r="CX16" i="5"/>
  <c r="CX8" i="5"/>
  <c r="CX10" i="5" s="1"/>
  <c r="F16" i="5"/>
  <c r="F8" i="5"/>
  <c r="F10" i="5" s="1"/>
  <c r="DF16" i="5"/>
  <c r="DF8" i="5"/>
  <c r="DF10" i="5" s="1"/>
  <c r="AL16" i="5"/>
  <c r="AL8" i="5"/>
  <c r="AL10" i="5" s="1"/>
  <c r="CS16" i="5"/>
  <c r="CS8" i="5"/>
  <c r="CS10" i="5" s="1"/>
  <c r="S16" i="5"/>
  <c r="S8" i="5"/>
  <c r="S10" i="5" s="1"/>
  <c r="BQ16" i="5"/>
  <c r="BQ8" i="5"/>
  <c r="BQ10" i="5" s="1"/>
  <c r="P8" i="5"/>
  <c r="P10" i="5" s="1"/>
  <c r="P56" i="5" s="1"/>
  <c r="X65" i="5" s="1"/>
  <c r="P16" i="5"/>
  <c r="Z16" i="5"/>
  <c r="Z8" i="5"/>
  <c r="Z10" i="5" s="1"/>
  <c r="W16" i="5"/>
  <c r="W8" i="5"/>
  <c r="W10" i="5" s="1"/>
  <c r="BV16" i="5"/>
  <c r="BV8" i="5"/>
  <c r="BV10" i="5" s="1"/>
  <c r="CY16" i="5"/>
  <c r="CY8" i="5"/>
  <c r="CY10" i="5" s="1"/>
  <c r="FG16" i="5"/>
  <c r="FG8" i="5"/>
  <c r="FG10" i="5" s="1"/>
  <c r="ET16" i="5"/>
  <c r="ET8" i="5"/>
  <c r="ET10" i="5" s="1"/>
  <c r="AS16" i="5"/>
  <c r="AS8" i="5"/>
  <c r="AS10" i="5" s="1"/>
  <c r="AI16" i="5"/>
  <c r="AI8" i="5"/>
  <c r="AI10" i="5" s="1"/>
  <c r="FZ16" i="5"/>
  <c r="FZ8" i="5"/>
  <c r="FZ10" i="5" s="1"/>
  <c r="DI16" i="5"/>
  <c r="DI8" i="5"/>
  <c r="DI10" i="5" s="1"/>
  <c r="DR16" i="5"/>
  <c r="DR8" i="5"/>
  <c r="DR10" i="5" s="1"/>
  <c r="FR16" i="5"/>
  <c r="FR8" i="5"/>
  <c r="FR10" i="5" s="1"/>
  <c r="AH16" i="5"/>
  <c r="AH8" i="5"/>
  <c r="AH10" i="5" s="1"/>
  <c r="BE16" i="5"/>
  <c r="BE8" i="5"/>
  <c r="BE10" i="5" s="1"/>
  <c r="DU16" i="5"/>
  <c r="DU8" i="5"/>
  <c r="DU10" i="5" s="1"/>
  <c r="EG16" i="5"/>
  <c r="EG8" i="5"/>
  <c r="EG10" i="5" s="1"/>
  <c r="CT16" i="5"/>
  <c r="CT8" i="5"/>
  <c r="CT10" i="5" s="1"/>
  <c r="AX16" i="5"/>
  <c r="AX8" i="5"/>
  <c r="AX10" i="5" s="1"/>
  <c r="BY16" i="5"/>
  <c r="BY8" i="5"/>
  <c r="BY10" i="5" s="1"/>
  <c r="BC16" i="5"/>
  <c r="BC8" i="5"/>
  <c r="BC10" i="5" s="1"/>
  <c r="GH16" i="5"/>
  <c r="GH8" i="5"/>
  <c r="GH10" i="5" s="1"/>
  <c r="CP16" i="5"/>
  <c r="CP8" i="5"/>
  <c r="CP10" i="5" s="1"/>
  <c r="FJ16" i="5"/>
  <c r="FJ8" i="5"/>
  <c r="FJ10" i="5" s="1"/>
  <c r="BA16" i="5"/>
  <c r="BA8" i="5"/>
  <c r="BA10" i="5" s="1"/>
  <c r="FL16" i="5"/>
  <c r="FL8" i="5"/>
  <c r="FL10" i="5" s="1"/>
  <c r="DK16" i="5"/>
  <c r="DK8" i="5"/>
  <c r="DK10" i="5" s="1"/>
  <c r="FA16" i="5"/>
  <c r="FA8" i="5"/>
  <c r="FA10" i="5" s="1"/>
  <c r="FH16" i="5"/>
  <c r="FH8" i="5"/>
  <c r="FH10" i="5" s="1"/>
  <c r="AR16" i="5"/>
  <c r="AR8" i="5"/>
  <c r="AR10" i="5" s="1"/>
  <c r="DG16" i="5"/>
  <c r="DG8" i="5"/>
  <c r="DG10" i="5" s="1"/>
  <c r="GE16" i="5"/>
  <c r="GE8" i="5"/>
  <c r="GE10" i="5" s="1"/>
  <c r="AV16" i="5"/>
  <c r="AV8" i="5"/>
  <c r="AV10" i="5" s="1"/>
  <c r="GC16" i="5"/>
  <c r="GC8" i="5"/>
  <c r="GC10" i="5" s="1"/>
  <c r="GB16" i="5"/>
  <c r="GB8" i="5"/>
  <c r="GB10" i="5" s="1"/>
  <c r="FF16" i="5"/>
  <c r="FF8" i="5"/>
  <c r="FF10" i="5" s="1"/>
  <c r="CN16" i="5"/>
  <c r="CN8" i="5"/>
  <c r="CN10" i="5" s="1"/>
  <c r="FO16" i="5"/>
  <c r="FO8" i="5"/>
  <c r="FO10" i="5" s="1"/>
  <c r="EY16" i="5"/>
  <c r="EY8" i="5"/>
  <c r="EY10" i="5" s="1"/>
  <c r="AT16" i="5"/>
  <c r="AT8" i="5"/>
  <c r="AT10" i="5" s="1"/>
  <c r="I16" i="5"/>
  <c r="I8" i="5"/>
  <c r="I10" i="5" s="1"/>
  <c r="N16" i="5"/>
  <c r="N8" i="5"/>
  <c r="N10" i="5" s="1"/>
  <c r="ES16" i="5"/>
  <c r="ES8" i="5"/>
  <c r="ES10" i="5" s="1"/>
  <c r="BB16" i="5"/>
  <c r="BB8" i="5"/>
  <c r="BB10" i="5" s="1"/>
  <c r="BZ16" i="5"/>
  <c r="BZ8" i="5"/>
  <c r="BZ10" i="5" s="1"/>
  <c r="BJ16" i="5"/>
  <c r="BJ8" i="5"/>
  <c r="BJ10" i="5" s="1"/>
  <c r="DN16" i="5"/>
  <c r="DN8" i="5"/>
  <c r="DN10" i="5" s="1"/>
  <c r="FY16" i="5"/>
  <c r="FY8" i="5"/>
  <c r="FY10" i="5" s="1"/>
  <c r="EB16" i="5"/>
  <c r="EB8" i="5"/>
  <c r="EB10" i="5" s="1"/>
  <c r="DO16" i="5"/>
  <c r="DO8" i="5"/>
  <c r="DO10" i="5" s="1"/>
  <c r="GP16" i="5"/>
  <c r="GP8" i="5"/>
  <c r="GP10" i="5" s="1"/>
  <c r="CB16" i="5"/>
  <c r="CB8" i="5"/>
  <c r="CB10" i="5" s="1"/>
  <c r="AG16" i="5"/>
  <c r="AG8" i="5"/>
  <c r="AG10" i="5" s="1"/>
  <c r="DS16" i="5"/>
  <c r="DS8" i="5"/>
  <c r="DS10" i="5" s="1"/>
  <c r="FQ16" i="5"/>
  <c r="FQ8" i="5"/>
  <c r="FQ10" i="5" s="1"/>
  <c r="BF16" i="5"/>
  <c r="BF8" i="5"/>
  <c r="BF10" i="5" s="1"/>
  <c r="CZ16" i="5"/>
  <c r="CZ8" i="5"/>
  <c r="CZ10" i="5" s="1"/>
  <c r="CC16" i="5"/>
  <c r="CC8" i="5"/>
  <c r="CC10" i="5" s="1"/>
  <c r="BG16" i="5"/>
  <c r="BG8" i="5"/>
  <c r="BG10" i="5" s="1"/>
  <c r="EN16" i="5"/>
  <c r="EN8" i="5"/>
  <c r="EN10" i="5" s="1"/>
  <c r="DQ16" i="5"/>
  <c r="DQ8" i="5"/>
  <c r="DQ10" i="5" s="1"/>
  <c r="DC16" i="5"/>
  <c r="DC8" i="5"/>
  <c r="DC10" i="5" s="1"/>
  <c r="DM16" i="5"/>
  <c r="DM8" i="5"/>
  <c r="DM10" i="5" s="1"/>
  <c r="FP16" i="5"/>
  <c r="FP8" i="5"/>
  <c r="FP10" i="5" s="1"/>
  <c r="DZ16" i="5"/>
  <c r="DZ8" i="5"/>
  <c r="DZ10" i="5" s="1"/>
  <c r="BD16" i="5"/>
  <c r="BD8" i="5"/>
  <c r="BD10" i="5" s="1"/>
  <c r="CG16" i="5"/>
  <c r="CG8" i="5"/>
  <c r="CG10" i="5" s="1"/>
  <c r="CI16" i="5"/>
  <c r="CI8" i="5"/>
  <c r="CI10" i="5" s="1"/>
  <c r="CL16" i="5"/>
  <c r="CL8" i="5"/>
  <c r="CL10" i="5" s="1"/>
  <c r="EZ16" i="5"/>
  <c r="EZ8" i="5"/>
  <c r="EZ10" i="5" s="1"/>
  <c r="EC16" i="5"/>
  <c r="EC8" i="5"/>
  <c r="EC10" i="5" s="1"/>
  <c r="AZ16" i="5"/>
  <c r="AZ8" i="5"/>
  <c r="AZ10" i="5" s="1"/>
  <c r="EP16" i="5"/>
  <c r="EP8" i="5"/>
  <c r="EP10" i="5" s="1"/>
  <c r="BU16" i="5"/>
  <c r="BU8" i="5"/>
  <c r="BU10" i="5" s="1"/>
  <c r="ER16" i="5"/>
  <c r="ER8" i="5"/>
  <c r="ER10" i="5" s="1"/>
  <c r="AC16" i="5"/>
  <c r="AC8" i="5"/>
  <c r="AC10" i="5" s="1"/>
  <c r="BN16" i="5"/>
  <c r="BN8" i="5"/>
  <c r="BN10" i="5" s="1"/>
  <c r="GQ16" i="5"/>
  <c r="GQ8" i="5"/>
  <c r="GQ10" i="5" s="1"/>
  <c r="EA16" i="5"/>
  <c r="EA8" i="5"/>
  <c r="EA10" i="5" s="1"/>
  <c r="DX16" i="5"/>
  <c r="DX8" i="5"/>
  <c r="DX10" i="5" s="1"/>
  <c r="DH16" i="5"/>
  <c r="DH8" i="5"/>
  <c r="DH10" i="5" s="1"/>
  <c r="AO16" i="5"/>
  <c r="AO8" i="5"/>
  <c r="AO10" i="5" s="1"/>
  <c r="GR16" i="5"/>
  <c r="GR8" i="5"/>
  <c r="GR10" i="5" s="1"/>
  <c r="AJ16" i="5"/>
  <c r="AJ8" i="5"/>
  <c r="AJ10" i="5" s="1"/>
  <c r="FM16" i="5"/>
  <c r="FM8" i="5"/>
  <c r="FM10" i="5" s="1"/>
  <c r="EX16" i="5"/>
  <c r="EX8" i="5"/>
  <c r="EX10" i="5" s="1"/>
  <c r="GK16" i="5"/>
  <c r="GK8" i="5"/>
  <c r="GK10" i="5" s="1"/>
  <c r="GS16" i="5"/>
  <c r="GS8" i="5"/>
  <c r="GS10" i="5" s="1"/>
  <c r="CU16" i="5"/>
  <c r="CU8" i="5"/>
  <c r="CU10" i="5" s="1"/>
  <c r="X16" i="5"/>
  <c r="X8" i="5"/>
  <c r="X10" i="5" s="1"/>
  <c r="FS16" i="5"/>
  <c r="FS8" i="5"/>
  <c r="FS10" i="5" s="1"/>
  <c r="D17" i="5" l="1"/>
  <c r="D19" i="5" s="1"/>
  <c r="D24" i="5" s="1"/>
  <c r="FS17" i="5"/>
  <c r="FS19" i="5" s="1"/>
  <c r="FS24" i="5" s="1"/>
  <c r="FS27" i="5" s="1"/>
  <c r="FS28" i="5" s="1"/>
  <c r="FS30" i="5" s="1"/>
  <c r="CU17" i="5"/>
  <c r="CU19" i="5" s="1"/>
  <c r="CU24" i="5" s="1"/>
  <c r="CU27" i="5" s="1"/>
  <c r="CU28" i="5" s="1"/>
  <c r="CU30" i="5" s="1"/>
  <c r="GK17" i="5"/>
  <c r="GK19" i="5" s="1"/>
  <c r="GK24" i="5" s="1"/>
  <c r="GK27" i="5" s="1"/>
  <c r="GK28" i="5" s="1"/>
  <c r="GK30" i="5" s="1"/>
  <c r="FM17" i="5"/>
  <c r="FM19" i="5" s="1"/>
  <c r="FM24" i="5" s="1"/>
  <c r="FM27" i="5" s="1"/>
  <c r="FM28" i="5" s="1"/>
  <c r="FM30" i="5" s="1"/>
  <c r="GR17" i="5"/>
  <c r="GR19" i="5" s="1"/>
  <c r="GR24" i="5" s="1"/>
  <c r="GR27" i="5" s="1"/>
  <c r="GR28" i="5" s="1"/>
  <c r="GR30" i="5" s="1"/>
  <c r="DH17" i="5"/>
  <c r="DH19" i="5" s="1"/>
  <c r="DH24" i="5" s="1"/>
  <c r="DH27" i="5" s="1"/>
  <c r="DH28" i="5" s="1"/>
  <c r="DH30" i="5" s="1"/>
  <c r="EA17" i="5"/>
  <c r="EA19" i="5" s="1"/>
  <c r="EA24" i="5" s="1"/>
  <c r="EA27" i="5" s="1"/>
  <c r="EA28" i="5" s="1"/>
  <c r="EA30" i="5" s="1"/>
  <c r="BN17" i="5"/>
  <c r="BN19" i="5" s="1"/>
  <c r="BN24" i="5" s="1"/>
  <c r="BN27" i="5" s="1"/>
  <c r="BN28" i="5" s="1"/>
  <c r="BN30" i="5" s="1"/>
  <c r="ER17" i="5"/>
  <c r="ER19" i="5" s="1"/>
  <c r="ER24" i="5" s="1"/>
  <c r="ER27" i="5" s="1"/>
  <c r="ER28" i="5" s="1"/>
  <c r="ER30" i="5" s="1"/>
  <c r="EP17" i="5"/>
  <c r="EP19" i="5" s="1"/>
  <c r="EP24" i="5" s="1"/>
  <c r="EP27" i="5" s="1"/>
  <c r="EP28" i="5" s="1"/>
  <c r="EP30" i="5" s="1"/>
  <c r="EC17" i="5"/>
  <c r="EC19" i="5" s="1"/>
  <c r="EC24" i="5" s="1"/>
  <c r="EC27" i="5" s="1"/>
  <c r="EC28" i="5" s="1"/>
  <c r="EC30" i="5" s="1"/>
  <c r="CL17" i="5"/>
  <c r="CL19" i="5" s="1"/>
  <c r="CL24" i="5" s="1"/>
  <c r="CL27" i="5" s="1"/>
  <c r="CL28" i="5" s="1"/>
  <c r="CL30" i="5" s="1"/>
  <c r="CG17" i="5"/>
  <c r="CG19" i="5" s="1"/>
  <c r="CG24" i="5" s="1"/>
  <c r="CG27" i="5" s="1"/>
  <c r="CG28" i="5" s="1"/>
  <c r="CG30" i="5" s="1"/>
  <c r="DZ17" i="5"/>
  <c r="DZ19" i="5" s="1"/>
  <c r="DZ24" i="5" s="1"/>
  <c r="DZ27" i="5" s="1"/>
  <c r="DZ28" i="5" s="1"/>
  <c r="DZ30" i="5" s="1"/>
  <c r="DM17" i="5"/>
  <c r="DM19" i="5" s="1"/>
  <c r="DM24" i="5" s="1"/>
  <c r="DM27" i="5" s="1"/>
  <c r="DM28" i="5" s="1"/>
  <c r="DM30" i="5" s="1"/>
  <c r="DQ17" i="5"/>
  <c r="DQ19" i="5" s="1"/>
  <c r="DQ24" i="5" s="1"/>
  <c r="DQ27" i="5" s="1"/>
  <c r="DQ28" i="5" s="1"/>
  <c r="DQ30" i="5" s="1"/>
  <c r="BG17" i="5"/>
  <c r="BG19" i="5" s="1"/>
  <c r="BG24" i="5" s="1"/>
  <c r="BG27" i="5" s="1"/>
  <c r="BG28" i="5" s="1"/>
  <c r="BG30" i="5" s="1"/>
  <c r="CZ17" i="5"/>
  <c r="CZ19" i="5" s="1"/>
  <c r="CZ24" i="5" s="1"/>
  <c r="CZ27" i="5" s="1"/>
  <c r="CZ28" i="5" s="1"/>
  <c r="CZ30" i="5" s="1"/>
  <c r="FQ17" i="5"/>
  <c r="FQ19" i="5" s="1"/>
  <c r="FQ24" i="5" s="1"/>
  <c r="FQ27" i="5" s="1"/>
  <c r="FQ28" i="5" s="1"/>
  <c r="FQ30" i="5" s="1"/>
  <c r="AG17" i="5"/>
  <c r="AG19" i="5" s="1"/>
  <c r="AG24" i="5" s="1"/>
  <c r="AG27" i="5" s="1"/>
  <c r="AG28" i="5" s="1"/>
  <c r="AG30" i="5" s="1"/>
  <c r="GP17" i="5"/>
  <c r="GP19" i="5" s="1"/>
  <c r="GP24" i="5" s="1"/>
  <c r="GP27" i="5" s="1"/>
  <c r="GP28" i="5" s="1"/>
  <c r="GP30" i="5" s="1"/>
  <c r="EB17" i="5"/>
  <c r="EB19" i="5" s="1"/>
  <c r="EB24" i="5" s="1"/>
  <c r="EB27" i="5" s="1"/>
  <c r="EB28" i="5" s="1"/>
  <c r="EB30" i="5" s="1"/>
  <c r="DN17" i="5"/>
  <c r="DN19" i="5" s="1"/>
  <c r="DN24" i="5" s="1"/>
  <c r="DN27" i="5" s="1"/>
  <c r="DN28" i="5" s="1"/>
  <c r="DN30" i="5" s="1"/>
  <c r="BZ17" i="5"/>
  <c r="BZ19" i="5" s="1"/>
  <c r="BZ24" i="5" s="1"/>
  <c r="BZ27" i="5" s="1"/>
  <c r="BZ28" i="5" s="1"/>
  <c r="BZ30" i="5" s="1"/>
  <c r="ES17" i="5"/>
  <c r="ES19" i="5" s="1"/>
  <c r="ES24" i="5" s="1"/>
  <c r="ES27" i="5" s="1"/>
  <c r="ES28" i="5" s="1"/>
  <c r="ES30" i="5" s="1"/>
  <c r="I17" i="5"/>
  <c r="I19" i="5" s="1"/>
  <c r="I24" i="5" s="1"/>
  <c r="I27" i="5" s="1"/>
  <c r="I28" i="5" s="1"/>
  <c r="I30" i="5" s="1"/>
  <c r="EY17" i="5"/>
  <c r="EY19" i="5" s="1"/>
  <c r="EY24" i="5" s="1"/>
  <c r="EY27" i="5" s="1"/>
  <c r="EY28" i="5" s="1"/>
  <c r="EY30" i="5" s="1"/>
  <c r="CN17" i="5"/>
  <c r="CN19" i="5" s="1"/>
  <c r="CN24" i="5" s="1"/>
  <c r="CN27" i="5" s="1"/>
  <c r="CN28" i="5" s="1"/>
  <c r="CN30" i="5" s="1"/>
  <c r="GB17" i="5"/>
  <c r="GB19" i="5" s="1"/>
  <c r="GB24" i="5" s="1"/>
  <c r="GB27" i="5" s="1"/>
  <c r="GB28" i="5" s="1"/>
  <c r="GB30" i="5" s="1"/>
  <c r="AV17" i="5"/>
  <c r="AV19" i="5" s="1"/>
  <c r="AV24" i="5" s="1"/>
  <c r="AV27" i="5" s="1"/>
  <c r="AV28" i="5" s="1"/>
  <c r="AV30" i="5" s="1"/>
  <c r="DG17" i="5"/>
  <c r="DG19" i="5" s="1"/>
  <c r="DG24" i="5" s="1"/>
  <c r="DG27" i="5" s="1"/>
  <c r="DG28" i="5" s="1"/>
  <c r="DG30" i="5" s="1"/>
  <c r="FH17" i="5"/>
  <c r="FH19" i="5" s="1"/>
  <c r="FH24" i="5" s="1"/>
  <c r="FH27" i="5" s="1"/>
  <c r="FH28" i="5" s="1"/>
  <c r="FH30" i="5" s="1"/>
  <c r="DK17" i="5"/>
  <c r="DK19" i="5" s="1"/>
  <c r="DK24" i="5" s="1"/>
  <c r="DK27" i="5" s="1"/>
  <c r="DK28" i="5" s="1"/>
  <c r="DK30" i="5" s="1"/>
  <c r="BA17" i="5"/>
  <c r="BA19" i="5" s="1"/>
  <c r="BA24" i="5" s="1"/>
  <c r="BA27" i="5" s="1"/>
  <c r="BA28" i="5" s="1"/>
  <c r="BA30" i="5" s="1"/>
  <c r="CP17" i="5"/>
  <c r="CP19" i="5" s="1"/>
  <c r="CP24" i="5" s="1"/>
  <c r="CP27" i="5" s="1"/>
  <c r="CP28" i="5" s="1"/>
  <c r="CP30" i="5" s="1"/>
  <c r="BC17" i="5"/>
  <c r="BC19" i="5" s="1"/>
  <c r="BC24" i="5" s="1"/>
  <c r="BC27" i="5" s="1"/>
  <c r="BC28" i="5" s="1"/>
  <c r="BC30" i="5" s="1"/>
  <c r="AX17" i="5"/>
  <c r="AX19" i="5" s="1"/>
  <c r="AX24" i="5" s="1"/>
  <c r="AX27" i="5" s="1"/>
  <c r="AX28" i="5" s="1"/>
  <c r="AX30" i="5" s="1"/>
  <c r="EG17" i="5"/>
  <c r="EG19" i="5" s="1"/>
  <c r="EG24" i="5" s="1"/>
  <c r="EG27" i="5" s="1"/>
  <c r="EG28" i="5" s="1"/>
  <c r="EG30" i="5" s="1"/>
  <c r="BE17" i="5"/>
  <c r="BE19" i="5" s="1"/>
  <c r="BE24" i="5" s="1"/>
  <c r="BE27" i="5" s="1"/>
  <c r="BE28" i="5" s="1"/>
  <c r="BE30" i="5" s="1"/>
  <c r="FR17" i="5"/>
  <c r="FR19" i="5" s="1"/>
  <c r="FR24" i="5" s="1"/>
  <c r="FR27" i="5" s="1"/>
  <c r="FR28" i="5" s="1"/>
  <c r="FR30" i="5" s="1"/>
  <c r="DI17" i="5"/>
  <c r="DI19" i="5" s="1"/>
  <c r="DI24" i="5" s="1"/>
  <c r="DI27" i="5" s="1"/>
  <c r="DI28" i="5" s="1"/>
  <c r="DI30" i="5" s="1"/>
  <c r="AI17" i="5"/>
  <c r="AI19" i="5" s="1"/>
  <c r="ET17" i="5"/>
  <c r="ET19" i="5" s="1"/>
  <c r="ET24" i="5" s="1"/>
  <c r="ET27" i="5" s="1"/>
  <c r="ET28" i="5" s="1"/>
  <c r="ET30" i="5" s="1"/>
  <c r="CY17" i="5"/>
  <c r="CY19" i="5" s="1"/>
  <c r="CY24" i="5" s="1"/>
  <c r="CY27" i="5" s="1"/>
  <c r="CY28" i="5" s="1"/>
  <c r="CY30" i="5" s="1"/>
  <c r="W17" i="5"/>
  <c r="W19" i="5" s="1"/>
  <c r="S17" i="5"/>
  <c r="S19" i="5" s="1"/>
  <c r="S24" i="5" s="1"/>
  <c r="S27" i="5" s="1"/>
  <c r="S28" i="5" s="1"/>
  <c r="S30" i="5" s="1"/>
  <c r="AL17" i="5"/>
  <c r="AL19" i="5" s="1"/>
  <c r="AL24" i="5" s="1"/>
  <c r="AL27" i="5" s="1"/>
  <c r="AL28" i="5" s="1"/>
  <c r="AL30" i="5" s="1"/>
  <c r="F17" i="5"/>
  <c r="F19" i="5" s="1"/>
  <c r="F24" i="5" s="1"/>
  <c r="F27" i="5" s="1"/>
  <c r="F28" i="5" s="1"/>
  <c r="F30" i="5" s="1"/>
  <c r="M17" i="5"/>
  <c r="M19" i="5" s="1"/>
  <c r="M24" i="5" s="1"/>
  <c r="M27" i="5" s="1"/>
  <c r="M28" i="5" s="1"/>
  <c r="M30" i="5" s="1"/>
  <c r="T17" i="5"/>
  <c r="T19" i="5" s="1"/>
  <c r="T24" i="5" s="1"/>
  <c r="T27" i="5" s="1"/>
  <c r="T28" i="5" s="1"/>
  <c r="T30" i="5" s="1"/>
  <c r="BW17" i="5"/>
  <c r="BW19" i="5" s="1"/>
  <c r="BW24" i="5" s="1"/>
  <c r="BW27" i="5" s="1"/>
  <c r="BW28" i="5" s="1"/>
  <c r="BW30" i="5" s="1"/>
  <c r="CF17" i="5"/>
  <c r="CF19" i="5" s="1"/>
  <c r="CF24" i="5" s="1"/>
  <c r="CF27" i="5" s="1"/>
  <c r="CF28" i="5" s="1"/>
  <c r="CF30" i="5" s="1"/>
  <c r="ED17" i="5"/>
  <c r="ED19" i="5" s="1"/>
  <c r="ED24" i="5" s="1"/>
  <c r="ED27" i="5" s="1"/>
  <c r="ED28" i="5" s="1"/>
  <c r="ED30" i="5" s="1"/>
  <c r="GT17" i="5"/>
  <c r="GT19" i="5" s="1"/>
  <c r="GT24" i="5" s="1"/>
  <c r="GT27" i="5" s="1"/>
  <c r="GT28" i="5" s="1"/>
  <c r="GT30" i="5" s="1"/>
  <c r="AB17" i="5"/>
  <c r="AB19" i="5" s="1"/>
  <c r="AB24" i="5" s="1"/>
  <c r="AB27" i="5" s="1"/>
  <c r="AB28" i="5" s="1"/>
  <c r="AB30" i="5" s="1"/>
  <c r="FU17" i="5"/>
  <c r="FU19" i="5" s="1"/>
  <c r="FU24" i="5" s="1"/>
  <c r="FU27" i="5" s="1"/>
  <c r="FU28" i="5" s="1"/>
  <c r="FU30" i="5" s="1"/>
  <c r="BT17" i="5"/>
  <c r="BT19" i="5" s="1"/>
  <c r="BT24" i="5" s="1"/>
  <c r="BT27" i="5" s="1"/>
  <c r="BT28" i="5" s="1"/>
  <c r="BT30" i="5" s="1"/>
  <c r="CR17" i="5"/>
  <c r="CR19" i="5" s="1"/>
  <c r="CR24" i="5" s="1"/>
  <c r="CR27" i="5" s="1"/>
  <c r="CR28" i="5" s="1"/>
  <c r="CR30" i="5" s="1"/>
  <c r="FC17" i="5"/>
  <c r="FC19" i="5" s="1"/>
  <c r="FC24" i="5" s="1"/>
  <c r="FC27" i="5" s="1"/>
  <c r="FC28" i="5" s="1"/>
  <c r="FC30" i="5" s="1"/>
  <c r="CJ17" i="5"/>
  <c r="CJ19" i="5" s="1"/>
  <c r="CJ24" i="5" s="1"/>
  <c r="CJ27" i="5" s="1"/>
  <c r="CJ28" i="5" s="1"/>
  <c r="CJ30" i="5" s="1"/>
  <c r="AE17" i="5"/>
  <c r="AE19" i="5" s="1"/>
  <c r="AE24" i="5" s="1"/>
  <c r="AE27" i="5" s="1"/>
  <c r="AE28" i="5" s="1"/>
  <c r="AE30" i="5" s="1"/>
  <c r="Y17" i="5"/>
  <c r="Y19" i="5" s="1"/>
  <c r="Y24" i="5" s="1"/>
  <c r="Y27" i="5" s="1"/>
  <c r="Y28" i="5" s="1"/>
  <c r="Y30" i="5" s="1"/>
  <c r="GI17" i="5"/>
  <c r="GI19" i="5" s="1"/>
  <c r="GI24" i="5" s="1"/>
  <c r="GI27" i="5" s="1"/>
  <c r="GI28" i="5" s="1"/>
  <c r="GI30" i="5" s="1"/>
  <c r="FB17" i="5"/>
  <c r="FB19" i="5" s="1"/>
  <c r="FB24" i="5" s="1"/>
  <c r="FB27" i="5" s="1"/>
  <c r="FB28" i="5" s="1"/>
  <c r="FB30" i="5" s="1"/>
  <c r="AD17" i="5"/>
  <c r="AD19" i="5" s="1"/>
  <c r="AD24" i="5" s="1"/>
  <c r="AD27" i="5" s="1"/>
  <c r="AD28" i="5" s="1"/>
  <c r="AD30" i="5" s="1"/>
  <c r="DT17" i="5"/>
  <c r="DT19" i="5" s="1"/>
  <c r="DT24" i="5" s="1"/>
  <c r="DT27" i="5" s="1"/>
  <c r="DT28" i="5" s="1"/>
  <c r="DT30" i="5" s="1"/>
  <c r="GJ17" i="5"/>
  <c r="GJ19" i="5" s="1"/>
  <c r="GJ24" i="5" s="1"/>
  <c r="GJ27" i="5" s="1"/>
  <c r="GJ28" i="5" s="1"/>
  <c r="GJ30" i="5" s="1"/>
  <c r="BH17" i="5"/>
  <c r="BH19" i="5" s="1"/>
  <c r="BH24" i="5" s="1"/>
  <c r="BH27" i="5" s="1"/>
  <c r="BH28" i="5" s="1"/>
  <c r="BH30" i="5" s="1"/>
  <c r="BX17" i="5"/>
  <c r="BX19" i="5" s="1"/>
  <c r="BX24" i="5" s="1"/>
  <c r="BX27" i="5" s="1"/>
  <c r="BX28" i="5" s="1"/>
  <c r="BX30" i="5" s="1"/>
  <c r="GM17" i="5"/>
  <c r="GM19" i="5" s="1"/>
  <c r="GM24" i="5" s="1"/>
  <c r="GM27" i="5" s="1"/>
  <c r="GM28" i="5" s="1"/>
  <c r="GM30" i="5" s="1"/>
  <c r="AU17" i="5"/>
  <c r="AU19" i="5" s="1"/>
  <c r="AU24" i="5" s="1"/>
  <c r="AU27" i="5" s="1"/>
  <c r="AU28" i="5" s="1"/>
  <c r="AU30" i="5" s="1"/>
  <c r="EO17" i="5"/>
  <c r="EO19" i="5" s="1"/>
  <c r="EO24" i="5" s="1"/>
  <c r="EO27" i="5" s="1"/>
  <c r="EO28" i="5" s="1"/>
  <c r="EO30" i="5" s="1"/>
  <c r="BK17" i="5"/>
  <c r="BK19" i="5" s="1"/>
  <c r="BK24" i="5" s="1"/>
  <c r="BK27" i="5" s="1"/>
  <c r="BK28" i="5" s="1"/>
  <c r="BK30" i="5" s="1"/>
  <c r="AA17" i="5"/>
  <c r="AA19" i="5" s="1"/>
  <c r="AA24" i="5" s="1"/>
  <c r="AA27" i="5" s="1"/>
  <c r="AA28" i="5" s="1"/>
  <c r="AA30" i="5" s="1"/>
  <c r="O17" i="5"/>
  <c r="O19" i="5" s="1"/>
  <c r="O24" i="5" s="1"/>
  <c r="O27" i="5" s="1"/>
  <c r="O28" i="5" s="1"/>
  <c r="O30" i="5" s="1"/>
  <c r="BR17" i="5"/>
  <c r="BR19" i="5" s="1"/>
  <c r="BR24" i="5" s="1"/>
  <c r="BR27" i="5" s="1"/>
  <c r="BR28" i="5" s="1"/>
  <c r="BR30" i="5" s="1"/>
  <c r="CV17" i="5"/>
  <c r="CV19" i="5" s="1"/>
  <c r="CV24" i="5" s="1"/>
  <c r="CV27" i="5" s="1"/>
  <c r="CV28" i="5" s="1"/>
  <c r="CV30" i="5" s="1"/>
  <c r="G17" i="5"/>
  <c r="G19" i="5" s="1"/>
  <c r="G24" i="5" s="1"/>
  <c r="G27" i="5" s="1"/>
  <c r="G28" i="5" s="1"/>
  <c r="G30" i="5" s="1"/>
  <c r="FI17" i="5"/>
  <c r="FI19" i="5" s="1"/>
  <c r="FI24" i="5" s="1"/>
  <c r="FI27" i="5" s="1"/>
  <c r="FI28" i="5" s="1"/>
  <c r="FI30" i="5" s="1"/>
  <c r="EH17" i="5"/>
  <c r="EH19" i="5" s="1"/>
  <c r="EH24" i="5" s="1"/>
  <c r="EH27" i="5" s="1"/>
  <c r="EH28" i="5" s="1"/>
  <c r="EH30" i="5" s="1"/>
  <c r="DA17" i="5"/>
  <c r="DA19" i="5" s="1"/>
  <c r="DA24" i="5" s="1"/>
  <c r="DA27" i="5" s="1"/>
  <c r="DA28" i="5" s="1"/>
  <c r="DA30" i="5" s="1"/>
  <c r="GA17" i="5"/>
  <c r="GA19" i="5" s="1"/>
  <c r="GA24" i="5" s="1"/>
  <c r="GA27" i="5" s="1"/>
  <c r="GA28" i="5" s="1"/>
  <c r="GA30" i="5" s="1"/>
  <c r="FX17" i="5"/>
  <c r="FX19" i="5" s="1"/>
  <c r="FX24" i="5" s="1"/>
  <c r="FX27" i="5" s="1"/>
  <c r="FX28" i="5" s="1"/>
  <c r="FX30" i="5" s="1"/>
  <c r="FN17" i="5"/>
  <c r="FN19" i="5" s="1"/>
  <c r="FN24" i="5" s="1"/>
  <c r="FN27" i="5" s="1"/>
  <c r="FN28" i="5" s="1"/>
  <c r="FN30" i="5" s="1"/>
  <c r="GN17" i="5"/>
  <c r="GN19" i="5" s="1"/>
  <c r="GN24" i="5" s="1"/>
  <c r="GN27" i="5" s="1"/>
  <c r="GN28" i="5" s="1"/>
  <c r="GN30" i="5" s="1"/>
  <c r="DP17" i="5"/>
  <c r="DP19" i="5" s="1"/>
  <c r="DP24" i="5" s="1"/>
  <c r="DP27" i="5" s="1"/>
  <c r="DP28" i="5" s="1"/>
  <c r="DP30" i="5" s="1"/>
  <c r="EF17" i="5"/>
  <c r="EF19" i="5" s="1"/>
  <c r="EF24" i="5" s="1"/>
  <c r="EF27" i="5" s="1"/>
  <c r="EF28" i="5" s="1"/>
  <c r="EF30" i="5" s="1"/>
  <c r="AW17" i="5"/>
  <c r="AW19" i="5" s="1"/>
  <c r="AW24" i="5" s="1"/>
  <c r="AW27" i="5" s="1"/>
  <c r="AW28" i="5" s="1"/>
  <c r="AW30" i="5" s="1"/>
  <c r="BO17" i="5"/>
  <c r="BO19" i="5" s="1"/>
  <c r="BO24" i="5" s="1"/>
  <c r="BO27" i="5" s="1"/>
  <c r="BO28" i="5" s="1"/>
  <c r="BO30" i="5" s="1"/>
  <c r="X17" i="5"/>
  <c r="X19" i="5" s="1"/>
  <c r="X24" i="5" s="1"/>
  <c r="X27" i="5" s="1"/>
  <c r="X28" i="5" s="1"/>
  <c r="X30" i="5" s="1"/>
  <c r="GS17" i="5"/>
  <c r="GS19" i="5" s="1"/>
  <c r="GS24" i="5" s="1"/>
  <c r="GS27" i="5" s="1"/>
  <c r="GS28" i="5" s="1"/>
  <c r="GS30" i="5" s="1"/>
  <c r="EX17" i="5"/>
  <c r="EX19" i="5" s="1"/>
  <c r="EX24" i="5" s="1"/>
  <c r="EX27" i="5" s="1"/>
  <c r="EX28" i="5" s="1"/>
  <c r="EX30" i="5" s="1"/>
  <c r="AJ17" i="5"/>
  <c r="AJ19" i="5" s="1"/>
  <c r="AJ24" i="5" s="1"/>
  <c r="AJ27" i="5" s="1"/>
  <c r="AJ28" i="5" s="1"/>
  <c r="AJ30" i="5" s="1"/>
  <c r="AO17" i="5"/>
  <c r="AO19" i="5" s="1"/>
  <c r="AO24" i="5" s="1"/>
  <c r="AO27" i="5" s="1"/>
  <c r="AO28" i="5" s="1"/>
  <c r="AO30" i="5" s="1"/>
  <c r="DX17" i="5"/>
  <c r="DX19" i="5" s="1"/>
  <c r="DX24" i="5" s="1"/>
  <c r="DX27" i="5" s="1"/>
  <c r="DX28" i="5" s="1"/>
  <c r="DX30" i="5" s="1"/>
  <c r="GQ17" i="5"/>
  <c r="GQ19" i="5" s="1"/>
  <c r="GQ24" i="5" s="1"/>
  <c r="GQ27" i="5" s="1"/>
  <c r="GQ28" i="5" s="1"/>
  <c r="GQ30" i="5" s="1"/>
  <c r="AC17" i="5"/>
  <c r="AC19" i="5" s="1"/>
  <c r="AC24" i="5" s="1"/>
  <c r="AC27" i="5" s="1"/>
  <c r="AC28" i="5" s="1"/>
  <c r="AC30" i="5" s="1"/>
  <c r="BU17" i="5"/>
  <c r="BU19" i="5" s="1"/>
  <c r="BU24" i="5" s="1"/>
  <c r="BU27" i="5" s="1"/>
  <c r="BU28" i="5" s="1"/>
  <c r="BU30" i="5" s="1"/>
  <c r="AZ17" i="5"/>
  <c r="AZ19" i="5" s="1"/>
  <c r="AZ24" i="5" s="1"/>
  <c r="AZ27" i="5" s="1"/>
  <c r="AZ28" i="5" s="1"/>
  <c r="AZ30" i="5" s="1"/>
  <c r="EZ17" i="5"/>
  <c r="EZ19" i="5" s="1"/>
  <c r="EZ24" i="5" s="1"/>
  <c r="EZ27" i="5" s="1"/>
  <c r="EZ28" i="5" s="1"/>
  <c r="EZ30" i="5" s="1"/>
  <c r="CI17" i="5"/>
  <c r="CI19" i="5" s="1"/>
  <c r="CI24" i="5" s="1"/>
  <c r="CI27" i="5" s="1"/>
  <c r="CI28" i="5" s="1"/>
  <c r="CI30" i="5" s="1"/>
  <c r="BD17" i="5"/>
  <c r="BD19" i="5" s="1"/>
  <c r="BD24" i="5" s="1"/>
  <c r="BD27" i="5" s="1"/>
  <c r="BD28" i="5" s="1"/>
  <c r="BD30" i="5" s="1"/>
  <c r="CD17" i="5"/>
  <c r="CD19" i="5" s="1"/>
  <c r="CD24" i="5" s="1"/>
  <c r="CD27" i="5" s="1"/>
  <c r="CD28" i="5" s="1"/>
  <c r="CD30" i="5" s="1"/>
  <c r="GF17" i="5"/>
  <c r="GF19" i="5" s="1"/>
  <c r="GF24" i="5" s="1"/>
  <c r="GF27" i="5" s="1"/>
  <c r="GF28" i="5" s="1"/>
  <c r="GF30" i="5" s="1"/>
  <c r="V17" i="5"/>
  <c r="V19" i="5" s="1"/>
  <c r="V24" i="5" s="1"/>
  <c r="V27" i="5" s="1"/>
  <c r="V28" i="5" s="1"/>
  <c r="V30" i="5" s="1"/>
  <c r="BS17" i="5"/>
  <c r="BS19" i="5" s="1"/>
  <c r="BS24" i="5" s="1"/>
  <c r="BS27" i="5" s="1"/>
  <c r="BS28" i="5" s="1"/>
  <c r="BS30" i="5" s="1"/>
  <c r="DY17" i="5"/>
  <c r="DY19" i="5" s="1"/>
  <c r="DY24" i="5" s="1"/>
  <c r="DY27" i="5" s="1"/>
  <c r="DY28" i="5" s="1"/>
  <c r="DY30" i="5" s="1"/>
  <c r="EI17" i="5"/>
  <c r="EI19" i="5" s="1"/>
  <c r="EI24" i="5" s="1"/>
  <c r="EI27" i="5" s="1"/>
  <c r="EI28" i="5" s="1"/>
  <c r="EI30" i="5" s="1"/>
  <c r="BM17" i="5"/>
  <c r="BM19" i="5" s="1"/>
  <c r="BM24" i="5" s="1"/>
  <c r="BM27" i="5" s="1"/>
  <c r="BM28" i="5" s="1"/>
  <c r="BM30" i="5" s="1"/>
  <c r="E17" i="5"/>
  <c r="E19" i="5" s="1"/>
  <c r="E24" i="5" s="1"/>
  <c r="E27" i="5" s="1"/>
  <c r="E28" i="5" s="1"/>
  <c r="FP17" i="5"/>
  <c r="FP19" i="5" s="1"/>
  <c r="FP24" i="5" s="1"/>
  <c r="FP27" i="5" s="1"/>
  <c r="FP28" i="5" s="1"/>
  <c r="FP30" i="5" s="1"/>
  <c r="DC17" i="5"/>
  <c r="DC19" i="5" s="1"/>
  <c r="DC24" i="5" s="1"/>
  <c r="DC27" i="5" s="1"/>
  <c r="DC28" i="5" s="1"/>
  <c r="DC30" i="5" s="1"/>
  <c r="EN17" i="5"/>
  <c r="EN19" i="5" s="1"/>
  <c r="EN24" i="5" s="1"/>
  <c r="EN27" i="5" s="1"/>
  <c r="EN28" i="5" s="1"/>
  <c r="EN30" i="5" s="1"/>
  <c r="CC17" i="5"/>
  <c r="CC19" i="5" s="1"/>
  <c r="CC24" i="5" s="1"/>
  <c r="CC27" i="5" s="1"/>
  <c r="CC28" i="5" s="1"/>
  <c r="CC30" i="5" s="1"/>
  <c r="BF17" i="5"/>
  <c r="BF19" i="5" s="1"/>
  <c r="BF24" i="5" s="1"/>
  <c r="BF27" i="5" s="1"/>
  <c r="BF28" i="5" s="1"/>
  <c r="BF30" i="5" s="1"/>
  <c r="DS17" i="5"/>
  <c r="DS19" i="5" s="1"/>
  <c r="DS24" i="5" s="1"/>
  <c r="DS27" i="5" s="1"/>
  <c r="DS28" i="5" s="1"/>
  <c r="DS30" i="5" s="1"/>
  <c r="CB17" i="5"/>
  <c r="CB19" i="5" s="1"/>
  <c r="CB24" i="5" s="1"/>
  <c r="CB27" i="5" s="1"/>
  <c r="CB28" i="5" s="1"/>
  <c r="CB30" i="5" s="1"/>
  <c r="DO17" i="5"/>
  <c r="DO19" i="5" s="1"/>
  <c r="DO24" i="5" s="1"/>
  <c r="DO27" i="5" s="1"/>
  <c r="DO28" i="5" s="1"/>
  <c r="DO30" i="5" s="1"/>
  <c r="FY17" i="5"/>
  <c r="FY19" i="5" s="1"/>
  <c r="FY24" i="5" s="1"/>
  <c r="FY27" i="5" s="1"/>
  <c r="FY28" i="5" s="1"/>
  <c r="FY30" i="5" s="1"/>
  <c r="BJ17" i="5"/>
  <c r="BJ19" i="5" s="1"/>
  <c r="BJ24" i="5" s="1"/>
  <c r="BJ27" i="5" s="1"/>
  <c r="BJ28" i="5" s="1"/>
  <c r="BJ30" i="5" s="1"/>
  <c r="BB17" i="5"/>
  <c r="BB19" i="5" s="1"/>
  <c r="BB24" i="5" s="1"/>
  <c r="BB27" i="5" s="1"/>
  <c r="BB28" i="5" s="1"/>
  <c r="BB30" i="5" s="1"/>
  <c r="N17" i="5"/>
  <c r="N19" i="5" s="1"/>
  <c r="N24" i="5" s="1"/>
  <c r="N27" i="5" s="1"/>
  <c r="N28" i="5" s="1"/>
  <c r="N30" i="5" s="1"/>
  <c r="AT17" i="5"/>
  <c r="AT19" i="5" s="1"/>
  <c r="AT24" i="5" s="1"/>
  <c r="AT27" i="5" s="1"/>
  <c r="AT28" i="5" s="1"/>
  <c r="AT30" i="5" s="1"/>
  <c r="FO17" i="5"/>
  <c r="FO19" i="5" s="1"/>
  <c r="FO24" i="5" s="1"/>
  <c r="FO27" i="5" s="1"/>
  <c r="FO28" i="5" s="1"/>
  <c r="FO30" i="5" s="1"/>
  <c r="FF17" i="5"/>
  <c r="FF19" i="5" s="1"/>
  <c r="FF24" i="5" s="1"/>
  <c r="FF27" i="5" s="1"/>
  <c r="FF28" i="5" s="1"/>
  <c r="FF30" i="5" s="1"/>
  <c r="GC17" i="5"/>
  <c r="GC19" i="5" s="1"/>
  <c r="GC24" i="5" s="1"/>
  <c r="GC27" i="5" s="1"/>
  <c r="GC28" i="5" s="1"/>
  <c r="GC30" i="5" s="1"/>
  <c r="GE17" i="5"/>
  <c r="GE19" i="5" s="1"/>
  <c r="GE24" i="5" s="1"/>
  <c r="GE27" i="5" s="1"/>
  <c r="GE28" i="5" s="1"/>
  <c r="GE30" i="5" s="1"/>
  <c r="AR17" i="5"/>
  <c r="AR19" i="5" s="1"/>
  <c r="AR24" i="5" s="1"/>
  <c r="AR27" i="5" s="1"/>
  <c r="AR28" i="5" s="1"/>
  <c r="AR30" i="5" s="1"/>
  <c r="FA17" i="5"/>
  <c r="FA19" i="5" s="1"/>
  <c r="FA24" i="5" s="1"/>
  <c r="FA27" i="5" s="1"/>
  <c r="FA28" i="5" s="1"/>
  <c r="FA30" i="5" s="1"/>
  <c r="FL17" i="5"/>
  <c r="FL19" i="5" s="1"/>
  <c r="FL24" i="5" s="1"/>
  <c r="FL27" i="5" s="1"/>
  <c r="FL28" i="5" s="1"/>
  <c r="FL30" i="5" s="1"/>
  <c r="FJ17" i="5"/>
  <c r="FJ19" i="5" s="1"/>
  <c r="FJ24" i="5" s="1"/>
  <c r="FJ27" i="5" s="1"/>
  <c r="FJ28" i="5" s="1"/>
  <c r="FJ30" i="5" s="1"/>
  <c r="GH17" i="5"/>
  <c r="GH19" i="5" s="1"/>
  <c r="GH24" i="5" s="1"/>
  <c r="GH27" i="5" s="1"/>
  <c r="GH28" i="5" s="1"/>
  <c r="GH30" i="5" s="1"/>
  <c r="BY17" i="5"/>
  <c r="BY19" i="5" s="1"/>
  <c r="BY24" i="5" s="1"/>
  <c r="BY27" i="5" s="1"/>
  <c r="BY28" i="5" s="1"/>
  <c r="BY30" i="5" s="1"/>
  <c r="CT17" i="5"/>
  <c r="CT19" i="5" s="1"/>
  <c r="CT24" i="5" s="1"/>
  <c r="CT27" i="5" s="1"/>
  <c r="CT28" i="5" s="1"/>
  <c r="CT30" i="5" s="1"/>
  <c r="DU17" i="5"/>
  <c r="DU19" i="5" s="1"/>
  <c r="DU24" i="5" s="1"/>
  <c r="DU27" i="5" s="1"/>
  <c r="DU28" i="5" s="1"/>
  <c r="DU30" i="5" s="1"/>
  <c r="AH17" i="5"/>
  <c r="AH19" i="5" s="1"/>
  <c r="AH24" i="5" s="1"/>
  <c r="AH27" i="5" s="1"/>
  <c r="AH28" i="5" s="1"/>
  <c r="AH30" i="5" s="1"/>
  <c r="DR17" i="5"/>
  <c r="DR19" i="5" s="1"/>
  <c r="DR24" i="5" s="1"/>
  <c r="DR27" i="5" s="1"/>
  <c r="DR28" i="5" s="1"/>
  <c r="DR30" i="5" s="1"/>
  <c r="FZ17" i="5"/>
  <c r="FZ19" i="5" s="1"/>
  <c r="FZ24" i="5" s="1"/>
  <c r="FZ27" i="5" s="1"/>
  <c r="FZ28" i="5" s="1"/>
  <c r="FZ30" i="5" s="1"/>
  <c r="AS17" i="5"/>
  <c r="AS19" i="5" s="1"/>
  <c r="AS24" i="5" s="1"/>
  <c r="AS27" i="5" s="1"/>
  <c r="AS28" i="5" s="1"/>
  <c r="AS30" i="5" s="1"/>
  <c r="FG17" i="5"/>
  <c r="FG19" i="5" s="1"/>
  <c r="FG24" i="5" s="1"/>
  <c r="FG27" i="5" s="1"/>
  <c r="FG28" i="5" s="1"/>
  <c r="FG30" i="5" s="1"/>
  <c r="BV17" i="5"/>
  <c r="BV19" i="5" s="1"/>
  <c r="BV24" i="5" s="1"/>
  <c r="BV27" i="5" s="1"/>
  <c r="BV28" i="5" s="1"/>
  <c r="BV30" i="5" s="1"/>
  <c r="Z17" i="5"/>
  <c r="Z19" i="5" s="1"/>
  <c r="Z24" i="5" s="1"/>
  <c r="Z27" i="5" s="1"/>
  <c r="Z28" i="5" s="1"/>
  <c r="Z30" i="5" s="1"/>
  <c r="BQ17" i="5"/>
  <c r="BQ19" i="5" s="1"/>
  <c r="BQ24" i="5" s="1"/>
  <c r="BQ27" i="5" s="1"/>
  <c r="BQ28" i="5" s="1"/>
  <c r="BQ30" i="5" s="1"/>
  <c r="CS17" i="5"/>
  <c r="CS19" i="5" s="1"/>
  <c r="CS24" i="5" s="1"/>
  <c r="CS27" i="5" s="1"/>
  <c r="CS28" i="5" s="1"/>
  <c r="CS30" i="5" s="1"/>
  <c r="DF17" i="5"/>
  <c r="DF19" i="5" s="1"/>
  <c r="DF24" i="5" s="1"/>
  <c r="DF27" i="5" s="1"/>
  <c r="DF28" i="5" s="1"/>
  <c r="DF30" i="5" s="1"/>
  <c r="CX17" i="5"/>
  <c r="CX19" i="5" s="1"/>
  <c r="CX24" i="5" s="1"/>
  <c r="CX27" i="5" s="1"/>
  <c r="CX28" i="5" s="1"/>
  <c r="CX30" i="5" s="1"/>
  <c r="BP17" i="5"/>
  <c r="BP19" i="5" s="1"/>
  <c r="BP24" i="5" s="1"/>
  <c r="BP27" i="5" s="1"/>
  <c r="BP28" i="5" s="1"/>
  <c r="BP30" i="5" s="1"/>
  <c r="CH17" i="5"/>
  <c r="CH19" i="5" s="1"/>
  <c r="CH24" i="5" s="1"/>
  <c r="CH27" i="5" s="1"/>
  <c r="CH28" i="5" s="1"/>
  <c r="CH30" i="5" s="1"/>
  <c r="FD17" i="5"/>
  <c r="FD19" i="5" s="1"/>
  <c r="FD24" i="5" s="1"/>
  <c r="FD27" i="5" s="1"/>
  <c r="FD28" i="5" s="1"/>
  <c r="FD30" i="5" s="1"/>
  <c r="DV17" i="5"/>
  <c r="DV19" i="5" s="1"/>
  <c r="DV24" i="5" s="1"/>
  <c r="DV27" i="5" s="1"/>
  <c r="DV28" i="5" s="1"/>
  <c r="DV30" i="5" s="1"/>
  <c r="FV17" i="5"/>
  <c r="FV19" i="5" s="1"/>
  <c r="FV24" i="5" s="1"/>
  <c r="FV27" i="5" s="1"/>
  <c r="FV28" i="5" s="1"/>
  <c r="FV30" i="5" s="1"/>
  <c r="GD17" i="5"/>
  <c r="GD19" i="5" s="1"/>
  <c r="GD24" i="5" s="1"/>
  <c r="GD27" i="5" s="1"/>
  <c r="GD28" i="5" s="1"/>
  <c r="GD30" i="5" s="1"/>
  <c r="CQ17" i="5"/>
  <c r="CQ19" i="5" s="1"/>
  <c r="CQ24" i="5" s="1"/>
  <c r="CQ27" i="5" s="1"/>
  <c r="CQ28" i="5" s="1"/>
  <c r="CQ30" i="5" s="1"/>
  <c r="EW17" i="5"/>
  <c r="EW19" i="5" s="1"/>
  <c r="EW24" i="5" s="1"/>
  <c r="EW27" i="5" s="1"/>
  <c r="EW28" i="5" s="1"/>
  <c r="EW30" i="5" s="1"/>
  <c r="DD17" i="5"/>
  <c r="DD19" i="5" s="1"/>
  <c r="DD24" i="5" s="1"/>
  <c r="DD27" i="5" s="1"/>
  <c r="DD28" i="5" s="1"/>
  <c r="DD30" i="5" s="1"/>
  <c r="FE17" i="5"/>
  <c r="FE19" i="5" s="1"/>
  <c r="FE24" i="5" s="1"/>
  <c r="FE27" i="5" s="1"/>
  <c r="FE28" i="5" s="1"/>
  <c r="FE30" i="5" s="1"/>
  <c r="BL17" i="5"/>
  <c r="BL19" i="5" s="1"/>
  <c r="BL24" i="5" s="1"/>
  <c r="BL27" i="5" s="1"/>
  <c r="BL28" i="5" s="1"/>
  <c r="BL30" i="5" s="1"/>
  <c r="FW17" i="5"/>
  <c r="FW19" i="5" s="1"/>
  <c r="FW24" i="5" s="1"/>
  <c r="FW27" i="5" s="1"/>
  <c r="FW28" i="5" s="1"/>
  <c r="FW30" i="5" s="1"/>
  <c r="BI17" i="5"/>
  <c r="BI19" i="5" s="1"/>
  <c r="BI24" i="5" s="1"/>
  <c r="BI27" i="5" s="1"/>
  <c r="BI28" i="5" s="1"/>
  <c r="BI30" i="5" s="1"/>
  <c r="AN17" i="5"/>
  <c r="AN19" i="5" s="1"/>
  <c r="AN24" i="5" s="1"/>
  <c r="AN27" i="5" s="1"/>
  <c r="AN28" i="5" s="1"/>
  <c r="AN30" i="5" s="1"/>
  <c r="CA17" i="5"/>
  <c r="CA19" i="5" s="1"/>
  <c r="CA24" i="5" s="1"/>
  <c r="CA27" i="5" s="1"/>
  <c r="CA28" i="5" s="1"/>
  <c r="CA30" i="5" s="1"/>
  <c r="CO17" i="5"/>
  <c r="CO19" i="5" s="1"/>
  <c r="CO24" i="5" s="1"/>
  <c r="CO27" i="5" s="1"/>
  <c r="CO28" i="5" s="1"/>
  <c r="CO30" i="5" s="1"/>
  <c r="DL17" i="5"/>
  <c r="DL19" i="5" s="1"/>
  <c r="DL24" i="5" s="1"/>
  <c r="DL27" i="5" s="1"/>
  <c r="DL28" i="5" s="1"/>
  <c r="DL30" i="5" s="1"/>
  <c r="J17" i="5"/>
  <c r="J19" i="5" s="1"/>
  <c r="J24" i="5" s="1"/>
  <c r="J27" i="5" s="1"/>
  <c r="J28" i="5" s="1"/>
  <c r="J30" i="5" s="1"/>
  <c r="R17" i="5"/>
  <c r="R19" i="5" s="1"/>
  <c r="R24" i="5" s="1"/>
  <c r="R27" i="5" s="1"/>
  <c r="R28" i="5" s="1"/>
  <c r="R30" i="5" s="1"/>
  <c r="AP17" i="5"/>
  <c r="AP19" i="5" s="1"/>
  <c r="AP24" i="5" s="1"/>
  <c r="AP27" i="5" s="1"/>
  <c r="AP28" i="5" s="1"/>
  <c r="AP30" i="5" s="1"/>
  <c r="CM17" i="5"/>
  <c r="CM19" i="5" s="1"/>
  <c r="CM24" i="5" s="1"/>
  <c r="CM27" i="5" s="1"/>
  <c r="CM28" i="5" s="1"/>
  <c r="CM30" i="5" s="1"/>
  <c r="DJ17" i="5"/>
  <c r="DJ19" i="5" s="1"/>
  <c r="DJ24" i="5" s="1"/>
  <c r="DJ27" i="5" s="1"/>
  <c r="DJ28" i="5" s="1"/>
  <c r="DJ30" i="5" s="1"/>
  <c r="CW17" i="5"/>
  <c r="CW19" i="5" s="1"/>
  <c r="CW24" i="5" s="1"/>
  <c r="CW27" i="5" s="1"/>
  <c r="CW28" i="5" s="1"/>
  <c r="CW30" i="5" s="1"/>
  <c r="AY17" i="5"/>
  <c r="AY19" i="5" s="1"/>
  <c r="AY24" i="5" s="1"/>
  <c r="AY27" i="5" s="1"/>
  <c r="AY28" i="5" s="1"/>
  <c r="AY30" i="5" s="1"/>
  <c r="AQ17" i="5"/>
  <c r="AQ19" i="5" s="1"/>
  <c r="AQ24" i="5" s="1"/>
  <c r="AQ27" i="5" s="1"/>
  <c r="AQ28" i="5" s="1"/>
  <c r="AQ30" i="5" s="1"/>
  <c r="L17" i="5"/>
  <c r="L19" i="5" s="1"/>
  <c r="L24" i="5" s="1"/>
  <c r="L27" i="5" s="1"/>
  <c r="L28" i="5" s="1"/>
  <c r="L30" i="5" s="1"/>
  <c r="CK17" i="5"/>
  <c r="CK19" i="5" s="1"/>
  <c r="CK24" i="5" s="1"/>
  <c r="CK27" i="5" s="1"/>
  <c r="CK28" i="5" s="1"/>
  <c r="CK30" i="5" s="1"/>
  <c r="K17" i="5"/>
  <c r="K19" i="5" s="1"/>
  <c r="H17" i="5"/>
  <c r="H19" i="5" s="1"/>
  <c r="H24" i="5" s="1"/>
  <c r="H27" i="5" s="1"/>
  <c r="H28" i="5" s="1"/>
  <c r="H30" i="5" s="1"/>
  <c r="EJ17" i="5"/>
  <c r="EJ19" i="5" s="1"/>
  <c r="EJ24" i="5" s="1"/>
  <c r="EJ27" i="5" s="1"/>
  <c r="EJ28" i="5" s="1"/>
  <c r="EJ30" i="5" s="1"/>
  <c r="AF17" i="5"/>
  <c r="AF19" i="5" s="1"/>
  <c r="AF24" i="5" s="1"/>
  <c r="AF27" i="5" s="1"/>
  <c r="AF28" i="5" s="1"/>
  <c r="AF30" i="5" s="1"/>
  <c r="EV17" i="5"/>
  <c r="EV19" i="5" s="1"/>
  <c r="EV24" i="5" s="1"/>
  <c r="EV27" i="5" s="1"/>
  <c r="EV28" i="5" s="1"/>
  <c r="EV30" i="5" s="1"/>
  <c r="EM17" i="5"/>
  <c r="EM19" i="5" s="1"/>
  <c r="EM24" i="5" s="1"/>
  <c r="EM27" i="5" s="1"/>
  <c r="EM28" i="5" s="1"/>
  <c r="EM30" i="5" s="1"/>
  <c r="GL17" i="5"/>
  <c r="GL19" i="5" s="1"/>
  <c r="GL24" i="5" s="1"/>
  <c r="GL27" i="5" s="1"/>
  <c r="GL28" i="5" s="1"/>
  <c r="GL30" i="5" s="1"/>
  <c r="DW17" i="5"/>
  <c r="DW19" i="5" s="1"/>
  <c r="DW24" i="5" s="1"/>
  <c r="DW27" i="5" s="1"/>
  <c r="DW28" i="5" s="1"/>
  <c r="DW30" i="5" s="1"/>
  <c r="EQ17" i="5"/>
  <c r="EQ19" i="5" s="1"/>
  <c r="EQ24" i="5" s="1"/>
  <c r="EQ27" i="5" s="1"/>
  <c r="EQ28" i="5" s="1"/>
  <c r="EQ30" i="5" s="1"/>
  <c r="EK17" i="5"/>
  <c r="EK19" i="5" s="1"/>
  <c r="EK24" i="5" s="1"/>
  <c r="EK27" i="5" s="1"/>
  <c r="EK28" i="5" s="1"/>
  <c r="EK30" i="5" s="1"/>
  <c r="AM17" i="5"/>
  <c r="AM19" i="5" s="1"/>
  <c r="AM24" i="5" s="1"/>
  <c r="AM27" i="5" s="1"/>
  <c r="AM28" i="5" s="1"/>
  <c r="AM30" i="5" s="1"/>
  <c r="EL17" i="5"/>
  <c r="EL19" i="5" s="1"/>
  <c r="EL24" i="5" s="1"/>
  <c r="EL27" i="5" s="1"/>
  <c r="EL28" i="5" s="1"/>
  <c r="EL30" i="5" s="1"/>
  <c r="GG17" i="5"/>
  <c r="GG19" i="5" s="1"/>
  <c r="GG24" i="5" s="1"/>
  <c r="GG27" i="5" s="1"/>
  <c r="GG28" i="5" s="1"/>
  <c r="GG30" i="5" s="1"/>
  <c r="FK17" i="5"/>
  <c r="FK19" i="5" s="1"/>
  <c r="FK24" i="5" s="1"/>
  <c r="FK27" i="5" s="1"/>
  <c r="FK28" i="5" s="1"/>
  <c r="FK30" i="5" s="1"/>
  <c r="FT17" i="5"/>
  <c r="FT19" i="5" s="1"/>
  <c r="FT24" i="5" s="1"/>
  <c r="FT27" i="5" s="1"/>
  <c r="FT28" i="5" s="1"/>
  <c r="FT30" i="5" s="1"/>
  <c r="U17" i="5"/>
  <c r="U19" i="5" s="1"/>
  <c r="U24" i="5" s="1"/>
  <c r="U27" i="5" s="1"/>
  <c r="U28" i="5" s="1"/>
  <c r="U30" i="5" s="1"/>
  <c r="DE17" i="5"/>
  <c r="DE19" i="5" s="1"/>
  <c r="DE24" i="5" s="1"/>
  <c r="DE27" i="5" s="1"/>
  <c r="DE28" i="5" s="1"/>
  <c r="DE30" i="5" s="1"/>
  <c r="CE17" i="5"/>
  <c r="CE19" i="5" s="1"/>
  <c r="CE24" i="5" s="1"/>
  <c r="CE27" i="5" s="1"/>
  <c r="CE28" i="5" s="1"/>
  <c r="CE30" i="5" s="1"/>
  <c r="DB17" i="5"/>
  <c r="DB19" i="5" s="1"/>
  <c r="DB24" i="5" s="1"/>
  <c r="DB27" i="5" s="1"/>
  <c r="DB28" i="5" s="1"/>
  <c r="DB30" i="5" s="1"/>
  <c r="AK17" i="5"/>
  <c r="AK19" i="5" s="1"/>
  <c r="AK24" i="5" s="1"/>
  <c r="AK27" i="5" s="1"/>
  <c r="AK28" i="5" s="1"/>
  <c r="AK30" i="5" s="1"/>
  <c r="EU17" i="5"/>
  <c r="EU19" i="5" s="1"/>
  <c r="EU24" i="5" s="1"/>
  <c r="EU27" i="5" s="1"/>
  <c r="EU28" i="5" s="1"/>
  <c r="EU30" i="5" s="1"/>
  <c r="EE17" i="5"/>
  <c r="EE19" i="5" s="1"/>
  <c r="EE24" i="5" s="1"/>
  <c r="EE27" i="5" s="1"/>
  <c r="EE28" i="5" s="1"/>
  <c r="EE30" i="5" s="1"/>
  <c r="GO17" i="5"/>
  <c r="GO19" i="5" s="1"/>
  <c r="GO24" i="5" s="1"/>
  <c r="GO27" i="5" s="1"/>
  <c r="GO28" i="5" s="1"/>
  <c r="GO30" i="5" s="1"/>
  <c r="P17" i="5"/>
  <c r="P19" i="5" s="1"/>
  <c r="P24" i="5" s="1"/>
  <c r="P27" i="5" s="1"/>
  <c r="P28" i="5" s="1"/>
  <c r="P30" i="5" s="1"/>
  <c r="C17" i="5"/>
  <c r="D30" i="5"/>
  <c r="D27" i="5" l="1"/>
  <c r="D28" i="5" s="1"/>
  <c r="C38" i="5" s="1"/>
  <c r="K24" i="5"/>
  <c r="N26" i="13"/>
  <c r="AI24" i="5"/>
  <c r="AI27" i="5" s="1"/>
  <c r="AI28" i="5" s="1"/>
  <c r="AI30" i="5" s="1"/>
  <c r="P26" i="13"/>
  <c r="W24" i="5"/>
  <c r="O26" i="13"/>
  <c r="E30" i="5"/>
  <c r="C37" i="5" l="1"/>
  <c r="C36" i="5"/>
  <c r="W27" i="5"/>
  <c r="W28" i="5" s="1"/>
  <c r="W30" i="5" s="1"/>
  <c r="K27" i="5"/>
  <c r="K28" i="5" s="1"/>
  <c r="K30" i="5" s="1"/>
  <c r="N29" i="13" s="1"/>
  <c r="N31" i="13" s="1"/>
  <c r="P29" i="13"/>
  <c r="P31" i="13" s="1"/>
  <c r="C31" i="5"/>
  <c r="C34" i="5" l="1"/>
  <c r="C33" i="5"/>
  <c r="C35" i="5"/>
  <c r="O29" i="13"/>
  <c r="O31" i="13" s="1"/>
  <c r="E2" i="9"/>
  <c r="E40" i="9" s="1"/>
  <c r="D39" i="5"/>
  <c r="D33" i="5"/>
  <c r="D34" i="5"/>
  <c r="D37" i="5"/>
  <c r="D35" i="5"/>
  <c r="D36" i="5"/>
  <c r="D38" i="5"/>
  <c r="C40" i="5" l="1"/>
  <c r="C45" i="5" s="1"/>
  <c r="C43" i="5" s="1"/>
  <c r="E4" i="9" s="1"/>
  <c r="E42" i="9"/>
  <c r="D40" i="5"/>
  <c r="C49" i="5" l="1"/>
  <c r="C47" i="5" s="1"/>
  <c r="E3" i="9" s="1"/>
  <c r="E43" i="9" s="1"/>
  <c r="E41" i="9" s="1"/>
  <c r="E44" i="9" s="1"/>
  <c r="E49" i="9" s="1"/>
  <c r="E54" i="9" s="1"/>
  <c r="E47" i="9"/>
  <c r="E52" i="9" s="1"/>
  <c r="P36" i="10"/>
  <c r="D45" i="5"/>
  <c r="D49" i="5" s="1"/>
  <c r="D31" i="5"/>
  <c r="D47" i="5" l="1"/>
  <c r="F3" i="9" s="1"/>
  <c r="F43" i="9" s="1"/>
  <c r="F48" i="9" s="1"/>
  <c r="F53" i="9" s="1"/>
  <c r="E48" i="9"/>
  <c r="E53" i="9" s="1"/>
  <c r="E5" i="9"/>
  <c r="E9" i="9" s="1"/>
  <c r="F2" i="9"/>
  <c r="F40" i="9" s="1"/>
  <c r="E34" i="5"/>
  <c r="E39" i="5"/>
  <c r="E37" i="5"/>
  <c r="E35" i="5"/>
  <c r="E33" i="5"/>
  <c r="E38" i="5"/>
  <c r="E36" i="5"/>
  <c r="D43" i="5"/>
  <c r="F4" i="9" s="1"/>
  <c r="F42" i="9" l="1"/>
  <c r="F5" i="9"/>
  <c r="F9" i="9" s="1"/>
  <c r="E40" i="5"/>
  <c r="F47" i="9" l="1"/>
  <c r="F52" i="9" s="1"/>
  <c r="F41" i="9"/>
  <c r="F44" i="9" s="1"/>
  <c r="F49" i="9" s="1"/>
  <c r="F54" i="9" s="1"/>
  <c r="E45" i="5"/>
  <c r="E43" i="5" s="1"/>
  <c r="E31" i="5"/>
  <c r="G2" i="9" s="1"/>
  <c r="G40" i="9" s="1"/>
  <c r="G42" i="9" l="1"/>
  <c r="G4" i="9"/>
  <c r="F39" i="5"/>
  <c r="F36" i="5"/>
  <c r="F35" i="5"/>
  <c r="F37" i="5"/>
  <c r="F38" i="5"/>
  <c r="F34" i="5"/>
  <c r="F33" i="5"/>
  <c r="E49" i="5"/>
  <c r="E47" i="5" s="1"/>
  <c r="G3" i="9" s="1"/>
  <c r="G43" i="9" s="1"/>
  <c r="G47" i="9" l="1"/>
  <c r="G52" i="9" s="1"/>
  <c r="G41" i="9"/>
  <c r="G44" i="9" s="1"/>
  <c r="G49" i="9" s="1"/>
  <c r="G54" i="9" s="1"/>
  <c r="G5" i="9"/>
  <c r="G9" i="9" s="1"/>
  <c r="G48" i="9"/>
  <c r="G53" i="9" s="1"/>
  <c r="F40" i="5"/>
  <c r="F31" i="5" s="1"/>
  <c r="H2" i="9" s="1"/>
  <c r="H40" i="9" s="1"/>
  <c r="H42" i="9" l="1"/>
  <c r="G39" i="5"/>
  <c r="G35" i="5"/>
  <c r="G37" i="5"/>
  <c r="G34" i="5"/>
  <c r="G38" i="5"/>
  <c r="G33" i="5"/>
  <c r="G36" i="5"/>
  <c r="F45" i="5"/>
  <c r="F43" i="5" s="1"/>
  <c r="H47" i="9" l="1"/>
  <c r="H52" i="9" s="1"/>
  <c r="H4" i="9"/>
  <c r="F55" i="5"/>
  <c r="G40" i="5"/>
  <c r="G45" i="5" s="1"/>
  <c r="G43" i="5" s="1"/>
  <c r="I4" i="9" s="1"/>
  <c r="F49" i="5"/>
  <c r="F47" i="5" s="1"/>
  <c r="H3" i="9" s="1"/>
  <c r="H43" i="9" s="1"/>
  <c r="H41" i="9" s="1"/>
  <c r="H44" i="9" s="1"/>
  <c r="H49" i="9" l="1"/>
  <c r="H54" i="9" s="1"/>
  <c r="H5" i="9"/>
  <c r="H9" i="9" s="1"/>
  <c r="H48" i="9"/>
  <c r="H53" i="9" s="1"/>
  <c r="G31" i="5"/>
  <c r="I2" i="9" s="1"/>
  <c r="G49" i="5"/>
  <c r="G47" i="5" s="1"/>
  <c r="I3" i="9" s="1"/>
  <c r="I43" i="9" s="1"/>
  <c r="I48" i="9" l="1"/>
  <c r="I53" i="9" s="1"/>
  <c r="I40" i="9"/>
  <c r="I42" i="9" s="1"/>
  <c r="I5" i="9"/>
  <c r="I9" i="9" s="1"/>
  <c r="H39" i="5"/>
  <c r="H38" i="5"/>
  <c r="H37" i="5"/>
  <c r="H34" i="5"/>
  <c r="H33" i="5"/>
  <c r="H35" i="5"/>
  <c r="H36" i="5"/>
  <c r="I47" i="9" l="1"/>
  <c r="I52" i="9" s="1"/>
  <c r="I41" i="9"/>
  <c r="I44" i="9" s="1"/>
  <c r="I49" i="9" s="1"/>
  <c r="I54" i="9" s="1"/>
  <c r="H40" i="5"/>
  <c r="H45" i="5" s="1"/>
  <c r="H43" i="5" s="1"/>
  <c r="J4" i="9" l="1"/>
  <c r="H31" i="5"/>
  <c r="J2" i="9" s="1"/>
  <c r="J40" i="9" s="1"/>
  <c r="J42" i="9" s="1"/>
  <c r="H49" i="5"/>
  <c r="H47" i="5" s="1"/>
  <c r="J3" i="9" s="1"/>
  <c r="J43" i="9" s="1"/>
  <c r="J48" i="9" s="1"/>
  <c r="J53" i="9" s="1"/>
  <c r="J47" i="9" l="1"/>
  <c r="J52" i="9" s="1"/>
  <c r="J41" i="9"/>
  <c r="J44" i="9" s="1"/>
  <c r="J49" i="9" s="1"/>
  <c r="J54" i="9" s="1"/>
  <c r="P17" i="10"/>
  <c r="J5" i="9"/>
  <c r="J9" i="9" s="1"/>
  <c r="I39" i="5"/>
  <c r="I38" i="5"/>
  <c r="I37" i="5"/>
  <c r="I36" i="5"/>
  <c r="I35" i="5"/>
  <c r="I33" i="5"/>
  <c r="I34" i="5"/>
  <c r="Q17" i="10" l="1"/>
  <c r="R17" i="10" s="1"/>
  <c r="I40" i="5"/>
  <c r="I45" i="5" s="1"/>
  <c r="I43" i="5" s="1"/>
  <c r="K4" i="9" l="1"/>
  <c r="I31" i="5"/>
  <c r="K2" i="9" s="1"/>
  <c r="K40" i="9" s="1"/>
  <c r="K42" i="9" s="1"/>
  <c r="I49" i="5"/>
  <c r="I47" i="5" s="1"/>
  <c r="K3" i="9" s="1"/>
  <c r="K43" i="9" s="1"/>
  <c r="K48" i="9" s="1"/>
  <c r="K53" i="9" s="1"/>
  <c r="K41" i="9" l="1"/>
  <c r="K44" i="9" s="1"/>
  <c r="K49" i="9" s="1"/>
  <c r="K54" i="9" s="1"/>
  <c r="K47" i="9"/>
  <c r="K52" i="9" s="1"/>
  <c r="P18" i="10"/>
  <c r="K5" i="9"/>
  <c r="K9" i="9" s="1"/>
  <c r="J39" i="5"/>
  <c r="J36" i="5"/>
  <c r="J38" i="5"/>
  <c r="J35" i="5"/>
  <c r="J34" i="5"/>
  <c r="J37" i="5"/>
  <c r="J33" i="5"/>
  <c r="Q18" i="10" l="1"/>
  <c r="R18" i="10" s="1"/>
  <c r="J40" i="5"/>
  <c r="J45" i="5" s="1"/>
  <c r="J43" i="5" s="1"/>
  <c r="L4" i="9" s="1"/>
  <c r="Q7" i="6" l="1"/>
  <c r="J49" i="5"/>
  <c r="J47" i="5" s="1"/>
  <c r="J31" i="5"/>
  <c r="L2" i="9" s="1"/>
  <c r="L40" i="9" s="1"/>
  <c r="L42" i="9" s="1"/>
  <c r="L47" i="9" l="1"/>
  <c r="L52" i="9" s="1"/>
  <c r="Q8" i="6"/>
  <c r="L3" i="9"/>
  <c r="P19" i="10"/>
  <c r="K38" i="5"/>
  <c r="K35" i="5"/>
  <c r="K36" i="5"/>
  <c r="K34" i="5"/>
  <c r="K37" i="5"/>
  <c r="K39" i="5"/>
  <c r="K33" i="5"/>
  <c r="L5" i="9" l="1"/>
  <c r="L9" i="9" s="1"/>
  <c r="L43" i="9"/>
  <c r="Q19" i="10"/>
  <c r="R19" i="10" s="1"/>
  <c r="K40" i="5"/>
  <c r="L48" i="9" l="1"/>
  <c r="L53" i="9" s="1"/>
  <c r="L41" i="9"/>
  <c r="L44" i="9" s="1"/>
  <c r="L49" i="9" s="1"/>
  <c r="L54" i="9" s="1"/>
  <c r="K31" i="5"/>
  <c r="M2" i="9" s="1"/>
  <c r="M40" i="9" s="1"/>
  <c r="M42" i="9" s="1"/>
  <c r="K45" i="5"/>
  <c r="K43" i="5" s="1"/>
  <c r="M4" i="9" l="1"/>
  <c r="M47" i="9"/>
  <c r="M52" i="9" s="1"/>
  <c r="L39" i="5"/>
  <c r="L38" i="5"/>
  <c r="L37" i="5"/>
  <c r="L36" i="5"/>
  <c r="L34" i="5"/>
  <c r="L33" i="5"/>
  <c r="L35" i="5"/>
  <c r="K49" i="5"/>
  <c r="K47" i="5" s="1"/>
  <c r="M3" i="9" s="1"/>
  <c r="M5" i="9" l="1"/>
  <c r="M9" i="9" s="1"/>
  <c r="M43" i="9"/>
  <c r="L40" i="5"/>
  <c r="L45" i="5" s="1"/>
  <c r="L43" i="5" s="1"/>
  <c r="N4" i="9" l="1"/>
  <c r="M48" i="9"/>
  <c r="M53" i="9" s="1"/>
  <c r="M41" i="9"/>
  <c r="M44" i="9" s="1"/>
  <c r="M49" i="9" s="1"/>
  <c r="M54" i="9" s="1"/>
  <c r="L31" i="5"/>
  <c r="N2" i="9" s="1"/>
  <c r="N40" i="9" s="1"/>
  <c r="N42" i="9" s="1"/>
  <c r="L49" i="5"/>
  <c r="L47" i="5" s="1"/>
  <c r="N3" i="9" s="1"/>
  <c r="N43" i="9" s="1"/>
  <c r="N48" i="9" s="1"/>
  <c r="N53" i="9" s="1"/>
  <c r="N41" i="9" l="1"/>
  <c r="N44" i="9" s="1"/>
  <c r="N49" i="9" s="1"/>
  <c r="N54" i="9" s="1"/>
  <c r="N47" i="9"/>
  <c r="N52" i="9" s="1"/>
  <c r="P21" i="10"/>
  <c r="N5" i="9"/>
  <c r="N9" i="9" s="1"/>
  <c r="M38" i="5"/>
  <c r="M37" i="5"/>
  <c r="M36" i="5"/>
  <c r="M33" i="5"/>
  <c r="M39" i="5"/>
  <c r="M35" i="5"/>
  <c r="M34" i="5"/>
  <c r="M40" i="5" l="1"/>
  <c r="M31" i="5" l="1"/>
  <c r="O2" i="9" s="1"/>
  <c r="O40" i="9" s="1"/>
  <c r="O42" i="9" s="1"/>
  <c r="M58" i="5"/>
  <c r="M45" i="5"/>
  <c r="M49" i="5" s="1"/>
  <c r="M47" i="5" s="1"/>
  <c r="O3" i="9" s="1"/>
  <c r="O43" i="9" s="1"/>
  <c r="O48" i="9" s="1"/>
  <c r="O53" i="9" s="1"/>
  <c r="N34" i="5" l="1"/>
  <c r="N36" i="5"/>
  <c r="N37" i="5"/>
  <c r="N39" i="5"/>
  <c r="N38" i="5"/>
  <c r="N33" i="5"/>
  <c r="N35" i="5"/>
  <c r="O41" i="9"/>
  <c r="O44" i="9" s="1"/>
  <c r="O49" i="9" s="1"/>
  <c r="O54" i="9" s="1"/>
  <c r="O47" i="9"/>
  <c r="O52" i="9" s="1"/>
  <c r="M43" i="5"/>
  <c r="N40" i="5" l="1"/>
  <c r="N31" i="5" s="1"/>
  <c r="P2" i="9" s="1"/>
  <c r="O4" i="9"/>
  <c r="O5" i="9" s="1"/>
  <c r="O9" i="9" s="1"/>
  <c r="P20" i="10"/>
  <c r="P40" i="9" l="1"/>
  <c r="P42" i="9" s="1"/>
  <c r="N45" i="5"/>
  <c r="N43" i="5" s="1"/>
  <c r="P4" i="9" s="1"/>
  <c r="N58" i="5"/>
  <c r="O35" i="5"/>
  <c r="O33" i="5"/>
  <c r="O38" i="5"/>
  <c r="O36" i="5"/>
  <c r="O37" i="5"/>
  <c r="O39" i="5"/>
  <c r="O34" i="5"/>
  <c r="P22" i="10"/>
  <c r="Q20" i="10"/>
  <c r="P47" i="9" l="1"/>
  <c r="P52" i="9" s="1"/>
  <c r="N49" i="5"/>
  <c r="N47" i="5" s="1"/>
  <c r="P3" i="9" s="1"/>
  <c r="O40" i="5"/>
  <c r="P23" i="10"/>
  <c r="R20" i="10"/>
  <c r="Q21" i="10" s="1"/>
  <c r="R21" i="10" s="1"/>
  <c r="Q22" i="10" s="1"/>
  <c r="R22" i="10" s="1"/>
  <c r="P43" i="9" l="1"/>
  <c r="P5" i="9"/>
  <c r="P9" i="9" s="1"/>
  <c r="O45" i="5"/>
  <c r="O43" i="5" s="1"/>
  <c r="Q23" i="10"/>
  <c r="R23" i="10" s="1"/>
  <c r="Q4" i="9" l="1"/>
  <c r="P48" i="9"/>
  <c r="P53" i="9" s="1"/>
  <c r="P41" i="9"/>
  <c r="P44" i="9" s="1"/>
  <c r="P49" i="9" s="1"/>
  <c r="P54" i="9" s="1"/>
  <c r="O31" i="5"/>
  <c r="O49" i="5"/>
  <c r="O47" i="5" s="1"/>
  <c r="Q3" i="9" s="1"/>
  <c r="Q43" i="9" s="1"/>
  <c r="Q48" i="9" s="1"/>
  <c r="Q53" i="9" s="1"/>
  <c r="O58" i="5"/>
  <c r="P37" i="5" l="1"/>
  <c r="Q2" i="9"/>
  <c r="P39" i="5"/>
  <c r="P34" i="5"/>
  <c r="P36" i="5"/>
  <c r="P33" i="5"/>
  <c r="P38" i="5"/>
  <c r="P35" i="5"/>
  <c r="Q5" i="9" l="1"/>
  <c r="Q9" i="9" s="1"/>
  <c r="Q40" i="9"/>
  <c r="Q42" i="9" s="1"/>
  <c r="P40" i="5"/>
  <c r="Q41" i="9" l="1"/>
  <c r="Q44" i="9" s="1"/>
  <c r="Q49" i="9" s="1"/>
  <c r="Q54" i="9" s="1"/>
  <c r="Q47" i="9"/>
  <c r="Q52" i="9" s="1"/>
  <c r="P31" i="5"/>
  <c r="R2" i="9" s="1"/>
  <c r="P45" i="5"/>
  <c r="P43" i="5" s="1"/>
  <c r="J6" i="10" l="1"/>
  <c r="L6" i="10" s="1"/>
  <c r="M6" i="10" s="1"/>
  <c r="P25" i="10" s="1"/>
  <c r="R4" i="9"/>
  <c r="P24" i="10"/>
  <c r="Q38" i="5"/>
  <c r="Q36" i="5"/>
  <c r="Q37" i="5"/>
  <c r="Q39" i="5"/>
  <c r="Q34" i="5"/>
  <c r="Q35" i="5"/>
  <c r="Q33" i="5"/>
  <c r="P58" i="5"/>
  <c r="P49" i="5"/>
  <c r="P47" i="5" s="1"/>
  <c r="R3" i="9" s="1"/>
  <c r="R5" i="9" s="1"/>
  <c r="R9" i="9" s="1"/>
  <c r="P5" i="10" l="1"/>
  <c r="P6" i="10"/>
  <c r="P1" i="10"/>
  <c r="AE1" i="10" s="1"/>
  <c r="P7" i="10"/>
  <c r="R1" i="10"/>
  <c r="Q10" i="10" s="1"/>
  <c r="P4" i="10"/>
  <c r="P8" i="10"/>
  <c r="P10" i="10"/>
  <c r="Q24" i="10"/>
  <c r="R24" i="10" s="1"/>
  <c r="Q25" i="10" s="1"/>
  <c r="R25" i="10" s="1"/>
  <c r="Q26" i="10" s="1"/>
  <c r="R26" i="10" s="1"/>
  <c r="Q27" i="10" s="1"/>
  <c r="R27" i="10" s="1"/>
  <c r="Q28" i="10" s="1"/>
  <c r="R28" i="10" s="1"/>
  <c r="Q29" i="10" s="1"/>
  <c r="R29" i="10" s="1"/>
  <c r="Q30" i="10" s="1"/>
  <c r="R30" i="10" s="1"/>
  <c r="Q31" i="10" s="1"/>
  <c r="R31" i="10" s="1"/>
  <c r="Q32" i="10" s="1"/>
  <c r="R32" i="10" s="1"/>
  <c r="Q33" i="10" s="1"/>
  <c r="R33" i="10" s="1"/>
  <c r="Q34" i="10" s="1"/>
  <c r="R34" i="10" s="1"/>
  <c r="Q35" i="10" s="1"/>
  <c r="R35" i="10" s="1"/>
  <c r="Q36" i="10" s="1"/>
  <c r="R36" i="10" s="1"/>
  <c r="Q37" i="10" s="1"/>
  <c r="R37" i="10" s="1"/>
  <c r="Q38" i="10" s="1"/>
  <c r="R38" i="10" s="1"/>
  <c r="Q39" i="10" s="1"/>
  <c r="R39" i="10" s="1"/>
  <c r="Q40" i="10" s="1"/>
  <c r="R40" i="10" s="1"/>
  <c r="Q41" i="10" s="1"/>
  <c r="R41" i="10" s="1"/>
  <c r="Q42" i="10" s="1"/>
  <c r="R42" i="10" s="1"/>
  <c r="Q43" i="10" s="1"/>
  <c r="R43" i="10" s="1"/>
  <c r="Q44" i="10" s="1"/>
  <c r="R44" i="10" s="1"/>
  <c r="Q45" i="10" s="1"/>
  <c r="R45" i="10" s="1"/>
  <c r="Q46" i="10" s="1"/>
  <c r="R46" i="10" s="1"/>
  <c r="Q47" i="10" s="1"/>
  <c r="R47" i="10" s="1"/>
  <c r="Q48" i="10" s="1"/>
  <c r="R48" i="10" s="1"/>
  <c r="Q49" i="10" s="1"/>
  <c r="R49" i="10" s="1"/>
  <c r="Q50" i="10" s="1"/>
  <c r="R50" i="10" s="1"/>
  <c r="Q51" i="10" s="1"/>
  <c r="R51" i="10" s="1"/>
  <c r="Q52" i="10" s="1"/>
  <c r="R52" i="10" s="1"/>
  <c r="Q53" i="10" s="1"/>
  <c r="R53" i="10" s="1"/>
  <c r="Q54" i="10" s="1"/>
  <c r="R54" i="10" s="1"/>
  <c r="Q55" i="10" s="1"/>
  <c r="R55" i="10" s="1"/>
  <c r="Q56" i="10" s="1"/>
  <c r="R56" i="10" s="1"/>
  <c r="Q57" i="10" s="1"/>
  <c r="R57" i="10" s="1"/>
  <c r="Q58" i="10" s="1"/>
  <c r="R58" i="10" s="1"/>
  <c r="Q59" i="10" s="1"/>
  <c r="R59" i="10" s="1"/>
  <c r="Q60" i="10" s="1"/>
  <c r="R60" i="10" s="1"/>
  <c r="Q61" i="10" s="1"/>
  <c r="R61" i="10" s="1"/>
  <c r="Q62" i="10" s="1"/>
  <c r="R62" i="10" s="1"/>
  <c r="Q63" i="10" s="1"/>
  <c r="R63" i="10" s="1"/>
  <c r="Q64" i="10" s="1"/>
  <c r="R64" i="10" s="1"/>
  <c r="Q65" i="10" s="1"/>
  <c r="R65" i="10" s="1"/>
  <c r="Q66" i="10" s="1"/>
  <c r="R66" i="10" s="1"/>
  <c r="Q67" i="10" s="1"/>
  <c r="R67" i="10" s="1"/>
  <c r="Q68" i="10" s="1"/>
  <c r="R68" i="10" s="1"/>
  <c r="Q69" i="10" s="1"/>
  <c r="R69" i="10" s="1"/>
  <c r="Q70" i="10" s="1"/>
  <c r="R70" i="10" s="1"/>
  <c r="Q71" i="10" s="1"/>
  <c r="R71" i="10" s="1"/>
  <c r="Q72" i="10" s="1"/>
  <c r="R72" i="10" s="1"/>
  <c r="Q73" i="10" s="1"/>
  <c r="R73" i="10" s="1"/>
  <c r="Q74" i="10" s="1"/>
  <c r="R74" i="10" s="1"/>
  <c r="Q75" i="10" s="1"/>
  <c r="R75" i="10" s="1"/>
  <c r="Q76" i="10" s="1"/>
  <c r="R76" i="10" s="1"/>
  <c r="Q77" i="10" s="1"/>
  <c r="R77" i="10" s="1"/>
  <c r="Q78" i="10" s="1"/>
  <c r="R78" i="10" s="1"/>
  <c r="Q79" i="10" s="1"/>
  <c r="R79" i="10" s="1"/>
  <c r="Q80" i="10" s="1"/>
  <c r="R80" i="10" s="1"/>
  <c r="Q81" i="10" s="1"/>
  <c r="R81" i="10" s="1"/>
  <c r="Q82" i="10" s="1"/>
  <c r="R82" i="10" s="1"/>
  <c r="Q83" i="10" s="1"/>
  <c r="R83" i="10" s="1"/>
  <c r="Q84" i="10" s="1"/>
  <c r="R84" i="10" s="1"/>
  <c r="Q85" i="10" s="1"/>
  <c r="R85" i="10" s="1"/>
  <c r="Q86" i="10" s="1"/>
  <c r="R86" i="10" s="1"/>
  <c r="Q87" i="10" s="1"/>
  <c r="R87" i="10" s="1"/>
  <c r="Q88" i="10" s="1"/>
  <c r="R88" i="10" s="1"/>
  <c r="Q89" i="10" s="1"/>
  <c r="R89" i="10" s="1"/>
  <c r="Q90" i="10" s="1"/>
  <c r="R90" i="10" s="1"/>
  <c r="Q91" i="10" s="1"/>
  <c r="R91" i="10" s="1"/>
  <c r="Q92" i="10" s="1"/>
  <c r="R92" i="10" s="1"/>
  <c r="Q93" i="10" s="1"/>
  <c r="R93" i="10" s="1"/>
  <c r="Q94" i="10" s="1"/>
  <c r="R94" i="10" s="1"/>
  <c r="Q95" i="10" s="1"/>
  <c r="R95" i="10" s="1"/>
  <c r="Q96" i="10" s="1"/>
  <c r="R96" i="10" s="1"/>
  <c r="Q97" i="10" s="1"/>
  <c r="R97" i="10" s="1"/>
  <c r="Q98" i="10" s="1"/>
  <c r="R98" i="10" s="1"/>
  <c r="Q99" i="10" s="1"/>
  <c r="R99" i="10" s="1"/>
  <c r="Q100" i="10" s="1"/>
  <c r="R100" i="10" s="1"/>
  <c r="Q101" i="10" s="1"/>
  <c r="R101" i="10" s="1"/>
  <c r="Q102" i="10" s="1"/>
  <c r="R102" i="10" s="1"/>
  <c r="Q103" i="10" s="1"/>
  <c r="R103" i="10" s="1"/>
  <c r="Q104" i="10" s="1"/>
  <c r="R104" i="10" s="1"/>
  <c r="Q105" i="10" s="1"/>
  <c r="R105" i="10" s="1"/>
  <c r="Q106" i="10" s="1"/>
  <c r="R106" i="10" s="1"/>
  <c r="Q107" i="10" s="1"/>
  <c r="R107" i="10" s="1"/>
  <c r="Q108" i="10" s="1"/>
  <c r="R108" i="10" s="1"/>
  <c r="Q109" i="10" s="1"/>
  <c r="R109" i="10" s="1"/>
  <c r="Q110" i="10" s="1"/>
  <c r="R110" i="10" s="1"/>
  <c r="Q111" i="10" s="1"/>
  <c r="R111" i="10" s="1"/>
  <c r="Q112" i="10" s="1"/>
  <c r="R112" i="10" s="1"/>
  <c r="Q113" i="10" s="1"/>
  <c r="R113" i="10" s="1"/>
  <c r="Q114" i="10" s="1"/>
  <c r="R114" i="10" s="1"/>
  <c r="Q115" i="10" s="1"/>
  <c r="R115" i="10" s="1"/>
  <c r="Q116" i="10" s="1"/>
  <c r="R116" i="10" s="1"/>
  <c r="Q117" i="10" s="1"/>
  <c r="R117" i="10" s="1"/>
  <c r="Q118" i="10" s="1"/>
  <c r="R118" i="10" s="1"/>
  <c r="Q119" i="10" s="1"/>
  <c r="R119" i="10" s="1"/>
  <c r="Q120" i="10" s="1"/>
  <c r="R120" i="10" s="1"/>
  <c r="Q121" i="10" s="1"/>
  <c r="R121" i="10" s="1"/>
  <c r="Q122" i="10" s="1"/>
  <c r="R122" i="10" s="1"/>
  <c r="Q123" i="10" s="1"/>
  <c r="R123" i="10" s="1"/>
  <c r="Q124" i="10" s="1"/>
  <c r="R124" i="10" s="1"/>
  <c r="Q125" i="10" s="1"/>
  <c r="R125" i="10" s="1"/>
  <c r="Q126" i="10" s="1"/>
  <c r="R126" i="10" s="1"/>
  <c r="Q127" i="10" s="1"/>
  <c r="R127" i="10" s="1"/>
  <c r="Q128" i="10" s="1"/>
  <c r="R128" i="10" s="1"/>
  <c r="Q129" i="10" s="1"/>
  <c r="R129" i="10" s="1"/>
  <c r="Q130" i="10" s="1"/>
  <c r="R130" i="10" s="1"/>
  <c r="Q131" i="10" s="1"/>
  <c r="R131" i="10" s="1"/>
  <c r="Q132" i="10" s="1"/>
  <c r="R132" i="10" s="1"/>
  <c r="Q133" i="10" s="1"/>
  <c r="R133" i="10" s="1"/>
  <c r="Q134" i="10" s="1"/>
  <c r="R134" i="10" s="1"/>
  <c r="Q135" i="10" s="1"/>
  <c r="R135" i="10" s="1"/>
  <c r="Q136" i="10" s="1"/>
  <c r="R136" i="10" s="1"/>
  <c r="Q137" i="10" s="1"/>
  <c r="R137" i="10" s="1"/>
  <c r="Q138" i="10" s="1"/>
  <c r="R138" i="10" s="1"/>
  <c r="Q139" i="10" s="1"/>
  <c r="R139" i="10" s="1"/>
  <c r="Q140" i="10" s="1"/>
  <c r="R140" i="10" s="1"/>
  <c r="Q141" i="10" s="1"/>
  <c r="R141" i="10" s="1"/>
  <c r="Q142" i="10" s="1"/>
  <c r="R142" i="10" s="1"/>
  <c r="Q143" i="10" s="1"/>
  <c r="R143" i="10" s="1"/>
  <c r="Q144" i="10" s="1"/>
  <c r="R144" i="10" s="1"/>
  <c r="Q145" i="10" s="1"/>
  <c r="R145" i="10" s="1"/>
  <c r="Q146" i="10" s="1"/>
  <c r="R146" i="10" s="1"/>
  <c r="Q147" i="10" s="1"/>
  <c r="R147" i="10" s="1"/>
  <c r="Q148" i="10" s="1"/>
  <c r="R148" i="10" s="1"/>
  <c r="Q149" i="10" s="1"/>
  <c r="R149" i="10" s="1"/>
  <c r="Q150" i="10" s="1"/>
  <c r="R150" i="10" s="1"/>
  <c r="Q151" i="10" s="1"/>
  <c r="R151" i="10" s="1"/>
  <c r="Q152" i="10" s="1"/>
  <c r="R152" i="10" s="1"/>
  <c r="Q153" i="10" s="1"/>
  <c r="R153" i="10" s="1"/>
  <c r="Q154" i="10" s="1"/>
  <c r="R154" i="10" s="1"/>
  <c r="Q155" i="10" s="1"/>
  <c r="R155" i="10" s="1"/>
  <c r="Q156" i="10" s="1"/>
  <c r="R156" i="10" s="1"/>
  <c r="Q157" i="10" s="1"/>
  <c r="R157" i="10" s="1"/>
  <c r="Q158" i="10" s="1"/>
  <c r="R158" i="10" s="1"/>
  <c r="Q159" i="10" s="1"/>
  <c r="R159" i="10" s="1"/>
  <c r="Q160" i="10" s="1"/>
  <c r="R160" i="10" s="1"/>
  <c r="Q161" i="10" s="1"/>
  <c r="R161" i="10" s="1"/>
  <c r="Q162" i="10" s="1"/>
  <c r="R162" i="10" s="1"/>
  <c r="Q163" i="10" s="1"/>
  <c r="R163" i="10" s="1"/>
  <c r="Q164" i="10" s="1"/>
  <c r="R164" i="10" s="1"/>
  <c r="Q165" i="10" s="1"/>
  <c r="R165" i="10" s="1"/>
  <c r="Q166" i="10" s="1"/>
  <c r="R166" i="10" s="1"/>
  <c r="Q167" i="10" s="1"/>
  <c r="R167" i="10" s="1"/>
  <c r="Q168" i="10" s="1"/>
  <c r="R168" i="10" s="1"/>
  <c r="Q169" i="10" s="1"/>
  <c r="R169" i="10" s="1"/>
  <c r="Q170" i="10" s="1"/>
  <c r="R170" i="10" s="1"/>
  <c r="Q171" i="10" s="1"/>
  <c r="R171" i="10" s="1"/>
  <c r="Q172" i="10" s="1"/>
  <c r="R172" i="10" s="1"/>
  <c r="Q173" i="10" s="1"/>
  <c r="R173" i="10" s="1"/>
  <c r="Q174" i="10" s="1"/>
  <c r="R174" i="10" s="1"/>
  <c r="Q175" i="10" s="1"/>
  <c r="R175" i="10" s="1"/>
  <c r="Q176" i="10" s="1"/>
  <c r="R176" i="10" s="1"/>
  <c r="Q177" i="10" s="1"/>
  <c r="R177" i="10" s="1"/>
  <c r="Q178" i="10" s="1"/>
  <c r="R178" i="10" s="1"/>
  <c r="Q179" i="10" s="1"/>
  <c r="R179" i="10" s="1"/>
  <c r="Q180" i="10" s="1"/>
  <c r="R180" i="10" s="1"/>
  <c r="Q181" i="10" s="1"/>
  <c r="R181" i="10" s="1"/>
  <c r="Q182" i="10" s="1"/>
  <c r="R182" i="10" s="1"/>
  <c r="Q183" i="10" s="1"/>
  <c r="R183" i="10" s="1"/>
  <c r="Q184" i="10" s="1"/>
  <c r="R184" i="10" s="1"/>
  <c r="Q185" i="10" s="1"/>
  <c r="R185" i="10" s="1"/>
  <c r="Q186" i="10" s="1"/>
  <c r="R186" i="10" s="1"/>
  <c r="Q187" i="10" s="1"/>
  <c r="R187" i="10" s="1"/>
  <c r="Q188" i="10" s="1"/>
  <c r="R188" i="10" s="1"/>
  <c r="Q189" i="10" s="1"/>
  <c r="R189" i="10" s="1"/>
  <c r="Q190" i="10" s="1"/>
  <c r="R190" i="10" s="1"/>
  <c r="Q191" i="10" s="1"/>
  <c r="R191" i="10" s="1"/>
  <c r="Q192" i="10" s="1"/>
  <c r="R192" i="10" s="1"/>
  <c r="Q193" i="10" s="1"/>
  <c r="R193" i="10" s="1"/>
  <c r="Q194" i="10" s="1"/>
  <c r="R194" i="10" s="1"/>
  <c r="Q195" i="10" s="1"/>
  <c r="R195" i="10" s="1"/>
  <c r="Q196" i="10" s="1"/>
  <c r="R196" i="10" s="1"/>
  <c r="Q197" i="10" s="1"/>
  <c r="R197" i="10" s="1"/>
  <c r="Q198" i="10" s="1"/>
  <c r="R198" i="10" s="1"/>
  <c r="Q199" i="10" s="1"/>
  <c r="R199" i="10" s="1"/>
  <c r="Q200" i="10" s="1"/>
  <c r="R200" i="10" s="1"/>
  <c r="Q201" i="10" s="1"/>
  <c r="R201" i="10" s="1"/>
  <c r="Q202" i="10" s="1"/>
  <c r="R202" i="10" s="1"/>
  <c r="Q203" i="10" s="1"/>
  <c r="R203" i="10" s="1"/>
  <c r="Q204" i="10" s="1"/>
  <c r="R204" i="10" s="1"/>
  <c r="Q205" i="10" s="1"/>
  <c r="R205" i="10" s="1"/>
  <c r="Q206" i="10" s="1"/>
  <c r="R206" i="10" s="1"/>
  <c r="Q207" i="10" s="1"/>
  <c r="R207" i="10" s="1"/>
  <c r="Q208" i="10" s="1"/>
  <c r="R208" i="10" s="1"/>
  <c r="Q209" i="10" s="1"/>
  <c r="R209" i="10" s="1"/>
  <c r="Q210" i="10" s="1"/>
  <c r="R210" i="10" s="1"/>
  <c r="Q40" i="5"/>
  <c r="Q41" i="5" s="1"/>
  <c r="Q45" i="5" l="1"/>
  <c r="Q43" i="5" s="1"/>
  <c r="Q58" i="5" l="1"/>
  <c r="Q31" i="5"/>
  <c r="R39" i="5" s="1"/>
  <c r="Q49" i="5"/>
  <c r="Q47" i="5" s="1"/>
  <c r="R36" i="5" l="1"/>
  <c r="R37" i="5"/>
  <c r="R34" i="5"/>
  <c r="R38" i="5"/>
  <c r="R35" i="5"/>
  <c r="R33" i="5"/>
  <c r="R40" i="5" l="1"/>
  <c r="R41" i="5" l="1"/>
  <c r="R45" i="5" s="1"/>
  <c r="R43" i="5" s="1"/>
  <c r="R31" i="5" l="1"/>
  <c r="S36" i="5" s="1"/>
  <c r="R58" i="5"/>
  <c r="R49" i="5"/>
  <c r="R47" i="5" s="1"/>
  <c r="S38" i="5" l="1"/>
  <c r="S34" i="5"/>
  <c r="S33" i="5"/>
  <c r="S35" i="5"/>
  <c r="S37" i="5"/>
  <c r="S39" i="5"/>
  <c r="S40" i="5" l="1"/>
  <c r="S41" i="5" s="1"/>
  <c r="S31" i="5" s="1"/>
  <c r="S45" i="5" l="1"/>
  <c r="S43" i="5" s="1"/>
  <c r="S58" i="5"/>
  <c r="T35" i="5"/>
  <c r="T33" i="5"/>
  <c r="T39" i="5"/>
  <c r="T36" i="5"/>
  <c r="T38" i="5"/>
  <c r="T37" i="5"/>
  <c r="T34" i="5"/>
  <c r="S49" i="5" l="1"/>
  <c r="S47" i="5" s="1"/>
  <c r="T40" i="5"/>
  <c r="T41" i="5" s="1"/>
  <c r="T58" i="5" s="1"/>
  <c r="T31" i="5" l="1"/>
  <c r="U36" i="5" s="1"/>
  <c r="T45" i="5"/>
  <c r="T43" i="5" s="1"/>
  <c r="U38" i="5" l="1"/>
  <c r="T49" i="5"/>
  <c r="T47" i="5" s="1"/>
  <c r="U39" i="5"/>
  <c r="U33" i="5"/>
  <c r="U37" i="5"/>
  <c r="U35" i="5"/>
  <c r="U34" i="5"/>
  <c r="U40" i="5" l="1"/>
  <c r="U41" i="5" s="1"/>
  <c r="U58" i="5" s="1"/>
  <c r="U31" i="5" l="1"/>
  <c r="V35" i="5" s="1"/>
  <c r="U45" i="5"/>
  <c r="U49" i="5" s="1"/>
  <c r="U47" i="5" s="1"/>
  <c r="V33" i="5" l="1"/>
  <c r="V36" i="5"/>
  <c r="V38" i="5"/>
  <c r="V39" i="5"/>
  <c r="V37" i="5"/>
  <c r="U43" i="5"/>
  <c r="V34" i="5"/>
  <c r="V40" i="5" l="1"/>
  <c r="V41" i="5" s="1"/>
  <c r="V31" i="5" s="1"/>
  <c r="V58" i="5" l="1"/>
  <c r="V45" i="5"/>
  <c r="V43" i="5" s="1"/>
  <c r="K42" i="5" s="1"/>
  <c r="W37" i="5"/>
  <c r="W35" i="5"/>
  <c r="W38" i="5"/>
  <c r="W39" i="5"/>
  <c r="W33" i="5"/>
  <c r="W34" i="5"/>
  <c r="W36" i="5"/>
  <c r="V49" i="5" l="1"/>
  <c r="V47" i="5" s="1"/>
  <c r="R8" i="6" s="1"/>
  <c r="R7" i="6"/>
  <c r="W40" i="5"/>
  <c r="W41" i="5" s="1"/>
  <c r="W45" i="5" l="1"/>
  <c r="W43" i="5" s="1"/>
  <c r="W58" i="5"/>
  <c r="W31" i="5"/>
  <c r="W49" i="5" l="1"/>
  <c r="W47" i="5" s="1"/>
  <c r="X35" i="5"/>
  <c r="X33" i="5"/>
  <c r="X37" i="5"/>
  <c r="X36" i="5"/>
  <c r="X34" i="5"/>
  <c r="X38" i="5"/>
  <c r="X39" i="5"/>
  <c r="X40" i="5" l="1"/>
  <c r="X41" i="5" s="1"/>
  <c r="X58" i="5" l="1"/>
  <c r="X31" i="5"/>
  <c r="X45" i="5"/>
  <c r="X43" i="5" s="1"/>
  <c r="Y37" i="5" l="1"/>
  <c r="Y38" i="5"/>
  <c r="Y34" i="5"/>
  <c r="Y39" i="5"/>
  <c r="Y35" i="5"/>
  <c r="Y33" i="5"/>
  <c r="Y36" i="5"/>
  <c r="X62" i="5"/>
  <c r="X49" i="5"/>
  <c r="X47" i="5" s="1"/>
  <c r="X64" i="5" s="1"/>
  <c r="X63" i="5"/>
  <c r="X66" i="5" l="1"/>
  <c r="Y40" i="5"/>
  <c r="Y41" i="5" s="1"/>
  <c r="Y58" i="5" l="1"/>
  <c r="Y31" i="5"/>
  <c r="Y45" i="5"/>
  <c r="Y43" i="5" s="1"/>
  <c r="Z36" i="5" l="1"/>
  <c r="Z37" i="5"/>
  <c r="Z33" i="5"/>
  <c r="Z39" i="5"/>
  <c r="Z38" i="5"/>
  <c r="Z35" i="5"/>
  <c r="Z34" i="5"/>
  <c r="Y49" i="5"/>
  <c r="Y47" i="5" s="1"/>
  <c r="Z40" i="5" l="1"/>
  <c r="Z41" i="5" s="1"/>
  <c r="Z58" i="5" l="1"/>
  <c r="Z45" i="5"/>
  <c r="Z31" i="5"/>
  <c r="AA38" i="5" l="1"/>
  <c r="AA34" i="5"/>
  <c r="AA37" i="5"/>
  <c r="AA36" i="5"/>
  <c r="AA35" i="5"/>
  <c r="AA39" i="5"/>
  <c r="AA33" i="5"/>
  <c r="Z49" i="5"/>
  <c r="Z47" i="5" s="1"/>
  <c r="Z43" i="5"/>
  <c r="AA40" i="5" l="1"/>
  <c r="AA41" i="5" l="1"/>
  <c r="AA45" i="5" s="1"/>
  <c r="AA43" i="5" s="1"/>
  <c r="AA31" i="5" l="1"/>
  <c r="AB35" i="5" s="1"/>
  <c r="AA58" i="5"/>
  <c r="AA49" i="5"/>
  <c r="AA47" i="5" s="1"/>
  <c r="AB37" i="5" l="1"/>
  <c r="AB38" i="5"/>
  <c r="AB33" i="5"/>
  <c r="AB34" i="5"/>
  <c r="AB36" i="5"/>
  <c r="AB39" i="5"/>
  <c r="AB40" i="5" l="1"/>
  <c r="AB41" i="5" s="1"/>
  <c r="AB58" i="5" s="1"/>
  <c r="AB45" i="5" l="1"/>
  <c r="AB43" i="5" s="1"/>
  <c r="AB31" i="5"/>
  <c r="AC37" i="5" s="1"/>
  <c r="AB49" i="5" l="1"/>
  <c r="AB47" i="5" s="1"/>
  <c r="AC34" i="5"/>
  <c r="AC38" i="5"/>
  <c r="AC39" i="5"/>
  <c r="AC35" i="5"/>
  <c r="AC36" i="5"/>
  <c r="AC33" i="5"/>
  <c r="AC40" i="5" l="1"/>
  <c r="AC41" i="5" s="1"/>
  <c r="AC31" i="5" s="1"/>
  <c r="AD34" i="5" s="1"/>
  <c r="AC58" i="5" l="1"/>
  <c r="AC45" i="5"/>
  <c r="AC43" i="5" s="1"/>
  <c r="AD37" i="5"/>
  <c r="AD38" i="5"/>
  <c r="AD35" i="5"/>
  <c r="AD39" i="5"/>
  <c r="AD33" i="5"/>
  <c r="AD36" i="5"/>
  <c r="AC49" i="5" l="1"/>
  <c r="AC47" i="5" s="1"/>
  <c r="AD40" i="5"/>
  <c r="AD41" i="5" l="1"/>
  <c r="AD45" i="5" s="1"/>
  <c r="AD43" i="5" s="1"/>
  <c r="AD58" i="5" l="1"/>
  <c r="AD49" i="5"/>
  <c r="AD47" i="5" s="1"/>
  <c r="AD31" i="5"/>
  <c r="AE37" i="5" s="1"/>
  <c r="AE33" i="5" l="1"/>
  <c r="AE39" i="5"/>
  <c r="AE35" i="5"/>
  <c r="AE38" i="5"/>
  <c r="AE34" i="5"/>
  <c r="AE36" i="5"/>
  <c r="AE40" i="5" l="1"/>
  <c r="AE41" i="5" s="1"/>
  <c r="AE58" i="5" l="1"/>
  <c r="AE31" i="5"/>
  <c r="AF35" i="5" s="1"/>
  <c r="AE45" i="5"/>
  <c r="AE43" i="5" s="1"/>
  <c r="AF34" i="5" l="1"/>
  <c r="AF38" i="5"/>
  <c r="AF33" i="5"/>
  <c r="AF39" i="5"/>
  <c r="AF37" i="5"/>
  <c r="AE49" i="5"/>
  <c r="AE47" i="5" s="1"/>
  <c r="AF36" i="5"/>
  <c r="AF40" i="5" l="1"/>
  <c r="AF41" i="5" s="1"/>
  <c r="AF45" i="5" s="1"/>
  <c r="AF43" i="5" s="1"/>
  <c r="AF58" i="5" l="1"/>
  <c r="AF49" i="5"/>
  <c r="AF47" i="5" s="1"/>
  <c r="AF31" i="5"/>
  <c r="AG38" i="5" s="1"/>
  <c r="AG35" i="5" l="1"/>
  <c r="AG37" i="5"/>
  <c r="AG34" i="5"/>
  <c r="AG36" i="5"/>
  <c r="AG33" i="5"/>
  <c r="AG39" i="5"/>
  <c r="AG40" i="5" l="1"/>
  <c r="AG41" i="5" s="1"/>
  <c r="AG58" i="5" s="1"/>
  <c r="AG45" i="5" l="1"/>
  <c r="AG43" i="5" s="1"/>
  <c r="AG31" i="5"/>
  <c r="AH36" i="5" s="1"/>
  <c r="AH33" i="5" l="1"/>
  <c r="AG49" i="5"/>
  <c r="AG47" i="5" s="1"/>
  <c r="AH39" i="5"/>
  <c r="AH37" i="5"/>
  <c r="AH35" i="5"/>
  <c r="AH34" i="5"/>
  <c r="AH38" i="5"/>
  <c r="AH40" i="5" l="1"/>
  <c r="AH41" i="5" s="1"/>
  <c r="AH58" i="5" s="1"/>
  <c r="AH45" i="5" l="1"/>
  <c r="AH43" i="5" s="1"/>
  <c r="AH31" i="5"/>
  <c r="AI36" i="5" s="1"/>
  <c r="AH49" i="5" l="1"/>
  <c r="AH47" i="5" s="1"/>
  <c r="AI35" i="5"/>
  <c r="AI34" i="5"/>
  <c r="AI39" i="5"/>
  <c r="AI37" i="5"/>
  <c r="AI38" i="5"/>
  <c r="AI33" i="5"/>
  <c r="AI40" i="5" l="1"/>
  <c r="AI41" i="5" s="1"/>
  <c r="AI45" i="5" s="1"/>
  <c r="AI31" i="5" l="1"/>
  <c r="AJ39" i="5" s="1"/>
  <c r="AI43" i="5"/>
  <c r="AI49" i="5"/>
  <c r="AI47" i="5" s="1"/>
  <c r="AJ38" i="5" l="1"/>
  <c r="AJ37" i="5"/>
  <c r="AJ34" i="5"/>
  <c r="AJ36" i="5"/>
  <c r="AJ35" i="5"/>
  <c r="AJ33" i="5"/>
  <c r="AJ40" i="5" l="1"/>
  <c r="AJ41" i="5" s="1"/>
  <c r="AJ31" i="5" s="1"/>
  <c r="AK35" i="5" s="1"/>
  <c r="AJ45" i="5" l="1"/>
  <c r="AJ43" i="5" s="1"/>
  <c r="AK33" i="5"/>
  <c r="AK37" i="5"/>
  <c r="AK34" i="5"/>
  <c r="AK39" i="5"/>
  <c r="AK38" i="5"/>
  <c r="AK36" i="5"/>
  <c r="AJ49" i="5" l="1"/>
  <c r="AJ47" i="5" s="1"/>
  <c r="AK40" i="5"/>
  <c r="AK41" i="5" s="1"/>
  <c r="AK31" i="5" s="1"/>
  <c r="AL39" i="5" s="1"/>
  <c r="AL35" i="5" l="1"/>
  <c r="AL37" i="5"/>
  <c r="AL34" i="5"/>
  <c r="AK45" i="5"/>
  <c r="AL36" i="5"/>
  <c r="AL33" i="5"/>
  <c r="AL38" i="5"/>
  <c r="AL40" i="5" l="1"/>
  <c r="AL41" i="5" s="1"/>
  <c r="AL31" i="5" s="1"/>
  <c r="AK43" i="5"/>
  <c r="AK49" i="5"/>
  <c r="AK47" i="5" s="1"/>
  <c r="AL45" i="5" l="1"/>
  <c r="AL43" i="5" s="1"/>
  <c r="AM37" i="5"/>
  <c r="AM39" i="5"/>
  <c r="AM38" i="5"/>
  <c r="AM33" i="5"/>
  <c r="AM35" i="5"/>
  <c r="AM36" i="5"/>
  <c r="AM34" i="5"/>
  <c r="AL49" i="5" l="1"/>
  <c r="AL47" i="5" s="1"/>
  <c r="AM40" i="5"/>
  <c r="AM41" i="5" l="1"/>
  <c r="AM31" i="5" s="1"/>
  <c r="AN37" i="5" l="1"/>
  <c r="AN33" i="5"/>
  <c r="AN39" i="5"/>
  <c r="AN36" i="5"/>
  <c r="AN35" i="5"/>
  <c r="AN38" i="5"/>
  <c r="AN34" i="5"/>
  <c r="AM45" i="5"/>
  <c r="AM43" i="5" s="1"/>
  <c r="AN40" i="5" l="1"/>
  <c r="AN41" i="5" s="1"/>
  <c r="AM49" i="5"/>
  <c r="AM47" i="5" s="1"/>
  <c r="AN45" i="5" l="1"/>
  <c r="AN43" i="5" s="1"/>
  <c r="AN31" i="5"/>
  <c r="AO39" i="5" s="1"/>
  <c r="AO37" i="5" l="1"/>
  <c r="AO33" i="5"/>
  <c r="AO38" i="5"/>
  <c r="AO34" i="5"/>
  <c r="AO36" i="5"/>
  <c r="AO35" i="5"/>
  <c r="AN49" i="5"/>
  <c r="AN47" i="5" s="1"/>
  <c r="AO40" i="5" l="1"/>
  <c r="AO41" i="5" s="1"/>
  <c r="AO45" i="5" s="1"/>
  <c r="AO31" i="5" l="1"/>
  <c r="AP37" i="5" s="1"/>
  <c r="AO43" i="5"/>
  <c r="AO49" i="5"/>
  <c r="AO47" i="5" s="1"/>
  <c r="AP38" i="5" l="1"/>
  <c r="AP35" i="5"/>
  <c r="AP34" i="5"/>
  <c r="AP36" i="5"/>
  <c r="AP33" i="5"/>
  <c r="AP39" i="5"/>
  <c r="AP40" i="5" l="1"/>
  <c r="AP41" i="5" s="1"/>
  <c r="AP31" i="5" s="1"/>
  <c r="AQ37" i="5" l="1"/>
  <c r="AQ38" i="5"/>
  <c r="AQ35" i="5"/>
  <c r="AQ39" i="5"/>
  <c r="AQ36" i="5"/>
  <c r="AQ33" i="5"/>
  <c r="AQ34" i="5"/>
  <c r="AP45" i="5"/>
  <c r="AP43" i="5" s="1"/>
  <c r="AQ40" i="5" l="1"/>
  <c r="AQ41" i="5" s="1"/>
  <c r="AP49" i="5"/>
  <c r="AP47" i="5" s="1"/>
  <c r="AQ31" i="5" l="1"/>
  <c r="AR37" i="5" s="1"/>
  <c r="AQ45" i="5"/>
  <c r="AQ49" i="5" s="1"/>
  <c r="AQ47" i="5" s="1"/>
  <c r="AR35" i="5" l="1"/>
  <c r="AQ43" i="5"/>
  <c r="AR33" i="5"/>
  <c r="AR34" i="5"/>
  <c r="AR39" i="5"/>
  <c r="AR38" i="5"/>
  <c r="AR36" i="5"/>
  <c r="AR40" i="5" l="1"/>
  <c r="AR41" i="5" s="1"/>
  <c r="AR45" i="5" s="1"/>
  <c r="AR43" i="5" s="1"/>
  <c r="AR31" i="5" l="1"/>
  <c r="AS36" i="5" s="1"/>
  <c r="AR49" i="5"/>
  <c r="AR47" i="5" s="1"/>
  <c r="AS39" i="5" l="1"/>
  <c r="AS34" i="5"/>
  <c r="AS35" i="5"/>
  <c r="AS38" i="5"/>
  <c r="AS37" i="5"/>
  <c r="AS33" i="5"/>
  <c r="AS40" i="5" l="1"/>
  <c r="AS41" i="5" s="1"/>
  <c r="AS31" i="5" s="1"/>
  <c r="AT37" i="5" s="1"/>
  <c r="AT35" i="5" l="1"/>
  <c r="AT34" i="5"/>
  <c r="AT33" i="5"/>
  <c r="AT39" i="5"/>
  <c r="AT36" i="5"/>
  <c r="AT38" i="5"/>
  <c r="AS45" i="5"/>
  <c r="AS43" i="5" s="1"/>
  <c r="AT40" i="5" l="1"/>
  <c r="AT41" i="5" s="1"/>
  <c r="AT45" i="5" s="1"/>
  <c r="AT43" i="5" s="1"/>
  <c r="AS49" i="5"/>
  <c r="AS47" i="5" s="1"/>
  <c r="AT31" i="5" l="1"/>
  <c r="AU39" i="5" s="1"/>
  <c r="AT49" i="5"/>
  <c r="AT47" i="5" s="1"/>
  <c r="AU33" i="5" l="1"/>
  <c r="AU34" i="5"/>
  <c r="AU35" i="5"/>
  <c r="AU38" i="5"/>
  <c r="AU36" i="5"/>
  <c r="AU37" i="5"/>
  <c r="AU40" i="5" l="1"/>
  <c r="AU41" i="5" s="1"/>
  <c r="AU45" i="5" s="1"/>
  <c r="AU43" i="5" s="1"/>
  <c r="AU49" i="5" l="1"/>
  <c r="AU47" i="5" s="1"/>
  <c r="AU31" i="5"/>
  <c r="AV34" i="5" s="1"/>
  <c r="AV35" i="5" l="1"/>
  <c r="AV33" i="5"/>
  <c r="AV39" i="5"/>
  <c r="AV36" i="5"/>
  <c r="AV38" i="5"/>
  <c r="AV37" i="5"/>
  <c r="AV40" i="5" l="1"/>
  <c r="AV41" i="5" s="1"/>
  <c r="AV31" i="5" s="1"/>
  <c r="AW38" i="5" s="1"/>
  <c r="AW34" i="5" l="1"/>
  <c r="AW36" i="5"/>
  <c r="AW39" i="5"/>
  <c r="AW33" i="5"/>
  <c r="AW37" i="5"/>
  <c r="AW35" i="5"/>
  <c r="AV45" i="5"/>
  <c r="AV43" i="5" s="1"/>
  <c r="AW40" i="5" l="1"/>
  <c r="AW41" i="5" s="1"/>
  <c r="AW45" i="5" s="1"/>
  <c r="AW43" i="5" s="1"/>
  <c r="AV49" i="5"/>
  <c r="AV47" i="5" s="1"/>
  <c r="AW31" i="5" l="1"/>
  <c r="AX34" i="5" s="1"/>
  <c r="AW49" i="5"/>
  <c r="AW47" i="5" s="1"/>
  <c r="AX33" i="5" l="1"/>
  <c r="AX36" i="5"/>
  <c r="AX35" i="5"/>
  <c r="AX37" i="5"/>
  <c r="AX38" i="5"/>
  <c r="AX39" i="5"/>
  <c r="AX40" i="5" l="1"/>
  <c r="AX41" i="5" s="1"/>
  <c r="AX45" i="5" s="1"/>
  <c r="AX43" i="5" s="1"/>
  <c r="AX31" i="5" l="1"/>
  <c r="AY38" i="5" s="1"/>
  <c r="AX49" i="5"/>
  <c r="AX47" i="5" s="1"/>
  <c r="AY39" i="5" l="1"/>
  <c r="AY33" i="5"/>
  <c r="AY34" i="5"/>
  <c r="AY35" i="5"/>
  <c r="AY36" i="5"/>
  <c r="AY37" i="5"/>
  <c r="AY40" i="5" l="1"/>
  <c r="AY41" i="5" s="1"/>
  <c r="AY45" i="5" l="1"/>
  <c r="AY43" i="5" s="1"/>
  <c r="AY31" i="5"/>
  <c r="AY49" i="5" l="1"/>
  <c r="AY47" i="5" s="1"/>
  <c r="AZ36" i="5"/>
  <c r="AZ39" i="5"/>
  <c r="AZ37" i="5"/>
  <c r="AZ38" i="5"/>
  <c r="AZ33" i="5"/>
  <c r="AZ34" i="5"/>
  <c r="AZ35" i="5"/>
  <c r="AZ40" i="5" l="1"/>
  <c r="AZ41" i="5" s="1"/>
  <c r="AZ45" i="5" l="1"/>
  <c r="AZ43" i="5" s="1"/>
  <c r="AZ31" i="5"/>
  <c r="AZ49" i="5" l="1"/>
  <c r="AZ47" i="5" s="1"/>
  <c r="BA36" i="5"/>
  <c r="BA39" i="5"/>
  <c r="BA38" i="5"/>
  <c r="BA35" i="5"/>
  <c r="BA33" i="5"/>
  <c r="BA37" i="5"/>
  <c r="BA34" i="5"/>
  <c r="BA40" i="5" l="1"/>
  <c r="BA41" i="5" s="1"/>
  <c r="BA45" i="5" l="1"/>
  <c r="BA43" i="5" s="1"/>
  <c r="BA31" i="5"/>
  <c r="BA49" i="5" l="1"/>
  <c r="BA47" i="5" s="1"/>
  <c r="BB37" i="5"/>
  <c r="BB33" i="5"/>
  <c r="BB34" i="5"/>
  <c r="BB36" i="5"/>
  <c r="BB39" i="5"/>
  <c r="BB38" i="5"/>
  <c r="BB35" i="5"/>
  <c r="BB40" i="5" l="1"/>
  <c r="BB41" i="5" s="1"/>
  <c r="BB45" i="5" l="1"/>
  <c r="BB43" i="5" s="1"/>
  <c r="BB31" i="5"/>
  <c r="BB49" i="5" l="1"/>
  <c r="BB47" i="5" s="1"/>
  <c r="BC33" i="5"/>
  <c r="BC37" i="5"/>
  <c r="BC38" i="5"/>
  <c r="BC35" i="5"/>
  <c r="BC39" i="5"/>
  <c r="BC34" i="5"/>
  <c r="BC36" i="5"/>
  <c r="BC40" i="5" l="1"/>
  <c r="BC41" i="5" s="1"/>
  <c r="BC45" i="5" l="1"/>
  <c r="BC43" i="5" s="1"/>
  <c r="BC31" i="5"/>
  <c r="BC49" i="5" l="1"/>
  <c r="BC47" i="5" s="1"/>
  <c r="BD38" i="5"/>
  <c r="BD37" i="5"/>
  <c r="BD36" i="5"/>
  <c r="BD39" i="5"/>
  <c r="BD33" i="5"/>
  <c r="BD34" i="5"/>
  <c r="BD35" i="5"/>
  <c r="BD40" i="5" l="1"/>
  <c r="BD41" i="5" s="1"/>
  <c r="BD45" i="5" l="1"/>
  <c r="BD43" i="5" s="1"/>
  <c r="BD31" i="5"/>
  <c r="BD49" i="5" l="1"/>
  <c r="BD47" i="5" s="1"/>
  <c r="BE36" i="5"/>
  <c r="BE33" i="5"/>
  <c r="BE34" i="5"/>
  <c r="BE35" i="5"/>
  <c r="BE37" i="5"/>
  <c r="BE39" i="5"/>
  <c r="BE38" i="5"/>
  <c r="BE40" i="5" l="1"/>
  <c r="BE41" i="5" s="1"/>
  <c r="BE45" i="5" l="1"/>
  <c r="BE43" i="5" s="1"/>
  <c r="BE31" i="5"/>
  <c r="BE49" i="5" l="1"/>
  <c r="BE47" i="5" s="1"/>
  <c r="BF37" i="5"/>
  <c r="BF38" i="5"/>
  <c r="BF36" i="5"/>
  <c r="BF33" i="5"/>
  <c r="BF35" i="5"/>
  <c r="BF34" i="5"/>
  <c r="BF39" i="5"/>
  <c r="BF40" i="5" l="1"/>
  <c r="BF41" i="5" s="1"/>
  <c r="BF45" i="5" l="1"/>
  <c r="BF43" i="5" s="1"/>
  <c r="BF31" i="5"/>
  <c r="BF49" i="5" l="1"/>
  <c r="BF47" i="5" s="1"/>
  <c r="BG36" i="5"/>
  <c r="BG34" i="5"/>
  <c r="BG35" i="5"/>
  <c r="BG38" i="5"/>
  <c r="BG37" i="5"/>
  <c r="BG33" i="5"/>
  <c r="BG39" i="5"/>
  <c r="BG40" i="5" l="1"/>
  <c r="BG41" i="5" s="1"/>
  <c r="BG45" i="5" l="1"/>
  <c r="BG43" i="5" s="1"/>
  <c r="BG31" i="5"/>
  <c r="BH37" i="5" l="1"/>
  <c r="BH38" i="5"/>
  <c r="BH39" i="5"/>
  <c r="BH33" i="5"/>
  <c r="BH34" i="5"/>
  <c r="BH35" i="5"/>
  <c r="BH36" i="5"/>
  <c r="BG49" i="5"/>
  <c r="BG47" i="5" s="1"/>
  <c r="BH40" i="5" l="1"/>
  <c r="BH41" i="5" s="1"/>
  <c r="BH31" i="5" s="1"/>
  <c r="BI33" i="5" s="1"/>
  <c r="BI36" i="5" l="1"/>
  <c r="BI38" i="5"/>
  <c r="BH45" i="5"/>
  <c r="BH43" i="5" s="1"/>
  <c r="BI37" i="5"/>
  <c r="BI34" i="5"/>
  <c r="BI39" i="5"/>
  <c r="BI35" i="5"/>
  <c r="BH49" i="5" l="1"/>
  <c r="BH47" i="5" s="1"/>
  <c r="BI40" i="5"/>
  <c r="BI41" i="5" s="1"/>
  <c r="BI45" i="5" l="1"/>
  <c r="BI43" i="5" s="1"/>
  <c r="BI31" i="5"/>
  <c r="BI49" i="5" l="1"/>
  <c r="BI47" i="5" s="1"/>
  <c r="BJ38" i="5"/>
  <c r="BJ34" i="5"/>
  <c r="BJ33" i="5"/>
  <c r="BJ35" i="5"/>
  <c r="BJ37" i="5"/>
  <c r="BJ36" i="5"/>
  <c r="BJ39" i="5"/>
  <c r="BJ40" i="5" l="1"/>
  <c r="BJ41" i="5" l="1"/>
  <c r="BJ31" i="5" s="1"/>
  <c r="BK35" i="5" l="1"/>
  <c r="BK33" i="5"/>
  <c r="BK36" i="5"/>
  <c r="BK34" i="5"/>
  <c r="BK38" i="5"/>
  <c r="BK39" i="5"/>
  <c r="BK37" i="5"/>
  <c r="BJ45" i="5"/>
  <c r="BJ43" i="5" s="1"/>
  <c r="BJ49" i="5" l="1"/>
  <c r="BJ47" i="5" s="1"/>
  <c r="BK40" i="5"/>
  <c r="BK41" i="5" l="1"/>
  <c r="BK31" i="5" l="1"/>
  <c r="BK45" i="5"/>
  <c r="BK43" i="5" s="1"/>
  <c r="BL36" i="5" l="1"/>
  <c r="BL33" i="5"/>
  <c r="BL37" i="5"/>
  <c r="BL38" i="5"/>
  <c r="BL39" i="5"/>
  <c r="BL35" i="5"/>
  <c r="BL34" i="5"/>
  <c r="BK49" i="5"/>
  <c r="BK47" i="5" s="1"/>
  <c r="BL40" i="5" l="1"/>
  <c r="BL41" i="5" l="1"/>
  <c r="BL45" i="5" l="1"/>
  <c r="BL43" i="5" s="1"/>
  <c r="BL31" i="5"/>
  <c r="BL49" i="5" l="1"/>
  <c r="BL47" i="5" s="1"/>
  <c r="BM36" i="5"/>
  <c r="BM34" i="5"/>
  <c r="BM38" i="5"/>
  <c r="BM37" i="5"/>
  <c r="BM33" i="5"/>
  <c r="BM39" i="5"/>
  <c r="BM35" i="5"/>
  <c r="BM40" i="5" l="1"/>
  <c r="BM41" i="5" s="1"/>
  <c r="BM45" i="5" l="1"/>
  <c r="BM43" i="5" s="1"/>
  <c r="BM31" i="5"/>
  <c r="BM49" i="5" l="1"/>
  <c r="BM47" i="5" s="1"/>
  <c r="BN36" i="5"/>
  <c r="BN34" i="5"/>
  <c r="BN38" i="5"/>
  <c r="BN33" i="5"/>
  <c r="BN37" i="5"/>
  <c r="BN35" i="5"/>
  <c r="BN39" i="5"/>
  <c r="BN40" i="5" l="1"/>
  <c r="BN41" i="5" s="1"/>
  <c r="BN31" i="5" l="1"/>
  <c r="BN45" i="5"/>
  <c r="BN43" i="5" s="1"/>
  <c r="BO39" i="5" l="1"/>
  <c r="BO38" i="5"/>
  <c r="BO34" i="5"/>
  <c r="BO33" i="5"/>
  <c r="BO37" i="5"/>
  <c r="BO36" i="5"/>
  <c r="BO35" i="5"/>
  <c r="BN49" i="5"/>
  <c r="BN47" i="5" s="1"/>
  <c r="BO40" i="5" l="1"/>
  <c r="BO41" i="5" s="1"/>
  <c r="BO31" i="5" l="1"/>
  <c r="BO45" i="5"/>
  <c r="BO43" i="5" s="1"/>
  <c r="BP37" i="5" l="1"/>
  <c r="BP35" i="5"/>
  <c r="BP33" i="5"/>
  <c r="BP38" i="5"/>
  <c r="BP39" i="5"/>
  <c r="BP34" i="5"/>
  <c r="BP36" i="5"/>
  <c r="BO49" i="5"/>
  <c r="BO47" i="5" s="1"/>
  <c r="BP40" i="5" l="1"/>
  <c r="BP41" i="5" l="1"/>
  <c r="BP45" i="5" l="1"/>
  <c r="BP43" i="5" s="1"/>
  <c r="BP31" i="5"/>
  <c r="BP49" i="5" l="1"/>
  <c r="BP47" i="5" s="1"/>
  <c r="BQ39" i="5"/>
  <c r="BQ34" i="5"/>
  <c r="BQ36" i="5"/>
  <c r="BQ33" i="5"/>
  <c r="BQ35" i="5"/>
  <c r="BQ37" i="5"/>
  <c r="BQ38" i="5"/>
  <c r="BQ40" i="5" l="1"/>
  <c r="BQ41" i="5" s="1"/>
  <c r="BQ45" i="5" l="1"/>
  <c r="BQ43" i="5" s="1"/>
  <c r="BQ31" i="5"/>
  <c r="BQ49" i="5" l="1"/>
  <c r="BQ47" i="5" s="1"/>
  <c r="BR33" i="5"/>
  <c r="BR34" i="5"/>
  <c r="BR39" i="5"/>
  <c r="BR36" i="5"/>
  <c r="BR38" i="5"/>
  <c r="BR37" i="5"/>
  <c r="BR35" i="5"/>
  <c r="BR40" i="5" l="1"/>
  <c r="BR41" i="5" l="1"/>
  <c r="BR31" i="5" l="1"/>
  <c r="BR45" i="5"/>
  <c r="BR43" i="5" s="1"/>
  <c r="BS37" i="5" l="1"/>
  <c r="BS36" i="5"/>
  <c r="BS34" i="5"/>
  <c r="BS38" i="5"/>
  <c r="BS39" i="5"/>
  <c r="BS33" i="5"/>
  <c r="BS35" i="5"/>
  <c r="BR49" i="5"/>
  <c r="BR47" i="5" s="1"/>
  <c r="BS40" i="5" l="1"/>
  <c r="BS41" i="5" s="1"/>
  <c r="BS45" i="5" l="1"/>
  <c r="BS43" i="5" s="1"/>
  <c r="BS31" i="5"/>
  <c r="BS49" i="5" l="1"/>
  <c r="BS47" i="5" s="1"/>
  <c r="BT38" i="5"/>
  <c r="BT33" i="5"/>
  <c r="BT35" i="5"/>
  <c r="BT37" i="5"/>
  <c r="BT36" i="5"/>
  <c r="BT39" i="5"/>
  <c r="BT34" i="5"/>
  <c r="BT40" i="5" l="1"/>
  <c r="BT41" i="5" s="1"/>
  <c r="BT45" i="5" l="1"/>
  <c r="BT43" i="5" s="1"/>
  <c r="BT31" i="5"/>
  <c r="BT49" i="5" l="1"/>
  <c r="BT47" i="5" s="1"/>
  <c r="BU39" i="5"/>
  <c r="BU33" i="5"/>
  <c r="BU35" i="5"/>
  <c r="BU34" i="5"/>
  <c r="BU37" i="5"/>
  <c r="BU38" i="5"/>
  <c r="BU36" i="5"/>
  <c r="BU40" i="5" l="1"/>
  <c r="BU41" i="5" s="1"/>
  <c r="BU45" i="5" l="1"/>
  <c r="BU43" i="5" s="1"/>
  <c r="BU31" i="5"/>
  <c r="BU49" i="5" l="1"/>
  <c r="BU47" i="5" s="1"/>
  <c r="BV36" i="5"/>
  <c r="BV38" i="5"/>
  <c r="BV33" i="5"/>
  <c r="BV34" i="5"/>
  <c r="BV35" i="5"/>
  <c r="BV39" i="5"/>
  <c r="BV37" i="5"/>
  <c r="BV40" i="5" l="1"/>
  <c r="BV41" i="5" s="1"/>
  <c r="BV31" i="5" s="1"/>
  <c r="BV45" i="5" l="1"/>
  <c r="BV43" i="5" s="1"/>
  <c r="BW39" i="5"/>
  <c r="BW34" i="5"/>
  <c r="BW36" i="5"/>
  <c r="BW38" i="5"/>
  <c r="BW35" i="5"/>
  <c r="BW33" i="5"/>
  <c r="BW37" i="5"/>
  <c r="BV49" i="5" l="1"/>
  <c r="BV47" i="5" s="1"/>
  <c r="BW40" i="5"/>
  <c r="BW41" i="5" s="1"/>
  <c r="BW31" i="5" l="1"/>
  <c r="BW45" i="5"/>
  <c r="BW43" i="5" s="1"/>
  <c r="BW49" i="5" l="1"/>
  <c r="BW47" i="5" s="1"/>
  <c r="BX39" i="5"/>
  <c r="BX37" i="5"/>
  <c r="BX34" i="5"/>
  <c r="BX38" i="5"/>
  <c r="BX33" i="5"/>
  <c r="BX35" i="5"/>
  <c r="BX36" i="5"/>
  <c r="BX40" i="5" l="1"/>
  <c r="BX41" i="5" s="1"/>
  <c r="BX45" i="5" l="1"/>
  <c r="BX43" i="5" s="1"/>
  <c r="BX31" i="5"/>
  <c r="BY38" i="5" l="1"/>
  <c r="BY36" i="5"/>
  <c r="BY37" i="5"/>
  <c r="BY34" i="5"/>
  <c r="BY33" i="5"/>
  <c r="BY35" i="5"/>
  <c r="BY39" i="5"/>
  <c r="BX49" i="5"/>
  <c r="BX47" i="5" s="1"/>
  <c r="BY40" i="5" l="1"/>
  <c r="BY41" i="5" s="1"/>
  <c r="BY45" i="5" l="1"/>
  <c r="BY43" i="5" s="1"/>
  <c r="BY31" i="5"/>
  <c r="BY49" i="5" l="1"/>
  <c r="BY47" i="5" s="1"/>
  <c r="BZ39" i="5"/>
  <c r="BZ36" i="5"/>
  <c r="BZ35" i="5"/>
  <c r="BZ37" i="5"/>
  <c r="BZ33" i="5"/>
  <c r="BZ34" i="5"/>
  <c r="BZ38" i="5"/>
  <c r="BZ40" i="5" l="1"/>
  <c r="BZ41" i="5" s="1"/>
  <c r="BZ45" i="5" l="1"/>
  <c r="BZ43" i="5" s="1"/>
  <c r="BZ31" i="5"/>
  <c r="BZ49" i="5" l="1"/>
  <c r="BZ47" i="5" s="1"/>
  <c r="CA36" i="5"/>
  <c r="CA34" i="5"/>
  <c r="CA38" i="5"/>
  <c r="CA39" i="5"/>
  <c r="CA37" i="5"/>
  <c r="CA33" i="5"/>
  <c r="CA35" i="5"/>
  <c r="CA40" i="5" l="1"/>
  <c r="CA41" i="5" s="1"/>
  <c r="CA45" i="5" l="1"/>
  <c r="CA43" i="5" s="1"/>
  <c r="CA31" i="5"/>
  <c r="CA49" i="5" l="1"/>
  <c r="CA47" i="5" s="1"/>
  <c r="CB36" i="5"/>
  <c r="CB33" i="5"/>
  <c r="CB38" i="5"/>
  <c r="CB37" i="5"/>
  <c r="CB35" i="5"/>
  <c r="CB34" i="5"/>
  <c r="CB39" i="5"/>
  <c r="CB40" i="5" l="1"/>
  <c r="CB41" i="5" s="1"/>
  <c r="CB31" i="5" l="1"/>
  <c r="CB45" i="5"/>
  <c r="CB43" i="5" s="1"/>
  <c r="CB49" i="5" l="1"/>
  <c r="CB47" i="5" s="1"/>
  <c r="CC36" i="5"/>
  <c r="CC38" i="5"/>
  <c r="CC35" i="5"/>
  <c r="CC37" i="5"/>
  <c r="CC33" i="5"/>
  <c r="CC39" i="5"/>
  <c r="CC34" i="5"/>
  <c r="CC40" i="5" l="1"/>
  <c r="CC41" i="5" s="1"/>
  <c r="CC45" i="5" l="1"/>
  <c r="CC43" i="5" s="1"/>
  <c r="CC31" i="5"/>
  <c r="CC49" i="5" l="1"/>
  <c r="CC47" i="5" s="1"/>
  <c r="CD33" i="5"/>
  <c r="CD38" i="5"/>
  <c r="CD39" i="5"/>
  <c r="CD36" i="5"/>
  <c r="CD37" i="5"/>
  <c r="CD35" i="5"/>
  <c r="CD34" i="5"/>
  <c r="CD40" i="5" l="1"/>
  <c r="CD41" i="5" s="1"/>
  <c r="CD45" i="5" l="1"/>
  <c r="CD43" i="5" s="1"/>
  <c r="CD31" i="5"/>
  <c r="CE38" i="5" l="1"/>
  <c r="CE37" i="5"/>
  <c r="CE33" i="5"/>
  <c r="CE39" i="5"/>
  <c r="CE34" i="5"/>
  <c r="CE35" i="5"/>
  <c r="CE36" i="5"/>
  <c r="CD49" i="5"/>
  <c r="CD47" i="5" s="1"/>
  <c r="CE40" i="5" l="1"/>
  <c r="CE41" i="5" s="1"/>
  <c r="CE45" i="5" s="1"/>
  <c r="CE43" i="5" s="1"/>
  <c r="CE31" i="5" l="1"/>
  <c r="CF33" i="5" s="1"/>
  <c r="CE49" i="5"/>
  <c r="CE47" i="5" s="1"/>
  <c r="CF39" i="5" l="1"/>
  <c r="CF35" i="5"/>
  <c r="CF37" i="5"/>
  <c r="CF38" i="5"/>
  <c r="CF34" i="5"/>
  <c r="CF36" i="5"/>
  <c r="CF40" i="5" l="1"/>
  <c r="CF41" i="5" s="1"/>
  <c r="CF31" i="5" s="1"/>
  <c r="CG36" i="5" s="1"/>
  <c r="CG37" i="5" l="1"/>
  <c r="CG38" i="5"/>
  <c r="CG35" i="5"/>
  <c r="CF45" i="5"/>
  <c r="CF43" i="5" s="1"/>
  <c r="CG33" i="5"/>
  <c r="CG34" i="5"/>
  <c r="CG39" i="5"/>
  <c r="CF49" i="5" l="1"/>
  <c r="CF47" i="5" s="1"/>
  <c r="CG40" i="5"/>
  <c r="CG41" i="5" s="1"/>
  <c r="CG31" i="5" s="1"/>
  <c r="CH36" i="5" l="1"/>
  <c r="CH35" i="5"/>
  <c r="CH37" i="5"/>
  <c r="CH33" i="5"/>
  <c r="CH39" i="5"/>
  <c r="CH34" i="5"/>
  <c r="CH38" i="5"/>
  <c r="CG45" i="5"/>
  <c r="CH40" i="5" l="1"/>
  <c r="CH41" i="5" s="1"/>
  <c r="CH31" i="5" s="1"/>
  <c r="CI38" i="5" s="1"/>
  <c r="CG43" i="5"/>
  <c r="CG49" i="5"/>
  <c r="CG47" i="5" s="1"/>
  <c r="CI39" i="5" l="1"/>
  <c r="CH45" i="5"/>
  <c r="CH49" i="5" s="1"/>
  <c r="CH47" i="5" s="1"/>
  <c r="CI35" i="5"/>
  <c r="CI34" i="5"/>
  <c r="CI33" i="5"/>
  <c r="CI36" i="5"/>
  <c r="CI37" i="5"/>
  <c r="CH43" i="5" l="1"/>
  <c r="CI40" i="5"/>
  <c r="CI41" i="5" s="1"/>
  <c r="CI31" i="5" s="1"/>
  <c r="CJ38" i="5" s="1"/>
  <c r="CJ36" i="5" l="1"/>
  <c r="CJ34" i="5"/>
  <c r="CJ33" i="5"/>
  <c r="CJ37" i="5"/>
  <c r="CJ39" i="5"/>
  <c r="CJ35" i="5"/>
  <c r="CI45" i="5"/>
  <c r="CI43" i="5" s="1"/>
  <c r="CJ40" i="5" l="1"/>
  <c r="CJ41" i="5" s="1"/>
  <c r="CJ45" i="5" s="1"/>
  <c r="CJ43" i="5" s="1"/>
  <c r="CI49" i="5"/>
  <c r="CI47" i="5" s="1"/>
  <c r="CJ49" i="5" l="1"/>
  <c r="CJ47" i="5" s="1"/>
  <c r="CJ31" i="5"/>
  <c r="CK39" i="5" s="1"/>
  <c r="CK36" i="5" l="1"/>
  <c r="CK37" i="5"/>
  <c r="CK33" i="5"/>
  <c r="CK38" i="5"/>
  <c r="CK34" i="5"/>
  <c r="CK35" i="5"/>
  <c r="CK40" i="5" l="1"/>
  <c r="CK41" i="5" s="1"/>
  <c r="CK45" i="5" s="1"/>
  <c r="CK43" i="5" s="1"/>
  <c r="CK49" i="5" l="1"/>
  <c r="CK47" i="5" s="1"/>
  <c r="CK31" i="5"/>
  <c r="CL38" i="5" s="1"/>
  <c r="CL35" i="5" l="1"/>
  <c r="CL39" i="5"/>
  <c r="CL33" i="5"/>
  <c r="CL34" i="5"/>
  <c r="CL37" i="5"/>
  <c r="CL36" i="5"/>
  <c r="CL40" i="5" l="1"/>
  <c r="CL41" i="5" s="1"/>
  <c r="CL31" i="5" s="1"/>
  <c r="CM39" i="5" s="1"/>
  <c r="CM36" i="5" l="1"/>
  <c r="CM37" i="5"/>
  <c r="CM35" i="5"/>
  <c r="CM38" i="5"/>
  <c r="CM33" i="5"/>
  <c r="CM34" i="5"/>
  <c r="CL45" i="5"/>
  <c r="CL43" i="5" s="1"/>
  <c r="CM40" i="5" l="1"/>
  <c r="CM41" i="5" s="1"/>
  <c r="CM31" i="5" s="1"/>
  <c r="CL49" i="5"/>
  <c r="CL47" i="5" s="1"/>
  <c r="CM45" i="5" l="1"/>
  <c r="CM43" i="5" s="1"/>
  <c r="CN34" i="5"/>
  <c r="CN33" i="5"/>
  <c r="CN37" i="5"/>
  <c r="CN36" i="5"/>
  <c r="CN35" i="5"/>
  <c r="CN39" i="5"/>
  <c r="CN38" i="5"/>
  <c r="CM49" i="5" l="1"/>
  <c r="CM47" i="5" s="1"/>
  <c r="CN40" i="5"/>
  <c r="CN41" i="5" s="1"/>
  <c r="CN31" i="5" l="1"/>
  <c r="CN45" i="5"/>
  <c r="CN43" i="5" s="1"/>
  <c r="CN49" i="5" l="1"/>
  <c r="CN47" i="5" s="1"/>
  <c r="CO37" i="5"/>
  <c r="CO34" i="5"/>
  <c r="CO36" i="5"/>
  <c r="CO39" i="5"/>
  <c r="CO35" i="5"/>
  <c r="CO38" i="5"/>
  <c r="CO33" i="5"/>
  <c r="CO40" i="5" l="1"/>
  <c r="CO41" i="5" s="1"/>
  <c r="CO31" i="5" l="1"/>
  <c r="CO45" i="5"/>
  <c r="CO43" i="5" s="1"/>
  <c r="CO49" i="5" l="1"/>
  <c r="CO47" i="5" s="1"/>
  <c r="CP37" i="5"/>
  <c r="CP35" i="5"/>
  <c r="CP38" i="5"/>
  <c r="CP36" i="5"/>
  <c r="CP34" i="5"/>
  <c r="CP33" i="5"/>
  <c r="CP39" i="5"/>
  <c r="CP40" i="5" l="1"/>
  <c r="CP41" i="5" s="1"/>
  <c r="CP31" i="5" s="1"/>
  <c r="CP45" i="5" l="1"/>
  <c r="CP43" i="5" s="1"/>
  <c r="CQ35" i="5"/>
  <c r="CQ38" i="5"/>
  <c r="CQ37" i="5"/>
  <c r="CQ36" i="5"/>
  <c r="CQ33" i="5"/>
  <c r="CQ34" i="5"/>
  <c r="CQ39" i="5"/>
  <c r="CP49" i="5" l="1"/>
  <c r="CP47" i="5" s="1"/>
  <c r="CQ40" i="5"/>
  <c r="CQ41" i="5" s="1"/>
  <c r="CQ31" i="5" l="1"/>
  <c r="CQ45" i="5"/>
  <c r="CQ43" i="5" s="1"/>
  <c r="CQ49" i="5" l="1"/>
  <c r="CQ47" i="5" s="1"/>
  <c r="CR39" i="5"/>
  <c r="CR34" i="5"/>
  <c r="CR38" i="5"/>
  <c r="CR36" i="5"/>
  <c r="CR37" i="5"/>
  <c r="CR35" i="5"/>
  <c r="CR33" i="5"/>
  <c r="CR40" i="5" l="1"/>
  <c r="CR41" i="5" s="1"/>
  <c r="CR31" i="5" s="1"/>
  <c r="CS36" i="5" s="1"/>
  <c r="CR45" i="5" l="1"/>
  <c r="CR43" i="5" s="1"/>
  <c r="CS38" i="5"/>
  <c r="CS33" i="5"/>
  <c r="CS34" i="5"/>
  <c r="CS37" i="5"/>
  <c r="CS39" i="5"/>
  <c r="CS35" i="5"/>
  <c r="CR49" i="5" l="1"/>
  <c r="CR47" i="5" s="1"/>
  <c r="CS40" i="5"/>
  <c r="CS41" i="5" s="1"/>
  <c r="CS31" i="5" s="1"/>
  <c r="CT36" i="5" s="1"/>
  <c r="CT39" i="5" l="1"/>
  <c r="CS45" i="5"/>
  <c r="CS43" i="5" s="1"/>
  <c r="CT35" i="5"/>
  <c r="CT33" i="5"/>
  <c r="CT38" i="5"/>
  <c r="CT34" i="5"/>
  <c r="CT37" i="5"/>
  <c r="CS49" i="5" l="1"/>
  <c r="CS47" i="5" s="1"/>
  <c r="CT40" i="5"/>
  <c r="CT41" i="5" s="1"/>
  <c r="CT45" i="5" s="1"/>
  <c r="CT43" i="5" s="1"/>
  <c r="CT49" i="5" l="1"/>
  <c r="CT47" i="5" s="1"/>
  <c r="CT31" i="5"/>
  <c r="CU39" i="5" s="1"/>
  <c r="CU33" i="5" l="1"/>
  <c r="CU35" i="5"/>
  <c r="CU37" i="5"/>
  <c r="CU38" i="5"/>
  <c r="CU34" i="5"/>
  <c r="CU36" i="5"/>
  <c r="CU40" i="5" l="1"/>
  <c r="CU41" i="5" s="1"/>
  <c r="CU45" i="5" s="1"/>
  <c r="CU43" i="5" s="1"/>
  <c r="CU49" i="5" l="1"/>
  <c r="CU47" i="5" s="1"/>
  <c r="CU31" i="5"/>
  <c r="CV37" i="5" l="1"/>
  <c r="CV35" i="5"/>
  <c r="CV39" i="5"/>
  <c r="CV33" i="5"/>
  <c r="CV36" i="5"/>
  <c r="CV38" i="5"/>
  <c r="CV34" i="5"/>
  <c r="CV40" i="5" l="1"/>
  <c r="CV41" i="5" s="1"/>
  <c r="CV45" i="5" s="1"/>
  <c r="CV43" i="5" s="1"/>
  <c r="CV49" i="5" l="1"/>
  <c r="CV47" i="5" s="1"/>
  <c r="CV31" i="5"/>
  <c r="CW38" i="5" s="1"/>
  <c r="CW36" i="5" l="1"/>
  <c r="CW35" i="5"/>
  <c r="CW39" i="5"/>
  <c r="CW34" i="5"/>
  <c r="CW33" i="5"/>
  <c r="CW37" i="5"/>
  <c r="CW40" i="5" l="1"/>
  <c r="CW41" i="5" s="1"/>
  <c r="CW31" i="5" s="1"/>
  <c r="CX35" i="5" s="1"/>
  <c r="CX36" i="5" l="1"/>
  <c r="CX37" i="5"/>
  <c r="CX33" i="5"/>
  <c r="CX34" i="5"/>
  <c r="CX39" i="5"/>
  <c r="CW45" i="5"/>
  <c r="CW43" i="5" s="1"/>
  <c r="CX38" i="5"/>
  <c r="CW49" i="5" l="1"/>
  <c r="CW47" i="5" s="1"/>
  <c r="CX40" i="5"/>
  <c r="CX41" i="5" s="1"/>
  <c r="CX31" i="5" s="1"/>
  <c r="CY35" i="5" l="1"/>
  <c r="CY34" i="5"/>
  <c r="CY39" i="5"/>
  <c r="CY36" i="5"/>
  <c r="CY38" i="5"/>
  <c r="CY37" i="5"/>
  <c r="CY33" i="5"/>
  <c r="CX45" i="5"/>
  <c r="CY40" i="5" l="1"/>
  <c r="CY41" i="5" s="1"/>
  <c r="CY31" i="5" s="1"/>
  <c r="CZ34" i="5" s="1"/>
  <c r="CX43" i="5"/>
  <c r="CX49" i="5"/>
  <c r="CX47" i="5" s="1"/>
  <c r="CZ37" i="5" l="1"/>
  <c r="CZ33" i="5"/>
  <c r="CZ39" i="5"/>
  <c r="CZ35" i="5"/>
  <c r="CZ38" i="5"/>
  <c r="CY45" i="5"/>
  <c r="CY43" i="5" s="1"/>
  <c r="CZ36" i="5"/>
  <c r="CZ40" i="5" l="1"/>
  <c r="CZ41" i="5" s="1"/>
  <c r="CZ45" i="5" s="1"/>
  <c r="CZ43" i="5" s="1"/>
  <c r="CY49" i="5"/>
  <c r="CY47" i="5" s="1"/>
  <c r="CZ31" i="5" l="1"/>
  <c r="DA39" i="5" s="1"/>
  <c r="CZ49" i="5"/>
  <c r="CZ47" i="5" s="1"/>
  <c r="DA36" i="5" l="1"/>
  <c r="DA35" i="5"/>
  <c r="DA38" i="5"/>
  <c r="DA33" i="5"/>
  <c r="DA34" i="5"/>
  <c r="DA37" i="5"/>
  <c r="DA40" i="5" l="1"/>
  <c r="DA41" i="5" s="1"/>
  <c r="DA31" i="5" s="1"/>
  <c r="DB38" i="5" s="1"/>
  <c r="DB39" i="5" l="1"/>
  <c r="DB36" i="5"/>
  <c r="DB37" i="5"/>
  <c r="DB34" i="5"/>
  <c r="DB33" i="5"/>
  <c r="DB35" i="5"/>
  <c r="DA45" i="5"/>
  <c r="DA43" i="5" s="1"/>
  <c r="DB40" i="5" l="1"/>
  <c r="DB41" i="5" s="1"/>
  <c r="DB45" i="5" s="1"/>
  <c r="DB43" i="5" s="1"/>
  <c r="DA49" i="5"/>
  <c r="DA47" i="5" s="1"/>
  <c r="DB31" i="5" l="1"/>
  <c r="DC38" i="5" s="1"/>
  <c r="DB49" i="5"/>
  <c r="DB47" i="5" s="1"/>
  <c r="DC37" i="5" l="1"/>
  <c r="DC35" i="5"/>
  <c r="DC34" i="5"/>
  <c r="DC36" i="5"/>
  <c r="DC33" i="5"/>
  <c r="DC39" i="5"/>
  <c r="DC40" i="5" l="1"/>
  <c r="DC41" i="5" s="1"/>
  <c r="DC45" i="5" s="1"/>
  <c r="DC43" i="5" s="1"/>
  <c r="DC49" i="5" l="1"/>
  <c r="DC47" i="5" s="1"/>
  <c r="DC31" i="5"/>
  <c r="DD37" i="5" s="1"/>
  <c r="DD33" i="5" l="1"/>
  <c r="DD35" i="5"/>
  <c r="DD36" i="5"/>
  <c r="DD34" i="5"/>
  <c r="DD38" i="5"/>
  <c r="DD39" i="5"/>
  <c r="DD40" i="5" l="1"/>
  <c r="DD41" i="5" s="1"/>
  <c r="DD45" i="5" s="1"/>
  <c r="DD43" i="5" s="1"/>
  <c r="DD49" i="5" l="1"/>
  <c r="DD47" i="5" s="1"/>
  <c r="DD31" i="5"/>
  <c r="DE37" i="5" s="1"/>
  <c r="DE33" i="5" l="1"/>
  <c r="DE39" i="5"/>
  <c r="DE35" i="5"/>
  <c r="DE34" i="5"/>
  <c r="DE38" i="5"/>
  <c r="DE36" i="5"/>
  <c r="DE40" i="5" l="1"/>
  <c r="DE41" i="5" s="1"/>
  <c r="DE45" i="5" s="1"/>
  <c r="DE43" i="5" s="1"/>
  <c r="DE49" i="5" l="1"/>
  <c r="DE47" i="5" s="1"/>
  <c r="DE31" i="5"/>
  <c r="DF33" i="5" s="1"/>
  <c r="DF37" i="5" l="1"/>
  <c r="DF38" i="5"/>
  <c r="DF39" i="5"/>
  <c r="DF36" i="5"/>
  <c r="DF34" i="5"/>
  <c r="DF35" i="5"/>
  <c r="DF40" i="5" l="1"/>
  <c r="DF41" i="5" s="1"/>
  <c r="DF45" i="5" s="1"/>
  <c r="DF43" i="5" s="1"/>
  <c r="DF31" i="5" l="1"/>
  <c r="DG39" i="5" s="1"/>
  <c r="DF49" i="5"/>
  <c r="DF47" i="5" s="1"/>
  <c r="DG37" i="5" l="1"/>
  <c r="DG36" i="5"/>
  <c r="DG35" i="5"/>
  <c r="DG34" i="5"/>
  <c r="DG38" i="5"/>
  <c r="DG33" i="5"/>
  <c r="DG40" i="5" l="1"/>
  <c r="DG41" i="5" s="1"/>
  <c r="DG45" i="5" s="1"/>
  <c r="DG43" i="5" s="1"/>
  <c r="DG49" i="5" l="1"/>
  <c r="DG47" i="5" s="1"/>
  <c r="DG31" i="5"/>
  <c r="DH39" i="5" s="1"/>
  <c r="DH38" i="5" l="1"/>
  <c r="DH37" i="5"/>
  <c r="DH35" i="5"/>
  <c r="DH34" i="5"/>
  <c r="DH36" i="5"/>
  <c r="DH33" i="5"/>
  <c r="DH40" i="5" l="1"/>
  <c r="DH41" i="5" s="1"/>
  <c r="DH45" i="5" s="1"/>
  <c r="DH43" i="5" s="1"/>
  <c r="DH31" i="5" l="1"/>
  <c r="DI33" i="5" s="1"/>
  <c r="DH49" i="5"/>
  <c r="DH47" i="5" s="1"/>
  <c r="DI35" i="5" l="1"/>
  <c r="DI36" i="5"/>
  <c r="DI38" i="5"/>
  <c r="DI34" i="5"/>
  <c r="DI39" i="5"/>
  <c r="DI37" i="5"/>
  <c r="DI40" i="5" l="1"/>
  <c r="DI41" i="5" s="1"/>
  <c r="DI45" i="5" s="1"/>
  <c r="DI43" i="5" s="1"/>
  <c r="DI49" i="5" l="1"/>
  <c r="DI47" i="5" s="1"/>
  <c r="DI31" i="5"/>
  <c r="DJ37" i="5" s="1"/>
  <c r="DJ34" i="5" l="1"/>
  <c r="DJ33" i="5"/>
  <c r="DJ35" i="5"/>
  <c r="DJ38" i="5"/>
  <c r="DJ39" i="5"/>
  <c r="DJ36" i="5"/>
  <c r="DJ40" i="5" l="1"/>
  <c r="DJ41" i="5" s="1"/>
  <c r="DJ45" i="5" s="1"/>
  <c r="DJ43" i="5" s="1"/>
  <c r="DJ31" i="5" l="1"/>
  <c r="DK38" i="5" s="1"/>
  <c r="DJ49" i="5"/>
  <c r="DJ47" i="5" s="1"/>
  <c r="DK33" i="5" l="1"/>
  <c r="DK35" i="5"/>
  <c r="DK37" i="5"/>
  <c r="DK36" i="5"/>
  <c r="DK39" i="5"/>
  <c r="DK34" i="5"/>
  <c r="DK40" i="5" l="1"/>
  <c r="DK41" i="5" s="1"/>
  <c r="DK45" i="5" s="1"/>
  <c r="DK43" i="5" s="1"/>
  <c r="DK31" i="5" l="1"/>
  <c r="DL36" i="5" s="1"/>
  <c r="DK49" i="5"/>
  <c r="DK47" i="5" s="1"/>
  <c r="DL33" i="5" l="1"/>
  <c r="DL35" i="5"/>
  <c r="DL34" i="5"/>
  <c r="DL39" i="5"/>
  <c r="DL38" i="5"/>
  <c r="DL37" i="5"/>
  <c r="DL40" i="5" l="1"/>
  <c r="DL41" i="5" s="1"/>
  <c r="DL45" i="5" s="1"/>
  <c r="DL43" i="5" s="1"/>
  <c r="DL49" i="5" l="1"/>
  <c r="DL47" i="5" s="1"/>
  <c r="DL31" i="5"/>
  <c r="DM35" i="5" s="1"/>
  <c r="DM34" i="5" l="1"/>
  <c r="DM38" i="5"/>
  <c r="DM36" i="5"/>
  <c r="DM37" i="5"/>
  <c r="DM33" i="5"/>
  <c r="DM39" i="5"/>
  <c r="DM40" i="5" l="1"/>
  <c r="DM41" i="5" s="1"/>
  <c r="DM45" i="5" s="1"/>
  <c r="DM43" i="5" s="1"/>
  <c r="DM49" i="5" l="1"/>
  <c r="DM47" i="5" s="1"/>
  <c r="DM31" i="5"/>
  <c r="DN36" i="5" s="1"/>
  <c r="DN35" i="5" l="1"/>
  <c r="DN37" i="5"/>
  <c r="DN38" i="5"/>
  <c r="DN39" i="5"/>
  <c r="DN33" i="5"/>
  <c r="DN34" i="5"/>
  <c r="DN40" i="5" l="1"/>
  <c r="DN41" i="5" s="1"/>
  <c r="DN45" i="5" s="1"/>
  <c r="DN43" i="5" s="1"/>
  <c r="DN31" i="5" l="1"/>
  <c r="DO39" i="5" s="1"/>
  <c r="DN49" i="5"/>
  <c r="DN47" i="5" s="1"/>
  <c r="DO35" i="5"/>
  <c r="DO34" i="5" l="1"/>
  <c r="DO36" i="5"/>
  <c r="DO38" i="5"/>
  <c r="DO37" i="5"/>
  <c r="DO33" i="5"/>
  <c r="DO40" i="5" l="1"/>
  <c r="DO41" i="5" s="1"/>
  <c r="DO45" i="5" s="1"/>
  <c r="DO43" i="5" s="1"/>
  <c r="DO49" i="5"/>
  <c r="DO47" i="5" s="1"/>
  <c r="DO31" i="5" l="1"/>
  <c r="DP33" i="5" s="1"/>
  <c r="DP38" i="5"/>
  <c r="DP37" i="5"/>
  <c r="DP39" i="5"/>
  <c r="DP35" i="5"/>
  <c r="DP36" i="5"/>
  <c r="DP34" i="5"/>
  <c r="DP40" i="5" l="1"/>
  <c r="DP41" i="5" s="1"/>
  <c r="DP45" i="5" s="1"/>
  <c r="DP43" i="5" s="1"/>
  <c r="DP31" i="5" l="1"/>
  <c r="DQ37" i="5" s="1"/>
  <c r="DP49" i="5"/>
  <c r="DP47" i="5" s="1"/>
  <c r="DQ33" i="5" l="1"/>
  <c r="DQ36" i="5"/>
  <c r="DQ38" i="5"/>
  <c r="DQ35" i="5"/>
  <c r="DQ34" i="5"/>
  <c r="DQ39" i="5"/>
  <c r="DQ40" i="5" l="1"/>
  <c r="DQ41" i="5" s="1"/>
  <c r="DQ31" i="5" s="1"/>
  <c r="DR37" i="5" s="1"/>
  <c r="DR39" i="5" l="1"/>
  <c r="DR36" i="5"/>
  <c r="DR35" i="5"/>
  <c r="DR34" i="5"/>
  <c r="DR33" i="5"/>
  <c r="DR38" i="5"/>
  <c r="DQ45" i="5"/>
  <c r="DQ43" i="5" s="1"/>
  <c r="DR40" i="5" l="1"/>
  <c r="DR41" i="5" s="1"/>
  <c r="DR31" i="5" s="1"/>
  <c r="DS36" i="5" s="1"/>
  <c r="DQ49" i="5"/>
  <c r="DQ47" i="5" s="1"/>
  <c r="DR45" i="5" l="1"/>
  <c r="DR43" i="5" s="1"/>
  <c r="DS38" i="5"/>
  <c r="DS33" i="5"/>
  <c r="DS39" i="5"/>
  <c r="DS37" i="5"/>
  <c r="DS35" i="5"/>
  <c r="DS34" i="5"/>
  <c r="DR49" i="5"/>
  <c r="DR47" i="5" s="1"/>
  <c r="DS40" i="5" l="1"/>
  <c r="DS41" i="5" s="1"/>
  <c r="DS45" i="5" s="1"/>
  <c r="DS49" i="5" s="1"/>
  <c r="DS47" i="5" s="1"/>
  <c r="DS43" i="5" l="1"/>
  <c r="DS31" i="5"/>
  <c r="DT34" i="5" s="1"/>
  <c r="DT35" i="5"/>
  <c r="DT33" i="5"/>
  <c r="DT37" i="5"/>
  <c r="DT38" i="5"/>
  <c r="DT39" i="5"/>
  <c r="DT36" i="5" l="1"/>
  <c r="DT40" i="5"/>
  <c r="DT41" i="5" s="1"/>
  <c r="DT45" i="5" s="1"/>
  <c r="DT43" i="5" s="1"/>
  <c r="DT31" i="5" l="1"/>
  <c r="DU37" i="5" s="1"/>
  <c r="DT49" i="5"/>
  <c r="DT47" i="5" s="1"/>
  <c r="DU34" i="5" l="1"/>
  <c r="DU36" i="5"/>
  <c r="DU35" i="5"/>
  <c r="DU38" i="5"/>
  <c r="DU39" i="5"/>
  <c r="DU33" i="5"/>
  <c r="DU40" i="5" l="1"/>
  <c r="DU41" i="5" s="1"/>
  <c r="DU31" i="5" s="1"/>
  <c r="DV36" i="5" s="1"/>
  <c r="DV34" i="5" l="1"/>
  <c r="DV37" i="5"/>
  <c r="DV38" i="5"/>
  <c r="DV33" i="5"/>
  <c r="DV35" i="5"/>
  <c r="DV39" i="5"/>
  <c r="DU45" i="5"/>
  <c r="DV40" i="5" l="1"/>
  <c r="DV41" i="5" s="1"/>
  <c r="DU43" i="5"/>
  <c r="DU49" i="5"/>
  <c r="DU47" i="5" s="1"/>
  <c r="DV31" i="5" l="1"/>
  <c r="DV45" i="5"/>
  <c r="DV43" i="5" s="1"/>
  <c r="DW38" i="5" l="1"/>
  <c r="DW39" i="5"/>
  <c r="DW35" i="5"/>
  <c r="DW37" i="5"/>
  <c r="DW34" i="5"/>
  <c r="DW33" i="5"/>
  <c r="DW36" i="5"/>
  <c r="DV49" i="5"/>
  <c r="DV47" i="5" s="1"/>
  <c r="DW40" i="5" l="1"/>
  <c r="DW41" i="5" l="1"/>
  <c r="DW45" i="5" l="1"/>
  <c r="DW43" i="5" s="1"/>
  <c r="DW31" i="5"/>
  <c r="DX39" i="5" l="1"/>
  <c r="DX37" i="5"/>
  <c r="DX34" i="5"/>
  <c r="DX33" i="5"/>
  <c r="DX38" i="5"/>
  <c r="DX35" i="5"/>
  <c r="DX36" i="5"/>
  <c r="DW49" i="5"/>
  <c r="DW47" i="5" s="1"/>
  <c r="DX40" i="5" l="1"/>
  <c r="DX41" i="5" l="1"/>
  <c r="DX45" i="5" l="1"/>
  <c r="DX43" i="5" s="1"/>
  <c r="DX31" i="5"/>
  <c r="DY38" i="5" l="1"/>
  <c r="DY39" i="5"/>
  <c r="DY37" i="5"/>
  <c r="DY36" i="5"/>
  <c r="DY35" i="5"/>
  <c r="DY33" i="5"/>
  <c r="DY34" i="5"/>
  <c r="DX49" i="5"/>
  <c r="DX47" i="5" s="1"/>
  <c r="DY40" i="5" l="1"/>
  <c r="DY41" i="5" l="1"/>
  <c r="DY31" i="5" l="1"/>
  <c r="DY45" i="5"/>
  <c r="DY43" i="5" s="1"/>
  <c r="DZ39" i="5" l="1"/>
  <c r="DZ37" i="5"/>
  <c r="DZ36" i="5"/>
  <c r="DZ35" i="5"/>
  <c r="DZ38" i="5"/>
  <c r="DZ33" i="5"/>
  <c r="DZ34" i="5"/>
  <c r="DY49" i="5"/>
  <c r="DY47" i="5" s="1"/>
  <c r="DZ40" i="5" l="1"/>
  <c r="DZ41" i="5" l="1"/>
  <c r="DZ45" i="5" l="1"/>
  <c r="DZ43" i="5" s="1"/>
  <c r="DZ31" i="5"/>
  <c r="EA38" i="5" l="1"/>
  <c r="EA35" i="5"/>
  <c r="EA39" i="5"/>
  <c r="EA37" i="5"/>
  <c r="EA36" i="5"/>
  <c r="EA34" i="5"/>
  <c r="EA33" i="5"/>
  <c r="DZ49" i="5"/>
  <c r="DZ47" i="5" s="1"/>
  <c r="EA40" i="5" l="1"/>
  <c r="EA41" i="5" s="1"/>
  <c r="EA45" i="5" l="1"/>
  <c r="EA43" i="5" s="1"/>
  <c r="EA31" i="5"/>
  <c r="EB39" i="5" l="1"/>
  <c r="EB38" i="5"/>
  <c r="EB37" i="5"/>
  <c r="EB36" i="5"/>
  <c r="EB34" i="5"/>
  <c r="EB33" i="5"/>
  <c r="EB35" i="5"/>
  <c r="EA49" i="5"/>
  <c r="EA47" i="5" s="1"/>
  <c r="EB40" i="5" l="1"/>
  <c r="EB41" i="5" s="1"/>
  <c r="EB31" i="5" s="1"/>
  <c r="EC38" i="5" l="1"/>
  <c r="EC37" i="5"/>
  <c r="EC39" i="5"/>
  <c r="EC36" i="5"/>
  <c r="EC33" i="5"/>
  <c r="EC35" i="5"/>
  <c r="EC34" i="5"/>
  <c r="EB45" i="5"/>
  <c r="EB43" i="5" s="1"/>
  <c r="EB49" i="5" l="1"/>
  <c r="EB47" i="5" s="1"/>
  <c r="EC40" i="5"/>
  <c r="EC41" i="5" s="1"/>
  <c r="EC31" i="5" s="1"/>
  <c r="ED39" i="5" l="1"/>
  <c r="ED38" i="5"/>
  <c r="ED37" i="5"/>
  <c r="ED36" i="5"/>
  <c r="ED35" i="5"/>
  <c r="ED33" i="5"/>
  <c r="ED34" i="5"/>
  <c r="EC45" i="5"/>
  <c r="EC43" i="5" s="1"/>
  <c r="EC49" i="5" l="1"/>
  <c r="EC47" i="5" s="1"/>
  <c r="ED40" i="5"/>
  <c r="ED41" i="5" s="1"/>
  <c r="ED45" i="5" s="1"/>
  <c r="ED31" i="5" l="1"/>
  <c r="ED43" i="5"/>
  <c r="ED49" i="5"/>
  <c r="ED47" i="5" s="1"/>
  <c r="EE38" i="5" l="1"/>
  <c r="EE39" i="5"/>
  <c r="EE35" i="5"/>
  <c r="EE37" i="5"/>
  <c r="EE34" i="5"/>
  <c r="EE36" i="5"/>
  <c r="EE33" i="5"/>
  <c r="EE40" i="5" l="1"/>
  <c r="EE41" i="5" s="1"/>
  <c r="EE31" i="5" s="1"/>
  <c r="EF39" i="5" s="1"/>
  <c r="EE45" i="5" l="1"/>
  <c r="EE43" i="5" s="1"/>
  <c r="EF35" i="5"/>
  <c r="EF34" i="5"/>
  <c r="EF38" i="5"/>
  <c r="EF36" i="5"/>
  <c r="EF37" i="5"/>
  <c r="EF33" i="5"/>
  <c r="EE49" i="5" l="1"/>
  <c r="EE47" i="5" s="1"/>
  <c r="EF40" i="5"/>
  <c r="EF41" i="5" s="1"/>
  <c r="EF31" i="5" s="1"/>
  <c r="EG38" i="5" s="1"/>
  <c r="EG33" i="5" l="1"/>
  <c r="EG36" i="5"/>
  <c r="EF45" i="5"/>
  <c r="EF43" i="5" s="1"/>
  <c r="EG37" i="5"/>
  <c r="EG34" i="5"/>
  <c r="EG39" i="5"/>
  <c r="EG35" i="5"/>
  <c r="EF49" i="5" l="1"/>
  <c r="EF47" i="5" s="1"/>
  <c r="EG40" i="5"/>
  <c r="EG41" i="5" s="1"/>
  <c r="EG45" i="5" l="1"/>
  <c r="EG43" i="5" s="1"/>
  <c r="EG31" i="5"/>
  <c r="EH39" i="5" l="1"/>
  <c r="EH37" i="5"/>
  <c r="EH38" i="5"/>
  <c r="EH36" i="5"/>
  <c r="EH35" i="5"/>
  <c r="EH34" i="5"/>
  <c r="EH33" i="5"/>
  <c r="EG49" i="5"/>
  <c r="EG47" i="5" s="1"/>
  <c r="EH40" i="5" l="1"/>
  <c r="EH41" i="5" s="1"/>
  <c r="EH45" i="5" l="1"/>
  <c r="EH43" i="5" s="1"/>
  <c r="EH31" i="5"/>
  <c r="EI38" i="5" l="1"/>
  <c r="EI35" i="5"/>
  <c r="EI36" i="5"/>
  <c r="EI34" i="5"/>
  <c r="EI39" i="5"/>
  <c r="EI37" i="5"/>
  <c r="EI33" i="5"/>
  <c r="EH49" i="5"/>
  <c r="EH47" i="5" s="1"/>
  <c r="EI40" i="5" l="1"/>
  <c r="EI41" i="5" s="1"/>
  <c r="EI31" i="5" s="1"/>
  <c r="EJ39" i="5" s="1"/>
  <c r="EJ35" i="5" l="1"/>
  <c r="EJ37" i="5"/>
  <c r="EJ34" i="5"/>
  <c r="EI45" i="5"/>
  <c r="EI43" i="5" s="1"/>
  <c r="EJ36" i="5"/>
  <c r="EJ38" i="5"/>
  <c r="EJ33" i="5"/>
  <c r="EI49" i="5" l="1"/>
  <c r="EI47" i="5" s="1"/>
  <c r="EJ40" i="5"/>
  <c r="EJ41" i="5" s="1"/>
  <c r="EJ45" i="5" l="1"/>
  <c r="EJ43" i="5" s="1"/>
  <c r="EJ31" i="5"/>
  <c r="EK38" i="5" l="1"/>
  <c r="EK37" i="5"/>
  <c r="EK36" i="5"/>
  <c r="EK33" i="5"/>
  <c r="EK39" i="5"/>
  <c r="EK35" i="5"/>
  <c r="EK34" i="5"/>
  <c r="EJ49" i="5"/>
  <c r="EJ47" i="5" s="1"/>
  <c r="EK40" i="5" l="1"/>
  <c r="EK41" i="5" l="1"/>
  <c r="EK31" i="5" l="1"/>
  <c r="EK45" i="5"/>
  <c r="EK43" i="5" s="1"/>
  <c r="EL39" i="5" l="1"/>
  <c r="EL38" i="5"/>
  <c r="EL37" i="5"/>
  <c r="EL36" i="5"/>
  <c r="EL35" i="5"/>
  <c r="EL34" i="5"/>
  <c r="EL33" i="5"/>
  <c r="EK49" i="5"/>
  <c r="EK47" i="5" s="1"/>
  <c r="EL40" i="5" l="1"/>
  <c r="EL41" i="5" l="1"/>
  <c r="EL31" i="5" l="1"/>
  <c r="EL45" i="5"/>
  <c r="EL43" i="5" s="1"/>
  <c r="EM38" i="5" l="1"/>
  <c r="EM39" i="5"/>
  <c r="EM35" i="5"/>
  <c r="EM37" i="5"/>
  <c r="EM34" i="5"/>
  <c r="EM33" i="5"/>
  <c r="EM36" i="5"/>
  <c r="EL49" i="5"/>
  <c r="EL47" i="5" s="1"/>
  <c r="EM40" i="5" l="1"/>
  <c r="EM41" i="5" l="1"/>
  <c r="EM45" i="5" l="1"/>
  <c r="EM43" i="5" s="1"/>
  <c r="EM31" i="5"/>
  <c r="EN39" i="5" l="1"/>
  <c r="EN37" i="5"/>
  <c r="EN34" i="5"/>
  <c r="EN33" i="5"/>
  <c r="EN35" i="5"/>
  <c r="EN36" i="5"/>
  <c r="EN38" i="5"/>
  <c r="EM49" i="5"/>
  <c r="EM47" i="5" s="1"/>
  <c r="EN40" i="5" l="1"/>
  <c r="EN41" i="5" l="1"/>
  <c r="EN45" i="5" l="1"/>
  <c r="EN43" i="5" s="1"/>
  <c r="EN31" i="5"/>
  <c r="EO38" i="5" l="1"/>
  <c r="EO39" i="5"/>
  <c r="EO37" i="5"/>
  <c r="EO36" i="5"/>
  <c r="EO35" i="5"/>
  <c r="EO33" i="5"/>
  <c r="EO34" i="5"/>
  <c r="EN49" i="5"/>
  <c r="EN47" i="5" s="1"/>
  <c r="EO40" i="5" l="1"/>
  <c r="EO41" i="5" s="1"/>
  <c r="EO31" i="5" s="1"/>
  <c r="EP39" i="5" l="1"/>
  <c r="EP37" i="5"/>
  <c r="EP36" i="5"/>
  <c r="EP35" i="5"/>
  <c r="EP38" i="5"/>
  <c r="EP34" i="5"/>
  <c r="EP33" i="5"/>
  <c r="EO45" i="5"/>
  <c r="EP40" i="5" l="1"/>
  <c r="EP41" i="5" s="1"/>
  <c r="EP31" i="5" s="1"/>
  <c r="EO49" i="5"/>
  <c r="EO47" i="5" s="1"/>
  <c r="EO43" i="5"/>
  <c r="EQ38" i="5" l="1"/>
  <c r="EQ35" i="5"/>
  <c r="EQ39" i="5"/>
  <c r="EQ37" i="5"/>
  <c r="EQ36" i="5"/>
  <c r="EQ34" i="5"/>
  <c r="EQ33" i="5"/>
  <c r="EP45" i="5"/>
  <c r="EP43" i="5" s="1"/>
  <c r="EQ40" i="5" l="1"/>
  <c r="EP49" i="5"/>
  <c r="EP47" i="5" s="1"/>
  <c r="EQ41" i="5" l="1"/>
  <c r="EQ45" i="5" l="1"/>
  <c r="EQ43" i="5" s="1"/>
  <c r="EQ31" i="5"/>
  <c r="ER39" i="5" l="1"/>
  <c r="ER38" i="5"/>
  <c r="ER37" i="5"/>
  <c r="ER36" i="5"/>
  <c r="ER34" i="5"/>
  <c r="ER33" i="5"/>
  <c r="ER35" i="5"/>
  <c r="EQ49" i="5"/>
  <c r="EQ47" i="5" s="1"/>
  <c r="ER40" i="5" l="1"/>
  <c r="ER41" i="5" s="1"/>
  <c r="ER31" i="5" l="1"/>
  <c r="ER45" i="5"/>
  <c r="ER43" i="5" s="1"/>
  <c r="ES38" i="5" l="1"/>
  <c r="ES37" i="5"/>
  <c r="ES39" i="5"/>
  <c r="ES36" i="5"/>
  <c r="ES33" i="5"/>
  <c r="ES35" i="5"/>
  <c r="ES34" i="5"/>
  <c r="ER49" i="5"/>
  <c r="ER47" i="5" s="1"/>
  <c r="ES40" i="5" l="1"/>
  <c r="ES41" i="5" l="1"/>
  <c r="ES45" i="5" l="1"/>
  <c r="ES43" i="5" s="1"/>
  <c r="ES31" i="5"/>
  <c r="ET39" i="5" l="1"/>
  <c r="ET38" i="5"/>
  <c r="ET37" i="5"/>
  <c r="ET36" i="5"/>
  <c r="ET35" i="5"/>
  <c r="ET34" i="5"/>
  <c r="ET33" i="5"/>
  <c r="ES49" i="5"/>
  <c r="ES47" i="5" s="1"/>
  <c r="ET40" i="5" l="1"/>
  <c r="ET41" i="5" l="1"/>
  <c r="ET31" i="5" l="1"/>
  <c r="ET45" i="5"/>
  <c r="ET43" i="5" s="1"/>
  <c r="EU38" i="5" l="1"/>
  <c r="EU39" i="5"/>
  <c r="EU35" i="5"/>
  <c r="EU37" i="5"/>
  <c r="EU34" i="5"/>
  <c r="EU36" i="5"/>
  <c r="EU33" i="5"/>
  <c r="ET49" i="5"/>
  <c r="ET47" i="5" s="1"/>
  <c r="EU40" i="5" l="1"/>
  <c r="EU41" i="5" l="1"/>
  <c r="EU31" i="5" l="1"/>
  <c r="EU45" i="5"/>
  <c r="EU43" i="5" s="1"/>
  <c r="EV39" i="5" l="1"/>
  <c r="EV37" i="5"/>
  <c r="EV38" i="5"/>
  <c r="EV34" i="5"/>
  <c r="EV35" i="5"/>
  <c r="EV33" i="5"/>
  <c r="EV36" i="5"/>
  <c r="EU49" i="5"/>
  <c r="EU47" i="5" s="1"/>
  <c r="EV40" i="5" l="1"/>
  <c r="EV41" i="5" l="1"/>
  <c r="EV31" i="5" l="1"/>
  <c r="EV45" i="5"/>
  <c r="EV43" i="5" s="1"/>
  <c r="EW38" i="5" l="1"/>
  <c r="EW39" i="5"/>
  <c r="EW37" i="5"/>
  <c r="EW36" i="5"/>
  <c r="EW35" i="5"/>
  <c r="EW33" i="5"/>
  <c r="EW34" i="5"/>
  <c r="EV49" i="5"/>
  <c r="EV47" i="5" s="1"/>
  <c r="EW40" i="5" l="1"/>
  <c r="EW41" i="5" s="1"/>
  <c r="EW45" i="5" l="1"/>
  <c r="EW43" i="5" s="1"/>
  <c r="EW31" i="5"/>
  <c r="EX39" i="5" l="1"/>
  <c r="EX37" i="5"/>
  <c r="EX38" i="5"/>
  <c r="EX36" i="5"/>
  <c r="EX35" i="5"/>
  <c r="EX34" i="5"/>
  <c r="EX33" i="5"/>
  <c r="EW49" i="5"/>
  <c r="EW47" i="5" s="1"/>
  <c r="EX40" i="5" l="1"/>
  <c r="EX41" i="5" s="1"/>
  <c r="EX31" i="5" l="1"/>
  <c r="EX45" i="5"/>
  <c r="EX43" i="5" s="1"/>
  <c r="EY38" i="5" l="1"/>
  <c r="EY35" i="5"/>
  <c r="EY39" i="5"/>
  <c r="EY36" i="5"/>
  <c r="EY34" i="5"/>
  <c r="EY37" i="5"/>
  <c r="EY33" i="5"/>
  <c r="EX49" i="5"/>
  <c r="EX47" i="5" s="1"/>
  <c r="EY40" i="5" l="1"/>
  <c r="EY41" i="5" l="1"/>
  <c r="EY31" i="5" l="1"/>
  <c r="EY45" i="5"/>
  <c r="EY43" i="5" s="1"/>
  <c r="EZ39" i="5" l="1"/>
  <c r="EZ38" i="5"/>
  <c r="EZ36" i="5"/>
  <c r="EZ34" i="5"/>
  <c r="EZ33" i="5"/>
  <c r="EZ37" i="5"/>
  <c r="EZ35" i="5"/>
  <c r="EY49" i="5"/>
  <c r="EY47" i="5" s="1"/>
  <c r="EZ40" i="5" l="1"/>
  <c r="EZ41" i="5" l="1"/>
  <c r="EZ45" i="5" l="1"/>
  <c r="EZ43" i="5" s="1"/>
  <c r="EZ31" i="5"/>
  <c r="FA38" i="5" l="1"/>
  <c r="FA37" i="5"/>
  <c r="FA36" i="5"/>
  <c r="FA39" i="5"/>
  <c r="FA33" i="5"/>
  <c r="FA35" i="5"/>
  <c r="FA34" i="5"/>
  <c r="EZ49" i="5"/>
  <c r="EZ47" i="5" s="1"/>
  <c r="FA40" i="5" l="1"/>
  <c r="FA41" i="5" s="1"/>
  <c r="FA45" i="5" l="1"/>
  <c r="FA43" i="5" s="1"/>
  <c r="FA31" i="5"/>
  <c r="FB39" i="5" l="1"/>
  <c r="FB38" i="5"/>
  <c r="FB37" i="5"/>
  <c r="FB36" i="5"/>
  <c r="FB35" i="5"/>
  <c r="FB34" i="5"/>
  <c r="FB33" i="5"/>
  <c r="FA49" i="5"/>
  <c r="FA47" i="5" s="1"/>
  <c r="FB40" i="5" l="1"/>
  <c r="FB41" i="5" s="1"/>
  <c r="FB31" i="5" l="1"/>
  <c r="FB45" i="5"/>
  <c r="FB43" i="5" s="1"/>
  <c r="FC38" i="5" l="1"/>
  <c r="FC39" i="5"/>
  <c r="FC35" i="5"/>
  <c r="FC37" i="5"/>
  <c r="FC34" i="5"/>
  <c r="FC36" i="5"/>
  <c r="FC33" i="5"/>
  <c r="FB49" i="5"/>
  <c r="FB47" i="5" s="1"/>
  <c r="FC40" i="5" l="1"/>
  <c r="FC41" i="5" l="1"/>
  <c r="FC31" i="5" l="1"/>
  <c r="FC45" i="5"/>
  <c r="FC43" i="5" s="1"/>
  <c r="FD39" i="5" l="1"/>
  <c r="FD37" i="5"/>
  <c r="FD34" i="5"/>
  <c r="FD33" i="5"/>
  <c r="FD38" i="5"/>
  <c r="FD35" i="5"/>
  <c r="FD36" i="5"/>
  <c r="FC49" i="5"/>
  <c r="FC47" i="5" s="1"/>
  <c r="FD40" i="5" l="1"/>
  <c r="FD41" i="5" s="1"/>
  <c r="FD45" i="5" l="1"/>
  <c r="FD43" i="5" s="1"/>
  <c r="FD31" i="5"/>
  <c r="FE38" i="5" l="1"/>
  <c r="FE39" i="5"/>
  <c r="FE37" i="5"/>
  <c r="FE36" i="5"/>
  <c r="FE35" i="5"/>
  <c r="FE33" i="5"/>
  <c r="FE34" i="5"/>
  <c r="FD49" i="5"/>
  <c r="FD47" i="5" s="1"/>
  <c r="FE40" i="5" l="1"/>
  <c r="FE41" i="5" l="1"/>
  <c r="FE31" i="5" l="1"/>
  <c r="FE45" i="5"/>
  <c r="FE43" i="5" s="1"/>
  <c r="FF39" i="5" l="1"/>
  <c r="FF37" i="5"/>
  <c r="FF36" i="5"/>
  <c r="FF35" i="5"/>
  <c r="FF38" i="5"/>
  <c r="FF34" i="5"/>
  <c r="FF33" i="5"/>
  <c r="FE49" i="5"/>
  <c r="FE47" i="5" s="1"/>
  <c r="FF40" i="5" l="1"/>
  <c r="FF41" i="5" s="1"/>
  <c r="FF45" i="5" s="1"/>
  <c r="FF49" i="5" l="1"/>
  <c r="FF47" i="5" s="1"/>
  <c r="FF43" i="5"/>
  <c r="FF31" i="5"/>
  <c r="FG38" i="5" l="1"/>
  <c r="FG35" i="5"/>
  <c r="FG39" i="5"/>
  <c r="FG37" i="5"/>
  <c r="FG36" i="5"/>
  <c r="FG34" i="5"/>
  <c r="FG33" i="5"/>
  <c r="FG40" i="5" l="1"/>
  <c r="FG41" i="5" s="1"/>
  <c r="FG45" i="5" s="1"/>
  <c r="FG43" i="5" s="1"/>
  <c r="FG31" i="5" l="1"/>
  <c r="FH39" i="5" s="1"/>
  <c r="FG49" i="5"/>
  <c r="FG47" i="5" s="1"/>
  <c r="FH37" i="5" l="1"/>
  <c r="FH34" i="5"/>
  <c r="FH35" i="5"/>
  <c r="FH33" i="5"/>
  <c r="FH38" i="5"/>
  <c r="FH36" i="5"/>
  <c r="FH40" i="5" l="1"/>
  <c r="FH41" i="5" s="1"/>
  <c r="FH45" i="5" s="1"/>
  <c r="FH43" i="5" s="1"/>
  <c r="FH31" i="5" l="1"/>
  <c r="FI38" i="5" s="1"/>
  <c r="FH49" i="5"/>
  <c r="FH47" i="5" s="1"/>
  <c r="FI34" i="5" l="1"/>
  <c r="FI36" i="5"/>
  <c r="FI35" i="5"/>
  <c r="FI39" i="5"/>
  <c r="FI33" i="5"/>
  <c r="FI37" i="5"/>
  <c r="FI40" i="5" l="1"/>
  <c r="FI41" i="5" s="1"/>
  <c r="FI45" i="5" s="1"/>
  <c r="FI43" i="5" s="1"/>
  <c r="FI31" i="5" l="1"/>
  <c r="FJ39" i="5" s="1"/>
  <c r="FI49" i="5"/>
  <c r="FI47" i="5" s="1"/>
  <c r="FJ35" i="5" l="1"/>
  <c r="FJ34" i="5"/>
  <c r="FJ36" i="5"/>
  <c r="FJ38" i="5"/>
  <c r="FJ33" i="5"/>
  <c r="FJ37" i="5"/>
  <c r="FJ40" i="5" l="1"/>
  <c r="FJ41" i="5" s="1"/>
  <c r="FJ45" i="5" s="1"/>
  <c r="FJ43" i="5" s="1"/>
  <c r="FJ31" i="5" l="1"/>
  <c r="FK38" i="5" s="1"/>
  <c r="FJ49" i="5"/>
  <c r="FJ47" i="5" s="1"/>
  <c r="FK33" i="5" l="1"/>
  <c r="FK37" i="5"/>
  <c r="FK36" i="5"/>
  <c r="FK34" i="5"/>
  <c r="FK35" i="5"/>
  <c r="FK39" i="5"/>
  <c r="FK40" i="5" l="1"/>
  <c r="FK41" i="5" s="1"/>
  <c r="FK45" i="5" s="1"/>
  <c r="FK43" i="5" s="1"/>
  <c r="FK31" i="5" l="1"/>
  <c r="FL37" i="5" s="1"/>
  <c r="FK49" i="5"/>
  <c r="FK47" i="5" s="1"/>
  <c r="FL33" i="5" l="1"/>
  <c r="FL38" i="5"/>
  <c r="FL36" i="5"/>
  <c r="FL34" i="5"/>
  <c r="FL35" i="5"/>
  <c r="FL39" i="5"/>
  <c r="FL40" i="5" l="1"/>
  <c r="FL41" i="5" s="1"/>
  <c r="FL45" i="5" s="1"/>
  <c r="FL43" i="5" s="1"/>
  <c r="FL31" i="5" l="1"/>
  <c r="FM38" i="5" s="1"/>
  <c r="FL49" i="5"/>
  <c r="FL47" i="5" s="1"/>
  <c r="FM33" i="5" l="1"/>
  <c r="FM35" i="5"/>
  <c r="FM36" i="5"/>
  <c r="FM34" i="5"/>
  <c r="FM37" i="5"/>
  <c r="FM39" i="5"/>
  <c r="FM40" i="5" l="1"/>
  <c r="FM41" i="5" s="1"/>
  <c r="FM31" i="5" s="1"/>
  <c r="FN39" i="5" s="1"/>
  <c r="FM45" i="5" l="1"/>
  <c r="FM43" i="5" s="1"/>
  <c r="FN33" i="5"/>
  <c r="FN34" i="5"/>
  <c r="FN36" i="5"/>
  <c r="FN38" i="5"/>
  <c r="FN37" i="5"/>
  <c r="FN35" i="5"/>
  <c r="FM49" i="5" l="1"/>
  <c r="FM47" i="5" s="1"/>
  <c r="FN40" i="5"/>
  <c r="FN41" i="5" s="1"/>
  <c r="FN45" i="5" s="1"/>
  <c r="FN43" i="5" s="1"/>
  <c r="FN31" i="5" l="1"/>
  <c r="FO38" i="5" s="1"/>
  <c r="FN49" i="5"/>
  <c r="FN47" i="5" s="1"/>
  <c r="FO33" i="5" l="1"/>
  <c r="FO37" i="5"/>
  <c r="FO35" i="5"/>
  <c r="FO39" i="5"/>
  <c r="FO34" i="5"/>
  <c r="FO36" i="5"/>
  <c r="FO40" i="5" l="1"/>
  <c r="FO41" i="5" s="1"/>
  <c r="FO45" i="5" s="1"/>
  <c r="FO43" i="5" s="1"/>
  <c r="FO49" i="5" l="1"/>
  <c r="FO47" i="5" s="1"/>
  <c r="FO31" i="5"/>
  <c r="FP38" i="5" s="1"/>
  <c r="FP39" i="5" l="1"/>
  <c r="FP34" i="5"/>
  <c r="FP37" i="5"/>
  <c r="FP33" i="5"/>
  <c r="FP35" i="5"/>
  <c r="FP36" i="5"/>
  <c r="FP40" i="5" l="1"/>
  <c r="FP41" i="5" s="1"/>
  <c r="FP45" i="5" s="1"/>
  <c r="FP43" i="5" s="1"/>
  <c r="FP31" i="5" l="1"/>
  <c r="FQ38" i="5" s="1"/>
  <c r="FP49" i="5"/>
  <c r="FP47" i="5" s="1"/>
  <c r="FQ34" i="5" l="1"/>
  <c r="FQ36" i="5"/>
  <c r="FQ33" i="5"/>
  <c r="FQ35" i="5"/>
  <c r="FQ37" i="5"/>
  <c r="FQ39" i="5"/>
  <c r="FQ40" i="5" l="1"/>
  <c r="FQ41" i="5" s="1"/>
  <c r="FQ31" i="5" s="1"/>
  <c r="FQ45" i="5" l="1"/>
  <c r="FQ43" i="5" s="1"/>
  <c r="FR39" i="5"/>
  <c r="FR38" i="5"/>
  <c r="FR37" i="5"/>
  <c r="FR36" i="5"/>
  <c r="FR35" i="5"/>
  <c r="FR34" i="5"/>
  <c r="FR33" i="5"/>
  <c r="FQ49" i="5" l="1"/>
  <c r="FQ47" i="5" s="1"/>
  <c r="FR40" i="5"/>
  <c r="FR41" i="5" s="1"/>
  <c r="FR31" i="5" s="1"/>
  <c r="FS38" i="5" l="1"/>
  <c r="FS39" i="5"/>
  <c r="FS35" i="5"/>
  <c r="FS37" i="5"/>
  <c r="FS34" i="5"/>
  <c r="FS33" i="5"/>
  <c r="FS36" i="5"/>
  <c r="FR45" i="5"/>
  <c r="FR43" i="5" s="1"/>
  <c r="FR49" i="5" l="1"/>
  <c r="FR47" i="5" s="1"/>
  <c r="FS40" i="5"/>
  <c r="FS41" i="5" s="1"/>
  <c r="FS45" i="5" s="1"/>
  <c r="FS43" i="5" s="1"/>
  <c r="FS31" i="5" l="1"/>
  <c r="FS49" i="5"/>
  <c r="FS47" i="5" s="1"/>
  <c r="FT39" i="5" l="1"/>
  <c r="FT37" i="5"/>
  <c r="FT34" i="5"/>
  <c r="FT33" i="5"/>
  <c r="FT35" i="5"/>
  <c r="FT36" i="5"/>
  <c r="FT38" i="5"/>
  <c r="FT40" i="5" l="1"/>
  <c r="FT41" i="5" s="1"/>
  <c r="FT45" i="5" s="1"/>
  <c r="FT43" i="5" s="1"/>
  <c r="FT31" i="5" l="1"/>
  <c r="FU36" i="5" s="1"/>
  <c r="FT49" i="5"/>
  <c r="FT47" i="5" s="1"/>
  <c r="FU34" i="5" l="1"/>
  <c r="FU37" i="5"/>
  <c r="FU33" i="5"/>
  <c r="FU39" i="5"/>
  <c r="FU38" i="5"/>
  <c r="FU35" i="5"/>
  <c r="FU40" i="5" l="1"/>
  <c r="FU41" i="5" s="1"/>
  <c r="FU31" i="5" s="1"/>
  <c r="FV35" i="5" s="1"/>
  <c r="FV34" i="5" l="1"/>
  <c r="FV36" i="5"/>
  <c r="FV38" i="5"/>
  <c r="FV33" i="5"/>
  <c r="FV37" i="5"/>
  <c r="FV39" i="5"/>
  <c r="FU45" i="5"/>
  <c r="FU43" i="5" s="1"/>
  <c r="FV40" i="5" l="1"/>
  <c r="FV41" i="5" s="1"/>
  <c r="FU49" i="5"/>
  <c r="FU47" i="5" s="1"/>
  <c r="FV31" i="5" l="1"/>
  <c r="FV45" i="5"/>
  <c r="FV43" i="5" s="1"/>
  <c r="FW38" i="5" l="1"/>
  <c r="FW35" i="5"/>
  <c r="FW39" i="5"/>
  <c r="FW34" i="5"/>
  <c r="FW37" i="5"/>
  <c r="FW36" i="5"/>
  <c r="FW33" i="5"/>
  <c r="FV49" i="5"/>
  <c r="FV47" i="5" s="1"/>
  <c r="FW40" i="5" l="1"/>
  <c r="FW41" i="5" l="1"/>
  <c r="FW45" i="5" l="1"/>
  <c r="FW43" i="5" s="1"/>
  <c r="FW31" i="5"/>
  <c r="FX39" i="5" l="1"/>
  <c r="FX38" i="5"/>
  <c r="FX34" i="5"/>
  <c r="FX37" i="5"/>
  <c r="FX36" i="5"/>
  <c r="FX33" i="5"/>
  <c r="FX35" i="5"/>
  <c r="FW49" i="5"/>
  <c r="FW47" i="5" s="1"/>
  <c r="FX40" i="5" l="1"/>
  <c r="FX41" i="5" l="1"/>
  <c r="FX31" i="5" l="1"/>
  <c r="FX45" i="5"/>
  <c r="FX43" i="5" s="1"/>
  <c r="FY38" i="5" l="1"/>
  <c r="FY37" i="5"/>
  <c r="FY39" i="5"/>
  <c r="FY36" i="5"/>
  <c r="FY33" i="5"/>
  <c r="FY34" i="5"/>
  <c r="FY35" i="5"/>
  <c r="FX49" i="5"/>
  <c r="FX47" i="5" s="1"/>
  <c r="FY40" i="5" l="1"/>
  <c r="FY41" i="5" l="1"/>
  <c r="FY31" i="5" l="1"/>
  <c r="FY45" i="5"/>
  <c r="FY43" i="5" s="1"/>
  <c r="FZ39" i="5" l="1"/>
  <c r="FZ38" i="5"/>
  <c r="FZ37" i="5"/>
  <c r="FZ36" i="5"/>
  <c r="FZ35" i="5"/>
  <c r="FZ34" i="5"/>
  <c r="FZ33" i="5"/>
  <c r="FY49" i="5"/>
  <c r="FY47" i="5" s="1"/>
  <c r="FZ40" i="5" l="1"/>
  <c r="FZ41" i="5" l="1"/>
  <c r="FZ45" i="5" l="1"/>
  <c r="FZ43" i="5" s="1"/>
  <c r="FZ31" i="5"/>
  <c r="GA38" i="5" l="1"/>
  <c r="GA39" i="5"/>
  <c r="GA35" i="5"/>
  <c r="GA37" i="5"/>
  <c r="GA34" i="5"/>
  <c r="GA36" i="5"/>
  <c r="GA33" i="5"/>
  <c r="FZ49" i="5"/>
  <c r="FZ47" i="5" s="1"/>
  <c r="GA40" i="5" l="1"/>
  <c r="GA41" i="5" s="1"/>
  <c r="GA45" i="5" l="1"/>
  <c r="GA43" i="5" s="1"/>
  <c r="GA31" i="5"/>
  <c r="GB39" i="5" l="1"/>
  <c r="GB37" i="5"/>
  <c r="GB34" i="5"/>
  <c r="GB38" i="5"/>
  <c r="GB33" i="5"/>
  <c r="GB35" i="5"/>
  <c r="GB36" i="5"/>
  <c r="GA49" i="5"/>
  <c r="GA47" i="5" s="1"/>
  <c r="GB40" i="5" l="1"/>
  <c r="GB41" i="5" l="1"/>
  <c r="GB31" i="5" l="1"/>
  <c r="GB45" i="5"/>
  <c r="GB43" i="5" s="1"/>
  <c r="GC38" i="5" l="1"/>
  <c r="GC39" i="5"/>
  <c r="GC37" i="5"/>
  <c r="GC36" i="5"/>
  <c r="GC35" i="5"/>
  <c r="GC33" i="5"/>
  <c r="GC34" i="5"/>
  <c r="GB49" i="5"/>
  <c r="GB47" i="5" s="1"/>
  <c r="GC40" i="5" l="1"/>
  <c r="GC41" i="5" l="1"/>
  <c r="GC45" i="5" l="1"/>
  <c r="GC43" i="5" s="1"/>
  <c r="GC31" i="5"/>
  <c r="GD39" i="5" l="1"/>
  <c r="GD37" i="5"/>
  <c r="GD38" i="5"/>
  <c r="GD36" i="5"/>
  <c r="GD35" i="5"/>
  <c r="GD34" i="5"/>
  <c r="GD33" i="5"/>
  <c r="GC49" i="5"/>
  <c r="GC47" i="5" s="1"/>
  <c r="GD40" i="5" l="1"/>
  <c r="GD41" i="5" s="1"/>
  <c r="GD45" i="5" s="1"/>
  <c r="GD31" i="5" l="1"/>
  <c r="GD43" i="5"/>
  <c r="GD49" i="5"/>
  <c r="GD47" i="5" s="1"/>
  <c r="GE38" i="5" l="1"/>
  <c r="GE35" i="5"/>
  <c r="GE34" i="5"/>
  <c r="GE39" i="5"/>
  <c r="GE36" i="5"/>
  <c r="GE37" i="5"/>
  <c r="GE33" i="5"/>
  <c r="GE40" i="5" l="1"/>
  <c r="GE41" i="5" s="1"/>
  <c r="GE45" i="5" s="1"/>
  <c r="GE43" i="5" s="1"/>
  <c r="GE31" i="5" l="1"/>
  <c r="GF39" i="5" s="1"/>
  <c r="GE49" i="5"/>
  <c r="GE47" i="5" s="1"/>
  <c r="GF36" i="5" l="1"/>
  <c r="GF34" i="5"/>
  <c r="GF33" i="5"/>
  <c r="GF35" i="5"/>
  <c r="GF37" i="5"/>
  <c r="GF38" i="5"/>
  <c r="GF40" i="5" l="1"/>
  <c r="GF41" i="5" s="1"/>
  <c r="GF45" i="5" s="1"/>
  <c r="GF43" i="5" s="1"/>
  <c r="GF31" i="5" l="1"/>
  <c r="GG38" i="5" s="1"/>
  <c r="GF49" i="5"/>
  <c r="GF47" i="5" s="1"/>
  <c r="GG34" i="5" l="1"/>
  <c r="GG33" i="5"/>
  <c r="GG39" i="5"/>
  <c r="GG35" i="5"/>
  <c r="GG36" i="5"/>
  <c r="GG37" i="5"/>
  <c r="GG40" i="5" l="1"/>
  <c r="GG41" i="5" s="1"/>
  <c r="GG45" i="5" s="1"/>
  <c r="GG43" i="5" s="1"/>
  <c r="GG49" i="5" l="1"/>
  <c r="GG47" i="5" s="1"/>
  <c r="GG31" i="5"/>
  <c r="GH37" i="5" s="1"/>
  <c r="GH34" i="5" l="1"/>
  <c r="GH38" i="5"/>
  <c r="GH35" i="5"/>
  <c r="GH39" i="5"/>
  <c r="GH36" i="5"/>
  <c r="GH33" i="5"/>
  <c r="GH40" i="5" l="1"/>
  <c r="GH41" i="5" s="1"/>
  <c r="GH45" i="5" s="1"/>
  <c r="GH43" i="5" s="1"/>
  <c r="GH31" i="5" l="1"/>
  <c r="GI38" i="5" s="1"/>
  <c r="GH49" i="5"/>
  <c r="GH47" i="5" s="1"/>
  <c r="GI37" i="5" l="1"/>
  <c r="GI33" i="5"/>
  <c r="GI39" i="5"/>
  <c r="GI35" i="5"/>
  <c r="GI34" i="5"/>
  <c r="GI36" i="5"/>
  <c r="GI40" i="5" l="1"/>
  <c r="GI41" i="5" s="1"/>
  <c r="GI45" i="5" s="1"/>
  <c r="GI43" i="5" s="1"/>
  <c r="GI31" i="5" l="1"/>
  <c r="GJ39" i="5" s="1"/>
  <c r="GI49" i="5"/>
  <c r="GI47" i="5" s="1"/>
  <c r="GJ36" i="5" l="1"/>
  <c r="GJ37" i="5"/>
  <c r="GJ33" i="5"/>
  <c r="GJ35" i="5"/>
  <c r="GJ38" i="5"/>
  <c r="GJ34" i="5"/>
  <c r="GJ40" i="5" l="1"/>
  <c r="GJ41" i="5" s="1"/>
  <c r="GJ31" i="5" s="1"/>
  <c r="GK34" i="5" s="1"/>
  <c r="GK36" i="5" l="1"/>
  <c r="GK38" i="5"/>
  <c r="GK35" i="5"/>
  <c r="GJ45" i="5"/>
  <c r="GJ43" i="5" s="1"/>
  <c r="GK37" i="5"/>
  <c r="GK39" i="5"/>
  <c r="GK33" i="5"/>
  <c r="GK40" i="5" l="1"/>
  <c r="GK41" i="5" s="1"/>
  <c r="GK45" i="5" s="1"/>
  <c r="GK43" i="5" s="1"/>
  <c r="GJ49" i="5"/>
  <c r="GJ47" i="5" s="1"/>
  <c r="GK49" i="5" l="1"/>
  <c r="GK47" i="5" s="1"/>
  <c r="GK31" i="5"/>
  <c r="GL39" i="5" s="1"/>
  <c r="GL36" i="5" l="1"/>
  <c r="GL38" i="5"/>
  <c r="GL33" i="5"/>
  <c r="GL37" i="5"/>
  <c r="GL34" i="5"/>
  <c r="GL35" i="5"/>
  <c r="GL40" i="5" l="1"/>
  <c r="GL41" i="5" s="1"/>
  <c r="GL31" i="5" s="1"/>
  <c r="GM38" i="5" s="1"/>
  <c r="GM36" i="5" l="1"/>
  <c r="GL45" i="5"/>
  <c r="GL43" i="5" s="1"/>
  <c r="GM34" i="5"/>
  <c r="GM37" i="5"/>
  <c r="GM35" i="5"/>
  <c r="GM33" i="5"/>
  <c r="GM39" i="5"/>
  <c r="GL49" i="5" l="1"/>
  <c r="GL47" i="5" s="1"/>
  <c r="GM40" i="5"/>
  <c r="GM41" i="5" s="1"/>
  <c r="GM31" i="5" s="1"/>
  <c r="GN34" i="5" s="1"/>
  <c r="GM45" i="5" l="1"/>
  <c r="GM43" i="5" s="1"/>
  <c r="GN37" i="5"/>
  <c r="GN35" i="5"/>
  <c r="GN38" i="5"/>
  <c r="GN36" i="5"/>
  <c r="GN39" i="5"/>
  <c r="GN33" i="5"/>
  <c r="GM49" i="5" l="1"/>
  <c r="GM47" i="5" s="1"/>
  <c r="GN40" i="5"/>
  <c r="GN41" i="5" s="1"/>
  <c r="GN31" i="5" s="1"/>
  <c r="GO36" i="5" s="1"/>
  <c r="GO33" i="5" l="1"/>
  <c r="GO39" i="5"/>
  <c r="GO34" i="5"/>
  <c r="GO35" i="5"/>
  <c r="GO37" i="5"/>
  <c r="GO38" i="5"/>
  <c r="GN45" i="5"/>
  <c r="GO40" i="5" l="1"/>
  <c r="GO41" i="5" s="1"/>
  <c r="GO31" i="5" s="1"/>
  <c r="GN43" i="5"/>
  <c r="GN49" i="5"/>
  <c r="GN47" i="5" s="1"/>
  <c r="GO45" i="5" l="1"/>
  <c r="GO43" i="5" s="1"/>
  <c r="GP39" i="5"/>
  <c r="GP38" i="5"/>
  <c r="GP37" i="5"/>
  <c r="GP36" i="5"/>
  <c r="GP35" i="5"/>
  <c r="GP34" i="5"/>
  <c r="GP33" i="5"/>
  <c r="GO49" i="5" l="1"/>
  <c r="GO47" i="5" s="1"/>
  <c r="GP40" i="5"/>
  <c r="GP41" i="5" s="1"/>
  <c r="GP45" i="5" s="1"/>
  <c r="GP43" i="5" s="1"/>
  <c r="GP31" i="5" l="1"/>
  <c r="GQ39" i="5" s="1"/>
  <c r="GP49" i="5"/>
  <c r="GP47" i="5" s="1"/>
  <c r="GQ36" i="5" l="1"/>
  <c r="GQ34" i="5"/>
  <c r="GQ37" i="5"/>
  <c r="GQ33" i="5"/>
  <c r="GQ35" i="5"/>
  <c r="GQ38" i="5"/>
  <c r="GQ40" i="5" l="1"/>
  <c r="GQ41" i="5" s="1"/>
  <c r="GQ45" i="5" s="1"/>
  <c r="GQ43" i="5" s="1"/>
  <c r="GQ31" i="5" l="1"/>
  <c r="GR39" i="5" s="1"/>
  <c r="GQ49" i="5"/>
  <c r="GQ47" i="5" s="1"/>
  <c r="GR33" i="5" l="1"/>
  <c r="GR35" i="5"/>
  <c r="GR38" i="5"/>
  <c r="GR36" i="5"/>
  <c r="GR34" i="5"/>
  <c r="GR37" i="5"/>
  <c r="GR40" i="5" l="1"/>
  <c r="GR41" i="5" s="1"/>
  <c r="GR45" i="5" s="1"/>
  <c r="GR43" i="5" s="1"/>
  <c r="GR49" i="5" l="1"/>
  <c r="GR47" i="5" s="1"/>
  <c r="GR31" i="5"/>
  <c r="GS37" i="5" s="1"/>
  <c r="GS33" i="5" l="1"/>
  <c r="GS39" i="5"/>
  <c r="GS36" i="5"/>
  <c r="GS35" i="5"/>
  <c r="GS38" i="5"/>
  <c r="GS34" i="5"/>
  <c r="GS40" i="5" l="1"/>
  <c r="GS41" i="5" s="1"/>
  <c r="GS45" i="5" s="1"/>
  <c r="GS43" i="5" s="1"/>
  <c r="GS31" i="5" l="1"/>
  <c r="GT38" i="5" s="1"/>
  <c r="GS49" i="5"/>
  <c r="GS47" i="5" s="1"/>
  <c r="GT35" i="5" l="1"/>
  <c r="GT34" i="5"/>
  <c r="GT39" i="5"/>
  <c r="GT33" i="5"/>
  <c r="GT37" i="5"/>
  <c r="GT36" i="5"/>
  <c r="GT40" i="5" l="1"/>
  <c r="GT41" i="5" s="1"/>
  <c r="GT45" i="5" s="1"/>
  <c r="GT43" i="5" s="1"/>
  <c r="GT31" i="5" l="1"/>
  <c r="GT49" i="5"/>
  <c r="GT47" i="5" s="1"/>
  <c r="AJ5" i="4" l="1"/>
  <c r="E35" i="16" l="1"/>
  <c r="J35" i="16"/>
  <c r="L35" i="16"/>
  <c r="H35" i="16"/>
  <c r="F35" i="16"/>
  <c r="G35" i="16"/>
  <c r="I35" i="16"/>
  <c r="D35" i="16"/>
  <c r="K35" i="16"/>
</calcChain>
</file>

<file path=xl/sharedStrings.xml><?xml version="1.0" encoding="utf-8"?>
<sst xmlns="http://schemas.openxmlformats.org/spreadsheetml/2006/main" count="3736" uniqueCount="595">
  <si>
    <t>#</t>
  </si>
  <si>
    <t>Description</t>
  </si>
  <si>
    <t>Month</t>
  </si>
  <si>
    <t>Year</t>
  </si>
  <si>
    <t>EK or MN?</t>
  </si>
  <si>
    <t>Source</t>
  </si>
  <si>
    <t>Value</t>
  </si>
  <si>
    <t>EK</t>
  </si>
  <si>
    <t>MN</t>
  </si>
  <si>
    <t>Fixed</t>
  </si>
  <si>
    <t>Variable</t>
  </si>
  <si>
    <t>Beam salary</t>
  </si>
  <si>
    <t>Beam bonus</t>
  </si>
  <si>
    <t>Private lessons</t>
  </si>
  <si>
    <t>Budget</t>
  </si>
  <si>
    <t>Term</t>
  </si>
  <si>
    <t>Date</t>
  </si>
  <si>
    <t xml:space="preserve">Budget </t>
  </si>
  <si>
    <t>Currency</t>
  </si>
  <si>
    <t>Conversion</t>
  </si>
  <si>
    <t>Value USD</t>
  </si>
  <si>
    <t>USD</t>
  </si>
  <si>
    <t>BRL</t>
  </si>
  <si>
    <t>Income</t>
  </si>
  <si>
    <t>Out of pocket</t>
  </si>
  <si>
    <t>Net</t>
  </si>
  <si>
    <t>Health</t>
  </si>
  <si>
    <t>Annual</t>
  </si>
  <si>
    <t>Tax refund</t>
  </si>
  <si>
    <t>Medicine</t>
  </si>
  <si>
    <t>Hospitals</t>
  </si>
  <si>
    <t>Rent</t>
  </si>
  <si>
    <t>Short term</t>
  </si>
  <si>
    <t>Utilities</t>
  </si>
  <si>
    <t>Free Budget</t>
  </si>
  <si>
    <t>Cellphone</t>
  </si>
  <si>
    <t>Clothes</t>
  </si>
  <si>
    <t>Food</t>
  </si>
  <si>
    <t>Others</t>
  </si>
  <si>
    <t>Transportation</t>
  </si>
  <si>
    <t>Cellphones</t>
  </si>
  <si>
    <t>Leisure</t>
  </si>
  <si>
    <t>Mid term</t>
  </si>
  <si>
    <t>Free budget+clothes</t>
  </si>
  <si>
    <t>International flights</t>
  </si>
  <si>
    <t>Studies</t>
  </si>
  <si>
    <t>Health care</t>
  </si>
  <si>
    <t>Nebraska</t>
  </si>
  <si>
    <t>Planned</t>
  </si>
  <si>
    <t>Spent</t>
  </si>
  <si>
    <t>Remaining</t>
  </si>
  <si>
    <t>Short</t>
  </si>
  <si>
    <t>Electricity</t>
  </si>
  <si>
    <t>Heating</t>
  </si>
  <si>
    <t>Water</t>
  </si>
  <si>
    <t>Garbage</t>
  </si>
  <si>
    <t>Internet</t>
  </si>
  <si>
    <t>Supermarket</t>
  </si>
  <si>
    <t>Restaurant</t>
  </si>
  <si>
    <t>Metro</t>
  </si>
  <si>
    <t>Bus</t>
  </si>
  <si>
    <t>Uber</t>
  </si>
  <si>
    <t>Bar</t>
  </si>
  <si>
    <t>Booze</t>
  </si>
  <si>
    <t>Hospital</t>
  </si>
  <si>
    <t>Med. Appoitments</t>
  </si>
  <si>
    <t>Mid</t>
  </si>
  <si>
    <t>NE trips</t>
  </si>
  <si>
    <t>EK kung fu</t>
  </si>
  <si>
    <t>MN kung fu</t>
  </si>
  <si>
    <t>EK free</t>
  </si>
  <si>
    <t>MN free</t>
  </si>
  <si>
    <t>EK clothes</t>
  </si>
  <si>
    <t>MN clothes</t>
  </si>
  <si>
    <t>Mid bgt</t>
  </si>
  <si>
    <t>EK studies 1</t>
  </si>
  <si>
    <t>EK studies 2</t>
  </si>
  <si>
    <t>EK studies 3</t>
  </si>
  <si>
    <t>EK studies 4</t>
  </si>
  <si>
    <t xml:space="preserve">MN year </t>
  </si>
  <si>
    <t>MN mth</t>
  </si>
  <si>
    <t>Paydays</t>
  </si>
  <si>
    <t>mth-yr</t>
  </si>
  <si>
    <t>MN raises</t>
  </si>
  <si>
    <t>MN others</t>
  </si>
  <si>
    <t>EK mth</t>
  </si>
  <si>
    <t>EK hours</t>
  </si>
  <si>
    <t>EK $/hour</t>
  </si>
  <si>
    <t>MN base</t>
  </si>
  <si>
    <t># paydays</t>
  </si>
  <si>
    <t>TT mth</t>
  </si>
  <si>
    <t>monthly</t>
  </si>
  <si>
    <t>TOTAL</t>
  </si>
  <si>
    <t>x</t>
  </si>
  <si>
    <t>TT surplus</t>
  </si>
  <si>
    <t>EK base</t>
  </si>
  <si>
    <t>EK others</t>
  </si>
  <si>
    <t xml:space="preserve">MID </t>
  </si>
  <si>
    <t>cash comp.</t>
  </si>
  <si>
    <t>plan</t>
  </si>
  <si>
    <t>MID Value</t>
  </si>
  <si>
    <t>24m</t>
  </si>
  <si>
    <t>12m</t>
  </si>
  <si>
    <t>6m</t>
  </si>
  <si>
    <t>3m</t>
  </si>
  <si>
    <t>2m</t>
  </si>
  <si>
    <t>1m</t>
  </si>
  <si>
    <t>Target</t>
  </si>
  <si>
    <t>MID share</t>
  </si>
  <si>
    <t>Aux</t>
  </si>
  <si>
    <t>Tourism</t>
  </si>
  <si>
    <t>Trip</t>
  </si>
  <si>
    <t>Real</t>
  </si>
  <si>
    <t>MID plan</t>
  </si>
  <si>
    <t>LONG</t>
  </si>
  <si>
    <t>LONG Value</t>
  </si>
  <si>
    <t>Share</t>
  </si>
  <si>
    <t>LONG Share</t>
  </si>
  <si>
    <t>MID total exp.</t>
  </si>
  <si>
    <t>LONG tt exp.</t>
  </si>
  <si>
    <t>Investment</t>
  </si>
  <si>
    <t>Long</t>
  </si>
  <si>
    <t>TRIP</t>
  </si>
  <si>
    <t>TRIP Value</t>
  </si>
  <si>
    <t>TRIP tt exp.</t>
  </si>
  <si>
    <t>TRIP Share</t>
  </si>
  <si>
    <t>Ap BR painting</t>
  </si>
  <si>
    <t>Deposit US</t>
  </si>
  <si>
    <t>Deposit BR</t>
  </si>
  <si>
    <t>Living room</t>
  </si>
  <si>
    <t>Sofas</t>
  </si>
  <si>
    <t>Coffe table</t>
  </si>
  <si>
    <t>TV</t>
  </si>
  <si>
    <t>Bedroom 1</t>
  </si>
  <si>
    <t>Bed</t>
  </si>
  <si>
    <t>Mattress</t>
  </si>
  <si>
    <t>Nightstand</t>
  </si>
  <si>
    <t>Bedding set + pillow</t>
  </si>
  <si>
    <t>Bedroom 2</t>
  </si>
  <si>
    <t>Kitchen</t>
  </si>
  <si>
    <t>table</t>
  </si>
  <si>
    <t>microwave</t>
  </si>
  <si>
    <t>Pots/pans</t>
  </si>
  <si>
    <t>Plates/bowls</t>
  </si>
  <si>
    <t>cups</t>
  </si>
  <si>
    <t>silverware</t>
  </si>
  <si>
    <t>utensils</t>
  </si>
  <si>
    <t>Cartao de credito</t>
  </si>
  <si>
    <t>Capital</t>
  </si>
  <si>
    <t>Interest</t>
  </si>
  <si>
    <t>Spend</t>
  </si>
  <si>
    <t>Yr Sp</t>
  </si>
  <si>
    <t>TOTAL USD</t>
  </si>
  <si>
    <t>mth</t>
  </si>
  <si>
    <t>TOTAL BRL</t>
  </si>
  <si>
    <t>yr</t>
  </si>
  <si>
    <t>Before</t>
  </si>
  <si>
    <t>FGTS</t>
  </si>
  <si>
    <t>USD sav</t>
  </si>
  <si>
    <t>BRL sav</t>
  </si>
  <si>
    <t>Interest rate</t>
  </si>
  <si>
    <t>TT income</t>
  </si>
  <si>
    <t>MN rate</t>
  </si>
  <si>
    <t>EK rate</t>
  </si>
  <si>
    <t>Surplus</t>
  </si>
  <si>
    <t>Max</t>
  </si>
  <si>
    <t>Growth</t>
  </si>
  <si>
    <t>TT savings</t>
  </si>
  <si>
    <t>Bruta</t>
  </si>
  <si>
    <t>Liquida</t>
  </si>
  <si>
    <t>Fut Vl</t>
  </si>
  <si>
    <t>BR inv</t>
  </si>
  <si>
    <t>BR inf</t>
  </si>
  <si>
    <t>Years</t>
  </si>
  <si>
    <t>US inf</t>
  </si>
  <si>
    <t>US Sav</t>
  </si>
  <si>
    <t>FX</t>
  </si>
  <si>
    <t>BR Sav</t>
  </si>
  <si>
    <t>BR+US TT</t>
  </si>
  <si>
    <t>Inv. Cost</t>
  </si>
  <si>
    <t>Inc. tax.</t>
  </si>
  <si>
    <t>TT est</t>
  </si>
  <si>
    <t>TT real</t>
  </si>
  <si>
    <t>Short est</t>
  </si>
  <si>
    <t>Short real</t>
  </si>
  <si>
    <t>BR Furniture freight</t>
  </si>
  <si>
    <t>BR Furniture 1</t>
  </si>
  <si>
    <t>9m</t>
  </si>
  <si>
    <t>BRL to USD</t>
  </si>
  <si>
    <t>Accounts</t>
  </si>
  <si>
    <t>Chase</t>
  </si>
  <si>
    <t>Pinnacle</t>
  </si>
  <si>
    <t>Checkings</t>
  </si>
  <si>
    <t>Savings</t>
  </si>
  <si>
    <t>Santander</t>
  </si>
  <si>
    <t>Bradesco</t>
  </si>
  <si>
    <t>Nuconta</t>
  </si>
  <si>
    <t>LCL</t>
  </si>
  <si>
    <t>Easynvest</t>
  </si>
  <si>
    <t>Itau</t>
  </si>
  <si>
    <t>Alelo</t>
  </si>
  <si>
    <t>Vale</t>
  </si>
  <si>
    <t>Projected 12m short term</t>
  </si>
  <si>
    <t>Projected 12m</t>
  </si>
  <si>
    <t>401k</t>
  </si>
  <si>
    <t>IPCA+ 2024</t>
  </si>
  <si>
    <t>IPCA+ 2035</t>
  </si>
  <si>
    <t>Name</t>
  </si>
  <si>
    <t>Exp</t>
  </si>
  <si>
    <t>Liquidity (mths)</t>
  </si>
  <si>
    <t>APY (ex. Tax and inf.)</t>
  </si>
  <si>
    <t>Risk</t>
  </si>
  <si>
    <t>Liquidity (coverage in mths)</t>
  </si>
  <si>
    <t>Avg APY</t>
  </si>
  <si>
    <t>Debenture CEMIG</t>
  </si>
  <si>
    <t>Debenture CSN</t>
  </si>
  <si>
    <t>Debenture Algar</t>
  </si>
  <si>
    <t>Comments</t>
  </si>
  <si>
    <t>Company bankrupcy</t>
  </si>
  <si>
    <t>CDB Maxina</t>
  </si>
  <si>
    <t>Bank bankrupcy (covered by FGC)</t>
  </si>
  <si>
    <t>LC Caruana</t>
  </si>
  <si>
    <t>Ja aplicado</t>
  </si>
  <si>
    <t>A aplicar</t>
  </si>
  <si>
    <t>EK braces</t>
  </si>
  <si>
    <t>IPCA</t>
  </si>
  <si>
    <t>Avg</t>
  </si>
  <si>
    <t>Debenture TR Alian</t>
  </si>
  <si>
    <t>Debenture Light</t>
  </si>
  <si>
    <t>Dependure Petrobras</t>
  </si>
  <si>
    <t>LC Dacasa</t>
  </si>
  <si>
    <t>LC Facta</t>
  </si>
  <si>
    <t>LCI Original</t>
  </si>
  <si>
    <t>Anchor</t>
  </si>
  <si>
    <t>CDI</t>
  </si>
  <si>
    <t>FGC</t>
  </si>
  <si>
    <t>FX update</t>
  </si>
  <si>
    <t>FX adjustment</t>
  </si>
  <si>
    <t>Details</t>
  </si>
  <si>
    <t>Posting Date</t>
  </si>
  <si>
    <t>Amount</t>
  </si>
  <si>
    <t>Type</t>
  </si>
  <si>
    <t>Balance</t>
  </si>
  <si>
    <t>Check or Slip #</t>
  </si>
  <si>
    <t>DEBIT</t>
  </si>
  <si>
    <t>DEBIT_CARD</t>
  </si>
  <si>
    <t>CREDIT</t>
  </si>
  <si>
    <t>ACH_CREDIT</t>
  </si>
  <si>
    <t>QUICKPAY_DEBIT</t>
  </si>
  <si>
    <t>Other leisure</t>
  </si>
  <si>
    <t>EK Loan termination</t>
  </si>
  <si>
    <t>Dan gift</t>
  </si>
  <si>
    <t>Other Mid</t>
  </si>
  <si>
    <t>BR furniture</t>
  </si>
  <si>
    <t>EK loan termination</t>
  </si>
  <si>
    <t>Other EK free</t>
  </si>
  <si>
    <t>Other MN free</t>
  </si>
  <si>
    <t>Cash</t>
  </si>
  <si>
    <t>NA</t>
  </si>
  <si>
    <t>Diageo salary</t>
  </si>
  <si>
    <t>Ajuste Vale</t>
  </si>
  <si>
    <t>Venda cota</t>
  </si>
  <si>
    <t>Credit card</t>
  </si>
  <si>
    <t>FSP</t>
  </si>
  <si>
    <t>PFC</t>
  </si>
  <si>
    <t>HBO</t>
  </si>
  <si>
    <t>Spotify</t>
  </si>
  <si>
    <t>Netflix</t>
  </si>
  <si>
    <t>Nuconta EK</t>
  </si>
  <si>
    <t>Other mid</t>
  </si>
  <si>
    <t>Puzzle salary</t>
  </si>
  <si>
    <t>Grammy gift</t>
  </si>
  <si>
    <t>TT</t>
  </si>
  <si>
    <t>US Lq</t>
  </si>
  <si>
    <t>BR Lq</t>
  </si>
  <si>
    <t>TT Lq</t>
  </si>
  <si>
    <t>Delta</t>
  </si>
  <si>
    <t>Brazil</t>
  </si>
  <si>
    <t>FX adj.</t>
  </si>
  <si>
    <t>Adj.</t>
  </si>
  <si>
    <t>Adjustment</t>
  </si>
  <si>
    <t xml:space="preserve">EK studies </t>
  </si>
  <si>
    <t>Column1</t>
  </si>
  <si>
    <t>Start</t>
  </si>
  <si>
    <t>End Date</t>
  </si>
  <si>
    <t>S mth</t>
  </si>
  <si>
    <t>S Yr</t>
  </si>
  <si>
    <t xml:space="preserve">MN studies </t>
  </si>
  <si>
    <t xml:space="preserve">US Furniture </t>
  </si>
  <si>
    <t>BR trips</t>
  </si>
  <si>
    <t>Avista CFI</t>
  </si>
  <si>
    <t>Facta Financeira</t>
  </si>
  <si>
    <t>Easy</t>
  </si>
  <si>
    <t>Nucont@ MN</t>
  </si>
  <si>
    <t>Manoel</t>
  </si>
  <si>
    <t>Work</t>
  </si>
  <si>
    <t>Emily</t>
  </si>
  <si>
    <t>Cooking</t>
  </si>
  <si>
    <t>Dishes</t>
  </si>
  <si>
    <t>Sweeping</t>
  </si>
  <si>
    <t>Mirrors</t>
  </si>
  <si>
    <t>Clean kitchen</t>
  </si>
  <si>
    <t>Bathroom</t>
  </si>
  <si>
    <t>General dusting</t>
  </si>
  <si>
    <t>Ironing</t>
  </si>
  <si>
    <t>General org.</t>
  </si>
  <si>
    <t>Classes</t>
  </si>
  <si>
    <t>Studying</t>
  </si>
  <si>
    <t>studying</t>
  </si>
  <si>
    <t>Mopping</t>
  </si>
  <si>
    <t>Commute</t>
  </si>
  <si>
    <t>Grocery shopping</t>
  </si>
  <si>
    <t>Both</t>
  </si>
  <si>
    <t>Washing clothes</t>
  </si>
  <si>
    <t>Folding Clothes</t>
  </si>
  <si>
    <t>Other EK jobs</t>
  </si>
  <si>
    <t>Gifts</t>
  </si>
  <si>
    <t>BS reimbursement</t>
  </si>
  <si>
    <t>BR deposit</t>
  </si>
  <si>
    <t>Pay stubs</t>
  </si>
  <si>
    <t xml:space="preserve">401k </t>
  </si>
  <si>
    <t>Denta and Vision</t>
  </si>
  <si>
    <t>Taxes</t>
  </si>
  <si>
    <t>Before tax</t>
  </si>
  <si>
    <t>Dental and Vision</t>
  </si>
  <si>
    <t>MN paycheck</t>
  </si>
  <si>
    <t>Exp. Date</t>
  </si>
  <si>
    <t>Exp. Mth</t>
  </si>
  <si>
    <t>CDI calculator</t>
  </si>
  <si>
    <t>Valor min</t>
  </si>
  <si>
    <t>Premium</t>
  </si>
  <si>
    <t>IR</t>
  </si>
  <si>
    <t>Venc.</t>
  </si>
  <si>
    <t>IPCA calculator</t>
  </si>
  <si>
    <t>CDB Maxima</t>
  </si>
  <si>
    <t>Pre-fixado</t>
  </si>
  <si>
    <t>CDB BMG</t>
  </si>
  <si>
    <t>Federal</t>
  </si>
  <si>
    <t>State</t>
  </si>
  <si>
    <t>Total</t>
  </si>
  <si>
    <t>MN bf tax</t>
  </si>
  <si>
    <t>EK bf tax</t>
  </si>
  <si>
    <t>TT bf tax</t>
  </si>
  <si>
    <t>bracket</t>
  </si>
  <si>
    <t>401K</t>
  </si>
  <si>
    <t>[%]</t>
  </si>
  <si>
    <t>Employer</t>
  </si>
  <si>
    <t>Stocks</t>
  </si>
  <si>
    <t>TT Short</t>
  </si>
  <si>
    <t>Expenses</t>
  </si>
  <si>
    <t>Annual cost</t>
  </si>
  <si>
    <t>College</t>
  </si>
  <si>
    <t>Beginning</t>
  </si>
  <si>
    <t>Pmt</t>
  </si>
  <si>
    <t>Yr sav.</t>
  </si>
  <si>
    <t>Costs</t>
  </si>
  <si>
    <t>College sav.</t>
  </si>
  <si>
    <t>Add.</t>
  </si>
  <si>
    <t>Manager</t>
  </si>
  <si>
    <t>Senior Manager</t>
  </si>
  <si>
    <t>Director</t>
  </si>
  <si>
    <t>Senior Director</t>
  </si>
  <si>
    <t>VP</t>
  </si>
  <si>
    <t>Jim Beam Brands  Payroll                    PPD ID: 1132581196</t>
  </si>
  <si>
    <t>QUICKPAY_CREDIT</t>
  </si>
  <si>
    <t>CONCUR           EXPENSE                    PPD ID: 1911608052</t>
  </si>
  <si>
    <t>ACH_DEBIT</t>
  </si>
  <si>
    <t>FEE_TRANSACTION</t>
  </si>
  <si>
    <t>GREAT LAKES STUDENT LN 0000</t>
  </si>
  <si>
    <t>MN studies</t>
  </si>
  <si>
    <t>Banco Original</t>
  </si>
  <si>
    <t>Paychecks</t>
  </si>
  <si>
    <t>MN commute</t>
  </si>
  <si>
    <t>Ajustar formula</t>
  </si>
  <si>
    <t>July celebrations</t>
  </si>
  <si>
    <t>inicio</t>
  </si>
  <si>
    <t>Medical</t>
  </si>
  <si>
    <t>Dental</t>
  </si>
  <si>
    <t>Vision</t>
  </si>
  <si>
    <t>IRS</t>
  </si>
  <si>
    <t>1Kid</t>
  </si>
  <si>
    <t>0-2</t>
  </si>
  <si>
    <t>Monthly</t>
  </si>
  <si>
    <t>Yearly</t>
  </si>
  <si>
    <t>Clothing</t>
  </si>
  <si>
    <t>Misc</t>
  </si>
  <si>
    <t>Child care</t>
  </si>
  <si>
    <t>year</t>
  </si>
  <si>
    <t>Kids</t>
  </si>
  <si>
    <t>Long+Trip</t>
  </si>
  <si>
    <t>Traveling</t>
  </si>
  <si>
    <t>Extra emily</t>
  </si>
  <si>
    <t>PC</t>
  </si>
  <si>
    <t>Cellphone EK &amp; MN</t>
  </si>
  <si>
    <t>Spring</t>
  </si>
  <si>
    <t xml:space="preserve">Summer </t>
  </si>
  <si>
    <t>Fall</t>
  </si>
  <si>
    <t>September</t>
  </si>
  <si>
    <t>January</t>
  </si>
  <si>
    <t>June</t>
  </si>
  <si>
    <t>ok</t>
  </si>
  <si>
    <t>CONCORDIA UNIVER CONCORDIA                  WEB ID: 1223755714</t>
  </si>
  <si>
    <t>BYRONS HOT DOGS INC CHICAGO IL               08/28</t>
  </si>
  <si>
    <t>VENTRA ACCOUNT CHICAGO IL                    08/28</t>
  </si>
  <si>
    <t>BESTBUYCOM805640007069 888-BESTBUY MN        08/28</t>
  </si>
  <si>
    <t>QuickPay with Zelle payment from JENNIFER A CONNORS 8587947314</t>
  </si>
  <si>
    <t>VENTRA ACCOUNT CHICAGO IL                    08/27</t>
  </si>
  <si>
    <t>WAYFAIR*Wayfair wayfair.com MA               08/26</t>
  </si>
  <si>
    <t>VENTRA MOBILE CHICAGO IL                     08/24</t>
  </si>
  <si>
    <t>VENTRA MOBILE 877-669-8368 IL                08/23</t>
  </si>
  <si>
    <t>JEWEL.COM #3441 773-871-8242 IL              08/23</t>
  </si>
  <si>
    <t>AMZN Mktp US*MO5KM20 Amzn.com/bill WA        08/24</t>
  </si>
  <si>
    <t>AMZN Mktp US*MO27C9O Amzn.com/bill WA        08/23</t>
  </si>
  <si>
    <t>HLU*Hulu 14203357273 HULU.COM/BILL CA        08/22</t>
  </si>
  <si>
    <t>TARGET T- 4466 N Broad Chicago IL            08/23</t>
  </si>
  <si>
    <t>AMZN Mktp US*MO2DY1G Amzn.com/bill WA        08/23</t>
  </si>
  <si>
    <t>Rany Management  WEB PMTS   5THYF1          WEB ID: 9084434801</t>
  </si>
  <si>
    <t>HIGHLINE BAR + LOUNGE CHICAGO IL             08/19</t>
  </si>
  <si>
    <t>DAIRY QUEEN CHICAGO IL                       08/17</t>
  </si>
  <si>
    <t>WAYFAIR*Wayfair wayfair.com MA               08/19</t>
  </si>
  <si>
    <t>QuickPay with Zelle payment from JENNIFER A CONNORS 8561286426</t>
  </si>
  <si>
    <t>DUNKIN #350725 CHICAGO IL                    08/19</t>
  </si>
  <si>
    <t>SLING.COM 888-388-6210 CO                    08/17</t>
  </si>
  <si>
    <t>MUSIC BOX THEATRE CHICAGO IL                 08/18</t>
  </si>
  <si>
    <t>JEWEL-OSCO        3455 CHICAGO IL    115267  08/18</t>
  </si>
  <si>
    <t>IHOP #1229 CHICAGO IL                        08/16</t>
  </si>
  <si>
    <t>AMZN Mktp US*MO28H8C Amzn.com/bill WA        08/17</t>
  </si>
  <si>
    <t>STAPLES       00116111 CHICAGO IL            08/16</t>
  </si>
  <si>
    <t>MUSIC BOX THEATRE CHICAGO IL                 08/15</t>
  </si>
  <si>
    <t>DUNKIN #354108 Q35 CHICAGO IL                08/15</t>
  </si>
  <si>
    <t>WAYFAIR*Wayfair wayfair.com MA               08/13</t>
  </si>
  <si>
    <t>SIMPLEMOBILE*SERVICES 877-878-7908 FL        08/14</t>
  </si>
  <si>
    <t>WALGREENS STORE 953 W CHICAGO IL     635801  08/13</t>
  </si>
  <si>
    <t>EB CHICAGO MIMOSA CRA 801-413-7200 CA        08/13</t>
  </si>
  <si>
    <t>GOOGLE  YouTube Videos 650-2530000 CA        08/10</t>
  </si>
  <si>
    <t>JEWEL.COM #3441 773-871-8242 IL              08/12</t>
  </si>
  <si>
    <t>WHOLEFDS HAL 102 3640 CHICAGO IL     004441  08/11</t>
  </si>
  <si>
    <t>HOLIDAY CLUB CHICAGO IL                      08/11</t>
  </si>
  <si>
    <t>HOLIDAY CLUB CHICAGO IL                      08/10</t>
  </si>
  <si>
    <t>MICHAEL S PIZZERIA CHICAGO IL                08/10</t>
  </si>
  <si>
    <t>SUBWAY        03011129 CHICAGO IL            08/10</t>
  </si>
  <si>
    <t>EMERALD CITY COFFEE CHICAGO IL               08/10</t>
  </si>
  <si>
    <t>MCDONALD'S F12892 BURLINGTON, KY             08/10</t>
  </si>
  <si>
    <t>CNN NEWS ST924 ORLANDO FL            174298  08/10</t>
  </si>
  <si>
    <t>313 - MAIN ST STARB LAKE BUENA VI FL         08/08</t>
  </si>
  <si>
    <t>GOOGLE  YouTube Videos 650-2530000 CA        08/09</t>
  </si>
  <si>
    <t>STATE FARM  INSURANCE 800-956-6310 IL        08/08</t>
  </si>
  <si>
    <t>ATT              Payment                    PPD ID: 9864031004</t>
  </si>
  <si>
    <t>MEZZA 222 CHICAGO IL                         08/08</t>
  </si>
  <si>
    <t>WDW DISNEY TICKETS 407-828-5630 FL           08/07</t>
  </si>
  <si>
    <t>GOOGLE  YouTube Videos 650-2530000 CA        08/07</t>
  </si>
  <si>
    <t>THEME PARK OUTLET ORLANDO FL                 08/06</t>
  </si>
  <si>
    <t>MEZZA 222 CHICAGO IL                         08/06</t>
  </si>
  <si>
    <t>CONVERSE # 3782 15571 ORLANDO FL             08/06</t>
  </si>
  <si>
    <t>USA*CANTEEN MADISON WI                       08/05</t>
  </si>
  <si>
    <t>WALGREENS STORE 953 W CHICAGO IL     864554  08/05</t>
  </si>
  <si>
    <t>WALGREENS STORE 13502 ORLANDO FL     517884  08/04</t>
  </si>
  <si>
    <t>CASTAWAYS TIKI ORLANDO FL                    08/04</t>
  </si>
  <si>
    <t>CIBO EXPRESS 82- MARKET ORLANDO FL           08/04</t>
  </si>
  <si>
    <t>JEWEL-OSCO        3455 CHICAGO IL    412889  08/03</t>
  </si>
  <si>
    <t>HAIR CUTTERY #3882 CHICAGO IL                08/03</t>
  </si>
  <si>
    <t>AUNTIE ANNES CHICAGO IL                      08/03</t>
  </si>
  <si>
    <t>7-ELEVEN CHICAGO IL                          08/02</t>
  </si>
  <si>
    <t>UBER   *TRIP 800-592-8996 CA                 08/03</t>
  </si>
  <si>
    <t>WHOLEFDS HAL 102 3640 CHICAGO IL     603401  08/02</t>
  </si>
  <si>
    <t>TARGET T- 4466 N Broad CHICAGO IL            08/01</t>
  </si>
  <si>
    <t>QuickPay with Zelle payment to Mr. Ali 8487273452</t>
  </si>
  <si>
    <t>FOREIGN EXCHANGE RATE ADJUSTMENT FEE         07/31NETFLIX.C</t>
  </si>
  <si>
    <t>NETFLIX.COM SAO PAULO                        07/31 BR Real    32.90 X 0.2668693 (EXCHG RTE)</t>
  </si>
  <si>
    <t>QuickPay with Zelle payment from SANJAY B VOHRA 8493599421</t>
  </si>
  <si>
    <t>OK</t>
  </si>
  <si>
    <t>Concur</t>
  </si>
  <si>
    <t>EK studies</t>
  </si>
  <si>
    <t>Pay stub</t>
  </si>
  <si>
    <t>Fed</t>
  </si>
  <si>
    <t>Soc Sec</t>
  </si>
  <si>
    <t>Medicate</t>
  </si>
  <si>
    <t>IL</t>
  </si>
  <si>
    <t>Earnings</t>
  </si>
  <si>
    <t>Commuter</t>
  </si>
  <si>
    <t>Losses</t>
  </si>
  <si>
    <t>Profit</t>
  </si>
  <si>
    <t>XX8478 VISA PURCHASE GRUBHUBDINERGRIL GRUBHUB.COM NY 00000000 068857</t>
  </si>
  <si>
    <t>XX8478 VISA PURCHASE Amazon Prime Amzn.com/bill WA 00000000 091931</t>
  </si>
  <si>
    <t>XX8478 VISA PURCHASE AMZN Mktp US*MO5 Amzn.com/bill WA 00000000 095039</t>
  </si>
  <si>
    <t>XX8478 VISA PURCHASE UBER TRIP HELP.UBER.COM CA 00000000 007197</t>
  </si>
  <si>
    <t>XX8478 VISA PURCHASE UBER TRIP HELP.UBER.COM CA 00000000 050927</t>
  </si>
  <si>
    <t>XX8478 VISA PURCHASE SQ *CHINESE MART gosq.com IL 00000000 017236</t>
  </si>
  <si>
    <t>XX8478 VISA PURCHASE UBER TRIP HELP.UBER.COM CA 00000000 092025</t>
  </si>
  <si>
    <t>XX8478 VISA PURCHASE UBER TRIP HELP.UBER.COM CA 00000000 096878</t>
  </si>
  <si>
    <t>XX8478 VISA PURCHASE UBER TRIP HELP.UBER.COM CA 00000000 099168</t>
  </si>
  <si>
    <t>XX8478 VISA PURCHASE UBER TRIP HELP.UBER.COM CA 00000000 000832</t>
  </si>
  <si>
    <t>Barigui</t>
  </si>
  <si>
    <t>NE Trip</t>
  </si>
  <si>
    <t>Hair cuttery</t>
  </si>
  <si>
    <t>Aug</t>
  </si>
  <si>
    <t>July</t>
  </si>
  <si>
    <t>LCI Barigui</t>
  </si>
  <si>
    <t>LCI Maxima</t>
  </si>
  <si>
    <t>CDB Banco Renner</t>
  </si>
  <si>
    <t>CDB Renner</t>
  </si>
  <si>
    <t>CDB Pine</t>
  </si>
  <si>
    <t>CDB Barigui</t>
  </si>
  <si>
    <t>CDB MBG</t>
  </si>
  <si>
    <t>Amazon</t>
  </si>
  <si>
    <t>Current Value</t>
  </si>
  <si>
    <t>IR BRL</t>
  </si>
  <si>
    <t>After tax</t>
  </si>
  <si>
    <t>Original inv.</t>
  </si>
  <si>
    <t>IPCA+2024</t>
  </si>
  <si>
    <t>IPCA+2035</t>
  </si>
  <si>
    <t>Due date</t>
  </si>
  <si>
    <t>Start work</t>
  </si>
  <si>
    <t>MN BS reimbursement</t>
  </si>
  <si>
    <t>HSA</t>
  </si>
  <si>
    <t>Income tax</t>
  </si>
  <si>
    <t>PP payment</t>
  </si>
  <si>
    <t>Mamae payment</t>
  </si>
  <si>
    <t>Account</t>
  </si>
  <si>
    <t>Acc.</t>
  </si>
  <si>
    <t>Hulu</t>
  </si>
  <si>
    <t>Total BRL</t>
  </si>
  <si>
    <t>furniture</t>
  </si>
  <si>
    <t xml:space="preserve">LC Facta </t>
  </si>
  <si>
    <t>Each other</t>
  </si>
  <si>
    <t>Sibling</t>
  </si>
  <si>
    <t>Parents</t>
  </si>
  <si>
    <t>1st semester</t>
  </si>
  <si>
    <t>Mothers</t>
  </si>
  <si>
    <t>Carolyn</t>
  </si>
  <si>
    <t>2nd semester</t>
  </si>
  <si>
    <t>Fathers</t>
  </si>
  <si>
    <t>Dan</t>
  </si>
  <si>
    <t>Tiffany</t>
  </si>
  <si>
    <t>Sirlene</t>
  </si>
  <si>
    <t>Enio</t>
  </si>
  <si>
    <t>Pepe</t>
  </si>
  <si>
    <t>Emily/Manoel</t>
  </si>
  <si>
    <t>Christmas</t>
  </si>
  <si>
    <t>Chris. EM</t>
  </si>
  <si>
    <t>Dan gifts BR</t>
  </si>
  <si>
    <t>Turism</t>
  </si>
  <si>
    <t>Security level</t>
  </si>
  <si>
    <t>TT &gt; SC</t>
  </si>
  <si>
    <t>Nu</t>
  </si>
  <si>
    <t>Laundry</t>
  </si>
  <si>
    <t>w 401k</t>
  </si>
  <si>
    <t>wout 401k</t>
  </si>
  <si>
    <t>Assets as of Apr. 30th</t>
  </si>
  <si>
    <t>Local Currency</t>
  </si>
  <si>
    <t>Convertion to USD</t>
  </si>
  <si>
    <t>EK assets</t>
  </si>
  <si>
    <t>EK share</t>
  </si>
  <si>
    <t>EK help</t>
  </si>
  <si>
    <t>NE Trips</t>
  </si>
  <si>
    <t>USD/mth</t>
  </si>
  <si>
    <t>EK income</t>
  </si>
  <si>
    <t>Combined equity</t>
  </si>
  <si>
    <t>Per person</t>
  </si>
  <si>
    <t>PS4</t>
  </si>
  <si>
    <t>Vested 401k</t>
  </si>
  <si>
    <t>Monthly expenses</t>
  </si>
  <si>
    <t>Insurance</t>
  </si>
  <si>
    <t>EK debt</t>
  </si>
  <si>
    <t>End of degree</t>
  </si>
  <si>
    <t>Purdue Master of Economics</t>
  </si>
  <si>
    <t>Chicago Booth</t>
  </si>
  <si>
    <t>course</t>
  </si>
  <si>
    <t>years</t>
  </si>
  <si>
    <t>EK studies cashflow</t>
  </si>
  <si>
    <t>After tax and fees</t>
  </si>
  <si>
    <t>In USD</t>
  </si>
  <si>
    <t>Acumm cash</t>
  </si>
  <si>
    <t>Courses</t>
  </si>
  <si>
    <t>Max years</t>
  </si>
  <si>
    <t>Min</t>
  </si>
  <si>
    <t>Gap</t>
  </si>
  <si>
    <t>MBA Gap</t>
  </si>
  <si>
    <t>Add. Expenses</t>
  </si>
  <si>
    <t>Budget room</t>
  </si>
  <si>
    <t>120 K</t>
  </si>
  <si>
    <t>Apartmento proprio</t>
  </si>
  <si>
    <t>105 K</t>
  </si>
  <si>
    <t xml:space="preserve"> Share appartment</t>
  </si>
  <si>
    <t xml:space="preserve">Moving </t>
  </si>
  <si>
    <t>Birthdays</t>
  </si>
  <si>
    <t>Mothe/Father</t>
  </si>
  <si>
    <t>3rd</t>
  </si>
  <si>
    <t>Capital One</t>
  </si>
  <si>
    <t>Capital one</t>
  </si>
  <si>
    <t>Non inv</t>
  </si>
  <si>
    <t>Inv</t>
  </si>
  <si>
    <t>Therapy</t>
  </si>
  <si>
    <t>Vo Eni</t>
  </si>
  <si>
    <t>Capital One 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</si>
</sst>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&quot;$&quot;#,##0"/>
    <numFmt numFmtId="165" formatCode="[$-409]mmm\-yy;@"/>
    <numFmt numFmtId="166" formatCode="[$-409]d\-mmm\-yy;@"/>
    <numFmt numFmtId="167" formatCode="0.0"/>
    <numFmt numFmtId="168" formatCode="[$-409]dd\-mmm\-yy;@"/>
    <numFmt numFmtId="169" formatCode="0.00000%"/>
    <numFmt numFmtId="170" formatCode="0.0%"/>
    <numFmt numFmtId="171" formatCode="&quot;$&quot;#,##0.00"/>
    <numFmt numFmtId="172" formatCode="0.00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 tint="-0.249977111117893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6CD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auto="1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auto="1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DashDotDot">
        <color indexed="64"/>
      </right>
      <top/>
      <bottom/>
      <diagonal/>
    </border>
    <border>
      <left/>
      <right style="mediumDashDotDot">
        <color indexed="64"/>
      </right>
      <top/>
      <bottom style="medium">
        <color auto="1"/>
      </bottom>
      <diagonal/>
    </border>
    <border>
      <left style="mediumDashDotDot">
        <color auto="1"/>
      </left>
      <right style="mediumDashDotDot">
        <color auto="1"/>
      </right>
      <top/>
      <bottom/>
      <diagonal/>
    </border>
    <border>
      <left style="mediumDashDotDot">
        <color auto="1"/>
      </left>
      <right/>
      <top/>
      <bottom/>
      <diagonal/>
    </border>
    <border>
      <left style="mediumDashDotDot">
        <color auto="1"/>
      </left>
      <right/>
      <top/>
      <bottom style="medium">
        <color auto="1"/>
      </bottom>
      <diagonal/>
    </border>
    <border>
      <left style="mediumDashDotDot">
        <color auto="1"/>
      </left>
      <right style="mediumDashDotDot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theme="5" tint="0.3999755851924192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ck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thick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 style="thick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ck">
        <color auto="1"/>
      </right>
      <top/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n">
        <color auto="1"/>
      </bottom>
      <diagonal/>
    </border>
    <border>
      <left style="thick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thin">
        <color auto="1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427">
    <xf numFmtId="0" fontId="0" fillId="0" borderId="0" xfId="0"/>
    <xf numFmtId="0" fontId="0" fillId="0" borderId="0" xfId="0" applyAlignment="1">
      <alignment horizontal="center"/>
    </xf>
    <xf numFmtId="0" fontId="0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5" xfId="0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/>
    <xf numFmtId="0" fontId="0" fillId="0" borderId="10" xfId="0" applyBorder="1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0" fillId="0" borderId="9" xfId="0" applyBorder="1"/>
    <xf numFmtId="0" fontId="0" fillId="3" borderId="0" xfId="0" applyFont="1" applyFill="1" applyAlignment="1"/>
    <xf numFmtId="0" fontId="2" fillId="0" borderId="1" xfId="0" applyFont="1" applyFill="1" applyBorder="1" applyAlignment="1">
      <alignment horizontal="center"/>
    </xf>
    <xf numFmtId="0" fontId="0" fillId="0" borderId="1" xfId="0" applyBorder="1"/>
    <xf numFmtId="0" fontId="0" fillId="0" borderId="3" xfId="0" applyFill="1" applyBorder="1" applyAlignment="1">
      <alignment horizontal="center"/>
    </xf>
    <xf numFmtId="0" fontId="0" fillId="2" borderId="3" xfId="0" applyFill="1" applyBorder="1"/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 vertical="center" wrapText="1"/>
    </xf>
    <xf numFmtId="10" fontId="1" fillId="0" borderId="0" xfId="1" applyNumberFormat="1" applyAlignment="1">
      <alignment horizontal="center"/>
    </xf>
    <xf numFmtId="0" fontId="4" fillId="0" borderId="0" xfId="0" applyFont="1"/>
    <xf numFmtId="0" fontId="0" fillId="2" borderId="6" xfId="0" applyFill="1" applyBorder="1"/>
    <xf numFmtId="0" fontId="0" fillId="0" borderId="8" xfId="0" applyFill="1" applyBorder="1"/>
    <xf numFmtId="3" fontId="0" fillId="0" borderId="0" xfId="0" applyNumberFormat="1"/>
    <xf numFmtId="3" fontId="0" fillId="0" borderId="0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5" fillId="0" borderId="0" xfId="0" applyNumberFormat="1" applyFont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4" fontId="0" fillId="0" borderId="0" xfId="0" applyNumberFormat="1"/>
    <xf numFmtId="2" fontId="0" fillId="0" borderId="0" xfId="0" applyNumberFormat="1"/>
    <xf numFmtId="166" fontId="0" fillId="2" borderId="0" xfId="0" applyNumberFormat="1" applyFill="1" applyAlignment="1">
      <alignment horizontal="center"/>
    </xf>
    <xf numFmtId="166" fontId="0" fillId="0" borderId="0" xfId="0" applyNumberFormat="1"/>
    <xf numFmtId="2" fontId="7" fillId="0" borderId="0" xfId="0" applyNumberFormat="1" applyFont="1" applyAlignment="1">
      <alignment horizontal="center"/>
    </xf>
    <xf numFmtId="0" fontId="5" fillId="0" borderId="0" xfId="0" applyFont="1"/>
    <xf numFmtId="0" fontId="7" fillId="0" borderId="0" xfId="0" applyFont="1"/>
    <xf numFmtId="1" fontId="7" fillId="0" borderId="0" xfId="0" applyNumberFormat="1" applyFont="1" applyAlignment="1">
      <alignment horizontal="center"/>
    </xf>
    <xf numFmtId="9" fontId="0" fillId="0" borderId="0" xfId="1" applyFont="1" applyAlignment="1">
      <alignment horizontal="center"/>
    </xf>
    <xf numFmtId="0" fontId="0" fillId="4" borderId="0" xfId="0" applyFill="1"/>
    <xf numFmtId="165" fontId="0" fillId="4" borderId="0" xfId="0" applyNumberFormat="1" applyFill="1" applyAlignment="1">
      <alignment horizontal="center"/>
    </xf>
    <xf numFmtId="9" fontId="0" fillId="4" borderId="0" xfId="1" applyFont="1" applyFill="1" applyAlignment="1">
      <alignment horizontal="center"/>
    </xf>
    <xf numFmtId="3" fontId="0" fillId="4" borderId="0" xfId="0" applyNumberFormat="1" applyFill="1" applyAlignment="1">
      <alignment horizontal="center"/>
    </xf>
    <xf numFmtId="0" fontId="0" fillId="0" borderId="0" xfId="0" applyFill="1"/>
    <xf numFmtId="3" fontId="0" fillId="0" borderId="0" xfId="0" applyNumberFormat="1" applyFill="1" applyAlignment="1">
      <alignment horizontal="center"/>
    </xf>
    <xf numFmtId="0" fontId="2" fillId="5" borderId="0" xfId="0" applyFont="1" applyFill="1"/>
    <xf numFmtId="3" fontId="2" fillId="5" borderId="0" xfId="0" applyNumberFormat="1" applyFont="1" applyFill="1"/>
    <xf numFmtId="0" fontId="7" fillId="0" borderId="0" xfId="0" applyFont="1" applyFill="1"/>
    <xf numFmtId="0" fontId="0" fillId="5" borderId="0" xfId="0" applyFont="1" applyFill="1"/>
    <xf numFmtId="3" fontId="0" fillId="5" borderId="0" xfId="0" applyNumberFormat="1" applyFont="1" applyFill="1"/>
    <xf numFmtId="1" fontId="7" fillId="0" borderId="0" xfId="0" applyNumberFormat="1" applyFont="1" applyFill="1"/>
    <xf numFmtId="0" fontId="0" fillId="0" borderId="0" xfId="0" applyFont="1" applyFill="1"/>
    <xf numFmtId="1" fontId="0" fillId="0" borderId="0" xfId="0" applyNumberFormat="1" applyFont="1" applyFill="1"/>
    <xf numFmtId="0" fontId="0" fillId="4" borderId="0" xfId="0" applyFont="1" applyFill="1"/>
    <xf numFmtId="0" fontId="0" fillId="6" borderId="0" xfId="0" applyFill="1"/>
    <xf numFmtId="3" fontId="0" fillId="6" borderId="0" xfId="0" applyNumberFormat="1" applyFill="1" applyAlignment="1">
      <alignment horizontal="center"/>
    </xf>
    <xf numFmtId="0" fontId="2" fillId="0" borderId="0" xfId="0" applyFont="1"/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7" borderId="0" xfId="0" applyFill="1"/>
    <xf numFmtId="3" fontId="0" fillId="7" borderId="0" xfId="0" applyNumberFormat="1" applyFill="1"/>
    <xf numFmtId="0" fontId="0" fillId="8" borderId="0" xfId="0" applyFill="1"/>
    <xf numFmtId="14" fontId="0" fillId="8" borderId="0" xfId="0" applyNumberFormat="1" applyFill="1"/>
    <xf numFmtId="0" fontId="6" fillId="6" borderId="0" xfId="0" applyFont="1" applyFill="1"/>
    <xf numFmtId="9" fontId="7" fillId="0" borderId="0" xfId="0" applyNumberFormat="1" applyFont="1" applyAlignment="1">
      <alignment horizontal="center"/>
    </xf>
    <xf numFmtId="0" fontId="0" fillId="9" borderId="0" xfId="0" applyFill="1"/>
    <xf numFmtId="3" fontId="0" fillId="9" borderId="0" xfId="0" applyNumberFormat="1" applyFill="1" applyAlignment="1">
      <alignment horizontal="center"/>
    </xf>
    <xf numFmtId="0" fontId="7" fillId="9" borderId="0" xfId="0" applyFont="1" applyFill="1"/>
    <xf numFmtId="3" fontId="0" fillId="2" borderId="0" xfId="0" applyNumberFormat="1" applyFill="1" applyAlignment="1">
      <alignment horizontal="center"/>
    </xf>
    <xf numFmtId="9" fontId="0" fillId="0" borderId="6" xfId="0" applyNumberFormat="1" applyBorder="1"/>
    <xf numFmtId="9" fontId="0" fillId="0" borderId="11" xfId="0" applyNumberFormat="1" applyBorder="1"/>
    <xf numFmtId="4" fontId="0" fillId="2" borderId="0" xfId="0" applyNumberFormat="1" applyFill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/>
    <xf numFmtId="9" fontId="2" fillId="0" borderId="0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2" xfId="0" applyFont="1" applyBorder="1"/>
    <xf numFmtId="9" fontId="2" fillId="0" borderId="12" xfId="0" applyNumberFormat="1" applyFont="1" applyBorder="1" applyAlignment="1">
      <alignment horizontal="center"/>
    </xf>
    <xf numFmtId="9" fontId="2" fillId="0" borderId="12" xfId="0" applyNumberFormat="1" applyFont="1" applyBorder="1"/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3" fontId="2" fillId="0" borderId="17" xfId="0" applyNumberFormat="1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0" fillId="0" borderId="18" xfId="0" applyBorder="1"/>
    <xf numFmtId="3" fontId="0" fillId="0" borderId="18" xfId="0" applyNumberForma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3" fontId="0" fillId="0" borderId="20" xfId="0" applyNumberFormat="1" applyBorder="1" applyAlignment="1">
      <alignment horizontal="center"/>
    </xf>
    <xf numFmtId="0" fontId="0" fillId="0" borderId="20" xfId="0" applyBorder="1"/>
    <xf numFmtId="0" fontId="2" fillId="0" borderId="23" xfId="0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3" fontId="0" fillId="10" borderId="23" xfId="0" applyNumberFormat="1" applyFill="1" applyBorder="1" applyAlignment="1">
      <alignment horizontal="center"/>
    </xf>
    <xf numFmtId="3" fontId="6" fillId="0" borderId="20" xfId="0" applyNumberFormat="1" applyFont="1" applyBorder="1" applyAlignment="1">
      <alignment horizontal="center"/>
    </xf>
    <xf numFmtId="3" fontId="0" fillId="0" borderId="23" xfId="0" applyNumberFormat="1" applyBorder="1" applyAlignment="1">
      <alignment horizontal="center"/>
    </xf>
    <xf numFmtId="3" fontId="6" fillId="2" borderId="20" xfId="0" applyNumberFormat="1" applyFont="1" applyFill="1" applyBorder="1" applyAlignment="1">
      <alignment horizontal="center"/>
    </xf>
    <xf numFmtId="0" fontId="0" fillId="0" borderId="23" xfId="0" applyBorder="1"/>
    <xf numFmtId="0" fontId="6" fillId="0" borderId="20" xfId="0" applyFont="1" applyBorder="1"/>
    <xf numFmtId="0" fontId="2" fillId="0" borderId="22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0" fillId="0" borderId="22" xfId="0" applyBorder="1"/>
    <xf numFmtId="3" fontId="0" fillId="0" borderId="22" xfId="0" applyNumberFormat="1" applyBorder="1" applyAlignment="1">
      <alignment horizontal="center"/>
    </xf>
    <xf numFmtId="0" fontId="2" fillId="0" borderId="24" xfId="0" applyFont="1" applyBorder="1" applyAlignment="1">
      <alignment horizontal="center" wrapText="1"/>
    </xf>
    <xf numFmtId="3" fontId="0" fillId="2" borderId="0" xfId="0" applyNumberFormat="1" applyFill="1" applyBorder="1" applyAlignment="1">
      <alignment horizontal="center"/>
    </xf>
    <xf numFmtId="0" fontId="2" fillId="0" borderId="23" xfId="0" applyFont="1" applyBorder="1"/>
    <xf numFmtId="0" fontId="2" fillId="0" borderId="20" xfId="0" applyFont="1" applyBorder="1"/>
    <xf numFmtId="9" fontId="0" fillId="2" borderId="20" xfId="0" applyNumberFormat="1" applyFill="1" applyBorder="1" applyAlignment="1">
      <alignment horizontal="center"/>
    </xf>
    <xf numFmtId="9" fontId="0" fillId="0" borderId="23" xfId="0" applyNumberFormat="1" applyBorder="1" applyAlignment="1">
      <alignment horizontal="center"/>
    </xf>
    <xf numFmtId="9" fontId="0" fillId="0" borderId="20" xfId="0" applyNumberForma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27" xfId="0" applyFont="1" applyBorder="1" applyAlignment="1">
      <alignment horizontal="center"/>
    </xf>
    <xf numFmtId="9" fontId="2" fillId="0" borderId="28" xfId="0" applyNumberFormat="1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9" fontId="2" fillId="0" borderId="31" xfId="0" applyNumberFormat="1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0" fontId="0" fillId="0" borderId="30" xfId="0" applyNumberFormat="1" applyBorder="1" applyAlignment="1">
      <alignment horizontal="center"/>
    </xf>
    <xf numFmtId="10" fontId="0" fillId="0" borderId="31" xfId="0" applyNumberFormat="1" applyBorder="1" applyAlignment="1">
      <alignment horizontal="center"/>
    </xf>
    <xf numFmtId="0" fontId="0" fillId="0" borderId="29" xfId="0" applyBorder="1"/>
    <xf numFmtId="9" fontId="0" fillId="0" borderId="31" xfId="0" applyNumberFormat="1" applyBorder="1" applyAlignment="1">
      <alignment horizontal="center"/>
    </xf>
    <xf numFmtId="0" fontId="0" fillId="0" borderId="32" xfId="0" applyBorder="1"/>
    <xf numFmtId="0" fontId="0" fillId="0" borderId="33" xfId="0" applyBorder="1" applyAlignment="1">
      <alignment horizontal="center"/>
    </xf>
    <xf numFmtId="9" fontId="0" fillId="0" borderId="34" xfId="0" applyNumberFormat="1" applyBorder="1" applyAlignment="1">
      <alignment horizontal="center"/>
    </xf>
    <xf numFmtId="0" fontId="0" fillId="0" borderId="26" xfId="0" applyBorder="1" applyAlignment="1">
      <alignment horizontal="center"/>
    </xf>
    <xf numFmtId="3" fontId="7" fillId="0" borderId="31" xfId="0" applyNumberFormat="1" applyFont="1" applyBorder="1" applyAlignment="1">
      <alignment horizontal="center"/>
    </xf>
    <xf numFmtId="3" fontId="7" fillId="0" borderId="34" xfId="0" applyNumberFormat="1" applyFont="1" applyBorder="1" applyAlignment="1">
      <alignment horizontal="center"/>
    </xf>
    <xf numFmtId="9" fontId="0" fillId="0" borderId="28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6" borderId="0" xfId="0" applyFont="1" applyFill="1"/>
    <xf numFmtId="0" fontId="2" fillId="6" borderId="0" xfId="0" applyFont="1" applyFill="1"/>
    <xf numFmtId="3" fontId="2" fillId="6" borderId="0" xfId="0" applyNumberFormat="1" applyFont="1" applyFill="1" applyAlignment="1">
      <alignment horizontal="center"/>
    </xf>
    <xf numFmtId="3" fontId="0" fillId="4" borderId="0" xfId="0" applyNumberFormat="1" applyFont="1" applyFill="1"/>
    <xf numFmtId="0" fontId="0" fillId="0" borderId="26" xfId="0" applyBorder="1"/>
    <xf numFmtId="0" fontId="0" fillId="0" borderId="28" xfId="0" applyBorder="1"/>
    <xf numFmtId="164" fontId="0" fillId="0" borderId="31" xfId="0" applyNumberFormat="1" applyBorder="1" applyAlignment="1">
      <alignment horizontal="center"/>
    </xf>
    <xf numFmtId="0" fontId="0" fillId="0" borderId="31" xfId="0" applyBorder="1"/>
    <xf numFmtId="164" fontId="0" fillId="2" borderId="34" xfId="0" applyNumberFormat="1" applyFill="1" applyBorder="1" applyAlignment="1">
      <alignment horizontal="center"/>
    </xf>
    <xf numFmtId="3" fontId="0" fillId="0" borderId="35" xfId="0" applyNumberFormat="1" applyFont="1" applyBorder="1" applyAlignment="1">
      <alignment horizontal="center"/>
    </xf>
    <xf numFmtId="4" fontId="0" fillId="0" borderId="0" xfId="0" applyNumberFormat="1" applyAlignment="1">
      <alignment horizontal="center"/>
    </xf>
    <xf numFmtId="4" fontId="0" fillId="2" borderId="0" xfId="0" applyNumberFormat="1" applyFill="1" applyAlignment="1">
      <alignment horizontal="center"/>
    </xf>
    <xf numFmtId="4" fontId="6" fillId="0" borderId="0" xfId="0" applyNumberFormat="1" applyFont="1" applyAlignment="1">
      <alignment horizontal="center"/>
    </xf>
    <xf numFmtId="4" fontId="8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4" fontId="0" fillId="0" borderId="10" xfId="0" applyNumberFormat="1" applyBorder="1" applyAlignment="1">
      <alignment horizontal="center"/>
    </xf>
    <xf numFmtId="4" fontId="6" fillId="0" borderId="10" xfId="0" applyNumberFormat="1" applyFont="1" applyBorder="1" applyAlignment="1">
      <alignment horizontal="center"/>
    </xf>
    <xf numFmtId="4" fontId="6" fillId="0" borderId="0" xfId="0" applyNumberFormat="1" applyFont="1" applyBorder="1" applyAlignment="1">
      <alignment horizontal="center"/>
    </xf>
    <xf numFmtId="4" fontId="0" fillId="0" borderId="11" xfId="0" applyNumberFormat="1" applyBorder="1" applyAlignment="1">
      <alignment horizontal="center"/>
    </xf>
    <xf numFmtId="4" fontId="6" fillId="0" borderId="11" xfId="0" applyNumberFormat="1" applyFont="1" applyBorder="1" applyAlignment="1">
      <alignment horizontal="center"/>
    </xf>
    <xf numFmtId="4" fontId="5" fillId="0" borderId="0" xfId="0" applyNumberFormat="1" applyFont="1" applyAlignment="1">
      <alignment horizontal="center"/>
    </xf>
    <xf numFmtId="4" fontId="7" fillId="0" borderId="0" xfId="0" applyNumberFormat="1" applyFont="1" applyAlignment="1">
      <alignment horizontal="center"/>
    </xf>
    <xf numFmtId="4" fontId="0" fillId="2" borderId="10" xfId="0" applyNumberFormat="1" applyFill="1" applyBorder="1" applyAlignment="1">
      <alignment horizontal="center"/>
    </xf>
    <xf numFmtId="14" fontId="7" fillId="0" borderId="0" xfId="0" applyNumberFormat="1" applyFont="1"/>
    <xf numFmtId="10" fontId="0" fillId="0" borderId="0" xfId="1" applyNumberFormat="1" applyFont="1"/>
    <xf numFmtId="14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2" fontId="7" fillId="0" borderId="0" xfId="0" applyNumberFormat="1" applyFont="1"/>
    <xf numFmtId="10" fontId="0" fillId="0" borderId="0" xfId="0" applyNumberFormat="1"/>
    <xf numFmtId="0" fontId="0" fillId="5" borderId="0" xfId="0" applyFill="1"/>
    <xf numFmtId="0" fontId="0" fillId="2" borderId="0" xfId="0" applyFill="1"/>
    <xf numFmtId="0" fontId="2" fillId="0" borderId="3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9" fontId="0" fillId="0" borderId="31" xfId="1" applyFont="1" applyBorder="1" applyAlignment="1">
      <alignment horizontal="center"/>
    </xf>
    <xf numFmtId="9" fontId="0" fillId="0" borderId="34" xfId="1" applyFont="1" applyBorder="1" applyAlignment="1">
      <alignment horizontal="center"/>
    </xf>
    <xf numFmtId="0" fontId="7" fillId="0" borderId="26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14" fontId="7" fillId="0" borderId="27" xfId="0" applyNumberFormat="1" applyFont="1" applyBorder="1" applyAlignment="1">
      <alignment horizontal="center" vertical="center" wrapText="1"/>
    </xf>
    <xf numFmtId="14" fontId="7" fillId="0" borderId="28" xfId="0" applyNumberFormat="1" applyFont="1" applyBorder="1" applyAlignment="1">
      <alignment horizontal="center" vertical="center" wrapText="1"/>
    </xf>
    <xf numFmtId="10" fontId="0" fillId="0" borderId="30" xfId="1" applyNumberFormat="1" applyFont="1" applyBorder="1" applyAlignment="1">
      <alignment horizontal="center"/>
    </xf>
    <xf numFmtId="4" fontId="0" fillId="0" borderId="31" xfId="0" applyNumberFormat="1" applyBorder="1" applyAlignment="1">
      <alignment horizontal="center"/>
    </xf>
    <xf numFmtId="0" fontId="0" fillId="0" borderId="30" xfId="0" applyBorder="1"/>
    <xf numFmtId="0" fontId="0" fillId="0" borderId="33" xfId="0" applyBorder="1"/>
    <xf numFmtId="167" fontId="0" fillId="0" borderId="30" xfId="0" applyNumberFormat="1" applyBorder="1" applyAlignment="1">
      <alignment horizontal="center" vertical="center"/>
    </xf>
    <xf numFmtId="167" fontId="0" fillId="0" borderId="31" xfId="0" applyNumberFormat="1" applyBorder="1" applyAlignment="1">
      <alignment horizontal="center" vertical="center"/>
    </xf>
    <xf numFmtId="10" fontId="0" fillId="11" borderId="37" xfId="1" applyNumberFormat="1" applyFont="1" applyFill="1" applyBorder="1" applyAlignment="1">
      <alignment horizontal="center"/>
    </xf>
    <xf numFmtId="166" fontId="7" fillId="0" borderId="27" xfId="0" applyNumberFormat="1" applyFont="1" applyBorder="1" applyAlignment="1">
      <alignment horizontal="center" vertical="center" wrapText="1"/>
    </xf>
    <xf numFmtId="166" fontId="0" fillId="0" borderId="30" xfId="0" applyNumberFormat="1" applyBorder="1" applyAlignment="1">
      <alignment horizontal="center"/>
    </xf>
    <xf numFmtId="166" fontId="0" fillId="0" borderId="30" xfId="0" applyNumberFormat="1" applyBorder="1"/>
    <xf numFmtId="166" fontId="0" fillId="0" borderId="33" xfId="0" applyNumberFormat="1" applyBorder="1"/>
    <xf numFmtId="10" fontId="0" fillId="0" borderId="9" xfId="0" applyNumberFormat="1" applyBorder="1"/>
    <xf numFmtId="10" fontId="0" fillId="0" borderId="0" xfId="0" applyNumberFormat="1" applyAlignment="1">
      <alignment horizontal="center"/>
    </xf>
    <xf numFmtId="14" fontId="6" fillId="0" borderId="0" xfId="0" applyNumberFormat="1" applyFont="1"/>
    <xf numFmtId="10" fontId="0" fillId="0" borderId="0" xfId="1" applyNumberFormat="1" applyFont="1" applyFill="1"/>
    <xf numFmtId="10" fontId="0" fillId="0" borderId="0" xfId="0" applyNumberFormat="1" applyFill="1"/>
    <xf numFmtId="168" fontId="0" fillId="0" borderId="0" xfId="0" applyNumberFormat="1"/>
    <xf numFmtId="10" fontId="0" fillId="12" borderId="0" xfId="1" applyNumberFormat="1" applyFont="1" applyFill="1"/>
    <xf numFmtId="2" fontId="0" fillId="3" borderId="0" xfId="0" applyNumberFormat="1" applyFont="1" applyFill="1" applyAlignment="1">
      <alignment horizontal="center"/>
    </xf>
    <xf numFmtId="2" fontId="0" fillId="0" borderId="0" xfId="0" applyNumberFormat="1" applyAlignment="1">
      <alignment horizontal="center"/>
    </xf>
    <xf numFmtId="4" fontId="0" fillId="3" borderId="0" xfId="0" applyNumberFormat="1" applyFont="1" applyFill="1" applyAlignment="1"/>
    <xf numFmtId="4" fontId="0" fillId="0" borderId="0" xfId="0" applyNumberFormat="1"/>
    <xf numFmtId="4" fontId="0" fillId="4" borderId="0" xfId="0" applyNumberFormat="1" applyFill="1" applyAlignment="1">
      <alignment horizontal="center"/>
    </xf>
    <xf numFmtId="4" fontId="6" fillId="4" borderId="0" xfId="0" applyNumberFormat="1" applyFont="1" applyFill="1" applyAlignment="1">
      <alignment horizontal="center"/>
    </xf>
    <xf numFmtId="4" fontId="0" fillId="0" borderId="0" xfId="0" applyNumberFormat="1" applyFill="1" applyAlignment="1">
      <alignment horizontal="center"/>
    </xf>
    <xf numFmtId="4" fontId="6" fillId="0" borderId="0" xfId="0" applyNumberFormat="1" applyFont="1" applyFill="1" applyAlignment="1">
      <alignment horizontal="center"/>
    </xf>
    <xf numFmtId="4" fontId="7" fillId="0" borderId="0" xfId="0" applyNumberFormat="1" applyFont="1" applyFill="1" applyAlignment="1">
      <alignment horizontal="center"/>
    </xf>
    <xf numFmtId="4" fontId="9" fillId="0" borderId="0" xfId="0" applyNumberFormat="1" applyFont="1" applyAlignment="1">
      <alignment horizontal="center"/>
    </xf>
    <xf numFmtId="165" fontId="5" fillId="3" borderId="0" xfId="0" applyNumberFormat="1" applyFont="1" applyFill="1" applyAlignment="1">
      <alignment horizontal="center"/>
    </xf>
    <xf numFmtId="3" fontId="0" fillId="3" borderId="10" xfId="0" applyNumberFormat="1" applyFill="1" applyBorder="1" applyAlignment="1">
      <alignment horizontal="center"/>
    </xf>
    <xf numFmtId="3" fontId="0" fillId="3" borderId="7" xfId="0" applyNumberFormat="1" applyFill="1" applyBorder="1" applyAlignment="1">
      <alignment horizontal="center"/>
    </xf>
    <xf numFmtId="1" fontId="5" fillId="0" borderId="0" xfId="0" applyNumberFormat="1" applyFont="1" applyAlignment="1">
      <alignment horizontal="center"/>
    </xf>
    <xf numFmtId="1" fontId="5" fillId="0" borderId="0" xfId="0" applyNumberFormat="1" applyFont="1" applyFill="1" applyBorder="1" applyAlignment="1">
      <alignment horizontal="center"/>
    </xf>
    <xf numFmtId="1" fontId="5" fillId="0" borderId="0" xfId="0" applyNumberFormat="1" applyFont="1" applyBorder="1" applyAlignment="1">
      <alignment horizontal="center"/>
    </xf>
    <xf numFmtId="10" fontId="0" fillId="13" borderId="30" xfId="1" applyNumberFormat="1" applyFont="1" applyFill="1" applyBorder="1" applyAlignment="1">
      <alignment horizontal="center"/>
    </xf>
    <xf numFmtId="20" fontId="0" fillId="0" borderId="0" xfId="0" applyNumberFormat="1"/>
    <xf numFmtId="167" fontId="0" fillId="0" borderId="0" xfId="0" applyNumberFormat="1" applyAlignment="1">
      <alignment horizontal="center"/>
    </xf>
    <xf numFmtId="16" fontId="0" fillId="0" borderId="0" xfId="0" applyNumberFormat="1"/>
    <xf numFmtId="9" fontId="0" fillId="2" borderId="0" xfId="0" applyNumberFormat="1" applyFill="1" applyAlignment="1">
      <alignment horizontal="center"/>
    </xf>
    <xf numFmtId="0" fontId="0" fillId="0" borderId="38" xfId="0" applyBorder="1" applyAlignment="1">
      <alignment horizontal="center"/>
    </xf>
    <xf numFmtId="0" fontId="0" fillId="0" borderId="38" xfId="0" applyBorder="1"/>
    <xf numFmtId="0" fontId="0" fillId="0" borderId="39" xfId="0" applyBorder="1"/>
    <xf numFmtId="9" fontId="0" fillId="0" borderId="0" xfId="1" applyFont="1" applyBorder="1" applyAlignment="1">
      <alignment horizontal="center"/>
    </xf>
    <xf numFmtId="167" fontId="0" fillId="0" borderId="41" xfId="0" applyNumberFormat="1" applyBorder="1" applyAlignment="1">
      <alignment horizontal="center" vertical="center"/>
    </xf>
    <xf numFmtId="0" fontId="0" fillId="2" borderId="0" xfId="0" applyFill="1" applyAlignment="1">
      <alignment horizontal="center"/>
    </xf>
    <xf numFmtId="10" fontId="0" fillId="0" borderId="0" xfId="1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9" fontId="0" fillId="0" borderId="0" xfId="1" applyNumberFormat="1" applyFont="1" applyAlignment="1">
      <alignment horizontal="center"/>
    </xf>
    <xf numFmtId="166" fontId="7" fillId="6" borderId="0" xfId="0" applyNumberFormat="1" applyFont="1" applyFill="1" applyAlignment="1">
      <alignment horizontal="center"/>
    </xf>
    <xf numFmtId="9" fontId="0" fillId="6" borderId="0" xfId="0" applyNumberFormat="1" applyFill="1"/>
    <xf numFmtId="10" fontId="0" fillId="6" borderId="0" xfId="0" applyNumberFormat="1" applyFill="1" applyAlignment="1">
      <alignment horizontal="center"/>
    </xf>
    <xf numFmtId="10" fontId="0" fillId="6" borderId="0" xfId="1" applyNumberFormat="1" applyFont="1" applyFill="1" applyAlignment="1">
      <alignment horizontal="center"/>
    </xf>
    <xf numFmtId="14" fontId="0" fillId="6" borderId="0" xfId="0" applyNumberFormat="1" applyFill="1"/>
    <xf numFmtId="166" fontId="7" fillId="0" borderId="0" xfId="0" applyNumberFormat="1" applyFont="1" applyFill="1" applyAlignment="1">
      <alignment horizontal="center"/>
    </xf>
    <xf numFmtId="9" fontId="0" fillId="0" borderId="0" xfId="0" applyNumberFormat="1" applyFill="1"/>
    <xf numFmtId="10" fontId="0" fillId="0" borderId="0" xfId="0" applyNumberFormat="1" applyFill="1" applyAlignment="1">
      <alignment horizontal="center"/>
    </xf>
    <xf numFmtId="10" fontId="0" fillId="0" borderId="0" xfId="1" applyNumberFormat="1" applyFont="1" applyFill="1" applyAlignment="1">
      <alignment horizontal="center"/>
    </xf>
    <xf numFmtId="9" fontId="0" fillId="0" borderId="0" xfId="1" applyFont="1"/>
    <xf numFmtId="0" fontId="2" fillId="0" borderId="12" xfId="0" applyFont="1" applyBorder="1" applyAlignment="1">
      <alignment horizontal="center" wrapText="1"/>
    </xf>
    <xf numFmtId="9" fontId="2" fillId="0" borderId="0" xfId="1" applyFont="1" applyBorder="1"/>
    <xf numFmtId="9" fontId="2" fillId="0" borderId="12" xfId="1" applyFont="1" applyBorder="1" applyAlignment="1">
      <alignment horizontal="center"/>
    </xf>
    <xf numFmtId="170" fontId="0" fillId="0" borderId="0" xfId="1" applyNumberFormat="1" applyFont="1"/>
    <xf numFmtId="0" fontId="8" fillId="0" borderId="0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6" fillId="0" borderId="0" xfId="0" applyFont="1" applyBorder="1"/>
    <xf numFmtId="9" fontId="6" fillId="0" borderId="0" xfId="1" applyFont="1" applyBorder="1" applyAlignment="1">
      <alignment horizontal="center"/>
    </xf>
    <xf numFmtId="9" fontId="6" fillId="2" borderId="0" xfId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3" fontId="0" fillId="2" borderId="0" xfId="0" applyNumberFormat="1" applyFill="1"/>
    <xf numFmtId="3" fontId="0" fillId="0" borderId="10" xfId="0" applyNumberFormat="1" applyFill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0" fillId="2" borderId="7" xfId="0" applyNumberFormat="1" applyFill="1" applyBorder="1" applyAlignment="1">
      <alignment horizontal="center"/>
    </xf>
    <xf numFmtId="3" fontId="0" fillId="0" borderId="23" xfId="0" applyNumberFormat="1" applyFont="1" applyBorder="1" applyAlignment="1">
      <alignment horizontal="center"/>
    </xf>
    <xf numFmtId="3" fontId="0" fillId="0" borderId="0" xfId="0" applyNumberFormat="1" applyFont="1" applyBorder="1"/>
    <xf numFmtId="3" fontId="0" fillId="0" borderId="0" xfId="0" applyNumberFormat="1" applyFont="1" applyBorder="1" applyAlignment="1">
      <alignment horizontal="center"/>
    </xf>
    <xf numFmtId="3" fontId="0" fillId="0" borderId="23" xfId="0" applyNumberFormat="1" applyFont="1" applyBorder="1"/>
    <xf numFmtId="15" fontId="0" fillId="0" borderId="0" xfId="0" applyNumberFormat="1"/>
    <xf numFmtId="0" fontId="0" fillId="0" borderId="0" xfId="0" applyAlignment="1">
      <alignment wrapText="1"/>
    </xf>
    <xf numFmtId="171" fontId="0" fillId="0" borderId="0" xfId="0" applyNumberFormat="1"/>
    <xf numFmtId="3" fontId="0" fillId="0" borderId="0" xfId="0" applyNumberFormat="1" applyFill="1"/>
    <xf numFmtId="170" fontId="0" fillId="2" borderId="23" xfId="0" applyNumberFormat="1" applyFill="1" applyBorder="1" applyAlignment="1">
      <alignment horizontal="center"/>
    </xf>
    <xf numFmtId="170" fontId="0" fillId="0" borderId="23" xfId="0" applyNumberFormat="1" applyBorder="1" applyAlignment="1">
      <alignment horizontal="center"/>
    </xf>
    <xf numFmtId="3" fontId="0" fillId="10" borderId="0" xfId="0" applyNumberFormat="1" applyFill="1" applyAlignment="1">
      <alignment horizontal="center"/>
    </xf>
    <xf numFmtId="0" fontId="0" fillId="14" borderId="0" xfId="0" applyFill="1"/>
    <xf numFmtId="0" fontId="11" fillId="15" borderId="0" xfId="0" applyFont="1" applyFill="1"/>
    <xf numFmtId="0" fontId="0" fillId="16" borderId="0" xfId="0" applyFill="1"/>
    <xf numFmtId="172" fontId="0" fillId="0" borderId="0" xfId="0" applyNumberFormat="1"/>
    <xf numFmtId="172" fontId="0" fillId="0" borderId="0" xfId="1" applyNumberFormat="1" applyFont="1" applyAlignment="1">
      <alignment horizontal="center"/>
    </xf>
    <xf numFmtId="14" fontId="0" fillId="5" borderId="0" xfId="0" applyNumberFormat="1" applyFill="1"/>
    <xf numFmtId="10" fontId="0" fillId="5" borderId="0" xfId="0" applyNumberFormat="1" applyFill="1"/>
    <xf numFmtId="9" fontId="0" fillId="5" borderId="0" xfId="0" applyNumberFormat="1" applyFill="1"/>
    <xf numFmtId="10" fontId="0" fillId="5" borderId="0" xfId="1" applyNumberFormat="1" applyFont="1" applyFill="1" applyAlignment="1">
      <alignment horizontal="center"/>
    </xf>
    <xf numFmtId="17" fontId="0" fillId="0" borderId="0" xfId="0" applyNumberFormat="1"/>
    <xf numFmtId="14" fontId="7" fillId="0" borderId="40" xfId="0" applyNumberFormat="1" applyFont="1" applyBorder="1" applyAlignment="1">
      <alignment horizontal="center" vertical="center" wrapText="1"/>
    </xf>
    <xf numFmtId="4" fontId="0" fillId="13" borderId="41" xfId="0" applyNumberFormat="1" applyFill="1" applyBorder="1" applyAlignment="1">
      <alignment horizontal="center"/>
    </xf>
    <xf numFmtId="3" fontId="0" fillId="5" borderId="0" xfId="0" applyNumberFormat="1" applyFill="1" applyAlignment="1">
      <alignment horizontal="center"/>
    </xf>
    <xf numFmtId="4" fontId="0" fillId="0" borderId="30" xfId="0" applyNumberFormat="1" applyFill="1" applyBorder="1" applyAlignment="1">
      <alignment horizontal="center"/>
    </xf>
    <xf numFmtId="4" fontId="0" fillId="0" borderId="41" xfId="0" applyNumberFormat="1" applyFill="1" applyBorder="1" applyAlignment="1">
      <alignment horizontal="center"/>
    </xf>
    <xf numFmtId="4" fontId="0" fillId="13" borderId="30" xfId="0" applyNumberFormat="1" applyFill="1" applyBorder="1" applyAlignment="1">
      <alignment horizontal="center"/>
    </xf>
    <xf numFmtId="1" fontId="11" fillId="17" borderId="0" xfId="0" applyNumberFormat="1" applyFont="1" applyFill="1"/>
    <xf numFmtId="16" fontId="2" fillId="0" borderId="0" xfId="0" applyNumberFormat="1" applyFont="1" applyAlignment="1">
      <alignment horizontal="center"/>
    </xf>
    <xf numFmtId="4" fontId="12" fillId="0" borderId="0" xfId="0" applyNumberFormat="1" applyFont="1" applyAlignment="1">
      <alignment horizontal="center"/>
    </xf>
    <xf numFmtId="0" fontId="0" fillId="0" borderId="5" xfId="0" applyFill="1" applyBorder="1"/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18" borderId="0" xfId="0" applyFill="1" applyAlignment="1">
      <alignment horizontal="center"/>
    </xf>
    <xf numFmtId="4" fontId="0" fillId="18" borderId="30" xfId="0" applyNumberFormat="1" applyFill="1" applyBorder="1" applyAlignment="1">
      <alignment horizontal="center"/>
    </xf>
    <xf numFmtId="166" fontId="0" fillId="0" borderId="43" xfId="0" applyNumberFormat="1" applyFill="1" applyBorder="1" applyAlignment="1">
      <alignment horizontal="center"/>
    </xf>
    <xf numFmtId="1" fontId="0" fillId="0" borderId="11" xfId="0" applyNumberFormat="1" applyBorder="1"/>
    <xf numFmtId="0" fontId="2" fillId="0" borderId="26" xfId="0" applyFont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0" fillId="0" borderId="27" xfId="0" applyBorder="1"/>
    <xf numFmtId="0" fontId="10" fillId="12" borderId="29" xfId="2" applyFill="1" applyBorder="1"/>
    <xf numFmtId="0" fontId="0" fillId="0" borderId="34" xfId="0" applyBorder="1"/>
    <xf numFmtId="3" fontId="0" fillId="6" borderId="0" xfId="0" applyNumberFormat="1" applyFill="1" applyBorder="1" applyAlignment="1">
      <alignment horizontal="center"/>
    </xf>
    <xf numFmtId="4" fontId="0" fillId="6" borderId="0" xfId="0" applyNumberFormat="1" applyFill="1" applyBorder="1" applyAlignment="1">
      <alignment horizontal="center"/>
    </xf>
    <xf numFmtId="3" fontId="0" fillId="0" borderId="18" xfId="0" applyNumberFormat="1" applyFill="1" applyBorder="1" applyAlignment="1">
      <alignment horizontal="center"/>
    </xf>
    <xf numFmtId="3" fontId="0" fillId="0" borderId="23" xfId="0" applyNumberFormat="1" applyFill="1" applyBorder="1" applyAlignment="1">
      <alignment horizontal="center"/>
    </xf>
    <xf numFmtId="3" fontId="0" fillId="6" borderId="22" xfId="0" applyNumberFormat="1" applyFill="1" applyBorder="1" applyAlignment="1">
      <alignment horizontal="center"/>
    </xf>
    <xf numFmtId="3" fontId="6" fillId="6" borderId="0" xfId="0" applyNumberFormat="1" applyFont="1" applyFill="1" applyBorder="1" applyAlignment="1">
      <alignment horizontal="center"/>
    </xf>
    <xf numFmtId="3" fontId="0" fillId="6" borderId="0" xfId="0" applyNumberFormat="1" applyFill="1"/>
    <xf numFmtId="3" fontId="6" fillId="7" borderId="0" xfId="0" applyNumberFormat="1" applyFont="1" applyFill="1" applyBorder="1" applyAlignment="1">
      <alignment horizontal="center"/>
    </xf>
    <xf numFmtId="10" fontId="0" fillId="4" borderId="0" xfId="0" applyNumberFormat="1" applyFill="1" applyAlignment="1">
      <alignment horizontal="center"/>
    </xf>
    <xf numFmtId="0" fontId="0" fillId="0" borderId="0" xfId="0" applyAlignment="1">
      <alignment horizontal="center" vertical="center"/>
    </xf>
    <xf numFmtId="4" fontId="6" fillId="0" borderId="0" xfId="0" applyNumberFormat="1" applyFont="1" applyFill="1" applyBorder="1" applyAlignment="1">
      <alignment horizontal="center"/>
    </xf>
    <xf numFmtId="165" fontId="0" fillId="0" borderId="0" xfId="0" applyNumberFormat="1"/>
    <xf numFmtId="4" fontId="0" fillId="11" borderId="0" xfId="0" applyNumberFormat="1" applyFill="1" applyAlignment="1">
      <alignment horizontal="center"/>
    </xf>
    <xf numFmtId="3" fontId="0" fillId="0" borderId="0" xfId="0" applyNumberFormat="1" applyFont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3" fontId="0" fillId="6" borderId="9" xfId="0" applyNumberFormat="1" applyFill="1" applyBorder="1" applyAlignment="1">
      <alignment horizontal="center"/>
    </xf>
    <xf numFmtId="4" fontId="0" fillId="18" borderId="41" xfId="0" applyNumberFormat="1" applyFill="1" applyBorder="1" applyAlignment="1">
      <alignment horizontal="center"/>
    </xf>
    <xf numFmtId="171" fontId="5" fillId="0" borderId="0" xfId="0" applyNumberFormat="1" applyFont="1"/>
    <xf numFmtId="0" fontId="0" fillId="0" borderId="44" xfId="0" applyBorder="1"/>
    <xf numFmtId="165" fontId="0" fillId="0" borderId="45" xfId="0" applyNumberFormat="1" applyBorder="1" applyAlignment="1">
      <alignment horizontal="center"/>
    </xf>
    <xf numFmtId="165" fontId="0" fillId="0" borderId="46" xfId="0" applyNumberFormat="1" applyBorder="1" applyAlignment="1">
      <alignment horizontal="center"/>
    </xf>
    <xf numFmtId="0" fontId="0" fillId="0" borderId="47" xfId="0" applyBorder="1"/>
    <xf numFmtId="3" fontId="0" fillId="0" borderId="30" xfId="0" applyNumberFormat="1" applyFont="1" applyBorder="1" applyAlignment="1">
      <alignment horizontal="center"/>
    </xf>
    <xf numFmtId="3" fontId="0" fillId="0" borderId="48" xfId="0" applyNumberFormat="1" applyFont="1" applyBorder="1" applyAlignment="1">
      <alignment horizontal="center"/>
    </xf>
    <xf numFmtId="3" fontId="0" fillId="2" borderId="30" xfId="0" applyNumberFormat="1" applyFont="1" applyFill="1" applyBorder="1" applyAlignment="1">
      <alignment horizontal="center"/>
    </xf>
    <xf numFmtId="0" fontId="0" fillId="0" borderId="49" xfId="0" applyBorder="1"/>
    <xf numFmtId="0" fontId="0" fillId="0" borderId="50" xfId="0" applyBorder="1"/>
    <xf numFmtId="3" fontId="2" fillId="0" borderId="50" xfId="0" applyNumberFormat="1" applyFont="1" applyBorder="1" applyAlignment="1">
      <alignment horizontal="center"/>
    </xf>
    <xf numFmtId="3" fontId="2" fillId="0" borderId="51" xfId="0" applyNumberFormat="1" applyFont="1" applyBorder="1" applyAlignment="1">
      <alignment horizontal="center"/>
    </xf>
    <xf numFmtId="0" fontId="0" fillId="0" borderId="47" xfId="0" applyBorder="1" applyAlignment="1">
      <alignment horizontal="center"/>
    </xf>
    <xf numFmtId="4" fontId="0" fillId="0" borderId="30" xfId="0" applyNumberFormat="1" applyBorder="1" applyAlignment="1">
      <alignment horizontal="center"/>
    </xf>
    <xf numFmtId="4" fontId="6" fillId="0" borderId="30" xfId="0" applyNumberFormat="1" applyFont="1" applyBorder="1" applyAlignment="1">
      <alignment horizontal="center"/>
    </xf>
    <xf numFmtId="9" fontId="0" fillId="0" borderId="30" xfId="1" applyFont="1" applyBorder="1" applyAlignment="1">
      <alignment horizontal="center"/>
    </xf>
    <xf numFmtId="4" fontId="0" fillId="0" borderId="48" xfId="0" applyNumberFormat="1" applyBorder="1" applyAlignment="1">
      <alignment horizontal="center"/>
    </xf>
    <xf numFmtId="4" fontId="0" fillId="10" borderId="30" xfId="0" applyNumberFormat="1" applyFill="1" applyBorder="1" applyAlignment="1">
      <alignment horizontal="center"/>
    </xf>
    <xf numFmtId="0" fontId="0" fillId="0" borderId="49" xfId="0" applyBorder="1" applyAlignment="1">
      <alignment horizontal="center"/>
    </xf>
    <xf numFmtId="4" fontId="0" fillId="0" borderId="50" xfId="0" applyNumberFormat="1" applyBorder="1" applyAlignment="1">
      <alignment horizontal="center"/>
    </xf>
    <xf numFmtId="4" fontId="6" fillId="0" borderId="50" xfId="0" applyNumberFormat="1" applyFont="1" applyBorder="1" applyAlignment="1">
      <alignment horizontal="center"/>
    </xf>
    <xf numFmtId="9" fontId="0" fillId="0" borderId="50" xfId="1" applyFont="1" applyBorder="1" applyAlignment="1">
      <alignment horizontal="center"/>
    </xf>
    <xf numFmtId="4" fontId="0" fillId="0" borderId="51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4" fontId="0" fillId="0" borderId="53" xfId="0" applyNumberFormat="1" applyBorder="1" applyAlignment="1">
      <alignment horizontal="center"/>
    </xf>
    <xf numFmtId="4" fontId="6" fillId="0" borderId="53" xfId="0" applyNumberFormat="1" applyFont="1" applyBorder="1" applyAlignment="1">
      <alignment horizontal="center"/>
    </xf>
    <xf numFmtId="0" fontId="0" fillId="0" borderId="53" xfId="0" applyBorder="1" applyAlignment="1">
      <alignment horizontal="center"/>
    </xf>
    <xf numFmtId="9" fontId="0" fillId="0" borderId="53" xfId="1" applyFont="1" applyBorder="1" applyAlignment="1">
      <alignment horizontal="center"/>
    </xf>
    <xf numFmtId="4" fontId="0" fillId="0" borderId="54" xfId="0" applyNumberFormat="1" applyBorder="1" applyAlignment="1">
      <alignment horizontal="center"/>
    </xf>
    <xf numFmtId="0" fontId="0" fillId="0" borderId="55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/>
    </xf>
    <xf numFmtId="0" fontId="0" fillId="0" borderId="56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/>
    </xf>
    <xf numFmtId="4" fontId="0" fillId="0" borderId="59" xfId="0" applyNumberFormat="1" applyBorder="1" applyAlignment="1">
      <alignment horizontal="center"/>
    </xf>
    <xf numFmtId="4" fontId="6" fillId="0" borderId="59" xfId="0" applyNumberFormat="1" applyFont="1" applyBorder="1" applyAlignment="1">
      <alignment horizontal="center"/>
    </xf>
    <xf numFmtId="0" fontId="0" fillId="0" borderId="59" xfId="0" applyBorder="1" applyAlignment="1">
      <alignment horizontal="center"/>
    </xf>
    <xf numFmtId="9" fontId="0" fillId="0" borderId="59" xfId="1" applyFont="1" applyBorder="1" applyAlignment="1">
      <alignment horizontal="center"/>
    </xf>
    <xf numFmtId="4" fontId="0" fillId="0" borderId="60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4" fontId="0" fillId="0" borderId="56" xfId="0" applyNumberFormat="1" applyBorder="1" applyAlignment="1">
      <alignment horizontal="center"/>
    </xf>
    <xf numFmtId="4" fontId="6" fillId="0" borderId="56" xfId="0" applyNumberFormat="1" applyFont="1" applyBorder="1" applyAlignment="1">
      <alignment horizontal="center"/>
    </xf>
    <xf numFmtId="9" fontId="0" fillId="0" borderId="56" xfId="1" applyFont="1" applyBorder="1" applyAlignment="1">
      <alignment horizontal="center"/>
    </xf>
    <xf numFmtId="0" fontId="0" fillId="0" borderId="56" xfId="0" applyBorder="1" applyAlignment="1">
      <alignment horizontal="center"/>
    </xf>
    <xf numFmtId="4" fontId="0" fillId="0" borderId="57" xfId="0" applyNumberFormat="1" applyBorder="1" applyAlignment="1">
      <alignment horizontal="center"/>
    </xf>
    <xf numFmtId="3" fontId="0" fillId="0" borderId="30" xfId="0" applyNumberFormat="1" applyBorder="1" applyAlignment="1">
      <alignment horizontal="center"/>
    </xf>
    <xf numFmtId="3" fontId="0" fillId="0" borderId="48" xfId="0" applyNumberFormat="1" applyBorder="1" applyAlignment="1">
      <alignment horizontal="center"/>
    </xf>
    <xf numFmtId="3" fontId="0" fillId="0" borderId="50" xfId="0" applyNumberFormat="1" applyFill="1" applyBorder="1" applyAlignment="1">
      <alignment horizontal="center"/>
    </xf>
    <xf numFmtId="3" fontId="0" fillId="0" borderId="51" xfId="0" applyNumberFormat="1" applyFill="1" applyBorder="1" applyAlignment="1">
      <alignment horizontal="center"/>
    </xf>
    <xf numFmtId="0" fontId="0" fillId="0" borderId="0" xfId="0" applyAlignment="1">
      <alignment horizontal="center" vertical="center"/>
    </xf>
    <xf numFmtId="3" fontId="0" fillId="0" borderId="0" xfId="0" applyNumberFormat="1" applyBorder="1"/>
    <xf numFmtId="9" fontId="0" fillId="0" borderId="0" xfId="0" applyNumberFormat="1" applyBorder="1"/>
    <xf numFmtId="3" fontId="0" fillId="4" borderId="9" xfId="0" applyNumberFormat="1" applyFill="1" applyBorder="1" applyAlignment="1">
      <alignment horizontal="center"/>
    </xf>
    <xf numFmtId="9" fontId="7" fillId="0" borderId="0" xfId="1" applyFont="1" applyAlignment="1">
      <alignment horizontal="center"/>
    </xf>
    <xf numFmtId="9" fontId="0" fillId="19" borderId="20" xfId="0" applyNumberFormat="1" applyFill="1" applyBorder="1" applyAlignment="1">
      <alignment horizontal="center"/>
    </xf>
    <xf numFmtId="3" fontId="6" fillId="5" borderId="0" xfId="0" applyNumberFormat="1" applyFont="1" applyFill="1" applyAlignment="1">
      <alignment horizontal="center"/>
    </xf>
    <xf numFmtId="0" fontId="8" fillId="5" borderId="0" xfId="0" applyFont="1" applyFill="1" applyBorder="1" applyAlignment="1">
      <alignment horizontal="center"/>
    </xf>
    <xf numFmtId="0" fontId="8" fillId="5" borderId="12" xfId="0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9" fontId="0" fillId="20" borderId="20" xfId="0" applyNumberFormat="1" applyFill="1" applyBorder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11" xfId="0" applyBorder="1" applyAlignment="1">
      <alignment horizontal="center"/>
    </xf>
    <xf numFmtId="1" fontId="5" fillId="0" borderId="11" xfId="0" applyNumberFormat="1" applyFont="1" applyBorder="1" applyAlignment="1">
      <alignment horizontal="center"/>
    </xf>
    <xf numFmtId="165" fontId="5" fillId="0" borderId="11" xfId="0" applyNumberFormat="1" applyFont="1" applyBorder="1" applyAlignment="1">
      <alignment horizontal="center"/>
    </xf>
    <xf numFmtId="0" fontId="0" fillId="12" borderId="0" xfId="0" applyFill="1"/>
    <xf numFmtId="4" fontId="0" fillId="13" borderId="0" xfId="0" applyNumberFormat="1" applyFill="1" applyAlignment="1">
      <alignment horizontal="center"/>
    </xf>
    <xf numFmtId="4" fontId="0" fillId="4" borderId="0" xfId="0" applyNumberFormat="1" applyFill="1" applyBorder="1" applyAlignment="1">
      <alignment horizontal="center"/>
    </xf>
    <xf numFmtId="4" fontId="0" fillId="2" borderId="11" xfId="0" applyNumberFormat="1" applyFill="1" applyBorder="1" applyAlignment="1">
      <alignment horizontal="center"/>
    </xf>
    <xf numFmtId="4" fontId="7" fillId="0" borderId="0" xfId="0" applyNumberFormat="1" applyFont="1" applyBorder="1" applyAlignment="1">
      <alignment horizontal="center"/>
    </xf>
    <xf numFmtId="4" fontId="0" fillId="4" borderId="10" xfId="0" applyNumberFormat="1" applyFill="1" applyBorder="1" applyAlignment="1">
      <alignment horizontal="center"/>
    </xf>
    <xf numFmtId="4" fontId="0" fillId="4" borderId="11" xfId="0" applyNumberFormat="1" applyFill="1" applyBorder="1" applyAlignment="1">
      <alignment horizontal="center"/>
    </xf>
    <xf numFmtId="4" fontId="6" fillId="0" borderId="61" xfId="0" applyNumberFormat="1" applyFont="1" applyBorder="1" applyAlignment="1">
      <alignment horizontal="center"/>
    </xf>
    <xf numFmtId="4" fontId="5" fillId="2" borderId="61" xfId="0" applyNumberFormat="1" applyFont="1" applyFill="1" applyBorder="1" applyAlignment="1">
      <alignment horizontal="center"/>
    </xf>
    <xf numFmtId="4" fontId="0" fillId="0" borderId="61" xfId="0" applyNumberFormat="1" applyBorder="1" applyAlignment="1">
      <alignment horizontal="center"/>
    </xf>
    <xf numFmtId="4" fontId="7" fillId="0" borderId="11" xfId="0" applyNumberFormat="1" applyFont="1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4" fontId="0" fillId="0" borderId="10" xfId="0" applyNumberFormat="1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4" fontId="0" fillId="0" borderId="1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6" fillId="0" borderId="10" xfId="0" applyNumberFormat="1" applyFont="1" applyBorder="1" applyAlignment="1">
      <alignment horizontal="center" vertical="center"/>
    </xf>
    <xf numFmtId="4" fontId="6" fillId="0" borderId="0" xfId="0" applyNumberFormat="1" applyFont="1" applyBorder="1" applyAlignment="1">
      <alignment horizontal="center" vertical="center"/>
    </xf>
    <xf numFmtId="4" fontId="6" fillId="0" borderId="11" xfId="0" applyNumberFormat="1" applyFont="1" applyBorder="1" applyAlignment="1">
      <alignment horizontal="center" vertical="center"/>
    </xf>
    <xf numFmtId="0" fontId="2" fillId="0" borderId="26" xfId="0" applyFont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28" xfId="0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14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$-409]mmm\-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$-409]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</dxf>
    <dxf>
      <numFmt numFmtId="4" formatCode="#,##0.00"/>
    </dxf>
    <dxf>
      <numFmt numFmtId="0" formatCode="General"/>
    </dxf>
    <dxf>
      <numFmt numFmtId="4" formatCode="#,##0.00"/>
    </dxf>
    <dxf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C99FF"/>
      <color rgb="FFE6C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464671</xdr:colOff>
      <xdr:row>16</xdr:row>
      <xdr:rowOff>84045</xdr:rowOff>
    </xdr:from>
    <xdr:ext cx="3681506" cy="112569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422DEFA-FA12-448A-9A89-932D418B04BA}"/>
            </a:ext>
          </a:extLst>
        </xdr:cNvPr>
        <xdr:cNvSpPr txBox="1"/>
      </xdr:nvSpPr>
      <xdr:spPr>
        <a:xfrm>
          <a:off x="10871200" y="3087221"/>
          <a:ext cx="3681506" cy="112569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HSA account will be treated as investment.</a:t>
          </a:r>
        </a:p>
        <a:p>
          <a:r>
            <a:rPr lang="en-US" sz="1100"/>
            <a:t>An</a:t>
          </a:r>
          <a:r>
            <a:rPr lang="en-US" sz="1100" baseline="0"/>
            <a:t>y expense there will be payed by Mid-term that will reimburse Long Term Fund.</a:t>
          </a:r>
        </a:p>
        <a:p>
          <a:r>
            <a:rPr lang="en-US" sz="1100" baseline="0"/>
            <a:t>Ex.: 100 USD billed on HSA</a:t>
          </a:r>
        </a:p>
        <a:p>
          <a:r>
            <a:rPr lang="en-US" sz="1100" baseline="0"/>
            <a:t>100 USD added to Long Term Fund</a:t>
          </a:r>
        </a:p>
        <a:p>
          <a:r>
            <a:rPr lang="en-US" sz="1100" baseline="0"/>
            <a:t>100*(1-19%) will be charged on Health - Mid Term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781050</xdr:colOff>
      <xdr:row>2</xdr:row>
      <xdr:rowOff>88900</xdr:rowOff>
    </xdr:from>
    <xdr:to>
      <xdr:col>10</xdr:col>
      <xdr:colOff>813863</xdr:colOff>
      <xdr:row>33</xdr:row>
      <xdr:rowOff>126255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AD3FAD-0322-4E6B-A4D1-7214115CB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457200"/>
          <a:ext cx="8224313" cy="5746005"/>
        </a:xfrm>
        <a:prstGeom prst="rect">
          <a:avLst/>
        </a:prstGeom>
      </xdr:spPr>
    </xdr:pic>
    <xdr:clientData/>
  </xdr:twoCellAnchor>
  <xdr:twoCellAnchor editAs="oneCell">
    <xdr:from>
      <xdr:col>0</xdr:col>
      <xdr:colOff>565150</xdr:colOff>
      <xdr:row>37</xdr:row>
      <xdr:rowOff>149225</xdr:rowOff>
    </xdr:from>
    <xdr:to>
      <xdr:col>14</xdr:col>
      <xdr:colOff>392322</xdr:colOff>
      <xdr:row>79</xdr:row>
      <xdr:rowOff>91115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637EDB-3FDC-48A9-9ACC-4283B634A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150" y="7197725"/>
          <a:ext cx="11034922" cy="79428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38</xdr:row>
      <xdr:rowOff>142875</xdr:rowOff>
    </xdr:from>
    <xdr:to>
      <xdr:col>33</xdr:col>
      <xdr:colOff>24032</xdr:colOff>
      <xdr:row>76</xdr:row>
      <xdr:rowOff>122923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626102-BC1C-4130-BD1B-866E868CA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33250" y="7381875"/>
          <a:ext cx="10942857" cy="72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203201</xdr:colOff>
      <xdr:row>0</xdr:row>
      <xdr:rowOff>95251</xdr:rowOff>
    </xdr:from>
    <xdr:to>
      <xdr:col>28</xdr:col>
      <xdr:colOff>355602</xdr:colOff>
      <xdr:row>19</xdr:row>
      <xdr:rowOff>116411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FAE987-A84B-40E3-B621-A3DC95F9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1" y="95251"/>
          <a:ext cx="9296400" cy="364066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6D013A-559B-4DDD-84A6-E1318D7FB9DE}" name="Table1" displayName="Table1" ref="A1:J1001" totalsRowShown="0" headerRowDxfId="140">
  <autoFilter ref="A1:J1001" xr:uid="{BC880104-86E8-4424-8213-C8A3E12A55DB}"/>
  <tableColumns count="10">
    <tableColumn id="1" xr3:uid="{075B0510-FEF7-4946-A6CC-D3E6D942B3BC}" name="#"/>
    <tableColumn id="2" xr3:uid="{EDF76985-1B3A-4F12-9C3E-AE8CCA719EC3}" name="Description"/>
    <tableColumn id="3" xr3:uid="{F2231072-9D5E-4725-B453-8C4B71FB442D}" name="Month"/>
    <tableColumn id="4" xr3:uid="{4FFBA023-6BA5-415B-A2E0-2E13935B5972}" name="Year"/>
    <tableColumn id="5" xr3:uid="{4F081B61-418B-4B5E-98F7-6EDC4B6908B9}" name="EK or MN?"/>
    <tableColumn id="7" xr3:uid="{A2DA5DEC-2B8B-458D-8599-CF9C3980B7D7}" name="Value" dataDxfId="139"/>
    <tableColumn id="9" xr3:uid="{47621554-F840-4FBD-8576-598C56CC8A98}" name="Currency"/>
    <tableColumn id="11" xr3:uid="{3D515731-8BA1-4592-B03E-173F2B8091A5}" name="Conversion" dataDxfId="138">
      <calculatedColumnFormula>IF(Table1[[#This Row],[Description]]="","",IF(Table1[[#This Row],[Currency]]=$Q$2,$R$2,HLOOKUP(Table1[[#This Row],[Date]],Funds!$C$10:$GV$11,2,FALSE)))</calculatedColumnFormula>
    </tableColumn>
    <tableColumn id="10" xr3:uid="{4130876F-2487-4F69-90C9-DA437476FFF1}" name="Value USD" dataDxfId="137">
      <calculatedColumnFormula>IF(Table1[[#This Row],[Description]]="","",Table1[[#This Row],[Value]]/Table1[[#This Row],[Conversion]])</calculatedColumnFormula>
    </tableColumn>
    <tableColumn id="8" xr3:uid="{4C036F00-87CF-42DE-8D93-517E6B9F1E5E}" name="Date" dataDxfId="136">
      <calculatedColumnFormula>IF(Table1[[#This Row],[Description]]="","",DATE(Table1[[#This Row],[Year]],Table1[[#This Row],[Month]],1))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869795-0ED9-4A7E-8368-FEE83B6A4D2B}" name="Table2" displayName="Table2" ref="A1:K10000" totalsRowShown="0" headerRowDxfId="135">
  <autoFilter ref="A1:K10000" xr:uid="{F89873A6-82CC-446B-AF3C-FE2BC4F73951}"/>
  <tableColumns count="11">
    <tableColumn id="1" xr3:uid="{A212133C-FBEA-4DFF-AEB7-897922290EA7}" name="#" dataDxfId="134"/>
    <tableColumn id="2" xr3:uid="{0BC87048-C26E-46D3-9F1F-78919BD1C0E1}" name="Description"/>
    <tableColumn id="3" xr3:uid="{ABAC992E-17B8-41CA-9BB5-81A7E3EDDEC3}" name="Month" dataDxfId="133"/>
    <tableColumn id="4" xr3:uid="{FA502547-66BF-424E-8035-8AFDE2FC5286}" name="Year" dataDxfId="132"/>
    <tableColumn id="5" xr3:uid="{B65543B8-D5C2-41E0-BCC0-04D74CDFC68D}" name="Value" dataDxfId="131"/>
    <tableColumn id="9" xr3:uid="{1E7644C7-C66B-41B0-9E0D-C47BEF7013E8}" name="Currency" dataDxfId="130"/>
    <tableColumn id="6" xr3:uid="{2E0AC74A-D02E-400A-9F8D-67782F9F7FC7}" name="Budget" dataDxfId="129">
      <calculatedColumnFormula>IF(Table2[[#This Row],[Description]]="","",VLOOKUP(Table2[[#This Row],[Description]],$Q$1:$S$101,2,FALSE))</calculatedColumnFormula>
    </tableColumn>
    <tableColumn id="7" xr3:uid="{442653A8-8070-4FC9-B7E0-F93B42755E9D}" name="Term" dataDxfId="128">
      <calculatedColumnFormula>IF(Table2[[#This Row],[Description]]="","",VLOOKUP(Table2[[#This Row],[Description]],$Q$1:$S$101,3,FALSE))</calculatedColumnFormula>
    </tableColumn>
    <tableColumn id="11" xr3:uid="{F6AE7F56-0AFC-4B6C-9F79-DF90432B81B4}" name="Conversion" dataDxfId="127">
      <calculatedColumnFormula>IF(Table2[[#This Row],[Description]]="","",IF(Table2[[#This Row],[Currency]]=$O$2,$P$2,HLOOKUP(Table2[[#This Row],[Date]],Funds!$C$10:$GV$11,2,FALSE)))</calculatedColumnFormula>
    </tableColumn>
    <tableColumn id="10" xr3:uid="{3B442DED-7CF0-463C-923F-C7F773409884}" name="Value USD" dataDxfId="126">
      <calculatedColumnFormula>IF(Table2[[#This Row],[Description]]="","",Table2[[#This Row],[Value]]/Table2[[#This Row],[Conversion]])</calculatedColumnFormula>
    </tableColumn>
    <tableColumn id="8" xr3:uid="{5C809ECA-8900-48E3-9183-5F6BB2F2CAD5}" name="Date" dataDxfId="125">
      <calculatedColumnFormula>IF(Table2[[#This Row],[Description]]="","",DATE(Table2[[#This Row],[Year]],Table2[[#This Row],[Month]],1))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094F8A-A928-4D0D-8D9C-1697550396B8}" name="Table3" displayName="Table3" ref="U1:AE256" totalsRowShown="0" headerRowDxfId="124" dataDxfId="123">
  <autoFilter ref="U1:AE256" xr:uid="{F3AB2A78-39B1-4A78-B5E8-0A35566F1E10}"/>
  <sortState xmlns:xlrd2="http://schemas.microsoft.com/office/spreadsheetml/2017/richdata2" ref="U2:AE256">
    <sortCondition ref="U1:U256"/>
  </sortState>
  <tableColumns count="11">
    <tableColumn id="1" xr3:uid="{14EE225B-F024-4CB7-A2F1-B9DF86CB09D4}" name="Mid bgt"/>
    <tableColumn id="2" xr3:uid="{FB5A260E-5CCA-4373-A65B-DDB51C46A37A}" name="Month" dataDxfId="122"/>
    <tableColumn id="3" xr3:uid="{166FE9DE-5DFA-4386-BE2E-CD27EB3F5CEC}" name="Year" dataDxfId="121"/>
    <tableColumn id="4" xr3:uid="{4D98BDFB-3374-4E9F-A575-84D7C7C58E44}" name="End Date" dataDxfId="120">
      <calculatedColumnFormula>DATE(Table3[[#This Row],[Year]],Table3[[#This Row],[Month]],1)</calculatedColumnFormula>
    </tableColumn>
    <tableColumn id="11" xr3:uid="{4CF79E86-3EA2-45D4-93AD-AE07C753ECD3}" name="S mth" dataDxfId="119"/>
    <tableColumn id="10" xr3:uid="{8F3EBF0E-049A-41BB-8D8B-577E7E21C862}" name="S Yr" dataDxfId="118"/>
    <tableColumn id="8" xr3:uid="{76AA403F-7443-4438-AD57-BA01B3B85EA9}" name="Start" dataDxfId="117">
      <calculatedColumnFormula>DATE(Table3[[#This Row],[S Yr]],Table3[[#This Row],[S mth]],1)</calculatedColumnFormula>
    </tableColumn>
    <tableColumn id="5" xr3:uid="{F16AFC45-6CF4-4260-9FCF-E9F089A5E556}" name="Planned" dataDxfId="116"/>
    <tableColumn id="6" xr3:uid="{2A83B3E1-DFE8-4473-9049-A67E007E85FA}" name="Spent" dataDxfId="115">
      <calculatedColumnFormula>SUMIFS(J:J,B:B,Table3[[#This Row],[Mid bgt]],K:K,"&lt;"&amp;Table3[[#This Row],[End Date]]+1)-SUMIFS(J:J,B:B,Table3[[#This Row],[Mid bgt]],K:K,"&lt;"&amp;Table3[[#This Row],[Start]])</calculatedColumnFormula>
    </tableColumn>
    <tableColumn id="7" xr3:uid="{2081CF26-6CC1-40F9-BBC0-DC875612D2F7}" name="Remaining" dataDxfId="114"/>
    <tableColumn id="13" xr3:uid="{E0D5176F-55D8-4928-8D2C-49ADBE6E42AF}" name="Column1" dataDxfId="113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Nucont@%20MN" TargetMode="External"/><Relationship Id="rId1" Type="http://schemas.openxmlformats.org/officeDocument/2006/relationships/hyperlink" Target="mailto:Nucont@%20MN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2CCAD-634E-4928-BA8D-8FEFACD78402}">
  <sheetPr>
    <tabColor rgb="FF7030A0"/>
  </sheetPr>
  <dimension ref="B1:Y44"/>
  <sheetViews>
    <sheetView tabSelected="1" zoomScale="85" zoomScaleNormal="85" workbookViewId="0">
      <selection activeCell="J1" sqref="J1"/>
    </sheetView>
  </sheetViews>
  <sheetFormatPr defaultRowHeight="15" x14ac:dyDescent="0.25"/>
  <cols>
    <col min="1" max="1" width="1.85546875" customWidth="1"/>
    <col min="2" max="2" width="10.5703125" customWidth="1"/>
    <col min="3" max="3" width="12" customWidth="1"/>
    <col min="5" max="5" width="10.140625" customWidth="1"/>
    <col min="11" max="11" width="24.5703125" customWidth="1"/>
    <col min="12" max="12" width="15.42578125" customWidth="1"/>
  </cols>
  <sheetData>
    <row r="1" spans="2:18" ht="15.75" thickBot="1" x14ac:dyDescent="0.3">
      <c r="B1" s="50">
        <v>43983</v>
      </c>
    </row>
    <row r="2" spans="2:18" ht="15.75" thickBot="1" x14ac:dyDescent="0.3">
      <c r="C2" s="33"/>
      <c r="E2" s="34"/>
      <c r="K2" s="160" t="s">
        <v>236</v>
      </c>
      <c r="L2" s="311"/>
      <c r="M2" s="161" t="s">
        <v>400</v>
      </c>
      <c r="P2" t="s">
        <v>46</v>
      </c>
      <c r="Q2" s="33">
        <f>68+9.42+4.81</f>
        <v>82.23</v>
      </c>
      <c r="R2">
        <f>26</f>
        <v>26</v>
      </c>
    </row>
    <row r="3" spans="2:18" x14ac:dyDescent="0.25">
      <c r="B3" s="160" t="s">
        <v>32</v>
      </c>
      <c r="C3" s="161" t="s">
        <v>91</v>
      </c>
      <c r="E3" t="s">
        <v>276</v>
      </c>
      <c r="I3" s="33">
        <f>Q2*R2</f>
        <v>2137.98</v>
      </c>
      <c r="J3" t="s">
        <v>32</v>
      </c>
      <c r="K3" s="146" t="s">
        <v>190</v>
      </c>
      <c r="L3" s="198" t="s">
        <v>192</v>
      </c>
      <c r="M3" s="163" t="s">
        <v>400</v>
      </c>
      <c r="P3" s="33"/>
    </row>
    <row r="4" spans="2:18" x14ac:dyDescent="0.25">
      <c r="B4" s="146" t="s">
        <v>31</v>
      </c>
      <c r="C4" s="162">
        <v>1800</v>
      </c>
      <c r="D4" s="217">
        <f>SUMIFS(Table2[Value USD],Table2[Budget],'P&amp;L USA'!B4,Table2[Date],'P&amp;L USA'!$B$1)</f>
        <v>1757.41</v>
      </c>
      <c r="E4" s="277">
        <f>C4-D4</f>
        <v>42.589999999999918</v>
      </c>
      <c r="K4" s="146"/>
      <c r="L4" s="198" t="s">
        <v>193</v>
      </c>
      <c r="M4" s="163" t="s">
        <v>400</v>
      </c>
      <c r="P4" s="33"/>
    </row>
    <row r="5" spans="2:18" x14ac:dyDescent="0.25">
      <c r="B5" s="146" t="s">
        <v>33</v>
      </c>
      <c r="C5" s="162">
        <f>131+61</f>
        <v>192</v>
      </c>
      <c r="D5" s="217">
        <f>SUMIFS(Table2[Value USD],Table2[Budget],'P&amp;L USA'!B5,Table2[Date],'P&amp;L USA'!$B$1)</f>
        <v>82.13</v>
      </c>
      <c r="E5" s="277">
        <f t="shared" ref="E5:E10" si="0">C5-D5</f>
        <v>109.87</v>
      </c>
      <c r="K5" s="146"/>
      <c r="L5" s="198" t="s">
        <v>147</v>
      </c>
      <c r="M5" s="163" t="s">
        <v>400</v>
      </c>
      <c r="P5" s="33"/>
    </row>
    <row r="6" spans="2:18" x14ac:dyDescent="0.25">
      <c r="B6" s="146" t="s">
        <v>35</v>
      </c>
      <c r="C6" s="162">
        <f>60*2</f>
        <v>120</v>
      </c>
      <c r="D6" s="217">
        <f>SUMIFS(Table2[Value USD],Table2[Budget],'P&amp;L USA'!B6,Table2[Date],'P&amp;L USA'!$B$1)</f>
        <v>85.29</v>
      </c>
      <c r="E6" s="277">
        <f t="shared" si="0"/>
        <v>34.709999999999994</v>
      </c>
      <c r="K6" t="s">
        <v>588</v>
      </c>
      <c r="L6" s="198" t="s">
        <v>192</v>
      </c>
      <c r="M6" s="163" t="s">
        <v>400</v>
      </c>
      <c r="P6" s="33"/>
      <c r="Q6">
        <v>2019</v>
      </c>
      <c r="R6">
        <v>2020</v>
      </c>
    </row>
    <row r="7" spans="2:18" x14ac:dyDescent="0.25">
      <c r="B7" s="146" t="s">
        <v>37</v>
      </c>
      <c r="C7" s="162">
        <v>600</v>
      </c>
      <c r="D7" s="217">
        <f>SUMIFS(Table2[Value USD],Table2[Budget],'P&amp;L USA'!B7,Table2[Date],'P&amp;L USA'!$B$1)</f>
        <v>1002.2299999999999</v>
      </c>
      <c r="E7" s="277">
        <f t="shared" si="0"/>
        <v>-402.2299999999999</v>
      </c>
      <c r="J7" s="33"/>
      <c r="L7" s="198" t="s">
        <v>193</v>
      </c>
      <c r="M7" s="163" t="s">
        <v>400</v>
      </c>
      <c r="P7" t="s">
        <v>121</v>
      </c>
      <c r="Q7" s="39">
        <f>'Cash flow'!J43-'Cash flow'!B43</f>
        <v>2549.6808120740525</v>
      </c>
      <c r="R7" s="39">
        <f>'Cash flow'!V43-'Cash flow'!J43</f>
        <v>6875.4188490003908</v>
      </c>
    </row>
    <row r="8" spans="2:18" x14ac:dyDescent="0.25">
      <c r="B8" s="146" t="s">
        <v>39</v>
      </c>
      <c r="C8" s="162">
        <f>105*2</f>
        <v>210</v>
      </c>
      <c r="D8" s="217">
        <f>SUMIFS(Table2[Value USD],Table2[Budget],'P&amp;L USA'!B8,Table2[Date],'P&amp;L USA'!$B$1)</f>
        <v>0</v>
      </c>
      <c r="E8" s="277">
        <f t="shared" si="0"/>
        <v>210</v>
      </c>
      <c r="J8" s="33"/>
      <c r="K8" s="146" t="s">
        <v>191</v>
      </c>
      <c r="L8" s="198" t="s">
        <v>192</v>
      </c>
      <c r="M8" s="163" t="s">
        <v>400</v>
      </c>
      <c r="P8" t="s">
        <v>111</v>
      </c>
      <c r="Q8" s="39">
        <f>'Cash flow'!J47-'Cash flow'!B47</f>
        <v>1920.0191489311308</v>
      </c>
      <c r="R8" s="39">
        <f>'Cash flow'!V47-'Cash flow'!J47</f>
        <v>3071.4987039352814</v>
      </c>
    </row>
    <row r="9" spans="2:18" x14ac:dyDescent="0.25">
      <c r="B9" s="146" t="s">
        <v>41</v>
      </c>
      <c r="C9" s="162">
        <v>250</v>
      </c>
      <c r="D9" s="217">
        <f>SUMIFS(Table2[Value USD],Table2[Budget],'P&amp;L USA'!B9,Table2[Date],'P&amp;L USA'!$B$1)</f>
        <v>59.389999999999993</v>
      </c>
      <c r="E9" s="277">
        <f t="shared" si="0"/>
        <v>190.61</v>
      </c>
      <c r="J9" s="33" t="s">
        <v>292</v>
      </c>
      <c r="K9" s="146"/>
      <c r="L9" s="198" t="s">
        <v>193</v>
      </c>
      <c r="M9" s="163" t="s">
        <v>400</v>
      </c>
    </row>
    <row r="10" spans="2:18" x14ac:dyDescent="0.25">
      <c r="B10" s="146" t="s">
        <v>46</v>
      </c>
      <c r="C10" s="162">
        <f>I3/12</f>
        <v>178.16499999999999</v>
      </c>
      <c r="D10" s="217">
        <f>SUMIFS(Table2[Value USD],Table2[Budget],'P&amp;L USA'!B10,Table2[Date],'P&amp;L USA'!$B$1)</f>
        <v>122.16191033333332</v>
      </c>
      <c r="E10" s="277">
        <f t="shared" si="0"/>
        <v>56.003089666666668</v>
      </c>
      <c r="I10" s="33"/>
      <c r="K10" s="312" t="s">
        <v>293</v>
      </c>
      <c r="L10" s="198" t="s">
        <v>147</v>
      </c>
      <c r="M10" s="163" t="s">
        <v>400</v>
      </c>
    </row>
    <row r="11" spans="2:18" x14ac:dyDescent="0.25">
      <c r="B11" s="146"/>
      <c r="C11" s="163"/>
      <c r="E11" s="33"/>
      <c r="K11" s="312" t="s">
        <v>293</v>
      </c>
      <c r="L11" s="198" t="s">
        <v>193</v>
      </c>
      <c r="M11" s="163" t="s">
        <v>400</v>
      </c>
      <c r="O11" s="217"/>
    </row>
    <row r="12" spans="2:18" x14ac:dyDescent="0.25">
      <c r="B12" s="146"/>
      <c r="C12" s="163"/>
      <c r="E12" s="33"/>
      <c r="K12" s="146" t="s">
        <v>268</v>
      </c>
      <c r="L12" s="198" t="s">
        <v>193</v>
      </c>
      <c r="M12" s="163" t="s">
        <v>400</v>
      </c>
    </row>
    <row r="13" spans="2:18" ht="15.75" thickBot="1" x14ac:dyDescent="0.3">
      <c r="B13" s="148" t="s">
        <v>92</v>
      </c>
      <c r="C13" s="164">
        <f>SUM(C4:C12)</f>
        <v>3350.165</v>
      </c>
      <c r="D13" s="217">
        <f>SUM(D4:D12)</f>
        <v>3108.6119103333331</v>
      </c>
      <c r="E13" s="277">
        <f t="shared" ref="E13" si="1">C13-D13</f>
        <v>241.55308966666689</v>
      </c>
      <c r="K13" s="146" t="s">
        <v>204</v>
      </c>
      <c r="L13" s="198"/>
      <c r="M13" s="163" t="s">
        <v>400</v>
      </c>
      <c r="O13" s="217"/>
    </row>
    <row r="14" spans="2:18" x14ac:dyDescent="0.25">
      <c r="K14" s="146" t="s">
        <v>514</v>
      </c>
      <c r="L14" s="198"/>
      <c r="M14" s="163" t="s">
        <v>400</v>
      </c>
      <c r="O14">
        <v>18</v>
      </c>
    </row>
    <row r="15" spans="2:18" x14ac:dyDescent="0.25">
      <c r="C15" s="333">
        <f>C13/2</f>
        <v>1675.0825</v>
      </c>
      <c r="E15" s="33"/>
      <c r="H15" s="217"/>
      <c r="I15" s="217"/>
      <c r="J15" s="217"/>
      <c r="K15" s="146" t="s">
        <v>319</v>
      </c>
      <c r="L15" s="198"/>
      <c r="M15" s="163" t="s">
        <v>400</v>
      </c>
      <c r="O15">
        <v>250</v>
      </c>
    </row>
    <row r="16" spans="2:18" x14ac:dyDescent="0.25">
      <c r="F16">
        <f>1500/12</f>
        <v>125</v>
      </c>
      <c r="H16" s="217"/>
      <c r="I16" s="217"/>
      <c r="J16" s="217"/>
      <c r="K16" s="146" t="s">
        <v>198</v>
      </c>
      <c r="L16" s="198" t="s">
        <v>193</v>
      </c>
      <c r="M16" s="163" t="s">
        <v>400</v>
      </c>
      <c r="O16">
        <v>10</v>
      </c>
    </row>
    <row r="17" spans="6:25" x14ac:dyDescent="0.25">
      <c r="H17" s="217"/>
      <c r="I17" s="217"/>
      <c r="J17" s="217"/>
      <c r="K17" s="146" t="s">
        <v>197</v>
      </c>
      <c r="L17" s="198" t="s">
        <v>193</v>
      </c>
      <c r="M17" s="163" t="s">
        <v>400</v>
      </c>
      <c r="O17">
        <v>30</v>
      </c>
    </row>
    <row r="18" spans="6:25" x14ac:dyDescent="0.25">
      <c r="F18">
        <f>8100/24</f>
        <v>337.5</v>
      </c>
      <c r="H18" s="217"/>
      <c r="I18" s="217"/>
      <c r="J18" s="217"/>
      <c r="K18" s="146" t="s">
        <v>257</v>
      </c>
      <c r="L18" s="198" t="s">
        <v>258</v>
      </c>
      <c r="M18" s="163" t="s">
        <v>400</v>
      </c>
    </row>
    <row r="19" spans="6:25" ht="15.75" thickBot="1" x14ac:dyDescent="0.3">
      <c r="I19" s="217"/>
      <c r="J19" s="217"/>
      <c r="K19" s="148" t="s">
        <v>504</v>
      </c>
      <c r="L19" s="199"/>
      <c r="M19" s="313" t="s">
        <v>400</v>
      </c>
    </row>
    <row r="20" spans="6:25" x14ac:dyDescent="0.25">
      <c r="F20">
        <f>F18+F16</f>
        <v>462.5</v>
      </c>
      <c r="H20" s="217"/>
      <c r="I20" s="217"/>
      <c r="J20" s="217"/>
    </row>
    <row r="21" spans="6:25" x14ac:dyDescent="0.25">
      <c r="F21">
        <f>F20/(H25+I25)*5%</f>
        <v>6.4236111111111119E-2</v>
      </c>
    </row>
    <row r="22" spans="6:25" x14ac:dyDescent="0.25">
      <c r="I22">
        <v>1437</v>
      </c>
      <c r="J22">
        <v>-250</v>
      </c>
    </row>
    <row r="23" spans="6:25" x14ac:dyDescent="0.25">
      <c r="N23" t="s">
        <v>480</v>
      </c>
    </row>
    <row r="24" spans="6:25" x14ac:dyDescent="0.25">
      <c r="G24" t="s">
        <v>473</v>
      </c>
      <c r="H24">
        <v>1</v>
      </c>
      <c r="I24">
        <v>2</v>
      </c>
      <c r="J24">
        <v>3</v>
      </c>
      <c r="K24" t="s">
        <v>92</v>
      </c>
    </row>
    <row r="25" spans="6:25" x14ac:dyDescent="0.25">
      <c r="G25" t="s">
        <v>204</v>
      </c>
      <c r="H25" s="74">
        <v>180</v>
      </c>
      <c r="I25" s="74">
        <v>180</v>
      </c>
      <c r="J25" s="74"/>
      <c r="K25" s="284">
        <f>SUM(H25:J25)</f>
        <v>360</v>
      </c>
      <c r="N25" t="s">
        <v>320</v>
      </c>
      <c r="O25" s="187">
        <v>6</v>
      </c>
      <c r="P25">
        <f>YEAR(B1)</f>
        <v>2020</v>
      </c>
      <c r="Q25">
        <f>K25*(1-$L$34)</f>
        <v>289.40699999999998</v>
      </c>
      <c r="R25" t="s">
        <v>21</v>
      </c>
      <c r="T25" t="s">
        <v>522</v>
      </c>
      <c r="U25">
        <v>10.97</v>
      </c>
    </row>
    <row r="26" spans="6:25" x14ac:dyDescent="0.25">
      <c r="G26" t="s">
        <v>514</v>
      </c>
      <c r="H26" s="74"/>
      <c r="I26" s="74"/>
      <c r="J26" s="74"/>
      <c r="K26" s="284">
        <f t="shared" ref="K26:K35" si="2">SUM(H26:J26)</f>
        <v>0</v>
      </c>
      <c r="N26" t="s">
        <v>46</v>
      </c>
      <c r="O26">
        <f>O25</f>
        <v>6</v>
      </c>
      <c r="P26">
        <f>P25</f>
        <v>2020</v>
      </c>
      <c r="Q26">
        <f>K27*(1-$L$34)</f>
        <v>108.23821799999999</v>
      </c>
      <c r="R26" t="s">
        <v>21</v>
      </c>
      <c r="X26" t="s">
        <v>57</v>
      </c>
      <c r="Y26">
        <v>4.41</v>
      </c>
    </row>
    <row r="27" spans="6:25" x14ac:dyDescent="0.25">
      <c r="G27" t="s">
        <v>376</v>
      </c>
      <c r="H27" s="74">
        <v>67.319999999999993</v>
      </c>
      <c r="I27" s="74">
        <v>67.319999999999993</v>
      </c>
      <c r="J27" s="74"/>
      <c r="K27" s="284">
        <f t="shared" si="2"/>
        <v>134.63999999999999</v>
      </c>
      <c r="N27" t="s">
        <v>324</v>
      </c>
      <c r="O27">
        <f t="shared" ref="O27:P29" si="3">O26</f>
        <v>6</v>
      </c>
      <c r="P27">
        <f t="shared" si="3"/>
        <v>2020</v>
      </c>
      <c r="Q27">
        <f>(K28+K29)*(1-$L$34)</f>
        <v>13.923692333333333</v>
      </c>
      <c r="R27" t="s">
        <v>21</v>
      </c>
      <c r="X27" t="s">
        <v>57</v>
      </c>
      <c r="Y27">
        <v>6</v>
      </c>
    </row>
    <row r="28" spans="6:25" x14ac:dyDescent="0.25">
      <c r="G28" t="s">
        <v>377</v>
      </c>
      <c r="H28" s="74">
        <v>4.54</v>
      </c>
      <c r="I28" s="74">
        <v>4.54</v>
      </c>
      <c r="J28" s="74"/>
      <c r="K28" s="284">
        <f t="shared" si="2"/>
        <v>9.08</v>
      </c>
      <c r="N28" t="s">
        <v>59</v>
      </c>
      <c r="O28">
        <f t="shared" si="3"/>
        <v>6</v>
      </c>
      <c r="P28">
        <f t="shared" si="3"/>
        <v>2020</v>
      </c>
      <c r="Q28">
        <f>K30*(1-$L$34)</f>
        <v>0</v>
      </c>
      <c r="R28" t="s">
        <v>21</v>
      </c>
      <c r="X28" t="s">
        <v>57</v>
      </c>
      <c r="Y28">
        <v>4.2</v>
      </c>
    </row>
    <row r="29" spans="6:25" x14ac:dyDescent="0.25">
      <c r="G29" t="s">
        <v>378</v>
      </c>
      <c r="H29" s="74">
        <v>4.12</v>
      </c>
      <c r="I29" s="74">
        <v>4.12</v>
      </c>
      <c r="J29" s="74"/>
      <c r="K29" s="284">
        <f t="shared" si="2"/>
        <v>8.24</v>
      </c>
      <c r="N29" t="s">
        <v>514</v>
      </c>
      <c r="O29">
        <f t="shared" si="3"/>
        <v>6</v>
      </c>
      <c r="P29">
        <f t="shared" si="3"/>
        <v>2020</v>
      </c>
      <c r="Q29">
        <f>K26*(1-$L$34)</f>
        <v>0</v>
      </c>
      <c r="R29" t="s">
        <v>21</v>
      </c>
      <c r="X29" t="s">
        <v>57</v>
      </c>
      <c r="Y29">
        <v>2.98</v>
      </c>
    </row>
    <row r="30" spans="6:25" x14ac:dyDescent="0.25">
      <c r="G30" t="s">
        <v>479</v>
      </c>
      <c r="H30" s="74"/>
      <c r="I30" s="74"/>
      <c r="J30" s="74"/>
      <c r="K30" s="284">
        <f t="shared" si="2"/>
        <v>0</v>
      </c>
      <c r="X30" t="s">
        <v>57</v>
      </c>
      <c r="Y30">
        <v>6.39</v>
      </c>
    </row>
    <row r="31" spans="6:25" x14ac:dyDescent="0.25">
      <c r="G31" t="s">
        <v>474</v>
      </c>
      <c r="H31" s="74">
        <v>273.2</v>
      </c>
      <c r="I31" s="74">
        <v>273.2</v>
      </c>
      <c r="J31" s="74"/>
      <c r="K31">
        <f t="shared" si="2"/>
        <v>546.4</v>
      </c>
      <c r="N31" t="s">
        <v>481</v>
      </c>
      <c r="T31" t="s">
        <v>522</v>
      </c>
      <c r="U31">
        <v>19.989999999999998</v>
      </c>
    </row>
    <row r="32" spans="6:25" x14ac:dyDescent="0.25">
      <c r="G32" t="s">
        <v>475</v>
      </c>
      <c r="H32" s="74">
        <v>219.62</v>
      </c>
      <c r="I32" s="74">
        <v>219.62</v>
      </c>
      <c r="J32" s="74"/>
      <c r="K32">
        <f t="shared" si="2"/>
        <v>439.24</v>
      </c>
      <c r="T32" t="s">
        <v>522</v>
      </c>
      <c r="U32">
        <v>19.989999999999998</v>
      </c>
    </row>
    <row r="33" spans="7:21" x14ac:dyDescent="0.25">
      <c r="G33" t="s">
        <v>476</v>
      </c>
      <c r="H33" s="74">
        <v>51.36</v>
      </c>
      <c r="I33" s="74">
        <v>51.36</v>
      </c>
      <c r="J33" s="74"/>
      <c r="K33">
        <f t="shared" si="2"/>
        <v>102.72</v>
      </c>
      <c r="N33" t="s">
        <v>320</v>
      </c>
      <c r="O33">
        <f>O28</f>
        <v>6</v>
      </c>
      <c r="P33">
        <f>P28</f>
        <v>2020</v>
      </c>
      <c r="Q33" t="s">
        <v>8</v>
      </c>
      <c r="R33">
        <f>Q25</f>
        <v>289.40699999999998</v>
      </c>
      <c r="S33" t="s">
        <v>21</v>
      </c>
      <c r="T33" t="s">
        <v>522</v>
      </c>
      <c r="U33">
        <v>29.95</v>
      </c>
    </row>
    <row r="34" spans="7:21" x14ac:dyDescent="0.25">
      <c r="G34" t="s">
        <v>477</v>
      </c>
      <c r="H34" s="74">
        <v>161.75</v>
      </c>
      <c r="I34" s="74">
        <v>161.75</v>
      </c>
      <c r="J34" s="74"/>
      <c r="K34">
        <f t="shared" si="2"/>
        <v>323.5</v>
      </c>
      <c r="L34" s="181">
        <f>SUM(K31:K34)/K35</f>
        <v>0.19609166666666666</v>
      </c>
      <c r="N34" t="s">
        <v>46</v>
      </c>
      <c r="O34">
        <f>O33</f>
        <v>6</v>
      </c>
      <c r="P34">
        <f>P33</f>
        <v>2020</v>
      </c>
      <c r="Q34" t="s">
        <v>8</v>
      </c>
      <c r="R34">
        <f t="shared" ref="R34:R37" si="4">Q26</f>
        <v>108.23821799999999</v>
      </c>
      <c r="S34" t="s">
        <v>21</v>
      </c>
      <c r="T34" t="s">
        <v>522</v>
      </c>
      <c r="U34">
        <v>9.99</v>
      </c>
    </row>
    <row r="35" spans="7:21" x14ac:dyDescent="0.25">
      <c r="G35" t="s">
        <v>478</v>
      </c>
      <c r="H35" s="282">
        <v>3600</v>
      </c>
      <c r="I35" s="282">
        <v>3600</v>
      </c>
      <c r="J35" s="282"/>
      <c r="K35" s="283">
        <f t="shared" si="2"/>
        <v>7200</v>
      </c>
      <c r="N35" t="s">
        <v>324</v>
      </c>
      <c r="O35">
        <f t="shared" ref="O35:P37" si="5">O34</f>
        <v>6</v>
      </c>
      <c r="P35">
        <f t="shared" si="5"/>
        <v>2020</v>
      </c>
      <c r="Q35" t="s">
        <v>8</v>
      </c>
      <c r="R35">
        <f t="shared" si="4"/>
        <v>13.923692333333333</v>
      </c>
      <c r="S35" t="s">
        <v>21</v>
      </c>
      <c r="T35" t="s">
        <v>522</v>
      </c>
      <c r="U35">
        <v>27.99</v>
      </c>
    </row>
    <row r="36" spans="7:21" x14ac:dyDescent="0.25">
      <c r="N36" t="s">
        <v>372</v>
      </c>
      <c r="O36">
        <f t="shared" si="5"/>
        <v>6</v>
      </c>
      <c r="P36">
        <f t="shared" si="5"/>
        <v>2020</v>
      </c>
      <c r="Q36" t="s">
        <v>8</v>
      </c>
      <c r="R36">
        <f t="shared" si="4"/>
        <v>0</v>
      </c>
      <c r="S36" t="s">
        <v>21</v>
      </c>
      <c r="T36" t="s">
        <v>522</v>
      </c>
      <c r="U36">
        <v>20.87</v>
      </c>
    </row>
    <row r="37" spans="7:21" x14ac:dyDescent="0.25">
      <c r="N37" t="s">
        <v>514</v>
      </c>
      <c r="O37">
        <f t="shared" si="5"/>
        <v>6</v>
      </c>
      <c r="P37">
        <f t="shared" si="5"/>
        <v>2020</v>
      </c>
      <c r="Q37" t="s">
        <v>8</v>
      </c>
      <c r="R37">
        <f t="shared" si="4"/>
        <v>0</v>
      </c>
      <c r="S37" t="s">
        <v>21</v>
      </c>
      <c r="T37" t="s">
        <v>522</v>
      </c>
      <c r="U37">
        <v>7.99</v>
      </c>
    </row>
    <row r="38" spans="7:21" x14ac:dyDescent="0.25">
      <c r="T38" t="s">
        <v>522</v>
      </c>
      <c r="U38">
        <v>3.29</v>
      </c>
    </row>
    <row r="39" spans="7:21" x14ac:dyDescent="0.25">
      <c r="T39" t="s">
        <v>522</v>
      </c>
      <c r="U39">
        <v>8.44</v>
      </c>
    </row>
    <row r="40" spans="7:21" x14ac:dyDescent="0.25">
      <c r="T40" t="s">
        <v>522</v>
      </c>
      <c r="U40">
        <v>11.95</v>
      </c>
    </row>
    <row r="41" spans="7:21" x14ac:dyDescent="0.25">
      <c r="T41" t="s">
        <v>522</v>
      </c>
      <c r="U41">
        <v>79.989999999999995</v>
      </c>
    </row>
    <row r="42" spans="7:21" x14ac:dyDescent="0.25">
      <c r="I42">
        <v>381.5</v>
      </c>
      <c r="J42">
        <f>I43/I44*L42</f>
        <v>551.09812896420033</v>
      </c>
      <c r="L42">
        <v>924</v>
      </c>
      <c r="T42" t="s">
        <v>522</v>
      </c>
      <c r="U42">
        <v>158.84</v>
      </c>
    </row>
    <row r="43" spans="7:21" x14ac:dyDescent="0.25">
      <c r="I43">
        <v>563.80499142000383</v>
      </c>
    </row>
    <row r="44" spans="7:21" x14ac:dyDescent="0.25">
      <c r="I44">
        <f>SUM(I42:I43)</f>
        <v>945.30499142000383</v>
      </c>
    </row>
  </sheetData>
  <hyperlinks>
    <hyperlink ref="K11" r:id="rId1" xr:uid="{1456B310-4897-4290-B530-B9E36EB2C6B8}"/>
    <hyperlink ref="K10" r:id="rId2" xr:uid="{7D61D9F4-727C-4FED-A7B8-CA4C2BE1FBB9}"/>
  </hyperlinks>
  <pageMargins left="0.7" right="0.7" top="0.75" bottom="0.75" header="0.3" footer="0.3"/>
  <pageSetup orientation="portrait" horizontalDpi="300" verticalDpi="30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1AAF7-F9D9-42E7-B782-26ADC7053774}">
  <dimension ref="A1:X204"/>
  <sheetViews>
    <sheetView workbookViewId="0">
      <selection activeCell="D78" sqref="D78"/>
    </sheetView>
  </sheetViews>
  <sheetFormatPr defaultRowHeight="15" x14ac:dyDescent="0.25"/>
  <cols>
    <col min="2" max="2" width="11.140625" style="53" bestFit="1" customWidth="1"/>
    <col min="3" max="3" width="55.42578125" bestFit="1" customWidth="1"/>
    <col min="5" max="5" width="15.140625" customWidth="1"/>
    <col min="7" max="7" width="14.7109375" customWidth="1"/>
    <col min="9" max="13" width="8.7109375" style="187"/>
    <col min="20" max="20" width="13.7109375" customWidth="1"/>
    <col min="21" max="21" width="64.42578125" customWidth="1"/>
  </cols>
  <sheetData>
    <row r="1" spans="1:24" x14ac:dyDescent="0.25">
      <c r="A1" t="s">
        <v>238</v>
      </c>
      <c r="B1" s="53" t="s">
        <v>239</v>
      </c>
      <c r="C1" t="s">
        <v>1</v>
      </c>
      <c r="D1" t="s">
        <v>240</v>
      </c>
      <c r="E1" t="s">
        <v>241</v>
      </c>
      <c r="F1" t="s">
        <v>242</v>
      </c>
      <c r="G1" t="s">
        <v>243</v>
      </c>
      <c r="I1" s="187" t="s">
        <v>1</v>
      </c>
      <c r="J1" s="187" t="s">
        <v>2</v>
      </c>
      <c r="K1" s="187" t="s">
        <v>3</v>
      </c>
      <c r="L1" s="187" t="s">
        <v>6</v>
      </c>
      <c r="M1" s="187" t="s">
        <v>18</v>
      </c>
    </row>
    <row r="2" spans="1:24" x14ac:dyDescent="0.25">
      <c r="A2" t="s">
        <v>246</v>
      </c>
      <c r="B2" s="53">
        <v>43707</v>
      </c>
      <c r="C2" t="s">
        <v>363</v>
      </c>
      <c r="D2">
        <v>2459.3200000000002</v>
      </c>
      <c r="E2" t="s">
        <v>247</v>
      </c>
      <c r="F2">
        <v>8367.4699999999993</v>
      </c>
      <c r="G2" t="s">
        <v>11</v>
      </c>
      <c r="O2" t="s">
        <v>31</v>
      </c>
      <c r="P2" t="s">
        <v>31</v>
      </c>
      <c r="Q2" t="s">
        <v>51</v>
      </c>
      <c r="T2" s="275">
        <v>43703</v>
      </c>
      <c r="U2" s="275" t="s">
        <v>482</v>
      </c>
      <c r="V2" s="276">
        <v>-24.55</v>
      </c>
      <c r="W2">
        <v>299.19</v>
      </c>
      <c r="X2" t="s">
        <v>470</v>
      </c>
    </row>
    <row r="3" spans="1:24" x14ac:dyDescent="0.25">
      <c r="A3" t="s">
        <v>244</v>
      </c>
      <c r="B3" s="53">
        <v>43706</v>
      </c>
      <c r="C3" t="s">
        <v>401</v>
      </c>
      <c r="D3">
        <v>-50</v>
      </c>
      <c r="E3" t="s">
        <v>366</v>
      </c>
      <c r="F3">
        <v>5908.15</v>
      </c>
      <c r="G3" t="s">
        <v>472</v>
      </c>
      <c r="I3" s="187" t="s">
        <v>472</v>
      </c>
      <c r="J3" s="187">
        <v>8</v>
      </c>
      <c r="K3" s="187">
        <v>2019</v>
      </c>
      <c r="L3" s="187">
        <f t="shared" ref="L3:L23" si="0">-SUMIFS(D:D,G:G,I3)</f>
        <v>79.41</v>
      </c>
      <c r="M3" s="187" t="s">
        <v>21</v>
      </c>
      <c r="O3" t="s">
        <v>52</v>
      </c>
      <c r="P3" t="s">
        <v>33</v>
      </c>
      <c r="Q3" t="s">
        <v>51</v>
      </c>
      <c r="T3" s="275">
        <v>43698</v>
      </c>
      <c r="U3" s="276" t="s">
        <v>368</v>
      </c>
      <c r="V3">
        <v>-100</v>
      </c>
      <c r="W3">
        <v>323.74</v>
      </c>
    </row>
    <row r="4" spans="1:24" ht="30" x14ac:dyDescent="0.25">
      <c r="A4" t="s">
        <v>244</v>
      </c>
      <c r="B4" s="53">
        <v>43706</v>
      </c>
      <c r="C4" t="s">
        <v>402</v>
      </c>
      <c r="D4">
        <v>-15.13</v>
      </c>
      <c r="E4" t="s">
        <v>245</v>
      </c>
      <c r="F4">
        <v>5958.15</v>
      </c>
      <c r="G4" t="s">
        <v>58</v>
      </c>
      <c r="I4" s="187" t="s">
        <v>58</v>
      </c>
      <c r="J4" s="187">
        <v>8</v>
      </c>
      <c r="K4" s="187">
        <v>2019</v>
      </c>
      <c r="L4" s="187">
        <f t="shared" si="0"/>
        <v>123.69</v>
      </c>
      <c r="M4" s="187" t="s">
        <v>21</v>
      </c>
      <c r="O4" t="s">
        <v>53</v>
      </c>
      <c r="P4" t="s">
        <v>33</v>
      </c>
      <c r="Q4" t="s">
        <v>51</v>
      </c>
      <c r="T4" s="275">
        <v>43698</v>
      </c>
      <c r="U4" s="276" t="s">
        <v>483</v>
      </c>
      <c r="V4">
        <v>-13.9</v>
      </c>
      <c r="W4">
        <v>423.74</v>
      </c>
      <c r="X4" t="s">
        <v>470</v>
      </c>
    </row>
    <row r="5" spans="1:24" ht="30" x14ac:dyDescent="0.25">
      <c r="A5" t="s">
        <v>244</v>
      </c>
      <c r="B5" s="53">
        <v>43706</v>
      </c>
      <c r="C5" t="s">
        <v>403</v>
      </c>
      <c r="D5">
        <v>-2.5</v>
      </c>
      <c r="E5" t="s">
        <v>245</v>
      </c>
      <c r="F5">
        <v>5973.28</v>
      </c>
      <c r="G5" t="s">
        <v>39</v>
      </c>
      <c r="I5" s="187" t="s">
        <v>39</v>
      </c>
      <c r="J5" s="187">
        <v>8</v>
      </c>
      <c r="K5" s="187">
        <v>2019</v>
      </c>
      <c r="L5" s="187">
        <f t="shared" si="0"/>
        <v>110</v>
      </c>
      <c r="M5" s="187" t="s">
        <v>21</v>
      </c>
      <c r="O5" t="s">
        <v>54</v>
      </c>
      <c r="P5" t="s">
        <v>33</v>
      </c>
      <c r="Q5" t="s">
        <v>51</v>
      </c>
      <c r="T5" s="275">
        <v>43691</v>
      </c>
      <c r="U5" s="276" t="s">
        <v>484</v>
      </c>
      <c r="V5">
        <v>-7.99</v>
      </c>
      <c r="W5">
        <v>437.64</v>
      </c>
      <c r="X5" t="s">
        <v>470</v>
      </c>
    </row>
    <row r="6" spans="1:24" ht="30" x14ac:dyDescent="0.25">
      <c r="A6" t="s">
        <v>244</v>
      </c>
      <c r="B6" s="53">
        <v>43706</v>
      </c>
      <c r="C6" t="s">
        <v>404</v>
      </c>
      <c r="D6">
        <v>-915.06</v>
      </c>
      <c r="E6" t="s">
        <v>245</v>
      </c>
      <c r="F6">
        <v>5975.78</v>
      </c>
      <c r="G6" t="s">
        <v>392</v>
      </c>
      <c r="I6" s="187" t="s">
        <v>392</v>
      </c>
      <c r="J6" s="187">
        <v>8</v>
      </c>
      <c r="K6" s="187">
        <v>2019</v>
      </c>
      <c r="L6" s="187">
        <f t="shared" si="0"/>
        <v>915.06</v>
      </c>
      <c r="M6" s="187" t="s">
        <v>21</v>
      </c>
      <c r="O6" t="s">
        <v>55</v>
      </c>
      <c r="P6" t="s">
        <v>33</v>
      </c>
      <c r="Q6" t="s">
        <v>51</v>
      </c>
      <c r="T6" s="275">
        <v>43689</v>
      </c>
      <c r="U6" s="276" t="s">
        <v>485</v>
      </c>
      <c r="V6" s="284">
        <v>-23.38</v>
      </c>
      <c r="W6">
        <v>445.63</v>
      </c>
      <c r="X6" t="s">
        <v>111</v>
      </c>
    </row>
    <row r="7" spans="1:24" ht="30" x14ac:dyDescent="0.25">
      <c r="A7" t="s">
        <v>246</v>
      </c>
      <c r="B7" s="53">
        <v>43706</v>
      </c>
      <c r="C7" t="s">
        <v>405</v>
      </c>
      <c r="D7">
        <v>365</v>
      </c>
      <c r="E7" t="s">
        <v>364</v>
      </c>
      <c r="F7">
        <v>6890.84</v>
      </c>
      <c r="G7" t="s">
        <v>315</v>
      </c>
      <c r="O7" t="s">
        <v>56</v>
      </c>
      <c r="P7" t="s">
        <v>33</v>
      </c>
      <c r="Q7" t="s">
        <v>51</v>
      </c>
      <c r="T7" s="275">
        <v>43685</v>
      </c>
      <c r="U7" s="276" t="s">
        <v>486</v>
      </c>
      <c r="V7" s="284">
        <v>-6.63</v>
      </c>
      <c r="W7">
        <v>469.01</v>
      </c>
      <c r="X7" t="s">
        <v>111</v>
      </c>
    </row>
    <row r="8" spans="1:24" ht="30" x14ac:dyDescent="0.25">
      <c r="A8" t="s">
        <v>244</v>
      </c>
      <c r="B8" s="53">
        <v>43705</v>
      </c>
      <c r="C8" t="s">
        <v>406</v>
      </c>
      <c r="D8">
        <v>-2.5</v>
      </c>
      <c r="E8" t="s">
        <v>245</v>
      </c>
      <c r="F8">
        <v>6525.84</v>
      </c>
      <c r="G8" t="s">
        <v>39</v>
      </c>
      <c r="I8" s="187" t="s">
        <v>288</v>
      </c>
      <c r="J8" s="187">
        <v>8</v>
      </c>
      <c r="K8" s="187">
        <v>2019</v>
      </c>
      <c r="L8" s="187">
        <f t="shared" si="0"/>
        <v>796.79</v>
      </c>
      <c r="M8" s="187" t="s">
        <v>21</v>
      </c>
      <c r="O8" t="s">
        <v>110</v>
      </c>
      <c r="P8" t="s">
        <v>110</v>
      </c>
      <c r="Q8" t="s">
        <v>111</v>
      </c>
      <c r="T8" s="275">
        <v>43684</v>
      </c>
      <c r="U8" s="276" t="s">
        <v>487</v>
      </c>
      <c r="V8">
        <v>-154.94999999999999</v>
      </c>
      <c r="W8" s="217">
        <v>475.64</v>
      </c>
      <c r="X8" t="s">
        <v>470</v>
      </c>
    </row>
    <row r="9" spans="1:24" ht="30" x14ac:dyDescent="0.25">
      <c r="A9" t="s">
        <v>244</v>
      </c>
      <c r="B9" s="53">
        <v>43705</v>
      </c>
      <c r="C9" t="s">
        <v>407</v>
      </c>
      <c r="D9">
        <v>-371.86</v>
      </c>
      <c r="E9" t="s">
        <v>245</v>
      </c>
      <c r="F9">
        <v>6528.34</v>
      </c>
      <c r="G9" t="s">
        <v>288</v>
      </c>
      <c r="I9" s="187" t="s">
        <v>269</v>
      </c>
      <c r="J9" s="187">
        <v>8</v>
      </c>
      <c r="K9" s="187">
        <v>2019</v>
      </c>
      <c r="L9" s="187">
        <f t="shared" si="0"/>
        <v>152.41</v>
      </c>
      <c r="M9" s="187" t="s">
        <v>21</v>
      </c>
      <c r="O9" t="s">
        <v>120</v>
      </c>
      <c r="P9" t="s">
        <v>120</v>
      </c>
      <c r="Q9" t="s">
        <v>121</v>
      </c>
      <c r="T9" s="275">
        <v>43684</v>
      </c>
      <c r="U9" s="276" t="s">
        <v>488</v>
      </c>
      <c r="V9" s="284">
        <v>-6.63</v>
      </c>
      <c r="W9" s="217">
        <v>630.59</v>
      </c>
      <c r="X9" t="s">
        <v>111</v>
      </c>
    </row>
    <row r="10" spans="1:24" ht="30" x14ac:dyDescent="0.25">
      <c r="A10" t="s">
        <v>244</v>
      </c>
      <c r="B10" s="53">
        <v>43703</v>
      </c>
      <c r="C10" t="s">
        <v>408</v>
      </c>
      <c r="D10">
        <v>-105</v>
      </c>
      <c r="E10" t="s">
        <v>245</v>
      </c>
      <c r="F10">
        <v>6900.2</v>
      </c>
      <c r="G10" t="s">
        <v>39</v>
      </c>
      <c r="I10" s="187" t="s">
        <v>57</v>
      </c>
      <c r="J10" s="187">
        <v>8</v>
      </c>
      <c r="K10" s="187">
        <v>2019</v>
      </c>
      <c r="L10" s="187">
        <f t="shared" si="0"/>
        <v>346.8</v>
      </c>
      <c r="M10" s="187" t="s">
        <v>21</v>
      </c>
      <c r="T10" s="275">
        <v>43683</v>
      </c>
      <c r="U10" s="276" t="s">
        <v>489</v>
      </c>
      <c r="V10" s="284">
        <v>-14.53</v>
      </c>
      <c r="W10" s="217">
        <v>637.22</v>
      </c>
      <c r="X10" t="s">
        <v>111</v>
      </c>
    </row>
    <row r="11" spans="1:24" ht="30" x14ac:dyDescent="0.25">
      <c r="A11" t="s">
        <v>244</v>
      </c>
      <c r="B11" s="53">
        <v>43703</v>
      </c>
      <c r="C11" t="s">
        <v>409</v>
      </c>
      <c r="D11">
        <v>-105</v>
      </c>
      <c r="E11" t="s">
        <v>245</v>
      </c>
      <c r="F11">
        <v>7005.2</v>
      </c>
      <c r="G11" t="s">
        <v>269</v>
      </c>
      <c r="I11" s="187" t="s">
        <v>471</v>
      </c>
      <c r="J11" s="187">
        <v>8</v>
      </c>
      <c r="K11" s="187">
        <v>2019</v>
      </c>
      <c r="L11" s="187">
        <f t="shared" si="0"/>
        <v>-132</v>
      </c>
      <c r="M11" s="187" t="s">
        <v>21</v>
      </c>
      <c r="O11" t="s">
        <v>35</v>
      </c>
      <c r="P11" t="s">
        <v>35</v>
      </c>
      <c r="Q11" t="s">
        <v>51</v>
      </c>
      <c r="T11" s="275">
        <v>43683</v>
      </c>
      <c r="U11" s="276" t="s">
        <v>490</v>
      </c>
      <c r="V11" s="284">
        <v>-11.9</v>
      </c>
      <c r="W11">
        <v>651.75</v>
      </c>
      <c r="X11" t="s">
        <v>111</v>
      </c>
    </row>
    <row r="12" spans="1:24" ht="30" x14ac:dyDescent="0.25">
      <c r="A12" t="s">
        <v>244</v>
      </c>
      <c r="B12" s="53">
        <v>43703</v>
      </c>
      <c r="C12" t="s">
        <v>410</v>
      </c>
      <c r="D12">
        <v>-85.88</v>
      </c>
      <c r="E12" t="s">
        <v>245</v>
      </c>
      <c r="F12">
        <v>7110.2</v>
      </c>
      <c r="G12" t="s">
        <v>57</v>
      </c>
      <c r="I12" s="187" t="s">
        <v>267</v>
      </c>
      <c r="J12" s="187">
        <v>8</v>
      </c>
      <c r="K12" s="187">
        <v>2019</v>
      </c>
      <c r="L12" s="187">
        <f t="shared" si="0"/>
        <v>58.07</v>
      </c>
      <c r="M12" s="187" t="s">
        <v>21</v>
      </c>
      <c r="O12" t="s">
        <v>57</v>
      </c>
      <c r="P12" t="s">
        <v>37</v>
      </c>
      <c r="Q12" t="s">
        <v>51</v>
      </c>
      <c r="T12" s="275">
        <v>43682</v>
      </c>
      <c r="U12" s="276" t="s">
        <v>491</v>
      </c>
      <c r="V12" s="284">
        <v>-31.17</v>
      </c>
      <c r="W12">
        <v>663.65</v>
      </c>
      <c r="X12" t="s">
        <v>111</v>
      </c>
    </row>
    <row r="13" spans="1:24" x14ac:dyDescent="0.25">
      <c r="A13" t="s">
        <v>244</v>
      </c>
      <c r="B13" s="53">
        <v>43703</v>
      </c>
      <c r="C13" t="s">
        <v>411</v>
      </c>
      <c r="D13">
        <v>-57.98</v>
      </c>
      <c r="E13" t="s">
        <v>245</v>
      </c>
      <c r="F13">
        <v>7196.08</v>
      </c>
      <c r="G13" t="s">
        <v>288</v>
      </c>
      <c r="I13" s="187" t="s">
        <v>470</v>
      </c>
      <c r="J13" s="187">
        <v>8</v>
      </c>
      <c r="K13" s="187">
        <v>2019</v>
      </c>
      <c r="L13" s="187">
        <f t="shared" si="0"/>
        <v>761.54</v>
      </c>
      <c r="M13" s="187" t="s">
        <v>21</v>
      </c>
      <c r="O13" t="s">
        <v>58</v>
      </c>
      <c r="P13" t="s">
        <v>37</v>
      </c>
      <c r="Q13" t="s">
        <v>51</v>
      </c>
    </row>
    <row r="14" spans="1:24" x14ac:dyDescent="0.25">
      <c r="A14" t="s">
        <v>244</v>
      </c>
      <c r="B14" s="53">
        <v>43703</v>
      </c>
      <c r="C14" t="s">
        <v>412</v>
      </c>
      <c r="D14">
        <v>-58.65</v>
      </c>
      <c r="E14" t="s">
        <v>245</v>
      </c>
      <c r="F14">
        <v>7254.06</v>
      </c>
      <c r="G14" t="s">
        <v>288</v>
      </c>
      <c r="I14" s="187" t="s">
        <v>33</v>
      </c>
      <c r="J14" s="187">
        <v>8</v>
      </c>
      <c r="K14" s="187">
        <v>2019</v>
      </c>
      <c r="L14" s="187">
        <f t="shared" si="0"/>
        <v>24.94</v>
      </c>
      <c r="M14" s="187" t="s">
        <v>21</v>
      </c>
      <c r="U14" s="276" t="s">
        <v>107</v>
      </c>
      <c r="V14" s="284">
        <v>18.73</v>
      </c>
      <c r="W14" t="s">
        <v>496</v>
      </c>
    </row>
    <row r="15" spans="1:24" x14ac:dyDescent="0.25">
      <c r="A15" t="s">
        <v>246</v>
      </c>
      <c r="B15" s="53">
        <v>43703</v>
      </c>
      <c r="C15" t="s">
        <v>365</v>
      </c>
      <c r="D15">
        <v>65</v>
      </c>
      <c r="E15" t="s">
        <v>247</v>
      </c>
      <c r="F15">
        <v>7312.71</v>
      </c>
      <c r="G15" t="s">
        <v>471</v>
      </c>
      <c r="I15" s="187" t="s">
        <v>63</v>
      </c>
      <c r="J15" s="187">
        <v>8</v>
      </c>
      <c r="K15" s="187">
        <v>2019</v>
      </c>
      <c r="L15" s="187">
        <f t="shared" si="0"/>
        <v>23.7</v>
      </c>
      <c r="M15" s="187" t="s">
        <v>21</v>
      </c>
      <c r="U15" s="276" t="s">
        <v>493</v>
      </c>
      <c r="V15" s="284">
        <v>287.60000000000002</v>
      </c>
      <c r="W15" t="s">
        <v>496</v>
      </c>
    </row>
    <row r="16" spans="1:24" x14ac:dyDescent="0.25">
      <c r="A16" t="s">
        <v>244</v>
      </c>
      <c r="B16" s="53">
        <v>43700</v>
      </c>
      <c r="C16" t="s">
        <v>413</v>
      </c>
      <c r="D16">
        <v>-49.03</v>
      </c>
      <c r="E16" t="s">
        <v>245</v>
      </c>
      <c r="F16">
        <v>7247.71</v>
      </c>
      <c r="G16" t="s">
        <v>267</v>
      </c>
      <c r="I16" s="187" t="s">
        <v>249</v>
      </c>
      <c r="J16" s="187">
        <v>8</v>
      </c>
      <c r="K16" s="187">
        <v>2019</v>
      </c>
      <c r="L16" s="187">
        <f t="shared" si="0"/>
        <v>125.35</v>
      </c>
      <c r="M16" s="187" t="s">
        <v>21</v>
      </c>
      <c r="O16" t="s">
        <v>59</v>
      </c>
      <c r="P16" t="s">
        <v>39</v>
      </c>
      <c r="Q16" t="s">
        <v>51</v>
      </c>
      <c r="U16" s="276" t="s">
        <v>494</v>
      </c>
      <c r="V16" s="284">
        <v>150</v>
      </c>
      <c r="W16" t="s">
        <v>496</v>
      </c>
    </row>
    <row r="17" spans="1:23" x14ac:dyDescent="0.25">
      <c r="A17" t="s">
        <v>244</v>
      </c>
      <c r="B17" s="53">
        <v>43700</v>
      </c>
      <c r="C17" t="s">
        <v>414</v>
      </c>
      <c r="D17">
        <v>-294.47000000000003</v>
      </c>
      <c r="E17" t="s">
        <v>245</v>
      </c>
      <c r="F17">
        <v>7296.74</v>
      </c>
      <c r="G17" t="s">
        <v>470</v>
      </c>
      <c r="I17" s="187" t="s">
        <v>256</v>
      </c>
      <c r="J17" s="187">
        <v>8</v>
      </c>
      <c r="K17" s="187">
        <v>2019</v>
      </c>
      <c r="L17" s="187">
        <f t="shared" si="0"/>
        <v>55.69</v>
      </c>
      <c r="M17" s="187" t="s">
        <v>21</v>
      </c>
      <c r="O17" t="s">
        <v>60</v>
      </c>
      <c r="P17" t="s">
        <v>39</v>
      </c>
      <c r="Q17" t="s">
        <v>51</v>
      </c>
      <c r="U17" s="276" t="s">
        <v>110</v>
      </c>
      <c r="V17">
        <f>191.7+20.49+35</f>
        <v>247.19</v>
      </c>
      <c r="W17" t="s">
        <v>495</v>
      </c>
    </row>
    <row r="18" spans="1:23" x14ac:dyDescent="0.25">
      <c r="A18" t="s">
        <v>244</v>
      </c>
      <c r="B18" s="53">
        <v>43700</v>
      </c>
      <c r="C18" t="s">
        <v>415</v>
      </c>
      <c r="D18">
        <v>-29.41</v>
      </c>
      <c r="E18" t="s">
        <v>245</v>
      </c>
      <c r="F18">
        <v>7591.21</v>
      </c>
      <c r="G18" t="s">
        <v>472</v>
      </c>
      <c r="I18" s="187" t="s">
        <v>35</v>
      </c>
      <c r="J18" s="187">
        <v>8</v>
      </c>
      <c r="K18" s="187">
        <v>2019</v>
      </c>
      <c r="L18" s="187">
        <f t="shared" si="0"/>
        <v>85.36</v>
      </c>
      <c r="M18" s="187" t="s">
        <v>21</v>
      </c>
      <c r="O18" t="s">
        <v>61</v>
      </c>
      <c r="P18" t="s">
        <v>39</v>
      </c>
      <c r="Q18" t="s">
        <v>51</v>
      </c>
    </row>
    <row r="19" spans="1:23" x14ac:dyDescent="0.25">
      <c r="A19" t="s">
        <v>244</v>
      </c>
      <c r="B19" s="53">
        <v>43698</v>
      </c>
      <c r="C19" t="s">
        <v>416</v>
      </c>
      <c r="D19">
        <v>-24.94</v>
      </c>
      <c r="E19" t="s">
        <v>366</v>
      </c>
      <c r="F19">
        <v>7620.62</v>
      </c>
      <c r="G19" t="s">
        <v>33</v>
      </c>
      <c r="I19" s="187" t="s">
        <v>29</v>
      </c>
      <c r="J19" s="187">
        <v>8</v>
      </c>
      <c r="K19" s="187">
        <v>2019</v>
      </c>
      <c r="L19" s="187">
        <f t="shared" si="0"/>
        <v>24.3</v>
      </c>
      <c r="M19" s="187" t="s">
        <v>21</v>
      </c>
      <c r="O19" t="s">
        <v>266</v>
      </c>
      <c r="P19" t="s">
        <v>41</v>
      </c>
      <c r="Q19" t="s">
        <v>51</v>
      </c>
    </row>
    <row r="20" spans="1:23" x14ac:dyDescent="0.25">
      <c r="A20" t="s">
        <v>244</v>
      </c>
      <c r="B20" s="53">
        <v>43698</v>
      </c>
      <c r="C20" t="s">
        <v>417</v>
      </c>
      <c r="D20">
        <v>-23.7</v>
      </c>
      <c r="E20" t="s">
        <v>245</v>
      </c>
      <c r="F20">
        <v>7645.56</v>
      </c>
      <c r="G20" t="s">
        <v>63</v>
      </c>
      <c r="I20" s="187" t="s">
        <v>111</v>
      </c>
      <c r="J20" s="187">
        <v>8</v>
      </c>
      <c r="K20" s="187">
        <v>2019</v>
      </c>
      <c r="L20" s="187">
        <f t="shared" si="0"/>
        <v>201.58000000000004</v>
      </c>
      <c r="M20" s="187" t="s">
        <v>21</v>
      </c>
      <c r="O20" t="s">
        <v>249</v>
      </c>
      <c r="P20" t="s">
        <v>41</v>
      </c>
      <c r="Q20" t="s">
        <v>51</v>
      </c>
    </row>
    <row r="21" spans="1:23" x14ac:dyDescent="0.25">
      <c r="A21" t="s">
        <v>244</v>
      </c>
      <c r="B21" s="53">
        <v>43698</v>
      </c>
      <c r="C21" t="s">
        <v>418</v>
      </c>
      <c r="D21">
        <v>-10.119999999999999</v>
      </c>
      <c r="E21" t="s">
        <v>245</v>
      </c>
      <c r="F21">
        <v>7669.26</v>
      </c>
      <c r="G21" t="s">
        <v>249</v>
      </c>
      <c r="I21" s="187" t="s">
        <v>31</v>
      </c>
      <c r="J21" s="187">
        <v>8</v>
      </c>
      <c r="K21" s="187">
        <v>2019</v>
      </c>
      <c r="L21" s="187">
        <f t="shared" si="0"/>
        <v>1710.58</v>
      </c>
      <c r="M21" s="187" t="s">
        <v>21</v>
      </c>
      <c r="O21" t="s">
        <v>62</v>
      </c>
      <c r="P21" t="s">
        <v>41</v>
      </c>
      <c r="Q21" t="s">
        <v>51</v>
      </c>
    </row>
    <row r="22" spans="1:23" x14ac:dyDescent="0.25">
      <c r="A22" t="s">
        <v>244</v>
      </c>
      <c r="B22" s="53">
        <v>43698</v>
      </c>
      <c r="C22" t="s">
        <v>419</v>
      </c>
      <c r="D22">
        <v>-238.31</v>
      </c>
      <c r="E22" t="s">
        <v>245</v>
      </c>
      <c r="F22">
        <v>7679.38</v>
      </c>
      <c r="G22" t="s">
        <v>288</v>
      </c>
      <c r="I22" s="187" t="s">
        <v>255</v>
      </c>
      <c r="J22" s="187">
        <v>8</v>
      </c>
      <c r="K22" s="187">
        <v>2019</v>
      </c>
      <c r="L22" s="187">
        <f t="shared" si="0"/>
        <v>24.96</v>
      </c>
      <c r="M22" s="187" t="s">
        <v>21</v>
      </c>
      <c r="O22" t="s">
        <v>63</v>
      </c>
      <c r="P22" t="s">
        <v>41</v>
      </c>
      <c r="Q22" t="s">
        <v>51</v>
      </c>
    </row>
    <row r="23" spans="1:23" x14ac:dyDescent="0.25">
      <c r="A23" t="s">
        <v>246</v>
      </c>
      <c r="B23" s="53">
        <v>43698</v>
      </c>
      <c r="C23" t="s">
        <v>420</v>
      </c>
      <c r="D23">
        <v>270</v>
      </c>
      <c r="E23" t="s">
        <v>364</v>
      </c>
      <c r="F23">
        <v>7917.69</v>
      </c>
      <c r="G23" t="s">
        <v>315</v>
      </c>
      <c r="I23" s="187" t="s">
        <v>61</v>
      </c>
      <c r="J23" s="187">
        <v>8</v>
      </c>
      <c r="K23" s="187">
        <v>2019</v>
      </c>
      <c r="L23" s="187">
        <f t="shared" si="0"/>
        <v>11.12</v>
      </c>
      <c r="M23" s="187" t="s">
        <v>21</v>
      </c>
      <c r="O23" t="s">
        <v>265</v>
      </c>
      <c r="P23" t="s">
        <v>41</v>
      </c>
      <c r="Q23" t="s">
        <v>51</v>
      </c>
    </row>
    <row r="24" spans="1:23" x14ac:dyDescent="0.25">
      <c r="A24" t="s">
        <v>244</v>
      </c>
      <c r="B24" s="53">
        <v>43697</v>
      </c>
      <c r="C24" t="s">
        <v>421</v>
      </c>
      <c r="D24">
        <v>-1.67</v>
      </c>
      <c r="E24" t="s">
        <v>245</v>
      </c>
      <c r="F24">
        <v>7647.69</v>
      </c>
      <c r="G24" t="s">
        <v>58</v>
      </c>
      <c r="O24" t="s">
        <v>46</v>
      </c>
      <c r="P24" t="s">
        <v>46</v>
      </c>
      <c r="Q24" t="s">
        <v>51</v>
      </c>
    </row>
    <row r="25" spans="1:23" x14ac:dyDescent="0.25">
      <c r="A25" t="s">
        <v>244</v>
      </c>
      <c r="B25" s="53">
        <v>43696</v>
      </c>
      <c r="C25" t="s">
        <v>422</v>
      </c>
      <c r="D25">
        <v>-32.69</v>
      </c>
      <c r="E25" t="s">
        <v>245</v>
      </c>
      <c r="F25">
        <v>7649.36</v>
      </c>
      <c r="G25" t="s">
        <v>256</v>
      </c>
      <c r="I25"/>
      <c r="O25" t="s">
        <v>267</v>
      </c>
      <c r="P25" t="s">
        <v>41</v>
      </c>
      <c r="Q25" t="s">
        <v>51</v>
      </c>
    </row>
    <row r="26" spans="1:23" x14ac:dyDescent="0.25">
      <c r="A26" t="s">
        <v>244</v>
      </c>
      <c r="B26" s="53">
        <v>43696</v>
      </c>
      <c r="C26" t="s">
        <v>423</v>
      </c>
      <c r="D26">
        <v>-14.5</v>
      </c>
      <c r="E26" t="s">
        <v>245</v>
      </c>
      <c r="F26">
        <v>7682.05</v>
      </c>
      <c r="G26" t="s">
        <v>249</v>
      </c>
      <c r="H26">
        <f>11+11+50+30+30+17+15</f>
        <v>164</v>
      </c>
      <c r="I26"/>
      <c r="O26" t="s">
        <v>64</v>
      </c>
      <c r="P26" t="s">
        <v>26</v>
      </c>
      <c r="Q26" t="s">
        <v>66</v>
      </c>
    </row>
    <row r="27" spans="1:23" x14ac:dyDescent="0.25">
      <c r="A27" t="s">
        <v>244</v>
      </c>
      <c r="B27" s="53">
        <v>43696</v>
      </c>
      <c r="C27" t="s">
        <v>424</v>
      </c>
      <c r="D27">
        <v>-84.55</v>
      </c>
      <c r="E27" t="s">
        <v>245</v>
      </c>
      <c r="F27">
        <v>7696.55</v>
      </c>
      <c r="G27" t="s">
        <v>57</v>
      </c>
      <c r="H27">
        <f>H26/266.9*294.47</f>
        <v>180.94072686399403</v>
      </c>
      <c r="I27"/>
      <c r="O27" t="s">
        <v>29</v>
      </c>
      <c r="P27" t="s">
        <v>26</v>
      </c>
      <c r="Q27" t="s">
        <v>66</v>
      </c>
    </row>
    <row r="28" spans="1:23" x14ac:dyDescent="0.25">
      <c r="A28" t="s">
        <v>244</v>
      </c>
      <c r="B28" s="53">
        <v>43696</v>
      </c>
      <c r="C28" t="s">
        <v>425</v>
      </c>
      <c r="D28">
        <v>-29</v>
      </c>
      <c r="E28" t="s">
        <v>245</v>
      </c>
      <c r="F28">
        <v>7781.1</v>
      </c>
      <c r="G28" t="s">
        <v>58</v>
      </c>
      <c r="I28"/>
      <c r="O28" t="s">
        <v>65</v>
      </c>
      <c r="P28" t="s">
        <v>26</v>
      </c>
      <c r="Q28" t="s">
        <v>66</v>
      </c>
    </row>
    <row r="29" spans="1:23" x14ac:dyDescent="0.25">
      <c r="A29" t="s">
        <v>244</v>
      </c>
      <c r="B29" s="53">
        <v>43696</v>
      </c>
      <c r="C29" t="s">
        <v>426</v>
      </c>
      <c r="D29">
        <v>-69.989999999999995</v>
      </c>
      <c r="E29" t="s">
        <v>245</v>
      </c>
      <c r="F29">
        <v>7810.1</v>
      </c>
      <c r="G29" t="s">
        <v>288</v>
      </c>
    </row>
    <row r="30" spans="1:23" x14ac:dyDescent="0.25">
      <c r="A30" t="s">
        <v>244</v>
      </c>
      <c r="B30" s="53">
        <v>43696</v>
      </c>
      <c r="C30" t="s">
        <v>427</v>
      </c>
      <c r="D30">
        <v>-47.41</v>
      </c>
      <c r="E30" t="s">
        <v>245</v>
      </c>
      <c r="F30">
        <v>7880.09</v>
      </c>
      <c r="G30" t="s">
        <v>252</v>
      </c>
      <c r="O30" t="s">
        <v>289</v>
      </c>
      <c r="P30" t="s">
        <v>289</v>
      </c>
      <c r="Q30" t="s">
        <v>66</v>
      </c>
    </row>
    <row r="31" spans="1:23" x14ac:dyDescent="0.25">
      <c r="A31" t="s">
        <v>244</v>
      </c>
      <c r="B31" s="53">
        <v>43693</v>
      </c>
      <c r="C31" t="s">
        <v>428</v>
      </c>
      <c r="D31">
        <v>-30.5</v>
      </c>
      <c r="E31" t="s">
        <v>245</v>
      </c>
      <c r="F31">
        <v>7927.5</v>
      </c>
      <c r="G31" t="s">
        <v>249</v>
      </c>
    </row>
    <row r="32" spans="1:23" x14ac:dyDescent="0.25">
      <c r="A32" t="s">
        <v>244</v>
      </c>
      <c r="B32" s="53">
        <v>43693</v>
      </c>
      <c r="C32" t="s">
        <v>429</v>
      </c>
      <c r="D32">
        <v>-5.1100000000000003</v>
      </c>
      <c r="E32" t="s">
        <v>245</v>
      </c>
      <c r="F32">
        <v>7958</v>
      </c>
      <c r="G32" t="s">
        <v>58</v>
      </c>
      <c r="O32" t="s">
        <v>67</v>
      </c>
      <c r="P32" t="s">
        <v>67</v>
      </c>
      <c r="Q32" t="s">
        <v>66</v>
      </c>
    </row>
    <row r="33" spans="1:17" x14ac:dyDescent="0.25">
      <c r="A33" t="s">
        <v>246</v>
      </c>
      <c r="B33" s="53">
        <v>43693</v>
      </c>
      <c r="C33" t="s">
        <v>363</v>
      </c>
      <c r="D33">
        <v>2538.4899999999998</v>
      </c>
      <c r="E33" t="s">
        <v>247</v>
      </c>
      <c r="F33">
        <v>7963.11</v>
      </c>
      <c r="G33" t="s">
        <v>11</v>
      </c>
      <c r="O33" t="s">
        <v>264</v>
      </c>
      <c r="P33" t="s">
        <v>71</v>
      </c>
      <c r="Q33" t="s">
        <v>66</v>
      </c>
    </row>
    <row r="34" spans="1:17" x14ac:dyDescent="0.25">
      <c r="A34" t="s">
        <v>244</v>
      </c>
      <c r="B34" s="53">
        <v>43692</v>
      </c>
      <c r="C34" t="s">
        <v>430</v>
      </c>
      <c r="D34">
        <v>-417.07</v>
      </c>
      <c r="E34" t="s">
        <v>245</v>
      </c>
      <c r="F34">
        <v>5424.62</v>
      </c>
      <c r="G34" t="s">
        <v>470</v>
      </c>
      <c r="O34" t="s">
        <v>68</v>
      </c>
      <c r="P34" t="s">
        <v>70</v>
      </c>
      <c r="Q34" t="s">
        <v>66</v>
      </c>
    </row>
    <row r="35" spans="1:17" x14ac:dyDescent="0.25">
      <c r="A35" t="s">
        <v>244</v>
      </c>
      <c r="B35" s="53">
        <v>43691</v>
      </c>
      <c r="C35" t="s">
        <v>431</v>
      </c>
      <c r="D35">
        <v>-85.36</v>
      </c>
      <c r="E35" t="s">
        <v>245</v>
      </c>
      <c r="F35">
        <v>5841.69</v>
      </c>
      <c r="G35" t="s">
        <v>35</v>
      </c>
      <c r="O35" t="s">
        <v>69</v>
      </c>
      <c r="P35" t="s">
        <v>71</v>
      </c>
      <c r="Q35" t="s">
        <v>66</v>
      </c>
    </row>
    <row r="36" spans="1:17" x14ac:dyDescent="0.25">
      <c r="A36" t="s">
        <v>244</v>
      </c>
      <c r="B36" s="53">
        <v>43690</v>
      </c>
      <c r="C36" t="s">
        <v>432</v>
      </c>
      <c r="D36">
        <v>-24.3</v>
      </c>
      <c r="E36" t="s">
        <v>245</v>
      </c>
      <c r="F36">
        <v>5927.05</v>
      </c>
      <c r="G36" t="s">
        <v>29</v>
      </c>
      <c r="O36" t="s">
        <v>72</v>
      </c>
      <c r="P36" t="s">
        <v>70</v>
      </c>
      <c r="Q36" t="s">
        <v>66</v>
      </c>
    </row>
    <row r="37" spans="1:17" x14ac:dyDescent="0.25">
      <c r="A37" t="s">
        <v>244</v>
      </c>
      <c r="B37" s="53">
        <v>43690</v>
      </c>
      <c r="C37" t="s">
        <v>433</v>
      </c>
      <c r="D37">
        <v>-26.36</v>
      </c>
      <c r="E37" t="s">
        <v>245</v>
      </c>
      <c r="F37">
        <v>5951.35</v>
      </c>
      <c r="G37" t="s">
        <v>249</v>
      </c>
      <c r="O37" t="s">
        <v>73</v>
      </c>
      <c r="P37" t="s">
        <v>71</v>
      </c>
      <c r="Q37" t="s">
        <v>66</v>
      </c>
    </row>
    <row r="38" spans="1:17" x14ac:dyDescent="0.25">
      <c r="A38" t="s">
        <v>244</v>
      </c>
      <c r="B38" s="53">
        <v>43689</v>
      </c>
      <c r="C38" t="s">
        <v>434</v>
      </c>
      <c r="D38">
        <v>-3.26</v>
      </c>
      <c r="E38" t="s">
        <v>245</v>
      </c>
      <c r="F38">
        <v>5977.71</v>
      </c>
      <c r="G38" t="s">
        <v>249</v>
      </c>
      <c r="O38" t="s">
        <v>263</v>
      </c>
      <c r="P38" t="s">
        <v>71</v>
      </c>
      <c r="Q38" t="s">
        <v>66</v>
      </c>
    </row>
    <row r="39" spans="1:17" x14ac:dyDescent="0.25">
      <c r="A39" t="s">
        <v>244</v>
      </c>
      <c r="B39" s="53">
        <v>43689</v>
      </c>
      <c r="C39" t="s">
        <v>435</v>
      </c>
      <c r="D39">
        <v>-64.8</v>
      </c>
      <c r="E39" t="s">
        <v>245</v>
      </c>
      <c r="F39">
        <v>5980.97</v>
      </c>
      <c r="G39" t="s">
        <v>57</v>
      </c>
      <c r="O39" t="s">
        <v>75</v>
      </c>
      <c r="P39" t="s">
        <v>75</v>
      </c>
      <c r="Q39" t="s">
        <v>66</v>
      </c>
    </row>
    <row r="40" spans="1:17" x14ac:dyDescent="0.25">
      <c r="A40" t="s">
        <v>244</v>
      </c>
      <c r="B40" s="53">
        <v>43689</v>
      </c>
      <c r="C40" t="s">
        <v>436</v>
      </c>
      <c r="D40">
        <v>-33.07</v>
      </c>
      <c r="E40" t="s">
        <v>245</v>
      </c>
      <c r="F40">
        <v>6045.77</v>
      </c>
      <c r="G40" t="s">
        <v>57</v>
      </c>
      <c r="O40" t="s">
        <v>76</v>
      </c>
      <c r="P40" t="s">
        <v>76</v>
      </c>
      <c r="Q40" t="s">
        <v>66</v>
      </c>
    </row>
    <row r="41" spans="1:17" x14ac:dyDescent="0.25">
      <c r="A41" t="s">
        <v>244</v>
      </c>
      <c r="B41" s="53">
        <v>43689</v>
      </c>
      <c r="C41" t="s">
        <v>437</v>
      </c>
      <c r="D41">
        <v>-15</v>
      </c>
      <c r="E41" t="s">
        <v>245</v>
      </c>
      <c r="F41">
        <v>6078.84</v>
      </c>
      <c r="G41" t="s">
        <v>249</v>
      </c>
      <c r="O41" t="s">
        <v>77</v>
      </c>
      <c r="P41" t="s">
        <v>77</v>
      </c>
      <c r="Q41" t="s">
        <v>66</v>
      </c>
    </row>
    <row r="42" spans="1:17" x14ac:dyDescent="0.25">
      <c r="A42" t="s">
        <v>244</v>
      </c>
      <c r="B42" s="53">
        <v>43689</v>
      </c>
      <c r="C42" t="s">
        <v>438</v>
      </c>
      <c r="D42">
        <v>-18</v>
      </c>
      <c r="E42" t="s">
        <v>245</v>
      </c>
      <c r="F42">
        <v>6093.84</v>
      </c>
      <c r="G42" t="s">
        <v>249</v>
      </c>
      <c r="O42" t="s">
        <v>78</v>
      </c>
      <c r="P42" t="s">
        <v>78</v>
      </c>
      <c r="Q42" t="s">
        <v>66</v>
      </c>
    </row>
    <row r="43" spans="1:17" x14ac:dyDescent="0.25">
      <c r="A43" t="s">
        <v>244</v>
      </c>
      <c r="B43" s="53">
        <v>43689</v>
      </c>
      <c r="C43" t="s">
        <v>439</v>
      </c>
      <c r="D43">
        <v>-17.2</v>
      </c>
      <c r="E43" t="s">
        <v>245</v>
      </c>
      <c r="F43">
        <v>6111.84</v>
      </c>
      <c r="G43" t="s">
        <v>58</v>
      </c>
      <c r="O43" t="s">
        <v>288</v>
      </c>
      <c r="P43" t="s">
        <v>288</v>
      </c>
      <c r="Q43" t="s">
        <v>66</v>
      </c>
    </row>
    <row r="44" spans="1:17" x14ac:dyDescent="0.25">
      <c r="A44" t="s">
        <v>244</v>
      </c>
      <c r="B44" s="53">
        <v>43689</v>
      </c>
      <c r="C44" t="s">
        <v>440</v>
      </c>
      <c r="D44">
        <v>-9.93</v>
      </c>
      <c r="E44" t="s">
        <v>245</v>
      </c>
      <c r="F44">
        <v>6129.04</v>
      </c>
      <c r="G44" t="s">
        <v>58</v>
      </c>
      <c r="O44" t="s">
        <v>237</v>
      </c>
      <c r="P44" t="s">
        <v>237</v>
      </c>
    </row>
    <row r="45" spans="1:17" x14ac:dyDescent="0.25">
      <c r="A45" t="s">
        <v>244</v>
      </c>
      <c r="B45" s="53">
        <v>43689</v>
      </c>
      <c r="C45" t="s">
        <v>441</v>
      </c>
      <c r="D45">
        <v>-5.5</v>
      </c>
      <c r="E45" t="s">
        <v>245</v>
      </c>
      <c r="F45">
        <v>6138.97</v>
      </c>
      <c r="G45" t="s">
        <v>58</v>
      </c>
      <c r="O45" t="s">
        <v>316</v>
      </c>
      <c r="P45" t="s">
        <v>316</v>
      </c>
      <c r="Q45" t="s">
        <v>66</v>
      </c>
    </row>
    <row r="46" spans="1:17" x14ac:dyDescent="0.25">
      <c r="A46" t="s">
        <v>244</v>
      </c>
      <c r="B46" s="53">
        <v>43689</v>
      </c>
      <c r="C46" t="s">
        <v>442</v>
      </c>
      <c r="D46">
        <v>-8.26</v>
      </c>
      <c r="E46" t="s">
        <v>245</v>
      </c>
      <c r="F46">
        <v>6144.47</v>
      </c>
      <c r="G46" t="s">
        <v>58</v>
      </c>
      <c r="O46" t="s">
        <v>250</v>
      </c>
      <c r="P46" t="s">
        <v>250</v>
      </c>
      <c r="Q46" t="s">
        <v>66</v>
      </c>
    </row>
    <row r="47" spans="1:17" x14ac:dyDescent="0.25">
      <c r="A47" t="s">
        <v>244</v>
      </c>
      <c r="B47" s="53">
        <v>43689</v>
      </c>
      <c r="C47" t="s">
        <v>443</v>
      </c>
      <c r="D47">
        <v>-9.58</v>
      </c>
      <c r="E47" t="s">
        <v>245</v>
      </c>
      <c r="F47">
        <v>6152.73</v>
      </c>
      <c r="G47" t="s">
        <v>111</v>
      </c>
      <c r="O47" t="s">
        <v>252</v>
      </c>
      <c r="P47" t="s">
        <v>252</v>
      </c>
      <c r="Q47" t="s">
        <v>66</v>
      </c>
    </row>
    <row r="48" spans="1:17" x14ac:dyDescent="0.25">
      <c r="A48" t="s">
        <v>244</v>
      </c>
      <c r="B48" s="53">
        <v>43689</v>
      </c>
      <c r="C48" t="s">
        <v>444</v>
      </c>
      <c r="D48">
        <v>-7.45</v>
      </c>
      <c r="E48" t="s">
        <v>245</v>
      </c>
      <c r="F48">
        <v>6162.31</v>
      </c>
      <c r="G48" t="s">
        <v>111</v>
      </c>
      <c r="O48" t="s">
        <v>317</v>
      </c>
      <c r="P48" t="s">
        <v>66</v>
      </c>
      <c r="Q48" t="s">
        <v>66</v>
      </c>
    </row>
    <row r="49" spans="1:17" x14ac:dyDescent="0.25">
      <c r="A49" t="s">
        <v>244</v>
      </c>
      <c r="B49" s="53">
        <v>43686</v>
      </c>
      <c r="C49" t="s">
        <v>445</v>
      </c>
      <c r="D49">
        <v>-4.3499999999999996</v>
      </c>
      <c r="E49" t="s">
        <v>245</v>
      </c>
      <c r="F49">
        <v>6169.76</v>
      </c>
      <c r="G49" t="s">
        <v>249</v>
      </c>
      <c r="O49" t="s">
        <v>255</v>
      </c>
      <c r="P49" t="s">
        <v>70</v>
      </c>
      <c r="Q49" t="s">
        <v>66</v>
      </c>
    </row>
    <row r="50" spans="1:17" x14ac:dyDescent="0.25">
      <c r="A50" t="s">
        <v>244</v>
      </c>
      <c r="B50" s="53">
        <v>43686</v>
      </c>
      <c r="C50" t="s">
        <v>446</v>
      </c>
      <c r="D50">
        <v>-10.58</v>
      </c>
      <c r="E50" t="s">
        <v>245</v>
      </c>
      <c r="F50">
        <v>6174.11</v>
      </c>
      <c r="G50" t="s">
        <v>31</v>
      </c>
      <c r="O50" t="s">
        <v>256</v>
      </c>
      <c r="P50" t="s">
        <v>71</v>
      </c>
      <c r="Q50" t="s">
        <v>66</v>
      </c>
    </row>
    <row r="51" spans="1:17" x14ac:dyDescent="0.25">
      <c r="A51" t="s">
        <v>244</v>
      </c>
      <c r="B51" s="53">
        <v>43686</v>
      </c>
      <c r="C51" t="s">
        <v>447</v>
      </c>
      <c r="D51">
        <v>-50</v>
      </c>
      <c r="E51" t="s">
        <v>366</v>
      </c>
      <c r="F51">
        <v>6184.69</v>
      </c>
      <c r="G51" t="s">
        <v>470</v>
      </c>
    </row>
    <row r="52" spans="1:17" x14ac:dyDescent="0.25">
      <c r="A52" t="s">
        <v>244</v>
      </c>
      <c r="B52" s="53">
        <v>43686</v>
      </c>
      <c r="C52" t="s">
        <v>448</v>
      </c>
      <c r="D52">
        <v>-9.6999999999999993</v>
      </c>
      <c r="E52" t="s">
        <v>245</v>
      </c>
      <c r="F52">
        <v>6234.69</v>
      </c>
      <c r="G52" t="s">
        <v>58</v>
      </c>
      <c r="O52" t="s">
        <v>262</v>
      </c>
      <c r="P52" t="s">
        <v>66</v>
      </c>
      <c r="Q52" t="s">
        <v>66</v>
      </c>
    </row>
    <row r="53" spans="1:17" x14ac:dyDescent="0.25">
      <c r="A53" t="s">
        <v>244</v>
      </c>
      <c r="B53" s="53">
        <v>43685</v>
      </c>
      <c r="C53" t="s">
        <v>449</v>
      </c>
      <c r="D53">
        <f>-378.6+250+40</f>
        <v>-88.600000000000023</v>
      </c>
      <c r="E53" t="s">
        <v>245</v>
      </c>
      <c r="F53">
        <v>6244.39</v>
      </c>
      <c r="G53" t="s">
        <v>111</v>
      </c>
      <c r="O53" t="s">
        <v>280</v>
      </c>
      <c r="P53" t="s">
        <v>66</v>
      </c>
      <c r="Q53" t="s">
        <v>66</v>
      </c>
    </row>
    <row r="54" spans="1:17" x14ac:dyDescent="0.25">
      <c r="A54" t="s">
        <v>244</v>
      </c>
      <c r="B54" s="53">
        <v>43684</v>
      </c>
      <c r="C54" t="s">
        <v>450</v>
      </c>
      <c r="D54">
        <v>-3.26</v>
      </c>
      <c r="E54" t="s">
        <v>245</v>
      </c>
      <c r="F54">
        <v>6622.99</v>
      </c>
      <c r="G54" t="s">
        <v>249</v>
      </c>
      <c r="O54" t="s">
        <v>120</v>
      </c>
      <c r="P54" t="s">
        <v>121</v>
      </c>
      <c r="Q54" t="s">
        <v>121</v>
      </c>
    </row>
    <row r="55" spans="1:17" x14ac:dyDescent="0.25">
      <c r="A55" t="s">
        <v>244</v>
      </c>
      <c r="B55" s="53">
        <v>43684</v>
      </c>
      <c r="C55" t="s">
        <v>451</v>
      </c>
      <c r="D55">
        <v>-7.99</v>
      </c>
      <c r="E55" t="s">
        <v>245</v>
      </c>
      <c r="F55">
        <v>6626.25</v>
      </c>
      <c r="G55" t="s">
        <v>111</v>
      </c>
      <c r="O55" t="s">
        <v>320</v>
      </c>
      <c r="P55" t="s">
        <v>121</v>
      </c>
      <c r="Q55" t="s">
        <v>121</v>
      </c>
    </row>
    <row r="56" spans="1:17" x14ac:dyDescent="0.25">
      <c r="A56" t="s">
        <v>244</v>
      </c>
      <c r="B56" s="53">
        <v>43684</v>
      </c>
      <c r="C56" t="s">
        <v>452</v>
      </c>
      <c r="D56">
        <v>-12.38</v>
      </c>
      <c r="E56" t="s">
        <v>245</v>
      </c>
      <c r="F56">
        <v>6634.24</v>
      </c>
      <c r="G56" t="s">
        <v>58</v>
      </c>
      <c r="O56" t="s">
        <v>324</v>
      </c>
      <c r="P56" t="s">
        <v>46</v>
      </c>
      <c r="Q56" t="s">
        <v>51</v>
      </c>
    </row>
    <row r="57" spans="1:17" x14ac:dyDescent="0.25">
      <c r="A57" t="s">
        <v>244</v>
      </c>
      <c r="B57" s="53">
        <v>43683</v>
      </c>
      <c r="C57" t="s">
        <v>453</v>
      </c>
      <c r="D57">
        <v>-24.96</v>
      </c>
      <c r="E57" t="s">
        <v>245</v>
      </c>
      <c r="F57">
        <v>6646.62</v>
      </c>
      <c r="G57" t="s">
        <v>255</v>
      </c>
    </row>
    <row r="58" spans="1:17" x14ac:dyDescent="0.25">
      <c r="A58" t="s">
        <v>244</v>
      </c>
      <c r="B58" s="53">
        <v>43683</v>
      </c>
      <c r="C58" t="s">
        <v>454</v>
      </c>
      <c r="D58">
        <v>-1.35</v>
      </c>
      <c r="E58" t="s">
        <v>245</v>
      </c>
      <c r="F58">
        <v>6671.58</v>
      </c>
      <c r="G58" t="s">
        <v>58</v>
      </c>
    </row>
    <row r="59" spans="1:17" x14ac:dyDescent="0.25">
      <c r="A59" t="s">
        <v>244</v>
      </c>
      <c r="B59" s="53">
        <v>43682</v>
      </c>
      <c r="C59" t="s">
        <v>455</v>
      </c>
      <c r="D59">
        <v>-38.01</v>
      </c>
      <c r="E59" t="s">
        <v>245</v>
      </c>
      <c r="F59">
        <v>6672.93</v>
      </c>
      <c r="G59" t="s">
        <v>111</v>
      </c>
      <c r="O59" t="s">
        <v>11</v>
      </c>
    </row>
    <row r="60" spans="1:17" x14ac:dyDescent="0.25">
      <c r="A60" t="s">
        <v>244</v>
      </c>
      <c r="B60" s="53">
        <v>43682</v>
      </c>
      <c r="C60" t="s">
        <v>456</v>
      </c>
      <c r="D60">
        <v>-21.24</v>
      </c>
      <c r="E60" t="s">
        <v>245</v>
      </c>
      <c r="F60">
        <v>6710.94</v>
      </c>
      <c r="G60" t="s">
        <v>111</v>
      </c>
      <c r="O60" t="s">
        <v>472</v>
      </c>
    </row>
    <row r="61" spans="1:17" x14ac:dyDescent="0.25">
      <c r="A61" t="s">
        <v>244</v>
      </c>
      <c r="B61" s="53">
        <v>43682</v>
      </c>
      <c r="C61" t="s">
        <v>457</v>
      </c>
      <c r="D61">
        <v>-20</v>
      </c>
      <c r="E61" t="s">
        <v>245</v>
      </c>
      <c r="F61">
        <v>6732.18</v>
      </c>
      <c r="G61" t="s">
        <v>111</v>
      </c>
      <c r="O61" t="s">
        <v>58</v>
      </c>
    </row>
    <row r="62" spans="1:17" x14ac:dyDescent="0.25">
      <c r="A62" t="s">
        <v>244</v>
      </c>
      <c r="B62" s="53">
        <v>43682</v>
      </c>
      <c r="C62" t="s">
        <v>458</v>
      </c>
      <c r="D62">
        <v>-8.7100000000000009</v>
      </c>
      <c r="E62" t="s">
        <v>245</v>
      </c>
      <c r="F62">
        <v>6752.18</v>
      </c>
      <c r="G62" t="s">
        <v>111</v>
      </c>
      <c r="O62" t="s">
        <v>39</v>
      </c>
    </row>
    <row r="63" spans="1:17" x14ac:dyDescent="0.25">
      <c r="A63" t="s">
        <v>244</v>
      </c>
      <c r="B63" s="53">
        <v>43682</v>
      </c>
      <c r="C63" t="s">
        <v>459</v>
      </c>
      <c r="D63">
        <v>-20.83</v>
      </c>
      <c r="E63" t="s">
        <v>245</v>
      </c>
      <c r="F63">
        <v>6760.89</v>
      </c>
      <c r="G63" t="s">
        <v>57</v>
      </c>
      <c r="O63" t="s">
        <v>392</v>
      </c>
    </row>
    <row r="64" spans="1:17" x14ac:dyDescent="0.25">
      <c r="A64" t="s">
        <v>244</v>
      </c>
      <c r="B64" s="53">
        <v>43682</v>
      </c>
      <c r="C64" t="s">
        <v>460</v>
      </c>
      <c r="D64">
        <v>-23</v>
      </c>
      <c r="E64" t="s">
        <v>245</v>
      </c>
      <c r="F64">
        <v>6781.72</v>
      </c>
      <c r="G64" t="s">
        <v>256</v>
      </c>
      <c r="O64" t="s">
        <v>315</v>
      </c>
    </row>
    <row r="65" spans="1:15" x14ac:dyDescent="0.25">
      <c r="A65" t="s">
        <v>244</v>
      </c>
      <c r="B65" s="53">
        <v>43682</v>
      </c>
      <c r="C65" t="s">
        <v>461</v>
      </c>
      <c r="D65">
        <v>-8.4600000000000009</v>
      </c>
      <c r="E65" t="s">
        <v>245</v>
      </c>
      <c r="F65">
        <v>6804.72</v>
      </c>
      <c r="G65" t="s">
        <v>58</v>
      </c>
      <c r="O65" t="s">
        <v>288</v>
      </c>
    </row>
    <row r="66" spans="1:15" x14ac:dyDescent="0.25">
      <c r="A66" t="s">
        <v>244</v>
      </c>
      <c r="B66" s="53">
        <v>43682</v>
      </c>
      <c r="C66" t="s">
        <v>462</v>
      </c>
      <c r="D66">
        <v>-12.72</v>
      </c>
      <c r="E66" t="s">
        <v>245</v>
      </c>
      <c r="F66">
        <v>6813.18</v>
      </c>
      <c r="G66" t="s">
        <v>57</v>
      </c>
      <c r="O66" t="s">
        <v>269</v>
      </c>
    </row>
    <row r="67" spans="1:15" x14ac:dyDescent="0.25">
      <c r="A67" t="s">
        <v>244</v>
      </c>
      <c r="B67" s="53">
        <v>43682</v>
      </c>
      <c r="C67" t="s">
        <v>463</v>
      </c>
      <c r="D67">
        <v>-11.12</v>
      </c>
      <c r="E67" t="s">
        <v>245</v>
      </c>
      <c r="F67">
        <v>6825.9</v>
      </c>
      <c r="G67" t="s">
        <v>61</v>
      </c>
      <c r="O67" t="s">
        <v>57</v>
      </c>
    </row>
    <row r="68" spans="1:15" x14ac:dyDescent="0.25">
      <c r="A68" t="s">
        <v>244</v>
      </c>
      <c r="B68" s="53">
        <v>43679</v>
      </c>
      <c r="C68" t="s">
        <v>464</v>
      </c>
      <c r="D68">
        <v>-24.99</v>
      </c>
      <c r="E68" t="s">
        <v>245</v>
      </c>
      <c r="F68">
        <v>6837.02</v>
      </c>
      <c r="G68" t="s">
        <v>57</v>
      </c>
      <c r="O68" t="s">
        <v>471</v>
      </c>
    </row>
    <row r="69" spans="1:15" x14ac:dyDescent="0.25">
      <c r="A69" t="s">
        <v>246</v>
      </c>
      <c r="B69" s="53">
        <v>43679</v>
      </c>
      <c r="C69" t="s">
        <v>365</v>
      </c>
      <c r="D69">
        <v>49</v>
      </c>
      <c r="E69" t="s">
        <v>247</v>
      </c>
      <c r="F69">
        <v>6862.01</v>
      </c>
      <c r="G69" t="s">
        <v>471</v>
      </c>
      <c r="O69" t="s">
        <v>267</v>
      </c>
    </row>
    <row r="70" spans="1:15" x14ac:dyDescent="0.25">
      <c r="A70" t="s">
        <v>246</v>
      </c>
      <c r="B70" s="53">
        <v>43679</v>
      </c>
      <c r="C70" t="s">
        <v>363</v>
      </c>
      <c r="D70">
        <v>2538.48</v>
      </c>
      <c r="E70" t="s">
        <v>247</v>
      </c>
      <c r="F70">
        <v>6813.01</v>
      </c>
      <c r="G70" t="s">
        <v>11</v>
      </c>
      <c r="O70" t="s">
        <v>470</v>
      </c>
    </row>
    <row r="71" spans="1:15" x14ac:dyDescent="0.25">
      <c r="A71" t="s">
        <v>244</v>
      </c>
      <c r="B71" s="53">
        <v>43678</v>
      </c>
      <c r="C71" t="s">
        <v>465</v>
      </c>
      <c r="D71">
        <v>-19.96</v>
      </c>
      <c r="E71" t="s">
        <v>245</v>
      </c>
      <c r="F71">
        <v>4274.53</v>
      </c>
      <c r="G71" t="s">
        <v>57</v>
      </c>
      <c r="O71" t="s">
        <v>33</v>
      </c>
    </row>
    <row r="72" spans="1:15" x14ac:dyDescent="0.25">
      <c r="A72" t="s">
        <v>244</v>
      </c>
      <c r="B72" s="53">
        <v>43678</v>
      </c>
      <c r="C72" t="s">
        <v>466</v>
      </c>
      <c r="D72">
        <v>-1700</v>
      </c>
      <c r="E72" t="s">
        <v>248</v>
      </c>
      <c r="F72">
        <v>4294.49</v>
      </c>
      <c r="G72" t="s">
        <v>31</v>
      </c>
      <c r="O72" t="s">
        <v>63</v>
      </c>
    </row>
    <row r="73" spans="1:15" x14ac:dyDescent="0.25">
      <c r="A73" t="s">
        <v>244</v>
      </c>
      <c r="B73" s="53">
        <v>43678</v>
      </c>
      <c r="C73" t="s">
        <v>467</v>
      </c>
      <c r="D73">
        <v>-0.26</v>
      </c>
      <c r="E73" t="s">
        <v>367</v>
      </c>
      <c r="F73">
        <v>5994.49</v>
      </c>
      <c r="G73" t="s">
        <v>267</v>
      </c>
      <c r="O73" t="s">
        <v>249</v>
      </c>
    </row>
    <row r="74" spans="1:15" x14ac:dyDescent="0.25">
      <c r="A74" t="s">
        <v>244</v>
      </c>
      <c r="B74" s="53">
        <v>43678</v>
      </c>
      <c r="C74" t="s">
        <v>468</v>
      </c>
      <c r="D74">
        <v>-8.7799999999999994</v>
      </c>
      <c r="E74" t="s">
        <v>245</v>
      </c>
      <c r="F74">
        <v>5994.75</v>
      </c>
      <c r="G74" t="s">
        <v>267</v>
      </c>
      <c r="O74" t="s">
        <v>256</v>
      </c>
    </row>
    <row r="75" spans="1:15" x14ac:dyDescent="0.25">
      <c r="A75" t="s">
        <v>246</v>
      </c>
      <c r="B75" s="53">
        <v>43678</v>
      </c>
      <c r="C75" t="s">
        <v>365</v>
      </c>
      <c r="D75">
        <v>18</v>
      </c>
      <c r="E75" t="s">
        <v>247</v>
      </c>
      <c r="F75">
        <v>6003.53</v>
      </c>
      <c r="G75" t="s">
        <v>471</v>
      </c>
      <c r="O75" t="s">
        <v>35</v>
      </c>
    </row>
    <row r="76" spans="1:15" x14ac:dyDescent="0.25">
      <c r="A76" t="s">
        <v>246</v>
      </c>
      <c r="B76" s="53">
        <v>43678</v>
      </c>
      <c r="C76" t="s">
        <v>469</v>
      </c>
      <c r="D76">
        <v>105</v>
      </c>
      <c r="E76" t="s">
        <v>364</v>
      </c>
      <c r="F76">
        <v>5985.53</v>
      </c>
      <c r="G76" t="s">
        <v>315</v>
      </c>
      <c r="O76" t="s">
        <v>29</v>
      </c>
    </row>
    <row r="77" spans="1:15" x14ac:dyDescent="0.25">
      <c r="O77" t="s">
        <v>111</v>
      </c>
    </row>
    <row r="78" spans="1:15" x14ac:dyDescent="0.25">
      <c r="O78" t="s">
        <v>31</v>
      </c>
    </row>
    <row r="79" spans="1:15" x14ac:dyDescent="0.25">
      <c r="C79" t="s">
        <v>31</v>
      </c>
      <c r="D79" t="s">
        <v>31</v>
      </c>
      <c r="E79" t="s">
        <v>51</v>
      </c>
      <c r="O79" t="s">
        <v>255</v>
      </c>
    </row>
    <row r="80" spans="1:15" x14ac:dyDescent="0.25">
      <c r="C80" t="s">
        <v>52</v>
      </c>
      <c r="D80" t="s">
        <v>33</v>
      </c>
      <c r="E80" t="s">
        <v>51</v>
      </c>
      <c r="O80" t="s">
        <v>61</v>
      </c>
    </row>
    <row r="81" spans="3:5" x14ac:dyDescent="0.25">
      <c r="C81" t="s">
        <v>53</v>
      </c>
      <c r="D81" t="s">
        <v>33</v>
      </c>
      <c r="E81" t="s">
        <v>51</v>
      </c>
    </row>
    <row r="82" spans="3:5" x14ac:dyDescent="0.25">
      <c r="C82" t="s">
        <v>54</v>
      </c>
      <c r="D82" t="s">
        <v>33</v>
      </c>
      <c r="E82" t="s">
        <v>51</v>
      </c>
    </row>
    <row r="83" spans="3:5" x14ac:dyDescent="0.25">
      <c r="C83" t="s">
        <v>55</v>
      </c>
      <c r="D83" t="s">
        <v>33</v>
      </c>
      <c r="E83" t="s">
        <v>51</v>
      </c>
    </row>
    <row r="84" spans="3:5" x14ac:dyDescent="0.25">
      <c r="C84" t="s">
        <v>56</v>
      </c>
      <c r="D84" t="s">
        <v>33</v>
      </c>
      <c r="E84" t="s">
        <v>51</v>
      </c>
    </row>
    <row r="85" spans="3:5" x14ac:dyDescent="0.25">
      <c r="C85" t="s">
        <v>110</v>
      </c>
      <c r="D85" t="s">
        <v>110</v>
      </c>
      <c r="E85" t="s">
        <v>111</v>
      </c>
    </row>
    <row r="86" spans="3:5" x14ac:dyDescent="0.25">
      <c r="C86" t="s">
        <v>120</v>
      </c>
      <c r="D86" t="s">
        <v>120</v>
      </c>
      <c r="E86" t="s">
        <v>121</v>
      </c>
    </row>
    <row r="88" spans="3:5" x14ac:dyDescent="0.25">
      <c r="C88" t="s">
        <v>35</v>
      </c>
      <c r="D88" t="s">
        <v>35</v>
      </c>
      <c r="E88" t="s">
        <v>51</v>
      </c>
    </row>
    <row r="89" spans="3:5" x14ac:dyDescent="0.25">
      <c r="C89" t="s">
        <v>57</v>
      </c>
      <c r="D89" t="s">
        <v>37</v>
      </c>
      <c r="E89" t="s">
        <v>51</v>
      </c>
    </row>
    <row r="90" spans="3:5" x14ac:dyDescent="0.25">
      <c r="C90" t="s">
        <v>58</v>
      </c>
      <c r="D90" t="s">
        <v>37</v>
      </c>
      <c r="E90" t="s">
        <v>51</v>
      </c>
    </row>
    <row r="93" spans="3:5" x14ac:dyDescent="0.25">
      <c r="C93" t="s">
        <v>59</v>
      </c>
      <c r="D93" t="s">
        <v>39</v>
      </c>
      <c r="E93" t="s">
        <v>51</v>
      </c>
    </row>
    <row r="94" spans="3:5" x14ac:dyDescent="0.25">
      <c r="C94" t="s">
        <v>60</v>
      </c>
      <c r="D94" t="s">
        <v>39</v>
      </c>
      <c r="E94" t="s">
        <v>51</v>
      </c>
    </row>
    <row r="95" spans="3:5" x14ac:dyDescent="0.25">
      <c r="C95" t="s">
        <v>61</v>
      </c>
      <c r="D95" t="s">
        <v>39</v>
      </c>
      <c r="E95" t="s">
        <v>51</v>
      </c>
    </row>
    <row r="96" spans="3:5" x14ac:dyDescent="0.25">
      <c r="C96" t="s">
        <v>266</v>
      </c>
      <c r="D96" t="s">
        <v>41</v>
      </c>
      <c r="E96" t="s">
        <v>51</v>
      </c>
    </row>
    <row r="97" spans="3:5" x14ac:dyDescent="0.25">
      <c r="C97" t="s">
        <v>249</v>
      </c>
      <c r="D97" t="s">
        <v>41</v>
      </c>
      <c r="E97" t="s">
        <v>51</v>
      </c>
    </row>
    <row r="98" spans="3:5" x14ac:dyDescent="0.25">
      <c r="C98" t="s">
        <v>62</v>
      </c>
      <c r="D98" t="s">
        <v>41</v>
      </c>
      <c r="E98" t="s">
        <v>51</v>
      </c>
    </row>
    <row r="99" spans="3:5" x14ac:dyDescent="0.25">
      <c r="C99" t="s">
        <v>63</v>
      </c>
      <c r="D99" t="s">
        <v>41</v>
      </c>
      <c r="E99" t="s">
        <v>51</v>
      </c>
    </row>
    <row r="100" spans="3:5" x14ac:dyDescent="0.25">
      <c r="C100" t="s">
        <v>265</v>
      </c>
      <c r="D100" t="s">
        <v>41</v>
      </c>
      <c r="E100" t="s">
        <v>51</v>
      </c>
    </row>
    <row r="101" spans="3:5" x14ac:dyDescent="0.25">
      <c r="C101" t="s">
        <v>46</v>
      </c>
      <c r="D101" t="s">
        <v>46</v>
      </c>
      <c r="E101" t="s">
        <v>51</v>
      </c>
    </row>
    <row r="102" spans="3:5" x14ac:dyDescent="0.25">
      <c r="C102" t="s">
        <v>267</v>
      </c>
      <c r="D102" t="s">
        <v>41</v>
      </c>
      <c r="E102" t="s">
        <v>51</v>
      </c>
    </row>
    <row r="103" spans="3:5" x14ac:dyDescent="0.25">
      <c r="C103" t="s">
        <v>64</v>
      </c>
      <c r="D103" t="s">
        <v>26</v>
      </c>
      <c r="E103" t="s">
        <v>66</v>
      </c>
    </row>
    <row r="104" spans="3:5" x14ac:dyDescent="0.25">
      <c r="C104" t="s">
        <v>29</v>
      </c>
      <c r="D104" t="s">
        <v>26</v>
      </c>
      <c r="E104" t="s">
        <v>66</v>
      </c>
    </row>
    <row r="105" spans="3:5" x14ac:dyDescent="0.25">
      <c r="C105" t="s">
        <v>65</v>
      </c>
      <c r="D105" t="s">
        <v>26</v>
      </c>
      <c r="E105" t="s">
        <v>66</v>
      </c>
    </row>
    <row r="107" spans="3:5" x14ac:dyDescent="0.25">
      <c r="C107" t="s">
        <v>289</v>
      </c>
      <c r="D107" t="s">
        <v>289</v>
      </c>
      <c r="E107" t="s">
        <v>66</v>
      </c>
    </row>
    <row r="109" spans="3:5" x14ac:dyDescent="0.25">
      <c r="C109" t="s">
        <v>67</v>
      </c>
      <c r="D109" t="s">
        <v>67</v>
      </c>
      <c r="E109" t="s">
        <v>66</v>
      </c>
    </row>
    <row r="110" spans="3:5" x14ac:dyDescent="0.25">
      <c r="C110" t="s">
        <v>264</v>
      </c>
      <c r="D110" t="s">
        <v>71</v>
      </c>
      <c r="E110" t="s">
        <v>66</v>
      </c>
    </row>
    <row r="111" spans="3:5" x14ac:dyDescent="0.25">
      <c r="C111" t="s">
        <v>68</v>
      </c>
      <c r="D111" t="s">
        <v>70</v>
      </c>
      <c r="E111" t="s">
        <v>66</v>
      </c>
    </row>
    <row r="112" spans="3:5" x14ac:dyDescent="0.25">
      <c r="C112" t="s">
        <v>69</v>
      </c>
      <c r="D112" t="s">
        <v>71</v>
      </c>
      <c r="E112" t="s">
        <v>66</v>
      </c>
    </row>
    <row r="113" spans="3:5" x14ac:dyDescent="0.25">
      <c r="C113" t="s">
        <v>72</v>
      </c>
      <c r="D113" t="s">
        <v>70</v>
      </c>
      <c r="E113" t="s">
        <v>66</v>
      </c>
    </row>
    <row r="114" spans="3:5" x14ac:dyDescent="0.25">
      <c r="C114" t="s">
        <v>73</v>
      </c>
      <c r="D114" t="s">
        <v>71</v>
      </c>
      <c r="E114" t="s">
        <v>66</v>
      </c>
    </row>
    <row r="115" spans="3:5" x14ac:dyDescent="0.25">
      <c r="C115" t="s">
        <v>263</v>
      </c>
      <c r="D115" t="s">
        <v>71</v>
      </c>
      <c r="E115" t="s">
        <v>66</v>
      </c>
    </row>
    <row r="116" spans="3:5" x14ac:dyDescent="0.25">
      <c r="C116" t="s">
        <v>75</v>
      </c>
      <c r="D116" t="s">
        <v>75</v>
      </c>
      <c r="E116" t="s">
        <v>66</v>
      </c>
    </row>
    <row r="117" spans="3:5" x14ac:dyDescent="0.25">
      <c r="C117" t="s">
        <v>76</v>
      </c>
      <c r="D117" t="s">
        <v>76</v>
      </c>
      <c r="E117" t="s">
        <v>66</v>
      </c>
    </row>
    <row r="118" spans="3:5" x14ac:dyDescent="0.25">
      <c r="C118" t="s">
        <v>77</v>
      </c>
      <c r="D118" t="s">
        <v>77</v>
      </c>
      <c r="E118" t="s">
        <v>66</v>
      </c>
    </row>
    <row r="119" spans="3:5" x14ac:dyDescent="0.25">
      <c r="C119" t="s">
        <v>78</v>
      </c>
      <c r="D119" t="s">
        <v>78</v>
      </c>
      <c r="E119" t="s">
        <v>66</v>
      </c>
    </row>
    <row r="120" spans="3:5" x14ac:dyDescent="0.25">
      <c r="C120" t="s">
        <v>288</v>
      </c>
      <c r="D120" t="s">
        <v>288</v>
      </c>
      <c r="E120" t="s">
        <v>66</v>
      </c>
    </row>
    <row r="121" spans="3:5" x14ac:dyDescent="0.25">
      <c r="C121" t="s">
        <v>237</v>
      </c>
      <c r="D121" t="s">
        <v>237</v>
      </c>
    </row>
    <row r="122" spans="3:5" x14ac:dyDescent="0.25">
      <c r="C122" t="s">
        <v>316</v>
      </c>
      <c r="D122" t="s">
        <v>316</v>
      </c>
      <c r="E122" t="s">
        <v>66</v>
      </c>
    </row>
    <row r="123" spans="3:5" x14ac:dyDescent="0.25">
      <c r="C123" t="s">
        <v>250</v>
      </c>
      <c r="D123" t="s">
        <v>250</v>
      </c>
      <c r="E123" t="s">
        <v>66</v>
      </c>
    </row>
    <row r="124" spans="3:5" x14ac:dyDescent="0.25">
      <c r="C124" t="s">
        <v>252</v>
      </c>
      <c r="D124" t="s">
        <v>252</v>
      </c>
      <c r="E124" t="s">
        <v>66</v>
      </c>
    </row>
    <row r="125" spans="3:5" x14ac:dyDescent="0.25">
      <c r="C125" t="s">
        <v>317</v>
      </c>
      <c r="D125" t="s">
        <v>66</v>
      </c>
      <c r="E125" t="s">
        <v>66</v>
      </c>
    </row>
    <row r="126" spans="3:5" x14ac:dyDescent="0.25">
      <c r="C126" t="s">
        <v>255</v>
      </c>
      <c r="D126" t="s">
        <v>70</v>
      </c>
      <c r="E126" t="s">
        <v>66</v>
      </c>
    </row>
    <row r="127" spans="3:5" x14ac:dyDescent="0.25">
      <c r="C127" t="s">
        <v>256</v>
      </c>
      <c r="D127" t="s">
        <v>71</v>
      </c>
      <c r="E127" t="s">
        <v>66</v>
      </c>
    </row>
    <row r="128" spans="3:5" x14ac:dyDescent="0.25">
      <c r="C128" t="s">
        <v>369</v>
      </c>
      <c r="D128" t="s">
        <v>369</v>
      </c>
      <c r="E128" t="s">
        <v>66</v>
      </c>
    </row>
    <row r="129" spans="3:5" x14ac:dyDescent="0.25">
      <c r="C129" t="s">
        <v>262</v>
      </c>
      <c r="D129" t="s">
        <v>66</v>
      </c>
      <c r="E129" t="s">
        <v>66</v>
      </c>
    </row>
    <row r="130" spans="3:5" x14ac:dyDescent="0.25">
      <c r="C130" t="s">
        <v>280</v>
      </c>
      <c r="D130" t="s">
        <v>66</v>
      </c>
      <c r="E130" t="s">
        <v>66</v>
      </c>
    </row>
    <row r="131" spans="3:5" x14ac:dyDescent="0.25">
      <c r="C131" t="s">
        <v>120</v>
      </c>
      <c r="D131" t="s">
        <v>121</v>
      </c>
      <c r="E131" t="s">
        <v>121</v>
      </c>
    </row>
    <row r="132" spans="3:5" x14ac:dyDescent="0.25">
      <c r="C132" t="s">
        <v>320</v>
      </c>
      <c r="D132" t="s">
        <v>121</v>
      </c>
      <c r="E132" t="s">
        <v>121</v>
      </c>
    </row>
    <row r="133" spans="3:5" x14ac:dyDescent="0.25">
      <c r="C133" t="s">
        <v>324</v>
      </c>
      <c r="D133" t="s">
        <v>46</v>
      </c>
      <c r="E133" t="s">
        <v>51</v>
      </c>
    </row>
    <row r="204" spans="7:7" x14ac:dyDescent="0.25">
      <c r="G204" t="s">
        <v>400</v>
      </c>
    </row>
  </sheetData>
  <conditionalFormatting sqref="D2:D208">
    <cfRule type="cellIs" dxfId="141" priority="1" operator="greaterThan">
      <formula>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570C9-60CF-4EC9-8F7B-B615D50DB16A}">
  <sheetPr>
    <tabColor theme="9" tint="0.39997558519241921"/>
  </sheetPr>
  <dimension ref="A1:R1001"/>
  <sheetViews>
    <sheetView topLeftCell="A84" workbookViewId="0">
      <selection activeCell="G100" sqref="G100"/>
    </sheetView>
  </sheetViews>
  <sheetFormatPr defaultRowHeight="15" x14ac:dyDescent="0.25"/>
  <cols>
    <col min="1" max="1" width="7.140625" customWidth="1"/>
    <col min="2" max="2" width="30.5703125" customWidth="1"/>
    <col min="3" max="5" width="8.5703125" customWidth="1"/>
    <col min="6" max="6" width="8.5703125" style="217" customWidth="1"/>
    <col min="7" max="8" width="8.5703125" customWidth="1"/>
    <col min="9" max="9" width="8.5703125" style="217" customWidth="1"/>
    <col min="10" max="10" width="10.140625" customWidth="1"/>
    <col min="11" max="11" width="9.5703125" customWidth="1"/>
    <col min="12" max="14" width="19.42578125" customWidth="1"/>
    <col min="15" max="15" width="14.7109375" style="1" customWidth="1"/>
    <col min="16" max="16" width="10.4257812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66" t="s">
        <v>6</v>
      </c>
      <c r="G1" s="1" t="s">
        <v>18</v>
      </c>
      <c r="H1" s="28" t="s">
        <v>19</v>
      </c>
      <c r="I1" s="216" t="s">
        <v>20</v>
      </c>
      <c r="J1" s="2" t="s">
        <v>16</v>
      </c>
      <c r="L1" s="13" t="s">
        <v>1</v>
      </c>
      <c r="M1" s="4" t="s">
        <v>2</v>
      </c>
      <c r="N1" s="4" t="s">
        <v>3</v>
      </c>
      <c r="O1" s="17" t="s">
        <v>4</v>
      </c>
      <c r="P1" s="4" t="s">
        <v>5</v>
      </c>
      <c r="Q1" s="29" t="s">
        <v>18</v>
      </c>
      <c r="R1" s="30"/>
    </row>
    <row r="2" spans="1:18" x14ac:dyDescent="0.25">
      <c r="A2" s="3">
        <v>1</v>
      </c>
      <c r="B2" s="1" t="s">
        <v>251</v>
      </c>
      <c r="C2" s="1">
        <v>5</v>
      </c>
      <c r="D2" s="1">
        <v>2019</v>
      </c>
      <c r="E2" s="1" t="s">
        <v>7</v>
      </c>
      <c r="F2" s="166">
        <v>1000</v>
      </c>
      <c r="G2" s="1" t="s">
        <v>21</v>
      </c>
      <c r="H2" s="1">
        <f>IF(Table1[[#This Row],[Description]]="","",IF(Table1[[#This Row],[Currency]]=$Q$2,$R$2,HLOOKUP(Table1[[#This Row],[Date]],Funds!$C$10:$GV$11,2,FALSE)))</f>
        <v>1</v>
      </c>
      <c r="I2" s="166">
        <f>IF(Table1[[#This Row],[Description]]="","",Table1[[#This Row],[Value]]/Table1[[#This Row],[Conversion]])</f>
        <v>1000</v>
      </c>
      <c r="J2" s="45">
        <f>IF(Table1[[#This Row],[Description]]="","",DATE(Table1[[#This Row],[Year]],Table1[[#This Row],[Month]],1))</f>
        <v>43586</v>
      </c>
      <c r="L2" s="14" t="s">
        <v>11</v>
      </c>
      <c r="M2" s="7">
        <v>1</v>
      </c>
      <c r="N2" s="7">
        <v>2019</v>
      </c>
      <c r="O2" s="18" t="s">
        <v>7</v>
      </c>
      <c r="P2" s="5" t="s">
        <v>9</v>
      </c>
      <c r="Q2" s="20" t="s">
        <v>21</v>
      </c>
      <c r="R2" s="5">
        <v>1</v>
      </c>
    </row>
    <row r="3" spans="1:18" x14ac:dyDescent="0.25">
      <c r="A3" s="3">
        <v>2</v>
      </c>
      <c r="B3" s="1" t="s">
        <v>259</v>
      </c>
      <c r="C3" s="1">
        <v>5</v>
      </c>
      <c r="D3" s="1">
        <v>2019</v>
      </c>
      <c r="E3" s="1" t="s">
        <v>8</v>
      </c>
      <c r="F3" s="166">
        <v>3388.05</v>
      </c>
      <c r="G3" s="1" t="s">
        <v>22</v>
      </c>
      <c r="H3" s="1">
        <f>IF(Table1[[#This Row],[Description]]="","",IF(Table1[[#This Row],[Currency]]=$Q$2,$R$2,HLOOKUP(Table1[[#This Row],[Date]],Funds!$C$10:$GV$11,2,FALSE)))</f>
        <v>3.92</v>
      </c>
      <c r="I3" s="166">
        <f>IF(Table1[[#This Row],[Description]]="","",Table1[[#This Row],[Value]]/Table1[[#This Row],[Conversion]])</f>
        <v>864.29846938775518</v>
      </c>
      <c r="J3" s="45">
        <f>IF(Table1[[#This Row],[Description]]="","",DATE(Table1[[#This Row],[Year]],Table1[[#This Row],[Month]],1))</f>
        <v>43586</v>
      </c>
      <c r="L3" s="14" t="s">
        <v>12</v>
      </c>
      <c r="M3" s="7">
        <v>2</v>
      </c>
      <c r="N3" s="7">
        <v>2020</v>
      </c>
      <c r="O3" s="19" t="s">
        <v>8</v>
      </c>
      <c r="P3" s="6" t="s">
        <v>10</v>
      </c>
      <c r="Q3" s="31" t="s">
        <v>22</v>
      </c>
      <c r="R3" s="32">
        <v>3.9</v>
      </c>
    </row>
    <row r="4" spans="1:18" x14ac:dyDescent="0.25">
      <c r="A4" s="3">
        <v>3</v>
      </c>
      <c r="B4" s="1" t="s">
        <v>259</v>
      </c>
      <c r="C4" s="1">
        <v>5</v>
      </c>
      <c r="D4" s="1">
        <v>2019</v>
      </c>
      <c r="E4" s="1" t="s">
        <v>8</v>
      </c>
      <c r="F4" s="166">
        <v>9803.4500000000007</v>
      </c>
      <c r="G4" s="1" t="s">
        <v>22</v>
      </c>
      <c r="H4" s="1">
        <f>IF(Table1[[#This Row],[Description]]="","",IF(Table1[[#This Row],[Currency]]=$Q$2,$R$2,HLOOKUP(Table1[[#This Row],[Date]],Funds!$C$10:$GV$11,2,FALSE)))</f>
        <v>3.92</v>
      </c>
      <c r="I4" s="166">
        <f>IF(Table1[[#This Row],[Description]]="","",Table1[[#This Row],[Value]]/Table1[[#This Row],[Conversion]])</f>
        <v>2500.8801020408164</v>
      </c>
      <c r="J4" s="45">
        <f>IF(Table1[[#This Row],[Description]]="","",DATE(Table1[[#This Row],[Year]],Table1[[#This Row],[Month]],1))</f>
        <v>43586</v>
      </c>
      <c r="L4" s="14" t="s">
        <v>13</v>
      </c>
      <c r="M4" s="7">
        <v>3</v>
      </c>
      <c r="N4" s="7">
        <v>2021</v>
      </c>
    </row>
    <row r="5" spans="1:18" x14ac:dyDescent="0.25">
      <c r="A5" s="3">
        <v>4</v>
      </c>
      <c r="B5" s="1" t="s">
        <v>270</v>
      </c>
      <c r="C5" s="1">
        <v>5</v>
      </c>
      <c r="D5" s="1">
        <v>2019</v>
      </c>
      <c r="E5" s="1" t="s">
        <v>7</v>
      </c>
      <c r="F5" s="166">
        <v>7595.8599999999988</v>
      </c>
      <c r="G5" s="1" t="s">
        <v>22</v>
      </c>
      <c r="H5" s="1">
        <f>IF(Table1[[#This Row],[Description]]="","",IF(Table1[[#This Row],[Currency]]=$Q$2,$R$2,HLOOKUP(Table1[[#This Row],[Date]],Funds!$C$10:$GV$11,2,FALSE)))</f>
        <v>3.92</v>
      </c>
      <c r="I5" s="166">
        <f>IF(Table1[[#This Row],[Description]]="","",Table1[[#This Row],[Value]]/Table1[[#This Row],[Conversion]])</f>
        <v>1937.7193877551017</v>
      </c>
      <c r="J5" s="45">
        <f>IF(Table1[[#This Row],[Description]]="","",DATE(Table1[[#This Row],[Year]],Table1[[#This Row],[Month]],1))</f>
        <v>43586</v>
      </c>
      <c r="L5" s="14" t="s">
        <v>251</v>
      </c>
      <c r="M5" s="7">
        <v>4</v>
      </c>
      <c r="N5" s="20">
        <v>2022</v>
      </c>
    </row>
    <row r="6" spans="1:18" x14ac:dyDescent="0.25">
      <c r="A6" s="3">
        <v>5</v>
      </c>
      <c r="B6" s="1" t="s">
        <v>271</v>
      </c>
      <c r="C6" s="1">
        <v>5</v>
      </c>
      <c r="D6" s="1">
        <v>2019</v>
      </c>
      <c r="E6" s="1" t="s">
        <v>7</v>
      </c>
      <c r="F6" s="166">
        <v>100</v>
      </c>
      <c r="G6" s="1" t="s">
        <v>21</v>
      </c>
      <c r="H6" s="1">
        <f>IF(Table1[[#This Row],[Description]]="","",IF(Table1[[#This Row],[Currency]]=$Q$2,$R$2,HLOOKUP(Table1[[#This Row],[Date]],Funds!$C$10:$GV$11,2,FALSE)))</f>
        <v>1</v>
      </c>
      <c r="I6" s="166">
        <f>IF(Table1[[#This Row],[Description]]="","",Table1[[#This Row],[Value]]/Table1[[#This Row],[Conversion]])</f>
        <v>100</v>
      </c>
      <c r="J6" s="45">
        <f>IF(Table1[[#This Row],[Description]]="","",DATE(Table1[[#This Row],[Year]],Table1[[#This Row],[Month]],1))</f>
        <v>43586</v>
      </c>
      <c r="L6" s="14" t="s">
        <v>259</v>
      </c>
      <c r="M6" s="7">
        <v>5</v>
      </c>
      <c r="N6" s="7"/>
    </row>
    <row r="7" spans="1:18" x14ac:dyDescent="0.25">
      <c r="B7" s="1" t="s">
        <v>315</v>
      </c>
      <c r="C7">
        <v>6</v>
      </c>
      <c r="D7">
        <v>2019</v>
      </c>
      <c r="E7" t="s">
        <v>7</v>
      </c>
      <c r="F7" s="217">
        <v>185</v>
      </c>
      <c r="G7" s="1" t="s">
        <v>21</v>
      </c>
      <c r="H7">
        <f>IF(Table1[[#This Row],[Description]]="","",IF(Table1[[#This Row],[Currency]]=$Q$2,$R$2,HLOOKUP(Table1[[#This Row],[Date]],Funds!$C$10:$GV$11,2,FALSE)))</f>
        <v>1</v>
      </c>
      <c r="I7" s="217">
        <f>IF(Table1[[#This Row],[Description]]="","",Table1[[#This Row],[Value]]/Table1[[#This Row],[Conversion]])</f>
        <v>185</v>
      </c>
      <c r="J7" s="50">
        <f>IF(Table1[[#This Row],[Description]]="","",DATE(Table1[[#This Row],[Year]],Table1[[#This Row],[Month]],1))</f>
        <v>43617</v>
      </c>
      <c r="L7" s="14" t="s">
        <v>270</v>
      </c>
      <c r="M7" s="7">
        <v>6</v>
      </c>
      <c r="N7" s="7"/>
    </row>
    <row r="8" spans="1:18" x14ac:dyDescent="0.25">
      <c r="B8" t="s">
        <v>11</v>
      </c>
      <c r="C8">
        <v>6</v>
      </c>
      <c r="D8">
        <v>2019</v>
      </c>
      <c r="E8" t="s">
        <v>8</v>
      </c>
      <c r="F8" s="217">
        <v>3742.48</v>
      </c>
      <c r="G8" s="1" t="s">
        <v>21</v>
      </c>
      <c r="H8">
        <f>IF(Table1[[#This Row],[Description]]="","",IF(Table1[[#This Row],[Currency]]=$Q$2,$R$2,HLOOKUP(Table1[[#This Row],[Date]],Funds!$C$10:$GV$11,2,FALSE)))</f>
        <v>1</v>
      </c>
      <c r="I8" s="217">
        <f>IF(Table1[[#This Row],[Description]]="","",Table1[[#This Row],[Value]]/Table1[[#This Row],[Conversion]])</f>
        <v>3742.48</v>
      </c>
      <c r="J8" s="50">
        <f>IF(Table1[[#This Row],[Description]]="","",DATE(Table1[[#This Row],[Year]],Table1[[#This Row],[Month]],1))</f>
        <v>43617</v>
      </c>
      <c r="L8" s="14" t="s">
        <v>271</v>
      </c>
      <c r="M8" s="7">
        <v>7</v>
      </c>
      <c r="N8" s="7"/>
    </row>
    <row r="9" spans="1:18" x14ac:dyDescent="0.25">
      <c r="B9" t="s">
        <v>320</v>
      </c>
      <c r="C9">
        <v>6</v>
      </c>
      <c r="D9">
        <v>2019</v>
      </c>
      <c r="E9" t="s">
        <v>8</v>
      </c>
      <c r="F9" s="217">
        <v>140.22293048758647</v>
      </c>
      <c r="G9" s="1" t="s">
        <v>21</v>
      </c>
      <c r="H9">
        <f>IF(Table1[[#This Row],[Description]]="","",IF(Table1[[#This Row],[Currency]]=$Q$2,$R$2,HLOOKUP(Table1[[#This Row],[Date]],Funds!$C$10:$GV$11,2,FALSE)))</f>
        <v>1</v>
      </c>
      <c r="I9" s="217">
        <f>IF(Table1[[#This Row],[Description]]="","",Table1[[#This Row],[Value]]/Table1[[#This Row],[Conversion]])</f>
        <v>140.22293048758647</v>
      </c>
      <c r="J9" s="50">
        <f>IF(Table1[[#This Row],[Description]]="","",DATE(Table1[[#This Row],[Year]],Table1[[#This Row],[Month]],1))</f>
        <v>43617</v>
      </c>
      <c r="L9" s="14" t="s">
        <v>315</v>
      </c>
      <c r="M9" s="7">
        <v>8</v>
      </c>
      <c r="N9" s="7"/>
    </row>
    <row r="10" spans="1:18" x14ac:dyDescent="0.25">
      <c r="B10" t="s">
        <v>46</v>
      </c>
      <c r="C10">
        <v>6</v>
      </c>
      <c r="D10">
        <v>2019</v>
      </c>
      <c r="E10" t="s">
        <v>8</v>
      </c>
      <c r="F10" s="217">
        <v>106.94145380379831</v>
      </c>
      <c r="G10" s="1" t="s">
        <v>21</v>
      </c>
      <c r="H10">
        <f>IF(Table1[[#This Row],[Description]]="","",IF(Table1[[#This Row],[Currency]]=$Q$2,$R$2,HLOOKUP(Table1[[#This Row],[Date]],Funds!$C$10:$GV$11,2,FALSE)))</f>
        <v>1</v>
      </c>
      <c r="I10" s="217">
        <f>IF(Table1[[#This Row],[Description]]="","",Table1[[#This Row],[Value]]/Table1[[#This Row],[Conversion]])</f>
        <v>106.94145380379831</v>
      </c>
      <c r="J10" s="50">
        <f>IF(Table1[[#This Row],[Description]]="","",DATE(Table1[[#This Row],[Year]],Table1[[#This Row],[Month]],1))</f>
        <v>43617</v>
      </c>
      <c r="L10" s="14" t="s">
        <v>320</v>
      </c>
      <c r="M10" s="7">
        <v>9</v>
      </c>
      <c r="N10" s="7"/>
    </row>
    <row r="11" spans="1:18" x14ac:dyDescent="0.25">
      <c r="B11" t="s">
        <v>324</v>
      </c>
      <c r="C11">
        <v>6</v>
      </c>
      <c r="D11">
        <v>2019</v>
      </c>
      <c r="E11" t="s">
        <v>8</v>
      </c>
      <c r="F11" s="217">
        <v>13.80516949103578</v>
      </c>
      <c r="G11" s="1" t="s">
        <v>21</v>
      </c>
      <c r="H11">
        <f>IF(Table1[[#This Row],[Description]]="","",IF(Table1[[#This Row],[Currency]]=$Q$2,$R$2,HLOOKUP(Table1[[#This Row],[Date]],Funds!$C$10:$GV$11,2,FALSE)))</f>
        <v>1</v>
      </c>
      <c r="I11" s="217">
        <f>IF(Table1[[#This Row],[Description]]="","",Table1[[#This Row],[Value]]/Table1[[#This Row],[Conversion]])</f>
        <v>13.80516949103578</v>
      </c>
      <c r="J11" s="50">
        <f>IF(Table1[[#This Row],[Description]]="","",DATE(Table1[[#This Row],[Year]],Table1[[#This Row],[Month]],1))</f>
        <v>43617</v>
      </c>
      <c r="L11" s="301" t="s">
        <v>515</v>
      </c>
      <c r="M11" s="7">
        <v>10</v>
      </c>
      <c r="N11" s="7"/>
    </row>
    <row r="12" spans="1:18" x14ac:dyDescent="0.25">
      <c r="B12" t="s">
        <v>11</v>
      </c>
      <c r="C12">
        <v>7</v>
      </c>
      <c r="D12">
        <v>2019</v>
      </c>
      <c r="E12" t="s">
        <v>8</v>
      </c>
      <c r="F12" s="217">
        <v>4997.8</v>
      </c>
      <c r="G12" s="1" t="s">
        <v>21</v>
      </c>
      <c r="H12">
        <f>IF(Table1[[#This Row],[Description]]="","",IF(Table1[[#This Row],[Currency]]=$Q$2,$R$2,HLOOKUP(Table1[[#This Row],[Date]],Funds!$C$10:$GV$11,2,FALSE)))</f>
        <v>1</v>
      </c>
      <c r="I12" s="217">
        <f>IF(Table1[[#This Row],[Description]]="","",Table1[[#This Row],[Value]]/Table1[[#This Row],[Conversion]])</f>
        <v>4997.8</v>
      </c>
      <c r="J12" s="50">
        <f>IF(Table1[[#This Row],[Description]]="","",DATE(Table1[[#This Row],[Year]],Table1[[#This Row],[Month]],1))</f>
        <v>43647</v>
      </c>
      <c r="L12" s="14" t="s">
        <v>46</v>
      </c>
      <c r="M12" s="7">
        <v>11</v>
      </c>
      <c r="N12" s="7"/>
    </row>
    <row r="13" spans="1:18" x14ac:dyDescent="0.25">
      <c r="B13" t="s">
        <v>315</v>
      </c>
      <c r="C13">
        <v>7</v>
      </c>
      <c r="D13">
        <v>2019</v>
      </c>
      <c r="E13" t="s">
        <v>7</v>
      </c>
      <c r="F13" s="217">
        <v>884.14</v>
      </c>
      <c r="G13" t="s">
        <v>21</v>
      </c>
      <c r="H13">
        <f>IF(Table1[[#This Row],[Description]]="","",IF(Table1[[#This Row],[Currency]]=$Q$2,$R$2,HLOOKUP(Table1[[#This Row],[Date]],Funds!$C$10:$GV$11,2,FALSE)))</f>
        <v>1</v>
      </c>
      <c r="I13" s="217">
        <f>IF(Table1[[#This Row],[Description]]="","",Table1[[#This Row],[Value]]/Table1[[#This Row],[Conversion]])</f>
        <v>884.14</v>
      </c>
      <c r="J13" s="50">
        <f>IF(Table1[[#This Row],[Description]]="","",DATE(Table1[[#This Row],[Year]],Table1[[#This Row],[Month]],1))</f>
        <v>43647</v>
      </c>
      <c r="L13" s="14" t="s">
        <v>324</v>
      </c>
      <c r="M13" s="8">
        <v>12</v>
      </c>
      <c r="N13" s="8"/>
    </row>
    <row r="14" spans="1:18" x14ac:dyDescent="0.25">
      <c r="B14" t="s">
        <v>315</v>
      </c>
      <c r="C14">
        <v>7</v>
      </c>
      <c r="D14">
        <v>2019</v>
      </c>
      <c r="E14" t="s">
        <v>7</v>
      </c>
      <c r="F14">
        <v>750</v>
      </c>
      <c r="G14" s="217" t="s">
        <v>21</v>
      </c>
      <c r="H14">
        <f>IF(Table1[[#This Row],[Description]]="","",IF(Table1[[#This Row],[Currency]]=$Q$2,$R$2,HLOOKUP(Table1[[#This Row],[Date]],Funds!$C$10:$GV$11,2,FALSE)))</f>
        <v>1</v>
      </c>
      <c r="I14" s="217">
        <f>IF(Table1[[#This Row],[Description]]="","",Table1[[#This Row],[Value]]/Table1[[#This Row],[Conversion]])</f>
        <v>750</v>
      </c>
      <c r="J14" s="50">
        <f>IF(Table1[[#This Row],[Description]]="","",DATE(Table1[[#This Row],[Year]],Table1[[#This Row],[Month]],1))</f>
        <v>43647</v>
      </c>
      <c r="L14" s="15" t="s">
        <v>372</v>
      </c>
    </row>
    <row r="15" spans="1:18" x14ac:dyDescent="0.25">
      <c r="B15" t="s">
        <v>315</v>
      </c>
      <c r="C15">
        <v>7</v>
      </c>
      <c r="D15">
        <v>2019</v>
      </c>
      <c r="E15" t="s">
        <v>7</v>
      </c>
      <c r="F15" s="217">
        <v>740</v>
      </c>
      <c r="G15" t="s">
        <v>22</v>
      </c>
      <c r="H15">
        <f>IF(Table1[[#This Row],[Description]]="","",IF(Table1[[#This Row],[Currency]]=$Q$2,$R$2,HLOOKUP(Table1[[#This Row],[Date]],Funds!$C$10:$GV$11,2,FALSE)))</f>
        <v>3.81</v>
      </c>
      <c r="I15" s="217">
        <f>IF(Table1[[#This Row],[Description]]="","",Table1[[#This Row],[Value]]/Table1[[#This Row],[Conversion]])</f>
        <v>194.22572178477691</v>
      </c>
      <c r="J15" s="50">
        <f>IF(Table1[[#This Row],[Description]]="","",DATE(Table1[[#This Row],[Year]],Table1[[#This Row],[Month]],1))</f>
        <v>43647</v>
      </c>
    </row>
    <row r="16" spans="1:18" x14ac:dyDescent="0.25">
      <c r="B16" t="s">
        <v>320</v>
      </c>
      <c r="C16">
        <v>7</v>
      </c>
      <c r="D16">
        <v>2019</v>
      </c>
      <c r="E16" t="s">
        <v>8</v>
      </c>
      <c r="F16" s="217">
        <v>280.45</v>
      </c>
      <c r="G16" s="217" t="s">
        <v>21</v>
      </c>
      <c r="H16">
        <f>IF(Table1[[#This Row],[Description]]="","",IF(Table1[[#This Row],[Currency]]=$Q$2,$R$2,HLOOKUP(Table1[[#This Row],[Date]],Funds!$C$10:$GV$11,2,FALSE)))</f>
        <v>1</v>
      </c>
      <c r="I16" s="217">
        <f>IF(Table1[[#This Row],[Description]]="","",Table1[[#This Row],[Value]]/Table1[[#This Row],[Conversion]])</f>
        <v>280.45</v>
      </c>
      <c r="J16" s="50">
        <f>IF(Table1[[#This Row],[Description]]="","",DATE(Table1[[#This Row],[Year]],Table1[[#This Row],[Month]],1))</f>
        <v>43647</v>
      </c>
      <c r="L16" t="s">
        <v>371</v>
      </c>
      <c r="M16" s="12">
        <v>2</v>
      </c>
    </row>
    <row r="17" spans="2:16" x14ac:dyDescent="0.25">
      <c r="B17" t="s">
        <v>46</v>
      </c>
      <c r="C17">
        <v>7</v>
      </c>
      <c r="D17">
        <v>2019</v>
      </c>
      <c r="E17" t="s">
        <v>8</v>
      </c>
      <c r="F17" s="217">
        <v>106.94145380379831</v>
      </c>
      <c r="G17" s="217" t="s">
        <v>21</v>
      </c>
      <c r="H17">
        <f>IF(Table1[[#This Row],[Description]]="","",IF(Table1[[#This Row],[Currency]]=$Q$2,$R$2,HLOOKUP(Table1[[#This Row],[Date]],Funds!$C$10:$GV$11,2,FALSE)))</f>
        <v>1</v>
      </c>
      <c r="I17" s="217">
        <f>IF(Table1[[#This Row],[Description]]="","",Table1[[#This Row],[Value]]/Table1[[#This Row],[Conversion]])</f>
        <v>106.94145380379831</v>
      </c>
      <c r="J17" s="50">
        <f>IF(Table1[[#This Row],[Description]]="","",DATE(Table1[[#This Row],[Year]],Table1[[#This Row],[Month]],1))</f>
        <v>43647</v>
      </c>
      <c r="L17">
        <v>105</v>
      </c>
      <c r="N17">
        <f>L17*(1-$L$25)</f>
        <v>85.06706552574866</v>
      </c>
    </row>
    <row r="18" spans="2:16" x14ac:dyDescent="0.25">
      <c r="B18" t="s">
        <v>324</v>
      </c>
      <c r="C18">
        <v>7</v>
      </c>
      <c r="D18">
        <v>2019</v>
      </c>
      <c r="E18" t="s">
        <v>8</v>
      </c>
      <c r="F18" s="217">
        <v>13.80516949103578</v>
      </c>
      <c r="G18" s="217" t="s">
        <v>21</v>
      </c>
      <c r="H18">
        <f>IF(Table1[[#This Row],[Description]]="","",IF(Table1[[#This Row],[Currency]]=$Q$2,$R$2,HLOOKUP(Table1[[#This Row],[Date]],Funds!$C$10:$GV$11,2,FALSE)))</f>
        <v>1</v>
      </c>
      <c r="I18" s="217">
        <f>IF(Table1[[#This Row],[Description]]="","",Table1[[#This Row],[Value]]/Table1[[#This Row],[Conversion]])</f>
        <v>13.80516949103578</v>
      </c>
      <c r="J18" s="50">
        <f>IF(Table1[[#This Row],[Description]]="","",DATE(Table1[[#This Row],[Year]],Table1[[#This Row],[Month]],1))</f>
        <v>43647</v>
      </c>
      <c r="L18">
        <f>173.08*M16</f>
        <v>346.16</v>
      </c>
      <c r="M18" t="s">
        <v>320</v>
      </c>
      <c r="N18">
        <f>L18*(1-$L$25)</f>
        <v>280.44586097517293</v>
      </c>
      <c r="P18">
        <f>L18/2*(1-$L$25)</f>
        <v>140.22293048758647</v>
      </c>
    </row>
    <row r="19" spans="2:16" x14ac:dyDescent="0.25">
      <c r="B19" t="s">
        <v>372</v>
      </c>
      <c r="C19">
        <v>7</v>
      </c>
      <c r="D19">
        <v>2019</v>
      </c>
      <c r="E19" t="s">
        <v>8</v>
      </c>
      <c r="F19" s="217">
        <v>85.06</v>
      </c>
      <c r="G19" s="217" t="s">
        <v>21</v>
      </c>
      <c r="H19">
        <f>IF(Table1[[#This Row],[Description]]="","",IF(Table1[[#This Row],[Currency]]=$Q$2,$R$2,HLOOKUP(Table1[[#This Row],[Date]],Funds!$C$10:$GV$11,2,FALSE)))</f>
        <v>1</v>
      </c>
      <c r="I19" s="217">
        <f>IF(Table1[[#This Row],[Description]]="","",Table1[[#This Row],[Value]]/Table1[[#This Row],[Conversion]])</f>
        <v>85.06</v>
      </c>
      <c r="J19" s="50">
        <f>IF(Table1[[#This Row],[Description]]="","",DATE(Table1[[#This Row],[Year]],Table1[[#This Row],[Month]],1))</f>
        <v>43647</v>
      </c>
      <c r="L19">
        <f>66*M16</f>
        <v>132</v>
      </c>
      <c r="M19" t="s">
        <v>46</v>
      </c>
      <c r="N19">
        <f>L19*(1-$L$25)</f>
        <v>106.94145380379831</v>
      </c>
      <c r="P19">
        <f>L19/2*(1-$L$25)</f>
        <v>53.470726901899155</v>
      </c>
    </row>
    <row r="20" spans="2:16" x14ac:dyDescent="0.25">
      <c r="B20" t="s">
        <v>11</v>
      </c>
      <c r="C20">
        <v>8</v>
      </c>
      <c r="D20">
        <v>2019</v>
      </c>
      <c r="E20" t="s">
        <v>8</v>
      </c>
      <c r="F20" s="217">
        <v>7536.29</v>
      </c>
      <c r="G20" s="217" t="s">
        <v>21</v>
      </c>
      <c r="H20">
        <f>IF(Table1[[#This Row],[Description]]="","",IF(Table1[[#This Row],[Currency]]=$Q$2,$R$2,HLOOKUP(Table1[[#This Row],[Date]],Funds!$C$10:$GV$11,2,FALSE)))</f>
        <v>1</v>
      </c>
      <c r="I20" s="217">
        <f>IF(Table1[[#This Row],[Description]]="","",Table1[[#This Row],[Value]]/Table1[[#This Row],[Conversion]])</f>
        <v>7536.29</v>
      </c>
      <c r="J20" s="50">
        <f>IF(Table1[[#This Row],[Description]]="","",DATE(Table1[[#This Row],[Year]],Table1[[#This Row],[Month]],1))</f>
        <v>43678</v>
      </c>
      <c r="L20">
        <f>(4.45+4.07)*M16</f>
        <v>17.04</v>
      </c>
      <c r="M20" t="s">
        <v>321</v>
      </c>
      <c r="N20">
        <f>L20*(1-$L$25)</f>
        <v>13.80516949103578</v>
      </c>
      <c r="P20">
        <f>L20/2*(1-$L$25)</f>
        <v>6.9025847455178901</v>
      </c>
    </row>
    <row r="21" spans="2:16" x14ac:dyDescent="0.25">
      <c r="B21" t="s">
        <v>315</v>
      </c>
      <c r="C21">
        <v>8</v>
      </c>
      <c r="D21">
        <v>2019</v>
      </c>
      <c r="E21" t="s">
        <v>7</v>
      </c>
      <c r="F21" s="217">
        <v>740</v>
      </c>
      <c r="G21" s="217" t="s">
        <v>21</v>
      </c>
      <c r="H21">
        <f>IF(Table1[[#This Row],[Description]]="","",IF(Table1[[#This Row],[Currency]]=$Q$2,$R$2,HLOOKUP(Table1[[#This Row],[Date]],Funds!$C$10:$GV$11,2,FALSE)))</f>
        <v>1</v>
      </c>
      <c r="I21" s="217">
        <f>IF(Table1[[#This Row],[Description]]="","",Table1[[#This Row],[Value]]/Table1[[#This Row],[Conversion]])</f>
        <v>740</v>
      </c>
      <c r="J21" s="50">
        <f>IF(Table1[[#This Row],[Description]]="","",DATE(Table1[[#This Row],[Year]],Table1[[#This Row],[Month]],1))</f>
        <v>43678</v>
      </c>
    </row>
    <row r="22" spans="2:16" x14ac:dyDescent="0.25">
      <c r="B22" t="s">
        <v>320</v>
      </c>
      <c r="C22">
        <v>8</v>
      </c>
      <c r="D22">
        <v>2019</v>
      </c>
      <c r="E22" t="s">
        <v>8</v>
      </c>
      <c r="F22" s="217">
        <v>419.2112661994372</v>
      </c>
      <c r="G22" t="s">
        <v>21</v>
      </c>
      <c r="H22">
        <f>IF(Table1[[#This Row],[Description]]="","",IF(Table1[[#This Row],[Currency]]=$Q$2,$R$2,HLOOKUP(Table1[[#This Row],[Date]],Funds!$C$10:$GV$11,2,FALSE)))</f>
        <v>1</v>
      </c>
      <c r="I22" s="217">
        <f>IF(Table1[[#This Row],[Description]]="","",Table1[[#This Row],[Value]]/Table1[[#This Row],[Conversion]])</f>
        <v>419.2112661994372</v>
      </c>
      <c r="J22" s="50">
        <f>IF(Table1[[#This Row],[Description]]="","",DATE(Table1[[#This Row],[Year]],Table1[[#This Row],[Month]],1))</f>
        <v>43678</v>
      </c>
      <c r="L22">
        <v>657.13</v>
      </c>
      <c r="M22" t="s">
        <v>322</v>
      </c>
      <c r="P22">
        <v>2482.29</v>
      </c>
    </row>
    <row r="23" spans="2:16" x14ac:dyDescent="0.25">
      <c r="B23" t="s">
        <v>46</v>
      </c>
      <c r="C23">
        <v>8</v>
      </c>
      <c r="D23">
        <v>2019</v>
      </c>
      <c r="E23" t="s">
        <v>8</v>
      </c>
      <c r="F23" s="217">
        <v>159.85638761938327</v>
      </c>
      <c r="G23" t="s">
        <v>21</v>
      </c>
      <c r="H23">
        <f>IF(Table1[[#This Row],[Description]]="","",IF(Table1[[#This Row],[Currency]]=$Q$2,$R$2,HLOOKUP(Table1[[#This Row],[Date]],Funds!$C$10:$GV$11,2,FALSE)))</f>
        <v>1</v>
      </c>
      <c r="I23" s="217">
        <f>IF(Table1[[#This Row],[Description]]="","",Table1[[#This Row],[Value]]/Table1[[#This Row],[Conversion]])</f>
        <v>159.85638761938327</v>
      </c>
      <c r="J23" s="50">
        <f>IF(Table1[[#This Row],[Description]]="","",DATE(Table1[[#This Row],[Year]],Table1[[#This Row],[Month]],1))</f>
        <v>43678</v>
      </c>
      <c r="L23">
        <v>3461.54</v>
      </c>
      <c r="M23" t="s">
        <v>323</v>
      </c>
    </row>
    <row r="24" spans="2:16" x14ac:dyDescent="0.25">
      <c r="B24" t="s">
        <v>324</v>
      </c>
      <c r="C24">
        <v>8</v>
      </c>
      <c r="D24">
        <v>2019</v>
      </c>
      <c r="E24" t="s">
        <v>8</v>
      </c>
      <c r="F24" s="217">
        <v>20.636006401774932</v>
      </c>
      <c r="G24" t="s">
        <v>21</v>
      </c>
      <c r="H24">
        <f>IF(Table1[[#This Row],[Description]]="","",IF(Table1[[#This Row],[Currency]]=$Q$2,$R$2,HLOOKUP(Table1[[#This Row],[Date]],Funds!$C$10:$GV$11,2,FALSE)))</f>
        <v>1</v>
      </c>
      <c r="I24" s="217">
        <f>IF(Table1[[#This Row],[Description]]="","",Table1[[#This Row],[Value]]/Table1[[#This Row],[Conversion]])</f>
        <v>20.636006401774932</v>
      </c>
      <c r="J24" s="50">
        <f>IF(Table1[[#This Row],[Description]]="","",DATE(Table1[[#This Row],[Year]],Table1[[#This Row],[Month]],1))</f>
        <v>43678</v>
      </c>
    </row>
    <row r="25" spans="2:16" x14ac:dyDescent="0.25">
      <c r="B25" t="s">
        <v>372</v>
      </c>
      <c r="C25">
        <v>8</v>
      </c>
      <c r="D25">
        <v>2019</v>
      </c>
      <c r="E25" t="s">
        <v>8</v>
      </c>
      <c r="F25" s="217">
        <v>84.772326767854764</v>
      </c>
      <c r="G25" t="s">
        <v>21</v>
      </c>
      <c r="H25">
        <f>IF(Table1[[#This Row],[Description]]="","",IF(Table1[[#This Row],[Currency]]=$Q$2,$R$2,HLOOKUP(Table1[[#This Row],[Date]],Funds!$C$10:$GV$11,2,FALSE)))</f>
        <v>1</v>
      </c>
      <c r="I25" s="217">
        <f>IF(Table1[[#This Row],[Description]]="","",Table1[[#This Row],[Value]]/Table1[[#This Row],[Conversion]])</f>
        <v>84.772326767854764</v>
      </c>
      <c r="J25" s="50">
        <f>IF(Table1[[#This Row],[Description]]="","",DATE(Table1[[#This Row],[Year]],Table1[[#This Row],[Month]],1))</f>
        <v>43678</v>
      </c>
      <c r="L25" s="181">
        <f>L22/L23</f>
        <v>0.18983747118334615</v>
      </c>
    </row>
    <row r="26" spans="2:16" x14ac:dyDescent="0.25">
      <c r="B26" t="s">
        <v>315</v>
      </c>
      <c r="C26">
        <v>8</v>
      </c>
      <c r="D26">
        <v>2019</v>
      </c>
      <c r="E26" t="s">
        <v>7</v>
      </c>
      <c r="F26" s="217">
        <v>240</v>
      </c>
      <c r="G26" t="s">
        <v>22</v>
      </c>
      <c r="H26">
        <f>IF(Table1[[#This Row],[Description]]="","",IF(Table1[[#This Row],[Currency]]=$Q$2,$R$2,HLOOKUP(Table1[[#This Row],[Date]],Funds!$C$10:$GV$11,2,FALSE)))</f>
        <v>4.1399999999999997</v>
      </c>
      <c r="I26" s="217">
        <f>IF(Table1[[#This Row],[Description]]="","",Table1[[#This Row],[Value]]/Table1[[#This Row],[Conversion]])</f>
        <v>57.971014492753625</v>
      </c>
      <c r="J26" s="50">
        <f>IF(Table1[[#This Row],[Description]]="","",DATE(Table1[[#This Row],[Year]],Table1[[#This Row],[Month]],1))</f>
        <v>43678</v>
      </c>
    </row>
    <row r="27" spans="2:16" x14ac:dyDescent="0.25">
      <c r="B27" t="s">
        <v>315</v>
      </c>
      <c r="C27">
        <v>9</v>
      </c>
      <c r="D27">
        <v>2019</v>
      </c>
      <c r="E27" t="s">
        <v>7</v>
      </c>
      <c r="F27" s="217">
        <v>240</v>
      </c>
      <c r="G27" t="s">
        <v>22</v>
      </c>
      <c r="H27">
        <f>IF(Table1[[#This Row],[Description]]="","",IF(Table1[[#This Row],[Currency]]=$Q$2,$R$2,HLOOKUP(Table1[[#This Row],[Date]],Funds!$C$10:$GV$11,2,FALSE)))</f>
        <v>4.1399999999999997</v>
      </c>
      <c r="I27" s="217">
        <f>IF(Table1[[#This Row],[Description]]="","",Table1[[#This Row],[Value]]/Table1[[#This Row],[Conversion]])</f>
        <v>57.971014492753625</v>
      </c>
      <c r="J27" s="50">
        <f>IF(Table1[[#This Row],[Description]]="","",DATE(Table1[[#This Row],[Year]],Table1[[#This Row],[Month]],1))</f>
        <v>43709</v>
      </c>
      <c r="L27" t="s">
        <v>540</v>
      </c>
      <c r="M27" s="44">
        <v>6566</v>
      </c>
    </row>
    <row r="28" spans="2:16" x14ac:dyDescent="0.25">
      <c r="B28" t="s">
        <v>11</v>
      </c>
      <c r="C28">
        <v>9</v>
      </c>
      <c r="D28">
        <v>2019</v>
      </c>
      <c r="E28" t="s">
        <v>7</v>
      </c>
      <c r="F28" s="217">
        <f>4923.85+48.11</f>
        <v>4971.96</v>
      </c>
      <c r="G28" t="s">
        <v>21</v>
      </c>
      <c r="H28">
        <f>IF(Table1[[#This Row],[Description]]="","",IF(Table1[[#This Row],[Currency]]=$Q$2,$R$2,HLOOKUP(Table1[[#This Row],[Date]],Funds!$C$10:$GV$11,2,FALSE)))</f>
        <v>1</v>
      </c>
      <c r="I28" s="217">
        <f>IF(Table1[[#This Row],[Description]]="","",Table1[[#This Row],[Value]]/Table1[[#This Row],[Conversion]])</f>
        <v>4971.96</v>
      </c>
      <c r="J28" s="50">
        <f>IF(Table1[[#This Row],[Description]]="","",DATE(Table1[[#This Row],[Year]],Table1[[#This Row],[Month]],1))</f>
        <v>43709</v>
      </c>
      <c r="L28" t="s">
        <v>251</v>
      </c>
      <c r="M28" s="44">
        <f>SUMIFS(I:I,B:B,L28)</f>
        <v>4600</v>
      </c>
    </row>
    <row r="29" spans="2:16" x14ac:dyDescent="0.25">
      <c r="B29" t="s">
        <v>315</v>
      </c>
      <c r="C29">
        <v>9</v>
      </c>
      <c r="D29">
        <v>2019</v>
      </c>
      <c r="E29" t="s">
        <v>8</v>
      </c>
      <c r="F29" s="217">
        <v>1030</v>
      </c>
      <c r="G29" t="s">
        <v>21</v>
      </c>
      <c r="H29">
        <f>IF(Table1[[#This Row],[Description]]="","",IF(Table1[[#This Row],[Currency]]=$Q$2,$R$2,HLOOKUP(Table1[[#This Row],[Date]],Funds!$C$10:$GV$11,2,FALSE)))</f>
        <v>1</v>
      </c>
      <c r="I29" s="217">
        <f>IF(Table1[[#This Row],[Description]]="","",Table1[[#This Row],[Value]]/Table1[[#This Row],[Conversion]])</f>
        <v>1030</v>
      </c>
      <c r="J29" s="50">
        <f>IF(Table1[[#This Row],[Description]]="","",DATE(Table1[[#This Row],[Year]],Table1[[#This Row],[Month]],1))</f>
        <v>43709</v>
      </c>
      <c r="L29" s="1" t="s">
        <v>92</v>
      </c>
      <c r="M29" s="44">
        <f>SUM(M27:M28)</f>
        <v>11166</v>
      </c>
    </row>
    <row r="30" spans="2:16" x14ac:dyDescent="0.25">
      <c r="B30" t="s">
        <v>315</v>
      </c>
      <c r="C30">
        <v>9</v>
      </c>
      <c r="D30">
        <v>2019</v>
      </c>
      <c r="E30" t="s">
        <v>8</v>
      </c>
      <c r="F30" s="217">
        <v>650</v>
      </c>
      <c r="G30" t="s">
        <v>22</v>
      </c>
      <c r="H30">
        <f>IF(Table1[[#This Row],[Description]]="","",IF(Table1[[#This Row],[Currency]]=$Q$2,$R$2,HLOOKUP(Table1[[#This Row],[Date]],Funds!$C$10:$GV$11,2,FALSE)))</f>
        <v>4.1399999999999997</v>
      </c>
      <c r="I30" s="217">
        <f>IF(Table1[[#This Row],[Description]]="","",Table1[[#This Row],[Value]]/Table1[[#This Row],[Conversion]])</f>
        <v>157.00483091787441</v>
      </c>
      <c r="J30" s="50">
        <f>IF(Table1[[#This Row],[Description]]="","",DATE(Table1[[#This Row],[Year]],Table1[[#This Row],[Month]],1))</f>
        <v>43709</v>
      </c>
    </row>
    <row r="31" spans="2:16" x14ac:dyDescent="0.25">
      <c r="B31" t="s">
        <v>11</v>
      </c>
      <c r="C31">
        <v>10</v>
      </c>
      <c r="D31">
        <v>2019</v>
      </c>
      <c r="E31" t="s">
        <v>8</v>
      </c>
      <c r="F31" s="217">
        <v>4997.8099999999995</v>
      </c>
      <c r="G31" t="s">
        <v>21</v>
      </c>
      <c r="H31">
        <f>IF(Table1[[#This Row],[Description]]="","",IF(Table1[[#This Row],[Currency]]=$Q$2,$R$2,HLOOKUP(Table1[[#This Row],[Date]],Funds!$C$10:$GV$11,2,FALSE)))</f>
        <v>1</v>
      </c>
      <c r="I31" s="217">
        <f>IF(Table1[[#This Row],[Description]]="","",Table1[[#This Row],[Value]]/Table1[[#This Row],[Conversion]])</f>
        <v>4997.8099999999995</v>
      </c>
      <c r="J31" s="50">
        <f>IF(Table1[[#This Row],[Description]]="","",DATE(Table1[[#This Row],[Year]],Table1[[#This Row],[Month]],1))</f>
        <v>43739</v>
      </c>
    </row>
    <row r="32" spans="2:16" x14ac:dyDescent="0.25">
      <c r="B32" t="s">
        <v>315</v>
      </c>
      <c r="C32">
        <v>10</v>
      </c>
      <c r="D32">
        <v>2019</v>
      </c>
      <c r="E32" t="s">
        <v>7</v>
      </c>
      <c r="F32" s="217">
        <v>1230</v>
      </c>
      <c r="G32" t="s">
        <v>21</v>
      </c>
      <c r="H32">
        <f>IF(Table1[[#This Row],[Description]]="","",IF(Table1[[#This Row],[Currency]]=$Q$2,$R$2,HLOOKUP(Table1[[#This Row],[Date]],Funds!$C$10:$GV$11,2,FALSE)))</f>
        <v>1</v>
      </c>
      <c r="I32" s="217">
        <f>IF(Table1[[#This Row],[Description]]="","",Table1[[#This Row],[Value]]/Table1[[#This Row],[Conversion]])</f>
        <v>1230</v>
      </c>
      <c r="J32" s="50">
        <f>IF(Table1[[#This Row],[Description]]="","",DATE(Table1[[#This Row],[Year]],Table1[[#This Row],[Month]],1))</f>
        <v>43739</v>
      </c>
    </row>
    <row r="33" spans="2:10" x14ac:dyDescent="0.25">
      <c r="B33" t="s">
        <v>515</v>
      </c>
      <c r="C33">
        <v>10</v>
      </c>
      <c r="D33">
        <v>2019</v>
      </c>
      <c r="E33" t="s">
        <v>8</v>
      </c>
      <c r="F33" s="217">
        <v>1290.78</v>
      </c>
      <c r="G33" t="s">
        <v>22</v>
      </c>
      <c r="H33">
        <f>IF(Table1[[#This Row],[Description]]="","",IF(Table1[[#This Row],[Currency]]=$Q$2,$R$2,HLOOKUP(Table1[[#This Row],[Date]],Funds!$C$10:$GV$11,2,FALSE)))</f>
        <v>3.99</v>
      </c>
      <c r="I33" s="217">
        <f>IF(Table1[[#This Row],[Description]]="","",Table1[[#This Row],[Value]]/Table1[[#This Row],[Conversion]])</f>
        <v>323.50375939849624</v>
      </c>
      <c r="J33" s="50">
        <f>IF(Table1[[#This Row],[Description]]="","",DATE(Table1[[#This Row],[Year]],Table1[[#This Row],[Month]],1))</f>
        <v>43739</v>
      </c>
    </row>
    <row r="34" spans="2:10" x14ac:dyDescent="0.25">
      <c r="B34" t="s">
        <v>315</v>
      </c>
      <c r="C34">
        <v>10</v>
      </c>
      <c r="D34">
        <v>2019</v>
      </c>
      <c r="E34" t="s">
        <v>7</v>
      </c>
      <c r="F34" s="217">
        <v>240</v>
      </c>
      <c r="G34" t="s">
        <v>22</v>
      </c>
      <c r="H34">
        <f>IF(Table1[[#This Row],[Description]]="","",IF(Table1[[#This Row],[Currency]]=$Q$2,$R$2,HLOOKUP(Table1[[#This Row],[Date]],Funds!$C$10:$GV$11,2,FALSE)))</f>
        <v>3.99</v>
      </c>
      <c r="I34" s="217">
        <f>IF(Table1[[#This Row],[Description]]="","",Table1[[#This Row],[Value]]/Table1[[#This Row],[Conversion]])</f>
        <v>60.150375939849624</v>
      </c>
      <c r="J34" s="50">
        <f>IF(Table1[[#This Row],[Description]]="","",DATE(Table1[[#This Row],[Year]],Table1[[#This Row],[Month]],1))</f>
        <v>43739</v>
      </c>
    </row>
    <row r="35" spans="2:10" x14ac:dyDescent="0.25">
      <c r="B35" t="s">
        <v>320</v>
      </c>
      <c r="C35">
        <v>10</v>
      </c>
      <c r="D35">
        <v>2019</v>
      </c>
      <c r="E35" t="s">
        <v>8</v>
      </c>
      <c r="F35" s="217">
        <v>278.61282920318706</v>
      </c>
      <c r="G35" t="s">
        <v>21</v>
      </c>
      <c r="H35">
        <f>IF(Table1[[#This Row],[Description]]="","",IF(Table1[[#This Row],[Currency]]=$Q$2,$R$2,HLOOKUP(Table1[[#This Row],[Date]],Funds!$C$10:$GV$11,2,FALSE)))</f>
        <v>1</v>
      </c>
      <c r="I35" s="217">
        <f>IF(Table1[[#This Row],[Description]]="","",Table1[[#This Row],[Value]]/Table1[[#This Row],[Conversion]])</f>
        <v>278.61282920318706</v>
      </c>
      <c r="J35" s="50">
        <f>IF(Table1[[#This Row],[Description]]="","",DATE(Table1[[#This Row],[Year]],Table1[[#This Row],[Month]],1))</f>
        <v>43739</v>
      </c>
    </row>
    <row r="36" spans="2:10" x14ac:dyDescent="0.25">
      <c r="B36" t="s">
        <v>46</v>
      </c>
      <c r="C36">
        <v>10</v>
      </c>
      <c r="D36">
        <v>2019</v>
      </c>
      <c r="E36" t="s">
        <v>8</v>
      </c>
      <c r="F36" s="217">
        <v>106.24247011445772</v>
      </c>
      <c r="G36" t="s">
        <v>21</v>
      </c>
      <c r="H36">
        <f>IF(Table1[[#This Row],[Description]]="","",IF(Table1[[#This Row],[Currency]]=$Q$2,$R$2,HLOOKUP(Table1[[#This Row],[Date]],Funds!$C$10:$GV$11,2,FALSE)))</f>
        <v>1</v>
      </c>
      <c r="I36" s="217">
        <f>IF(Table1[[#This Row],[Description]]="","",Table1[[#This Row],[Value]]/Table1[[#This Row],[Conversion]])</f>
        <v>106.24247011445772</v>
      </c>
      <c r="J36" s="50">
        <f>IF(Table1[[#This Row],[Description]]="","",DATE(Table1[[#This Row],[Year]],Table1[[#This Row],[Month]],1))</f>
        <v>43739</v>
      </c>
    </row>
    <row r="37" spans="2:10" x14ac:dyDescent="0.25">
      <c r="B37" t="s">
        <v>324</v>
      </c>
      <c r="C37">
        <v>10</v>
      </c>
      <c r="D37">
        <v>2019</v>
      </c>
      <c r="E37" t="s">
        <v>8</v>
      </c>
      <c r="F37" s="217">
        <v>13.714937051139087</v>
      </c>
      <c r="G37" t="s">
        <v>21</v>
      </c>
      <c r="H37">
        <f>IF(Table1[[#This Row],[Description]]="","",IF(Table1[[#This Row],[Currency]]=$Q$2,$R$2,HLOOKUP(Table1[[#This Row],[Date]],Funds!$C$10:$GV$11,2,FALSE)))</f>
        <v>1</v>
      </c>
      <c r="I37" s="217">
        <f>IF(Table1[[#This Row],[Description]]="","",Table1[[#This Row],[Value]]/Table1[[#This Row],[Conversion]])</f>
        <v>13.714937051139087</v>
      </c>
      <c r="J37" s="50">
        <f>IF(Table1[[#This Row],[Description]]="","",DATE(Table1[[#This Row],[Year]],Table1[[#This Row],[Month]],1))</f>
        <v>43739</v>
      </c>
    </row>
    <row r="38" spans="2:10" x14ac:dyDescent="0.25">
      <c r="B38" t="s">
        <v>372</v>
      </c>
      <c r="C38">
        <v>10</v>
      </c>
      <c r="D38">
        <v>2019</v>
      </c>
      <c r="E38" t="s">
        <v>8</v>
      </c>
      <c r="F38" s="217">
        <v>84.511055772864097</v>
      </c>
      <c r="G38" t="s">
        <v>21</v>
      </c>
      <c r="H38">
        <f>IF(Table1[[#This Row],[Description]]="","",IF(Table1[[#This Row],[Currency]]=$Q$2,$R$2,HLOOKUP(Table1[[#This Row],[Date]],Funds!$C$10:$GV$11,2,FALSE)))</f>
        <v>1</v>
      </c>
      <c r="I38" s="217">
        <f>IF(Table1[[#This Row],[Description]]="","",Table1[[#This Row],[Value]]/Table1[[#This Row],[Conversion]])</f>
        <v>84.511055772864097</v>
      </c>
      <c r="J38" s="50">
        <f>IF(Table1[[#This Row],[Description]]="","",DATE(Table1[[#This Row],[Year]],Table1[[#This Row],[Month]],1))</f>
        <v>43739</v>
      </c>
    </row>
    <row r="39" spans="2:10" x14ac:dyDescent="0.25">
      <c r="B39" t="s">
        <v>315</v>
      </c>
      <c r="C39">
        <v>11</v>
      </c>
      <c r="D39">
        <v>2019</v>
      </c>
      <c r="E39" t="s">
        <v>7</v>
      </c>
      <c r="F39">
        <v>1395</v>
      </c>
      <c r="G39" t="s">
        <v>21</v>
      </c>
      <c r="H39">
        <f>IF(Table1[[#This Row],[Description]]="","",IF(Table1[[#This Row],[Currency]]=$Q$2,$R$2,HLOOKUP(Table1[[#This Row],[Date]],Funds!$C$10:$GV$11,2,FALSE)))</f>
        <v>1</v>
      </c>
      <c r="I39" s="217">
        <f>IF(Table1[[#This Row],[Description]]="","",Table1[[#This Row],[Value]]/Table1[[#This Row],[Conversion]])</f>
        <v>1395</v>
      </c>
      <c r="J39" s="50">
        <f>IF(Table1[[#This Row],[Description]]="","",DATE(Table1[[#This Row],[Year]],Table1[[#This Row],[Month]],1))</f>
        <v>43770</v>
      </c>
    </row>
    <row r="40" spans="2:10" x14ac:dyDescent="0.25">
      <c r="B40" t="s">
        <v>11</v>
      </c>
      <c r="C40">
        <v>11</v>
      </c>
      <c r="D40">
        <v>2019</v>
      </c>
      <c r="E40" t="s">
        <v>8</v>
      </c>
      <c r="F40">
        <v>4997.79</v>
      </c>
      <c r="G40" t="s">
        <v>21</v>
      </c>
      <c r="H40">
        <f>IF(Table1[[#This Row],[Description]]="","",IF(Table1[[#This Row],[Currency]]=$Q$2,$R$2,HLOOKUP(Table1[[#This Row],[Date]],Funds!$C$10:$GV$11,2,FALSE)))</f>
        <v>1</v>
      </c>
      <c r="I40" s="217">
        <f>IF(Table1[[#This Row],[Description]]="","",Table1[[#This Row],[Value]]/Table1[[#This Row],[Conversion]])</f>
        <v>4997.79</v>
      </c>
      <c r="J40" s="50">
        <f>IF(Table1[[#This Row],[Description]]="","",DATE(Table1[[#This Row],[Year]],Table1[[#This Row],[Month]],1))</f>
        <v>43770</v>
      </c>
    </row>
    <row r="41" spans="2:10" x14ac:dyDescent="0.25">
      <c r="B41" t="s">
        <v>320</v>
      </c>
      <c r="C41">
        <v>11</v>
      </c>
      <c r="D41">
        <v>2019</v>
      </c>
      <c r="E41" t="s">
        <v>8</v>
      </c>
      <c r="F41" s="217">
        <v>279.90435158917711</v>
      </c>
      <c r="G41" t="s">
        <v>21</v>
      </c>
      <c r="H41">
        <f>IF(Table1[[#This Row],[Description]]="","",IF(Table1[[#This Row],[Currency]]=$Q$2,$R$2,HLOOKUP(Table1[[#This Row],[Date]],Funds!$C$10:$GV$11,2,FALSE)))</f>
        <v>1</v>
      </c>
      <c r="I41" s="217">
        <f>IF(Table1[[#This Row],[Description]]="","",Table1[[#This Row],[Value]]/Table1[[#This Row],[Conversion]])</f>
        <v>279.90435158917711</v>
      </c>
      <c r="J41" s="50">
        <f>IF(Table1[[#This Row],[Description]]="","",DATE(Table1[[#This Row],[Year]],Table1[[#This Row],[Month]],1))</f>
        <v>43770</v>
      </c>
    </row>
    <row r="42" spans="2:10" x14ac:dyDescent="0.25">
      <c r="B42" t="s">
        <v>46</v>
      </c>
      <c r="C42">
        <v>11</v>
      </c>
      <c r="D42">
        <v>2019</v>
      </c>
      <c r="E42" t="s">
        <v>8</v>
      </c>
      <c r="F42" s="217">
        <v>106.7349618955725</v>
      </c>
      <c r="G42" t="s">
        <v>21</v>
      </c>
      <c r="H42">
        <f>IF(Table1[[#This Row],[Description]]="","",IF(Table1[[#This Row],[Currency]]=$Q$2,$R$2,HLOOKUP(Table1[[#This Row],[Date]],Funds!$C$10:$GV$11,2,FALSE)))</f>
        <v>1</v>
      </c>
      <c r="I42" s="217">
        <f>IF(Table1[[#This Row],[Description]]="","",Table1[[#This Row],[Value]]/Table1[[#This Row],[Conversion]])</f>
        <v>106.7349618955725</v>
      </c>
      <c r="J42" s="50">
        <f>IF(Table1[[#This Row],[Description]]="","",DATE(Table1[[#This Row],[Year]],Table1[[#This Row],[Month]],1))</f>
        <v>43770</v>
      </c>
    </row>
    <row r="43" spans="2:10" x14ac:dyDescent="0.25">
      <c r="B43" t="s">
        <v>324</v>
      </c>
      <c r="C43">
        <v>11</v>
      </c>
      <c r="D43">
        <v>2019</v>
      </c>
      <c r="E43" t="s">
        <v>8</v>
      </c>
      <c r="F43" s="217">
        <v>13.778513262882994</v>
      </c>
      <c r="G43" t="s">
        <v>21</v>
      </c>
      <c r="H43">
        <f>IF(Table1[[#This Row],[Description]]="","",IF(Table1[[#This Row],[Currency]]=$Q$2,$R$2,HLOOKUP(Table1[[#This Row],[Date]],Funds!$C$10:$GV$11,2,FALSE)))</f>
        <v>1</v>
      </c>
      <c r="I43" s="217">
        <f>IF(Table1[[#This Row],[Description]]="","",Table1[[#This Row],[Value]]/Table1[[#This Row],[Conversion]])</f>
        <v>13.778513262882994</v>
      </c>
      <c r="J43" s="50">
        <f>IF(Table1[[#This Row],[Description]]="","",DATE(Table1[[#This Row],[Year]],Table1[[#This Row],[Month]],1))</f>
        <v>43770</v>
      </c>
    </row>
    <row r="44" spans="2:10" x14ac:dyDescent="0.25">
      <c r="B44" t="s">
        <v>372</v>
      </c>
      <c r="C44">
        <v>11</v>
      </c>
      <c r="D44">
        <v>2019</v>
      </c>
      <c r="E44" t="s">
        <v>8</v>
      </c>
      <c r="F44" s="217">
        <v>84.902810598750847</v>
      </c>
      <c r="G44" t="s">
        <v>21</v>
      </c>
      <c r="H44">
        <f>IF(Table1[[#This Row],[Description]]="","",IF(Table1[[#This Row],[Currency]]=$Q$2,$R$2,HLOOKUP(Table1[[#This Row],[Date]],Funds!$C$10:$GV$11,2,FALSE)))</f>
        <v>1</v>
      </c>
      <c r="I44" s="217">
        <f>IF(Table1[[#This Row],[Description]]="","",Table1[[#This Row],[Value]]/Table1[[#This Row],[Conversion]])</f>
        <v>84.902810598750847</v>
      </c>
      <c r="J44" s="50">
        <f>IF(Table1[[#This Row],[Description]]="","",DATE(Table1[[#This Row],[Year]],Table1[[#This Row],[Month]],1))</f>
        <v>43770</v>
      </c>
    </row>
    <row r="45" spans="2:10" x14ac:dyDescent="0.25">
      <c r="B45" t="s">
        <v>11</v>
      </c>
      <c r="C45">
        <v>12</v>
      </c>
      <c r="D45">
        <v>2019</v>
      </c>
      <c r="E45" t="s">
        <v>8</v>
      </c>
      <c r="F45" s="217">
        <v>2357.0500000000002</v>
      </c>
      <c r="G45" t="s">
        <v>21</v>
      </c>
      <c r="H45">
        <f>IF(Table1[[#This Row],[Description]]="","",IF(Table1[[#This Row],[Currency]]=$Q$2,$R$2,HLOOKUP(Table1[[#This Row],[Date]],Funds!$C$10:$GV$11,2,FALSE)))</f>
        <v>1</v>
      </c>
      <c r="I45" s="217">
        <f>IF(Table1[[#This Row],[Description]]="","",Table1[[#This Row],[Value]]/Table1[[#This Row],[Conversion]])</f>
        <v>2357.0500000000002</v>
      </c>
      <c r="J45" s="50">
        <f>IF(Table1[[#This Row],[Description]]="","",DATE(Table1[[#This Row],[Year]],Table1[[#This Row],[Month]],1))</f>
        <v>43800</v>
      </c>
    </row>
    <row r="46" spans="2:10" x14ac:dyDescent="0.25">
      <c r="B46" t="s">
        <v>315</v>
      </c>
      <c r="C46">
        <v>12</v>
      </c>
      <c r="D46">
        <v>2019</v>
      </c>
      <c r="E46" t="s">
        <v>7</v>
      </c>
      <c r="F46" s="217">
        <v>760</v>
      </c>
      <c r="G46" t="s">
        <v>21</v>
      </c>
      <c r="H46">
        <f>IF(Table1[[#This Row],[Description]]="","",IF(Table1[[#This Row],[Currency]]=$Q$2,$R$2,HLOOKUP(Table1[[#This Row],[Date]],Funds!$C$10:$GV$11,2,FALSE)))</f>
        <v>1</v>
      </c>
      <c r="I46" s="217">
        <f>IF(Table1[[#This Row],[Description]]="","",Table1[[#This Row],[Value]]/Table1[[#This Row],[Conversion]])</f>
        <v>760</v>
      </c>
      <c r="J46" s="50">
        <f>IF(Table1[[#This Row],[Description]]="","",DATE(Table1[[#This Row],[Year]],Table1[[#This Row],[Month]],1))</f>
        <v>43800</v>
      </c>
    </row>
    <row r="47" spans="2:10" x14ac:dyDescent="0.25">
      <c r="B47" t="s">
        <v>11</v>
      </c>
      <c r="C47">
        <v>12</v>
      </c>
      <c r="D47">
        <v>2019</v>
      </c>
      <c r="E47" t="s">
        <v>8</v>
      </c>
      <c r="F47" s="217">
        <v>2538.4899999999998</v>
      </c>
      <c r="G47" t="s">
        <v>21</v>
      </c>
      <c r="H47">
        <f>IF(Table1[[#This Row],[Description]]="","",IF(Table1[[#This Row],[Currency]]=$Q$2,$R$2,HLOOKUP(Table1[[#This Row],[Date]],Funds!$C$10:$GV$11,2,FALSE)))</f>
        <v>1</v>
      </c>
      <c r="I47" s="217">
        <f>IF(Table1[[#This Row],[Description]]="","",Table1[[#This Row],[Value]]/Table1[[#This Row],[Conversion]])</f>
        <v>2538.4899999999998</v>
      </c>
      <c r="J47" s="50">
        <f>IF(Table1[[#This Row],[Description]]="","",DATE(Table1[[#This Row],[Year]],Table1[[#This Row],[Month]],1))</f>
        <v>43800</v>
      </c>
    </row>
    <row r="48" spans="2:10" x14ac:dyDescent="0.25">
      <c r="B48" t="s">
        <v>251</v>
      </c>
      <c r="C48">
        <v>12</v>
      </c>
      <c r="D48">
        <v>2019</v>
      </c>
      <c r="E48" t="s">
        <v>7</v>
      </c>
      <c r="F48" s="217">
        <v>1600</v>
      </c>
      <c r="G48" t="s">
        <v>21</v>
      </c>
      <c r="H48">
        <f>IF(Table1[[#This Row],[Description]]="","",IF(Table1[[#This Row],[Currency]]=$Q$2,$R$2,HLOOKUP(Table1[[#This Row],[Date]],Funds!$C$10:$GV$11,2,FALSE)))</f>
        <v>1</v>
      </c>
      <c r="I48" s="217">
        <f>IF(Table1[[#This Row],[Description]]="","",Table1[[#This Row],[Value]]/Table1[[#This Row],[Conversion]])</f>
        <v>1600</v>
      </c>
      <c r="J48" s="50">
        <f>IF(Table1[[#This Row],[Description]]="","",DATE(Table1[[#This Row],[Year]],Table1[[#This Row],[Month]],1))</f>
        <v>43800</v>
      </c>
    </row>
    <row r="49" spans="2:12" x14ac:dyDescent="0.25">
      <c r="B49" t="s">
        <v>315</v>
      </c>
      <c r="C49">
        <v>12</v>
      </c>
      <c r="D49">
        <v>2019</v>
      </c>
      <c r="E49" t="s">
        <v>7</v>
      </c>
      <c r="F49" s="217">
        <v>240</v>
      </c>
      <c r="G49" t="s">
        <v>22</v>
      </c>
      <c r="H49">
        <f>IF(Table1[[#This Row],[Description]]="","",IF(Table1[[#This Row],[Currency]]=$Q$2,$R$2,HLOOKUP(Table1[[#This Row],[Date]],Funds!$C$10:$GV$11,2,FALSE)))</f>
        <v>4.01</v>
      </c>
      <c r="I49" s="217">
        <f>IF(Table1[[#This Row],[Description]]="","",Table1[[#This Row],[Value]]/Table1[[#This Row],[Conversion]])</f>
        <v>59.850374064837908</v>
      </c>
      <c r="J49" s="50">
        <f>IF(Table1[[#This Row],[Description]]="","",DATE(Table1[[#This Row],[Year]],Table1[[#This Row],[Month]],1))</f>
        <v>43800</v>
      </c>
    </row>
    <row r="50" spans="2:12" x14ac:dyDescent="0.25">
      <c r="B50" t="s">
        <v>315</v>
      </c>
      <c r="C50">
        <v>12</v>
      </c>
      <c r="D50">
        <v>2019</v>
      </c>
      <c r="E50" t="s">
        <v>7</v>
      </c>
      <c r="F50" s="217">
        <v>500</v>
      </c>
      <c r="G50" t="s">
        <v>22</v>
      </c>
      <c r="H50">
        <f>IF(Table1[[#This Row],[Description]]="","",IF(Table1[[#This Row],[Currency]]=$Q$2,$R$2,HLOOKUP(Table1[[#This Row],[Date]],Funds!$C$10:$GV$11,2,FALSE)))</f>
        <v>4.01</v>
      </c>
      <c r="I50" s="217">
        <f>IF(Table1[[#This Row],[Description]]="","",Table1[[#This Row],[Value]]/Table1[[#This Row],[Conversion]])</f>
        <v>124.68827930174564</v>
      </c>
      <c r="J50" s="50">
        <f>IF(Table1[[#This Row],[Description]]="","",DATE(Table1[[#This Row],[Year]],Table1[[#This Row],[Month]],1))</f>
        <v>43800</v>
      </c>
    </row>
    <row r="51" spans="2:12" x14ac:dyDescent="0.25">
      <c r="B51" t="s">
        <v>320</v>
      </c>
      <c r="C51">
        <v>12</v>
      </c>
      <c r="D51">
        <v>2019</v>
      </c>
      <c r="E51" t="s">
        <v>8</v>
      </c>
      <c r="F51" s="217">
        <v>274.79126296388318</v>
      </c>
      <c r="G51" t="s">
        <v>21</v>
      </c>
      <c r="H51">
        <f>IF(Table1[[#This Row],[Description]]="","",IF(Table1[[#This Row],[Currency]]=$Q$2,$R$2,HLOOKUP(Table1[[#This Row],[Date]],Funds!$C$10:$GV$11,2,FALSE)))</f>
        <v>1</v>
      </c>
      <c r="I51" s="217">
        <f>IF(Table1[[#This Row],[Description]]="","",Table1[[#This Row],[Value]]/Table1[[#This Row],[Conversion]])</f>
        <v>274.79126296388318</v>
      </c>
      <c r="J51" s="50">
        <f>IF(Table1[[#This Row],[Description]]="","",DATE(Table1[[#This Row],[Year]],Table1[[#This Row],[Month]],1))</f>
        <v>43800</v>
      </c>
    </row>
    <row r="52" spans="2:12" x14ac:dyDescent="0.25">
      <c r="B52" t="s">
        <v>46</v>
      </c>
      <c r="C52">
        <v>12</v>
      </c>
      <c r="D52">
        <v>2019</v>
      </c>
      <c r="E52" t="s">
        <v>8</v>
      </c>
      <c r="F52" s="217">
        <v>104.7852054287976</v>
      </c>
      <c r="G52" t="s">
        <v>21</v>
      </c>
      <c r="H52">
        <f>IF(Table1[[#This Row],[Description]]="","",IF(Table1[[#This Row],[Currency]]=$Q$2,$R$2,HLOOKUP(Table1[[#This Row],[Date]],Funds!$C$10:$GV$11,2,FALSE)))</f>
        <v>1</v>
      </c>
      <c r="I52" s="217">
        <f>IF(Table1[[#This Row],[Description]]="","",Table1[[#This Row],[Value]]/Table1[[#This Row],[Conversion]])</f>
        <v>104.7852054287976</v>
      </c>
      <c r="J52" s="50">
        <f>IF(Table1[[#This Row],[Description]]="","",DATE(Table1[[#This Row],[Year]],Table1[[#This Row],[Month]],1))</f>
        <v>43800</v>
      </c>
    </row>
    <row r="53" spans="2:12" x14ac:dyDescent="0.25">
      <c r="B53" t="s">
        <v>324</v>
      </c>
      <c r="C53">
        <v>12</v>
      </c>
      <c r="D53">
        <v>2019</v>
      </c>
      <c r="E53" t="s">
        <v>8</v>
      </c>
      <c r="F53" s="217">
        <v>13.526817428081143</v>
      </c>
      <c r="G53" t="s">
        <v>21</v>
      </c>
      <c r="H53">
        <f>IF(Table1[[#This Row],[Description]]="","",IF(Table1[[#This Row],[Currency]]=$Q$2,$R$2,HLOOKUP(Table1[[#This Row],[Date]],Funds!$C$10:$GV$11,2,FALSE)))</f>
        <v>1</v>
      </c>
      <c r="I53" s="217">
        <f>IF(Table1[[#This Row],[Description]]="","",Table1[[#This Row],[Value]]/Table1[[#This Row],[Conversion]])</f>
        <v>13.526817428081143</v>
      </c>
      <c r="J53" s="50">
        <f>IF(Table1[[#This Row],[Description]]="","",DATE(Table1[[#This Row],[Year]],Table1[[#This Row],[Month]],1))</f>
        <v>43800</v>
      </c>
    </row>
    <row r="54" spans="2:12" x14ac:dyDescent="0.25">
      <c r="B54" t="s">
        <v>372</v>
      </c>
      <c r="C54">
        <v>12</v>
      </c>
      <c r="D54">
        <v>2019</v>
      </c>
      <c r="E54" t="s">
        <v>8</v>
      </c>
      <c r="F54" s="217">
        <v>83.35186795472535</v>
      </c>
      <c r="G54" t="s">
        <v>21</v>
      </c>
      <c r="H54">
        <f>IF(Table1[[#This Row],[Description]]="","",IF(Table1[[#This Row],[Currency]]=$Q$2,$R$2,HLOOKUP(Table1[[#This Row],[Date]],Funds!$C$10:$GV$11,2,FALSE)))</f>
        <v>1</v>
      </c>
      <c r="I54" s="217">
        <f>IF(Table1[[#This Row],[Description]]="","",Table1[[#This Row],[Value]]/Table1[[#This Row],[Conversion]])</f>
        <v>83.35186795472535</v>
      </c>
      <c r="J54" s="50">
        <f>IF(Table1[[#This Row],[Description]]="","",DATE(Table1[[#This Row],[Year]],Table1[[#This Row],[Month]],1))</f>
        <v>43800</v>
      </c>
    </row>
    <row r="55" spans="2:12" x14ac:dyDescent="0.25">
      <c r="B55" t="s">
        <v>315</v>
      </c>
      <c r="C55">
        <v>12</v>
      </c>
      <c r="D55">
        <v>2019</v>
      </c>
      <c r="E55" t="s">
        <v>7</v>
      </c>
      <c r="F55" s="217">
        <v>150</v>
      </c>
      <c r="G55" t="s">
        <v>21</v>
      </c>
      <c r="H55">
        <f>IF(Table1[[#This Row],[Description]]="","",IF(Table1[[#This Row],[Currency]]=$Q$2,$R$2,HLOOKUP(Table1[[#This Row],[Date]],Funds!$C$10:$GV$11,2,FALSE)))</f>
        <v>1</v>
      </c>
      <c r="I55" s="217">
        <f>IF(Table1[[#This Row],[Description]]="","",Table1[[#This Row],[Value]]/Table1[[#This Row],[Conversion]])</f>
        <v>150</v>
      </c>
      <c r="J55" s="50">
        <f>IF(Table1[[#This Row],[Description]]="","",DATE(Table1[[#This Row],[Year]],Table1[[#This Row],[Month]],1))</f>
        <v>43800</v>
      </c>
    </row>
    <row r="56" spans="2:12" x14ac:dyDescent="0.25">
      <c r="B56" t="s">
        <v>11</v>
      </c>
      <c r="C56">
        <v>1</v>
      </c>
      <c r="D56">
        <v>2020</v>
      </c>
      <c r="E56" t="s">
        <v>8</v>
      </c>
      <c r="F56" s="217">
        <v>2539.6</v>
      </c>
      <c r="G56" t="s">
        <v>21</v>
      </c>
      <c r="H56">
        <f>IF(Table1[[#This Row],[Description]]="","",IF(Table1[[#This Row],[Currency]]=$Q$2,$R$2,HLOOKUP(Table1[[#This Row],[Date]],Funds!$C$10:$GV$11,2,FALSE)))</f>
        <v>1</v>
      </c>
      <c r="I56" s="217">
        <f>IF(Table1[[#This Row],[Description]]="","",Table1[[#This Row],[Value]]/Table1[[#This Row],[Conversion]])</f>
        <v>2539.6</v>
      </c>
      <c r="J56" s="50">
        <f>IF(Table1[[#This Row],[Description]]="","",DATE(Table1[[#This Row],[Year]],Table1[[#This Row],[Month]],1))</f>
        <v>43831</v>
      </c>
    </row>
    <row r="57" spans="2:12" x14ac:dyDescent="0.25">
      <c r="B57" t="s">
        <v>11</v>
      </c>
      <c r="C57">
        <v>1</v>
      </c>
      <c r="D57">
        <v>2020</v>
      </c>
      <c r="E57" t="s">
        <v>8</v>
      </c>
      <c r="F57" s="217">
        <v>2191.2399999999998</v>
      </c>
      <c r="G57" t="s">
        <v>21</v>
      </c>
      <c r="H57">
        <f>IF(Table1[[#This Row],[Description]]="","",IF(Table1[[#This Row],[Currency]]=$Q$2,$R$2,HLOOKUP(Table1[[#This Row],[Date]],Funds!$C$10:$GV$11,2,FALSE)))</f>
        <v>1</v>
      </c>
      <c r="I57" s="217">
        <f>IF(Table1[[#This Row],[Description]]="","",Table1[[#This Row],[Value]]/Table1[[#This Row],[Conversion]])</f>
        <v>2191.2399999999998</v>
      </c>
      <c r="J57" s="50">
        <f>IF(Table1[[#This Row],[Description]]="","",DATE(Table1[[#This Row],[Year]],Table1[[#This Row],[Month]],1))</f>
        <v>43831</v>
      </c>
    </row>
    <row r="58" spans="2:12" x14ac:dyDescent="0.25">
      <c r="B58" t="s">
        <v>11</v>
      </c>
      <c r="C58">
        <v>1</v>
      </c>
      <c r="D58">
        <v>2020</v>
      </c>
      <c r="E58" t="s">
        <v>8</v>
      </c>
      <c r="F58" s="217">
        <v>2286.25</v>
      </c>
      <c r="G58" t="s">
        <v>21</v>
      </c>
      <c r="H58">
        <f>IF(Table1[[#This Row],[Description]]="","",IF(Table1[[#This Row],[Currency]]=$Q$2,$R$2,HLOOKUP(Table1[[#This Row],[Date]],Funds!$C$10:$GV$11,2,FALSE)))</f>
        <v>1</v>
      </c>
      <c r="I58" s="217">
        <f>IF(Table1[[#This Row],[Description]]="","",Table1[[#This Row],[Value]]/Table1[[#This Row],[Conversion]])</f>
        <v>2286.25</v>
      </c>
      <c r="J58" s="50">
        <f>IF(Table1[[#This Row],[Description]]="","",DATE(Table1[[#This Row],[Year]],Table1[[#This Row],[Month]],1))</f>
        <v>43831</v>
      </c>
    </row>
    <row r="59" spans="2:12" x14ac:dyDescent="0.25">
      <c r="B59" t="s">
        <v>11</v>
      </c>
      <c r="C59">
        <v>2</v>
      </c>
      <c r="D59">
        <v>2020</v>
      </c>
      <c r="E59" t="s">
        <v>8</v>
      </c>
      <c r="F59" s="217">
        <v>2365.42</v>
      </c>
      <c r="G59" t="s">
        <v>21</v>
      </c>
      <c r="H59">
        <f>IF(Table1[[#This Row],[Description]]="","",IF(Table1[[#This Row],[Currency]]=$Q$2,$R$2,HLOOKUP(Table1[[#This Row],[Date]],Funds!$C$10:$GV$11,2,FALSE)))</f>
        <v>1</v>
      </c>
      <c r="I59" s="217">
        <f>IF(Table1[[#This Row],[Description]]="","",Table1[[#This Row],[Value]]/Table1[[#This Row],[Conversion]])</f>
        <v>2365.42</v>
      </c>
      <c r="J59" s="50">
        <f>IF(Table1[[#This Row],[Description]]="","",DATE(Table1[[#This Row],[Year]],Table1[[#This Row],[Month]],1))</f>
        <v>43862</v>
      </c>
    </row>
    <row r="60" spans="2:12" x14ac:dyDescent="0.25">
      <c r="B60" t="s">
        <v>11</v>
      </c>
      <c r="C60">
        <v>2</v>
      </c>
      <c r="D60">
        <v>2020</v>
      </c>
      <c r="E60" t="s">
        <v>8</v>
      </c>
      <c r="F60" s="217">
        <v>2286.25</v>
      </c>
      <c r="G60" t="s">
        <v>21</v>
      </c>
      <c r="H60">
        <f>IF(Table1[[#This Row],[Description]]="","",IF(Table1[[#This Row],[Currency]]=$Q$2,$R$2,HLOOKUP(Table1[[#This Row],[Date]],Funds!$C$10:$GV$11,2,FALSE)))</f>
        <v>1</v>
      </c>
      <c r="I60" s="217">
        <f>IF(Table1[[#This Row],[Description]]="","",Table1[[#This Row],[Value]]/Table1[[#This Row],[Conversion]])</f>
        <v>2286.25</v>
      </c>
      <c r="J60" s="50">
        <f>IF(Table1[[#This Row],[Description]]="","",DATE(Table1[[#This Row],[Year]],Table1[[#This Row],[Month]],1))</f>
        <v>43862</v>
      </c>
    </row>
    <row r="61" spans="2:12" x14ac:dyDescent="0.25">
      <c r="B61" t="s">
        <v>315</v>
      </c>
      <c r="C61">
        <v>1</v>
      </c>
      <c r="D61">
        <v>2020</v>
      </c>
      <c r="E61" t="s">
        <v>7</v>
      </c>
      <c r="F61" s="217">
        <v>1093</v>
      </c>
      <c r="G61" t="s">
        <v>21</v>
      </c>
      <c r="H61">
        <f>IF(Table1[[#This Row],[Description]]="","",IF(Table1[[#This Row],[Currency]]=$Q$2,$R$2,HLOOKUP(Table1[[#This Row],[Date]],Funds!$C$10:$GV$11,2,FALSE)))</f>
        <v>1</v>
      </c>
      <c r="I61" s="217">
        <f>IF(Table1[[#This Row],[Description]]="","",Table1[[#This Row],[Value]]/Table1[[#This Row],[Conversion]])</f>
        <v>1093</v>
      </c>
      <c r="J61" s="50">
        <f>IF(Table1[[#This Row],[Description]]="","",DATE(Table1[[#This Row],[Year]],Table1[[#This Row],[Month]],1))</f>
        <v>43831</v>
      </c>
      <c r="L61">
        <v>530</v>
      </c>
    </row>
    <row r="62" spans="2:12" x14ac:dyDescent="0.25">
      <c r="B62" t="s">
        <v>315</v>
      </c>
      <c r="C62">
        <v>2</v>
      </c>
      <c r="D62">
        <v>2020</v>
      </c>
      <c r="E62" t="s">
        <v>7</v>
      </c>
      <c r="F62" s="217">
        <v>845</v>
      </c>
      <c r="G62" t="s">
        <v>21</v>
      </c>
      <c r="H62">
        <f>IF(Table1[[#This Row],[Description]]="","",IF(Table1[[#This Row],[Currency]]=$Q$2,$R$2,HLOOKUP(Table1[[#This Row],[Date]],Funds!$C$10:$GV$11,2,FALSE)))</f>
        <v>1</v>
      </c>
      <c r="I62" s="217">
        <f>IF(Table1[[#This Row],[Description]]="","",Table1[[#This Row],[Value]]/Table1[[#This Row],[Conversion]])</f>
        <v>845</v>
      </c>
      <c r="J62" s="50">
        <f>IF(Table1[[#This Row],[Description]]="","",DATE(Table1[[#This Row],[Year]],Table1[[#This Row],[Month]],1))</f>
        <v>43862</v>
      </c>
      <c r="L62">
        <v>-299.99</v>
      </c>
    </row>
    <row r="63" spans="2:12" x14ac:dyDescent="0.25">
      <c r="B63" t="s">
        <v>251</v>
      </c>
      <c r="C63">
        <v>2</v>
      </c>
      <c r="D63">
        <v>2020</v>
      </c>
      <c r="E63" t="s">
        <v>7</v>
      </c>
      <c r="F63" s="217">
        <v>2000</v>
      </c>
      <c r="G63" t="s">
        <v>21</v>
      </c>
      <c r="H63">
        <f>IF(Table1[[#This Row],[Description]]="","",IF(Table1[[#This Row],[Currency]]=$Q$2,$R$2,HLOOKUP(Table1[[#This Row],[Date]],Funds!$C$10:$GV$11,2,FALSE)))</f>
        <v>1</v>
      </c>
      <c r="I63" s="217">
        <f>IF(Table1[[#This Row],[Description]]="","",Table1[[#This Row],[Value]]/Table1[[#This Row],[Conversion]])</f>
        <v>2000</v>
      </c>
      <c r="J63" s="50">
        <f>IF(Table1[[#This Row],[Description]]="","",DATE(Table1[[#This Row],[Year]],Table1[[#This Row],[Month]],1))</f>
        <v>43862</v>
      </c>
    </row>
    <row r="64" spans="2:12" x14ac:dyDescent="0.25">
      <c r="B64" t="s">
        <v>315</v>
      </c>
      <c r="C64">
        <v>2</v>
      </c>
      <c r="D64">
        <v>2020</v>
      </c>
      <c r="E64" t="s">
        <v>7</v>
      </c>
      <c r="F64" s="217">
        <v>180</v>
      </c>
      <c r="G64" t="s">
        <v>22</v>
      </c>
      <c r="H64">
        <f>IF(Table1[[#This Row],[Description]]="","",IF(Table1[[#This Row],[Currency]]=$Q$2,$R$2,HLOOKUP(Table1[[#This Row],[Date]],Funds!$C$10:$GV$11,2,FALSE)))</f>
        <v>4.29</v>
      </c>
      <c r="I64" s="217">
        <f>IF(Table1[[#This Row],[Description]]="","",Table1[[#This Row],[Value]]/Table1[[#This Row],[Conversion]])</f>
        <v>41.95804195804196</v>
      </c>
      <c r="J64" s="50">
        <f>IF(Table1[[#This Row],[Description]]="","",DATE(Table1[[#This Row],[Year]],Table1[[#This Row],[Month]],1))</f>
        <v>43862</v>
      </c>
    </row>
    <row r="65" spans="2:12" x14ac:dyDescent="0.25">
      <c r="B65" t="s">
        <v>315</v>
      </c>
      <c r="C65">
        <v>2</v>
      </c>
      <c r="D65">
        <v>2020</v>
      </c>
      <c r="E65" t="s">
        <v>7</v>
      </c>
      <c r="F65" s="217">
        <v>150</v>
      </c>
      <c r="G65" t="s">
        <v>22</v>
      </c>
      <c r="H65">
        <f>IF(Table1[[#This Row],[Description]]="","",IF(Table1[[#This Row],[Currency]]=$Q$2,$R$2,HLOOKUP(Table1[[#This Row],[Date]],Funds!$C$10:$GV$11,2,FALSE)))</f>
        <v>4.29</v>
      </c>
      <c r="I65" s="217">
        <f>IF(Table1[[#This Row],[Description]]="","",Table1[[#This Row],[Value]]/Table1[[#This Row],[Conversion]])</f>
        <v>34.965034965034967</v>
      </c>
      <c r="J65" s="50">
        <f>IF(Table1[[#This Row],[Description]]="","",DATE(Table1[[#This Row],[Year]],Table1[[#This Row],[Month]],1))</f>
        <v>43862</v>
      </c>
    </row>
    <row r="66" spans="2:12" x14ac:dyDescent="0.25">
      <c r="B66" t="s">
        <v>315</v>
      </c>
      <c r="C66">
        <v>2</v>
      </c>
      <c r="D66">
        <v>2020</v>
      </c>
      <c r="E66" t="s">
        <v>7</v>
      </c>
      <c r="F66" s="217">
        <v>120</v>
      </c>
      <c r="G66" t="s">
        <v>22</v>
      </c>
      <c r="H66">
        <f>IF(Table1[[#This Row],[Description]]="","",IF(Table1[[#This Row],[Currency]]=$Q$2,$R$2,HLOOKUP(Table1[[#This Row],[Date]],Funds!$C$10:$GV$11,2,FALSE)))</f>
        <v>4.29</v>
      </c>
      <c r="I66" s="217">
        <f>IF(Table1[[#This Row],[Description]]="","",Table1[[#This Row],[Value]]/Table1[[#This Row],[Conversion]])</f>
        <v>27.972027972027973</v>
      </c>
      <c r="J66" s="50">
        <f>IF(Table1[[#This Row],[Description]]="","",DATE(Table1[[#This Row],[Year]],Table1[[#This Row],[Month]],1))</f>
        <v>43862</v>
      </c>
    </row>
    <row r="67" spans="2:12" x14ac:dyDescent="0.25">
      <c r="B67" t="s">
        <v>315</v>
      </c>
      <c r="C67">
        <v>2</v>
      </c>
      <c r="D67">
        <v>2020</v>
      </c>
      <c r="E67" t="s">
        <v>7</v>
      </c>
      <c r="F67" s="217">
        <v>260</v>
      </c>
      <c r="G67" t="s">
        <v>22</v>
      </c>
      <c r="H67">
        <f>IF(Table1[[#This Row],[Description]]="","",IF(Table1[[#This Row],[Currency]]=$Q$2,$R$2,HLOOKUP(Table1[[#This Row],[Date]],Funds!$C$10:$GV$11,2,FALSE)))</f>
        <v>4.29</v>
      </c>
      <c r="I67" s="217">
        <f>IF(Table1[[#This Row],[Description]]="","",Table1[[#This Row],[Value]]/Table1[[#This Row],[Conversion]])</f>
        <v>60.606060606060609</v>
      </c>
      <c r="J67" s="50">
        <f>IF(Table1[[#This Row],[Description]]="","",DATE(Table1[[#This Row],[Year]],Table1[[#This Row],[Month]],1))</f>
        <v>43862</v>
      </c>
      <c r="L67" t="s">
        <v>544</v>
      </c>
    </row>
    <row r="68" spans="2:12" x14ac:dyDescent="0.25">
      <c r="B68" t="s">
        <v>320</v>
      </c>
      <c r="C68">
        <v>1</v>
      </c>
      <c r="D68">
        <v>2020</v>
      </c>
      <c r="E68" t="s">
        <v>8</v>
      </c>
      <c r="F68" s="217">
        <v>422.43882214274572</v>
      </c>
      <c r="G68" t="s">
        <v>21</v>
      </c>
      <c r="H68">
        <f>IF(Table1[[#This Row],[Description]]="","",IF(Table1[[#This Row],[Currency]]=$Q$2,$R$2,HLOOKUP(Table1[[#This Row],[Date]],Funds!$C$10:$GV$11,2,FALSE)))</f>
        <v>1</v>
      </c>
      <c r="I68" s="217">
        <f>IF(Table1[[#This Row],[Description]]="","",Table1[[#This Row],[Value]]/Table1[[#This Row],[Conversion]])</f>
        <v>422.43882214274572</v>
      </c>
      <c r="J68" s="50">
        <f>IF(Table1[[#This Row],[Description]]="","",DATE(Table1[[#This Row],[Year]],Table1[[#This Row],[Month]],1))</f>
        <v>43831</v>
      </c>
      <c r="L68" t="s">
        <v>544</v>
      </c>
    </row>
    <row r="69" spans="2:12" x14ac:dyDescent="0.25">
      <c r="B69" t="s">
        <v>46</v>
      </c>
      <c r="C69">
        <v>1</v>
      </c>
      <c r="D69">
        <v>2020</v>
      </c>
      <c r="E69" t="s">
        <v>8</v>
      </c>
      <c r="F69" s="217">
        <v>164.35769749880109</v>
      </c>
      <c r="G69" t="s">
        <v>21</v>
      </c>
      <c r="H69">
        <f>IF(Table1[[#This Row],[Description]]="","",IF(Table1[[#This Row],[Currency]]=$Q$2,$R$2,HLOOKUP(Table1[[#This Row],[Date]],Funds!$C$10:$GV$11,2,FALSE)))</f>
        <v>1</v>
      </c>
      <c r="I69" s="217">
        <f>IF(Table1[[#This Row],[Description]]="","",Table1[[#This Row],[Value]]/Table1[[#This Row],[Conversion]])</f>
        <v>164.35769749880109</v>
      </c>
      <c r="J69" s="50">
        <f>IF(Table1[[#This Row],[Description]]="","",DATE(Table1[[#This Row],[Year]],Table1[[#This Row],[Month]],1))</f>
        <v>43831</v>
      </c>
    </row>
    <row r="70" spans="2:12" x14ac:dyDescent="0.25">
      <c r="B70" t="s">
        <v>324</v>
      </c>
      <c r="C70">
        <v>1</v>
      </c>
      <c r="D70">
        <v>2020</v>
      </c>
      <c r="E70" t="s">
        <v>8</v>
      </c>
      <c r="F70" s="217">
        <v>21.950156808819195</v>
      </c>
      <c r="G70" t="s">
        <v>21</v>
      </c>
      <c r="H70">
        <f>IF(Table1[[#This Row],[Description]]="","",IF(Table1[[#This Row],[Currency]]=$Q$2,$R$2,HLOOKUP(Table1[[#This Row],[Date]],Funds!$C$10:$GV$11,2,FALSE)))</f>
        <v>1</v>
      </c>
      <c r="I70" s="217">
        <f>IF(Table1[[#This Row],[Description]]="","",Table1[[#This Row],[Value]]/Table1[[#This Row],[Conversion]])</f>
        <v>21.950156808819195</v>
      </c>
      <c r="J70" s="50">
        <f>IF(Table1[[#This Row],[Description]]="","",DATE(Table1[[#This Row],[Year]],Table1[[#This Row],[Month]],1))</f>
        <v>43831</v>
      </c>
    </row>
    <row r="71" spans="2:12" x14ac:dyDescent="0.25">
      <c r="B71" t="s">
        <v>372</v>
      </c>
      <c r="C71">
        <v>1</v>
      </c>
      <c r="D71">
        <v>2020</v>
      </c>
      <c r="E71" t="s">
        <v>8</v>
      </c>
      <c r="F71" s="217">
        <v>85.424998700000572</v>
      </c>
      <c r="G71" t="s">
        <v>21</v>
      </c>
      <c r="H71">
        <f>IF(Table1[[#This Row],[Description]]="","",IF(Table1[[#This Row],[Currency]]=$Q$2,$R$2,HLOOKUP(Table1[[#This Row],[Date]],Funds!$C$10:$GV$11,2,FALSE)))</f>
        <v>1</v>
      </c>
      <c r="I71" s="217">
        <f>IF(Table1[[#This Row],[Description]]="","",Table1[[#This Row],[Value]]/Table1[[#This Row],[Conversion]])</f>
        <v>85.424998700000572</v>
      </c>
      <c r="J71" s="50">
        <f>IF(Table1[[#This Row],[Description]]="","",DATE(Table1[[#This Row],[Year]],Table1[[#This Row],[Month]],1))</f>
        <v>43831</v>
      </c>
    </row>
    <row r="72" spans="2:12" x14ac:dyDescent="0.25">
      <c r="B72" t="s">
        <v>514</v>
      </c>
      <c r="C72">
        <v>1</v>
      </c>
      <c r="D72">
        <v>2020</v>
      </c>
      <c r="E72" t="s">
        <v>8</v>
      </c>
      <c r="F72" s="217">
        <v>563.80499142000383</v>
      </c>
      <c r="G72" t="s">
        <v>21</v>
      </c>
      <c r="H72">
        <f>IF(Table1[[#This Row],[Description]]="","",IF(Table1[[#This Row],[Currency]]=$Q$2,$R$2,HLOOKUP(Table1[[#This Row],[Date]],Funds!$C$10:$GV$11,2,FALSE)))</f>
        <v>1</v>
      </c>
      <c r="I72" s="217">
        <f>IF(Table1[[#This Row],[Description]]="","",Table1[[#This Row],[Value]]/Table1[[#This Row],[Conversion]])</f>
        <v>563.80499142000383</v>
      </c>
      <c r="J72" s="50">
        <f>IF(Table1[[#This Row],[Description]]="","",DATE(Table1[[#This Row],[Year]],Table1[[#This Row],[Month]],1))</f>
        <v>43831</v>
      </c>
    </row>
    <row r="73" spans="2:12" x14ac:dyDescent="0.25">
      <c r="B73" t="s">
        <v>320</v>
      </c>
      <c r="C73">
        <v>2</v>
      </c>
      <c r="D73">
        <v>2020</v>
      </c>
      <c r="E73" t="s">
        <v>8</v>
      </c>
      <c r="F73" s="217">
        <v>285.84445454913134</v>
      </c>
      <c r="G73" t="s">
        <v>21</v>
      </c>
      <c r="H73">
        <f>IF(Table1[[#This Row],[Description]]="","",IF(Table1[[#This Row],[Currency]]=$Q$2,$R$2,HLOOKUP(Table1[[#This Row],[Date]],Funds!$C$10:$GV$11,2,FALSE)))</f>
        <v>1</v>
      </c>
      <c r="I73" s="217">
        <f>IF(Table1[[#This Row],[Description]]="","",Table1[[#This Row],[Value]]/Table1[[#This Row],[Conversion]])</f>
        <v>285.84445454913134</v>
      </c>
      <c r="J73" s="50">
        <f>IF(Table1[[#This Row],[Description]]="","",DATE(Table1[[#This Row],[Year]],Table1[[#This Row],[Month]],1))</f>
        <v>43862</v>
      </c>
    </row>
    <row r="74" spans="2:12" x14ac:dyDescent="0.25">
      <c r="B74" t="s">
        <v>46</v>
      </c>
      <c r="C74">
        <v>2</v>
      </c>
      <c r="D74">
        <v>2020</v>
      </c>
      <c r="E74" t="s">
        <v>8</v>
      </c>
      <c r="F74" s="217">
        <v>111.18008250662999</v>
      </c>
      <c r="G74" t="s">
        <v>21</v>
      </c>
      <c r="H74">
        <f>IF(Table1[[#This Row],[Description]]="","",IF(Table1[[#This Row],[Currency]]=$Q$2,$R$2,HLOOKUP(Table1[[#This Row],[Date]],Funds!$C$10:$GV$11,2,FALSE)))</f>
        <v>1</v>
      </c>
      <c r="I74" s="217">
        <f>IF(Table1[[#This Row],[Description]]="","",Table1[[#This Row],[Value]]/Table1[[#This Row],[Conversion]])</f>
        <v>111.18008250662999</v>
      </c>
      <c r="J74" s="50">
        <f>IF(Table1[[#This Row],[Description]]="","",DATE(Table1[[#This Row],[Year]],Table1[[#This Row],[Month]],1))</f>
        <v>43862</v>
      </c>
    </row>
    <row r="75" spans="2:12" x14ac:dyDescent="0.25">
      <c r="B75" t="s">
        <v>324</v>
      </c>
      <c r="C75">
        <v>2</v>
      </c>
      <c r="D75">
        <v>2020</v>
      </c>
      <c r="E75" t="s">
        <v>8</v>
      </c>
      <c r="F75" s="217">
        <v>14.302131825719188</v>
      </c>
      <c r="G75" t="s">
        <v>21</v>
      </c>
      <c r="H75">
        <f>IF(Table1[[#This Row],[Description]]="","",IF(Table1[[#This Row],[Currency]]=$Q$2,$R$2,HLOOKUP(Table1[[#This Row],[Date]],Funds!$C$10:$GV$11,2,FALSE)))</f>
        <v>1</v>
      </c>
      <c r="I75" s="217">
        <f>IF(Table1[[#This Row],[Description]]="","",Table1[[#This Row],[Value]]/Table1[[#This Row],[Conversion]])</f>
        <v>14.302131825719188</v>
      </c>
      <c r="J75" s="50">
        <f>IF(Table1[[#This Row],[Description]]="","",DATE(Table1[[#This Row],[Year]],Table1[[#This Row],[Month]],1))</f>
        <v>43862</v>
      </c>
    </row>
    <row r="76" spans="2:12" x14ac:dyDescent="0.25">
      <c r="B76" t="s">
        <v>372</v>
      </c>
      <c r="C76">
        <v>2</v>
      </c>
      <c r="D76">
        <v>2020</v>
      </c>
      <c r="E76" t="s">
        <v>8</v>
      </c>
      <c r="F76" s="217">
        <v>86.704609797951193</v>
      </c>
      <c r="G76" t="s">
        <v>21</v>
      </c>
      <c r="H76">
        <f>IF(Table1[[#This Row],[Description]]="","",IF(Table1[[#This Row],[Currency]]=$Q$2,$R$2,HLOOKUP(Table1[[#This Row],[Date]],Funds!$C$10:$GV$11,2,FALSE)))</f>
        <v>1</v>
      </c>
      <c r="I76" s="217">
        <f>IF(Table1[[#This Row],[Description]]="","",Table1[[#This Row],[Value]]/Table1[[#This Row],[Conversion]])</f>
        <v>86.704609797951193</v>
      </c>
      <c r="J76" s="50">
        <f>IF(Table1[[#This Row],[Description]]="","",DATE(Table1[[#This Row],[Year]],Table1[[#This Row],[Month]],1))</f>
        <v>43862</v>
      </c>
    </row>
    <row r="77" spans="2:12" x14ac:dyDescent="0.25">
      <c r="B77" t="s">
        <v>514</v>
      </c>
      <c r="C77">
        <v>2</v>
      </c>
      <c r="D77">
        <v>2020</v>
      </c>
      <c r="E77" t="s">
        <v>8</v>
      </c>
      <c r="F77" s="217">
        <v>381.50028311098527</v>
      </c>
      <c r="G77" t="s">
        <v>21</v>
      </c>
      <c r="H77">
        <f>IF(Table1[[#This Row],[Description]]="","",IF(Table1[[#This Row],[Currency]]=$Q$2,$R$2,HLOOKUP(Table1[[#This Row],[Date]],Funds!$C$10:$GV$11,2,FALSE)))</f>
        <v>1</v>
      </c>
      <c r="I77" s="217">
        <f>IF(Table1[[#This Row],[Description]]="","",Table1[[#This Row],[Value]]/Table1[[#This Row],[Conversion]])</f>
        <v>381.50028311098527</v>
      </c>
      <c r="J77" s="50">
        <f>IF(Table1[[#This Row],[Description]]="","",DATE(Table1[[#This Row],[Year]],Table1[[#This Row],[Month]],1))</f>
        <v>43862</v>
      </c>
    </row>
    <row r="78" spans="2:12" x14ac:dyDescent="0.25">
      <c r="B78" t="s">
        <v>11</v>
      </c>
      <c r="C78">
        <v>3</v>
      </c>
      <c r="D78">
        <v>2020</v>
      </c>
      <c r="E78" t="s">
        <v>8</v>
      </c>
      <c r="F78" s="217">
        <v>2199.2800000000002</v>
      </c>
      <c r="G78" t="s">
        <v>21</v>
      </c>
      <c r="H78">
        <f>IF(Table1[[#This Row],[Description]]="","",IF(Table1[[#This Row],[Currency]]=$Q$2,$R$2,HLOOKUP(Table1[[#This Row],[Date]],Funds!$C$10:$GV$11,2,FALSE)))</f>
        <v>1</v>
      </c>
      <c r="I78" s="217">
        <f>IF(Table1[[#This Row],[Description]]="","",Table1[[#This Row],[Value]]/Table1[[#This Row],[Conversion]])</f>
        <v>2199.2800000000002</v>
      </c>
      <c r="J78" s="50">
        <f>IF(Table1[[#This Row],[Description]]="","",DATE(Table1[[#This Row],[Year]],Table1[[#This Row],[Month]],1))</f>
        <v>43891</v>
      </c>
    </row>
    <row r="79" spans="2:12" x14ac:dyDescent="0.25">
      <c r="B79" t="s">
        <v>11</v>
      </c>
      <c r="C79">
        <v>3</v>
      </c>
      <c r="D79">
        <v>2020</v>
      </c>
      <c r="E79" t="s">
        <v>8</v>
      </c>
      <c r="F79" s="217">
        <v>2365.42</v>
      </c>
      <c r="G79" t="s">
        <v>21</v>
      </c>
      <c r="H79">
        <f>IF(Table1[[#This Row],[Description]]="","",IF(Table1[[#This Row],[Currency]]=$Q$2,$R$2,HLOOKUP(Table1[[#This Row],[Date]],Funds!$C$10:$GV$11,2,FALSE)))</f>
        <v>1</v>
      </c>
      <c r="I79" s="217">
        <f>IF(Table1[[#This Row],[Description]]="","",Table1[[#This Row],[Value]]/Table1[[#This Row],[Conversion]])</f>
        <v>2365.42</v>
      </c>
      <c r="J79" s="50">
        <f>IF(Table1[[#This Row],[Description]]="","",DATE(Table1[[#This Row],[Year]],Table1[[#This Row],[Month]],1))</f>
        <v>43891</v>
      </c>
    </row>
    <row r="80" spans="2:12" x14ac:dyDescent="0.25">
      <c r="B80" t="s">
        <v>11</v>
      </c>
      <c r="C80">
        <v>3</v>
      </c>
      <c r="D80">
        <v>2020</v>
      </c>
      <c r="E80" t="s">
        <v>8</v>
      </c>
      <c r="F80" s="217">
        <v>3409.8</v>
      </c>
      <c r="G80" t="s">
        <v>21</v>
      </c>
      <c r="H80">
        <f>IF(Table1[[#This Row],[Description]]="","",IF(Table1[[#This Row],[Currency]]=$Q$2,$R$2,HLOOKUP(Table1[[#This Row],[Date]],Funds!$C$10:$GV$11,2,FALSE)))</f>
        <v>1</v>
      </c>
      <c r="I80" s="217">
        <f>IF(Table1[[#This Row],[Description]]="","",Table1[[#This Row],[Value]]/Table1[[#This Row],[Conversion]])</f>
        <v>3409.8</v>
      </c>
      <c r="J80" s="50">
        <f>IF(Table1[[#This Row],[Description]]="","",DATE(Table1[[#This Row],[Year]],Table1[[#This Row],[Month]],1))</f>
        <v>43891</v>
      </c>
    </row>
    <row r="81" spans="2:10" x14ac:dyDescent="0.25">
      <c r="B81" t="s">
        <v>315</v>
      </c>
      <c r="C81">
        <v>3</v>
      </c>
      <c r="D81">
        <v>2020</v>
      </c>
      <c r="E81" t="s">
        <v>7</v>
      </c>
      <c r="F81" s="217">
        <v>655</v>
      </c>
      <c r="G81" t="s">
        <v>21</v>
      </c>
      <c r="H81">
        <f>IF(Table1[[#This Row],[Description]]="","",IF(Table1[[#This Row],[Currency]]=$Q$2,$R$2,HLOOKUP(Table1[[#This Row],[Date]],Funds!$C$10:$GV$11,2,FALSE)))</f>
        <v>1</v>
      </c>
      <c r="I81" s="217">
        <f>IF(Table1[[#This Row],[Description]]="","",Table1[[#This Row],[Value]]/Table1[[#This Row],[Conversion]])</f>
        <v>655</v>
      </c>
      <c r="J81" s="50">
        <f>IF(Table1[[#This Row],[Description]]="","",DATE(Table1[[#This Row],[Year]],Table1[[#This Row],[Month]],1))</f>
        <v>43891</v>
      </c>
    </row>
    <row r="82" spans="2:10" x14ac:dyDescent="0.25">
      <c r="B82" t="s">
        <v>315</v>
      </c>
      <c r="C82">
        <v>3</v>
      </c>
      <c r="D82">
        <v>2020</v>
      </c>
      <c r="E82" t="s">
        <v>7</v>
      </c>
      <c r="F82" s="217">
        <v>500</v>
      </c>
      <c r="G82" t="s">
        <v>22</v>
      </c>
      <c r="H82">
        <f>IF(Table1[[#This Row],[Description]]="","",IF(Table1[[#This Row],[Currency]]=$Q$2,$R$2,HLOOKUP(Table1[[#This Row],[Date]],Funds!$C$10:$GV$11,2,FALSE)))</f>
        <v>5.19</v>
      </c>
      <c r="I82" s="217">
        <f>IF(Table1[[#This Row],[Description]]="","",Table1[[#This Row],[Value]]/Table1[[#This Row],[Conversion]])</f>
        <v>96.339113680154142</v>
      </c>
      <c r="J82" s="50">
        <f>IF(Table1[[#This Row],[Description]]="","",DATE(Table1[[#This Row],[Year]],Table1[[#This Row],[Month]],1))</f>
        <v>43891</v>
      </c>
    </row>
    <row r="83" spans="2:10" x14ac:dyDescent="0.25">
      <c r="B83" t="s">
        <v>320</v>
      </c>
      <c r="C83">
        <v>3</v>
      </c>
      <c r="D83">
        <v>2020</v>
      </c>
      <c r="E83" t="s">
        <v>8</v>
      </c>
      <c r="F83" s="217">
        <v>465.7726191641965</v>
      </c>
      <c r="G83" t="s">
        <v>21</v>
      </c>
      <c r="H83">
        <f>IF(Table1[[#This Row],[Description]]="","",IF(Table1[[#This Row],[Currency]]=$Q$2,$R$2,HLOOKUP(Table1[[#This Row],[Date]],Funds!$C$10:$GV$11,2,FALSE)))</f>
        <v>1</v>
      </c>
      <c r="I83" s="217">
        <f>IF(Table1[[#This Row],[Description]]="","",Table1[[#This Row],[Value]]/Table1[[#This Row],[Conversion]])</f>
        <v>465.7726191641965</v>
      </c>
      <c r="J83" s="50">
        <f>IF(Table1[[#This Row],[Description]]="","",DATE(Table1[[#This Row],[Year]],Table1[[#This Row],[Month]],1))</f>
        <v>43891</v>
      </c>
    </row>
    <row r="84" spans="2:10" x14ac:dyDescent="0.25">
      <c r="B84" t="s">
        <v>46</v>
      </c>
      <c r="C84">
        <v>3</v>
      </c>
      <c r="D84">
        <v>2020</v>
      </c>
      <c r="E84" t="s">
        <v>8</v>
      </c>
      <c r="F84" s="217">
        <v>100.83713952865753</v>
      </c>
      <c r="G84" t="s">
        <v>21</v>
      </c>
      <c r="H84">
        <f>IF(Table1[[#This Row],[Description]]="","",IF(Table1[[#This Row],[Currency]]=$Q$2,$R$2,HLOOKUP(Table1[[#This Row],[Date]],Funds!$C$10:$GV$11,2,FALSE)))</f>
        <v>1</v>
      </c>
      <c r="I84" s="217">
        <f>IF(Table1[[#This Row],[Description]]="","",Table1[[#This Row],[Value]]/Table1[[#This Row],[Conversion]])</f>
        <v>100.83713952865753</v>
      </c>
      <c r="J84" s="50">
        <f>IF(Table1[[#This Row],[Description]]="","",DATE(Table1[[#This Row],[Year]],Table1[[#This Row],[Month]],1))</f>
        <v>43891</v>
      </c>
    </row>
    <row r="85" spans="2:10" x14ac:dyDescent="0.25">
      <c r="B85" t="s">
        <v>324</v>
      </c>
      <c r="C85">
        <v>3</v>
      </c>
      <c r="D85">
        <v>2020</v>
      </c>
      <c r="E85" t="s">
        <v>8</v>
      </c>
      <c r="F85" s="217">
        <v>12.97162252403705</v>
      </c>
      <c r="G85" t="s">
        <v>21</v>
      </c>
      <c r="H85">
        <f>IF(Table1[[#This Row],[Description]]="","",IF(Table1[[#This Row],[Currency]]=$Q$2,$R$2,HLOOKUP(Table1[[#This Row],[Date]],Funds!$C$10:$GV$11,2,FALSE)))</f>
        <v>1</v>
      </c>
      <c r="I85" s="217">
        <f>IF(Table1[[#This Row],[Description]]="","",Table1[[#This Row],[Value]]/Table1[[#This Row],[Conversion]])</f>
        <v>12.97162252403705</v>
      </c>
      <c r="J85" s="50">
        <f>IF(Table1[[#This Row],[Description]]="","",DATE(Table1[[#This Row],[Year]],Table1[[#This Row],[Month]],1))</f>
        <v>43891</v>
      </c>
    </row>
    <row r="86" spans="2:10" x14ac:dyDescent="0.25">
      <c r="B86" t="s">
        <v>372</v>
      </c>
      <c r="C86">
        <v>3</v>
      </c>
      <c r="D86">
        <v>2020</v>
      </c>
      <c r="E86" t="s">
        <v>8</v>
      </c>
      <c r="F86" s="217">
        <v>78.6385892046126</v>
      </c>
      <c r="G86" t="s">
        <v>21</v>
      </c>
      <c r="H86">
        <f>IF(Table1[[#This Row],[Description]]="","",IF(Table1[[#This Row],[Currency]]=$Q$2,$R$2,HLOOKUP(Table1[[#This Row],[Date]],Funds!$C$10:$GV$11,2,FALSE)))</f>
        <v>1</v>
      </c>
      <c r="I86" s="217">
        <f>IF(Table1[[#This Row],[Description]]="","",Table1[[#This Row],[Value]]/Table1[[#This Row],[Conversion]])</f>
        <v>78.6385892046126</v>
      </c>
      <c r="J86" s="50">
        <f>IF(Table1[[#This Row],[Description]]="","",DATE(Table1[[#This Row],[Year]],Table1[[#This Row],[Month]],1))</f>
        <v>43891</v>
      </c>
    </row>
    <row r="87" spans="2:10" x14ac:dyDescent="0.25">
      <c r="B87" t="s">
        <v>514</v>
      </c>
      <c r="C87">
        <v>3</v>
      </c>
      <c r="D87">
        <v>2020</v>
      </c>
      <c r="E87" t="s">
        <v>8</v>
      </c>
      <c r="F87" s="217">
        <v>346.00979250029548</v>
      </c>
      <c r="G87" t="s">
        <v>21</v>
      </c>
      <c r="H87">
        <f>IF(Table1[[#This Row],[Description]]="","",IF(Table1[[#This Row],[Currency]]=$Q$2,$R$2,HLOOKUP(Table1[[#This Row],[Date]],Funds!$C$10:$GV$11,2,FALSE)))</f>
        <v>1</v>
      </c>
      <c r="I87" s="217">
        <f>IF(Table1[[#This Row],[Description]]="","",Table1[[#This Row],[Value]]/Table1[[#This Row],[Conversion]])</f>
        <v>346.00979250029548</v>
      </c>
      <c r="J87" s="50">
        <f>IF(Table1[[#This Row],[Description]]="","",DATE(Table1[[#This Row],[Year]],Table1[[#This Row],[Month]],1))</f>
        <v>43891</v>
      </c>
    </row>
    <row r="88" spans="2:10" x14ac:dyDescent="0.25">
      <c r="B88" t="s">
        <v>11</v>
      </c>
      <c r="C88">
        <v>4</v>
      </c>
      <c r="D88">
        <v>2020</v>
      </c>
      <c r="E88" t="s">
        <v>8</v>
      </c>
      <c r="F88" s="217">
        <v>2558.9299999999998</v>
      </c>
      <c r="G88" t="s">
        <v>21</v>
      </c>
      <c r="H88">
        <f>IF(Table1[[#This Row],[Description]]="","",IF(Table1[[#This Row],[Currency]]=$Q$2,$R$2,HLOOKUP(Table1[[#This Row],[Date]],Funds!$C$10:$GV$11,2,FALSE)))</f>
        <v>1</v>
      </c>
      <c r="I88" s="217">
        <f>IF(Table1[[#This Row],[Description]]="","",Table1[[#This Row],[Value]]/Table1[[#This Row],[Conversion]])</f>
        <v>2558.9299999999998</v>
      </c>
      <c r="J88" s="50">
        <f>IF(Table1[[#This Row],[Description]]="","",DATE(Table1[[#This Row],[Year]],Table1[[#This Row],[Month]],1))</f>
        <v>43922</v>
      </c>
    </row>
    <row r="89" spans="2:10" x14ac:dyDescent="0.25">
      <c r="B89" t="s">
        <v>11</v>
      </c>
      <c r="C89">
        <v>4</v>
      </c>
      <c r="D89">
        <v>2020</v>
      </c>
      <c r="E89" t="s">
        <v>8</v>
      </c>
      <c r="F89" s="217">
        <v>2444.33</v>
      </c>
      <c r="G89" t="s">
        <v>21</v>
      </c>
      <c r="H89">
        <f>IF(Table1[[#This Row],[Description]]="","",IF(Table1[[#This Row],[Currency]]=$Q$2,$R$2,HLOOKUP(Table1[[#This Row],[Date]],Funds!$C$10:$GV$11,2,FALSE)))</f>
        <v>1</v>
      </c>
      <c r="I89" s="217">
        <f>IF(Table1[[#This Row],[Description]]="","",Table1[[#This Row],[Value]]/Table1[[#This Row],[Conversion]])</f>
        <v>2444.33</v>
      </c>
      <c r="J89" s="50">
        <f>IF(Table1[[#This Row],[Description]]="","",DATE(Table1[[#This Row],[Year]],Table1[[#This Row],[Month]],1))</f>
        <v>43922</v>
      </c>
    </row>
    <row r="90" spans="2:10" x14ac:dyDescent="0.25">
      <c r="B90" t="s">
        <v>320</v>
      </c>
      <c r="C90">
        <v>4</v>
      </c>
      <c r="D90">
        <v>2020</v>
      </c>
      <c r="E90" t="s">
        <v>8</v>
      </c>
      <c r="F90" s="217">
        <v>292.52567064167613</v>
      </c>
      <c r="G90" t="s">
        <v>21</v>
      </c>
      <c r="H90">
        <f>IF(Table1[[#This Row],[Description]]="","",IF(Table1[[#This Row],[Currency]]=$Q$2,$R$2,HLOOKUP(Table1[[#This Row],[Date]],Funds!$C$10:$GV$11,2,FALSE)))</f>
        <v>1</v>
      </c>
      <c r="I90" s="217">
        <f>IF(Table1[[#This Row],[Description]]="","",Table1[[#This Row],[Value]]/Table1[[#This Row],[Conversion]])</f>
        <v>292.52567064167613</v>
      </c>
      <c r="J90" s="50">
        <f>IF(Table1[[#This Row],[Description]]="","",DATE(Table1[[#This Row],[Year]],Table1[[#This Row],[Month]],1))</f>
        <v>43922</v>
      </c>
    </row>
    <row r="91" spans="2:10" x14ac:dyDescent="0.25">
      <c r="B91" t="s">
        <v>46</v>
      </c>
      <c r="C91">
        <v>4</v>
      </c>
      <c r="D91">
        <v>2020</v>
      </c>
      <c r="E91" t="s">
        <v>8</v>
      </c>
      <c r="F91" s="217">
        <v>109.82559894929248</v>
      </c>
      <c r="G91" t="s">
        <v>21</v>
      </c>
      <c r="H91">
        <f>IF(Table1[[#This Row],[Description]]="","",IF(Table1[[#This Row],[Currency]]=$Q$2,$R$2,HLOOKUP(Table1[[#This Row],[Date]],Funds!$C$10:$GV$11,2,FALSE)))</f>
        <v>1</v>
      </c>
      <c r="I91" s="217">
        <f>IF(Table1[[#This Row],[Description]]="","",Table1[[#This Row],[Value]]/Table1[[#This Row],[Conversion]])</f>
        <v>109.82559894929248</v>
      </c>
      <c r="J91" s="50">
        <f>IF(Table1[[#This Row],[Description]]="","",DATE(Table1[[#This Row],[Year]],Table1[[#This Row],[Month]],1))</f>
        <v>43922</v>
      </c>
    </row>
    <row r="92" spans="2:10" x14ac:dyDescent="0.25">
      <c r="B92" t="s">
        <v>324</v>
      </c>
      <c r="C92">
        <v>4</v>
      </c>
      <c r="D92">
        <v>2020</v>
      </c>
      <c r="E92" t="s">
        <v>8</v>
      </c>
      <c r="F92" s="217">
        <v>14.127891962282725</v>
      </c>
      <c r="G92" t="s">
        <v>21</v>
      </c>
      <c r="H92">
        <f>IF(Table1[[#This Row],[Description]]="","",IF(Table1[[#This Row],[Currency]]=$Q$2,$R$2,HLOOKUP(Table1[[#This Row],[Date]],Funds!$C$10:$GV$11,2,FALSE)))</f>
        <v>1</v>
      </c>
      <c r="I92" s="217">
        <f>IF(Table1[[#This Row],[Description]]="","",Table1[[#This Row],[Value]]/Table1[[#This Row],[Conversion]])</f>
        <v>14.127891962282725</v>
      </c>
      <c r="J92" s="50">
        <f>IF(Table1[[#This Row],[Description]]="","",DATE(Table1[[#This Row],[Year]],Table1[[#This Row],[Month]],1))</f>
        <v>43922</v>
      </c>
    </row>
    <row r="93" spans="2:10" x14ac:dyDescent="0.25">
      <c r="B93" t="s">
        <v>372</v>
      </c>
      <c r="C93">
        <v>4</v>
      </c>
      <c r="D93">
        <v>2020</v>
      </c>
      <c r="E93" t="s">
        <v>8</v>
      </c>
      <c r="F93" s="217">
        <v>85.648305775963394</v>
      </c>
      <c r="G93" t="s">
        <v>21</v>
      </c>
      <c r="H93">
        <f>IF(Table1[[#This Row],[Description]]="","",IF(Table1[[#This Row],[Currency]]=$Q$2,$R$2,HLOOKUP(Table1[[#This Row],[Date]],Funds!$C$10:$GV$11,2,FALSE)))</f>
        <v>1</v>
      </c>
      <c r="I93" s="217">
        <f>IF(Table1[[#This Row],[Description]]="","",Table1[[#This Row],[Value]]/Table1[[#This Row],[Conversion]])</f>
        <v>85.648305775963394</v>
      </c>
      <c r="J93" s="50">
        <f>IF(Table1[[#This Row],[Description]]="","",DATE(Table1[[#This Row],[Year]],Table1[[#This Row],[Month]],1))</f>
        <v>43922</v>
      </c>
    </row>
    <row r="94" spans="2:10" x14ac:dyDescent="0.25">
      <c r="B94" t="s">
        <v>514</v>
      </c>
      <c r="C94">
        <v>4</v>
      </c>
      <c r="D94">
        <v>2020</v>
      </c>
      <c r="E94" t="s">
        <v>8</v>
      </c>
      <c r="F94" s="217">
        <v>188.42627270711947</v>
      </c>
      <c r="G94" t="s">
        <v>21</v>
      </c>
      <c r="H94">
        <f>IF(Table1[[#This Row],[Description]]="","",IF(Table1[[#This Row],[Currency]]=$Q$2,$R$2,HLOOKUP(Table1[[#This Row],[Date]],Funds!$C$10:$GV$11,2,FALSE)))</f>
        <v>1</v>
      </c>
      <c r="I94" s="217">
        <f>IF(Table1[[#This Row],[Description]]="","",Table1[[#This Row],[Value]]/Table1[[#This Row],[Conversion]])</f>
        <v>188.42627270711947</v>
      </c>
      <c r="J94" s="50">
        <f>IF(Table1[[#This Row],[Description]]="","",DATE(Table1[[#This Row],[Year]],Table1[[#This Row],[Month]],1))</f>
        <v>43922</v>
      </c>
    </row>
    <row r="95" spans="2:10" x14ac:dyDescent="0.25">
      <c r="B95" t="s">
        <v>315</v>
      </c>
      <c r="C95">
        <v>5</v>
      </c>
      <c r="D95">
        <v>2020</v>
      </c>
      <c r="E95" t="s">
        <v>7</v>
      </c>
      <c r="F95" s="217">
        <v>285</v>
      </c>
      <c r="G95" t="s">
        <v>21</v>
      </c>
      <c r="H95">
        <f>IF(Table1[[#This Row],[Description]]="","",IF(Table1[[#This Row],[Currency]]=$Q$2,$R$2,HLOOKUP(Table1[[#This Row],[Date]],Funds!$C$10:$GV$11,2,FALSE)))</f>
        <v>1</v>
      </c>
      <c r="I95" s="217">
        <f>IF(Table1[[#This Row],[Description]]="","",Table1[[#This Row],[Value]]/Table1[[#This Row],[Conversion]])</f>
        <v>285</v>
      </c>
      <c r="J95" s="50">
        <f>IF(Table1[[#This Row],[Description]]="","",DATE(Table1[[#This Row],[Year]],Table1[[#This Row],[Month]],1))</f>
        <v>43952</v>
      </c>
    </row>
    <row r="96" spans="2:10" x14ac:dyDescent="0.25">
      <c r="B96" t="s">
        <v>515</v>
      </c>
      <c r="C96">
        <v>5</v>
      </c>
      <c r="D96">
        <v>2020</v>
      </c>
      <c r="E96" t="s">
        <v>8</v>
      </c>
      <c r="F96" s="217">
        <v>2732</v>
      </c>
      <c r="G96" t="s">
        <v>21</v>
      </c>
      <c r="H96">
        <f>IF(Table1[[#This Row],[Description]]="","",IF(Table1[[#This Row],[Currency]]=$Q$2,$R$2,HLOOKUP(Table1[[#This Row],[Date]],Funds!$C$10:$GV$11,2,FALSE)))</f>
        <v>1</v>
      </c>
      <c r="I96" s="217">
        <f>IF(Table1[[#This Row],[Description]]="","",Table1[[#This Row],[Value]]/Table1[[#This Row],[Conversion]])</f>
        <v>2732</v>
      </c>
      <c r="J96" s="50">
        <f>IF(Table1[[#This Row],[Description]]="","",DATE(Table1[[#This Row],[Year]],Table1[[#This Row],[Month]],1))</f>
        <v>43952</v>
      </c>
    </row>
    <row r="97" spans="2:10" x14ac:dyDescent="0.25">
      <c r="B97" t="s">
        <v>11</v>
      </c>
      <c r="C97">
        <v>5</v>
      </c>
      <c r="D97">
        <v>2020</v>
      </c>
      <c r="E97" t="s">
        <v>8</v>
      </c>
      <c r="F97" s="217">
        <v>2638.98</v>
      </c>
      <c r="G97" t="s">
        <v>21</v>
      </c>
      <c r="H97">
        <f>IF(Table1[[#This Row],[Description]]="","",IF(Table1[[#This Row],[Currency]]=$Q$2,$R$2,HLOOKUP(Table1[[#This Row],[Date]],Funds!$C$10:$GV$11,2,FALSE)))</f>
        <v>1</v>
      </c>
      <c r="I97" s="217">
        <f>IF(Table1[[#This Row],[Description]]="","",Table1[[#This Row],[Value]]/Table1[[#This Row],[Conversion]])</f>
        <v>2638.98</v>
      </c>
      <c r="J97" s="50">
        <f>IF(Table1[[#This Row],[Description]]="","",DATE(Table1[[#This Row],[Year]],Table1[[#This Row],[Month]],1))</f>
        <v>43952</v>
      </c>
    </row>
    <row r="98" spans="2:10" x14ac:dyDescent="0.25">
      <c r="B98" t="s">
        <v>11</v>
      </c>
      <c r="C98">
        <v>5</v>
      </c>
      <c r="D98">
        <v>2020</v>
      </c>
      <c r="E98" t="s">
        <v>8</v>
      </c>
      <c r="F98" s="217">
        <v>2638.98</v>
      </c>
      <c r="G98" t="s">
        <v>21</v>
      </c>
      <c r="H98">
        <f>IF(Table1[[#This Row],[Description]]="","",IF(Table1[[#This Row],[Currency]]=$Q$2,$R$2,HLOOKUP(Table1[[#This Row],[Date]],Funds!$C$10:$GV$11,2,FALSE)))</f>
        <v>1</v>
      </c>
      <c r="I98" s="217">
        <f>IF(Table1[[#This Row],[Description]]="","",Table1[[#This Row],[Value]]/Table1[[#This Row],[Conversion]])</f>
        <v>2638.98</v>
      </c>
      <c r="J98" s="50">
        <f>IF(Table1[[#This Row],[Description]]="","",DATE(Table1[[#This Row],[Year]],Table1[[#This Row],[Month]],1))</f>
        <v>43952</v>
      </c>
    </row>
    <row r="99" spans="2:10" x14ac:dyDescent="0.25">
      <c r="B99" t="s">
        <v>315</v>
      </c>
      <c r="C99">
        <v>5</v>
      </c>
      <c r="D99">
        <v>2020</v>
      </c>
      <c r="E99" t="s">
        <v>7</v>
      </c>
      <c r="F99" s="217">
        <v>600</v>
      </c>
      <c r="G99" t="s">
        <v>22</v>
      </c>
      <c r="H99">
        <f>IF(Table1[[#This Row],[Description]]="","",IF(Table1[[#This Row],[Currency]]=$Q$2,$R$2,HLOOKUP(Table1[[#This Row],[Date]],Funds!$C$10:$GV$11,2,FALSE)))</f>
        <v>5.34</v>
      </c>
      <c r="I99" s="217">
        <f>IF(Table1[[#This Row],[Description]]="","",Table1[[#This Row],[Value]]/Table1[[#This Row],[Conversion]])</f>
        <v>112.35955056179776</v>
      </c>
      <c r="J99" s="50">
        <f>IF(Table1[[#This Row],[Description]]="","",DATE(Table1[[#This Row],[Year]],Table1[[#This Row],[Month]],1))</f>
        <v>43952</v>
      </c>
    </row>
    <row r="100" spans="2:10" x14ac:dyDescent="0.25">
      <c r="B100" t="s">
        <v>315</v>
      </c>
      <c r="C100">
        <v>5</v>
      </c>
      <c r="D100">
        <v>2020</v>
      </c>
      <c r="E100" t="s">
        <v>7</v>
      </c>
      <c r="F100" s="217">
        <v>500</v>
      </c>
      <c r="G100" t="s">
        <v>22</v>
      </c>
      <c r="H100">
        <f>IF(Table1[[#This Row],[Description]]="","",IF(Table1[[#This Row],[Currency]]=$Q$2,$R$2,HLOOKUP(Table1[[#This Row],[Date]],Funds!$C$10:$GV$11,2,FALSE)))</f>
        <v>5.34</v>
      </c>
      <c r="I100" s="217">
        <f>IF(Table1[[#This Row],[Description]]="","",Table1[[#This Row],[Value]]/Table1[[#This Row],[Conversion]])</f>
        <v>93.632958801498134</v>
      </c>
      <c r="J100" s="50">
        <f>IF(Table1[[#This Row],[Description]]="","",DATE(Table1[[#This Row],[Year]],Table1[[#This Row],[Month]],1))</f>
        <v>43952</v>
      </c>
    </row>
    <row r="101" spans="2:10" x14ac:dyDescent="0.25">
      <c r="B101" t="s">
        <v>320</v>
      </c>
      <c r="C101">
        <v>5</v>
      </c>
      <c r="D101">
        <v>2020</v>
      </c>
      <c r="E101" t="s">
        <v>8</v>
      </c>
      <c r="F101" s="217">
        <v>289.40699999999998</v>
      </c>
      <c r="G101" t="s">
        <v>21</v>
      </c>
      <c r="H101">
        <f>IF(Table1[[#This Row],[Description]]="","",IF(Table1[[#This Row],[Currency]]=$Q$2,$R$2,HLOOKUP(Table1[[#This Row],[Date]],Funds!$C$10:$GV$11,2,FALSE)))</f>
        <v>1</v>
      </c>
      <c r="I101" s="217">
        <f>IF(Table1[[#This Row],[Description]]="","",Table1[[#This Row],[Value]]/Table1[[#This Row],[Conversion]])</f>
        <v>289.40699999999998</v>
      </c>
      <c r="J101" s="50">
        <f>IF(Table1[[#This Row],[Description]]="","",DATE(Table1[[#This Row],[Year]],Table1[[#This Row],[Month]],1))</f>
        <v>43952</v>
      </c>
    </row>
    <row r="102" spans="2:10" x14ac:dyDescent="0.25">
      <c r="B102" t="s">
        <v>46</v>
      </c>
      <c r="C102">
        <v>5</v>
      </c>
      <c r="D102">
        <v>2020</v>
      </c>
      <c r="E102" t="s">
        <v>8</v>
      </c>
      <c r="F102" s="217">
        <v>108.23821799999999</v>
      </c>
      <c r="G102" t="s">
        <v>21</v>
      </c>
      <c r="H102">
        <f>IF(Table1[[#This Row],[Description]]="","",IF(Table1[[#This Row],[Currency]]=$Q$2,$R$2,HLOOKUP(Table1[[#This Row],[Date]],Funds!$C$10:$GV$11,2,FALSE)))</f>
        <v>1</v>
      </c>
      <c r="I102" s="217">
        <f>IF(Table1[[#This Row],[Description]]="","",Table1[[#This Row],[Value]]/Table1[[#This Row],[Conversion]])</f>
        <v>108.23821799999999</v>
      </c>
      <c r="J102" s="50">
        <f>IF(Table1[[#This Row],[Description]]="","",DATE(Table1[[#This Row],[Year]],Table1[[#This Row],[Month]],1))</f>
        <v>43952</v>
      </c>
    </row>
    <row r="103" spans="2:10" x14ac:dyDescent="0.25">
      <c r="B103" t="s">
        <v>324</v>
      </c>
      <c r="C103">
        <v>5</v>
      </c>
      <c r="D103">
        <v>2020</v>
      </c>
      <c r="E103" t="s">
        <v>8</v>
      </c>
      <c r="F103" s="217">
        <v>13.923692333333333</v>
      </c>
      <c r="G103" t="s">
        <v>21</v>
      </c>
      <c r="H103">
        <f>IF(Table1[[#This Row],[Description]]="","",IF(Table1[[#This Row],[Currency]]=$Q$2,$R$2,HLOOKUP(Table1[[#This Row],[Date]],Funds!$C$10:$GV$11,2,FALSE)))</f>
        <v>1</v>
      </c>
      <c r="I103" s="217">
        <f>IF(Table1[[#This Row],[Description]]="","",Table1[[#This Row],[Value]]/Table1[[#This Row],[Conversion]])</f>
        <v>13.923692333333333</v>
      </c>
      <c r="J103" s="50">
        <f>IF(Table1[[#This Row],[Description]]="","",DATE(Table1[[#This Row],[Year]],Table1[[#This Row],[Month]],1))</f>
        <v>43952</v>
      </c>
    </row>
    <row r="104" spans="2:10" x14ac:dyDescent="0.25">
      <c r="B104" t="s">
        <v>315</v>
      </c>
      <c r="C104">
        <v>6</v>
      </c>
      <c r="D104">
        <v>2020</v>
      </c>
      <c r="E104" t="s">
        <v>7</v>
      </c>
      <c r="F104" s="217">
        <v>270</v>
      </c>
      <c r="G104" t="s">
        <v>21</v>
      </c>
      <c r="H104">
        <f>IF(Table1[[#This Row],[Description]]="","",IF(Table1[[#This Row],[Currency]]=$Q$2,$R$2,HLOOKUP(Table1[[#This Row],[Date]],Funds!$C$10:$GV$11,2,FALSE)))</f>
        <v>1</v>
      </c>
      <c r="I104" s="217">
        <f>IF(Table1[[#This Row],[Description]]="","",Table1[[#This Row],[Value]]/Table1[[#This Row],[Conversion]])</f>
        <v>270</v>
      </c>
      <c r="J104" s="50">
        <f>IF(Table1[[#This Row],[Description]]="","",DATE(Table1[[#This Row],[Year]],Table1[[#This Row],[Month]],1))</f>
        <v>43983</v>
      </c>
    </row>
    <row r="105" spans="2:10" x14ac:dyDescent="0.25">
      <c r="B105" t="s">
        <v>315</v>
      </c>
      <c r="C105">
        <v>6</v>
      </c>
      <c r="D105">
        <v>2020</v>
      </c>
      <c r="E105" t="s">
        <v>7</v>
      </c>
      <c r="F105" s="217">
        <v>400</v>
      </c>
      <c r="G105" t="s">
        <v>21</v>
      </c>
      <c r="H105">
        <f>IF(Table1[[#This Row],[Description]]="","",IF(Table1[[#This Row],[Currency]]=$Q$2,$R$2,HLOOKUP(Table1[[#This Row],[Date]],Funds!$C$10:$GV$11,2,FALSE)))</f>
        <v>1</v>
      </c>
      <c r="I105" s="217">
        <f>IF(Table1[[#This Row],[Description]]="","",Table1[[#This Row],[Value]]/Table1[[#This Row],[Conversion]])</f>
        <v>400</v>
      </c>
      <c r="J105" s="50">
        <f>IF(Table1[[#This Row],[Description]]="","",DATE(Table1[[#This Row],[Year]],Table1[[#This Row],[Month]],1))</f>
        <v>43983</v>
      </c>
    </row>
    <row r="106" spans="2:10" x14ac:dyDescent="0.25">
      <c r="B106" t="s">
        <v>315</v>
      </c>
      <c r="C106">
        <v>6</v>
      </c>
      <c r="D106">
        <v>2020</v>
      </c>
      <c r="E106" t="s">
        <v>7</v>
      </c>
      <c r="F106" s="217">
        <v>285</v>
      </c>
      <c r="G106" t="s">
        <v>21</v>
      </c>
      <c r="H106">
        <f>IF(Table1[[#This Row],[Description]]="","",IF(Table1[[#This Row],[Currency]]=$Q$2,$R$2,HLOOKUP(Table1[[#This Row],[Date]],Funds!$C$10:$GV$11,2,FALSE)))</f>
        <v>1</v>
      </c>
      <c r="I106" s="217">
        <f>IF(Table1[[#This Row],[Description]]="","",Table1[[#This Row],[Value]]/Table1[[#This Row],[Conversion]])</f>
        <v>285</v>
      </c>
      <c r="J106" s="50">
        <f>IF(Table1[[#This Row],[Description]]="","",DATE(Table1[[#This Row],[Year]],Table1[[#This Row],[Month]],1))</f>
        <v>43983</v>
      </c>
    </row>
    <row r="107" spans="2:10" x14ac:dyDescent="0.25">
      <c r="B107" t="s">
        <v>11</v>
      </c>
      <c r="C107">
        <v>6</v>
      </c>
      <c r="D107">
        <v>2020</v>
      </c>
      <c r="E107" t="s">
        <v>8</v>
      </c>
      <c r="F107" s="217">
        <v>2638.98</v>
      </c>
      <c r="G107" t="s">
        <v>21</v>
      </c>
      <c r="H107">
        <f>IF(Table1[[#This Row],[Description]]="","",IF(Table1[[#This Row],[Currency]]=$Q$2,$R$2,HLOOKUP(Table1[[#This Row],[Date]],Funds!$C$10:$GV$11,2,FALSE)))</f>
        <v>1</v>
      </c>
      <c r="I107" s="217">
        <f>IF(Table1[[#This Row],[Description]]="","",Table1[[#This Row],[Value]]/Table1[[#This Row],[Conversion]])</f>
        <v>2638.98</v>
      </c>
      <c r="J107" s="50">
        <f>IF(Table1[[#This Row],[Description]]="","",DATE(Table1[[#This Row],[Year]],Table1[[#This Row],[Month]],1))</f>
        <v>43983</v>
      </c>
    </row>
    <row r="108" spans="2:10" x14ac:dyDescent="0.25">
      <c r="B108" t="s">
        <v>515</v>
      </c>
      <c r="C108">
        <v>6</v>
      </c>
      <c r="D108">
        <v>2020</v>
      </c>
      <c r="E108" t="s">
        <v>8</v>
      </c>
      <c r="F108" s="217">
        <v>2400</v>
      </c>
      <c r="G108" t="s">
        <v>21</v>
      </c>
      <c r="H108">
        <f>IF(Table1[[#This Row],[Description]]="","",IF(Table1[[#This Row],[Currency]]=$Q$2,$R$2,HLOOKUP(Table1[[#This Row],[Date]],Funds!$C$10:$GV$11,2,FALSE)))</f>
        <v>1</v>
      </c>
      <c r="I108" s="217">
        <f>IF(Table1[[#This Row],[Description]]="","",Table1[[#This Row],[Value]]/Table1[[#This Row],[Conversion]])</f>
        <v>2400</v>
      </c>
      <c r="J108" s="50">
        <f>IF(Table1[[#This Row],[Description]]="","",DATE(Table1[[#This Row],[Year]],Table1[[#This Row],[Month]],1))</f>
        <v>43983</v>
      </c>
    </row>
    <row r="109" spans="2:10" x14ac:dyDescent="0.25">
      <c r="B109" t="s">
        <v>11</v>
      </c>
      <c r="C109">
        <v>6</v>
      </c>
      <c r="D109">
        <v>2020</v>
      </c>
      <c r="E109" t="s">
        <v>8</v>
      </c>
      <c r="F109" s="217">
        <v>2638.09</v>
      </c>
      <c r="G109" t="s">
        <v>21</v>
      </c>
      <c r="H109">
        <f>IF(Table1[[#This Row],[Description]]="","",IF(Table1[[#This Row],[Currency]]=$Q$2,$R$2,HLOOKUP(Table1[[#This Row],[Date]],Funds!$C$10:$GV$11,2,FALSE)))</f>
        <v>1</v>
      </c>
      <c r="I109" s="217">
        <f>IF(Table1[[#This Row],[Description]]="","",Table1[[#This Row],[Value]]/Table1[[#This Row],[Conversion]])</f>
        <v>2638.09</v>
      </c>
      <c r="J109" s="50">
        <f>IF(Table1[[#This Row],[Description]]="","",DATE(Table1[[#This Row],[Year]],Table1[[#This Row],[Month]],1))</f>
        <v>43983</v>
      </c>
    </row>
    <row r="110" spans="2:10" x14ac:dyDescent="0.25">
      <c r="B110" t="s">
        <v>315</v>
      </c>
      <c r="C110">
        <v>6</v>
      </c>
      <c r="D110">
        <v>2020</v>
      </c>
      <c r="E110" t="s">
        <v>7</v>
      </c>
      <c r="F110" s="217">
        <v>500</v>
      </c>
      <c r="G110" t="s">
        <v>22</v>
      </c>
      <c r="H110">
        <f>IF(Table1[[#This Row],[Description]]="","",IF(Table1[[#This Row],[Currency]]=$Q$2,$R$2,HLOOKUP(Table1[[#This Row],[Date]],Funds!$C$10:$GV$11,2,FALSE)))</f>
        <v>5.46</v>
      </c>
      <c r="I110" s="217">
        <f>IF(Table1[[#This Row],[Description]]="","",Table1[[#This Row],[Value]]/Table1[[#This Row],[Conversion]])</f>
        <v>91.575091575091577</v>
      </c>
      <c r="J110" s="50">
        <f>IF(Table1[[#This Row],[Description]]="","",DATE(Table1[[#This Row],[Year]],Table1[[#This Row],[Month]],1))</f>
        <v>43983</v>
      </c>
    </row>
    <row r="111" spans="2:10" x14ac:dyDescent="0.25">
      <c r="B111" t="s">
        <v>315</v>
      </c>
      <c r="C111">
        <v>6</v>
      </c>
      <c r="D111">
        <v>2020</v>
      </c>
      <c r="E111" t="s">
        <v>7</v>
      </c>
      <c r="F111" s="217">
        <v>600</v>
      </c>
      <c r="G111" t="s">
        <v>22</v>
      </c>
      <c r="H111">
        <f>IF(Table1[[#This Row],[Description]]="","",IF(Table1[[#This Row],[Currency]]=$Q$2,$R$2,HLOOKUP(Table1[[#This Row],[Date]],Funds!$C$10:$GV$11,2,FALSE)))</f>
        <v>5.46</v>
      </c>
      <c r="I111" s="217">
        <f>IF(Table1[[#This Row],[Description]]="","",Table1[[#This Row],[Value]]/Table1[[#This Row],[Conversion]])</f>
        <v>109.8901098901099</v>
      </c>
      <c r="J111" s="50">
        <f>IF(Table1[[#This Row],[Description]]="","",DATE(Table1[[#This Row],[Year]],Table1[[#This Row],[Month]],1))</f>
        <v>43983</v>
      </c>
    </row>
    <row r="112" spans="2:10" x14ac:dyDescent="0.25">
      <c r="B112" t="s">
        <v>315</v>
      </c>
      <c r="C112">
        <v>6</v>
      </c>
      <c r="D112">
        <v>2020</v>
      </c>
      <c r="E112" t="s">
        <v>7</v>
      </c>
      <c r="F112" s="217">
        <v>240</v>
      </c>
      <c r="G112" t="s">
        <v>22</v>
      </c>
      <c r="H112">
        <f>IF(Table1[[#This Row],[Description]]="","",IF(Table1[[#This Row],[Currency]]=$Q$2,$R$2,HLOOKUP(Table1[[#This Row],[Date]],Funds!$C$10:$GV$11,2,FALSE)))</f>
        <v>5.46</v>
      </c>
      <c r="I112" s="217">
        <f>IF(Table1[[#This Row],[Description]]="","",Table1[[#This Row],[Value]]/Table1[[#This Row],[Conversion]])</f>
        <v>43.956043956043956</v>
      </c>
      <c r="J112" s="50">
        <f>IF(Table1[[#This Row],[Description]]="","",DATE(Table1[[#This Row],[Year]],Table1[[#This Row],[Month]],1))</f>
        <v>43983</v>
      </c>
    </row>
    <row r="113" spans="2:10" x14ac:dyDescent="0.25">
      <c r="B113" t="s">
        <v>320</v>
      </c>
      <c r="C113">
        <v>6</v>
      </c>
      <c r="D113">
        <v>2020</v>
      </c>
      <c r="E113" t="s">
        <v>8</v>
      </c>
      <c r="F113" s="217">
        <v>289.40699999999998</v>
      </c>
      <c r="G113" t="s">
        <v>21</v>
      </c>
      <c r="H113">
        <f>IF(Table1[[#This Row],[Description]]="","",IF(Table1[[#This Row],[Currency]]=$Q$2,$R$2,HLOOKUP(Table1[[#This Row],[Date]],Funds!$C$10:$GV$11,2,FALSE)))</f>
        <v>1</v>
      </c>
      <c r="I113" s="217">
        <f>IF(Table1[[#This Row],[Description]]="","",Table1[[#This Row],[Value]]/Table1[[#This Row],[Conversion]])</f>
        <v>289.40699999999998</v>
      </c>
      <c r="J113" s="50">
        <f>IF(Table1[[#This Row],[Description]]="","",DATE(Table1[[#This Row],[Year]],Table1[[#This Row],[Month]],1))</f>
        <v>43983</v>
      </c>
    </row>
    <row r="114" spans="2:10" x14ac:dyDescent="0.25">
      <c r="B114" t="s">
        <v>46</v>
      </c>
      <c r="C114">
        <v>6</v>
      </c>
      <c r="D114">
        <v>2020</v>
      </c>
      <c r="E114" t="s">
        <v>8</v>
      </c>
      <c r="F114" s="217">
        <v>108.23821799999999</v>
      </c>
      <c r="G114" t="s">
        <v>21</v>
      </c>
      <c r="H114">
        <f>IF(Table1[[#This Row],[Description]]="","",IF(Table1[[#This Row],[Currency]]=$Q$2,$R$2,HLOOKUP(Table1[[#This Row],[Date]],Funds!$C$10:$GV$11,2,FALSE)))</f>
        <v>1</v>
      </c>
      <c r="I114" s="217">
        <f>IF(Table1[[#This Row],[Description]]="","",Table1[[#This Row],[Value]]/Table1[[#This Row],[Conversion]])</f>
        <v>108.23821799999999</v>
      </c>
      <c r="J114" s="50">
        <f>IF(Table1[[#This Row],[Description]]="","",DATE(Table1[[#This Row],[Year]],Table1[[#This Row],[Month]],1))</f>
        <v>43983</v>
      </c>
    </row>
    <row r="115" spans="2:10" x14ac:dyDescent="0.25">
      <c r="B115" t="s">
        <v>324</v>
      </c>
      <c r="C115">
        <v>6</v>
      </c>
      <c r="D115">
        <v>2020</v>
      </c>
      <c r="E115" t="s">
        <v>8</v>
      </c>
      <c r="F115" s="217">
        <v>13.923692333333333</v>
      </c>
      <c r="G115" t="s">
        <v>21</v>
      </c>
      <c r="H115">
        <f>IF(Table1[[#This Row],[Description]]="","",IF(Table1[[#This Row],[Currency]]=$Q$2,$R$2,HLOOKUP(Table1[[#This Row],[Date]],Funds!$C$10:$GV$11,2,FALSE)))</f>
        <v>1</v>
      </c>
      <c r="I115" s="217">
        <f>IF(Table1[[#This Row],[Description]]="","",Table1[[#This Row],[Value]]/Table1[[#This Row],[Conversion]])</f>
        <v>13.923692333333333</v>
      </c>
      <c r="J115" s="50">
        <f>IF(Table1[[#This Row],[Description]]="","",DATE(Table1[[#This Row],[Year]],Table1[[#This Row],[Month]],1))</f>
        <v>43983</v>
      </c>
    </row>
    <row r="116" spans="2:10" x14ac:dyDescent="0.25">
      <c r="H116" t="str">
        <f>IF(Table1[[#This Row],[Description]]="","",IF(Table1[[#This Row],[Currency]]=$Q$2,$R$2,HLOOKUP(Table1[[#This Row],[Date]],Funds!$C$10:$GV$11,2,FALSE)))</f>
        <v/>
      </c>
      <c r="I116" s="217" t="str">
        <f>IF(Table1[[#This Row],[Description]]="","",Table1[[#This Row],[Value]]/Table1[[#This Row],[Conversion]])</f>
        <v/>
      </c>
      <c r="J116" s="50" t="str">
        <f>IF(Table1[[#This Row],[Description]]="","",DATE(Table1[[#This Row],[Year]],Table1[[#This Row],[Month]],1))</f>
        <v/>
      </c>
    </row>
    <row r="117" spans="2:10" x14ac:dyDescent="0.25">
      <c r="H117" t="str">
        <f>IF(Table1[[#This Row],[Description]]="","",IF(Table1[[#This Row],[Currency]]=$Q$2,$R$2,HLOOKUP(Table1[[#This Row],[Date]],Funds!$C$10:$GV$11,2,FALSE)))</f>
        <v/>
      </c>
      <c r="I117" s="217" t="str">
        <f>IF(Table1[[#This Row],[Description]]="","",Table1[[#This Row],[Value]]/Table1[[#This Row],[Conversion]])</f>
        <v/>
      </c>
      <c r="J117" s="50" t="str">
        <f>IF(Table1[[#This Row],[Description]]="","",DATE(Table1[[#This Row],[Year]],Table1[[#This Row],[Month]],1))</f>
        <v/>
      </c>
    </row>
    <row r="118" spans="2:10" x14ac:dyDescent="0.25">
      <c r="H118" t="str">
        <f>IF(Table1[[#This Row],[Description]]="","",IF(Table1[[#This Row],[Currency]]=$Q$2,$R$2,HLOOKUP(Table1[[#This Row],[Date]],Funds!$C$10:$GV$11,2,FALSE)))</f>
        <v/>
      </c>
      <c r="I118" s="217" t="str">
        <f>IF(Table1[[#This Row],[Description]]="","",Table1[[#This Row],[Value]]/Table1[[#This Row],[Conversion]])</f>
        <v/>
      </c>
      <c r="J118" s="50" t="str">
        <f>IF(Table1[[#This Row],[Description]]="","",DATE(Table1[[#This Row],[Year]],Table1[[#This Row],[Month]],1))</f>
        <v/>
      </c>
    </row>
    <row r="119" spans="2:10" x14ac:dyDescent="0.25">
      <c r="H119" t="str">
        <f>IF(Table1[[#This Row],[Description]]="","",IF(Table1[[#This Row],[Currency]]=$Q$2,$R$2,HLOOKUP(Table1[[#This Row],[Date]],Funds!$C$10:$GV$11,2,FALSE)))</f>
        <v/>
      </c>
      <c r="I119" s="217" t="str">
        <f>IF(Table1[[#This Row],[Description]]="","",Table1[[#This Row],[Value]]/Table1[[#This Row],[Conversion]])</f>
        <v/>
      </c>
      <c r="J119" s="50" t="str">
        <f>IF(Table1[[#This Row],[Description]]="","",DATE(Table1[[#This Row],[Year]],Table1[[#This Row],[Month]],1))</f>
        <v/>
      </c>
    </row>
    <row r="120" spans="2:10" x14ac:dyDescent="0.25">
      <c r="H120" t="str">
        <f>IF(Table1[[#This Row],[Description]]="","",IF(Table1[[#This Row],[Currency]]=$Q$2,$R$2,HLOOKUP(Table1[[#This Row],[Date]],Funds!$C$10:$GV$11,2,FALSE)))</f>
        <v/>
      </c>
      <c r="I120" s="217" t="str">
        <f>IF(Table1[[#This Row],[Description]]="","",Table1[[#This Row],[Value]]/Table1[[#This Row],[Conversion]])</f>
        <v/>
      </c>
      <c r="J120" s="50" t="str">
        <f>IF(Table1[[#This Row],[Description]]="","",DATE(Table1[[#This Row],[Year]],Table1[[#This Row],[Month]],1))</f>
        <v/>
      </c>
    </row>
    <row r="121" spans="2:10" x14ac:dyDescent="0.25">
      <c r="H121" t="str">
        <f>IF(Table1[[#This Row],[Description]]="","",IF(Table1[[#This Row],[Currency]]=$Q$2,$R$2,HLOOKUP(Table1[[#This Row],[Date]],Funds!$C$10:$GV$11,2,FALSE)))</f>
        <v/>
      </c>
      <c r="I121" s="217" t="str">
        <f>IF(Table1[[#This Row],[Description]]="","",Table1[[#This Row],[Value]]/Table1[[#This Row],[Conversion]])</f>
        <v/>
      </c>
      <c r="J121" s="50" t="str">
        <f>IF(Table1[[#This Row],[Description]]="","",DATE(Table1[[#This Row],[Year]],Table1[[#This Row],[Month]],1))</f>
        <v/>
      </c>
    </row>
    <row r="122" spans="2:10" x14ac:dyDescent="0.25">
      <c r="H122" t="str">
        <f>IF(Table1[[#This Row],[Description]]="","",IF(Table1[[#This Row],[Currency]]=$Q$2,$R$2,HLOOKUP(Table1[[#This Row],[Date]],Funds!$C$10:$GV$11,2,FALSE)))</f>
        <v/>
      </c>
      <c r="I122" s="217" t="str">
        <f>IF(Table1[[#This Row],[Description]]="","",Table1[[#This Row],[Value]]/Table1[[#This Row],[Conversion]])</f>
        <v/>
      </c>
      <c r="J122" s="50" t="str">
        <f>IF(Table1[[#This Row],[Description]]="","",DATE(Table1[[#This Row],[Year]],Table1[[#This Row],[Month]],1))</f>
        <v/>
      </c>
    </row>
    <row r="123" spans="2:10" x14ac:dyDescent="0.25">
      <c r="H123" t="str">
        <f>IF(Table1[[#This Row],[Description]]="","",IF(Table1[[#This Row],[Currency]]=$Q$2,$R$2,HLOOKUP(Table1[[#This Row],[Date]],Funds!$C$10:$GV$11,2,FALSE)))</f>
        <v/>
      </c>
      <c r="I123" s="217" t="str">
        <f>IF(Table1[[#This Row],[Description]]="","",Table1[[#This Row],[Value]]/Table1[[#This Row],[Conversion]])</f>
        <v/>
      </c>
      <c r="J123" s="50" t="str">
        <f>IF(Table1[[#This Row],[Description]]="","",DATE(Table1[[#This Row],[Year]],Table1[[#This Row],[Month]],1))</f>
        <v/>
      </c>
    </row>
    <row r="124" spans="2:10" x14ac:dyDescent="0.25">
      <c r="H124" t="str">
        <f>IF(Table1[[#This Row],[Description]]="","",IF(Table1[[#This Row],[Currency]]=$Q$2,$R$2,HLOOKUP(Table1[[#This Row],[Date]],Funds!$C$10:$GV$11,2,FALSE)))</f>
        <v/>
      </c>
      <c r="I124" s="217" t="str">
        <f>IF(Table1[[#This Row],[Description]]="","",Table1[[#This Row],[Value]]/Table1[[#This Row],[Conversion]])</f>
        <v/>
      </c>
      <c r="J124" s="50" t="str">
        <f>IF(Table1[[#This Row],[Description]]="","",DATE(Table1[[#This Row],[Year]],Table1[[#This Row],[Month]],1))</f>
        <v/>
      </c>
    </row>
    <row r="125" spans="2:10" x14ac:dyDescent="0.25">
      <c r="H125" t="str">
        <f>IF(Table1[[#This Row],[Description]]="","",IF(Table1[[#This Row],[Currency]]=$Q$2,$R$2,HLOOKUP(Table1[[#This Row],[Date]],Funds!$C$10:$GV$11,2,FALSE)))</f>
        <v/>
      </c>
      <c r="I125" s="217" t="str">
        <f>IF(Table1[[#This Row],[Description]]="","",Table1[[#This Row],[Value]]/Table1[[#This Row],[Conversion]])</f>
        <v/>
      </c>
      <c r="J125" s="50" t="str">
        <f>IF(Table1[[#This Row],[Description]]="","",DATE(Table1[[#This Row],[Year]],Table1[[#This Row],[Month]],1))</f>
        <v/>
      </c>
    </row>
    <row r="126" spans="2:10" x14ac:dyDescent="0.25">
      <c r="H126" t="str">
        <f>IF(Table1[[#This Row],[Description]]="","",IF(Table1[[#This Row],[Currency]]=$Q$2,$R$2,HLOOKUP(Table1[[#This Row],[Date]],Funds!$C$10:$GV$11,2,FALSE)))</f>
        <v/>
      </c>
      <c r="I126" s="217" t="str">
        <f>IF(Table1[[#This Row],[Description]]="","",Table1[[#This Row],[Value]]/Table1[[#This Row],[Conversion]])</f>
        <v/>
      </c>
      <c r="J126" s="50" t="str">
        <f>IF(Table1[[#This Row],[Description]]="","",DATE(Table1[[#This Row],[Year]],Table1[[#This Row],[Month]],1))</f>
        <v/>
      </c>
    </row>
    <row r="127" spans="2:10" x14ac:dyDescent="0.25">
      <c r="H127" t="str">
        <f>IF(Table1[[#This Row],[Description]]="","",IF(Table1[[#This Row],[Currency]]=$Q$2,$R$2,HLOOKUP(Table1[[#This Row],[Date]],Funds!$C$10:$GV$11,2,FALSE)))</f>
        <v/>
      </c>
      <c r="I127" s="217" t="str">
        <f>IF(Table1[[#This Row],[Description]]="","",Table1[[#This Row],[Value]]/Table1[[#This Row],[Conversion]])</f>
        <v/>
      </c>
      <c r="J127" s="50" t="str">
        <f>IF(Table1[[#This Row],[Description]]="","",DATE(Table1[[#This Row],[Year]],Table1[[#This Row],[Month]],1))</f>
        <v/>
      </c>
    </row>
    <row r="128" spans="2:10" x14ac:dyDescent="0.25">
      <c r="H128" t="str">
        <f>IF(Table1[[#This Row],[Description]]="","",IF(Table1[[#This Row],[Currency]]=$Q$2,$R$2,HLOOKUP(Table1[[#This Row],[Date]],Funds!$C$10:$GV$11,2,FALSE)))</f>
        <v/>
      </c>
      <c r="I128" s="217" t="str">
        <f>IF(Table1[[#This Row],[Description]]="","",Table1[[#This Row],[Value]]/Table1[[#This Row],[Conversion]])</f>
        <v/>
      </c>
      <c r="J128" s="50" t="str">
        <f>IF(Table1[[#This Row],[Description]]="","",DATE(Table1[[#This Row],[Year]],Table1[[#This Row],[Month]],1))</f>
        <v/>
      </c>
    </row>
    <row r="129" spans="8:10" x14ac:dyDescent="0.25">
      <c r="H129" t="str">
        <f>IF(Table1[[#This Row],[Description]]="","",IF(Table1[[#This Row],[Currency]]=$Q$2,$R$2,HLOOKUP(Table1[[#This Row],[Date]],Funds!$C$10:$GV$11,2,FALSE)))</f>
        <v/>
      </c>
      <c r="I129" s="217" t="str">
        <f>IF(Table1[[#This Row],[Description]]="","",Table1[[#This Row],[Value]]/Table1[[#This Row],[Conversion]])</f>
        <v/>
      </c>
      <c r="J129" s="50" t="str">
        <f>IF(Table1[[#This Row],[Description]]="","",DATE(Table1[[#This Row],[Year]],Table1[[#This Row],[Month]],1))</f>
        <v/>
      </c>
    </row>
    <row r="130" spans="8:10" x14ac:dyDescent="0.25">
      <c r="H130" t="str">
        <f>IF(Table1[[#This Row],[Description]]="","",IF(Table1[[#This Row],[Currency]]=$Q$2,$R$2,HLOOKUP(Table1[[#This Row],[Date]],Funds!$C$10:$GV$11,2,FALSE)))</f>
        <v/>
      </c>
      <c r="I130" s="217" t="str">
        <f>IF(Table1[[#This Row],[Description]]="","",Table1[[#This Row],[Value]]/Table1[[#This Row],[Conversion]])</f>
        <v/>
      </c>
      <c r="J130" s="50" t="str">
        <f>IF(Table1[[#This Row],[Description]]="","",DATE(Table1[[#This Row],[Year]],Table1[[#This Row],[Month]],1))</f>
        <v/>
      </c>
    </row>
    <row r="131" spans="8:10" x14ac:dyDescent="0.25">
      <c r="H131" t="str">
        <f>IF(Table1[[#This Row],[Description]]="","",IF(Table1[[#This Row],[Currency]]=$Q$2,$R$2,HLOOKUP(Table1[[#This Row],[Date]],Funds!$C$10:$GV$11,2,FALSE)))</f>
        <v/>
      </c>
      <c r="I131" s="217" t="str">
        <f>IF(Table1[[#This Row],[Description]]="","",Table1[[#This Row],[Value]]/Table1[[#This Row],[Conversion]])</f>
        <v/>
      </c>
      <c r="J131" s="50" t="str">
        <f>IF(Table1[[#This Row],[Description]]="","",DATE(Table1[[#This Row],[Year]],Table1[[#This Row],[Month]],1))</f>
        <v/>
      </c>
    </row>
    <row r="132" spans="8:10" x14ac:dyDescent="0.25">
      <c r="H132" t="str">
        <f>IF(Table1[[#This Row],[Description]]="","",IF(Table1[[#This Row],[Currency]]=$Q$2,$R$2,HLOOKUP(Table1[[#This Row],[Date]],Funds!$C$10:$GV$11,2,FALSE)))</f>
        <v/>
      </c>
      <c r="I132" s="217" t="str">
        <f>IF(Table1[[#This Row],[Description]]="","",Table1[[#This Row],[Value]]/Table1[[#This Row],[Conversion]])</f>
        <v/>
      </c>
      <c r="J132" s="50" t="str">
        <f>IF(Table1[[#This Row],[Description]]="","",DATE(Table1[[#This Row],[Year]],Table1[[#This Row],[Month]],1))</f>
        <v/>
      </c>
    </row>
    <row r="133" spans="8:10" x14ac:dyDescent="0.25">
      <c r="H133" t="str">
        <f>IF(Table1[[#This Row],[Description]]="","",IF(Table1[[#This Row],[Currency]]=$Q$2,$R$2,HLOOKUP(Table1[[#This Row],[Date]],Funds!$C$10:$GV$11,2,FALSE)))</f>
        <v/>
      </c>
      <c r="I133" s="217" t="str">
        <f>IF(Table1[[#This Row],[Description]]="","",Table1[[#This Row],[Value]]/Table1[[#This Row],[Conversion]])</f>
        <v/>
      </c>
      <c r="J133" s="50" t="str">
        <f>IF(Table1[[#This Row],[Description]]="","",DATE(Table1[[#This Row],[Year]],Table1[[#This Row],[Month]],1))</f>
        <v/>
      </c>
    </row>
    <row r="134" spans="8:10" x14ac:dyDescent="0.25">
      <c r="H134" t="str">
        <f>IF(Table1[[#This Row],[Description]]="","",IF(Table1[[#This Row],[Currency]]=$Q$2,$R$2,HLOOKUP(Table1[[#This Row],[Date]],Funds!$C$10:$GV$11,2,FALSE)))</f>
        <v/>
      </c>
      <c r="I134" s="217" t="str">
        <f>IF(Table1[[#This Row],[Description]]="","",Table1[[#This Row],[Value]]/Table1[[#This Row],[Conversion]])</f>
        <v/>
      </c>
      <c r="J134" s="50" t="str">
        <f>IF(Table1[[#This Row],[Description]]="","",DATE(Table1[[#This Row],[Year]],Table1[[#This Row],[Month]],1))</f>
        <v/>
      </c>
    </row>
    <row r="135" spans="8:10" x14ac:dyDescent="0.25">
      <c r="H135" t="str">
        <f>IF(Table1[[#This Row],[Description]]="","",IF(Table1[[#This Row],[Currency]]=$Q$2,$R$2,HLOOKUP(Table1[[#This Row],[Date]],Funds!$C$10:$GV$11,2,FALSE)))</f>
        <v/>
      </c>
      <c r="I135" s="217" t="str">
        <f>IF(Table1[[#This Row],[Description]]="","",Table1[[#This Row],[Value]]/Table1[[#This Row],[Conversion]])</f>
        <v/>
      </c>
      <c r="J135" s="50" t="str">
        <f>IF(Table1[[#This Row],[Description]]="","",DATE(Table1[[#This Row],[Year]],Table1[[#This Row],[Month]],1))</f>
        <v/>
      </c>
    </row>
    <row r="136" spans="8:10" x14ac:dyDescent="0.25">
      <c r="H136" t="str">
        <f>IF(Table1[[#This Row],[Description]]="","",IF(Table1[[#This Row],[Currency]]=$Q$2,$R$2,HLOOKUP(Table1[[#This Row],[Date]],Funds!$C$10:$GV$11,2,FALSE)))</f>
        <v/>
      </c>
      <c r="I136" s="217" t="str">
        <f>IF(Table1[[#This Row],[Description]]="","",Table1[[#This Row],[Value]]/Table1[[#This Row],[Conversion]])</f>
        <v/>
      </c>
      <c r="J136" s="50" t="str">
        <f>IF(Table1[[#This Row],[Description]]="","",DATE(Table1[[#This Row],[Year]],Table1[[#This Row],[Month]],1))</f>
        <v/>
      </c>
    </row>
    <row r="137" spans="8:10" x14ac:dyDescent="0.25">
      <c r="H137" t="str">
        <f>IF(Table1[[#This Row],[Description]]="","",IF(Table1[[#This Row],[Currency]]=$Q$2,$R$2,HLOOKUP(Table1[[#This Row],[Date]],Funds!$C$10:$GV$11,2,FALSE)))</f>
        <v/>
      </c>
      <c r="I137" s="217" t="str">
        <f>IF(Table1[[#This Row],[Description]]="","",Table1[[#This Row],[Value]]/Table1[[#This Row],[Conversion]])</f>
        <v/>
      </c>
      <c r="J137" s="50" t="str">
        <f>IF(Table1[[#This Row],[Description]]="","",DATE(Table1[[#This Row],[Year]],Table1[[#This Row],[Month]],1))</f>
        <v/>
      </c>
    </row>
    <row r="138" spans="8:10" x14ac:dyDescent="0.25">
      <c r="H138" t="str">
        <f>IF(Table1[[#This Row],[Description]]="","",IF(Table1[[#This Row],[Currency]]=$Q$2,$R$2,HLOOKUP(Table1[[#This Row],[Date]],Funds!$C$10:$GV$11,2,FALSE)))</f>
        <v/>
      </c>
      <c r="I138" s="217" t="str">
        <f>IF(Table1[[#This Row],[Description]]="","",Table1[[#This Row],[Value]]/Table1[[#This Row],[Conversion]])</f>
        <v/>
      </c>
      <c r="J138" s="50" t="str">
        <f>IF(Table1[[#This Row],[Description]]="","",DATE(Table1[[#This Row],[Year]],Table1[[#This Row],[Month]],1))</f>
        <v/>
      </c>
    </row>
    <row r="139" spans="8:10" x14ac:dyDescent="0.25">
      <c r="H139" t="str">
        <f>IF(Table1[[#This Row],[Description]]="","",IF(Table1[[#This Row],[Currency]]=$Q$2,$R$2,HLOOKUP(Table1[[#This Row],[Date]],Funds!$C$10:$GV$11,2,FALSE)))</f>
        <v/>
      </c>
      <c r="I139" s="217" t="str">
        <f>IF(Table1[[#This Row],[Description]]="","",Table1[[#This Row],[Value]]/Table1[[#This Row],[Conversion]])</f>
        <v/>
      </c>
      <c r="J139" s="50" t="str">
        <f>IF(Table1[[#This Row],[Description]]="","",DATE(Table1[[#This Row],[Year]],Table1[[#This Row],[Month]],1))</f>
        <v/>
      </c>
    </row>
    <row r="140" spans="8:10" x14ac:dyDescent="0.25">
      <c r="H140" t="str">
        <f>IF(Table1[[#This Row],[Description]]="","",IF(Table1[[#This Row],[Currency]]=$Q$2,$R$2,HLOOKUP(Table1[[#This Row],[Date]],Funds!$C$10:$GV$11,2,FALSE)))</f>
        <v/>
      </c>
      <c r="I140" s="217" t="str">
        <f>IF(Table1[[#This Row],[Description]]="","",Table1[[#This Row],[Value]]/Table1[[#This Row],[Conversion]])</f>
        <v/>
      </c>
      <c r="J140" s="50" t="str">
        <f>IF(Table1[[#This Row],[Description]]="","",DATE(Table1[[#This Row],[Year]],Table1[[#This Row],[Month]],1))</f>
        <v/>
      </c>
    </row>
    <row r="141" spans="8:10" x14ac:dyDescent="0.25">
      <c r="H141" t="str">
        <f>IF(Table1[[#This Row],[Description]]="","",IF(Table1[[#This Row],[Currency]]=$Q$2,$R$2,HLOOKUP(Table1[[#This Row],[Date]],Funds!$C$10:$GV$11,2,FALSE)))</f>
        <v/>
      </c>
      <c r="I141" s="217" t="str">
        <f>IF(Table1[[#This Row],[Description]]="","",Table1[[#This Row],[Value]]/Table1[[#This Row],[Conversion]])</f>
        <v/>
      </c>
      <c r="J141" s="50" t="str">
        <f>IF(Table1[[#This Row],[Description]]="","",DATE(Table1[[#This Row],[Year]],Table1[[#This Row],[Month]],1))</f>
        <v/>
      </c>
    </row>
    <row r="142" spans="8:10" x14ac:dyDescent="0.25">
      <c r="H142" t="str">
        <f>IF(Table1[[#This Row],[Description]]="","",IF(Table1[[#This Row],[Currency]]=$Q$2,$R$2,HLOOKUP(Table1[[#This Row],[Date]],Funds!$C$10:$GV$11,2,FALSE)))</f>
        <v/>
      </c>
      <c r="I142" s="217" t="str">
        <f>IF(Table1[[#This Row],[Description]]="","",Table1[[#This Row],[Value]]/Table1[[#This Row],[Conversion]])</f>
        <v/>
      </c>
      <c r="J142" s="50" t="str">
        <f>IF(Table1[[#This Row],[Description]]="","",DATE(Table1[[#This Row],[Year]],Table1[[#This Row],[Month]],1))</f>
        <v/>
      </c>
    </row>
    <row r="143" spans="8:10" x14ac:dyDescent="0.25">
      <c r="H143" t="str">
        <f>IF(Table1[[#This Row],[Description]]="","",IF(Table1[[#This Row],[Currency]]=$Q$2,$R$2,HLOOKUP(Table1[[#This Row],[Date]],Funds!$C$10:$GV$11,2,FALSE)))</f>
        <v/>
      </c>
      <c r="I143" s="217" t="str">
        <f>IF(Table1[[#This Row],[Description]]="","",Table1[[#This Row],[Value]]/Table1[[#This Row],[Conversion]])</f>
        <v/>
      </c>
      <c r="J143" s="50" t="str">
        <f>IF(Table1[[#This Row],[Description]]="","",DATE(Table1[[#This Row],[Year]],Table1[[#This Row],[Month]],1))</f>
        <v/>
      </c>
    </row>
    <row r="144" spans="8:10" x14ac:dyDescent="0.25">
      <c r="H144" t="str">
        <f>IF(Table1[[#This Row],[Description]]="","",IF(Table1[[#This Row],[Currency]]=$Q$2,$R$2,HLOOKUP(Table1[[#This Row],[Date]],Funds!$C$10:$GV$11,2,FALSE)))</f>
        <v/>
      </c>
      <c r="I144" s="217" t="str">
        <f>IF(Table1[[#This Row],[Description]]="","",Table1[[#This Row],[Value]]/Table1[[#This Row],[Conversion]])</f>
        <v/>
      </c>
      <c r="J144" s="50" t="str">
        <f>IF(Table1[[#This Row],[Description]]="","",DATE(Table1[[#This Row],[Year]],Table1[[#This Row],[Month]],1))</f>
        <v/>
      </c>
    </row>
    <row r="145" spans="8:10" x14ac:dyDescent="0.25">
      <c r="H145" t="str">
        <f>IF(Table1[[#This Row],[Description]]="","",IF(Table1[[#This Row],[Currency]]=$Q$2,$R$2,HLOOKUP(Table1[[#This Row],[Date]],Funds!$C$10:$GV$11,2,FALSE)))</f>
        <v/>
      </c>
      <c r="I145" s="217" t="str">
        <f>IF(Table1[[#This Row],[Description]]="","",Table1[[#This Row],[Value]]/Table1[[#This Row],[Conversion]])</f>
        <v/>
      </c>
      <c r="J145" s="50" t="str">
        <f>IF(Table1[[#This Row],[Description]]="","",DATE(Table1[[#This Row],[Year]],Table1[[#This Row],[Month]],1))</f>
        <v/>
      </c>
    </row>
    <row r="146" spans="8:10" x14ac:dyDescent="0.25">
      <c r="H146" t="str">
        <f>IF(Table1[[#This Row],[Description]]="","",IF(Table1[[#This Row],[Currency]]=$Q$2,$R$2,HLOOKUP(Table1[[#This Row],[Date]],Funds!$C$10:$GV$11,2,FALSE)))</f>
        <v/>
      </c>
      <c r="I146" s="217" t="str">
        <f>IF(Table1[[#This Row],[Description]]="","",Table1[[#This Row],[Value]]/Table1[[#This Row],[Conversion]])</f>
        <v/>
      </c>
      <c r="J146" s="50" t="str">
        <f>IF(Table1[[#This Row],[Description]]="","",DATE(Table1[[#This Row],[Year]],Table1[[#This Row],[Month]],1))</f>
        <v/>
      </c>
    </row>
    <row r="147" spans="8:10" x14ac:dyDescent="0.25">
      <c r="H147" t="str">
        <f>IF(Table1[[#This Row],[Description]]="","",IF(Table1[[#This Row],[Currency]]=$Q$2,$R$2,HLOOKUP(Table1[[#This Row],[Date]],Funds!$C$10:$GV$11,2,FALSE)))</f>
        <v/>
      </c>
      <c r="I147" s="217" t="str">
        <f>IF(Table1[[#This Row],[Description]]="","",Table1[[#This Row],[Value]]/Table1[[#This Row],[Conversion]])</f>
        <v/>
      </c>
      <c r="J147" s="50" t="str">
        <f>IF(Table1[[#This Row],[Description]]="","",DATE(Table1[[#This Row],[Year]],Table1[[#This Row],[Month]],1))</f>
        <v/>
      </c>
    </row>
    <row r="148" spans="8:10" x14ac:dyDescent="0.25">
      <c r="H148" t="str">
        <f>IF(Table1[[#This Row],[Description]]="","",IF(Table1[[#This Row],[Currency]]=$Q$2,$R$2,HLOOKUP(Table1[[#This Row],[Date]],Funds!$C$10:$GV$11,2,FALSE)))</f>
        <v/>
      </c>
      <c r="I148" s="217" t="str">
        <f>IF(Table1[[#This Row],[Description]]="","",Table1[[#This Row],[Value]]/Table1[[#This Row],[Conversion]])</f>
        <v/>
      </c>
      <c r="J148" s="50" t="str">
        <f>IF(Table1[[#This Row],[Description]]="","",DATE(Table1[[#This Row],[Year]],Table1[[#This Row],[Month]],1))</f>
        <v/>
      </c>
    </row>
    <row r="149" spans="8:10" x14ac:dyDescent="0.25">
      <c r="H149" t="str">
        <f>IF(Table1[[#This Row],[Description]]="","",IF(Table1[[#This Row],[Currency]]=$Q$2,$R$2,HLOOKUP(Table1[[#This Row],[Date]],Funds!$C$10:$GV$11,2,FALSE)))</f>
        <v/>
      </c>
      <c r="I149" s="217" t="str">
        <f>IF(Table1[[#This Row],[Description]]="","",Table1[[#This Row],[Value]]/Table1[[#This Row],[Conversion]])</f>
        <v/>
      </c>
      <c r="J149" s="50" t="str">
        <f>IF(Table1[[#This Row],[Description]]="","",DATE(Table1[[#This Row],[Year]],Table1[[#This Row],[Month]],1))</f>
        <v/>
      </c>
    </row>
    <row r="150" spans="8:10" x14ac:dyDescent="0.25">
      <c r="H150" t="str">
        <f>IF(Table1[[#This Row],[Description]]="","",IF(Table1[[#This Row],[Currency]]=$Q$2,$R$2,HLOOKUP(Table1[[#This Row],[Date]],Funds!$C$10:$GV$11,2,FALSE)))</f>
        <v/>
      </c>
      <c r="I150" s="217" t="str">
        <f>IF(Table1[[#This Row],[Description]]="","",Table1[[#This Row],[Value]]/Table1[[#This Row],[Conversion]])</f>
        <v/>
      </c>
      <c r="J150" s="50" t="str">
        <f>IF(Table1[[#This Row],[Description]]="","",DATE(Table1[[#This Row],[Year]],Table1[[#This Row],[Month]],1))</f>
        <v/>
      </c>
    </row>
    <row r="151" spans="8:10" x14ac:dyDescent="0.25">
      <c r="H151" t="str">
        <f>IF(Table1[[#This Row],[Description]]="","",IF(Table1[[#This Row],[Currency]]=$Q$2,$R$2,HLOOKUP(Table1[[#This Row],[Date]],Funds!$C$10:$GV$11,2,FALSE)))</f>
        <v/>
      </c>
      <c r="I151" s="217" t="str">
        <f>IF(Table1[[#This Row],[Description]]="","",Table1[[#This Row],[Value]]/Table1[[#This Row],[Conversion]])</f>
        <v/>
      </c>
      <c r="J151" s="50" t="str">
        <f>IF(Table1[[#This Row],[Description]]="","",DATE(Table1[[#This Row],[Year]],Table1[[#This Row],[Month]],1))</f>
        <v/>
      </c>
    </row>
    <row r="152" spans="8:10" x14ac:dyDescent="0.25">
      <c r="H152" t="str">
        <f>IF(Table1[[#This Row],[Description]]="","",IF(Table1[[#This Row],[Currency]]=$Q$2,$R$2,HLOOKUP(Table1[[#This Row],[Date]],Funds!$C$10:$GV$11,2,FALSE)))</f>
        <v/>
      </c>
      <c r="I152" s="217" t="str">
        <f>IF(Table1[[#This Row],[Description]]="","",Table1[[#This Row],[Value]]/Table1[[#This Row],[Conversion]])</f>
        <v/>
      </c>
      <c r="J152" s="50" t="str">
        <f>IF(Table1[[#This Row],[Description]]="","",DATE(Table1[[#This Row],[Year]],Table1[[#This Row],[Month]],1))</f>
        <v/>
      </c>
    </row>
    <row r="153" spans="8:10" x14ac:dyDescent="0.25">
      <c r="H153" t="str">
        <f>IF(Table1[[#This Row],[Description]]="","",IF(Table1[[#This Row],[Currency]]=$Q$2,$R$2,HLOOKUP(Table1[[#This Row],[Date]],Funds!$C$10:$GV$11,2,FALSE)))</f>
        <v/>
      </c>
      <c r="I153" s="217" t="str">
        <f>IF(Table1[[#This Row],[Description]]="","",Table1[[#This Row],[Value]]/Table1[[#This Row],[Conversion]])</f>
        <v/>
      </c>
      <c r="J153" s="50" t="str">
        <f>IF(Table1[[#This Row],[Description]]="","",DATE(Table1[[#This Row],[Year]],Table1[[#This Row],[Month]],1))</f>
        <v/>
      </c>
    </row>
    <row r="154" spans="8:10" x14ac:dyDescent="0.25">
      <c r="H154" t="str">
        <f>IF(Table1[[#This Row],[Description]]="","",IF(Table1[[#This Row],[Currency]]=$Q$2,$R$2,HLOOKUP(Table1[[#This Row],[Date]],Funds!$C$10:$GV$11,2,FALSE)))</f>
        <v/>
      </c>
      <c r="I154" s="217" t="str">
        <f>IF(Table1[[#This Row],[Description]]="","",Table1[[#This Row],[Value]]/Table1[[#This Row],[Conversion]])</f>
        <v/>
      </c>
      <c r="J154" s="50" t="str">
        <f>IF(Table1[[#This Row],[Description]]="","",DATE(Table1[[#This Row],[Year]],Table1[[#This Row],[Month]],1))</f>
        <v/>
      </c>
    </row>
    <row r="155" spans="8:10" x14ac:dyDescent="0.25">
      <c r="H155" t="str">
        <f>IF(Table1[[#This Row],[Description]]="","",IF(Table1[[#This Row],[Currency]]=$Q$2,$R$2,HLOOKUP(Table1[[#This Row],[Date]],Funds!$C$10:$GV$11,2,FALSE)))</f>
        <v/>
      </c>
      <c r="I155" s="217" t="str">
        <f>IF(Table1[[#This Row],[Description]]="","",Table1[[#This Row],[Value]]/Table1[[#This Row],[Conversion]])</f>
        <v/>
      </c>
      <c r="J155" s="50" t="str">
        <f>IF(Table1[[#This Row],[Description]]="","",DATE(Table1[[#This Row],[Year]],Table1[[#This Row],[Month]],1))</f>
        <v/>
      </c>
    </row>
    <row r="156" spans="8:10" x14ac:dyDescent="0.25">
      <c r="H156" t="str">
        <f>IF(Table1[[#This Row],[Description]]="","",IF(Table1[[#This Row],[Currency]]=$Q$2,$R$2,HLOOKUP(Table1[[#This Row],[Date]],Funds!$C$10:$GV$11,2,FALSE)))</f>
        <v/>
      </c>
      <c r="I156" s="217" t="str">
        <f>IF(Table1[[#This Row],[Description]]="","",Table1[[#This Row],[Value]]/Table1[[#This Row],[Conversion]])</f>
        <v/>
      </c>
      <c r="J156" s="50" t="str">
        <f>IF(Table1[[#This Row],[Description]]="","",DATE(Table1[[#This Row],[Year]],Table1[[#This Row],[Month]],1))</f>
        <v/>
      </c>
    </row>
    <row r="157" spans="8:10" x14ac:dyDescent="0.25">
      <c r="H157" t="str">
        <f>IF(Table1[[#This Row],[Description]]="","",IF(Table1[[#This Row],[Currency]]=$Q$2,$R$2,HLOOKUP(Table1[[#This Row],[Date]],Funds!$C$10:$GV$11,2,FALSE)))</f>
        <v/>
      </c>
      <c r="I157" s="217" t="str">
        <f>IF(Table1[[#This Row],[Description]]="","",Table1[[#This Row],[Value]]/Table1[[#This Row],[Conversion]])</f>
        <v/>
      </c>
      <c r="J157" s="50" t="str">
        <f>IF(Table1[[#This Row],[Description]]="","",DATE(Table1[[#This Row],[Year]],Table1[[#This Row],[Month]],1))</f>
        <v/>
      </c>
    </row>
    <row r="158" spans="8:10" x14ac:dyDescent="0.25">
      <c r="H158" t="str">
        <f>IF(Table1[[#This Row],[Description]]="","",IF(Table1[[#This Row],[Currency]]=$Q$2,$R$2,HLOOKUP(Table1[[#This Row],[Date]],Funds!$C$10:$GV$11,2,FALSE)))</f>
        <v/>
      </c>
      <c r="I158" s="217" t="str">
        <f>IF(Table1[[#This Row],[Description]]="","",Table1[[#This Row],[Value]]/Table1[[#This Row],[Conversion]])</f>
        <v/>
      </c>
      <c r="J158" s="50" t="str">
        <f>IF(Table1[[#This Row],[Description]]="","",DATE(Table1[[#This Row],[Year]],Table1[[#This Row],[Month]],1))</f>
        <v/>
      </c>
    </row>
    <row r="159" spans="8:10" x14ac:dyDescent="0.25">
      <c r="H159" t="str">
        <f>IF(Table1[[#This Row],[Description]]="","",IF(Table1[[#This Row],[Currency]]=$Q$2,$R$2,HLOOKUP(Table1[[#This Row],[Date]],Funds!$C$10:$GV$11,2,FALSE)))</f>
        <v/>
      </c>
      <c r="I159" s="217" t="str">
        <f>IF(Table1[[#This Row],[Description]]="","",Table1[[#This Row],[Value]]/Table1[[#This Row],[Conversion]])</f>
        <v/>
      </c>
      <c r="J159" s="50" t="str">
        <f>IF(Table1[[#This Row],[Description]]="","",DATE(Table1[[#This Row],[Year]],Table1[[#This Row],[Month]],1))</f>
        <v/>
      </c>
    </row>
    <row r="160" spans="8:10" x14ac:dyDescent="0.25">
      <c r="H160" t="str">
        <f>IF(Table1[[#This Row],[Description]]="","",IF(Table1[[#This Row],[Currency]]=$Q$2,$R$2,HLOOKUP(Table1[[#This Row],[Date]],Funds!$C$10:$GV$11,2,FALSE)))</f>
        <v/>
      </c>
      <c r="I160" s="217" t="str">
        <f>IF(Table1[[#This Row],[Description]]="","",Table1[[#This Row],[Value]]/Table1[[#This Row],[Conversion]])</f>
        <v/>
      </c>
      <c r="J160" s="50" t="str">
        <f>IF(Table1[[#This Row],[Description]]="","",DATE(Table1[[#This Row],[Year]],Table1[[#This Row],[Month]],1))</f>
        <v/>
      </c>
    </row>
    <row r="161" spans="8:10" x14ac:dyDescent="0.25">
      <c r="H161" t="str">
        <f>IF(Table1[[#This Row],[Description]]="","",IF(Table1[[#This Row],[Currency]]=$Q$2,$R$2,HLOOKUP(Table1[[#This Row],[Date]],Funds!$C$10:$GV$11,2,FALSE)))</f>
        <v/>
      </c>
      <c r="I161" s="217" t="str">
        <f>IF(Table1[[#This Row],[Description]]="","",Table1[[#This Row],[Value]]/Table1[[#This Row],[Conversion]])</f>
        <v/>
      </c>
      <c r="J161" s="50" t="str">
        <f>IF(Table1[[#This Row],[Description]]="","",DATE(Table1[[#This Row],[Year]],Table1[[#This Row],[Month]],1))</f>
        <v/>
      </c>
    </row>
    <row r="162" spans="8:10" x14ac:dyDescent="0.25">
      <c r="H162" t="str">
        <f>IF(Table1[[#This Row],[Description]]="","",IF(Table1[[#This Row],[Currency]]=$Q$2,$R$2,HLOOKUP(Table1[[#This Row],[Date]],Funds!$C$10:$GV$11,2,FALSE)))</f>
        <v/>
      </c>
      <c r="I162" s="217" t="str">
        <f>IF(Table1[[#This Row],[Description]]="","",Table1[[#This Row],[Value]]/Table1[[#This Row],[Conversion]])</f>
        <v/>
      </c>
      <c r="J162" s="50" t="str">
        <f>IF(Table1[[#This Row],[Description]]="","",DATE(Table1[[#This Row],[Year]],Table1[[#This Row],[Month]],1))</f>
        <v/>
      </c>
    </row>
    <row r="163" spans="8:10" x14ac:dyDescent="0.25">
      <c r="H163" t="str">
        <f>IF(Table1[[#This Row],[Description]]="","",IF(Table1[[#This Row],[Currency]]=$Q$2,$R$2,HLOOKUP(Table1[[#This Row],[Date]],Funds!$C$10:$GV$11,2,FALSE)))</f>
        <v/>
      </c>
      <c r="I163" s="217" t="str">
        <f>IF(Table1[[#This Row],[Description]]="","",Table1[[#This Row],[Value]]/Table1[[#This Row],[Conversion]])</f>
        <v/>
      </c>
      <c r="J163" s="50" t="str">
        <f>IF(Table1[[#This Row],[Description]]="","",DATE(Table1[[#This Row],[Year]],Table1[[#This Row],[Month]],1))</f>
        <v/>
      </c>
    </row>
    <row r="164" spans="8:10" x14ac:dyDescent="0.25">
      <c r="H164" t="str">
        <f>IF(Table1[[#This Row],[Description]]="","",IF(Table1[[#This Row],[Currency]]=$Q$2,$R$2,HLOOKUP(Table1[[#This Row],[Date]],Funds!$C$10:$GV$11,2,FALSE)))</f>
        <v/>
      </c>
      <c r="I164" s="217" t="str">
        <f>IF(Table1[[#This Row],[Description]]="","",Table1[[#This Row],[Value]]/Table1[[#This Row],[Conversion]])</f>
        <v/>
      </c>
      <c r="J164" s="50" t="str">
        <f>IF(Table1[[#This Row],[Description]]="","",DATE(Table1[[#This Row],[Year]],Table1[[#This Row],[Month]],1))</f>
        <v/>
      </c>
    </row>
    <row r="165" spans="8:10" x14ac:dyDescent="0.25">
      <c r="H165" t="str">
        <f>IF(Table1[[#This Row],[Description]]="","",IF(Table1[[#This Row],[Currency]]=$Q$2,$R$2,HLOOKUP(Table1[[#This Row],[Date]],Funds!$C$10:$GV$11,2,FALSE)))</f>
        <v/>
      </c>
      <c r="I165" s="217" t="str">
        <f>IF(Table1[[#This Row],[Description]]="","",Table1[[#This Row],[Value]]/Table1[[#This Row],[Conversion]])</f>
        <v/>
      </c>
      <c r="J165" s="50" t="str">
        <f>IF(Table1[[#This Row],[Description]]="","",DATE(Table1[[#This Row],[Year]],Table1[[#This Row],[Month]],1))</f>
        <v/>
      </c>
    </row>
    <row r="166" spans="8:10" x14ac:dyDescent="0.25">
      <c r="H166" t="str">
        <f>IF(Table1[[#This Row],[Description]]="","",IF(Table1[[#This Row],[Currency]]=$Q$2,$R$2,HLOOKUP(Table1[[#This Row],[Date]],Funds!$C$10:$GV$11,2,FALSE)))</f>
        <v/>
      </c>
      <c r="I166" s="217" t="str">
        <f>IF(Table1[[#This Row],[Description]]="","",Table1[[#This Row],[Value]]/Table1[[#This Row],[Conversion]])</f>
        <v/>
      </c>
      <c r="J166" s="50" t="str">
        <f>IF(Table1[[#This Row],[Description]]="","",DATE(Table1[[#This Row],[Year]],Table1[[#This Row],[Month]],1))</f>
        <v/>
      </c>
    </row>
    <row r="167" spans="8:10" x14ac:dyDescent="0.25">
      <c r="H167" t="str">
        <f>IF(Table1[[#This Row],[Description]]="","",IF(Table1[[#This Row],[Currency]]=$Q$2,$R$2,HLOOKUP(Table1[[#This Row],[Date]],Funds!$C$10:$GV$11,2,FALSE)))</f>
        <v/>
      </c>
      <c r="I167" s="217" t="str">
        <f>IF(Table1[[#This Row],[Description]]="","",Table1[[#This Row],[Value]]/Table1[[#This Row],[Conversion]])</f>
        <v/>
      </c>
      <c r="J167" s="50" t="str">
        <f>IF(Table1[[#This Row],[Description]]="","",DATE(Table1[[#This Row],[Year]],Table1[[#This Row],[Month]],1))</f>
        <v/>
      </c>
    </row>
    <row r="168" spans="8:10" x14ac:dyDescent="0.25">
      <c r="H168" t="str">
        <f>IF(Table1[[#This Row],[Description]]="","",IF(Table1[[#This Row],[Currency]]=$Q$2,$R$2,HLOOKUP(Table1[[#This Row],[Date]],Funds!$C$10:$GV$11,2,FALSE)))</f>
        <v/>
      </c>
      <c r="I168" s="217" t="str">
        <f>IF(Table1[[#This Row],[Description]]="","",Table1[[#This Row],[Value]]/Table1[[#This Row],[Conversion]])</f>
        <v/>
      </c>
      <c r="J168" s="50" t="str">
        <f>IF(Table1[[#This Row],[Description]]="","",DATE(Table1[[#This Row],[Year]],Table1[[#This Row],[Month]],1))</f>
        <v/>
      </c>
    </row>
    <row r="169" spans="8:10" x14ac:dyDescent="0.25">
      <c r="H169" t="str">
        <f>IF(Table1[[#This Row],[Description]]="","",IF(Table1[[#This Row],[Currency]]=$Q$2,$R$2,HLOOKUP(Table1[[#This Row],[Date]],Funds!$C$10:$GV$11,2,FALSE)))</f>
        <v/>
      </c>
      <c r="I169" s="217" t="str">
        <f>IF(Table1[[#This Row],[Description]]="","",Table1[[#This Row],[Value]]/Table1[[#This Row],[Conversion]])</f>
        <v/>
      </c>
      <c r="J169" s="50" t="str">
        <f>IF(Table1[[#This Row],[Description]]="","",DATE(Table1[[#This Row],[Year]],Table1[[#This Row],[Month]],1))</f>
        <v/>
      </c>
    </row>
    <row r="170" spans="8:10" x14ac:dyDescent="0.25">
      <c r="H170" t="str">
        <f>IF(Table1[[#This Row],[Description]]="","",IF(Table1[[#This Row],[Currency]]=$Q$2,$R$2,HLOOKUP(Table1[[#This Row],[Date]],Funds!$C$10:$GV$11,2,FALSE)))</f>
        <v/>
      </c>
      <c r="I170" s="217" t="str">
        <f>IF(Table1[[#This Row],[Description]]="","",Table1[[#This Row],[Value]]/Table1[[#This Row],[Conversion]])</f>
        <v/>
      </c>
      <c r="J170" s="50" t="str">
        <f>IF(Table1[[#This Row],[Description]]="","",DATE(Table1[[#This Row],[Year]],Table1[[#This Row],[Month]],1))</f>
        <v/>
      </c>
    </row>
    <row r="171" spans="8:10" x14ac:dyDescent="0.25">
      <c r="H171" t="str">
        <f>IF(Table1[[#This Row],[Description]]="","",IF(Table1[[#This Row],[Currency]]=$Q$2,$R$2,HLOOKUP(Table1[[#This Row],[Date]],Funds!$C$10:$GV$11,2,FALSE)))</f>
        <v/>
      </c>
      <c r="I171" s="217" t="str">
        <f>IF(Table1[[#This Row],[Description]]="","",Table1[[#This Row],[Value]]/Table1[[#This Row],[Conversion]])</f>
        <v/>
      </c>
      <c r="J171" s="50" t="str">
        <f>IF(Table1[[#This Row],[Description]]="","",DATE(Table1[[#This Row],[Year]],Table1[[#This Row],[Month]],1))</f>
        <v/>
      </c>
    </row>
    <row r="172" spans="8:10" x14ac:dyDescent="0.25">
      <c r="H172" t="str">
        <f>IF(Table1[[#This Row],[Description]]="","",IF(Table1[[#This Row],[Currency]]=$Q$2,$R$2,HLOOKUP(Table1[[#This Row],[Date]],Funds!$C$10:$GV$11,2,FALSE)))</f>
        <v/>
      </c>
      <c r="I172" s="217" t="str">
        <f>IF(Table1[[#This Row],[Description]]="","",Table1[[#This Row],[Value]]/Table1[[#This Row],[Conversion]])</f>
        <v/>
      </c>
      <c r="J172" s="50" t="str">
        <f>IF(Table1[[#This Row],[Description]]="","",DATE(Table1[[#This Row],[Year]],Table1[[#This Row],[Month]],1))</f>
        <v/>
      </c>
    </row>
    <row r="173" spans="8:10" x14ac:dyDescent="0.25">
      <c r="H173" t="str">
        <f>IF(Table1[[#This Row],[Description]]="","",IF(Table1[[#This Row],[Currency]]=$Q$2,$R$2,HLOOKUP(Table1[[#This Row],[Date]],Funds!$C$10:$GV$11,2,FALSE)))</f>
        <v/>
      </c>
      <c r="I173" s="217" t="str">
        <f>IF(Table1[[#This Row],[Description]]="","",Table1[[#This Row],[Value]]/Table1[[#This Row],[Conversion]])</f>
        <v/>
      </c>
      <c r="J173" s="50" t="str">
        <f>IF(Table1[[#This Row],[Description]]="","",DATE(Table1[[#This Row],[Year]],Table1[[#This Row],[Month]],1))</f>
        <v/>
      </c>
    </row>
    <row r="174" spans="8:10" x14ac:dyDescent="0.25">
      <c r="H174" t="str">
        <f>IF(Table1[[#This Row],[Description]]="","",IF(Table1[[#This Row],[Currency]]=$Q$2,$R$2,HLOOKUP(Table1[[#This Row],[Date]],Funds!$C$10:$GV$11,2,FALSE)))</f>
        <v/>
      </c>
      <c r="I174" s="217" t="str">
        <f>IF(Table1[[#This Row],[Description]]="","",Table1[[#This Row],[Value]]/Table1[[#This Row],[Conversion]])</f>
        <v/>
      </c>
      <c r="J174" s="50" t="str">
        <f>IF(Table1[[#This Row],[Description]]="","",DATE(Table1[[#This Row],[Year]],Table1[[#This Row],[Month]],1))</f>
        <v/>
      </c>
    </row>
    <row r="175" spans="8:10" x14ac:dyDescent="0.25">
      <c r="H175" t="str">
        <f>IF(Table1[[#This Row],[Description]]="","",IF(Table1[[#This Row],[Currency]]=$Q$2,$R$2,HLOOKUP(Table1[[#This Row],[Date]],Funds!$C$10:$GV$11,2,FALSE)))</f>
        <v/>
      </c>
      <c r="I175" s="217" t="str">
        <f>IF(Table1[[#This Row],[Description]]="","",Table1[[#This Row],[Value]]/Table1[[#This Row],[Conversion]])</f>
        <v/>
      </c>
      <c r="J175" s="50" t="str">
        <f>IF(Table1[[#This Row],[Description]]="","",DATE(Table1[[#This Row],[Year]],Table1[[#This Row],[Month]],1))</f>
        <v/>
      </c>
    </row>
    <row r="176" spans="8:10" x14ac:dyDescent="0.25">
      <c r="H176" t="str">
        <f>IF(Table1[[#This Row],[Description]]="","",IF(Table1[[#This Row],[Currency]]=$Q$2,$R$2,HLOOKUP(Table1[[#This Row],[Date]],Funds!$C$10:$GV$11,2,FALSE)))</f>
        <v/>
      </c>
      <c r="I176" s="217" t="str">
        <f>IF(Table1[[#This Row],[Description]]="","",Table1[[#This Row],[Value]]/Table1[[#This Row],[Conversion]])</f>
        <v/>
      </c>
      <c r="J176" s="50" t="str">
        <f>IF(Table1[[#This Row],[Description]]="","",DATE(Table1[[#This Row],[Year]],Table1[[#This Row],[Month]],1))</f>
        <v/>
      </c>
    </row>
    <row r="177" spans="8:10" x14ac:dyDescent="0.25">
      <c r="H177" t="str">
        <f>IF(Table1[[#This Row],[Description]]="","",IF(Table1[[#This Row],[Currency]]=$Q$2,$R$2,HLOOKUP(Table1[[#This Row],[Date]],Funds!$C$10:$GV$11,2,FALSE)))</f>
        <v/>
      </c>
      <c r="I177" s="217" t="str">
        <f>IF(Table1[[#This Row],[Description]]="","",Table1[[#This Row],[Value]]/Table1[[#This Row],[Conversion]])</f>
        <v/>
      </c>
      <c r="J177" s="50" t="str">
        <f>IF(Table1[[#This Row],[Description]]="","",DATE(Table1[[#This Row],[Year]],Table1[[#This Row],[Month]],1))</f>
        <v/>
      </c>
    </row>
    <row r="178" spans="8:10" x14ac:dyDescent="0.25">
      <c r="H178" t="str">
        <f>IF(Table1[[#This Row],[Description]]="","",IF(Table1[[#This Row],[Currency]]=$Q$2,$R$2,HLOOKUP(Table1[[#This Row],[Date]],Funds!$C$10:$GV$11,2,FALSE)))</f>
        <v/>
      </c>
      <c r="I178" s="217" t="str">
        <f>IF(Table1[[#This Row],[Description]]="","",Table1[[#This Row],[Value]]/Table1[[#This Row],[Conversion]])</f>
        <v/>
      </c>
      <c r="J178" s="50" t="str">
        <f>IF(Table1[[#This Row],[Description]]="","",DATE(Table1[[#This Row],[Year]],Table1[[#This Row],[Month]],1))</f>
        <v/>
      </c>
    </row>
    <row r="179" spans="8:10" x14ac:dyDescent="0.25">
      <c r="H179" t="str">
        <f>IF(Table1[[#This Row],[Description]]="","",IF(Table1[[#This Row],[Currency]]=$Q$2,$R$2,HLOOKUP(Table1[[#This Row],[Date]],Funds!$C$10:$GV$11,2,FALSE)))</f>
        <v/>
      </c>
      <c r="I179" s="217" t="str">
        <f>IF(Table1[[#This Row],[Description]]="","",Table1[[#This Row],[Value]]/Table1[[#This Row],[Conversion]])</f>
        <v/>
      </c>
      <c r="J179" s="50" t="str">
        <f>IF(Table1[[#This Row],[Description]]="","",DATE(Table1[[#This Row],[Year]],Table1[[#This Row],[Month]],1))</f>
        <v/>
      </c>
    </row>
    <row r="180" spans="8:10" x14ac:dyDescent="0.25">
      <c r="H180" t="str">
        <f>IF(Table1[[#This Row],[Description]]="","",IF(Table1[[#This Row],[Currency]]=$Q$2,$R$2,HLOOKUP(Table1[[#This Row],[Date]],Funds!$C$10:$GV$11,2,FALSE)))</f>
        <v/>
      </c>
      <c r="I180" s="217" t="str">
        <f>IF(Table1[[#This Row],[Description]]="","",Table1[[#This Row],[Value]]/Table1[[#This Row],[Conversion]])</f>
        <v/>
      </c>
      <c r="J180" s="50" t="str">
        <f>IF(Table1[[#This Row],[Description]]="","",DATE(Table1[[#This Row],[Year]],Table1[[#This Row],[Month]],1))</f>
        <v/>
      </c>
    </row>
    <row r="181" spans="8:10" x14ac:dyDescent="0.25">
      <c r="H181" t="str">
        <f>IF(Table1[[#This Row],[Description]]="","",IF(Table1[[#This Row],[Currency]]=$Q$2,$R$2,HLOOKUP(Table1[[#This Row],[Date]],Funds!$C$10:$GV$11,2,FALSE)))</f>
        <v/>
      </c>
      <c r="I181" s="217" t="str">
        <f>IF(Table1[[#This Row],[Description]]="","",Table1[[#This Row],[Value]]/Table1[[#This Row],[Conversion]])</f>
        <v/>
      </c>
      <c r="J181" s="50" t="str">
        <f>IF(Table1[[#This Row],[Description]]="","",DATE(Table1[[#This Row],[Year]],Table1[[#This Row],[Month]],1))</f>
        <v/>
      </c>
    </row>
    <row r="182" spans="8:10" x14ac:dyDescent="0.25">
      <c r="H182" t="str">
        <f>IF(Table1[[#This Row],[Description]]="","",IF(Table1[[#This Row],[Currency]]=$Q$2,$R$2,HLOOKUP(Table1[[#This Row],[Date]],Funds!$C$10:$GV$11,2,FALSE)))</f>
        <v/>
      </c>
      <c r="I182" s="217" t="str">
        <f>IF(Table1[[#This Row],[Description]]="","",Table1[[#This Row],[Value]]/Table1[[#This Row],[Conversion]])</f>
        <v/>
      </c>
      <c r="J182" s="50" t="str">
        <f>IF(Table1[[#This Row],[Description]]="","",DATE(Table1[[#This Row],[Year]],Table1[[#This Row],[Month]],1))</f>
        <v/>
      </c>
    </row>
    <row r="183" spans="8:10" x14ac:dyDescent="0.25">
      <c r="H183" t="str">
        <f>IF(Table1[[#This Row],[Description]]="","",IF(Table1[[#This Row],[Currency]]=$Q$2,$R$2,HLOOKUP(Table1[[#This Row],[Date]],Funds!$C$10:$GV$11,2,FALSE)))</f>
        <v/>
      </c>
      <c r="I183" s="217" t="str">
        <f>IF(Table1[[#This Row],[Description]]="","",Table1[[#This Row],[Value]]/Table1[[#This Row],[Conversion]])</f>
        <v/>
      </c>
      <c r="J183" s="50" t="str">
        <f>IF(Table1[[#This Row],[Description]]="","",DATE(Table1[[#This Row],[Year]],Table1[[#This Row],[Month]],1))</f>
        <v/>
      </c>
    </row>
    <row r="184" spans="8:10" x14ac:dyDescent="0.25">
      <c r="H184" t="str">
        <f>IF(Table1[[#This Row],[Description]]="","",IF(Table1[[#This Row],[Currency]]=$Q$2,$R$2,HLOOKUP(Table1[[#This Row],[Date]],Funds!$C$10:$GV$11,2,FALSE)))</f>
        <v/>
      </c>
      <c r="I184" s="217" t="str">
        <f>IF(Table1[[#This Row],[Description]]="","",Table1[[#This Row],[Value]]/Table1[[#This Row],[Conversion]])</f>
        <v/>
      </c>
      <c r="J184" s="50" t="str">
        <f>IF(Table1[[#This Row],[Description]]="","",DATE(Table1[[#This Row],[Year]],Table1[[#This Row],[Month]],1))</f>
        <v/>
      </c>
    </row>
    <row r="185" spans="8:10" x14ac:dyDescent="0.25">
      <c r="H185" t="str">
        <f>IF(Table1[[#This Row],[Description]]="","",IF(Table1[[#This Row],[Currency]]=$Q$2,$R$2,HLOOKUP(Table1[[#This Row],[Date]],Funds!$C$10:$GV$11,2,FALSE)))</f>
        <v/>
      </c>
      <c r="I185" s="217" t="str">
        <f>IF(Table1[[#This Row],[Description]]="","",Table1[[#This Row],[Value]]/Table1[[#This Row],[Conversion]])</f>
        <v/>
      </c>
      <c r="J185" s="50" t="str">
        <f>IF(Table1[[#This Row],[Description]]="","",DATE(Table1[[#This Row],[Year]],Table1[[#This Row],[Month]],1))</f>
        <v/>
      </c>
    </row>
    <row r="186" spans="8:10" x14ac:dyDescent="0.25">
      <c r="H186" t="str">
        <f>IF(Table1[[#This Row],[Description]]="","",IF(Table1[[#This Row],[Currency]]=$Q$2,$R$2,HLOOKUP(Table1[[#This Row],[Date]],Funds!$C$10:$GV$11,2,FALSE)))</f>
        <v/>
      </c>
      <c r="I186" s="217" t="str">
        <f>IF(Table1[[#This Row],[Description]]="","",Table1[[#This Row],[Value]]/Table1[[#This Row],[Conversion]])</f>
        <v/>
      </c>
      <c r="J186" s="50" t="str">
        <f>IF(Table1[[#This Row],[Description]]="","",DATE(Table1[[#This Row],[Year]],Table1[[#This Row],[Month]],1))</f>
        <v/>
      </c>
    </row>
    <row r="187" spans="8:10" x14ac:dyDescent="0.25">
      <c r="H187" t="str">
        <f>IF(Table1[[#This Row],[Description]]="","",IF(Table1[[#This Row],[Currency]]=$Q$2,$R$2,HLOOKUP(Table1[[#This Row],[Date]],Funds!$C$10:$GV$11,2,FALSE)))</f>
        <v/>
      </c>
      <c r="I187" s="217" t="str">
        <f>IF(Table1[[#This Row],[Description]]="","",Table1[[#This Row],[Value]]/Table1[[#This Row],[Conversion]])</f>
        <v/>
      </c>
      <c r="J187" s="50" t="str">
        <f>IF(Table1[[#This Row],[Description]]="","",DATE(Table1[[#This Row],[Year]],Table1[[#This Row],[Month]],1))</f>
        <v/>
      </c>
    </row>
    <row r="188" spans="8:10" x14ac:dyDescent="0.25">
      <c r="H188" t="str">
        <f>IF(Table1[[#This Row],[Description]]="","",IF(Table1[[#This Row],[Currency]]=$Q$2,$R$2,HLOOKUP(Table1[[#This Row],[Date]],Funds!$C$10:$GV$11,2,FALSE)))</f>
        <v/>
      </c>
      <c r="I188" s="217" t="str">
        <f>IF(Table1[[#This Row],[Description]]="","",Table1[[#This Row],[Value]]/Table1[[#This Row],[Conversion]])</f>
        <v/>
      </c>
      <c r="J188" s="50" t="str">
        <f>IF(Table1[[#This Row],[Description]]="","",DATE(Table1[[#This Row],[Year]],Table1[[#This Row],[Month]],1))</f>
        <v/>
      </c>
    </row>
    <row r="189" spans="8:10" x14ac:dyDescent="0.25">
      <c r="H189" t="str">
        <f>IF(Table1[[#This Row],[Description]]="","",IF(Table1[[#This Row],[Currency]]=$Q$2,$R$2,HLOOKUP(Table1[[#This Row],[Date]],Funds!$C$10:$GV$11,2,FALSE)))</f>
        <v/>
      </c>
      <c r="I189" s="217" t="str">
        <f>IF(Table1[[#This Row],[Description]]="","",Table1[[#This Row],[Value]]/Table1[[#This Row],[Conversion]])</f>
        <v/>
      </c>
      <c r="J189" s="50" t="str">
        <f>IF(Table1[[#This Row],[Description]]="","",DATE(Table1[[#This Row],[Year]],Table1[[#This Row],[Month]],1))</f>
        <v/>
      </c>
    </row>
    <row r="190" spans="8:10" x14ac:dyDescent="0.25">
      <c r="H190" t="str">
        <f>IF(Table1[[#This Row],[Description]]="","",IF(Table1[[#This Row],[Currency]]=$Q$2,$R$2,HLOOKUP(Table1[[#This Row],[Date]],Funds!$C$10:$GV$11,2,FALSE)))</f>
        <v/>
      </c>
      <c r="I190" s="217" t="str">
        <f>IF(Table1[[#This Row],[Description]]="","",Table1[[#This Row],[Value]]/Table1[[#This Row],[Conversion]])</f>
        <v/>
      </c>
      <c r="J190" s="50" t="str">
        <f>IF(Table1[[#This Row],[Description]]="","",DATE(Table1[[#This Row],[Year]],Table1[[#This Row],[Month]],1))</f>
        <v/>
      </c>
    </row>
    <row r="191" spans="8:10" x14ac:dyDescent="0.25">
      <c r="H191" t="str">
        <f>IF(Table1[[#This Row],[Description]]="","",IF(Table1[[#This Row],[Currency]]=$Q$2,$R$2,HLOOKUP(Table1[[#This Row],[Date]],Funds!$C$10:$GV$11,2,FALSE)))</f>
        <v/>
      </c>
      <c r="I191" s="217" t="str">
        <f>IF(Table1[[#This Row],[Description]]="","",Table1[[#This Row],[Value]]/Table1[[#This Row],[Conversion]])</f>
        <v/>
      </c>
      <c r="J191" s="50" t="str">
        <f>IF(Table1[[#This Row],[Description]]="","",DATE(Table1[[#This Row],[Year]],Table1[[#This Row],[Month]],1))</f>
        <v/>
      </c>
    </row>
    <row r="192" spans="8:10" x14ac:dyDescent="0.25">
      <c r="H192" t="str">
        <f>IF(Table1[[#This Row],[Description]]="","",IF(Table1[[#This Row],[Currency]]=$Q$2,$R$2,HLOOKUP(Table1[[#This Row],[Date]],Funds!$C$10:$GV$11,2,FALSE)))</f>
        <v/>
      </c>
      <c r="I192" s="217" t="str">
        <f>IF(Table1[[#This Row],[Description]]="","",Table1[[#This Row],[Value]]/Table1[[#This Row],[Conversion]])</f>
        <v/>
      </c>
      <c r="J192" s="50" t="str">
        <f>IF(Table1[[#This Row],[Description]]="","",DATE(Table1[[#This Row],[Year]],Table1[[#This Row],[Month]],1))</f>
        <v/>
      </c>
    </row>
    <row r="193" spans="8:10" x14ac:dyDescent="0.25">
      <c r="H193" t="str">
        <f>IF(Table1[[#This Row],[Description]]="","",IF(Table1[[#This Row],[Currency]]=$Q$2,$R$2,HLOOKUP(Table1[[#This Row],[Date]],Funds!$C$10:$GV$11,2,FALSE)))</f>
        <v/>
      </c>
      <c r="I193" s="217" t="str">
        <f>IF(Table1[[#This Row],[Description]]="","",Table1[[#This Row],[Value]]/Table1[[#This Row],[Conversion]])</f>
        <v/>
      </c>
      <c r="J193" s="50" t="str">
        <f>IF(Table1[[#This Row],[Description]]="","",DATE(Table1[[#This Row],[Year]],Table1[[#This Row],[Month]],1))</f>
        <v/>
      </c>
    </row>
    <row r="194" spans="8:10" x14ac:dyDescent="0.25">
      <c r="H194" t="str">
        <f>IF(Table1[[#This Row],[Description]]="","",IF(Table1[[#This Row],[Currency]]=$Q$2,$R$2,HLOOKUP(Table1[[#This Row],[Date]],Funds!$C$10:$GV$11,2,FALSE)))</f>
        <v/>
      </c>
      <c r="I194" s="217" t="str">
        <f>IF(Table1[[#This Row],[Description]]="","",Table1[[#This Row],[Value]]/Table1[[#This Row],[Conversion]])</f>
        <v/>
      </c>
      <c r="J194" s="50" t="str">
        <f>IF(Table1[[#This Row],[Description]]="","",DATE(Table1[[#This Row],[Year]],Table1[[#This Row],[Month]],1))</f>
        <v/>
      </c>
    </row>
    <row r="195" spans="8:10" x14ac:dyDescent="0.25">
      <c r="H195" t="str">
        <f>IF(Table1[[#This Row],[Description]]="","",IF(Table1[[#This Row],[Currency]]=$Q$2,$R$2,HLOOKUP(Table1[[#This Row],[Date]],Funds!$C$10:$GV$11,2,FALSE)))</f>
        <v/>
      </c>
      <c r="I195" s="217" t="str">
        <f>IF(Table1[[#This Row],[Description]]="","",Table1[[#This Row],[Value]]/Table1[[#This Row],[Conversion]])</f>
        <v/>
      </c>
      <c r="J195" s="50" t="str">
        <f>IF(Table1[[#This Row],[Description]]="","",DATE(Table1[[#This Row],[Year]],Table1[[#This Row],[Month]],1))</f>
        <v/>
      </c>
    </row>
    <row r="196" spans="8:10" x14ac:dyDescent="0.25">
      <c r="H196" t="str">
        <f>IF(Table1[[#This Row],[Description]]="","",IF(Table1[[#This Row],[Currency]]=$Q$2,$R$2,HLOOKUP(Table1[[#This Row],[Date]],Funds!$C$10:$GV$11,2,FALSE)))</f>
        <v/>
      </c>
      <c r="I196" s="217" t="str">
        <f>IF(Table1[[#This Row],[Description]]="","",Table1[[#This Row],[Value]]/Table1[[#This Row],[Conversion]])</f>
        <v/>
      </c>
      <c r="J196" s="50" t="str">
        <f>IF(Table1[[#This Row],[Description]]="","",DATE(Table1[[#This Row],[Year]],Table1[[#This Row],[Month]],1))</f>
        <v/>
      </c>
    </row>
    <row r="197" spans="8:10" x14ac:dyDescent="0.25">
      <c r="H197" t="str">
        <f>IF(Table1[[#This Row],[Description]]="","",IF(Table1[[#This Row],[Currency]]=$Q$2,$R$2,HLOOKUP(Table1[[#This Row],[Date]],Funds!$C$10:$GV$11,2,FALSE)))</f>
        <v/>
      </c>
      <c r="I197" s="217" t="str">
        <f>IF(Table1[[#This Row],[Description]]="","",Table1[[#This Row],[Value]]/Table1[[#This Row],[Conversion]])</f>
        <v/>
      </c>
      <c r="J197" s="50" t="str">
        <f>IF(Table1[[#This Row],[Description]]="","",DATE(Table1[[#This Row],[Year]],Table1[[#This Row],[Month]],1))</f>
        <v/>
      </c>
    </row>
    <row r="198" spans="8:10" x14ac:dyDescent="0.25">
      <c r="H198" t="str">
        <f>IF(Table1[[#This Row],[Description]]="","",IF(Table1[[#This Row],[Currency]]=$Q$2,$R$2,HLOOKUP(Table1[[#This Row],[Date]],Funds!$C$10:$GV$11,2,FALSE)))</f>
        <v/>
      </c>
      <c r="I198" s="217" t="str">
        <f>IF(Table1[[#This Row],[Description]]="","",Table1[[#This Row],[Value]]/Table1[[#This Row],[Conversion]])</f>
        <v/>
      </c>
      <c r="J198" s="50" t="str">
        <f>IF(Table1[[#This Row],[Description]]="","",DATE(Table1[[#This Row],[Year]],Table1[[#This Row],[Month]],1))</f>
        <v/>
      </c>
    </row>
    <row r="199" spans="8:10" x14ac:dyDescent="0.25">
      <c r="H199" t="str">
        <f>IF(Table1[[#This Row],[Description]]="","",IF(Table1[[#This Row],[Currency]]=$Q$2,$R$2,HLOOKUP(Table1[[#This Row],[Date]],Funds!$C$10:$GV$11,2,FALSE)))</f>
        <v/>
      </c>
      <c r="I199" s="217" t="str">
        <f>IF(Table1[[#This Row],[Description]]="","",Table1[[#This Row],[Value]]/Table1[[#This Row],[Conversion]])</f>
        <v/>
      </c>
      <c r="J199" s="50" t="str">
        <f>IF(Table1[[#This Row],[Description]]="","",DATE(Table1[[#This Row],[Year]],Table1[[#This Row],[Month]],1))</f>
        <v/>
      </c>
    </row>
    <row r="200" spans="8:10" x14ac:dyDescent="0.25">
      <c r="H200" t="str">
        <f>IF(Table1[[#This Row],[Description]]="","",IF(Table1[[#This Row],[Currency]]=$Q$2,$R$2,HLOOKUP(Table1[[#This Row],[Date]],Funds!$C$10:$GV$11,2,FALSE)))</f>
        <v/>
      </c>
      <c r="I200" s="217" t="str">
        <f>IF(Table1[[#This Row],[Description]]="","",Table1[[#This Row],[Value]]/Table1[[#This Row],[Conversion]])</f>
        <v/>
      </c>
      <c r="J200" s="50" t="str">
        <f>IF(Table1[[#This Row],[Description]]="","",DATE(Table1[[#This Row],[Year]],Table1[[#This Row],[Month]],1))</f>
        <v/>
      </c>
    </row>
    <row r="201" spans="8:10" x14ac:dyDescent="0.25">
      <c r="H201" t="str">
        <f>IF(Table1[[#This Row],[Description]]="","",IF(Table1[[#This Row],[Currency]]=$Q$2,$R$2,HLOOKUP(Table1[[#This Row],[Date]],Funds!$C$10:$GV$11,2,FALSE)))</f>
        <v/>
      </c>
      <c r="I201" s="217" t="str">
        <f>IF(Table1[[#This Row],[Description]]="","",Table1[[#This Row],[Value]]/Table1[[#This Row],[Conversion]])</f>
        <v/>
      </c>
      <c r="J201" s="50" t="str">
        <f>IF(Table1[[#This Row],[Description]]="","",DATE(Table1[[#This Row],[Year]],Table1[[#This Row],[Month]],1))</f>
        <v/>
      </c>
    </row>
    <row r="202" spans="8:10" x14ac:dyDescent="0.25">
      <c r="H202" t="str">
        <f>IF(Table1[[#This Row],[Description]]="","",IF(Table1[[#This Row],[Currency]]=$Q$2,$R$2,HLOOKUP(Table1[[#This Row],[Date]],Funds!$C$10:$GV$11,2,FALSE)))</f>
        <v/>
      </c>
      <c r="I202" s="217" t="str">
        <f>IF(Table1[[#This Row],[Description]]="","",Table1[[#This Row],[Value]]/Table1[[#This Row],[Conversion]])</f>
        <v/>
      </c>
      <c r="J202" s="50" t="str">
        <f>IF(Table1[[#This Row],[Description]]="","",DATE(Table1[[#This Row],[Year]],Table1[[#This Row],[Month]],1))</f>
        <v/>
      </c>
    </row>
    <row r="203" spans="8:10" x14ac:dyDescent="0.25">
      <c r="H203" t="str">
        <f>IF(Table1[[#This Row],[Description]]="","",IF(Table1[[#This Row],[Currency]]=$Q$2,$R$2,HLOOKUP(Table1[[#This Row],[Date]],Funds!$C$10:$GV$11,2,FALSE)))</f>
        <v/>
      </c>
      <c r="I203" s="217" t="str">
        <f>IF(Table1[[#This Row],[Description]]="","",Table1[[#This Row],[Value]]/Table1[[#This Row],[Conversion]])</f>
        <v/>
      </c>
      <c r="J203" s="50" t="str">
        <f>IF(Table1[[#This Row],[Description]]="","",DATE(Table1[[#This Row],[Year]],Table1[[#This Row],[Month]],1))</f>
        <v/>
      </c>
    </row>
    <row r="204" spans="8:10" x14ac:dyDescent="0.25">
      <c r="H204" t="str">
        <f>IF(Table1[[#This Row],[Description]]="","",IF(Table1[[#This Row],[Currency]]=$Q$2,$R$2,HLOOKUP(Table1[[#This Row],[Date]],Funds!$C$10:$GV$11,2,FALSE)))</f>
        <v/>
      </c>
      <c r="I204" s="217" t="str">
        <f>IF(Table1[[#This Row],[Description]]="","",Table1[[#This Row],[Value]]/Table1[[#This Row],[Conversion]])</f>
        <v/>
      </c>
      <c r="J204" s="50" t="str">
        <f>IF(Table1[[#This Row],[Description]]="","",DATE(Table1[[#This Row],[Year]],Table1[[#This Row],[Month]],1))</f>
        <v/>
      </c>
    </row>
    <row r="205" spans="8:10" x14ac:dyDescent="0.25">
      <c r="H205" t="str">
        <f>IF(Table1[[#This Row],[Description]]="","",IF(Table1[[#This Row],[Currency]]=$Q$2,$R$2,HLOOKUP(Table1[[#This Row],[Date]],Funds!$C$10:$GV$11,2,FALSE)))</f>
        <v/>
      </c>
      <c r="I205" s="217" t="str">
        <f>IF(Table1[[#This Row],[Description]]="","",Table1[[#This Row],[Value]]/Table1[[#This Row],[Conversion]])</f>
        <v/>
      </c>
      <c r="J205" s="50" t="str">
        <f>IF(Table1[[#This Row],[Description]]="","",DATE(Table1[[#This Row],[Year]],Table1[[#This Row],[Month]],1))</f>
        <v/>
      </c>
    </row>
    <row r="206" spans="8:10" x14ac:dyDescent="0.25">
      <c r="H206" t="str">
        <f>IF(Table1[[#This Row],[Description]]="","",IF(Table1[[#This Row],[Currency]]=$Q$2,$R$2,HLOOKUP(Table1[[#This Row],[Date]],Funds!$C$10:$GV$11,2,FALSE)))</f>
        <v/>
      </c>
      <c r="I206" s="217" t="str">
        <f>IF(Table1[[#This Row],[Description]]="","",Table1[[#This Row],[Value]]/Table1[[#This Row],[Conversion]])</f>
        <v/>
      </c>
      <c r="J206" s="50" t="str">
        <f>IF(Table1[[#This Row],[Description]]="","",DATE(Table1[[#This Row],[Year]],Table1[[#This Row],[Month]],1))</f>
        <v/>
      </c>
    </row>
    <row r="207" spans="8:10" x14ac:dyDescent="0.25">
      <c r="H207" t="str">
        <f>IF(Table1[[#This Row],[Description]]="","",IF(Table1[[#This Row],[Currency]]=$Q$2,$R$2,HLOOKUP(Table1[[#This Row],[Date]],Funds!$C$10:$GV$11,2,FALSE)))</f>
        <v/>
      </c>
      <c r="I207" s="217" t="str">
        <f>IF(Table1[[#This Row],[Description]]="","",Table1[[#This Row],[Value]]/Table1[[#This Row],[Conversion]])</f>
        <v/>
      </c>
      <c r="J207" s="50" t="str">
        <f>IF(Table1[[#This Row],[Description]]="","",DATE(Table1[[#This Row],[Year]],Table1[[#This Row],[Month]],1))</f>
        <v/>
      </c>
    </row>
    <row r="208" spans="8:10" x14ac:dyDescent="0.25">
      <c r="H208" t="str">
        <f>IF(Table1[[#This Row],[Description]]="","",IF(Table1[[#This Row],[Currency]]=$Q$2,$R$2,HLOOKUP(Table1[[#This Row],[Date]],Funds!$C$10:$GV$11,2,FALSE)))</f>
        <v/>
      </c>
      <c r="I208" s="217" t="str">
        <f>IF(Table1[[#This Row],[Description]]="","",Table1[[#This Row],[Value]]/Table1[[#This Row],[Conversion]])</f>
        <v/>
      </c>
      <c r="J208" s="50" t="str">
        <f>IF(Table1[[#This Row],[Description]]="","",DATE(Table1[[#This Row],[Year]],Table1[[#This Row],[Month]],1))</f>
        <v/>
      </c>
    </row>
    <row r="209" spans="8:10" x14ac:dyDescent="0.25">
      <c r="H209" t="str">
        <f>IF(Table1[[#This Row],[Description]]="","",IF(Table1[[#This Row],[Currency]]=$Q$2,$R$2,HLOOKUP(Table1[[#This Row],[Date]],Funds!$C$10:$GV$11,2,FALSE)))</f>
        <v/>
      </c>
      <c r="I209" s="217" t="str">
        <f>IF(Table1[[#This Row],[Description]]="","",Table1[[#This Row],[Value]]/Table1[[#This Row],[Conversion]])</f>
        <v/>
      </c>
      <c r="J209" s="50" t="str">
        <f>IF(Table1[[#This Row],[Description]]="","",DATE(Table1[[#This Row],[Year]],Table1[[#This Row],[Month]],1))</f>
        <v/>
      </c>
    </row>
    <row r="210" spans="8:10" x14ac:dyDescent="0.25">
      <c r="H210" t="str">
        <f>IF(Table1[[#This Row],[Description]]="","",IF(Table1[[#This Row],[Currency]]=$Q$2,$R$2,HLOOKUP(Table1[[#This Row],[Date]],Funds!$C$10:$GV$11,2,FALSE)))</f>
        <v/>
      </c>
      <c r="I210" s="217" t="str">
        <f>IF(Table1[[#This Row],[Description]]="","",Table1[[#This Row],[Value]]/Table1[[#This Row],[Conversion]])</f>
        <v/>
      </c>
      <c r="J210" s="50" t="str">
        <f>IF(Table1[[#This Row],[Description]]="","",DATE(Table1[[#This Row],[Year]],Table1[[#This Row],[Month]],1))</f>
        <v/>
      </c>
    </row>
    <row r="211" spans="8:10" x14ac:dyDescent="0.25">
      <c r="H211" t="str">
        <f>IF(Table1[[#This Row],[Description]]="","",IF(Table1[[#This Row],[Currency]]=$Q$2,$R$2,HLOOKUP(Table1[[#This Row],[Date]],Funds!$C$10:$GV$11,2,FALSE)))</f>
        <v/>
      </c>
      <c r="I211" s="217" t="str">
        <f>IF(Table1[[#This Row],[Description]]="","",Table1[[#This Row],[Value]]/Table1[[#This Row],[Conversion]])</f>
        <v/>
      </c>
      <c r="J211" s="50" t="str">
        <f>IF(Table1[[#This Row],[Description]]="","",DATE(Table1[[#This Row],[Year]],Table1[[#This Row],[Month]],1))</f>
        <v/>
      </c>
    </row>
    <row r="212" spans="8:10" x14ac:dyDescent="0.25">
      <c r="H212" t="str">
        <f>IF(Table1[[#This Row],[Description]]="","",IF(Table1[[#This Row],[Currency]]=$Q$2,$R$2,HLOOKUP(Table1[[#This Row],[Date]],Funds!$C$10:$GV$11,2,FALSE)))</f>
        <v/>
      </c>
      <c r="I212" s="217" t="str">
        <f>IF(Table1[[#This Row],[Description]]="","",Table1[[#This Row],[Value]]/Table1[[#This Row],[Conversion]])</f>
        <v/>
      </c>
      <c r="J212" s="50" t="str">
        <f>IF(Table1[[#This Row],[Description]]="","",DATE(Table1[[#This Row],[Year]],Table1[[#This Row],[Month]],1))</f>
        <v/>
      </c>
    </row>
    <row r="213" spans="8:10" x14ac:dyDescent="0.25">
      <c r="H213" t="str">
        <f>IF(Table1[[#This Row],[Description]]="","",IF(Table1[[#This Row],[Currency]]=$Q$2,$R$2,HLOOKUP(Table1[[#This Row],[Date]],Funds!$C$10:$GV$11,2,FALSE)))</f>
        <v/>
      </c>
      <c r="I213" s="217" t="str">
        <f>IF(Table1[[#This Row],[Description]]="","",Table1[[#This Row],[Value]]/Table1[[#This Row],[Conversion]])</f>
        <v/>
      </c>
      <c r="J213" s="50" t="str">
        <f>IF(Table1[[#This Row],[Description]]="","",DATE(Table1[[#This Row],[Year]],Table1[[#This Row],[Month]],1))</f>
        <v/>
      </c>
    </row>
    <row r="214" spans="8:10" x14ac:dyDescent="0.25">
      <c r="H214" t="str">
        <f>IF(Table1[[#This Row],[Description]]="","",IF(Table1[[#This Row],[Currency]]=$Q$2,$R$2,HLOOKUP(Table1[[#This Row],[Date]],Funds!$C$10:$GV$11,2,FALSE)))</f>
        <v/>
      </c>
      <c r="I214" s="217" t="str">
        <f>IF(Table1[[#This Row],[Description]]="","",Table1[[#This Row],[Value]]/Table1[[#This Row],[Conversion]])</f>
        <v/>
      </c>
      <c r="J214" s="50" t="str">
        <f>IF(Table1[[#This Row],[Description]]="","",DATE(Table1[[#This Row],[Year]],Table1[[#This Row],[Month]],1))</f>
        <v/>
      </c>
    </row>
    <row r="215" spans="8:10" x14ac:dyDescent="0.25">
      <c r="H215" t="str">
        <f>IF(Table1[[#This Row],[Description]]="","",IF(Table1[[#This Row],[Currency]]=$Q$2,$R$2,HLOOKUP(Table1[[#This Row],[Date]],Funds!$C$10:$GV$11,2,FALSE)))</f>
        <v/>
      </c>
      <c r="I215" s="217" t="str">
        <f>IF(Table1[[#This Row],[Description]]="","",Table1[[#This Row],[Value]]/Table1[[#This Row],[Conversion]])</f>
        <v/>
      </c>
      <c r="J215" s="50" t="str">
        <f>IF(Table1[[#This Row],[Description]]="","",DATE(Table1[[#This Row],[Year]],Table1[[#This Row],[Month]],1))</f>
        <v/>
      </c>
    </row>
    <row r="216" spans="8:10" x14ac:dyDescent="0.25">
      <c r="H216" t="str">
        <f>IF(Table1[[#This Row],[Description]]="","",IF(Table1[[#This Row],[Currency]]=$Q$2,$R$2,HLOOKUP(Table1[[#This Row],[Date]],Funds!$C$10:$GV$11,2,FALSE)))</f>
        <v/>
      </c>
      <c r="I216" s="217" t="str">
        <f>IF(Table1[[#This Row],[Description]]="","",Table1[[#This Row],[Value]]/Table1[[#This Row],[Conversion]])</f>
        <v/>
      </c>
      <c r="J216" s="50" t="str">
        <f>IF(Table1[[#This Row],[Description]]="","",DATE(Table1[[#This Row],[Year]],Table1[[#This Row],[Month]],1))</f>
        <v/>
      </c>
    </row>
    <row r="217" spans="8:10" x14ac:dyDescent="0.25">
      <c r="H217" t="str">
        <f>IF(Table1[[#This Row],[Description]]="","",IF(Table1[[#This Row],[Currency]]=$Q$2,$R$2,HLOOKUP(Table1[[#This Row],[Date]],Funds!$C$10:$GV$11,2,FALSE)))</f>
        <v/>
      </c>
      <c r="I217" s="217" t="str">
        <f>IF(Table1[[#This Row],[Description]]="","",Table1[[#This Row],[Value]]/Table1[[#This Row],[Conversion]])</f>
        <v/>
      </c>
      <c r="J217" s="50" t="str">
        <f>IF(Table1[[#This Row],[Description]]="","",DATE(Table1[[#This Row],[Year]],Table1[[#This Row],[Month]],1))</f>
        <v/>
      </c>
    </row>
    <row r="218" spans="8:10" x14ac:dyDescent="0.25">
      <c r="H218" t="str">
        <f>IF(Table1[[#This Row],[Description]]="","",IF(Table1[[#This Row],[Currency]]=$Q$2,$R$2,HLOOKUP(Table1[[#This Row],[Date]],Funds!$C$10:$GV$11,2,FALSE)))</f>
        <v/>
      </c>
      <c r="I218" s="217" t="str">
        <f>IF(Table1[[#This Row],[Description]]="","",Table1[[#This Row],[Value]]/Table1[[#This Row],[Conversion]])</f>
        <v/>
      </c>
      <c r="J218" s="50" t="str">
        <f>IF(Table1[[#This Row],[Description]]="","",DATE(Table1[[#This Row],[Year]],Table1[[#This Row],[Month]],1))</f>
        <v/>
      </c>
    </row>
    <row r="219" spans="8:10" x14ac:dyDescent="0.25">
      <c r="H219" t="str">
        <f>IF(Table1[[#This Row],[Description]]="","",IF(Table1[[#This Row],[Currency]]=$Q$2,$R$2,HLOOKUP(Table1[[#This Row],[Date]],Funds!$C$10:$GV$11,2,FALSE)))</f>
        <v/>
      </c>
      <c r="I219" s="217" t="str">
        <f>IF(Table1[[#This Row],[Description]]="","",Table1[[#This Row],[Value]]/Table1[[#This Row],[Conversion]])</f>
        <v/>
      </c>
      <c r="J219" s="50" t="str">
        <f>IF(Table1[[#This Row],[Description]]="","",DATE(Table1[[#This Row],[Year]],Table1[[#This Row],[Month]],1))</f>
        <v/>
      </c>
    </row>
    <row r="220" spans="8:10" x14ac:dyDescent="0.25">
      <c r="H220" t="str">
        <f>IF(Table1[[#This Row],[Description]]="","",IF(Table1[[#This Row],[Currency]]=$Q$2,$R$2,HLOOKUP(Table1[[#This Row],[Date]],Funds!$C$10:$GV$11,2,FALSE)))</f>
        <v/>
      </c>
      <c r="I220" s="217" t="str">
        <f>IF(Table1[[#This Row],[Description]]="","",Table1[[#This Row],[Value]]/Table1[[#This Row],[Conversion]])</f>
        <v/>
      </c>
      <c r="J220" s="50" t="str">
        <f>IF(Table1[[#This Row],[Description]]="","",DATE(Table1[[#This Row],[Year]],Table1[[#This Row],[Month]],1))</f>
        <v/>
      </c>
    </row>
    <row r="221" spans="8:10" x14ac:dyDescent="0.25">
      <c r="H221" t="str">
        <f>IF(Table1[[#This Row],[Description]]="","",IF(Table1[[#This Row],[Currency]]=$Q$2,$R$2,HLOOKUP(Table1[[#This Row],[Date]],Funds!$C$10:$GV$11,2,FALSE)))</f>
        <v/>
      </c>
      <c r="I221" s="217" t="str">
        <f>IF(Table1[[#This Row],[Description]]="","",Table1[[#This Row],[Value]]/Table1[[#This Row],[Conversion]])</f>
        <v/>
      </c>
      <c r="J221" s="50" t="str">
        <f>IF(Table1[[#This Row],[Description]]="","",DATE(Table1[[#This Row],[Year]],Table1[[#This Row],[Month]],1))</f>
        <v/>
      </c>
    </row>
    <row r="222" spans="8:10" x14ac:dyDescent="0.25">
      <c r="H222" t="str">
        <f>IF(Table1[[#This Row],[Description]]="","",IF(Table1[[#This Row],[Currency]]=$Q$2,$R$2,HLOOKUP(Table1[[#This Row],[Date]],Funds!$C$10:$GV$11,2,FALSE)))</f>
        <v/>
      </c>
      <c r="I222" s="217" t="str">
        <f>IF(Table1[[#This Row],[Description]]="","",Table1[[#This Row],[Value]]/Table1[[#This Row],[Conversion]])</f>
        <v/>
      </c>
      <c r="J222" s="50" t="str">
        <f>IF(Table1[[#This Row],[Description]]="","",DATE(Table1[[#This Row],[Year]],Table1[[#This Row],[Month]],1))</f>
        <v/>
      </c>
    </row>
    <row r="223" spans="8:10" x14ac:dyDescent="0.25">
      <c r="H223" t="str">
        <f>IF(Table1[[#This Row],[Description]]="","",IF(Table1[[#This Row],[Currency]]=$Q$2,$R$2,HLOOKUP(Table1[[#This Row],[Date]],Funds!$C$10:$GV$11,2,FALSE)))</f>
        <v/>
      </c>
      <c r="I223" s="217" t="str">
        <f>IF(Table1[[#This Row],[Description]]="","",Table1[[#This Row],[Value]]/Table1[[#This Row],[Conversion]])</f>
        <v/>
      </c>
      <c r="J223" s="50" t="str">
        <f>IF(Table1[[#This Row],[Description]]="","",DATE(Table1[[#This Row],[Year]],Table1[[#This Row],[Month]],1))</f>
        <v/>
      </c>
    </row>
    <row r="224" spans="8:10" x14ac:dyDescent="0.25">
      <c r="H224" t="str">
        <f>IF(Table1[[#This Row],[Description]]="","",IF(Table1[[#This Row],[Currency]]=$Q$2,$R$2,HLOOKUP(Table1[[#This Row],[Date]],Funds!$C$10:$GV$11,2,FALSE)))</f>
        <v/>
      </c>
      <c r="I224" s="217" t="str">
        <f>IF(Table1[[#This Row],[Description]]="","",Table1[[#This Row],[Value]]/Table1[[#This Row],[Conversion]])</f>
        <v/>
      </c>
      <c r="J224" s="50" t="str">
        <f>IF(Table1[[#This Row],[Description]]="","",DATE(Table1[[#This Row],[Year]],Table1[[#This Row],[Month]],1))</f>
        <v/>
      </c>
    </row>
    <row r="225" spans="8:10" x14ac:dyDescent="0.25">
      <c r="H225" t="str">
        <f>IF(Table1[[#This Row],[Description]]="","",IF(Table1[[#This Row],[Currency]]=$Q$2,$R$2,HLOOKUP(Table1[[#This Row],[Date]],Funds!$C$10:$GV$11,2,FALSE)))</f>
        <v/>
      </c>
      <c r="I225" s="217" t="str">
        <f>IF(Table1[[#This Row],[Description]]="","",Table1[[#This Row],[Value]]/Table1[[#This Row],[Conversion]])</f>
        <v/>
      </c>
      <c r="J225" s="50" t="str">
        <f>IF(Table1[[#This Row],[Description]]="","",DATE(Table1[[#This Row],[Year]],Table1[[#This Row],[Month]],1))</f>
        <v/>
      </c>
    </row>
    <row r="226" spans="8:10" x14ac:dyDescent="0.25">
      <c r="H226" t="str">
        <f>IF(Table1[[#This Row],[Description]]="","",IF(Table1[[#This Row],[Currency]]=$Q$2,$R$2,HLOOKUP(Table1[[#This Row],[Date]],Funds!$C$10:$GV$11,2,FALSE)))</f>
        <v/>
      </c>
      <c r="I226" s="217" t="str">
        <f>IF(Table1[[#This Row],[Description]]="","",Table1[[#This Row],[Value]]/Table1[[#This Row],[Conversion]])</f>
        <v/>
      </c>
      <c r="J226" s="50" t="str">
        <f>IF(Table1[[#This Row],[Description]]="","",DATE(Table1[[#This Row],[Year]],Table1[[#This Row],[Month]],1))</f>
        <v/>
      </c>
    </row>
    <row r="227" spans="8:10" x14ac:dyDescent="0.25">
      <c r="H227" t="str">
        <f>IF(Table1[[#This Row],[Description]]="","",IF(Table1[[#This Row],[Currency]]=$Q$2,$R$2,HLOOKUP(Table1[[#This Row],[Date]],Funds!$C$10:$GV$11,2,FALSE)))</f>
        <v/>
      </c>
      <c r="I227" s="217" t="str">
        <f>IF(Table1[[#This Row],[Description]]="","",Table1[[#This Row],[Value]]/Table1[[#This Row],[Conversion]])</f>
        <v/>
      </c>
      <c r="J227" s="50" t="str">
        <f>IF(Table1[[#This Row],[Description]]="","",DATE(Table1[[#This Row],[Year]],Table1[[#This Row],[Month]],1))</f>
        <v/>
      </c>
    </row>
    <row r="228" spans="8:10" x14ac:dyDescent="0.25">
      <c r="H228" t="str">
        <f>IF(Table1[[#This Row],[Description]]="","",IF(Table1[[#This Row],[Currency]]=$Q$2,$R$2,HLOOKUP(Table1[[#This Row],[Date]],Funds!$C$10:$GV$11,2,FALSE)))</f>
        <v/>
      </c>
      <c r="I228" s="217" t="str">
        <f>IF(Table1[[#This Row],[Description]]="","",Table1[[#This Row],[Value]]/Table1[[#This Row],[Conversion]])</f>
        <v/>
      </c>
      <c r="J228" s="50" t="str">
        <f>IF(Table1[[#This Row],[Description]]="","",DATE(Table1[[#This Row],[Year]],Table1[[#This Row],[Month]],1))</f>
        <v/>
      </c>
    </row>
    <row r="229" spans="8:10" x14ac:dyDescent="0.25">
      <c r="H229" t="str">
        <f>IF(Table1[[#This Row],[Description]]="","",IF(Table1[[#This Row],[Currency]]=$Q$2,$R$2,HLOOKUP(Table1[[#This Row],[Date]],Funds!$C$10:$GV$11,2,FALSE)))</f>
        <v/>
      </c>
      <c r="I229" s="217" t="str">
        <f>IF(Table1[[#This Row],[Description]]="","",Table1[[#This Row],[Value]]/Table1[[#This Row],[Conversion]])</f>
        <v/>
      </c>
      <c r="J229" s="50" t="str">
        <f>IF(Table1[[#This Row],[Description]]="","",DATE(Table1[[#This Row],[Year]],Table1[[#This Row],[Month]],1))</f>
        <v/>
      </c>
    </row>
    <row r="230" spans="8:10" x14ac:dyDescent="0.25">
      <c r="H230" t="str">
        <f>IF(Table1[[#This Row],[Description]]="","",IF(Table1[[#This Row],[Currency]]=$Q$2,$R$2,HLOOKUP(Table1[[#This Row],[Date]],Funds!$C$10:$GV$11,2,FALSE)))</f>
        <v/>
      </c>
      <c r="I230" s="217" t="str">
        <f>IF(Table1[[#This Row],[Description]]="","",Table1[[#This Row],[Value]]/Table1[[#This Row],[Conversion]])</f>
        <v/>
      </c>
      <c r="J230" s="50" t="str">
        <f>IF(Table1[[#This Row],[Description]]="","",DATE(Table1[[#This Row],[Year]],Table1[[#This Row],[Month]],1))</f>
        <v/>
      </c>
    </row>
    <row r="231" spans="8:10" x14ac:dyDescent="0.25">
      <c r="H231" t="str">
        <f>IF(Table1[[#This Row],[Description]]="","",IF(Table1[[#This Row],[Currency]]=$Q$2,$R$2,HLOOKUP(Table1[[#This Row],[Date]],Funds!$C$10:$GV$11,2,FALSE)))</f>
        <v/>
      </c>
      <c r="I231" s="217" t="str">
        <f>IF(Table1[[#This Row],[Description]]="","",Table1[[#This Row],[Value]]/Table1[[#This Row],[Conversion]])</f>
        <v/>
      </c>
      <c r="J231" s="50" t="str">
        <f>IF(Table1[[#This Row],[Description]]="","",DATE(Table1[[#This Row],[Year]],Table1[[#This Row],[Month]],1))</f>
        <v/>
      </c>
    </row>
    <row r="232" spans="8:10" x14ac:dyDescent="0.25">
      <c r="H232" t="str">
        <f>IF(Table1[[#This Row],[Description]]="","",IF(Table1[[#This Row],[Currency]]=$Q$2,$R$2,HLOOKUP(Table1[[#This Row],[Date]],Funds!$C$10:$GV$11,2,FALSE)))</f>
        <v/>
      </c>
      <c r="I232" s="217" t="str">
        <f>IF(Table1[[#This Row],[Description]]="","",Table1[[#This Row],[Value]]/Table1[[#This Row],[Conversion]])</f>
        <v/>
      </c>
      <c r="J232" s="50" t="str">
        <f>IF(Table1[[#This Row],[Description]]="","",DATE(Table1[[#This Row],[Year]],Table1[[#This Row],[Month]],1))</f>
        <v/>
      </c>
    </row>
    <row r="233" spans="8:10" x14ac:dyDescent="0.25">
      <c r="H233" t="str">
        <f>IF(Table1[[#This Row],[Description]]="","",IF(Table1[[#This Row],[Currency]]=$Q$2,$R$2,HLOOKUP(Table1[[#This Row],[Date]],Funds!$C$10:$GV$11,2,FALSE)))</f>
        <v/>
      </c>
      <c r="I233" s="217" t="str">
        <f>IF(Table1[[#This Row],[Description]]="","",Table1[[#This Row],[Value]]/Table1[[#This Row],[Conversion]])</f>
        <v/>
      </c>
      <c r="J233" s="50" t="str">
        <f>IF(Table1[[#This Row],[Description]]="","",DATE(Table1[[#This Row],[Year]],Table1[[#This Row],[Month]],1))</f>
        <v/>
      </c>
    </row>
    <row r="234" spans="8:10" x14ac:dyDescent="0.25">
      <c r="H234" t="str">
        <f>IF(Table1[[#This Row],[Description]]="","",IF(Table1[[#This Row],[Currency]]=$Q$2,$R$2,HLOOKUP(Table1[[#This Row],[Date]],Funds!$C$10:$GV$11,2,FALSE)))</f>
        <v/>
      </c>
      <c r="I234" s="217" t="str">
        <f>IF(Table1[[#This Row],[Description]]="","",Table1[[#This Row],[Value]]/Table1[[#This Row],[Conversion]])</f>
        <v/>
      </c>
      <c r="J234" s="50" t="str">
        <f>IF(Table1[[#This Row],[Description]]="","",DATE(Table1[[#This Row],[Year]],Table1[[#This Row],[Month]],1))</f>
        <v/>
      </c>
    </row>
    <row r="235" spans="8:10" x14ac:dyDescent="0.25">
      <c r="H235" t="str">
        <f>IF(Table1[[#This Row],[Description]]="","",IF(Table1[[#This Row],[Currency]]=$Q$2,$R$2,HLOOKUP(Table1[[#This Row],[Date]],Funds!$C$10:$GV$11,2,FALSE)))</f>
        <v/>
      </c>
      <c r="I235" s="217" t="str">
        <f>IF(Table1[[#This Row],[Description]]="","",Table1[[#This Row],[Value]]/Table1[[#This Row],[Conversion]])</f>
        <v/>
      </c>
      <c r="J235" s="50" t="str">
        <f>IF(Table1[[#This Row],[Description]]="","",DATE(Table1[[#This Row],[Year]],Table1[[#This Row],[Month]],1))</f>
        <v/>
      </c>
    </row>
    <row r="236" spans="8:10" x14ac:dyDescent="0.25">
      <c r="H236" t="str">
        <f>IF(Table1[[#This Row],[Description]]="","",IF(Table1[[#This Row],[Currency]]=$Q$2,$R$2,HLOOKUP(Table1[[#This Row],[Date]],Funds!$C$10:$GV$11,2,FALSE)))</f>
        <v/>
      </c>
      <c r="I236" s="217" t="str">
        <f>IF(Table1[[#This Row],[Description]]="","",Table1[[#This Row],[Value]]/Table1[[#This Row],[Conversion]])</f>
        <v/>
      </c>
      <c r="J236" s="50" t="str">
        <f>IF(Table1[[#This Row],[Description]]="","",DATE(Table1[[#This Row],[Year]],Table1[[#This Row],[Month]],1))</f>
        <v/>
      </c>
    </row>
    <row r="237" spans="8:10" x14ac:dyDescent="0.25">
      <c r="H237" t="str">
        <f>IF(Table1[[#This Row],[Description]]="","",IF(Table1[[#This Row],[Currency]]=$Q$2,$R$2,HLOOKUP(Table1[[#This Row],[Date]],Funds!$C$10:$GV$11,2,FALSE)))</f>
        <v/>
      </c>
      <c r="I237" s="217" t="str">
        <f>IF(Table1[[#This Row],[Description]]="","",Table1[[#This Row],[Value]]/Table1[[#This Row],[Conversion]])</f>
        <v/>
      </c>
      <c r="J237" s="50" t="str">
        <f>IF(Table1[[#This Row],[Description]]="","",DATE(Table1[[#This Row],[Year]],Table1[[#This Row],[Month]],1))</f>
        <v/>
      </c>
    </row>
    <row r="238" spans="8:10" x14ac:dyDescent="0.25">
      <c r="H238" t="str">
        <f>IF(Table1[[#This Row],[Description]]="","",IF(Table1[[#This Row],[Currency]]=$Q$2,$R$2,HLOOKUP(Table1[[#This Row],[Date]],Funds!$C$10:$GV$11,2,FALSE)))</f>
        <v/>
      </c>
      <c r="I238" s="217" t="str">
        <f>IF(Table1[[#This Row],[Description]]="","",Table1[[#This Row],[Value]]/Table1[[#This Row],[Conversion]])</f>
        <v/>
      </c>
      <c r="J238" s="50" t="str">
        <f>IF(Table1[[#This Row],[Description]]="","",DATE(Table1[[#This Row],[Year]],Table1[[#This Row],[Month]],1))</f>
        <v/>
      </c>
    </row>
    <row r="239" spans="8:10" x14ac:dyDescent="0.25">
      <c r="H239" t="str">
        <f>IF(Table1[[#This Row],[Description]]="","",IF(Table1[[#This Row],[Currency]]=$Q$2,$R$2,HLOOKUP(Table1[[#This Row],[Date]],Funds!$C$10:$GV$11,2,FALSE)))</f>
        <v/>
      </c>
      <c r="I239" s="217" t="str">
        <f>IF(Table1[[#This Row],[Description]]="","",Table1[[#This Row],[Value]]/Table1[[#This Row],[Conversion]])</f>
        <v/>
      </c>
      <c r="J239" s="50" t="str">
        <f>IF(Table1[[#This Row],[Description]]="","",DATE(Table1[[#This Row],[Year]],Table1[[#This Row],[Month]],1))</f>
        <v/>
      </c>
    </row>
    <row r="240" spans="8:10" x14ac:dyDescent="0.25">
      <c r="H240" t="str">
        <f>IF(Table1[[#This Row],[Description]]="","",IF(Table1[[#This Row],[Currency]]=$Q$2,$R$2,HLOOKUP(Table1[[#This Row],[Date]],Funds!$C$10:$GV$11,2,FALSE)))</f>
        <v/>
      </c>
      <c r="I240" s="217" t="str">
        <f>IF(Table1[[#This Row],[Description]]="","",Table1[[#This Row],[Value]]/Table1[[#This Row],[Conversion]])</f>
        <v/>
      </c>
      <c r="J240" s="50" t="str">
        <f>IF(Table1[[#This Row],[Description]]="","",DATE(Table1[[#This Row],[Year]],Table1[[#This Row],[Month]],1))</f>
        <v/>
      </c>
    </row>
    <row r="241" spans="8:10" x14ac:dyDescent="0.25">
      <c r="H241" t="str">
        <f>IF(Table1[[#This Row],[Description]]="","",IF(Table1[[#This Row],[Currency]]=$Q$2,$R$2,HLOOKUP(Table1[[#This Row],[Date]],Funds!$C$10:$GV$11,2,FALSE)))</f>
        <v/>
      </c>
      <c r="I241" s="217" t="str">
        <f>IF(Table1[[#This Row],[Description]]="","",Table1[[#This Row],[Value]]/Table1[[#This Row],[Conversion]])</f>
        <v/>
      </c>
      <c r="J241" s="50" t="str">
        <f>IF(Table1[[#This Row],[Description]]="","",DATE(Table1[[#This Row],[Year]],Table1[[#This Row],[Month]],1))</f>
        <v/>
      </c>
    </row>
    <row r="242" spans="8:10" x14ac:dyDescent="0.25">
      <c r="H242" t="str">
        <f>IF(Table1[[#This Row],[Description]]="","",IF(Table1[[#This Row],[Currency]]=$Q$2,$R$2,HLOOKUP(Table1[[#This Row],[Date]],Funds!$C$10:$GV$11,2,FALSE)))</f>
        <v/>
      </c>
      <c r="I242" s="217" t="str">
        <f>IF(Table1[[#This Row],[Description]]="","",Table1[[#This Row],[Value]]/Table1[[#This Row],[Conversion]])</f>
        <v/>
      </c>
      <c r="J242" s="50" t="str">
        <f>IF(Table1[[#This Row],[Description]]="","",DATE(Table1[[#This Row],[Year]],Table1[[#This Row],[Month]],1))</f>
        <v/>
      </c>
    </row>
    <row r="243" spans="8:10" x14ac:dyDescent="0.25">
      <c r="H243" t="str">
        <f>IF(Table1[[#This Row],[Description]]="","",IF(Table1[[#This Row],[Currency]]=$Q$2,$R$2,HLOOKUP(Table1[[#This Row],[Date]],Funds!$C$10:$GV$11,2,FALSE)))</f>
        <v/>
      </c>
      <c r="I243" s="217" t="str">
        <f>IF(Table1[[#This Row],[Description]]="","",Table1[[#This Row],[Value]]/Table1[[#This Row],[Conversion]])</f>
        <v/>
      </c>
      <c r="J243" s="50" t="str">
        <f>IF(Table1[[#This Row],[Description]]="","",DATE(Table1[[#This Row],[Year]],Table1[[#This Row],[Month]],1))</f>
        <v/>
      </c>
    </row>
    <row r="244" spans="8:10" x14ac:dyDescent="0.25">
      <c r="H244" t="str">
        <f>IF(Table1[[#This Row],[Description]]="","",IF(Table1[[#This Row],[Currency]]=$Q$2,$R$2,HLOOKUP(Table1[[#This Row],[Date]],Funds!$C$10:$GV$11,2,FALSE)))</f>
        <v/>
      </c>
      <c r="I244" s="217" t="str">
        <f>IF(Table1[[#This Row],[Description]]="","",Table1[[#This Row],[Value]]/Table1[[#This Row],[Conversion]])</f>
        <v/>
      </c>
      <c r="J244" s="50" t="str">
        <f>IF(Table1[[#This Row],[Description]]="","",DATE(Table1[[#This Row],[Year]],Table1[[#This Row],[Month]],1))</f>
        <v/>
      </c>
    </row>
    <row r="245" spans="8:10" x14ac:dyDescent="0.25">
      <c r="H245" t="str">
        <f>IF(Table1[[#This Row],[Description]]="","",IF(Table1[[#This Row],[Currency]]=$Q$2,$R$2,HLOOKUP(Table1[[#This Row],[Date]],Funds!$C$10:$GV$11,2,FALSE)))</f>
        <v/>
      </c>
      <c r="I245" s="217" t="str">
        <f>IF(Table1[[#This Row],[Description]]="","",Table1[[#This Row],[Value]]/Table1[[#This Row],[Conversion]])</f>
        <v/>
      </c>
      <c r="J245" s="50" t="str">
        <f>IF(Table1[[#This Row],[Description]]="","",DATE(Table1[[#This Row],[Year]],Table1[[#This Row],[Month]],1))</f>
        <v/>
      </c>
    </row>
    <row r="246" spans="8:10" x14ac:dyDescent="0.25">
      <c r="H246" t="str">
        <f>IF(Table1[[#This Row],[Description]]="","",IF(Table1[[#This Row],[Currency]]=$Q$2,$R$2,HLOOKUP(Table1[[#This Row],[Date]],Funds!$C$10:$GV$11,2,FALSE)))</f>
        <v/>
      </c>
      <c r="I246" s="217" t="str">
        <f>IF(Table1[[#This Row],[Description]]="","",Table1[[#This Row],[Value]]/Table1[[#This Row],[Conversion]])</f>
        <v/>
      </c>
      <c r="J246" s="50" t="str">
        <f>IF(Table1[[#This Row],[Description]]="","",DATE(Table1[[#This Row],[Year]],Table1[[#This Row],[Month]],1))</f>
        <v/>
      </c>
    </row>
    <row r="247" spans="8:10" x14ac:dyDescent="0.25">
      <c r="H247" t="str">
        <f>IF(Table1[[#This Row],[Description]]="","",IF(Table1[[#This Row],[Currency]]=$Q$2,$R$2,HLOOKUP(Table1[[#This Row],[Date]],Funds!$C$10:$GV$11,2,FALSE)))</f>
        <v/>
      </c>
      <c r="I247" s="217" t="str">
        <f>IF(Table1[[#This Row],[Description]]="","",Table1[[#This Row],[Value]]/Table1[[#This Row],[Conversion]])</f>
        <v/>
      </c>
      <c r="J247" s="50" t="str">
        <f>IF(Table1[[#This Row],[Description]]="","",DATE(Table1[[#This Row],[Year]],Table1[[#This Row],[Month]],1))</f>
        <v/>
      </c>
    </row>
    <row r="248" spans="8:10" x14ac:dyDescent="0.25">
      <c r="H248" t="str">
        <f>IF(Table1[[#This Row],[Description]]="","",IF(Table1[[#This Row],[Currency]]=$Q$2,$R$2,HLOOKUP(Table1[[#This Row],[Date]],Funds!$C$10:$GV$11,2,FALSE)))</f>
        <v/>
      </c>
      <c r="I248" s="217" t="str">
        <f>IF(Table1[[#This Row],[Description]]="","",Table1[[#This Row],[Value]]/Table1[[#This Row],[Conversion]])</f>
        <v/>
      </c>
      <c r="J248" s="50" t="str">
        <f>IF(Table1[[#This Row],[Description]]="","",DATE(Table1[[#This Row],[Year]],Table1[[#This Row],[Month]],1))</f>
        <v/>
      </c>
    </row>
    <row r="249" spans="8:10" x14ac:dyDescent="0.25">
      <c r="H249" t="str">
        <f>IF(Table1[[#This Row],[Description]]="","",IF(Table1[[#This Row],[Currency]]=$Q$2,$R$2,HLOOKUP(Table1[[#This Row],[Date]],Funds!$C$10:$GV$11,2,FALSE)))</f>
        <v/>
      </c>
      <c r="I249" s="217" t="str">
        <f>IF(Table1[[#This Row],[Description]]="","",Table1[[#This Row],[Value]]/Table1[[#This Row],[Conversion]])</f>
        <v/>
      </c>
      <c r="J249" s="50" t="str">
        <f>IF(Table1[[#This Row],[Description]]="","",DATE(Table1[[#This Row],[Year]],Table1[[#This Row],[Month]],1))</f>
        <v/>
      </c>
    </row>
    <row r="250" spans="8:10" x14ac:dyDescent="0.25">
      <c r="H250" t="str">
        <f>IF(Table1[[#This Row],[Description]]="","",IF(Table1[[#This Row],[Currency]]=$Q$2,$R$2,HLOOKUP(Table1[[#This Row],[Date]],Funds!$C$10:$GV$11,2,FALSE)))</f>
        <v/>
      </c>
      <c r="I250" s="217" t="str">
        <f>IF(Table1[[#This Row],[Description]]="","",Table1[[#This Row],[Value]]/Table1[[#This Row],[Conversion]])</f>
        <v/>
      </c>
      <c r="J250" s="50" t="str">
        <f>IF(Table1[[#This Row],[Description]]="","",DATE(Table1[[#This Row],[Year]],Table1[[#This Row],[Month]],1))</f>
        <v/>
      </c>
    </row>
    <row r="251" spans="8:10" x14ac:dyDescent="0.25">
      <c r="H251" t="str">
        <f>IF(Table1[[#This Row],[Description]]="","",IF(Table1[[#This Row],[Currency]]=$Q$2,$R$2,HLOOKUP(Table1[[#This Row],[Date]],Funds!$C$10:$GV$11,2,FALSE)))</f>
        <v/>
      </c>
      <c r="I251" s="217" t="str">
        <f>IF(Table1[[#This Row],[Description]]="","",Table1[[#This Row],[Value]]/Table1[[#This Row],[Conversion]])</f>
        <v/>
      </c>
      <c r="J251" s="50" t="str">
        <f>IF(Table1[[#This Row],[Description]]="","",DATE(Table1[[#This Row],[Year]],Table1[[#This Row],[Month]],1))</f>
        <v/>
      </c>
    </row>
    <row r="252" spans="8:10" x14ac:dyDescent="0.25">
      <c r="H252" t="str">
        <f>IF(Table1[[#This Row],[Description]]="","",IF(Table1[[#This Row],[Currency]]=$Q$2,$R$2,HLOOKUP(Table1[[#This Row],[Date]],Funds!$C$10:$GV$11,2,FALSE)))</f>
        <v/>
      </c>
      <c r="I252" s="217" t="str">
        <f>IF(Table1[[#This Row],[Description]]="","",Table1[[#This Row],[Value]]/Table1[[#This Row],[Conversion]])</f>
        <v/>
      </c>
      <c r="J252" s="50" t="str">
        <f>IF(Table1[[#This Row],[Description]]="","",DATE(Table1[[#This Row],[Year]],Table1[[#This Row],[Month]],1))</f>
        <v/>
      </c>
    </row>
    <row r="253" spans="8:10" x14ac:dyDescent="0.25">
      <c r="H253" t="str">
        <f>IF(Table1[[#This Row],[Description]]="","",IF(Table1[[#This Row],[Currency]]=$Q$2,$R$2,HLOOKUP(Table1[[#This Row],[Date]],Funds!$C$10:$GV$11,2,FALSE)))</f>
        <v/>
      </c>
      <c r="I253" s="217" t="str">
        <f>IF(Table1[[#This Row],[Description]]="","",Table1[[#This Row],[Value]]/Table1[[#This Row],[Conversion]])</f>
        <v/>
      </c>
      <c r="J253" s="50" t="str">
        <f>IF(Table1[[#This Row],[Description]]="","",DATE(Table1[[#This Row],[Year]],Table1[[#This Row],[Month]],1))</f>
        <v/>
      </c>
    </row>
    <row r="254" spans="8:10" x14ac:dyDescent="0.25">
      <c r="H254" t="str">
        <f>IF(Table1[[#This Row],[Description]]="","",IF(Table1[[#This Row],[Currency]]=$Q$2,$R$2,HLOOKUP(Table1[[#This Row],[Date]],Funds!$C$10:$GV$11,2,FALSE)))</f>
        <v/>
      </c>
      <c r="I254" s="217" t="str">
        <f>IF(Table1[[#This Row],[Description]]="","",Table1[[#This Row],[Value]]/Table1[[#This Row],[Conversion]])</f>
        <v/>
      </c>
      <c r="J254" s="50" t="str">
        <f>IF(Table1[[#This Row],[Description]]="","",DATE(Table1[[#This Row],[Year]],Table1[[#This Row],[Month]],1))</f>
        <v/>
      </c>
    </row>
    <row r="255" spans="8:10" x14ac:dyDescent="0.25">
      <c r="H255" t="str">
        <f>IF(Table1[[#This Row],[Description]]="","",IF(Table1[[#This Row],[Currency]]=$Q$2,$R$2,HLOOKUP(Table1[[#This Row],[Date]],Funds!$C$10:$GV$11,2,FALSE)))</f>
        <v/>
      </c>
      <c r="I255" s="217" t="str">
        <f>IF(Table1[[#This Row],[Description]]="","",Table1[[#This Row],[Value]]/Table1[[#This Row],[Conversion]])</f>
        <v/>
      </c>
      <c r="J255" s="50" t="str">
        <f>IF(Table1[[#This Row],[Description]]="","",DATE(Table1[[#This Row],[Year]],Table1[[#This Row],[Month]],1))</f>
        <v/>
      </c>
    </row>
    <row r="256" spans="8:10" x14ac:dyDescent="0.25">
      <c r="H256" t="str">
        <f>IF(Table1[[#This Row],[Description]]="","",IF(Table1[[#This Row],[Currency]]=$Q$2,$R$2,HLOOKUP(Table1[[#This Row],[Date]],Funds!$C$10:$GV$11,2,FALSE)))</f>
        <v/>
      </c>
      <c r="I256" s="217" t="str">
        <f>IF(Table1[[#This Row],[Description]]="","",Table1[[#This Row],[Value]]/Table1[[#This Row],[Conversion]])</f>
        <v/>
      </c>
      <c r="J256" s="50" t="str">
        <f>IF(Table1[[#This Row],[Description]]="","",DATE(Table1[[#This Row],[Year]],Table1[[#This Row],[Month]],1))</f>
        <v/>
      </c>
    </row>
    <row r="257" spans="8:10" x14ac:dyDescent="0.25">
      <c r="H257" t="str">
        <f>IF(Table1[[#This Row],[Description]]="","",IF(Table1[[#This Row],[Currency]]=$Q$2,$R$2,HLOOKUP(Table1[[#This Row],[Date]],Funds!$C$10:$GV$11,2,FALSE)))</f>
        <v/>
      </c>
      <c r="I257" s="217" t="str">
        <f>IF(Table1[[#This Row],[Description]]="","",Table1[[#This Row],[Value]]/Table1[[#This Row],[Conversion]])</f>
        <v/>
      </c>
      <c r="J257" s="50" t="str">
        <f>IF(Table1[[#This Row],[Description]]="","",DATE(Table1[[#This Row],[Year]],Table1[[#This Row],[Month]],1))</f>
        <v/>
      </c>
    </row>
    <row r="258" spans="8:10" x14ac:dyDescent="0.25">
      <c r="H258" t="str">
        <f>IF(Table1[[#This Row],[Description]]="","",IF(Table1[[#This Row],[Currency]]=$Q$2,$R$2,HLOOKUP(Table1[[#This Row],[Date]],Funds!$C$10:$GV$11,2,FALSE)))</f>
        <v/>
      </c>
      <c r="I258" s="217" t="str">
        <f>IF(Table1[[#This Row],[Description]]="","",Table1[[#This Row],[Value]]/Table1[[#This Row],[Conversion]])</f>
        <v/>
      </c>
      <c r="J258" s="50" t="str">
        <f>IF(Table1[[#This Row],[Description]]="","",DATE(Table1[[#This Row],[Year]],Table1[[#This Row],[Month]],1))</f>
        <v/>
      </c>
    </row>
    <row r="259" spans="8:10" x14ac:dyDescent="0.25">
      <c r="H259" t="str">
        <f>IF(Table1[[#This Row],[Description]]="","",IF(Table1[[#This Row],[Currency]]=$Q$2,$R$2,HLOOKUP(Table1[[#This Row],[Date]],Funds!$C$10:$GV$11,2,FALSE)))</f>
        <v/>
      </c>
      <c r="I259" s="217" t="str">
        <f>IF(Table1[[#This Row],[Description]]="","",Table1[[#This Row],[Value]]/Table1[[#This Row],[Conversion]])</f>
        <v/>
      </c>
      <c r="J259" s="50" t="str">
        <f>IF(Table1[[#This Row],[Description]]="","",DATE(Table1[[#This Row],[Year]],Table1[[#This Row],[Month]],1))</f>
        <v/>
      </c>
    </row>
    <row r="260" spans="8:10" x14ac:dyDescent="0.25">
      <c r="H260" t="str">
        <f>IF(Table1[[#This Row],[Description]]="","",IF(Table1[[#This Row],[Currency]]=$Q$2,$R$2,HLOOKUP(Table1[[#This Row],[Date]],Funds!$C$10:$GV$11,2,FALSE)))</f>
        <v/>
      </c>
      <c r="I260" s="217" t="str">
        <f>IF(Table1[[#This Row],[Description]]="","",Table1[[#This Row],[Value]]/Table1[[#This Row],[Conversion]])</f>
        <v/>
      </c>
      <c r="J260" s="50" t="str">
        <f>IF(Table1[[#This Row],[Description]]="","",DATE(Table1[[#This Row],[Year]],Table1[[#This Row],[Month]],1))</f>
        <v/>
      </c>
    </row>
    <row r="261" spans="8:10" x14ac:dyDescent="0.25">
      <c r="H261" t="str">
        <f>IF(Table1[[#This Row],[Description]]="","",IF(Table1[[#This Row],[Currency]]=$Q$2,$R$2,HLOOKUP(Table1[[#This Row],[Date]],Funds!$C$10:$GV$11,2,FALSE)))</f>
        <v/>
      </c>
      <c r="I261" s="217" t="str">
        <f>IF(Table1[[#This Row],[Description]]="","",Table1[[#This Row],[Value]]/Table1[[#This Row],[Conversion]])</f>
        <v/>
      </c>
      <c r="J261" s="50" t="str">
        <f>IF(Table1[[#This Row],[Description]]="","",DATE(Table1[[#This Row],[Year]],Table1[[#This Row],[Month]],1))</f>
        <v/>
      </c>
    </row>
    <row r="262" spans="8:10" x14ac:dyDescent="0.25">
      <c r="H262" t="str">
        <f>IF(Table1[[#This Row],[Description]]="","",IF(Table1[[#This Row],[Currency]]=$Q$2,$R$2,HLOOKUP(Table1[[#This Row],[Date]],Funds!$C$10:$GV$11,2,FALSE)))</f>
        <v/>
      </c>
      <c r="I262" s="217" t="str">
        <f>IF(Table1[[#This Row],[Description]]="","",Table1[[#This Row],[Value]]/Table1[[#This Row],[Conversion]])</f>
        <v/>
      </c>
      <c r="J262" s="50" t="str">
        <f>IF(Table1[[#This Row],[Description]]="","",DATE(Table1[[#This Row],[Year]],Table1[[#This Row],[Month]],1))</f>
        <v/>
      </c>
    </row>
    <row r="263" spans="8:10" x14ac:dyDescent="0.25">
      <c r="H263" t="str">
        <f>IF(Table1[[#This Row],[Description]]="","",IF(Table1[[#This Row],[Currency]]=$Q$2,$R$2,HLOOKUP(Table1[[#This Row],[Date]],Funds!$C$10:$GV$11,2,FALSE)))</f>
        <v/>
      </c>
      <c r="I263" s="217" t="str">
        <f>IF(Table1[[#This Row],[Description]]="","",Table1[[#This Row],[Value]]/Table1[[#This Row],[Conversion]])</f>
        <v/>
      </c>
      <c r="J263" s="50" t="str">
        <f>IF(Table1[[#This Row],[Description]]="","",DATE(Table1[[#This Row],[Year]],Table1[[#This Row],[Month]],1))</f>
        <v/>
      </c>
    </row>
    <row r="264" spans="8:10" x14ac:dyDescent="0.25">
      <c r="H264" t="str">
        <f>IF(Table1[[#This Row],[Description]]="","",IF(Table1[[#This Row],[Currency]]=$Q$2,$R$2,HLOOKUP(Table1[[#This Row],[Date]],Funds!$C$10:$GV$11,2,FALSE)))</f>
        <v/>
      </c>
      <c r="I264" s="217" t="str">
        <f>IF(Table1[[#This Row],[Description]]="","",Table1[[#This Row],[Value]]/Table1[[#This Row],[Conversion]])</f>
        <v/>
      </c>
      <c r="J264" s="50" t="str">
        <f>IF(Table1[[#This Row],[Description]]="","",DATE(Table1[[#This Row],[Year]],Table1[[#This Row],[Month]],1))</f>
        <v/>
      </c>
    </row>
    <row r="265" spans="8:10" x14ac:dyDescent="0.25">
      <c r="H265" t="str">
        <f>IF(Table1[[#This Row],[Description]]="","",IF(Table1[[#This Row],[Currency]]=$Q$2,$R$2,HLOOKUP(Table1[[#This Row],[Date]],Funds!$C$10:$GV$11,2,FALSE)))</f>
        <v/>
      </c>
      <c r="I265" s="217" t="str">
        <f>IF(Table1[[#This Row],[Description]]="","",Table1[[#This Row],[Value]]/Table1[[#This Row],[Conversion]])</f>
        <v/>
      </c>
      <c r="J265" s="50" t="str">
        <f>IF(Table1[[#This Row],[Description]]="","",DATE(Table1[[#This Row],[Year]],Table1[[#This Row],[Month]],1))</f>
        <v/>
      </c>
    </row>
    <row r="266" spans="8:10" x14ac:dyDescent="0.25">
      <c r="H266" t="str">
        <f>IF(Table1[[#This Row],[Description]]="","",IF(Table1[[#This Row],[Currency]]=$Q$2,$R$2,HLOOKUP(Table1[[#This Row],[Date]],Funds!$C$10:$GV$11,2,FALSE)))</f>
        <v/>
      </c>
      <c r="I266" s="217" t="str">
        <f>IF(Table1[[#This Row],[Description]]="","",Table1[[#This Row],[Value]]/Table1[[#This Row],[Conversion]])</f>
        <v/>
      </c>
      <c r="J266" s="50" t="str">
        <f>IF(Table1[[#This Row],[Description]]="","",DATE(Table1[[#This Row],[Year]],Table1[[#This Row],[Month]],1))</f>
        <v/>
      </c>
    </row>
    <row r="267" spans="8:10" x14ac:dyDescent="0.25">
      <c r="H267" t="str">
        <f>IF(Table1[[#This Row],[Description]]="","",IF(Table1[[#This Row],[Currency]]=$Q$2,$R$2,HLOOKUP(Table1[[#This Row],[Date]],Funds!$C$10:$GV$11,2,FALSE)))</f>
        <v/>
      </c>
      <c r="I267" s="217" t="str">
        <f>IF(Table1[[#This Row],[Description]]="","",Table1[[#This Row],[Value]]/Table1[[#This Row],[Conversion]])</f>
        <v/>
      </c>
      <c r="J267" s="50" t="str">
        <f>IF(Table1[[#This Row],[Description]]="","",DATE(Table1[[#This Row],[Year]],Table1[[#This Row],[Month]],1))</f>
        <v/>
      </c>
    </row>
    <row r="268" spans="8:10" x14ac:dyDescent="0.25">
      <c r="H268" t="str">
        <f>IF(Table1[[#This Row],[Description]]="","",IF(Table1[[#This Row],[Currency]]=$Q$2,$R$2,HLOOKUP(Table1[[#This Row],[Date]],Funds!$C$10:$GV$11,2,FALSE)))</f>
        <v/>
      </c>
      <c r="I268" s="217" t="str">
        <f>IF(Table1[[#This Row],[Description]]="","",Table1[[#This Row],[Value]]/Table1[[#This Row],[Conversion]])</f>
        <v/>
      </c>
      <c r="J268" s="50" t="str">
        <f>IF(Table1[[#This Row],[Description]]="","",DATE(Table1[[#This Row],[Year]],Table1[[#This Row],[Month]],1))</f>
        <v/>
      </c>
    </row>
    <row r="269" spans="8:10" x14ac:dyDescent="0.25">
      <c r="H269" t="str">
        <f>IF(Table1[[#This Row],[Description]]="","",IF(Table1[[#This Row],[Currency]]=$Q$2,$R$2,HLOOKUP(Table1[[#This Row],[Date]],Funds!$C$10:$GV$11,2,FALSE)))</f>
        <v/>
      </c>
      <c r="I269" s="217" t="str">
        <f>IF(Table1[[#This Row],[Description]]="","",Table1[[#This Row],[Value]]/Table1[[#This Row],[Conversion]])</f>
        <v/>
      </c>
      <c r="J269" s="50" t="str">
        <f>IF(Table1[[#This Row],[Description]]="","",DATE(Table1[[#This Row],[Year]],Table1[[#This Row],[Month]],1))</f>
        <v/>
      </c>
    </row>
    <row r="270" spans="8:10" x14ac:dyDescent="0.25">
      <c r="H270" t="str">
        <f>IF(Table1[[#This Row],[Description]]="","",IF(Table1[[#This Row],[Currency]]=$Q$2,$R$2,HLOOKUP(Table1[[#This Row],[Date]],Funds!$C$10:$GV$11,2,FALSE)))</f>
        <v/>
      </c>
      <c r="I270" s="217" t="str">
        <f>IF(Table1[[#This Row],[Description]]="","",Table1[[#This Row],[Value]]/Table1[[#This Row],[Conversion]])</f>
        <v/>
      </c>
      <c r="J270" s="50" t="str">
        <f>IF(Table1[[#This Row],[Description]]="","",DATE(Table1[[#This Row],[Year]],Table1[[#This Row],[Month]],1))</f>
        <v/>
      </c>
    </row>
    <row r="271" spans="8:10" x14ac:dyDescent="0.25">
      <c r="H271" t="str">
        <f>IF(Table1[[#This Row],[Description]]="","",IF(Table1[[#This Row],[Currency]]=$Q$2,$R$2,HLOOKUP(Table1[[#This Row],[Date]],Funds!$C$10:$GV$11,2,FALSE)))</f>
        <v/>
      </c>
      <c r="I271" s="217" t="str">
        <f>IF(Table1[[#This Row],[Description]]="","",Table1[[#This Row],[Value]]/Table1[[#This Row],[Conversion]])</f>
        <v/>
      </c>
      <c r="J271" s="50" t="str">
        <f>IF(Table1[[#This Row],[Description]]="","",DATE(Table1[[#This Row],[Year]],Table1[[#This Row],[Month]],1))</f>
        <v/>
      </c>
    </row>
    <row r="272" spans="8:10" x14ac:dyDescent="0.25">
      <c r="H272" t="str">
        <f>IF(Table1[[#This Row],[Description]]="","",IF(Table1[[#This Row],[Currency]]=$Q$2,$R$2,HLOOKUP(Table1[[#This Row],[Date]],Funds!$C$10:$GV$11,2,FALSE)))</f>
        <v/>
      </c>
      <c r="I272" s="217" t="str">
        <f>IF(Table1[[#This Row],[Description]]="","",Table1[[#This Row],[Value]]/Table1[[#This Row],[Conversion]])</f>
        <v/>
      </c>
      <c r="J272" s="50" t="str">
        <f>IF(Table1[[#This Row],[Description]]="","",DATE(Table1[[#This Row],[Year]],Table1[[#This Row],[Month]],1))</f>
        <v/>
      </c>
    </row>
    <row r="273" spans="8:10" x14ac:dyDescent="0.25">
      <c r="H273" t="str">
        <f>IF(Table1[[#This Row],[Description]]="","",IF(Table1[[#This Row],[Currency]]=$Q$2,$R$2,HLOOKUP(Table1[[#This Row],[Date]],Funds!$C$10:$GV$11,2,FALSE)))</f>
        <v/>
      </c>
      <c r="I273" s="217" t="str">
        <f>IF(Table1[[#This Row],[Description]]="","",Table1[[#This Row],[Value]]/Table1[[#This Row],[Conversion]])</f>
        <v/>
      </c>
      <c r="J273" s="50" t="str">
        <f>IF(Table1[[#This Row],[Description]]="","",DATE(Table1[[#This Row],[Year]],Table1[[#This Row],[Month]],1))</f>
        <v/>
      </c>
    </row>
    <row r="274" spans="8:10" x14ac:dyDescent="0.25">
      <c r="H274" t="str">
        <f>IF(Table1[[#This Row],[Description]]="","",IF(Table1[[#This Row],[Currency]]=$Q$2,$R$2,HLOOKUP(Table1[[#This Row],[Date]],Funds!$C$10:$GV$11,2,FALSE)))</f>
        <v/>
      </c>
      <c r="I274" s="217" t="str">
        <f>IF(Table1[[#This Row],[Description]]="","",Table1[[#This Row],[Value]]/Table1[[#This Row],[Conversion]])</f>
        <v/>
      </c>
      <c r="J274" s="50" t="str">
        <f>IF(Table1[[#This Row],[Description]]="","",DATE(Table1[[#This Row],[Year]],Table1[[#This Row],[Month]],1))</f>
        <v/>
      </c>
    </row>
    <row r="275" spans="8:10" x14ac:dyDescent="0.25">
      <c r="H275" t="str">
        <f>IF(Table1[[#This Row],[Description]]="","",IF(Table1[[#This Row],[Currency]]=$Q$2,$R$2,HLOOKUP(Table1[[#This Row],[Date]],Funds!$C$10:$GV$11,2,FALSE)))</f>
        <v/>
      </c>
      <c r="I275" s="217" t="str">
        <f>IF(Table1[[#This Row],[Description]]="","",Table1[[#This Row],[Value]]/Table1[[#This Row],[Conversion]])</f>
        <v/>
      </c>
      <c r="J275" s="50" t="str">
        <f>IF(Table1[[#This Row],[Description]]="","",DATE(Table1[[#This Row],[Year]],Table1[[#This Row],[Month]],1))</f>
        <v/>
      </c>
    </row>
    <row r="276" spans="8:10" x14ac:dyDescent="0.25">
      <c r="H276" t="str">
        <f>IF(Table1[[#This Row],[Description]]="","",IF(Table1[[#This Row],[Currency]]=$Q$2,$R$2,HLOOKUP(Table1[[#This Row],[Date]],Funds!$C$10:$GV$11,2,FALSE)))</f>
        <v/>
      </c>
      <c r="I276" s="217" t="str">
        <f>IF(Table1[[#This Row],[Description]]="","",Table1[[#This Row],[Value]]/Table1[[#This Row],[Conversion]])</f>
        <v/>
      </c>
      <c r="J276" s="50" t="str">
        <f>IF(Table1[[#This Row],[Description]]="","",DATE(Table1[[#This Row],[Year]],Table1[[#This Row],[Month]],1))</f>
        <v/>
      </c>
    </row>
    <row r="277" spans="8:10" x14ac:dyDescent="0.25">
      <c r="H277" t="str">
        <f>IF(Table1[[#This Row],[Description]]="","",IF(Table1[[#This Row],[Currency]]=$Q$2,$R$2,HLOOKUP(Table1[[#This Row],[Date]],Funds!$C$10:$GV$11,2,FALSE)))</f>
        <v/>
      </c>
      <c r="I277" s="217" t="str">
        <f>IF(Table1[[#This Row],[Description]]="","",Table1[[#This Row],[Value]]/Table1[[#This Row],[Conversion]])</f>
        <v/>
      </c>
      <c r="J277" s="50" t="str">
        <f>IF(Table1[[#This Row],[Description]]="","",DATE(Table1[[#This Row],[Year]],Table1[[#This Row],[Month]],1))</f>
        <v/>
      </c>
    </row>
    <row r="278" spans="8:10" x14ac:dyDescent="0.25">
      <c r="H278" t="str">
        <f>IF(Table1[[#This Row],[Description]]="","",IF(Table1[[#This Row],[Currency]]=$Q$2,$R$2,HLOOKUP(Table1[[#This Row],[Date]],Funds!$C$10:$GV$11,2,FALSE)))</f>
        <v/>
      </c>
      <c r="I278" s="217" t="str">
        <f>IF(Table1[[#This Row],[Description]]="","",Table1[[#This Row],[Value]]/Table1[[#This Row],[Conversion]])</f>
        <v/>
      </c>
      <c r="J278" s="50" t="str">
        <f>IF(Table1[[#This Row],[Description]]="","",DATE(Table1[[#This Row],[Year]],Table1[[#This Row],[Month]],1))</f>
        <v/>
      </c>
    </row>
    <row r="279" spans="8:10" x14ac:dyDescent="0.25">
      <c r="H279" t="str">
        <f>IF(Table1[[#This Row],[Description]]="","",IF(Table1[[#This Row],[Currency]]=$Q$2,$R$2,HLOOKUP(Table1[[#This Row],[Date]],Funds!$C$10:$GV$11,2,FALSE)))</f>
        <v/>
      </c>
      <c r="I279" s="217" t="str">
        <f>IF(Table1[[#This Row],[Description]]="","",Table1[[#This Row],[Value]]/Table1[[#This Row],[Conversion]])</f>
        <v/>
      </c>
      <c r="J279" s="50" t="str">
        <f>IF(Table1[[#This Row],[Description]]="","",DATE(Table1[[#This Row],[Year]],Table1[[#This Row],[Month]],1))</f>
        <v/>
      </c>
    </row>
    <row r="280" spans="8:10" x14ac:dyDescent="0.25">
      <c r="H280" t="str">
        <f>IF(Table1[[#This Row],[Description]]="","",IF(Table1[[#This Row],[Currency]]=$Q$2,$R$2,HLOOKUP(Table1[[#This Row],[Date]],Funds!$C$10:$GV$11,2,FALSE)))</f>
        <v/>
      </c>
      <c r="I280" s="217" t="str">
        <f>IF(Table1[[#This Row],[Description]]="","",Table1[[#This Row],[Value]]/Table1[[#This Row],[Conversion]])</f>
        <v/>
      </c>
      <c r="J280" s="50" t="str">
        <f>IF(Table1[[#This Row],[Description]]="","",DATE(Table1[[#This Row],[Year]],Table1[[#This Row],[Month]],1))</f>
        <v/>
      </c>
    </row>
    <row r="281" spans="8:10" x14ac:dyDescent="0.25">
      <c r="H281" t="str">
        <f>IF(Table1[[#This Row],[Description]]="","",IF(Table1[[#This Row],[Currency]]=$Q$2,$R$2,HLOOKUP(Table1[[#This Row],[Date]],Funds!$C$10:$GV$11,2,FALSE)))</f>
        <v/>
      </c>
      <c r="I281" s="217" t="str">
        <f>IF(Table1[[#This Row],[Description]]="","",Table1[[#This Row],[Value]]/Table1[[#This Row],[Conversion]])</f>
        <v/>
      </c>
      <c r="J281" s="50" t="str">
        <f>IF(Table1[[#This Row],[Description]]="","",DATE(Table1[[#This Row],[Year]],Table1[[#This Row],[Month]],1))</f>
        <v/>
      </c>
    </row>
    <row r="282" spans="8:10" x14ac:dyDescent="0.25">
      <c r="H282" t="str">
        <f>IF(Table1[[#This Row],[Description]]="","",IF(Table1[[#This Row],[Currency]]=$Q$2,$R$2,HLOOKUP(Table1[[#This Row],[Date]],Funds!$C$10:$GV$11,2,FALSE)))</f>
        <v/>
      </c>
      <c r="I282" s="217" t="str">
        <f>IF(Table1[[#This Row],[Description]]="","",Table1[[#This Row],[Value]]/Table1[[#This Row],[Conversion]])</f>
        <v/>
      </c>
      <c r="J282" s="50" t="str">
        <f>IF(Table1[[#This Row],[Description]]="","",DATE(Table1[[#This Row],[Year]],Table1[[#This Row],[Month]],1))</f>
        <v/>
      </c>
    </row>
    <row r="283" spans="8:10" x14ac:dyDescent="0.25">
      <c r="H283" t="str">
        <f>IF(Table1[[#This Row],[Description]]="","",IF(Table1[[#This Row],[Currency]]=$Q$2,$R$2,HLOOKUP(Table1[[#This Row],[Date]],Funds!$C$10:$GV$11,2,FALSE)))</f>
        <v/>
      </c>
      <c r="I283" s="217" t="str">
        <f>IF(Table1[[#This Row],[Description]]="","",Table1[[#This Row],[Value]]/Table1[[#This Row],[Conversion]])</f>
        <v/>
      </c>
      <c r="J283" s="50" t="str">
        <f>IF(Table1[[#This Row],[Description]]="","",DATE(Table1[[#This Row],[Year]],Table1[[#This Row],[Month]],1))</f>
        <v/>
      </c>
    </row>
    <row r="284" spans="8:10" x14ac:dyDescent="0.25">
      <c r="H284" t="str">
        <f>IF(Table1[[#This Row],[Description]]="","",IF(Table1[[#This Row],[Currency]]=$Q$2,$R$2,HLOOKUP(Table1[[#This Row],[Date]],Funds!$C$10:$GV$11,2,FALSE)))</f>
        <v/>
      </c>
      <c r="I284" s="217" t="str">
        <f>IF(Table1[[#This Row],[Description]]="","",Table1[[#This Row],[Value]]/Table1[[#This Row],[Conversion]])</f>
        <v/>
      </c>
      <c r="J284" s="50" t="str">
        <f>IF(Table1[[#This Row],[Description]]="","",DATE(Table1[[#This Row],[Year]],Table1[[#This Row],[Month]],1))</f>
        <v/>
      </c>
    </row>
    <row r="285" spans="8:10" x14ac:dyDescent="0.25">
      <c r="H285" t="str">
        <f>IF(Table1[[#This Row],[Description]]="","",IF(Table1[[#This Row],[Currency]]=$Q$2,$R$2,HLOOKUP(Table1[[#This Row],[Date]],Funds!$C$10:$GV$11,2,FALSE)))</f>
        <v/>
      </c>
      <c r="I285" s="217" t="str">
        <f>IF(Table1[[#This Row],[Description]]="","",Table1[[#This Row],[Value]]/Table1[[#This Row],[Conversion]])</f>
        <v/>
      </c>
      <c r="J285" s="50" t="str">
        <f>IF(Table1[[#This Row],[Description]]="","",DATE(Table1[[#This Row],[Year]],Table1[[#This Row],[Month]],1))</f>
        <v/>
      </c>
    </row>
    <row r="286" spans="8:10" x14ac:dyDescent="0.25">
      <c r="H286" t="str">
        <f>IF(Table1[[#This Row],[Description]]="","",IF(Table1[[#This Row],[Currency]]=$Q$2,$R$2,HLOOKUP(Table1[[#This Row],[Date]],Funds!$C$10:$GV$11,2,FALSE)))</f>
        <v/>
      </c>
      <c r="I286" s="217" t="str">
        <f>IF(Table1[[#This Row],[Description]]="","",Table1[[#This Row],[Value]]/Table1[[#This Row],[Conversion]])</f>
        <v/>
      </c>
      <c r="J286" s="50" t="str">
        <f>IF(Table1[[#This Row],[Description]]="","",DATE(Table1[[#This Row],[Year]],Table1[[#This Row],[Month]],1))</f>
        <v/>
      </c>
    </row>
    <row r="287" spans="8:10" x14ac:dyDescent="0.25">
      <c r="H287" t="str">
        <f>IF(Table1[[#This Row],[Description]]="","",IF(Table1[[#This Row],[Currency]]=$Q$2,$R$2,HLOOKUP(Table1[[#This Row],[Date]],Funds!$C$10:$GV$11,2,FALSE)))</f>
        <v/>
      </c>
      <c r="I287" s="217" t="str">
        <f>IF(Table1[[#This Row],[Description]]="","",Table1[[#This Row],[Value]]/Table1[[#This Row],[Conversion]])</f>
        <v/>
      </c>
      <c r="J287" s="50" t="str">
        <f>IF(Table1[[#This Row],[Description]]="","",DATE(Table1[[#This Row],[Year]],Table1[[#This Row],[Month]],1))</f>
        <v/>
      </c>
    </row>
    <row r="288" spans="8:10" x14ac:dyDescent="0.25">
      <c r="H288" t="str">
        <f>IF(Table1[[#This Row],[Description]]="","",IF(Table1[[#This Row],[Currency]]=$Q$2,$R$2,HLOOKUP(Table1[[#This Row],[Date]],Funds!$C$10:$GV$11,2,FALSE)))</f>
        <v/>
      </c>
      <c r="I288" s="217" t="str">
        <f>IF(Table1[[#This Row],[Description]]="","",Table1[[#This Row],[Value]]/Table1[[#This Row],[Conversion]])</f>
        <v/>
      </c>
      <c r="J288" s="50" t="str">
        <f>IF(Table1[[#This Row],[Description]]="","",DATE(Table1[[#This Row],[Year]],Table1[[#This Row],[Month]],1))</f>
        <v/>
      </c>
    </row>
    <row r="289" spans="8:10" x14ac:dyDescent="0.25">
      <c r="H289" t="str">
        <f>IF(Table1[[#This Row],[Description]]="","",IF(Table1[[#This Row],[Currency]]=$Q$2,$R$2,HLOOKUP(Table1[[#This Row],[Date]],Funds!$C$10:$GV$11,2,FALSE)))</f>
        <v/>
      </c>
      <c r="I289" s="217" t="str">
        <f>IF(Table1[[#This Row],[Description]]="","",Table1[[#This Row],[Value]]/Table1[[#This Row],[Conversion]])</f>
        <v/>
      </c>
      <c r="J289" s="50" t="str">
        <f>IF(Table1[[#This Row],[Description]]="","",DATE(Table1[[#This Row],[Year]],Table1[[#This Row],[Month]],1))</f>
        <v/>
      </c>
    </row>
    <row r="290" spans="8:10" x14ac:dyDescent="0.25">
      <c r="H290" t="str">
        <f>IF(Table1[[#This Row],[Description]]="","",IF(Table1[[#This Row],[Currency]]=$Q$2,$R$2,HLOOKUP(Table1[[#This Row],[Date]],Funds!$C$10:$GV$11,2,FALSE)))</f>
        <v/>
      </c>
      <c r="I290" s="217" t="str">
        <f>IF(Table1[[#This Row],[Description]]="","",Table1[[#This Row],[Value]]/Table1[[#This Row],[Conversion]])</f>
        <v/>
      </c>
      <c r="J290" s="50" t="str">
        <f>IF(Table1[[#This Row],[Description]]="","",DATE(Table1[[#This Row],[Year]],Table1[[#This Row],[Month]],1))</f>
        <v/>
      </c>
    </row>
    <row r="291" spans="8:10" x14ac:dyDescent="0.25">
      <c r="H291" t="str">
        <f>IF(Table1[[#This Row],[Description]]="","",IF(Table1[[#This Row],[Currency]]=$Q$2,$R$2,HLOOKUP(Table1[[#This Row],[Date]],Funds!$C$10:$GV$11,2,FALSE)))</f>
        <v/>
      </c>
      <c r="I291" s="217" t="str">
        <f>IF(Table1[[#This Row],[Description]]="","",Table1[[#This Row],[Value]]/Table1[[#This Row],[Conversion]])</f>
        <v/>
      </c>
      <c r="J291" s="50" t="str">
        <f>IF(Table1[[#This Row],[Description]]="","",DATE(Table1[[#This Row],[Year]],Table1[[#This Row],[Month]],1))</f>
        <v/>
      </c>
    </row>
    <row r="292" spans="8:10" x14ac:dyDescent="0.25">
      <c r="H292" t="str">
        <f>IF(Table1[[#This Row],[Description]]="","",IF(Table1[[#This Row],[Currency]]=$Q$2,$R$2,HLOOKUP(Table1[[#This Row],[Date]],Funds!$C$10:$GV$11,2,FALSE)))</f>
        <v/>
      </c>
      <c r="I292" s="217" t="str">
        <f>IF(Table1[[#This Row],[Description]]="","",Table1[[#This Row],[Value]]/Table1[[#This Row],[Conversion]])</f>
        <v/>
      </c>
      <c r="J292" s="50" t="str">
        <f>IF(Table1[[#This Row],[Description]]="","",DATE(Table1[[#This Row],[Year]],Table1[[#This Row],[Month]],1))</f>
        <v/>
      </c>
    </row>
    <row r="293" spans="8:10" x14ac:dyDescent="0.25">
      <c r="H293" t="str">
        <f>IF(Table1[[#This Row],[Description]]="","",IF(Table1[[#This Row],[Currency]]=$Q$2,$R$2,HLOOKUP(Table1[[#This Row],[Date]],Funds!$C$10:$GV$11,2,FALSE)))</f>
        <v/>
      </c>
      <c r="I293" s="217" t="str">
        <f>IF(Table1[[#This Row],[Description]]="","",Table1[[#This Row],[Value]]/Table1[[#This Row],[Conversion]])</f>
        <v/>
      </c>
      <c r="J293" s="50" t="str">
        <f>IF(Table1[[#This Row],[Description]]="","",DATE(Table1[[#This Row],[Year]],Table1[[#This Row],[Month]],1))</f>
        <v/>
      </c>
    </row>
    <row r="294" spans="8:10" x14ac:dyDescent="0.25">
      <c r="H294" t="str">
        <f>IF(Table1[[#This Row],[Description]]="","",IF(Table1[[#This Row],[Currency]]=$Q$2,$R$2,HLOOKUP(Table1[[#This Row],[Date]],Funds!$C$10:$GV$11,2,FALSE)))</f>
        <v/>
      </c>
      <c r="I294" s="217" t="str">
        <f>IF(Table1[[#This Row],[Description]]="","",Table1[[#This Row],[Value]]/Table1[[#This Row],[Conversion]])</f>
        <v/>
      </c>
      <c r="J294" s="50" t="str">
        <f>IF(Table1[[#This Row],[Description]]="","",DATE(Table1[[#This Row],[Year]],Table1[[#This Row],[Month]],1))</f>
        <v/>
      </c>
    </row>
    <row r="295" spans="8:10" x14ac:dyDescent="0.25">
      <c r="H295" t="str">
        <f>IF(Table1[[#This Row],[Description]]="","",IF(Table1[[#This Row],[Currency]]=$Q$2,$R$2,HLOOKUP(Table1[[#This Row],[Date]],Funds!$C$10:$GV$11,2,FALSE)))</f>
        <v/>
      </c>
      <c r="I295" s="217" t="str">
        <f>IF(Table1[[#This Row],[Description]]="","",Table1[[#This Row],[Value]]/Table1[[#This Row],[Conversion]])</f>
        <v/>
      </c>
      <c r="J295" s="50" t="str">
        <f>IF(Table1[[#This Row],[Description]]="","",DATE(Table1[[#This Row],[Year]],Table1[[#This Row],[Month]],1))</f>
        <v/>
      </c>
    </row>
    <row r="296" spans="8:10" x14ac:dyDescent="0.25">
      <c r="H296" t="str">
        <f>IF(Table1[[#This Row],[Description]]="","",IF(Table1[[#This Row],[Currency]]=$Q$2,$R$2,HLOOKUP(Table1[[#This Row],[Date]],Funds!$C$10:$GV$11,2,FALSE)))</f>
        <v/>
      </c>
      <c r="I296" s="217" t="str">
        <f>IF(Table1[[#This Row],[Description]]="","",Table1[[#This Row],[Value]]/Table1[[#This Row],[Conversion]])</f>
        <v/>
      </c>
      <c r="J296" s="50" t="str">
        <f>IF(Table1[[#This Row],[Description]]="","",DATE(Table1[[#This Row],[Year]],Table1[[#This Row],[Month]],1))</f>
        <v/>
      </c>
    </row>
    <row r="297" spans="8:10" x14ac:dyDescent="0.25">
      <c r="H297" t="str">
        <f>IF(Table1[[#This Row],[Description]]="","",IF(Table1[[#This Row],[Currency]]=$Q$2,$R$2,HLOOKUP(Table1[[#This Row],[Date]],Funds!$C$10:$GV$11,2,FALSE)))</f>
        <v/>
      </c>
      <c r="I297" s="217" t="str">
        <f>IF(Table1[[#This Row],[Description]]="","",Table1[[#This Row],[Value]]/Table1[[#This Row],[Conversion]])</f>
        <v/>
      </c>
      <c r="J297" s="50" t="str">
        <f>IF(Table1[[#This Row],[Description]]="","",DATE(Table1[[#This Row],[Year]],Table1[[#This Row],[Month]],1))</f>
        <v/>
      </c>
    </row>
    <row r="298" spans="8:10" x14ac:dyDescent="0.25">
      <c r="H298" t="str">
        <f>IF(Table1[[#This Row],[Description]]="","",IF(Table1[[#This Row],[Currency]]=$Q$2,$R$2,HLOOKUP(Table1[[#This Row],[Date]],Funds!$C$10:$GV$11,2,FALSE)))</f>
        <v/>
      </c>
      <c r="I298" s="217" t="str">
        <f>IF(Table1[[#This Row],[Description]]="","",Table1[[#This Row],[Value]]/Table1[[#This Row],[Conversion]])</f>
        <v/>
      </c>
      <c r="J298" s="50" t="str">
        <f>IF(Table1[[#This Row],[Description]]="","",DATE(Table1[[#This Row],[Year]],Table1[[#This Row],[Month]],1))</f>
        <v/>
      </c>
    </row>
    <row r="299" spans="8:10" x14ac:dyDescent="0.25">
      <c r="H299" t="str">
        <f>IF(Table1[[#This Row],[Description]]="","",IF(Table1[[#This Row],[Currency]]=$Q$2,$R$2,HLOOKUP(Table1[[#This Row],[Date]],Funds!$C$10:$GV$11,2,FALSE)))</f>
        <v/>
      </c>
      <c r="I299" s="217" t="str">
        <f>IF(Table1[[#This Row],[Description]]="","",Table1[[#This Row],[Value]]/Table1[[#This Row],[Conversion]])</f>
        <v/>
      </c>
      <c r="J299" s="50" t="str">
        <f>IF(Table1[[#This Row],[Description]]="","",DATE(Table1[[#This Row],[Year]],Table1[[#This Row],[Month]],1))</f>
        <v/>
      </c>
    </row>
    <row r="300" spans="8:10" x14ac:dyDescent="0.25">
      <c r="H300" t="str">
        <f>IF(Table1[[#This Row],[Description]]="","",IF(Table1[[#This Row],[Currency]]=$Q$2,$R$2,HLOOKUP(Table1[[#This Row],[Date]],Funds!$C$10:$GV$11,2,FALSE)))</f>
        <v/>
      </c>
      <c r="I300" s="217" t="str">
        <f>IF(Table1[[#This Row],[Description]]="","",Table1[[#This Row],[Value]]/Table1[[#This Row],[Conversion]])</f>
        <v/>
      </c>
      <c r="J300" s="50" t="str">
        <f>IF(Table1[[#This Row],[Description]]="","",DATE(Table1[[#This Row],[Year]],Table1[[#This Row],[Month]],1))</f>
        <v/>
      </c>
    </row>
    <row r="301" spans="8:10" x14ac:dyDescent="0.25">
      <c r="H301" t="str">
        <f>IF(Table1[[#This Row],[Description]]="","",IF(Table1[[#This Row],[Currency]]=$Q$2,$R$2,HLOOKUP(Table1[[#This Row],[Date]],Funds!$C$10:$GV$11,2,FALSE)))</f>
        <v/>
      </c>
      <c r="I301" s="217" t="str">
        <f>IF(Table1[[#This Row],[Description]]="","",Table1[[#This Row],[Value]]/Table1[[#This Row],[Conversion]])</f>
        <v/>
      </c>
      <c r="J301" s="50" t="str">
        <f>IF(Table1[[#This Row],[Description]]="","",DATE(Table1[[#This Row],[Year]],Table1[[#This Row],[Month]],1))</f>
        <v/>
      </c>
    </row>
    <row r="302" spans="8:10" x14ac:dyDescent="0.25">
      <c r="H302" t="str">
        <f>IF(Table1[[#This Row],[Description]]="","",IF(Table1[[#This Row],[Currency]]=$Q$2,$R$2,HLOOKUP(Table1[[#This Row],[Date]],Funds!$C$10:$GV$11,2,FALSE)))</f>
        <v/>
      </c>
      <c r="I302" s="217" t="str">
        <f>IF(Table1[[#This Row],[Description]]="","",Table1[[#This Row],[Value]]/Table1[[#This Row],[Conversion]])</f>
        <v/>
      </c>
      <c r="J302" s="50" t="str">
        <f>IF(Table1[[#This Row],[Description]]="","",DATE(Table1[[#This Row],[Year]],Table1[[#This Row],[Month]],1))</f>
        <v/>
      </c>
    </row>
    <row r="303" spans="8:10" x14ac:dyDescent="0.25">
      <c r="H303" t="str">
        <f>IF(Table1[[#This Row],[Description]]="","",IF(Table1[[#This Row],[Currency]]=$Q$2,$R$2,HLOOKUP(Table1[[#This Row],[Date]],Funds!$C$10:$GV$11,2,FALSE)))</f>
        <v/>
      </c>
      <c r="I303" s="217" t="str">
        <f>IF(Table1[[#This Row],[Description]]="","",Table1[[#This Row],[Value]]/Table1[[#This Row],[Conversion]])</f>
        <v/>
      </c>
      <c r="J303" s="50" t="str">
        <f>IF(Table1[[#This Row],[Description]]="","",DATE(Table1[[#This Row],[Year]],Table1[[#This Row],[Month]],1))</f>
        <v/>
      </c>
    </row>
    <row r="304" spans="8:10" x14ac:dyDescent="0.25">
      <c r="H304" t="str">
        <f>IF(Table1[[#This Row],[Description]]="","",IF(Table1[[#This Row],[Currency]]=$Q$2,$R$2,HLOOKUP(Table1[[#This Row],[Date]],Funds!$C$10:$GV$11,2,FALSE)))</f>
        <v/>
      </c>
      <c r="I304" s="217" t="str">
        <f>IF(Table1[[#This Row],[Description]]="","",Table1[[#This Row],[Value]]/Table1[[#This Row],[Conversion]])</f>
        <v/>
      </c>
      <c r="J304" s="50" t="str">
        <f>IF(Table1[[#This Row],[Description]]="","",DATE(Table1[[#This Row],[Year]],Table1[[#This Row],[Month]],1))</f>
        <v/>
      </c>
    </row>
    <row r="305" spans="8:10" x14ac:dyDescent="0.25">
      <c r="H305" t="str">
        <f>IF(Table1[[#This Row],[Description]]="","",IF(Table1[[#This Row],[Currency]]=$Q$2,$R$2,HLOOKUP(Table1[[#This Row],[Date]],Funds!$C$10:$GV$11,2,FALSE)))</f>
        <v/>
      </c>
      <c r="I305" s="217" t="str">
        <f>IF(Table1[[#This Row],[Description]]="","",Table1[[#This Row],[Value]]/Table1[[#This Row],[Conversion]])</f>
        <v/>
      </c>
      <c r="J305" s="50" t="str">
        <f>IF(Table1[[#This Row],[Description]]="","",DATE(Table1[[#This Row],[Year]],Table1[[#This Row],[Month]],1))</f>
        <v/>
      </c>
    </row>
    <row r="306" spans="8:10" x14ac:dyDescent="0.25">
      <c r="H306" t="str">
        <f>IF(Table1[[#This Row],[Description]]="","",IF(Table1[[#This Row],[Currency]]=$Q$2,$R$2,HLOOKUP(Table1[[#This Row],[Date]],Funds!$C$10:$GV$11,2,FALSE)))</f>
        <v/>
      </c>
      <c r="I306" s="217" t="str">
        <f>IF(Table1[[#This Row],[Description]]="","",Table1[[#This Row],[Value]]/Table1[[#This Row],[Conversion]])</f>
        <v/>
      </c>
      <c r="J306" s="50" t="str">
        <f>IF(Table1[[#This Row],[Description]]="","",DATE(Table1[[#This Row],[Year]],Table1[[#This Row],[Month]],1))</f>
        <v/>
      </c>
    </row>
    <row r="307" spans="8:10" x14ac:dyDescent="0.25">
      <c r="H307" t="str">
        <f>IF(Table1[[#This Row],[Description]]="","",IF(Table1[[#This Row],[Currency]]=$Q$2,$R$2,HLOOKUP(Table1[[#This Row],[Date]],Funds!$C$10:$GV$11,2,FALSE)))</f>
        <v/>
      </c>
      <c r="I307" s="217" t="str">
        <f>IF(Table1[[#This Row],[Description]]="","",Table1[[#This Row],[Value]]/Table1[[#This Row],[Conversion]])</f>
        <v/>
      </c>
      <c r="J307" s="50" t="str">
        <f>IF(Table1[[#This Row],[Description]]="","",DATE(Table1[[#This Row],[Year]],Table1[[#This Row],[Month]],1))</f>
        <v/>
      </c>
    </row>
    <row r="308" spans="8:10" x14ac:dyDescent="0.25">
      <c r="H308" t="str">
        <f>IF(Table1[[#This Row],[Description]]="","",IF(Table1[[#This Row],[Currency]]=$Q$2,$R$2,HLOOKUP(Table1[[#This Row],[Date]],Funds!$C$10:$GV$11,2,FALSE)))</f>
        <v/>
      </c>
      <c r="I308" s="217" t="str">
        <f>IF(Table1[[#This Row],[Description]]="","",Table1[[#This Row],[Value]]/Table1[[#This Row],[Conversion]])</f>
        <v/>
      </c>
      <c r="J308" s="50" t="str">
        <f>IF(Table1[[#This Row],[Description]]="","",DATE(Table1[[#This Row],[Year]],Table1[[#This Row],[Month]],1))</f>
        <v/>
      </c>
    </row>
    <row r="309" spans="8:10" x14ac:dyDescent="0.25">
      <c r="H309" t="str">
        <f>IF(Table1[[#This Row],[Description]]="","",IF(Table1[[#This Row],[Currency]]=$Q$2,$R$2,HLOOKUP(Table1[[#This Row],[Date]],Funds!$C$10:$GV$11,2,FALSE)))</f>
        <v/>
      </c>
      <c r="I309" s="217" t="str">
        <f>IF(Table1[[#This Row],[Description]]="","",Table1[[#This Row],[Value]]/Table1[[#This Row],[Conversion]])</f>
        <v/>
      </c>
      <c r="J309" s="50" t="str">
        <f>IF(Table1[[#This Row],[Description]]="","",DATE(Table1[[#This Row],[Year]],Table1[[#This Row],[Month]],1))</f>
        <v/>
      </c>
    </row>
    <row r="310" spans="8:10" x14ac:dyDescent="0.25">
      <c r="H310" t="str">
        <f>IF(Table1[[#This Row],[Description]]="","",IF(Table1[[#This Row],[Currency]]=$Q$2,$R$2,HLOOKUP(Table1[[#This Row],[Date]],Funds!$C$10:$GV$11,2,FALSE)))</f>
        <v/>
      </c>
      <c r="I310" s="217" t="str">
        <f>IF(Table1[[#This Row],[Description]]="","",Table1[[#This Row],[Value]]/Table1[[#This Row],[Conversion]])</f>
        <v/>
      </c>
      <c r="J310" s="50" t="str">
        <f>IF(Table1[[#This Row],[Description]]="","",DATE(Table1[[#This Row],[Year]],Table1[[#This Row],[Month]],1))</f>
        <v/>
      </c>
    </row>
    <row r="311" spans="8:10" x14ac:dyDescent="0.25">
      <c r="H311" t="str">
        <f>IF(Table1[[#This Row],[Description]]="","",IF(Table1[[#This Row],[Currency]]=$Q$2,$R$2,HLOOKUP(Table1[[#This Row],[Date]],Funds!$C$10:$GV$11,2,FALSE)))</f>
        <v/>
      </c>
      <c r="I311" s="217" t="str">
        <f>IF(Table1[[#This Row],[Description]]="","",Table1[[#This Row],[Value]]/Table1[[#This Row],[Conversion]])</f>
        <v/>
      </c>
      <c r="J311" s="50" t="str">
        <f>IF(Table1[[#This Row],[Description]]="","",DATE(Table1[[#This Row],[Year]],Table1[[#This Row],[Month]],1))</f>
        <v/>
      </c>
    </row>
    <row r="312" spans="8:10" x14ac:dyDescent="0.25">
      <c r="H312" t="str">
        <f>IF(Table1[[#This Row],[Description]]="","",IF(Table1[[#This Row],[Currency]]=$Q$2,$R$2,HLOOKUP(Table1[[#This Row],[Date]],Funds!$C$10:$GV$11,2,FALSE)))</f>
        <v/>
      </c>
      <c r="I312" s="217" t="str">
        <f>IF(Table1[[#This Row],[Description]]="","",Table1[[#This Row],[Value]]/Table1[[#This Row],[Conversion]])</f>
        <v/>
      </c>
      <c r="J312" s="50" t="str">
        <f>IF(Table1[[#This Row],[Description]]="","",DATE(Table1[[#This Row],[Year]],Table1[[#This Row],[Month]],1))</f>
        <v/>
      </c>
    </row>
    <row r="313" spans="8:10" x14ac:dyDescent="0.25">
      <c r="H313" t="str">
        <f>IF(Table1[[#This Row],[Description]]="","",IF(Table1[[#This Row],[Currency]]=$Q$2,$R$2,HLOOKUP(Table1[[#This Row],[Date]],Funds!$C$10:$GV$11,2,FALSE)))</f>
        <v/>
      </c>
      <c r="I313" s="217" t="str">
        <f>IF(Table1[[#This Row],[Description]]="","",Table1[[#This Row],[Value]]/Table1[[#This Row],[Conversion]])</f>
        <v/>
      </c>
      <c r="J313" s="50" t="str">
        <f>IF(Table1[[#This Row],[Description]]="","",DATE(Table1[[#This Row],[Year]],Table1[[#This Row],[Month]],1))</f>
        <v/>
      </c>
    </row>
    <row r="314" spans="8:10" x14ac:dyDescent="0.25">
      <c r="H314" t="str">
        <f>IF(Table1[[#This Row],[Description]]="","",IF(Table1[[#This Row],[Currency]]=$Q$2,$R$2,HLOOKUP(Table1[[#This Row],[Date]],Funds!$C$10:$GV$11,2,FALSE)))</f>
        <v/>
      </c>
      <c r="I314" s="217" t="str">
        <f>IF(Table1[[#This Row],[Description]]="","",Table1[[#This Row],[Value]]/Table1[[#This Row],[Conversion]])</f>
        <v/>
      </c>
      <c r="J314" s="50" t="str">
        <f>IF(Table1[[#This Row],[Description]]="","",DATE(Table1[[#This Row],[Year]],Table1[[#This Row],[Month]],1))</f>
        <v/>
      </c>
    </row>
    <row r="315" spans="8:10" x14ac:dyDescent="0.25">
      <c r="H315" t="str">
        <f>IF(Table1[[#This Row],[Description]]="","",IF(Table1[[#This Row],[Currency]]=$Q$2,$R$2,HLOOKUP(Table1[[#This Row],[Date]],Funds!$C$10:$GV$11,2,FALSE)))</f>
        <v/>
      </c>
      <c r="I315" s="217" t="str">
        <f>IF(Table1[[#This Row],[Description]]="","",Table1[[#This Row],[Value]]/Table1[[#This Row],[Conversion]])</f>
        <v/>
      </c>
      <c r="J315" s="50" t="str">
        <f>IF(Table1[[#This Row],[Description]]="","",DATE(Table1[[#This Row],[Year]],Table1[[#This Row],[Month]],1))</f>
        <v/>
      </c>
    </row>
    <row r="316" spans="8:10" x14ac:dyDescent="0.25">
      <c r="H316" t="str">
        <f>IF(Table1[[#This Row],[Description]]="","",IF(Table1[[#This Row],[Currency]]=$Q$2,$R$2,HLOOKUP(Table1[[#This Row],[Date]],Funds!$C$10:$GV$11,2,FALSE)))</f>
        <v/>
      </c>
      <c r="I316" s="217" t="str">
        <f>IF(Table1[[#This Row],[Description]]="","",Table1[[#This Row],[Value]]/Table1[[#This Row],[Conversion]])</f>
        <v/>
      </c>
      <c r="J316" s="50" t="str">
        <f>IF(Table1[[#This Row],[Description]]="","",DATE(Table1[[#This Row],[Year]],Table1[[#This Row],[Month]],1))</f>
        <v/>
      </c>
    </row>
    <row r="317" spans="8:10" x14ac:dyDescent="0.25">
      <c r="H317" t="str">
        <f>IF(Table1[[#This Row],[Description]]="","",IF(Table1[[#This Row],[Currency]]=$Q$2,$R$2,HLOOKUP(Table1[[#This Row],[Date]],Funds!$C$10:$GV$11,2,FALSE)))</f>
        <v/>
      </c>
      <c r="I317" s="217" t="str">
        <f>IF(Table1[[#This Row],[Description]]="","",Table1[[#This Row],[Value]]/Table1[[#This Row],[Conversion]])</f>
        <v/>
      </c>
      <c r="J317" s="50" t="str">
        <f>IF(Table1[[#This Row],[Description]]="","",DATE(Table1[[#This Row],[Year]],Table1[[#This Row],[Month]],1))</f>
        <v/>
      </c>
    </row>
    <row r="318" spans="8:10" x14ac:dyDescent="0.25">
      <c r="H318" t="str">
        <f>IF(Table1[[#This Row],[Description]]="","",IF(Table1[[#This Row],[Currency]]=$Q$2,$R$2,HLOOKUP(Table1[[#This Row],[Date]],Funds!$C$10:$GV$11,2,FALSE)))</f>
        <v/>
      </c>
      <c r="I318" s="217" t="str">
        <f>IF(Table1[[#This Row],[Description]]="","",Table1[[#This Row],[Value]]/Table1[[#This Row],[Conversion]])</f>
        <v/>
      </c>
      <c r="J318" s="50" t="str">
        <f>IF(Table1[[#This Row],[Description]]="","",DATE(Table1[[#This Row],[Year]],Table1[[#This Row],[Month]],1))</f>
        <v/>
      </c>
    </row>
    <row r="319" spans="8:10" x14ac:dyDescent="0.25">
      <c r="H319" t="str">
        <f>IF(Table1[[#This Row],[Description]]="","",IF(Table1[[#This Row],[Currency]]=$Q$2,$R$2,HLOOKUP(Table1[[#This Row],[Date]],Funds!$C$10:$GV$11,2,FALSE)))</f>
        <v/>
      </c>
      <c r="I319" s="217" t="str">
        <f>IF(Table1[[#This Row],[Description]]="","",Table1[[#This Row],[Value]]/Table1[[#This Row],[Conversion]])</f>
        <v/>
      </c>
      <c r="J319" s="50" t="str">
        <f>IF(Table1[[#This Row],[Description]]="","",DATE(Table1[[#This Row],[Year]],Table1[[#This Row],[Month]],1))</f>
        <v/>
      </c>
    </row>
    <row r="320" spans="8:10" x14ac:dyDescent="0.25">
      <c r="H320" t="str">
        <f>IF(Table1[[#This Row],[Description]]="","",IF(Table1[[#This Row],[Currency]]=$Q$2,$R$2,HLOOKUP(Table1[[#This Row],[Date]],Funds!$C$10:$GV$11,2,FALSE)))</f>
        <v/>
      </c>
      <c r="I320" s="217" t="str">
        <f>IF(Table1[[#This Row],[Description]]="","",Table1[[#This Row],[Value]]/Table1[[#This Row],[Conversion]])</f>
        <v/>
      </c>
      <c r="J320" s="50" t="str">
        <f>IF(Table1[[#This Row],[Description]]="","",DATE(Table1[[#This Row],[Year]],Table1[[#This Row],[Month]],1))</f>
        <v/>
      </c>
    </row>
    <row r="321" spans="8:10" x14ac:dyDescent="0.25">
      <c r="H321" t="str">
        <f>IF(Table1[[#This Row],[Description]]="","",IF(Table1[[#This Row],[Currency]]=$Q$2,$R$2,HLOOKUP(Table1[[#This Row],[Date]],Funds!$C$10:$GV$11,2,FALSE)))</f>
        <v/>
      </c>
      <c r="I321" s="217" t="str">
        <f>IF(Table1[[#This Row],[Description]]="","",Table1[[#This Row],[Value]]/Table1[[#This Row],[Conversion]])</f>
        <v/>
      </c>
      <c r="J321" s="50" t="str">
        <f>IF(Table1[[#This Row],[Description]]="","",DATE(Table1[[#This Row],[Year]],Table1[[#This Row],[Month]],1))</f>
        <v/>
      </c>
    </row>
    <row r="322" spans="8:10" x14ac:dyDescent="0.25">
      <c r="H322" t="str">
        <f>IF(Table1[[#This Row],[Description]]="","",IF(Table1[[#This Row],[Currency]]=$Q$2,$R$2,HLOOKUP(Table1[[#This Row],[Date]],Funds!$C$10:$GV$11,2,FALSE)))</f>
        <v/>
      </c>
      <c r="I322" s="217" t="str">
        <f>IF(Table1[[#This Row],[Description]]="","",Table1[[#This Row],[Value]]/Table1[[#This Row],[Conversion]])</f>
        <v/>
      </c>
      <c r="J322" s="50" t="str">
        <f>IF(Table1[[#This Row],[Description]]="","",DATE(Table1[[#This Row],[Year]],Table1[[#This Row],[Month]],1))</f>
        <v/>
      </c>
    </row>
    <row r="323" spans="8:10" x14ac:dyDescent="0.25">
      <c r="H323" t="str">
        <f>IF(Table1[[#This Row],[Description]]="","",IF(Table1[[#This Row],[Currency]]=$Q$2,$R$2,HLOOKUP(Table1[[#This Row],[Date]],Funds!$C$10:$GV$11,2,FALSE)))</f>
        <v/>
      </c>
      <c r="I323" s="217" t="str">
        <f>IF(Table1[[#This Row],[Description]]="","",Table1[[#This Row],[Value]]/Table1[[#This Row],[Conversion]])</f>
        <v/>
      </c>
      <c r="J323" s="50" t="str">
        <f>IF(Table1[[#This Row],[Description]]="","",DATE(Table1[[#This Row],[Year]],Table1[[#This Row],[Month]],1))</f>
        <v/>
      </c>
    </row>
    <row r="324" spans="8:10" x14ac:dyDescent="0.25">
      <c r="H324" t="str">
        <f>IF(Table1[[#This Row],[Description]]="","",IF(Table1[[#This Row],[Currency]]=$Q$2,$R$2,HLOOKUP(Table1[[#This Row],[Date]],Funds!$C$10:$GV$11,2,FALSE)))</f>
        <v/>
      </c>
      <c r="I324" s="217" t="str">
        <f>IF(Table1[[#This Row],[Description]]="","",Table1[[#This Row],[Value]]/Table1[[#This Row],[Conversion]])</f>
        <v/>
      </c>
      <c r="J324" s="50" t="str">
        <f>IF(Table1[[#This Row],[Description]]="","",DATE(Table1[[#This Row],[Year]],Table1[[#This Row],[Month]],1))</f>
        <v/>
      </c>
    </row>
    <row r="325" spans="8:10" x14ac:dyDescent="0.25">
      <c r="H325" t="str">
        <f>IF(Table1[[#This Row],[Description]]="","",IF(Table1[[#This Row],[Currency]]=$Q$2,$R$2,HLOOKUP(Table1[[#This Row],[Date]],Funds!$C$10:$GV$11,2,FALSE)))</f>
        <v/>
      </c>
      <c r="I325" s="217" t="str">
        <f>IF(Table1[[#This Row],[Description]]="","",Table1[[#This Row],[Value]]/Table1[[#This Row],[Conversion]])</f>
        <v/>
      </c>
      <c r="J325" s="50" t="str">
        <f>IF(Table1[[#This Row],[Description]]="","",DATE(Table1[[#This Row],[Year]],Table1[[#This Row],[Month]],1))</f>
        <v/>
      </c>
    </row>
    <row r="326" spans="8:10" x14ac:dyDescent="0.25">
      <c r="H326" t="str">
        <f>IF(Table1[[#This Row],[Description]]="","",IF(Table1[[#This Row],[Currency]]=$Q$2,$R$2,HLOOKUP(Table1[[#This Row],[Date]],Funds!$C$10:$GV$11,2,FALSE)))</f>
        <v/>
      </c>
      <c r="I326" s="217" t="str">
        <f>IF(Table1[[#This Row],[Description]]="","",Table1[[#This Row],[Value]]/Table1[[#This Row],[Conversion]])</f>
        <v/>
      </c>
      <c r="J326" s="50" t="str">
        <f>IF(Table1[[#This Row],[Description]]="","",DATE(Table1[[#This Row],[Year]],Table1[[#This Row],[Month]],1))</f>
        <v/>
      </c>
    </row>
    <row r="327" spans="8:10" x14ac:dyDescent="0.25">
      <c r="H327" t="str">
        <f>IF(Table1[[#This Row],[Description]]="","",IF(Table1[[#This Row],[Currency]]=$Q$2,$R$2,HLOOKUP(Table1[[#This Row],[Date]],Funds!$C$10:$GV$11,2,FALSE)))</f>
        <v/>
      </c>
      <c r="I327" s="217" t="str">
        <f>IF(Table1[[#This Row],[Description]]="","",Table1[[#This Row],[Value]]/Table1[[#This Row],[Conversion]])</f>
        <v/>
      </c>
      <c r="J327" s="50" t="str">
        <f>IF(Table1[[#This Row],[Description]]="","",DATE(Table1[[#This Row],[Year]],Table1[[#This Row],[Month]],1))</f>
        <v/>
      </c>
    </row>
    <row r="328" spans="8:10" x14ac:dyDescent="0.25">
      <c r="H328" t="str">
        <f>IF(Table1[[#This Row],[Description]]="","",IF(Table1[[#This Row],[Currency]]=$Q$2,$R$2,HLOOKUP(Table1[[#This Row],[Date]],Funds!$C$10:$GV$11,2,FALSE)))</f>
        <v/>
      </c>
      <c r="I328" s="217" t="str">
        <f>IF(Table1[[#This Row],[Description]]="","",Table1[[#This Row],[Value]]/Table1[[#This Row],[Conversion]])</f>
        <v/>
      </c>
      <c r="J328" s="50" t="str">
        <f>IF(Table1[[#This Row],[Description]]="","",DATE(Table1[[#This Row],[Year]],Table1[[#This Row],[Month]],1))</f>
        <v/>
      </c>
    </row>
    <row r="329" spans="8:10" x14ac:dyDescent="0.25">
      <c r="H329" t="str">
        <f>IF(Table1[[#This Row],[Description]]="","",IF(Table1[[#This Row],[Currency]]=$Q$2,$R$2,HLOOKUP(Table1[[#This Row],[Date]],Funds!$C$10:$GV$11,2,FALSE)))</f>
        <v/>
      </c>
      <c r="I329" s="217" t="str">
        <f>IF(Table1[[#This Row],[Description]]="","",Table1[[#This Row],[Value]]/Table1[[#This Row],[Conversion]])</f>
        <v/>
      </c>
      <c r="J329" s="50" t="str">
        <f>IF(Table1[[#This Row],[Description]]="","",DATE(Table1[[#This Row],[Year]],Table1[[#This Row],[Month]],1))</f>
        <v/>
      </c>
    </row>
    <row r="330" spans="8:10" x14ac:dyDescent="0.25">
      <c r="H330" t="str">
        <f>IF(Table1[[#This Row],[Description]]="","",IF(Table1[[#This Row],[Currency]]=$Q$2,$R$2,HLOOKUP(Table1[[#This Row],[Date]],Funds!$C$10:$GV$11,2,FALSE)))</f>
        <v/>
      </c>
      <c r="I330" s="217" t="str">
        <f>IF(Table1[[#This Row],[Description]]="","",Table1[[#This Row],[Value]]/Table1[[#This Row],[Conversion]])</f>
        <v/>
      </c>
      <c r="J330" s="50" t="str">
        <f>IF(Table1[[#This Row],[Description]]="","",DATE(Table1[[#This Row],[Year]],Table1[[#This Row],[Month]],1))</f>
        <v/>
      </c>
    </row>
    <row r="331" spans="8:10" x14ac:dyDescent="0.25">
      <c r="H331" t="str">
        <f>IF(Table1[[#This Row],[Description]]="","",IF(Table1[[#This Row],[Currency]]=$Q$2,$R$2,HLOOKUP(Table1[[#This Row],[Date]],Funds!$C$10:$GV$11,2,FALSE)))</f>
        <v/>
      </c>
      <c r="I331" s="217" t="str">
        <f>IF(Table1[[#This Row],[Description]]="","",Table1[[#This Row],[Value]]/Table1[[#This Row],[Conversion]])</f>
        <v/>
      </c>
      <c r="J331" s="50" t="str">
        <f>IF(Table1[[#This Row],[Description]]="","",DATE(Table1[[#This Row],[Year]],Table1[[#This Row],[Month]],1))</f>
        <v/>
      </c>
    </row>
    <row r="332" spans="8:10" x14ac:dyDescent="0.25">
      <c r="H332" t="str">
        <f>IF(Table1[[#This Row],[Description]]="","",IF(Table1[[#This Row],[Currency]]=$Q$2,$R$2,HLOOKUP(Table1[[#This Row],[Date]],Funds!$C$10:$GV$11,2,FALSE)))</f>
        <v/>
      </c>
      <c r="I332" s="217" t="str">
        <f>IF(Table1[[#This Row],[Description]]="","",Table1[[#This Row],[Value]]/Table1[[#This Row],[Conversion]])</f>
        <v/>
      </c>
      <c r="J332" s="50" t="str">
        <f>IF(Table1[[#This Row],[Description]]="","",DATE(Table1[[#This Row],[Year]],Table1[[#This Row],[Month]],1))</f>
        <v/>
      </c>
    </row>
    <row r="333" spans="8:10" x14ac:dyDescent="0.25">
      <c r="H333" t="str">
        <f>IF(Table1[[#This Row],[Description]]="","",IF(Table1[[#This Row],[Currency]]=$Q$2,$R$2,HLOOKUP(Table1[[#This Row],[Date]],Funds!$C$10:$GV$11,2,FALSE)))</f>
        <v/>
      </c>
      <c r="I333" s="217" t="str">
        <f>IF(Table1[[#This Row],[Description]]="","",Table1[[#This Row],[Value]]/Table1[[#This Row],[Conversion]])</f>
        <v/>
      </c>
      <c r="J333" s="50" t="str">
        <f>IF(Table1[[#This Row],[Description]]="","",DATE(Table1[[#This Row],[Year]],Table1[[#This Row],[Month]],1))</f>
        <v/>
      </c>
    </row>
    <row r="334" spans="8:10" x14ac:dyDescent="0.25">
      <c r="H334" t="str">
        <f>IF(Table1[[#This Row],[Description]]="","",IF(Table1[[#This Row],[Currency]]=$Q$2,$R$2,HLOOKUP(Table1[[#This Row],[Date]],Funds!$C$10:$GV$11,2,FALSE)))</f>
        <v/>
      </c>
      <c r="I334" s="217" t="str">
        <f>IF(Table1[[#This Row],[Description]]="","",Table1[[#This Row],[Value]]/Table1[[#This Row],[Conversion]])</f>
        <v/>
      </c>
      <c r="J334" s="50" t="str">
        <f>IF(Table1[[#This Row],[Description]]="","",DATE(Table1[[#This Row],[Year]],Table1[[#This Row],[Month]],1))</f>
        <v/>
      </c>
    </row>
    <row r="335" spans="8:10" x14ac:dyDescent="0.25">
      <c r="H335" t="str">
        <f>IF(Table1[[#This Row],[Description]]="","",IF(Table1[[#This Row],[Currency]]=$Q$2,$R$2,HLOOKUP(Table1[[#This Row],[Date]],Funds!$C$10:$GV$11,2,FALSE)))</f>
        <v/>
      </c>
      <c r="I335" s="217" t="str">
        <f>IF(Table1[[#This Row],[Description]]="","",Table1[[#This Row],[Value]]/Table1[[#This Row],[Conversion]])</f>
        <v/>
      </c>
      <c r="J335" s="50" t="str">
        <f>IF(Table1[[#This Row],[Description]]="","",DATE(Table1[[#This Row],[Year]],Table1[[#This Row],[Month]],1))</f>
        <v/>
      </c>
    </row>
    <row r="336" spans="8:10" x14ac:dyDescent="0.25">
      <c r="H336" t="str">
        <f>IF(Table1[[#This Row],[Description]]="","",IF(Table1[[#This Row],[Currency]]=$Q$2,$R$2,HLOOKUP(Table1[[#This Row],[Date]],Funds!$C$10:$GV$11,2,FALSE)))</f>
        <v/>
      </c>
      <c r="I336" s="217" t="str">
        <f>IF(Table1[[#This Row],[Description]]="","",Table1[[#This Row],[Value]]/Table1[[#This Row],[Conversion]])</f>
        <v/>
      </c>
      <c r="J336" s="50" t="str">
        <f>IF(Table1[[#This Row],[Description]]="","",DATE(Table1[[#This Row],[Year]],Table1[[#This Row],[Month]],1))</f>
        <v/>
      </c>
    </row>
    <row r="337" spans="8:10" x14ac:dyDescent="0.25">
      <c r="H337" t="str">
        <f>IF(Table1[[#This Row],[Description]]="","",IF(Table1[[#This Row],[Currency]]=$Q$2,$R$2,HLOOKUP(Table1[[#This Row],[Date]],Funds!$C$10:$GV$11,2,FALSE)))</f>
        <v/>
      </c>
      <c r="I337" s="217" t="str">
        <f>IF(Table1[[#This Row],[Description]]="","",Table1[[#This Row],[Value]]/Table1[[#This Row],[Conversion]])</f>
        <v/>
      </c>
      <c r="J337" s="50" t="str">
        <f>IF(Table1[[#This Row],[Description]]="","",DATE(Table1[[#This Row],[Year]],Table1[[#This Row],[Month]],1))</f>
        <v/>
      </c>
    </row>
    <row r="338" spans="8:10" x14ac:dyDescent="0.25">
      <c r="H338" t="str">
        <f>IF(Table1[[#This Row],[Description]]="","",IF(Table1[[#This Row],[Currency]]=$Q$2,$R$2,HLOOKUP(Table1[[#This Row],[Date]],Funds!$C$10:$GV$11,2,FALSE)))</f>
        <v/>
      </c>
      <c r="I338" s="217" t="str">
        <f>IF(Table1[[#This Row],[Description]]="","",Table1[[#This Row],[Value]]/Table1[[#This Row],[Conversion]])</f>
        <v/>
      </c>
      <c r="J338" s="50" t="str">
        <f>IF(Table1[[#This Row],[Description]]="","",DATE(Table1[[#This Row],[Year]],Table1[[#This Row],[Month]],1))</f>
        <v/>
      </c>
    </row>
    <row r="339" spans="8:10" x14ac:dyDescent="0.25">
      <c r="H339" t="str">
        <f>IF(Table1[[#This Row],[Description]]="","",IF(Table1[[#This Row],[Currency]]=$Q$2,$R$2,HLOOKUP(Table1[[#This Row],[Date]],Funds!$C$10:$GV$11,2,FALSE)))</f>
        <v/>
      </c>
      <c r="I339" s="217" t="str">
        <f>IF(Table1[[#This Row],[Description]]="","",Table1[[#This Row],[Value]]/Table1[[#This Row],[Conversion]])</f>
        <v/>
      </c>
      <c r="J339" s="50" t="str">
        <f>IF(Table1[[#This Row],[Description]]="","",DATE(Table1[[#This Row],[Year]],Table1[[#This Row],[Month]],1))</f>
        <v/>
      </c>
    </row>
    <row r="340" spans="8:10" x14ac:dyDescent="0.25">
      <c r="H340" t="str">
        <f>IF(Table1[[#This Row],[Description]]="","",IF(Table1[[#This Row],[Currency]]=$Q$2,$R$2,HLOOKUP(Table1[[#This Row],[Date]],Funds!$C$10:$GV$11,2,FALSE)))</f>
        <v/>
      </c>
      <c r="I340" s="217" t="str">
        <f>IF(Table1[[#This Row],[Description]]="","",Table1[[#This Row],[Value]]/Table1[[#This Row],[Conversion]])</f>
        <v/>
      </c>
      <c r="J340" s="50" t="str">
        <f>IF(Table1[[#This Row],[Description]]="","",DATE(Table1[[#This Row],[Year]],Table1[[#This Row],[Month]],1))</f>
        <v/>
      </c>
    </row>
    <row r="341" spans="8:10" x14ac:dyDescent="0.25">
      <c r="H341" t="str">
        <f>IF(Table1[[#This Row],[Description]]="","",IF(Table1[[#This Row],[Currency]]=$Q$2,$R$2,HLOOKUP(Table1[[#This Row],[Date]],Funds!$C$10:$GV$11,2,FALSE)))</f>
        <v/>
      </c>
      <c r="I341" s="217" t="str">
        <f>IF(Table1[[#This Row],[Description]]="","",Table1[[#This Row],[Value]]/Table1[[#This Row],[Conversion]])</f>
        <v/>
      </c>
      <c r="J341" s="50" t="str">
        <f>IF(Table1[[#This Row],[Description]]="","",DATE(Table1[[#This Row],[Year]],Table1[[#This Row],[Month]],1))</f>
        <v/>
      </c>
    </row>
    <row r="342" spans="8:10" x14ac:dyDescent="0.25">
      <c r="H342" t="str">
        <f>IF(Table1[[#This Row],[Description]]="","",IF(Table1[[#This Row],[Currency]]=$Q$2,$R$2,HLOOKUP(Table1[[#This Row],[Date]],Funds!$C$10:$GV$11,2,FALSE)))</f>
        <v/>
      </c>
      <c r="I342" s="217" t="str">
        <f>IF(Table1[[#This Row],[Description]]="","",Table1[[#This Row],[Value]]/Table1[[#This Row],[Conversion]])</f>
        <v/>
      </c>
      <c r="J342" s="50" t="str">
        <f>IF(Table1[[#This Row],[Description]]="","",DATE(Table1[[#This Row],[Year]],Table1[[#This Row],[Month]],1))</f>
        <v/>
      </c>
    </row>
    <row r="343" spans="8:10" x14ac:dyDescent="0.25">
      <c r="H343" t="str">
        <f>IF(Table1[[#This Row],[Description]]="","",IF(Table1[[#This Row],[Currency]]=$Q$2,$R$2,HLOOKUP(Table1[[#This Row],[Date]],Funds!$C$10:$GV$11,2,FALSE)))</f>
        <v/>
      </c>
      <c r="I343" s="217" t="str">
        <f>IF(Table1[[#This Row],[Description]]="","",Table1[[#This Row],[Value]]/Table1[[#This Row],[Conversion]])</f>
        <v/>
      </c>
      <c r="J343" s="50" t="str">
        <f>IF(Table1[[#This Row],[Description]]="","",DATE(Table1[[#This Row],[Year]],Table1[[#This Row],[Month]],1))</f>
        <v/>
      </c>
    </row>
    <row r="344" spans="8:10" x14ac:dyDescent="0.25">
      <c r="H344" t="str">
        <f>IF(Table1[[#This Row],[Description]]="","",IF(Table1[[#This Row],[Currency]]=$Q$2,$R$2,HLOOKUP(Table1[[#This Row],[Date]],Funds!$C$10:$GV$11,2,FALSE)))</f>
        <v/>
      </c>
      <c r="I344" s="217" t="str">
        <f>IF(Table1[[#This Row],[Description]]="","",Table1[[#This Row],[Value]]/Table1[[#This Row],[Conversion]])</f>
        <v/>
      </c>
      <c r="J344" s="50" t="str">
        <f>IF(Table1[[#This Row],[Description]]="","",DATE(Table1[[#This Row],[Year]],Table1[[#This Row],[Month]],1))</f>
        <v/>
      </c>
    </row>
    <row r="345" spans="8:10" x14ac:dyDescent="0.25">
      <c r="H345" t="str">
        <f>IF(Table1[[#This Row],[Description]]="","",IF(Table1[[#This Row],[Currency]]=$Q$2,$R$2,HLOOKUP(Table1[[#This Row],[Date]],Funds!$C$10:$GV$11,2,FALSE)))</f>
        <v/>
      </c>
      <c r="I345" s="217" t="str">
        <f>IF(Table1[[#This Row],[Description]]="","",Table1[[#This Row],[Value]]/Table1[[#This Row],[Conversion]])</f>
        <v/>
      </c>
      <c r="J345" s="50" t="str">
        <f>IF(Table1[[#This Row],[Description]]="","",DATE(Table1[[#This Row],[Year]],Table1[[#This Row],[Month]],1))</f>
        <v/>
      </c>
    </row>
    <row r="346" spans="8:10" x14ac:dyDescent="0.25">
      <c r="H346" t="str">
        <f>IF(Table1[[#This Row],[Description]]="","",IF(Table1[[#This Row],[Currency]]=$Q$2,$R$2,HLOOKUP(Table1[[#This Row],[Date]],Funds!$C$10:$GV$11,2,FALSE)))</f>
        <v/>
      </c>
      <c r="I346" s="217" t="str">
        <f>IF(Table1[[#This Row],[Description]]="","",Table1[[#This Row],[Value]]/Table1[[#This Row],[Conversion]])</f>
        <v/>
      </c>
      <c r="J346" s="50" t="str">
        <f>IF(Table1[[#This Row],[Description]]="","",DATE(Table1[[#This Row],[Year]],Table1[[#This Row],[Month]],1))</f>
        <v/>
      </c>
    </row>
    <row r="347" spans="8:10" x14ac:dyDescent="0.25">
      <c r="H347" t="str">
        <f>IF(Table1[[#This Row],[Description]]="","",IF(Table1[[#This Row],[Currency]]=$Q$2,$R$2,HLOOKUP(Table1[[#This Row],[Date]],Funds!$C$10:$GV$11,2,FALSE)))</f>
        <v/>
      </c>
      <c r="I347" s="217" t="str">
        <f>IF(Table1[[#This Row],[Description]]="","",Table1[[#This Row],[Value]]/Table1[[#This Row],[Conversion]])</f>
        <v/>
      </c>
      <c r="J347" s="50" t="str">
        <f>IF(Table1[[#This Row],[Description]]="","",DATE(Table1[[#This Row],[Year]],Table1[[#This Row],[Month]],1))</f>
        <v/>
      </c>
    </row>
    <row r="348" spans="8:10" x14ac:dyDescent="0.25">
      <c r="H348" t="str">
        <f>IF(Table1[[#This Row],[Description]]="","",IF(Table1[[#This Row],[Currency]]=$Q$2,$R$2,HLOOKUP(Table1[[#This Row],[Date]],Funds!$C$10:$GV$11,2,FALSE)))</f>
        <v/>
      </c>
      <c r="I348" s="217" t="str">
        <f>IF(Table1[[#This Row],[Description]]="","",Table1[[#This Row],[Value]]/Table1[[#This Row],[Conversion]])</f>
        <v/>
      </c>
      <c r="J348" s="50" t="str">
        <f>IF(Table1[[#This Row],[Description]]="","",DATE(Table1[[#This Row],[Year]],Table1[[#This Row],[Month]],1))</f>
        <v/>
      </c>
    </row>
    <row r="349" spans="8:10" x14ac:dyDescent="0.25">
      <c r="H349" t="str">
        <f>IF(Table1[[#This Row],[Description]]="","",IF(Table1[[#This Row],[Currency]]=$Q$2,$R$2,HLOOKUP(Table1[[#This Row],[Date]],Funds!$C$10:$GV$11,2,FALSE)))</f>
        <v/>
      </c>
      <c r="I349" s="217" t="str">
        <f>IF(Table1[[#This Row],[Description]]="","",Table1[[#This Row],[Value]]/Table1[[#This Row],[Conversion]])</f>
        <v/>
      </c>
      <c r="J349" s="50" t="str">
        <f>IF(Table1[[#This Row],[Description]]="","",DATE(Table1[[#This Row],[Year]],Table1[[#This Row],[Month]],1))</f>
        <v/>
      </c>
    </row>
    <row r="350" spans="8:10" x14ac:dyDescent="0.25">
      <c r="H350" t="str">
        <f>IF(Table1[[#This Row],[Description]]="","",IF(Table1[[#This Row],[Currency]]=$Q$2,$R$2,HLOOKUP(Table1[[#This Row],[Date]],Funds!$C$10:$GV$11,2,FALSE)))</f>
        <v/>
      </c>
      <c r="I350" s="217" t="str">
        <f>IF(Table1[[#This Row],[Description]]="","",Table1[[#This Row],[Value]]/Table1[[#This Row],[Conversion]])</f>
        <v/>
      </c>
      <c r="J350" s="50" t="str">
        <f>IF(Table1[[#This Row],[Description]]="","",DATE(Table1[[#This Row],[Year]],Table1[[#This Row],[Month]],1))</f>
        <v/>
      </c>
    </row>
    <row r="351" spans="8:10" x14ac:dyDescent="0.25">
      <c r="H351" t="str">
        <f>IF(Table1[[#This Row],[Description]]="","",IF(Table1[[#This Row],[Currency]]=$Q$2,$R$2,HLOOKUP(Table1[[#This Row],[Date]],Funds!$C$10:$GV$11,2,FALSE)))</f>
        <v/>
      </c>
      <c r="I351" s="217" t="str">
        <f>IF(Table1[[#This Row],[Description]]="","",Table1[[#This Row],[Value]]/Table1[[#This Row],[Conversion]])</f>
        <v/>
      </c>
      <c r="J351" s="50" t="str">
        <f>IF(Table1[[#This Row],[Description]]="","",DATE(Table1[[#This Row],[Year]],Table1[[#This Row],[Month]],1))</f>
        <v/>
      </c>
    </row>
    <row r="352" spans="8:10" x14ac:dyDescent="0.25">
      <c r="H352" t="str">
        <f>IF(Table1[[#This Row],[Description]]="","",IF(Table1[[#This Row],[Currency]]=$Q$2,$R$2,HLOOKUP(Table1[[#This Row],[Date]],Funds!$C$10:$GV$11,2,FALSE)))</f>
        <v/>
      </c>
      <c r="I352" s="217" t="str">
        <f>IF(Table1[[#This Row],[Description]]="","",Table1[[#This Row],[Value]]/Table1[[#This Row],[Conversion]])</f>
        <v/>
      </c>
      <c r="J352" s="50" t="str">
        <f>IF(Table1[[#This Row],[Description]]="","",DATE(Table1[[#This Row],[Year]],Table1[[#This Row],[Month]],1))</f>
        <v/>
      </c>
    </row>
    <row r="353" spans="8:10" x14ac:dyDescent="0.25">
      <c r="H353" t="str">
        <f>IF(Table1[[#This Row],[Description]]="","",IF(Table1[[#This Row],[Currency]]=$Q$2,$R$2,HLOOKUP(Table1[[#This Row],[Date]],Funds!$C$10:$GV$11,2,FALSE)))</f>
        <v/>
      </c>
      <c r="I353" s="217" t="str">
        <f>IF(Table1[[#This Row],[Description]]="","",Table1[[#This Row],[Value]]/Table1[[#This Row],[Conversion]])</f>
        <v/>
      </c>
      <c r="J353" s="50" t="str">
        <f>IF(Table1[[#This Row],[Description]]="","",DATE(Table1[[#This Row],[Year]],Table1[[#This Row],[Month]],1))</f>
        <v/>
      </c>
    </row>
    <row r="354" spans="8:10" x14ac:dyDescent="0.25">
      <c r="H354" t="str">
        <f>IF(Table1[[#This Row],[Description]]="","",IF(Table1[[#This Row],[Currency]]=$Q$2,$R$2,HLOOKUP(Table1[[#This Row],[Date]],Funds!$C$10:$GV$11,2,FALSE)))</f>
        <v/>
      </c>
      <c r="I354" s="217" t="str">
        <f>IF(Table1[[#This Row],[Description]]="","",Table1[[#This Row],[Value]]/Table1[[#This Row],[Conversion]])</f>
        <v/>
      </c>
      <c r="J354" s="50" t="str">
        <f>IF(Table1[[#This Row],[Description]]="","",DATE(Table1[[#This Row],[Year]],Table1[[#This Row],[Month]],1))</f>
        <v/>
      </c>
    </row>
    <row r="355" spans="8:10" x14ac:dyDescent="0.25">
      <c r="H355" t="str">
        <f>IF(Table1[[#This Row],[Description]]="","",IF(Table1[[#This Row],[Currency]]=$Q$2,$R$2,HLOOKUP(Table1[[#This Row],[Date]],Funds!$C$10:$GV$11,2,FALSE)))</f>
        <v/>
      </c>
      <c r="I355" s="217" t="str">
        <f>IF(Table1[[#This Row],[Description]]="","",Table1[[#This Row],[Value]]/Table1[[#This Row],[Conversion]])</f>
        <v/>
      </c>
      <c r="J355" s="50" t="str">
        <f>IF(Table1[[#This Row],[Description]]="","",DATE(Table1[[#This Row],[Year]],Table1[[#This Row],[Month]],1))</f>
        <v/>
      </c>
    </row>
    <row r="356" spans="8:10" x14ac:dyDescent="0.25">
      <c r="H356" t="str">
        <f>IF(Table1[[#This Row],[Description]]="","",IF(Table1[[#This Row],[Currency]]=$Q$2,$R$2,HLOOKUP(Table1[[#This Row],[Date]],Funds!$C$10:$GV$11,2,FALSE)))</f>
        <v/>
      </c>
      <c r="I356" s="217" t="str">
        <f>IF(Table1[[#This Row],[Description]]="","",Table1[[#This Row],[Value]]/Table1[[#This Row],[Conversion]])</f>
        <v/>
      </c>
      <c r="J356" s="50" t="str">
        <f>IF(Table1[[#This Row],[Description]]="","",DATE(Table1[[#This Row],[Year]],Table1[[#This Row],[Month]],1))</f>
        <v/>
      </c>
    </row>
    <row r="357" spans="8:10" x14ac:dyDescent="0.25">
      <c r="H357" t="str">
        <f>IF(Table1[[#This Row],[Description]]="","",IF(Table1[[#This Row],[Currency]]=$Q$2,$R$2,HLOOKUP(Table1[[#This Row],[Date]],Funds!$C$10:$GV$11,2,FALSE)))</f>
        <v/>
      </c>
      <c r="I357" s="217" t="str">
        <f>IF(Table1[[#This Row],[Description]]="","",Table1[[#This Row],[Value]]/Table1[[#This Row],[Conversion]])</f>
        <v/>
      </c>
      <c r="J357" s="50" t="str">
        <f>IF(Table1[[#This Row],[Description]]="","",DATE(Table1[[#This Row],[Year]],Table1[[#This Row],[Month]],1))</f>
        <v/>
      </c>
    </row>
    <row r="358" spans="8:10" x14ac:dyDescent="0.25">
      <c r="H358" t="str">
        <f>IF(Table1[[#This Row],[Description]]="","",IF(Table1[[#This Row],[Currency]]=$Q$2,$R$2,HLOOKUP(Table1[[#This Row],[Date]],Funds!$C$10:$GV$11,2,FALSE)))</f>
        <v/>
      </c>
      <c r="I358" s="217" t="str">
        <f>IF(Table1[[#This Row],[Description]]="","",Table1[[#This Row],[Value]]/Table1[[#This Row],[Conversion]])</f>
        <v/>
      </c>
      <c r="J358" s="50" t="str">
        <f>IF(Table1[[#This Row],[Description]]="","",DATE(Table1[[#This Row],[Year]],Table1[[#This Row],[Month]],1))</f>
        <v/>
      </c>
    </row>
    <row r="359" spans="8:10" x14ac:dyDescent="0.25">
      <c r="H359" t="str">
        <f>IF(Table1[[#This Row],[Description]]="","",IF(Table1[[#This Row],[Currency]]=$Q$2,$R$2,HLOOKUP(Table1[[#This Row],[Date]],Funds!$C$10:$GV$11,2,FALSE)))</f>
        <v/>
      </c>
      <c r="I359" s="217" t="str">
        <f>IF(Table1[[#This Row],[Description]]="","",Table1[[#This Row],[Value]]/Table1[[#This Row],[Conversion]])</f>
        <v/>
      </c>
      <c r="J359" s="50" t="str">
        <f>IF(Table1[[#This Row],[Description]]="","",DATE(Table1[[#This Row],[Year]],Table1[[#This Row],[Month]],1))</f>
        <v/>
      </c>
    </row>
    <row r="360" spans="8:10" x14ac:dyDescent="0.25">
      <c r="H360" t="str">
        <f>IF(Table1[[#This Row],[Description]]="","",IF(Table1[[#This Row],[Currency]]=$Q$2,$R$2,HLOOKUP(Table1[[#This Row],[Date]],Funds!$C$10:$GV$11,2,FALSE)))</f>
        <v/>
      </c>
      <c r="I360" s="217" t="str">
        <f>IF(Table1[[#This Row],[Description]]="","",Table1[[#This Row],[Value]]/Table1[[#This Row],[Conversion]])</f>
        <v/>
      </c>
      <c r="J360" s="50" t="str">
        <f>IF(Table1[[#This Row],[Description]]="","",DATE(Table1[[#This Row],[Year]],Table1[[#This Row],[Month]],1))</f>
        <v/>
      </c>
    </row>
    <row r="361" spans="8:10" x14ac:dyDescent="0.25">
      <c r="H361" t="str">
        <f>IF(Table1[[#This Row],[Description]]="","",IF(Table1[[#This Row],[Currency]]=$Q$2,$R$2,HLOOKUP(Table1[[#This Row],[Date]],Funds!$C$10:$GV$11,2,FALSE)))</f>
        <v/>
      </c>
      <c r="I361" s="217" t="str">
        <f>IF(Table1[[#This Row],[Description]]="","",Table1[[#This Row],[Value]]/Table1[[#This Row],[Conversion]])</f>
        <v/>
      </c>
      <c r="J361" s="50" t="str">
        <f>IF(Table1[[#This Row],[Description]]="","",DATE(Table1[[#This Row],[Year]],Table1[[#This Row],[Month]],1))</f>
        <v/>
      </c>
    </row>
    <row r="362" spans="8:10" x14ac:dyDescent="0.25">
      <c r="H362" t="str">
        <f>IF(Table1[[#This Row],[Description]]="","",IF(Table1[[#This Row],[Currency]]=$Q$2,$R$2,HLOOKUP(Table1[[#This Row],[Date]],Funds!$C$10:$GV$11,2,FALSE)))</f>
        <v/>
      </c>
      <c r="I362" s="217" t="str">
        <f>IF(Table1[[#This Row],[Description]]="","",Table1[[#This Row],[Value]]/Table1[[#This Row],[Conversion]])</f>
        <v/>
      </c>
      <c r="J362" s="50" t="str">
        <f>IF(Table1[[#This Row],[Description]]="","",DATE(Table1[[#This Row],[Year]],Table1[[#This Row],[Month]],1))</f>
        <v/>
      </c>
    </row>
    <row r="363" spans="8:10" x14ac:dyDescent="0.25">
      <c r="H363" t="str">
        <f>IF(Table1[[#This Row],[Description]]="","",IF(Table1[[#This Row],[Currency]]=$Q$2,$R$2,HLOOKUP(Table1[[#This Row],[Date]],Funds!$C$10:$GV$11,2,FALSE)))</f>
        <v/>
      </c>
      <c r="I363" s="217" t="str">
        <f>IF(Table1[[#This Row],[Description]]="","",Table1[[#This Row],[Value]]/Table1[[#This Row],[Conversion]])</f>
        <v/>
      </c>
      <c r="J363" s="50" t="str">
        <f>IF(Table1[[#This Row],[Description]]="","",DATE(Table1[[#This Row],[Year]],Table1[[#This Row],[Month]],1))</f>
        <v/>
      </c>
    </row>
    <row r="364" spans="8:10" x14ac:dyDescent="0.25">
      <c r="H364" t="str">
        <f>IF(Table1[[#This Row],[Description]]="","",IF(Table1[[#This Row],[Currency]]=$Q$2,$R$2,HLOOKUP(Table1[[#This Row],[Date]],Funds!$C$10:$GV$11,2,FALSE)))</f>
        <v/>
      </c>
      <c r="I364" s="217" t="str">
        <f>IF(Table1[[#This Row],[Description]]="","",Table1[[#This Row],[Value]]/Table1[[#This Row],[Conversion]])</f>
        <v/>
      </c>
      <c r="J364" s="50" t="str">
        <f>IF(Table1[[#This Row],[Description]]="","",DATE(Table1[[#This Row],[Year]],Table1[[#This Row],[Month]],1))</f>
        <v/>
      </c>
    </row>
    <row r="365" spans="8:10" x14ac:dyDescent="0.25">
      <c r="H365" t="str">
        <f>IF(Table1[[#This Row],[Description]]="","",IF(Table1[[#This Row],[Currency]]=$Q$2,$R$2,HLOOKUP(Table1[[#This Row],[Date]],Funds!$C$10:$GV$11,2,FALSE)))</f>
        <v/>
      </c>
      <c r="I365" s="217" t="str">
        <f>IF(Table1[[#This Row],[Description]]="","",Table1[[#This Row],[Value]]/Table1[[#This Row],[Conversion]])</f>
        <v/>
      </c>
      <c r="J365" s="50" t="str">
        <f>IF(Table1[[#This Row],[Description]]="","",DATE(Table1[[#This Row],[Year]],Table1[[#This Row],[Month]],1))</f>
        <v/>
      </c>
    </row>
    <row r="366" spans="8:10" x14ac:dyDescent="0.25">
      <c r="H366" t="str">
        <f>IF(Table1[[#This Row],[Description]]="","",IF(Table1[[#This Row],[Currency]]=$Q$2,$R$2,HLOOKUP(Table1[[#This Row],[Date]],Funds!$C$10:$GV$11,2,FALSE)))</f>
        <v/>
      </c>
      <c r="I366" s="217" t="str">
        <f>IF(Table1[[#This Row],[Description]]="","",Table1[[#This Row],[Value]]/Table1[[#This Row],[Conversion]])</f>
        <v/>
      </c>
      <c r="J366" s="50" t="str">
        <f>IF(Table1[[#This Row],[Description]]="","",DATE(Table1[[#This Row],[Year]],Table1[[#This Row],[Month]],1))</f>
        <v/>
      </c>
    </row>
    <row r="367" spans="8:10" x14ac:dyDescent="0.25">
      <c r="H367" t="str">
        <f>IF(Table1[[#This Row],[Description]]="","",IF(Table1[[#This Row],[Currency]]=$Q$2,$R$2,HLOOKUP(Table1[[#This Row],[Date]],Funds!$C$10:$GV$11,2,FALSE)))</f>
        <v/>
      </c>
      <c r="I367" s="217" t="str">
        <f>IF(Table1[[#This Row],[Description]]="","",Table1[[#This Row],[Value]]/Table1[[#This Row],[Conversion]])</f>
        <v/>
      </c>
      <c r="J367" s="50" t="str">
        <f>IF(Table1[[#This Row],[Description]]="","",DATE(Table1[[#This Row],[Year]],Table1[[#This Row],[Month]],1))</f>
        <v/>
      </c>
    </row>
    <row r="368" spans="8:10" x14ac:dyDescent="0.25">
      <c r="H368" t="str">
        <f>IF(Table1[[#This Row],[Description]]="","",IF(Table1[[#This Row],[Currency]]=$Q$2,$R$2,HLOOKUP(Table1[[#This Row],[Date]],Funds!$C$10:$GV$11,2,FALSE)))</f>
        <v/>
      </c>
      <c r="I368" s="217" t="str">
        <f>IF(Table1[[#This Row],[Description]]="","",Table1[[#This Row],[Value]]/Table1[[#This Row],[Conversion]])</f>
        <v/>
      </c>
      <c r="J368" s="50" t="str">
        <f>IF(Table1[[#This Row],[Description]]="","",DATE(Table1[[#This Row],[Year]],Table1[[#This Row],[Month]],1))</f>
        <v/>
      </c>
    </row>
    <row r="369" spans="8:10" x14ac:dyDescent="0.25">
      <c r="H369" t="str">
        <f>IF(Table1[[#This Row],[Description]]="","",IF(Table1[[#This Row],[Currency]]=$Q$2,$R$2,HLOOKUP(Table1[[#This Row],[Date]],Funds!$C$10:$GV$11,2,FALSE)))</f>
        <v/>
      </c>
      <c r="I369" s="217" t="str">
        <f>IF(Table1[[#This Row],[Description]]="","",Table1[[#This Row],[Value]]/Table1[[#This Row],[Conversion]])</f>
        <v/>
      </c>
      <c r="J369" s="50" t="str">
        <f>IF(Table1[[#This Row],[Description]]="","",DATE(Table1[[#This Row],[Year]],Table1[[#This Row],[Month]],1))</f>
        <v/>
      </c>
    </row>
    <row r="370" spans="8:10" x14ac:dyDescent="0.25">
      <c r="H370" t="str">
        <f>IF(Table1[[#This Row],[Description]]="","",IF(Table1[[#This Row],[Currency]]=$Q$2,$R$2,HLOOKUP(Table1[[#This Row],[Date]],Funds!$C$10:$GV$11,2,FALSE)))</f>
        <v/>
      </c>
      <c r="I370" s="217" t="str">
        <f>IF(Table1[[#This Row],[Description]]="","",Table1[[#This Row],[Value]]/Table1[[#This Row],[Conversion]])</f>
        <v/>
      </c>
      <c r="J370" s="50" t="str">
        <f>IF(Table1[[#This Row],[Description]]="","",DATE(Table1[[#This Row],[Year]],Table1[[#This Row],[Month]],1))</f>
        <v/>
      </c>
    </row>
    <row r="371" spans="8:10" x14ac:dyDescent="0.25">
      <c r="H371" t="str">
        <f>IF(Table1[[#This Row],[Description]]="","",IF(Table1[[#This Row],[Currency]]=$Q$2,$R$2,HLOOKUP(Table1[[#This Row],[Date]],Funds!$C$10:$GV$11,2,FALSE)))</f>
        <v/>
      </c>
      <c r="I371" s="217" t="str">
        <f>IF(Table1[[#This Row],[Description]]="","",Table1[[#This Row],[Value]]/Table1[[#This Row],[Conversion]])</f>
        <v/>
      </c>
      <c r="J371" s="50" t="str">
        <f>IF(Table1[[#This Row],[Description]]="","",DATE(Table1[[#This Row],[Year]],Table1[[#This Row],[Month]],1))</f>
        <v/>
      </c>
    </row>
    <row r="372" spans="8:10" x14ac:dyDescent="0.25">
      <c r="H372" t="str">
        <f>IF(Table1[[#This Row],[Description]]="","",IF(Table1[[#This Row],[Currency]]=$Q$2,$R$2,HLOOKUP(Table1[[#This Row],[Date]],Funds!$C$10:$GV$11,2,FALSE)))</f>
        <v/>
      </c>
      <c r="I372" s="217" t="str">
        <f>IF(Table1[[#This Row],[Description]]="","",Table1[[#This Row],[Value]]/Table1[[#This Row],[Conversion]])</f>
        <v/>
      </c>
      <c r="J372" s="50" t="str">
        <f>IF(Table1[[#This Row],[Description]]="","",DATE(Table1[[#This Row],[Year]],Table1[[#This Row],[Month]],1))</f>
        <v/>
      </c>
    </row>
    <row r="373" spans="8:10" x14ac:dyDescent="0.25">
      <c r="H373" t="str">
        <f>IF(Table1[[#This Row],[Description]]="","",IF(Table1[[#This Row],[Currency]]=$Q$2,$R$2,HLOOKUP(Table1[[#This Row],[Date]],Funds!$C$10:$GV$11,2,FALSE)))</f>
        <v/>
      </c>
      <c r="I373" s="217" t="str">
        <f>IF(Table1[[#This Row],[Description]]="","",Table1[[#This Row],[Value]]/Table1[[#This Row],[Conversion]])</f>
        <v/>
      </c>
      <c r="J373" s="50" t="str">
        <f>IF(Table1[[#This Row],[Description]]="","",DATE(Table1[[#This Row],[Year]],Table1[[#This Row],[Month]],1))</f>
        <v/>
      </c>
    </row>
    <row r="374" spans="8:10" x14ac:dyDescent="0.25">
      <c r="H374" t="str">
        <f>IF(Table1[[#This Row],[Description]]="","",IF(Table1[[#This Row],[Currency]]=$Q$2,$R$2,HLOOKUP(Table1[[#This Row],[Date]],Funds!$C$10:$GV$11,2,FALSE)))</f>
        <v/>
      </c>
      <c r="I374" s="217" t="str">
        <f>IF(Table1[[#This Row],[Description]]="","",Table1[[#This Row],[Value]]/Table1[[#This Row],[Conversion]])</f>
        <v/>
      </c>
      <c r="J374" s="50" t="str">
        <f>IF(Table1[[#This Row],[Description]]="","",DATE(Table1[[#This Row],[Year]],Table1[[#This Row],[Month]],1))</f>
        <v/>
      </c>
    </row>
    <row r="375" spans="8:10" x14ac:dyDescent="0.25">
      <c r="H375" t="str">
        <f>IF(Table1[[#This Row],[Description]]="","",IF(Table1[[#This Row],[Currency]]=$Q$2,$R$2,HLOOKUP(Table1[[#This Row],[Date]],Funds!$C$10:$GV$11,2,FALSE)))</f>
        <v/>
      </c>
      <c r="I375" s="217" t="str">
        <f>IF(Table1[[#This Row],[Description]]="","",Table1[[#This Row],[Value]]/Table1[[#This Row],[Conversion]])</f>
        <v/>
      </c>
      <c r="J375" s="50" t="str">
        <f>IF(Table1[[#This Row],[Description]]="","",DATE(Table1[[#This Row],[Year]],Table1[[#This Row],[Month]],1))</f>
        <v/>
      </c>
    </row>
    <row r="376" spans="8:10" x14ac:dyDescent="0.25">
      <c r="H376" t="str">
        <f>IF(Table1[[#This Row],[Description]]="","",IF(Table1[[#This Row],[Currency]]=$Q$2,$R$2,HLOOKUP(Table1[[#This Row],[Date]],Funds!$C$10:$GV$11,2,FALSE)))</f>
        <v/>
      </c>
      <c r="I376" s="217" t="str">
        <f>IF(Table1[[#This Row],[Description]]="","",Table1[[#This Row],[Value]]/Table1[[#This Row],[Conversion]])</f>
        <v/>
      </c>
      <c r="J376" s="50" t="str">
        <f>IF(Table1[[#This Row],[Description]]="","",DATE(Table1[[#This Row],[Year]],Table1[[#This Row],[Month]],1))</f>
        <v/>
      </c>
    </row>
    <row r="377" spans="8:10" x14ac:dyDescent="0.25">
      <c r="H377" t="str">
        <f>IF(Table1[[#This Row],[Description]]="","",IF(Table1[[#This Row],[Currency]]=$Q$2,$R$2,HLOOKUP(Table1[[#This Row],[Date]],Funds!$C$10:$GV$11,2,FALSE)))</f>
        <v/>
      </c>
      <c r="I377" s="217" t="str">
        <f>IF(Table1[[#This Row],[Description]]="","",Table1[[#This Row],[Value]]/Table1[[#This Row],[Conversion]])</f>
        <v/>
      </c>
      <c r="J377" s="50" t="str">
        <f>IF(Table1[[#This Row],[Description]]="","",DATE(Table1[[#This Row],[Year]],Table1[[#This Row],[Month]],1))</f>
        <v/>
      </c>
    </row>
    <row r="378" spans="8:10" x14ac:dyDescent="0.25">
      <c r="H378" t="str">
        <f>IF(Table1[[#This Row],[Description]]="","",IF(Table1[[#This Row],[Currency]]=$Q$2,$R$2,HLOOKUP(Table1[[#This Row],[Date]],Funds!$C$10:$GV$11,2,FALSE)))</f>
        <v/>
      </c>
      <c r="I378" s="217" t="str">
        <f>IF(Table1[[#This Row],[Description]]="","",Table1[[#This Row],[Value]]/Table1[[#This Row],[Conversion]])</f>
        <v/>
      </c>
      <c r="J378" s="50" t="str">
        <f>IF(Table1[[#This Row],[Description]]="","",DATE(Table1[[#This Row],[Year]],Table1[[#This Row],[Month]],1))</f>
        <v/>
      </c>
    </row>
    <row r="379" spans="8:10" x14ac:dyDescent="0.25">
      <c r="H379" t="str">
        <f>IF(Table1[[#This Row],[Description]]="","",IF(Table1[[#This Row],[Currency]]=$Q$2,$R$2,HLOOKUP(Table1[[#This Row],[Date]],Funds!$C$10:$GV$11,2,FALSE)))</f>
        <v/>
      </c>
      <c r="I379" s="217" t="str">
        <f>IF(Table1[[#This Row],[Description]]="","",Table1[[#This Row],[Value]]/Table1[[#This Row],[Conversion]])</f>
        <v/>
      </c>
      <c r="J379" s="50" t="str">
        <f>IF(Table1[[#This Row],[Description]]="","",DATE(Table1[[#This Row],[Year]],Table1[[#This Row],[Month]],1))</f>
        <v/>
      </c>
    </row>
    <row r="380" spans="8:10" x14ac:dyDescent="0.25">
      <c r="H380" t="str">
        <f>IF(Table1[[#This Row],[Description]]="","",IF(Table1[[#This Row],[Currency]]=$Q$2,$R$2,HLOOKUP(Table1[[#This Row],[Date]],Funds!$C$10:$GV$11,2,FALSE)))</f>
        <v/>
      </c>
      <c r="I380" s="217" t="str">
        <f>IF(Table1[[#This Row],[Description]]="","",Table1[[#This Row],[Value]]/Table1[[#This Row],[Conversion]])</f>
        <v/>
      </c>
      <c r="J380" s="50" t="str">
        <f>IF(Table1[[#This Row],[Description]]="","",DATE(Table1[[#This Row],[Year]],Table1[[#This Row],[Month]],1))</f>
        <v/>
      </c>
    </row>
    <row r="381" spans="8:10" x14ac:dyDescent="0.25">
      <c r="H381" t="str">
        <f>IF(Table1[[#This Row],[Description]]="","",IF(Table1[[#This Row],[Currency]]=$Q$2,$R$2,HLOOKUP(Table1[[#This Row],[Date]],Funds!$C$10:$GV$11,2,FALSE)))</f>
        <v/>
      </c>
      <c r="I381" s="217" t="str">
        <f>IF(Table1[[#This Row],[Description]]="","",Table1[[#This Row],[Value]]/Table1[[#This Row],[Conversion]])</f>
        <v/>
      </c>
      <c r="J381" s="50" t="str">
        <f>IF(Table1[[#This Row],[Description]]="","",DATE(Table1[[#This Row],[Year]],Table1[[#This Row],[Month]],1))</f>
        <v/>
      </c>
    </row>
    <row r="382" spans="8:10" x14ac:dyDescent="0.25">
      <c r="H382" t="str">
        <f>IF(Table1[[#This Row],[Description]]="","",IF(Table1[[#This Row],[Currency]]=$Q$2,$R$2,HLOOKUP(Table1[[#This Row],[Date]],Funds!$C$10:$GV$11,2,FALSE)))</f>
        <v/>
      </c>
      <c r="I382" s="217" t="str">
        <f>IF(Table1[[#This Row],[Description]]="","",Table1[[#This Row],[Value]]/Table1[[#This Row],[Conversion]])</f>
        <v/>
      </c>
      <c r="J382" s="50" t="str">
        <f>IF(Table1[[#This Row],[Description]]="","",DATE(Table1[[#This Row],[Year]],Table1[[#This Row],[Month]],1))</f>
        <v/>
      </c>
    </row>
    <row r="383" spans="8:10" x14ac:dyDescent="0.25">
      <c r="H383" t="str">
        <f>IF(Table1[[#This Row],[Description]]="","",IF(Table1[[#This Row],[Currency]]=$Q$2,$R$2,HLOOKUP(Table1[[#This Row],[Date]],Funds!$C$10:$GV$11,2,FALSE)))</f>
        <v/>
      </c>
      <c r="I383" s="217" t="str">
        <f>IF(Table1[[#This Row],[Description]]="","",Table1[[#This Row],[Value]]/Table1[[#This Row],[Conversion]])</f>
        <v/>
      </c>
      <c r="J383" s="50" t="str">
        <f>IF(Table1[[#This Row],[Description]]="","",DATE(Table1[[#This Row],[Year]],Table1[[#This Row],[Month]],1))</f>
        <v/>
      </c>
    </row>
    <row r="384" spans="8:10" x14ac:dyDescent="0.25">
      <c r="H384" t="str">
        <f>IF(Table1[[#This Row],[Description]]="","",IF(Table1[[#This Row],[Currency]]=$Q$2,$R$2,HLOOKUP(Table1[[#This Row],[Date]],Funds!$C$10:$GV$11,2,FALSE)))</f>
        <v/>
      </c>
      <c r="I384" s="217" t="str">
        <f>IF(Table1[[#This Row],[Description]]="","",Table1[[#This Row],[Value]]/Table1[[#This Row],[Conversion]])</f>
        <v/>
      </c>
      <c r="J384" s="50" t="str">
        <f>IF(Table1[[#This Row],[Description]]="","",DATE(Table1[[#This Row],[Year]],Table1[[#This Row],[Month]],1))</f>
        <v/>
      </c>
    </row>
    <row r="385" spans="8:10" x14ac:dyDescent="0.25">
      <c r="H385" t="str">
        <f>IF(Table1[[#This Row],[Description]]="","",IF(Table1[[#This Row],[Currency]]=$Q$2,$R$2,HLOOKUP(Table1[[#This Row],[Date]],Funds!$C$10:$GV$11,2,FALSE)))</f>
        <v/>
      </c>
      <c r="I385" s="217" t="str">
        <f>IF(Table1[[#This Row],[Description]]="","",Table1[[#This Row],[Value]]/Table1[[#This Row],[Conversion]])</f>
        <v/>
      </c>
      <c r="J385" s="50" t="str">
        <f>IF(Table1[[#This Row],[Description]]="","",DATE(Table1[[#This Row],[Year]],Table1[[#This Row],[Month]],1))</f>
        <v/>
      </c>
    </row>
    <row r="386" spans="8:10" x14ac:dyDescent="0.25">
      <c r="H386" t="str">
        <f>IF(Table1[[#This Row],[Description]]="","",IF(Table1[[#This Row],[Currency]]=$Q$2,$R$2,HLOOKUP(Table1[[#This Row],[Date]],Funds!$C$10:$GV$11,2,FALSE)))</f>
        <v/>
      </c>
      <c r="I386" s="217" t="str">
        <f>IF(Table1[[#This Row],[Description]]="","",Table1[[#This Row],[Value]]/Table1[[#This Row],[Conversion]])</f>
        <v/>
      </c>
      <c r="J386" s="50" t="str">
        <f>IF(Table1[[#This Row],[Description]]="","",DATE(Table1[[#This Row],[Year]],Table1[[#This Row],[Month]],1))</f>
        <v/>
      </c>
    </row>
    <row r="387" spans="8:10" x14ac:dyDescent="0.25">
      <c r="H387" t="str">
        <f>IF(Table1[[#This Row],[Description]]="","",IF(Table1[[#This Row],[Currency]]=$Q$2,$R$2,HLOOKUP(Table1[[#This Row],[Date]],Funds!$C$10:$GV$11,2,FALSE)))</f>
        <v/>
      </c>
      <c r="I387" s="217" t="str">
        <f>IF(Table1[[#This Row],[Description]]="","",Table1[[#This Row],[Value]]/Table1[[#This Row],[Conversion]])</f>
        <v/>
      </c>
      <c r="J387" s="50" t="str">
        <f>IF(Table1[[#This Row],[Description]]="","",DATE(Table1[[#This Row],[Year]],Table1[[#This Row],[Month]],1))</f>
        <v/>
      </c>
    </row>
    <row r="388" spans="8:10" x14ac:dyDescent="0.25">
      <c r="H388" t="str">
        <f>IF(Table1[[#This Row],[Description]]="","",IF(Table1[[#This Row],[Currency]]=$Q$2,$R$2,HLOOKUP(Table1[[#This Row],[Date]],Funds!$C$10:$GV$11,2,FALSE)))</f>
        <v/>
      </c>
      <c r="I388" s="217" t="str">
        <f>IF(Table1[[#This Row],[Description]]="","",Table1[[#This Row],[Value]]/Table1[[#This Row],[Conversion]])</f>
        <v/>
      </c>
      <c r="J388" s="50" t="str">
        <f>IF(Table1[[#This Row],[Description]]="","",DATE(Table1[[#This Row],[Year]],Table1[[#This Row],[Month]],1))</f>
        <v/>
      </c>
    </row>
    <row r="389" spans="8:10" x14ac:dyDescent="0.25">
      <c r="H389" t="str">
        <f>IF(Table1[[#This Row],[Description]]="","",IF(Table1[[#This Row],[Currency]]=$Q$2,$R$2,HLOOKUP(Table1[[#This Row],[Date]],Funds!$C$10:$GV$11,2,FALSE)))</f>
        <v/>
      </c>
      <c r="I389" s="217" t="str">
        <f>IF(Table1[[#This Row],[Description]]="","",Table1[[#This Row],[Value]]/Table1[[#This Row],[Conversion]])</f>
        <v/>
      </c>
      <c r="J389" s="50" t="str">
        <f>IF(Table1[[#This Row],[Description]]="","",DATE(Table1[[#This Row],[Year]],Table1[[#This Row],[Month]],1))</f>
        <v/>
      </c>
    </row>
    <row r="390" spans="8:10" x14ac:dyDescent="0.25">
      <c r="H390" t="str">
        <f>IF(Table1[[#This Row],[Description]]="","",IF(Table1[[#This Row],[Currency]]=$Q$2,$R$2,HLOOKUP(Table1[[#This Row],[Date]],Funds!$C$10:$GV$11,2,FALSE)))</f>
        <v/>
      </c>
      <c r="I390" s="217" t="str">
        <f>IF(Table1[[#This Row],[Description]]="","",Table1[[#This Row],[Value]]/Table1[[#This Row],[Conversion]])</f>
        <v/>
      </c>
      <c r="J390" s="50" t="str">
        <f>IF(Table1[[#This Row],[Description]]="","",DATE(Table1[[#This Row],[Year]],Table1[[#This Row],[Month]],1))</f>
        <v/>
      </c>
    </row>
    <row r="391" spans="8:10" x14ac:dyDescent="0.25">
      <c r="H391" t="str">
        <f>IF(Table1[[#This Row],[Description]]="","",IF(Table1[[#This Row],[Currency]]=$Q$2,$R$2,HLOOKUP(Table1[[#This Row],[Date]],Funds!$C$10:$GV$11,2,FALSE)))</f>
        <v/>
      </c>
      <c r="I391" s="217" t="str">
        <f>IF(Table1[[#This Row],[Description]]="","",Table1[[#This Row],[Value]]/Table1[[#This Row],[Conversion]])</f>
        <v/>
      </c>
      <c r="J391" s="50" t="str">
        <f>IF(Table1[[#This Row],[Description]]="","",DATE(Table1[[#This Row],[Year]],Table1[[#This Row],[Month]],1))</f>
        <v/>
      </c>
    </row>
    <row r="392" spans="8:10" x14ac:dyDescent="0.25">
      <c r="H392" t="str">
        <f>IF(Table1[[#This Row],[Description]]="","",IF(Table1[[#This Row],[Currency]]=$Q$2,$R$2,HLOOKUP(Table1[[#This Row],[Date]],Funds!$C$10:$GV$11,2,FALSE)))</f>
        <v/>
      </c>
      <c r="I392" s="217" t="str">
        <f>IF(Table1[[#This Row],[Description]]="","",Table1[[#This Row],[Value]]/Table1[[#This Row],[Conversion]])</f>
        <v/>
      </c>
      <c r="J392" s="50" t="str">
        <f>IF(Table1[[#This Row],[Description]]="","",DATE(Table1[[#This Row],[Year]],Table1[[#This Row],[Month]],1))</f>
        <v/>
      </c>
    </row>
    <row r="393" spans="8:10" x14ac:dyDescent="0.25">
      <c r="H393" t="str">
        <f>IF(Table1[[#This Row],[Description]]="","",IF(Table1[[#This Row],[Currency]]=$Q$2,$R$2,HLOOKUP(Table1[[#This Row],[Date]],Funds!$C$10:$GV$11,2,FALSE)))</f>
        <v/>
      </c>
      <c r="I393" s="217" t="str">
        <f>IF(Table1[[#This Row],[Description]]="","",Table1[[#This Row],[Value]]/Table1[[#This Row],[Conversion]])</f>
        <v/>
      </c>
      <c r="J393" s="50" t="str">
        <f>IF(Table1[[#This Row],[Description]]="","",DATE(Table1[[#This Row],[Year]],Table1[[#This Row],[Month]],1))</f>
        <v/>
      </c>
    </row>
    <row r="394" spans="8:10" x14ac:dyDescent="0.25">
      <c r="H394" t="str">
        <f>IF(Table1[[#This Row],[Description]]="","",IF(Table1[[#This Row],[Currency]]=$Q$2,$R$2,HLOOKUP(Table1[[#This Row],[Date]],Funds!$C$10:$GV$11,2,FALSE)))</f>
        <v/>
      </c>
      <c r="I394" s="217" t="str">
        <f>IF(Table1[[#This Row],[Description]]="","",Table1[[#This Row],[Value]]/Table1[[#This Row],[Conversion]])</f>
        <v/>
      </c>
      <c r="J394" s="50" t="str">
        <f>IF(Table1[[#This Row],[Description]]="","",DATE(Table1[[#This Row],[Year]],Table1[[#This Row],[Month]],1))</f>
        <v/>
      </c>
    </row>
    <row r="395" spans="8:10" x14ac:dyDescent="0.25">
      <c r="H395" t="str">
        <f>IF(Table1[[#This Row],[Description]]="","",IF(Table1[[#This Row],[Currency]]=$Q$2,$R$2,HLOOKUP(Table1[[#This Row],[Date]],Funds!$C$10:$GV$11,2,FALSE)))</f>
        <v/>
      </c>
      <c r="I395" s="217" t="str">
        <f>IF(Table1[[#This Row],[Description]]="","",Table1[[#This Row],[Value]]/Table1[[#This Row],[Conversion]])</f>
        <v/>
      </c>
      <c r="J395" s="50" t="str">
        <f>IF(Table1[[#This Row],[Description]]="","",DATE(Table1[[#This Row],[Year]],Table1[[#This Row],[Month]],1))</f>
        <v/>
      </c>
    </row>
    <row r="396" spans="8:10" x14ac:dyDescent="0.25">
      <c r="H396" t="str">
        <f>IF(Table1[[#This Row],[Description]]="","",IF(Table1[[#This Row],[Currency]]=$Q$2,$R$2,HLOOKUP(Table1[[#This Row],[Date]],Funds!$C$10:$GV$11,2,FALSE)))</f>
        <v/>
      </c>
      <c r="I396" s="217" t="str">
        <f>IF(Table1[[#This Row],[Description]]="","",Table1[[#This Row],[Value]]/Table1[[#This Row],[Conversion]])</f>
        <v/>
      </c>
      <c r="J396" s="50" t="str">
        <f>IF(Table1[[#This Row],[Description]]="","",DATE(Table1[[#This Row],[Year]],Table1[[#This Row],[Month]],1))</f>
        <v/>
      </c>
    </row>
    <row r="397" spans="8:10" x14ac:dyDescent="0.25">
      <c r="H397" t="str">
        <f>IF(Table1[[#This Row],[Description]]="","",IF(Table1[[#This Row],[Currency]]=$Q$2,$R$2,HLOOKUP(Table1[[#This Row],[Date]],Funds!$C$10:$GV$11,2,FALSE)))</f>
        <v/>
      </c>
      <c r="I397" s="217" t="str">
        <f>IF(Table1[[#This Row],[Description]]="","",Table1[[#This Row],[Value]]/Table1[[#This Row],[Conversion]])</f>
        <v/>
      </c>
      <c r="J397" s="50" t="str">
        <f>IF(Table1[[#This Row],[Description]]="","",DATE(Table1[[#This Row],[Year]],Table1[[#This Row],[Month]],1))</f>
        <v/>
      </c>
    </row>
    <row r="398" spans="8:10" x14ac:dyDescent="0.25">
      <c r="H398" t="str">
        <f>IF(Table1[[#This Row],[Description]]="","",IF(Table1[[#This Row],[Currency]]=$Q$2,$R$2,HLOOKUP(Table1[[#This Row],[Date]],Funds!$C$10:$GV$11,2,FALSE)))</f>
        <v/>
      </c>
      <c r="I398" s="217" t="str">
        <f>IF(Table1[[#This Row],[Description]]="","",Table1[[#This Row],[Value]]/Table1[[#This Row],[Conversion]])</f>
        <v/>
      </c>
      <c r="J398" s="50" t="str">
        <f>IF(Table1[[#This Row],[Description]]="","",DATE(Table1[[#This Row],[Year]],Table1[[#This Row],[Month]],1))</f>
        <v/>
      </c>
    </row>
    <row r="399" spans="8:10" x14ac:dyDescent="0.25">
      <c r="H399" t="str">
        <f>IF(Table1[[#This Row],[Description]]="","",IF(Table1[[#This Row],[Currency]]=$Q$2,$R$2,HLOOKUP(Table1[[#This Row],[Date]],Funds!$C$10:$GV$11,2,FALSE)))</f>
        <v/>
      </c>
      <c r="I399" s="217" t="str">
        <f>IF(Table1[[#This Row],[Description]]="","",Table1[[#This Row],[Value]]/Table1[[#This Row],[Conversion]])</f>
        <v/>
      </c>
      <c r="J399" s="50" t="str">
        <f>IF(Table1[[#This Row],[Description]]="","",DATE(Table1[[#This Row],[Year]],Table1[[#This Row],[Month]],1))</f>
        <v/>
      </c>
    </row>
    <row r="400" spans="8:10" x14ac:dyDescent="0.25">
      <c r="H400" t="str">
        <f>IF(Table1[[#This Row],[Description]]="","",IF(Table1[[#This Row],[Currency]]=$Q$2,$R$2,HLOOKUP(Table1[[#This Row],[Date]],Funds!$C$10:$GV$11,2,FALSE)))</f>
        <v/>
      </c>
      <c r="I400" s="217" t="str">
        <f>IF(Table1[[#This Row],[Description]]="","",Table1[[#This Row],[Value]]/Table1[[#This Row],[Conversion]])</f>
        <v/>
      </c>
      <c r="J400" s="50" t="str">
        <f>IF(Table1[[#This Row],[Description]]="","",DATE(Table1[[#This Row],[Year]],Table1[[#This Row],[Month]],1))</f>
        <v/>
      </c>
    </row>
    <row r="401" spans="8:10" x14ac:dyDescent="0.25">
      <c r="H401" t="str">
        <f>IF(Table1[[#This Row],[Description]]="","",IF(Table1[[#This Row],[Currency]]=$Q$2,$R$2,HLOOKUP(Table1[[#This Row],[Date]],Funds!$C$10:$GV$11,2,FALSE)))</f>
        <v/>
      </c>
      <c r="I401" s="217" t="str">
        <f>IF(Table1[[#This Row],[Description]]="","",Table1[[#This Row],[Value]]/Table1[[#This Row],[Conversion]])</f>
        <v/>
      </c>
      <c r="J401" s="50" t="str">
        <f>IF(Table1[[#This Row],[Description]]="","",DATE(Table1[[#This Row],[Year]],Table1[[#This Row],[Month]],1))</f>
        <v/>
      </c>
    </row>
    <row r="402" spans="8:10" x14ac:dyDescent="0.25">
      <c r="H402" t="str">
        <f>IF(Table1[[#This Row],[Description]]="","",IF(Table1[[#This Row],[Currency]]=$Q$2,$R$2,HLOOKUP(Table1[[#This Row],[Date]],Funds!$C$10:$GV$11,2,FALSE)))</f>
        <v/>
      </c>
      <c r="I402" s="217" t="str">
        <f>IF(Table1[[#This Row],[Description]]="","",Table1[[#This Row],[Value]]/Table1[[#This Row],[Conversion]])</f>
        <v/>
      </c>
      <c r="J402" s="50" t="str">
        <f>IF(Table1[[#This Row],[Description]]="","",DATE(Table1[[#This Row],[Year]],Table1[[#This Row],[Month]],1))</f>
        <v/>
      </c>
    </row>
    <row r="403" spans="8:10" x14ac:dyDescent="0.25">
      <c r="H403" t="str">
        <f>IF(Table1[[#This Row],[Description]]="","",IF(Table1[[#This Row],[Currency]]=$Q$2,$R$2,HLOOKUP(Table1[[#This Row],[Date]],Funds!$C$10:$GV$11,2,FALSE)))</f>
        <v/>
      </c>
      <c r="I403" s="217" t="str">
        <f>IF(Table1[[#This Row],[Description]]="","",Table1[[#This Row],[Value]]/Table1[[#This Row],[Conversion]])</f>
        <v/>
      </c>
      <c r="J403" s="50" t="str">
        <f>IF(Table1[[#This Row],[Description]]="","",DATE(Table1[[#This Row],[Year]],Table1[[#This Row],[Month]],1))</f>
        <v/>
      </c>
    </row>
    <row r="404" spans="8:10" x14ac:dyDescent="0.25">
      <c r="H404" t="str">
        <f>IF(Table1[[#This Row],[Description]]="","",IF(Table1[[#This Row],[Currency]]=$Q$2,$R$2,HLOOKUP(Table1[[#This Row],[Date]],Funds!$C$10:$GV$11,2,FALSE)))</f>
        <v/>
      </c>
      <c r="I404" s="217" t="str">
        <f>IF(Table1[[#This Row],[Description]]="","",Table1[[#This Row],[Value]]/Table1[[#This Row],[Conversion]])</f>
        <v/>
      </c>
      <c r="J404" s="50" t="str">
        <f>IF(Table1[[#This Row],[Description]]="","",DATE(Table1[[#This Row],[Year]],Table1[[#This Row],[Month]],1))</f>
        <v/>
      </c>
    </row>
    <row r="405" spans="8:10" x14ac:dyDescent="0.25">
      <c r="H405" t="str">
        <f>IF(Table1[[#This Row],[Description]]="","",IF(Table1[[#This Row],[Currency]]=$Q$2,$R$2,HLOOKUP(Table1[[#This Row],[Date]],Funds!$C$10:$GV$11,2,FALSE)))</f>
        <v/>
      </c>
      <c r="I405" s="217" t="str">
        <f>IF(Table1[[#This Row],[Description]]="","",Table1[[#This Row],[Value]]/Table1[[#This Row],[Conversion]])</f>
        <v/>
      </c>
      <c r="J405" s="50" t="str">
        <f>IF(Table1[[#This Row],[Description]]="","",DATE(Table1[[#This Row],[Year]],Table1[[#This Row],[Month]],1))</f>
        <v/>
      </c>
    </row>
    <row r="406" spans="8:10" x14ac:dyDescent="0.25">
      <c r="H406" t="str">
        <f>IF(Table1[[#This Row],[Description]]="","",IF(Table1[[#This Row],[Currency]]=$Q$2,$R$2,HLOOKUP(Table1[[#This Row],[Date]],Funds!$C$10:$GV$11,2,FALSE)))</f>
        <v/>
      </c>
      <c r="I406" s="217" t="str">
        <f>IF(Table1[[#This Row],[Description]]="","",Table1[[#This Row],[Value]]/Table1[[#This Row],[Conversion]])</f>
        <v/>
      </c>
      <c r="J406" s="50" t="str">
        <f>IF(Table1[[#This Row],[Description]]="","",DATE(Table1[[#This Row],[Year]],Table1[[#This Row],[Month]],1))</f>
        <v/>
      </c>
    </row>
    <row r="407" spans="8:10" x14ac:dyDescent="0.25">
      <c r="H407" t="str">
        <f>IF(Table1[[#This Row],[Description]]="","",IF(Table1[[#This Row],[Currency]]=$Q$2,$R$2,HLOOKUP(Table1[[#This Row],[Date]],Funds!$C$10:$GV$11,2,FALSE)))</f>
        <v/>
      </c>
      <c r="I407" s="217" t="str">
        <f>IF(Table1[[#This Row],[Description]]="","",Table1[[#This Row],[Value]]/Table1[[#This Row],[Conversion]])</f>
        <v/>
      </c>
      <c r="J407" s="50" t="str">
        <f>IF(Table1[[#This Row],[Description]]="","",DATE(Table1[[#This Row],[Year]],Table1[[#This Row],[Month]],1))</f>
        <v/>
      </c>
    </row>
    <row r="408" spans="8:10" x14ac:dyDescent="0.25">
      <c r="H408" t="str">
        <f>IF(Table1[[#This Row],[Description]]="","",IF(Table1[[#This Row],[Currency]]=$Q$2,$R$2,HLOOKUP(Table1[[#This Row],[Date]],Funds!$C$10:$GV$11,2,FALSE)))</f>
        <v/>
      </c>
      <c r="I408" s="217" t="str">
        <f>IF(Table1[[#This Row],[Description]]="","",Table1[[#This Row],[Value]]/Table1[[#This Row],[Conversion]])</f>
        <v/>
      </c>
      <c r="J408" s="50" t="str">
        <f>IF(Table1[[#This Row],[Description]]="","",DATE(Table1[[#This Row],[Year]],Table1[[#This Row],[Month]],1))</f>
        <v/>
      </c>
    </row>
    <row r="409" spans="8:10" x14ac:dyDescent="0.25">
      <c r="H409" t="str">
        <f>IF(Table1[[#This Row],[Description]]="","",IF(Table1[[#This Row],[Currency]]=$Q$2,$R$2,HLOOKUP(Table1[[#This Row],[Date]],Funds!$C$10:$GV$11,2,FALSE)))</f>
        <v/>
      </c>
      <c r="I409" s="217" t="str">
        <f>IF(Table1[[#This Row],[Description]]="","",Table1[[#This Row],[Value]]/Table1[[#This Row],[Conversion]])</f>
        <v/>
      </c>
      <c r="J409" s="50" t="str">
        <f>IF(Table1[[#This Row],[Description]]="","",DATE(Table1[[#This Row],[Year]],Table1[[#This Row],[Month]],1))</f>
        <v/>
      </c>
    </row>
    <row r="410" spans="8:10" x14ac:dyDescent="0.25">
      <c r="H410" t="str">
        <f>IF(Table1[[#This Row],[Description]]="","",IF(Table1[[#This Row],[Currency]]=$Q$2,$R$2,HLOOKUP(Table1[[#This Row],[Date]],Funds!$C$10:$GV$11,2,FALSE)))</f>
        <v/>
      </c>
      <c r="I410" s="217" t="str">
        <f>IF(Table1[[#This Row],[Description]]="","",Table1[[#This Row],[Value]]/Table1[[#This Row],[Conversion]])</f>
        <v/>
      </c>
      <c r="J410" s="50" t="str">
        <f>IF(Table1[[#This Row],[Description]]="","",DATE(Table1[[#This Row],[Year]],Table1[[#This Row],[Month]],1))</f>
        <v/>
      </c>
    </row>
    <row r="411" spans="8:10" x14ac:dyDescent="0.25">
      <c r="H411" t="str">
        <f>IF(Table1[[#This Row],[Description]]="","",IF(Table1[[#This Row],[Currency]]=$Q$2,$R$2,HLOOKUP(Table1[[#This Row],[Date]],Funds!$C$10:$GV$11,2,FALSE)))</f>
        <v/>
      </c>
      <c r="I411" s="217" t="str">
        <f>IF(Table1[[#This Row],[Description]]="","",Table1[[#This Row],[Value]]/Table1[[#This Row],[Conversion]])</f>
        <v/>
      </c>
      <c r="J411" s="50" t="str">
        <f>IF(Table1[[#This Row],[Description]]="","",DATE(Table1[[#This Row],[Year]],Table1[[#This Row],[Month]],1))</f>
        <v/>
      </c>
    </row>
    <row r="412" spans="8:10" x14ac:dyDescent="0.25">
      <c r="H412" t="str">
        <f>IF(Table1[[#This Row],[Description]]="","",IF(Table1[[#This Row],[Currency]]=$Q$2,$R$2,HLOOKUP(Table1[[#This Row],[Date]],Funds!$C$10:$GV$11,2,FALSE)))</f>
        <v/>
      </c>
      <c r="I412" s="217" t="str">
        <f>IF(Table1[[#This Row],[Description]]="","",Table1[[#This Row],[Value]]/Table1[[#This Row],[Conversion]])</f>
        <v/>
      </c>
      <c r="J412" s="50" t="str">
        <f>IF(Table1[[#This Row],[Description]]="","",DATE(Table1[[#This Row],[Year]],Table1[[#This Row],[Month]],1))</f>
        <v/>
      </c>
    </row>
    <row r="413" spans="8:10" x14ac:dyDescent="0.25">
      <c r="H413" t="str">
        <f>IF(Table1[[#This Row],[Description]]="","",IF(Table1[[#This Row],[Currency]]=$Q$2,$R$2,HLOOKUP(Table1[[#This Row],[Date]],Funds!$C$10:$GV$11,2,FALSE)))</f>
        <v/>
      </c>
      <c r="I413" s="217" t="str">
        <f>IF(Table1[[#This Row],[Description]]="","",Table1[[#This Row],[Value]]/Table1[[#This Row],[Conversion]])</f>
        <v/>
      </c>
      <c r="J413" s="50" t="str">
        <f>IF(Table1[[#This Row],[Description]]="","",DATE(Table1[[#This Row],[Year]],Table1[[#This Row],[Month]],1))</f>
        <v/>
      </c>
    </row>
    <row r="414" spans="8:10" x14ac:dyDescent="0.25">
      <c r="H414" t="str">
        <f>IF(Table1[[#This Row],[Description]]="","",IF(Table1[[#This Row],[Currency]]=$Q$2,$R$2,HLOOKUP(Table1[[#This Row],[Date]],Funds!$C$10:$GV$11,2,FALSE)))</f>
        <v/>
      </c>
      <c r="I414" s="217" t="str">
        <f>IF(Table1[[#This Row],[Description]]="","",Table1[[#This Row],[Value]]/Table1[[#This Row],[Conversion]])</f>
        <v/>
      </c>
      <c r="J414" s="50" t="str">
        <f>IF(Table1[[#This Row],[Description]]="","",DATE(Table1[[#This Row],[Year]],Table1[[#This Row],[Month]],1))</f>
        <v/>
      </c>
    </row>
    <row r="415" spans="8:10" x14ac:dyDescent="0.25">
      <c r="H415" t="str">
        <f>IF(Table1[[#This Row],[Description]]="","",IF(Table1[[#This Row],[Currency]]=$Q$2,$R$2,HLOOKUP(Table1[[#This Row],[Date]],Funds!$C$10:$GV$11,2,FALSE)))</f>
        <v/>
      </c>
      <c r="I415" s="217" t="str">
        <f>IF(Table1[[#This Row],[Description]]="","",Table1[[#This Row],[Value]]/Table1[[#This Row],[Conversion]])</f>
        <v/>
      </c>
      <c r="J415" s="50" t="str">
        <f>IF(Table1[[#This Row],[Description]]="","",DATE(Table1[[#This Row],[Year]],Table1[[#This Row],[Month]],1))</f>
        <v/>
      </c>
    </row>
    <row r="416" spans="8:10" x14ac:dyDescent="0.25">
      <c r="H416" t="str">
        <f>IF(Table1[[#This Row],[Description]]="","",IF(Table1[[#This Row],[Currency]]=$Q$2,$R$2,HLOOKUP(Table1[[#This Row],[Date]],Funds!$C$10:$GV$11,2,FALSE)))</f>
        <v/>
      </c>
      <c r="I416" s="217" t="str">
        <f>IF(Table1[[#This Row],[Description]]="","",Table1[[#This Row],[Value]]/Table1[[#This Row],[Conversion]])</f>
        <v/>
      </c>
      <c r="J416" s="50" t="str">
        <f>IF(Table1[[#This Row],[Description]]="","",DATE(Table1[[#This Row],[Year]],Table1[[#This Row],[Month]],1))</f>
        <v/>
      </c>
    </row>
    <row r="417" spans="8:10" x14ac:dyDescent="0.25">
      <c r="H417" t="str">
        <f>IF(Table1[[#This Row],[Description]]="","",IF(Table1[[#This Row],[Currency]]=$Q$2,$R$2,HLOOKUP(Table1[[#This Row],[Date]],Funds!$C$10:$GV$11,2,FALSE)))</f>
        <v/>
      </c>
      <c r="I417" s="217" t="str">
        <f>IF(Table1[[#This Row],[Description]]="","",Table1[[#This Row],[Value]]/Table1[[#This Row],[Conversion]])</f>
        <v/>
      </c>
      <c r="J417" s="50" t="str">
        <f>IF(Table1[[#This Row],[Description]]="","",DATE(Table1[[#This Row],[Year]],Table1[[#This Row],[Month]],1))</f>
        <v/>
      </c>
    </row>
    <row r="418" spans="8:10" x14ac:dyDescent="0.25">
      <c r="H418" t="str">
        <f>IF(Table1[[#This Row],[Description]]="","",IF(Table1[[#This Row],[Currency]]=$Q$2,$R$2,HLOOKUP(Table1[[#This Row],[Date]],Funds!$C$10:$GV$11,2,FALSE)))</f>
        <v/>
      </c>
      <c r="I418" s="217" t="str">
        <f>IF(Table1[[#This Row],[Description]]="","",Table1[[#This Row],[Value]]/Table1[[#This Row],[Conversion]])</f>
        <v/>
      </c>
      <c r="J418" s="50" t="str">
        <f>IF(Table1[[#This Row],[Description]]="","",DATE(Table1[[#This Row],[Year]],Table1[[#This Row],[Month]],1))</f>
        <v/>
      </c>
    </row>
    <row r="419" spans="8:10" x14ac:dyDescent="0.25">
      <c r="H419" t="str">
        <f>IF(Table1[[#This Row],[Description]]="","",IF(Table1[[#This Row],[Currency]]=$Q$2,$R$2,HLOOKUP(Table1[[#This Row],[Date]],Funds!$C$10:$GV$11,2,FALSE)))</f>
        <v/>
      </c>
      <c r="I419" s="217" t="str">
        <f>IF(Table1[[#This Row],[Description]]="","",Table1[[#This Row],[Value]]/Table1[[#This Row],[Conversion]])</f>
        <v/>
      </c>
      <c r="J419" s="50" t="str">
        <f>IF(Table1[[#This Row],[Description]]="","",DATE(Table1[[#This Row],[Year]],Table1[[#This Row],[Month]],1))</f>
        <v/>
      </c>
    </row>
    <row r="420" spans="8:10" x14ac:dyDescent="0.25">
      <c r="H420" t="str">
        <f>IF(Table1[[#This Row],[Description]]="","",IF(Table1[[#This Row],[Currency]]=$Q$2,$R$2,HLOOKUP(Table1[[#This Row],[Date]],Funds!$C$10:$GV$11,2,FALSE)))</f>
        <v/>
      </c>
      <c r="I420" s="217" t="str">
        <f>IF(Table1[[#This Row],[Description]]="","",Table1[[#This Row],[Value]]/Table1[[#This Row],[Conversion]])</f>
        <v/>
      </c>
      <c r="J420" s="50" t="str">
        <f>IF(Table1[[#This Row],[Description]]="","",DATE(Table1[[#This Row],[Year]],Table1[[#This Row],[Month]],1))</f>
        <v/>
      </c>
    </row>
    <row r="421" spans="8:10" x14ac:dyDescent="0.25">
      <c r="H421" t="str">
        <f>IF(Table1[[#This Row],[Description]]="","",IF(Table1[[#This Row],[Currency]]=$Q$2,$R$2,HLOOKUP(Table1[[#This Row],[Date]],Funds!$C$10:$GV$11,2,FALSE)))</f>
        <v/>
      </c>
      <c r="I421" s="217" t="str">
        <f>IF(Table1[[#This Row],[Description]]="","",Table1[[#This Row],[Value]]/Table1[[#This Row],[Conversion]])</f>
        <v/>
      </c>
      <c r="J421" s="50" t="str">
        <f>IF(Table1[[#This Row],[Description]]="","",DATE(Table1[[#This Row],[Year]],Table1[[#This Row],[Month]],1))</f>
        <v/>
      </c>
    </row>
    <row r="422" spans="8:10" x14ac:dyDescent="0.25">
      <c r="H422" t="str">
        <f>IF(Table1[[#This Row],[Description]]="","",IF(Table1[[#This Row],[Currency]]=$Q$2,$R$2,HLOOKUP(Table1[[#This Row],[Date]],Funds!$C$10:$GV$11,2,FALSE)))</f>
        <v/>
      </c>
      <c r="I422" s="217" t="str">
        <f>IF(Table1[[#This Row],[Description]]="","",Table1[[#This Row],[Value]]/Table1[[#This Row],[Conversion]])</f>
        <v/>
      </c>
      <c r="J422" s="50" t="str">
        <f>IF(Table1[[#This Row],[Description]]="","",DATE(Table1[[#This Row],[Year]],Table1[[#This Row],[Month]],1))</f>
        <v/>
      </c>
    </row>
    <row r="423" spans="8:10" x14ac:dyDescent="0.25">
      <c r="H423" t="str">
        <f>IF(Table1[[#This Row],[Description]]="","",IF(Table1[[#This Row],[Currency]]=$Q$2,$R$2,HLOOKUP(Table1[[#This Row],[Date]],Funds!$C$10:$GV$11,2,FALSE)))</f>
        <v/>
      </c>
      <c r="I423" s="217" t="str">
        <f>IF(Table1[[#This Row],[Description]]="","",Table1[[#This Row],[Value]]/Table1[[#This Row],[Conversion]])</f>
        <v/>
      </c>
      <c r="J423" s="50" t="str">
        <f>IF(Table1[[#This Row],[Description]]="","",DATE(Table1[[#This Row],[Year]],Table1[[#This Row],[Month]],1))</f>
        <v/>
      </c>
    </row>
    <row r="424" spans="8:10" x14ac:dyDescent="0.25">
      <c r="H424" t="str">
        <f>IF(Table1[[#This Row],[Description]]="","",IF(Table1[[#This Row],[Currency]]=$Q$2,$R$2,HLOOKUP(Table1[[#This Row],[Date]],Funds!$C$10:$GV$11,2,FALSE)))</f>
        <v/>
      </c>
      <c r="I424" s="217" t="str">
        <f>IF(Table1[[#This Row],[Description]]="","",Table1[[#This Row],[Value]]/Table1[[#This Row],[Conversion]])</f>
        <v/>
      </c>
      <c r="J424" s="50" t="str">
        <f>IF(Table1[[#This Row],[Description]]="","",DATE(Table1[[#This Row],[Year]],Table1[[#This Row],[Month]],1))</f>
        <v/>
      </c>
    </row>
    <row r="425" spans="8:10" x14ac:dyDescent="0.25">
      <c r="H425" t="str">
        <f>IF(Table1[[#This Row],[Description]]="","",IF(Table1[[#This Row],[Currency]]=$Q$2,$R$2,HLOOKUP(Table1[[#This Row],[Date]],Funds!$C$10:$GV$11,2,FALSE)))</f>
        <v/>
      </c>
      <c r="I425" s="217" t="str">
        <f>IF(Table1[[#This Row],[Description]]="","",Table1[[#This Row],[Value]]/Table1[[#This Row],[Conversion]])</f>
        <v/>
      </c>
      <c r="J425" s="50" t="str">
        <f>IF(Table1[[#This Row],[Description]]="","",DATE(Table1[[#This Row],[Year]],Table1[[#This Row],[Month]],1))</f>
        <v/>
      </c>
    </row>
    <row r="426" spans="8:10" x14ac:dyDescent="0.25">
      <c r="H426" t="str">
        <f>IF(Table1[[#This Row],[Description]]="","",IF(Table1[[#This Row],[Currency]]=$Q$2,$R$2,HLOOKUP(Table1[[#This Row],[Date]],Funds!$C$10:$GV$11,2,FALSE)))</f>
        <v/>
      </c>
      <c r="I426" s="217" t="str">
        <f>IF(Table1[[#This Row],[Description]]="","",Table1[[#This Row],[Value]]/Table1[[#This Row],[Conversion]])</f>
        <v/>
      </c>
      <c r="J426" s="50" t="str">
        <f>IF(Table1[[#This Row],[Description]]="","",DATE(Table1[[#This Row],[Year]],Table1[[#This Row],[Month]],1))</f>
        <v/>
      </c>
    </row>
    <row r="427" spans="8:10" x14ac:dyDescent="0.25">
      <c r="H427" t="str">
        <f>IF(Table1[[#This Row],[Description]]="","",IF(Table1[[#This Row],[Currency]]=$Q$2,$R$2,HLOOKUP(Table1[[#This Row],[Date]],Funds!$C$10:$GV$11,2,FALSE)))</f>
        <v/>
      </c>
      <c r="I427" s="217" t="str">
        <f>IF(Table1[[#This Row],[Description]]="","",Table1[[#This Row],[Value]]/Table1[[#This Row],[Conversion]])</f>
        <v/>
      </c>
      <c r="J427" s="50" t="str">
        <f>IF(Table1[[#This Row],[Description]]="","",DATE(Table1[[#This Row],[Year]],Table1[[#This Row],[Month]],1))</f>
        <v/>
      </c>
    </row>
    <row r="428" spans="8:10" x14ac:dyDescent="0.25">
      <c r="H428" t="str">
        <f>IF(Table1[[#This Row],[Description]]="","",IF(Table1[[#This Row],[Currency]]=$Q$2,$R$2,HLOOKUP(Table1[[#This Row],[Date]],Funds!$C$10:$GV$11,2,FALSE)))</f>
        <v/>
      </c>
      <c r="I428" s="217" t="str">
        <f>IF(Table1[[#This Row],[Description]]="","",Table1[[#This Row],[Value]]/Table1[[#This Row],[Conversion]])</f>
        <v/>
      </c>
      <c r="J428" s="50" t="str">
        <f>IF(Table1[[#This Row],[Description]]="","",DATE(Table1[[#This Row],[Year]],Table1[[#This Row],[Month]],1))</f>
        <v/>
      </c>
    </row>
    <row r="429" spans="8:10" x14ac:dyDescent="0.25">
      <c r="H429" t="str">
        <f>IF(Table1[[#This Row],[Description]]="","",IF(Table1[[#This Row],[Currency]]=$Q$2,$R$2,HLOOKUP(Table1[[#This Row],[Date]],Funds!$C$10:$GV$11,2,FALSE)))</f>
        <v/>
      </c>
      <c r="I429" s="217" t="str">
        <f>IF(Table1[[#This Row],[Description]]="","",Table1[[#This Row],[Value]]/Table1[[#This Row],[Conversion]])</f>
        <v/>
      </c>
      <c r="J429" s="50" t="str">
        <f>IF(Table1[[#This Row],[Description]]="","",DATE(Table1[[#This Row],[Year]],Table1[[#This Row],[Month]],1))</f>
        <v/>
      </c>
    </row>
    <row r="430" spans="8:10" x14ac:dyDescent="0.25">
      <c r="H430" t="str">
        <f>IF(Table1[[#This Row],[Description]]="","",IF(Table1[[#This Row],[Currency]]=$Q$2,$R$2,HLOOKUP(Table1[[#This Row],[Date]],Funds!$C$10:$GV$11,2,FALSE)))</f>
        <v/>
      </c>
      <c r="I430" s="217" t="str">
        <f>IF(Table1[[#This Row],[Description]]="","",Table1[[#This Row],[Value]]/Table1[[#This Row],[Conversion]])</f>
        <v/>
      </c>
      <c r="J430" s="50" t="str">
        <f>IF(Table1[[#This Row],[Description]]="","",DATE(Table1[[#This Row],[Year]],Table1[[#This Row],[Month]],1))</f>
        <v/>
      </c>
    </row>
    <row r="431" spans="8:10" x14ac:dyDescent="0.25">
      <c r="H431" t="str">
        <f>IF(Table1[[#This Row],[Description]]="","",IF(Table1[[#This Row],[Currency]]=$Q$2,$R$2,HLOOKUP(Table1[[#This Row],[Date]],Funds!$C$10:$GV$11,2,FALSE)))</f>
        <v/>
      </c>
      <c r="I431" s="217" t="str">
        <f>IF(Table1[[#This Row],[Description]]="","",Table1[[#This Row],[Value]]/Table1[[#This Row],[Conversion]])</f>
        <v/>
      </c>
      <c r="J431" s="50" t="str">
        <f>IF(Table1[[#This Row],[Description]]="","",DATE(Table1[[#This Row],[Year]],Table1[[#This Row],[Month]],1))</f>
        <v/>
      </c>
    </row>
    <row r="432" spans="8:10" x14ac:dyDescent="0.25">
      <c r="H432" t="str">
        <f>IF(Table1[[#This Row],[Description]]="","",IF(Table1[[#This Row],[Currency]]=$Q$2,$R$2,HLOOKUP(Table1[[#This Row],[Date]],Funds!$C$10:$GV$11,2,FALSE)))</f>
        <v/>
      </c>
      <c r="I432" s="217" t="str">
        <f>IF(Table1[[#This Row],[Description]]="","",Table1[[#This Row],[Value]]/Table1[[#This Row],[Conversion]])</f>
        <v/>
      </c>
      <c r="J432" s="50" t="str">
        <f>IF(Table1[[#This Row],[Description]]="","",DATE(Table1[[#This Row],[Year]],Table1[[#This Row],[Month]],1))</f>
        <v/>
      </c>
    </row>
    <row r="433" spans="8:10" x14ac:dyDescent="0.25">
      <c r="H433" t="str">
        <f>IF(Table1[[#This Row],[Description]]="","",IF(Table1[[#This Row],[Currency]]=$Q$2,$R$2,HLOOKUP(Table1[[#This Row],[Date]],Funds!$C$10:$GV$11,2,FALSE)))</f>
        <v/>
      </c>
      <c r="I433" s="217" t="str">
        <f>IF(Table1[[#This Row],[Description]]="","",Table1[[#This Row],[Value]]/Table1[[#This Row],[Conversion]])</f>
        <v/>
      </c>
      <c r="J433" s="50" t="str">
        <f>IF(Table1[[#This Row],[Description]]="","",DATE(Table1[[#This Row],[Year]],Table1[[#This Row],[Month]],1))</f>
        <v/>
      </c>
    </row>
    <row r="434" spans="8:10" x14ac:dyDescent="0.25">
      <c r="H434" t="str">
        <f>IF(Table1[[#This Row],[Description]]="","",IF(Table1[[#This Row],[Currency]]=$Q$2,$R$2,HLOOKUP(Table1[[#This Row],[Date]],Funds!$C$10:$GV$11,2,FALSE)))</f>
        <v/>
      </c>
      <c r="I434" s="217" t="str">
        <f>IF(Table1[[#This Row],[Description]]="","",Table1[[#This Row],[Value]]/Table1[[#This Row],[Conversion]])</f>
        <v/>
      </c>
      <c r="J434" s="50" t="str">
        <f>IF(Table1[[#This Row],[Description]]="","",DATE(Table1[[#This Row],[Year]],Table1[[#This Row],[Month]],1))</f>
        <v/>
      </c>
    </row>
    <row r="435" spans="8:10" x14ac:dyDescent="0.25">
      <c r="H435" t="str">
        <f>IF(Table1[[#This Row],[Description]]="","",IF(Table1[[#This Row],[Currency]]=$Q$2,$R$2,HLOOKUP(Table1[[#This Row],[Date]],Funds!$C$10:$GV$11,2,FALSE)))</f>
        <v/>
      </c>
      <c r="I435" s="217" t="str">
        <f>IF(Table1[[#This Row],[Description]]="","",Table1[[#This Row],[Value]]/Table1[[#This Row],[Conversion]])</f>
        <v/>
      </c>
      <c r="J435" s="50" t="str">
        <f>IF(Table1[[#This Row],[Description]]="","",DATE(Table1[[#This Row],[Year]],Table1[[#This Row],[Month]],1))</f>
        <v/>
      </c>
    </row>
    <row r="436" spans="8:10" x14ac:dyDescent="0.25">
      <c r="H436" t="str">
        <f>IF(Table1[[#This Row],[Description]]="","",IF(Table1[[#This Row],[Currency]]=$Q$2,$R$2,HLOOKUP(Table1[[#This Row],[Date]],Funds!$C$10:$GV$11,2,FALSE)))</f>
        <v/>
      </c>
      <c r="I436" s="217" t="str">
        <f>IF(Table1[[#This Row],[Description]]="","",Table1[[#This Row],[Value]]/Table1[[#This Row],[Conversion]])</f>
        <v/>
      </c>
      <c r="J436" s="50" t="str">
        <f>IF(Table1[[#This Row],[Description]]="","",DATE(Table1[[#This Row],[Year]],Table1[[#This Row],[Month]],1))</f>
        <v/>
      </c>
    </row>
    <row r="437" spans="8:10" x14ac:dyDescent="0.25">
      <c r="H437" t="str">
        <f>IF(Table1[[#This Row],[Description]]="","",IF(Table1[[#This Row],[Currency]]=$Q$2,$R$2,HLOOKUP(Table1[[#This Row],[Date]],Funds!$C$10:$GV$11,2,FALSE)))</f>
        <v/>
      </c>
      <c r="I437" s="217" t="str">
        <f>IF(Table1[[#This Row],[Description]]="","",Table1[[#This Row],[Value]]/Table1[[#This Row],[Conversion]])</f>
        <v/>
      </c>
      <c r="J437" s="50" t="str">
        <f>IF(Table1[[#This Row],[Description]]="","",DATE(Table1[[#This Row],[Year]],Table1[[#This Row],[Month]],1))</f>
        <v/>
      </c>
    </row>
    <row r="438" spans="8:10" x14ac:dyDescent="0.25">
      <c r="H438" t="str">
        <f>IF(Table1[[#This Row],[Description]]="","",IF(Table1[[#This Row],[Currency]]=$Q$2,$R$2,HLOOKUP(Table1[[#This Row],[Date]],Funds!$C$10:$GV$11,2,FALSE)))</f>
        <v/>
      </c>
      <c r="I438" s="217" t="str">
        <f>IF(Table1[[#This Row],[Description]]="","",Table1[[#This Row],[Value]]/Table1[[#This Row],[Conversion]])</f>
        <v/>
      </c>
      <c r="J438" s="50" t="str">
        <f>IF(Table1[[#This Row],[Description]]="","",DATE(Table1[[#This Row],[Year]],Table1[[#This Row],[Month]],1))</f>
        <v/>
      </c>
    </row>
    <row r="439" spans="8:10" x14ac:dyDescent="0.25">
      <c r="H439" t="str">
        <f>IF(Table1[[#This Row],[Description]]="","",IF(Table1[[#This Row],[Currency]]=$Q$2,$R$2,HLOOKUP(Table1[[#This Row],[Date]],Funds!$C$10:$GV$11,2,FALSE)))</f>
        <v/>
      </c>
      <c r="I439" s="217" t="str">
        <f>IF(Table1[[#This Row],[Description]]="","",Table1[[#This Row],[Value]]/Table1[[#This Row],[Conversion]])</f>
        <v/>
      </c>
      <c r="J439" s="50" t="str">
        <f>IF(Table1[[#This Row],[Description]]="","",DATE(Table1[[#This Row],[Year]],Table1[[#This Row],[Month]],1))</f>
        <v/>
      </c>
    </row>
    <row r="440" spans="8:10" x14ac:dyDescent="0.25">
      <c r="H440" t="str">
        <f>IF(Table1[[#This Row],[Description]]="","",IF(Table1[[#This Row],[Currency]]=$Q$2,$R$2,HLOOKUP(Table1[[#This Row],[Date]],Funds!$C$10:$GV$11,2,FALSE)))</f>
        <v/>
      </c>
      <c r="I440" s="217" t="str">
        <f>IF(Table1[[#This Row],[Description]]="","",Table1[[#This Row],[Value]]/Table1[[#This Row],[Conversion]])</f>
        <v/>
      </c>
      <c r="J440" s="50" t="str">
        <f>IF(Table1[[#This Row],[Description]]="","",DATE(Table1[[#This Row],[Year]],Table1[[#This Row],[Month]],1))</f>
        <v/>
      </c>
    </row>
    <row r="441" spans="8:10" x14ac:dyDescent="0.25">
      <c r="H441" t="str">
        <f>IF(Table1[[#This Row],[Description]]="","",IF(Table1[[#This Row],[Currency]]=$Q$2,$R$2,HLOOKUP(Table1[[#This Row],[Date]],Funds!$C$10:$GV$11,2,FALSE)))</f>
        <v/>
      </c>
      <c r="I441" s="217" t="str">
        <f>IF(Table1[[#This Row],[Description]]="","",Table1[[#This Row],[Value]]/Table1[[#This Row],[Conversion]])</f>
        <v/>
      </c>
      <c r="J441" s="50" t="str">
        <f>IF(Table1[[#This Row],[Description]]="","",DATE(Table1[[#This Row],[Year]],Table1[[#This Row],[Month]],1))</f>
        <v/>
      </c>
    </row>
    <row r="442" spans="8:10" x14ac:dyDescent="0.25">
      <c r="H442" t="str">
        <f>IF(Table1[[#This Row],[Description]]="","",IF(Table1[[#This Row],[Currency]]=$Q$2,$R$2,HLOOKUP(Table1[[#This Row],[Date]],Funds!$C$10:$GV$11,2,FALSE)))</f>
        <v/>
      </c>
      <c r="I442" s="217" t="str">
        <f>IF(Table1[[#This Row],[Description]]="","",Table1[[#This Row],[Value]]/Table1[[#This Row],[Conversion]])</f>
        <v/>
      </c>
      <c r="J442" s="50" t="str">
        <f>IF(Table1[[#This Row],[Description]]="","",DATE(Table1[[#This Row],[Year]],Table1[[#This Row],[Month]],1))</f>
        <v/>
      </c>
    </row>
    <row r="443" spans="8:10" x14ac:dyDescent="0.25">
      <c r="H443" t="str">
        <f>IF(Table1[[#This Row],[Description]]="","",IF(Table1[[#This Row],[Currency]]=$Q$2,$R$2,HLOOKUP(Table1[[#This Row],[Date]],Funds!$C$10:$GV$11,2,FALSE)))</f>
        <v/>
      </c>
      <c r="I443" s="217" t="str">
        <f>IF(Table1[[#This Row],[Description]]="","",Table1[[#This Row],[Value]]/Table1[[#This Row],[Conversion]])</f>
        <v/>
      </c>
      <c r="J443" s="50" t="str">
        <f>IF(Table1[[#This Row],[Description]]="","",DATE(Table1[[#This Row],[Year]],Table1[[#This Row],[Month]],1))</f>
        <v/>
      </c>
    </row>
    <row r="444" spans="8:10" x14ac:dyDescent="0.25">
      <c r="H444" t="str">
        <f>IF(Table1[[#This Row],[Description]]="","",IF(Table1[[#This Row],[Currency]]=$Q$2,$R$2,HLOOKUP(Table1[[#This Row],[Date]],Funds!$C$10:$GV$11,2,FALSE)))</f>
        <v/>
      </c>
      <c r="I444" s="217" t="str">
        <f>IF(Table1[[#This Row],[Description]]="","",Table1[[#This Row],[Value]]/Table1[[#This Row],[Conversion]])</f>
        <v/>
      </c>
      <c r="J444" s="50" t="str">
        <f>IF(Table1[[#This Row],[Description]]="","",DATE(Table1[[#This Row],[Year]],Table1[[#This Row],[Month]],1))</f>
        <v/>
      </c>
    </row>
    <row r="445" spans="8:10" x14ac:dyDescent="0.25">
      <c r="H445" t="str">
        <f>IF(Table1[[#This Row],[Description]]="","",IF(Table1[[#This Row],[Currency]]=$Q$2,$R$2,HLOOKUP(Table1[[#This Row],[Date]],Funds!$C$10:$GV$11,2,FALSE)))</f>
        <v/>
      </c>
      <c r="I445" s="217" t="str">
        <f>IF(Table1[[#This Row],[Description]]="","",Table1[[#This Row],[Value]]/Table1[[#This Row],[Conversion]])</f>
        <v/>
      </c>
      <c r="J445" s="50" t="str">
        <f>IF(Table1[[#This Row],[Description]]="","",DATE(Table1[[#This Row],[Year]],Table1[[#This Row],[Month]],1))</f>
        <v/>
      </c>
    </row>
    <row r="446" spans="8:10" x14ac:dyDescent="0.25">
      <c r="H446" t="str">
        <f>IF(Table1[[#This Row],[Description]]="","",IF(Table1[[#This Row],[Currency]]=$Q$2,$R$2,HLOOKUP(Table1[[#This Row],[Date]],Funds!$C$10:$GV$11,2,FALSE)))</f>
        <v/>
      </c>
      <c r="I446" s="217" t="str">
        <f>IF(Table1[[#This Row],[Description]]="","",Table1[[#This Row],[Value]]/Table1[[#This Row],[Conversion]])</f>
        <v/>
      </c>
      <c r="J446" s="50" t="str">
        <f>IF(Table1[[#This Row],[Description]]="","",DATE(Table1[[#This Row],[Year]],Table1[[#This Row],[Month]],1))</f>
        <v/>
      </c>
    </row>
    <row r="447" spans="8:10" x14ac:dyDescent="0.25">
      <c r="H447" t="str">
        <f>IF(Table1[[#This Row],[Description]]="","",IF(Table1[[#This Row],[Currency]]=$Q$2,$R$2,HLOOKUP(Table1[[#This Row],[Date]],Funds!$C$10:$GV$11,2,FALSE)))</f>
        <v/>
      </c>
      <c r="I447" s="217" t="str">
        <f>IF(Table1[[#This Row],[Description]]="","",Table1[[#This Row],[Value]]/Table1[[#This Row],[Conversion]])</f>
        <v/>
      </c>
      <c r="J447" s="50" t="str">
        <f>IF(Table1[[#This Row],[Description]]="","",DATE(Table1[[#This Row],[Year]],Table1[[#This Row],[Month]],1))</f>
        <v/>
      </c>
    </row>
    <row r="448" spans="8:10" x14ac:dyDescent="0.25">
      <c r="H448" t="str">
        <f>IF(Table1[[#This Row],[Description]]="","",IF(Table1[[#This Row],[Currency]]=$Q$2,$R$2,HLOOKUP(Table1[[#This Row],[Date]],Funds!$C$10:$GV$11,2,FALSE)))</f>
        <v/>
      </c>
      <c r="I448" s="217" t="str">
        <f>IF(Table1[[#This Row],[Description]]="","",Table1[[#This Row],[Value]]/Table1[[#This Row],[Conversion]])</f>
        <v/>
      </c>
      <c r="J448" s="50" t="str">
        <f>IF(Table1[[#This Row],[Description]]="","",DATE(Table1[[#This Row],[Year]],Table1[[#This Row],[Month]],1))</f>
        <v/>
      </c>
    </row>
    <row r="449" spans="8:10" x14ac:dyDescent="0.25">
      <c r="H449" t="str">
        <f>IF(Table1[[#This Row],[Description]]="","",IF(Table1[[#This Row],[Currency]]=$Q$2,$R$2,HLOOKUP(Table1[[#This Row],[Date]],Funds!$C$10:$GV$11,2,FALSE)))</f>
        <v/>
      </c>
      <c r="I449" s="217" t="str">
        <f>IF(Table1[[#This Row],[Description]]="","",Table1[[#This Row],[Value]]/Table1[[#This Row],[Conversion]])</f>
        <v/>
      </c>
      <c r="J449" s="50" t="str">
        <f>IF(Table1[[#This Row],[Description]]="","",DATE(Table1[[#This Row],[Year]],Table1[[#This Row],[Month]],1))</f>
        <v/>
      </c>
    </row>
    <row r="450" spans="8:10" x14ac:dyDescent="0.25">
      <c r="H450" t="str">
        <f>IF(Table1[[#This Row],[Description]]="","",IF(Table1[[#This Row],[Currency]]=$Q$2,$R$2,HLOOKUP(Table1[[#This Row],[Date]],Funds!$C$10:$GV$11,2,FALSE)))</f>
        <v/>
      </c>
      <c r="I450" s="217" t="str">
        <f>IF(Table1[[#This Row],[Description]]="","",Table1[[#This Row],[Value]]/Table1[[#This Row],[Conversion]])</f>
        <v/>
      </c>
      <c r="J450" s="50" t="str">
        <f>IF(Table1[[#This Row],[Description]]="","",DATE(Table1[[#This Row],[Year]],Table1[[#This Row],[Month]],1))</f>
        <v/>
      </c>
    </row>
    <row r="451" spans="8:10" x14ac:dyDescent="0.25">
      <c r="H451" t="str">
        <f>IF(Table1[[#This Row],[Description]]="","",IF(Table1[[#This Row],[Currency]]=$Q$2,$R$2,HLOOKUP(Table1[[#This Row],[Date]],Funds!$C$10:$GV$11,2,FALSE)))</f>
        <v/>
      </c>
      <c r="I451" s="217" t="str">
        <f>IF(Table1[[#This Row],[Description]]="","",Table1[[#This Row],[Value]]/Table1[[#This Row],[Conversion]])</f>
        <v/>
      </c>
      <c r="J451" s="50" t="str">
        <f>IF(Table1[[#This Row],[Description]]="","",DATE(Table1[[#This Row],[Year]],Table1[[#This Row],[Month]],1))</f>
        <v/>
      </c>
    </row>
    <row r="452" spans="8:10" x14ac:dyDescent="0.25">
      <c r="H452" t="str">
        <f>IF(Table1[[#This Row],[Description]]="","",IF(Table1[[#This Row],[Currency]]=$Q$2,$R$2,HLOOKUP(Table1[[#This Row],[Date]],Funds!$C$10:$GV$11,2,FALSE)))</f>
        <v/>
      </c>
      <c r="I452" s="217" t="str">
        <f>IF(Table1[[#This Row],[Description]]="","",Table1[[#This Row],[Value]]/Table1[[#This Row],[Conversion]])</f>
        <v/>
      </c>
      <c r="J452" s="50" t="str">
        <f>IF(Table1[[#This Row],[Description]]="","",DATE(Table1[[#This Row],[Year]],Table1[[#This Row],[Month]],1))</f>
        <v/>
      </c>
    </row>
    <row r="453" spans="8:10" x14ac:dyDescent="0.25">
      <c r="H453" t="str">
        <f>IF(Table1[[#This Row],[Description]]="","",IF(Table1[[#This Row],[Currency]]=$Q$2,$R$2,HLOOKUP(Table1[[#This Row],[Date]],Funds!$C$10:$GV$11,2,FALSE)))</f>
        <v/>
      </c>
      <c r="I453" s="217" t="str">
        <f>IF(Table1[[#This Row],[Description]]="","",Table1[[#This Row],[Value]]/Table1[[#This Row],[Conversion]])</f>
        <v/>
      </c>
      <c r="J453" s="50" t="str">
        <f>IF(Table1[[#This Row],[Description]]="","",DATE(Table1[[#This Row],[Year]],Table1[[#This Row],[Month]],1))</f>
        <v/>
      </c>
    </row>
    <row r="454" spans="8:10" x14ac:dyDescent="0.25">
      <c r="H454" t="str">
        <f>IF(Table1[[#This Row],[Description]]="","",IF(Table1[[#This Row],[Currency]]=$Q$2,$R$2,HLOOKUP(Table1[[#This Row],[Date]],Funds!$C$10:$GV$11,2,FALSE)))</f>
        <v/>
      </c>
      <c r="I454" s="217" t="str">
        <f>IF(Table1[[#This Row],[Description]]="","",Table1[[#This Row],[Value]]/Table1[[#This Row],[Conversion]])</f>
        <v/>
      </c>
      <c r="J454" s="50" t="str">
        <f>IF(Table1[[#This Row],[Description]]="","",DATE(Table1[[#This Row],[Year]],Table1[[#This Row],[Month]],1))</f>
        <v/>
      </c>
    </row>
    <row r="455" spans="8:10" x14ac:dyDescent="0.25">
      <c r="H455" t="str">
        <f>IF(Table1[[#This Row],[Description]]="","",IF(Table1[[#This Row],[Currency]]=$Q$2,$R$2,HLOOKUP(Table1[[#This Row],[Date]],Funds!$C$10:$GV$11,2,FALSE)))</f>
        <v/>
      </c>
      <c r="I455" s="217" t="str">
        <f>IF(Table1[[#This Row],[Description]]="","",Table1[[#This Row],[Value]]/Table1[[#This Row],[Conversion]])</f>
        <v/>
      </c>
      <c r="J455" s="50" t="str">
        <f>IF(Table1[[#This Row],[Description]]="","",DATE(Table1[[#This Row],[Year]],Table1[[#This Row],[Month]],1))</f>
        <v/>
      </c>
    </row>
    <row r="456" spans="8:10" x14ac:dyDescent="0.25">
      <c r="H456" t="str">
        <f>IF(Table1[[#This Row],[Description]]="","",IF(Table1[[#This Row],[Currency]]=$Q$2,$R$2,HLOOKUP(Table1[[#This Row],[Date]],Funds!$C$10:$GV$11,2,FALSE)))</f>
        <v/>
      </c>
      <c r="I456" s="217" t="str">
        <f>IF(Table1[[#This Row],[Description]]="","",Table1[[#This Row],[Value]]/Table1[[#This Row],[Conversion]])</f>
        <v/>
      </c>
      <c r="J456" s="50" t="str">
        <f>IF(Table1[[#This Row],[Description]]="","",DATE(Table1[[#This Row],[Year]],Table1[[#This Row],[Month]],1))</f>
        <v/>
      </c>
    </row>
    <row r="457" spans="8:10" x14ac:dyDescent="0.25">
      <c r="H457" t="str">
        <f>IF(Table1[[#This Row],[Description]]="","",IF(Table1[[#This Row],[Currency]]=$Q$2,$R$2,HLOOKUP(Table1[[#This Row],[Date]],Funds!$C$10:$GV$11,2,FALSE)))</f>
        <v/>
      </c>
      <c r="I457" s="217" t="str">
        <f>IF(Table1[[#This Row],[Description]]="","",Table1[[#This Row],[Value]]/Table1[[#This Row],[Conversion]])</f>
        <v/>
      </c>
      <c r="J457" s="50" t="str">
        <f>IF(Table1[[#This Row],[Description]]="","",DATE(Table1[[#This Row],[Year]],Table1[[#This Row],[Month]],1))</f>
        <v/>
      </c>
    </row>
    <row r="458" spans="8:10" x14ac:dyDescent="0.25">
      <c r="H458" t="str">
        <f>IF(Table1[[#This Row],[Description]]="","",IF(Table1[[#This Row],[Currency]]=$Q$2,$R$2,HLOOKUP(Table1[[#This Row],[Date]],Funds!$C$10:$GV$11,2,FALSE)))</f>
        <v/>
      </c>
      <c r="I458" s="217" t="str">
        <f>IF(Table1[[#This Row],[Description]]="","",Table1[[#This Row],[Value]]/Table1[[#This Row],[Conversion]])</f>
        <v/>
      </c>
      <c r="J458" s="50" t="str">
        <f>IF(Table1[[#This Row],[Description]]="","",DATE(Table1[[#This Row],[Year]],Table1[[#This Row],[Month]],1))</f>
        <v/>
      </c>
    </row>
    <row r="459" spans="8:10" x14ac:dyDescent="0.25">
      <c r="H459" t="str">
        <f>IF(Table1[[#This Row],[Description]]="","",IF(Table1[[#This Row],[Currency]]=$Q$2,$R$2,HLOOKUP(Table1[[#This Row],[Date]],Funds!$C$10:$GV$11,2,FALSE)))</f>
        <v/>
      </c>
      <c r="I459" s="217" t="str">
        <f>IF(Table1[[#This Row],[Description]]="","",Table1[[#This Row],[Value]]/Table1[[#This Row],[Conversion]])</f>
        <v/>
      </c>
      <c r="J459" s="50" t="str">
        <f>IF(Table1[[#This Row],[Description]]="","",DATE(Table1[[#This Row],[Year]],Table1[[#This Row],[Month]],1))</f>
        <v/>
      </c>
    </row>
    <row r="460" spans="8:10" x14ac:dyDescent="0.25">
      <c r="H460" t="str">
        <f>IF(Table1[[#This Row],[Description]]="","",IF(Table1[[#This Row],[Currency]]=$Q$2,$R$2,HLOOKUP(Table1[[#This Row],[Date]],Funds!$C$10:$GV$11,2,FALSE)))</f>
        <v/>
      </c>
      <c r="I460" s="217" t="str">
        <f>IF(Table1[[#This Row],[Description]]="","",Table1[[#This Row],[Value]]/Table1[[#This Row],[Conversion]])</f>
        <v/>
      </c>
      <c r="J460" s="50" t="str">
        <f>IF(Table1[[#This Row],[Description]]="","",DATE(Table1[[#This Row],[Year]],Table1[[#This Row],[Month]],1))</f>
        <v/>
      </c>
    </row>
    <row r="461" spans="8:10" x14ac:dyDescent="0.25">
      <c r="H461" t="str">
        <f>IF(Table1[[#This Row],[Description]]="","",IF(Table1[[#This Row],[Currency]]=$Q$2,$R$2,HLOOKUP(Table1[[#This Row],[Date]],Funds!$C$10:$GV$11,2,FALSE)))</f>
        <v/>
      </c>
      <c r="I461" s="217" t="str">
        <f>IF(Table1[[#This Row],[Description]]="","",Table1[[#This Row],[Value]]/Table1[[#This Row],[Conversion]])</f>
        <v/>
      </c>
      <c r="J461" s="50" t="str">
        <f>IF(Table1[[#This Row],[Description]]="","",DATE(Table1[[#This Row],[Year]],Table1[[#This Row],[Month]],1))</f>
        <v/>
      </c>
    </row>
    <row r="462" spans="8:10" x14ac:dyDescent="0.25">
      <c r="H462" t="str">
        <f>IF(Table1[[#This Row],[Description]]="","",IF(Table1[[#This Row],[Currency]]=$Q$2,$R$2,HLOOKUP(Table1[[#This Row],[Date]],Funds!$C$10:$GV$11,2,FALSE)))</f>
        <v/>
      </c>
      <c r="I462" s="217" t="str">
        <f>IF(Table1[[#This Row],[Description]]="","",Table1[[#This Row],[Value]]/Table1[[#This Row],[Conversion]])</f>
        <v/>
      </c>
      <c r="J462" s="50" t="str">
        <f>IF(Table1[[#This Row],[Description]]="","",DATE(Table1[[#This Row],[Year]],Table1[[#This Row],[Month]],1))</f>
        <v/>
      </c>
    </row>
    <row r="463" spans="8:10" x14ac:dyDescent="0.25">
      <c r="H463" t="str">
        <f>IF(Table1[[#This Row],[Description]]="","",IF(Table1[[#This Row],[Currency]]=$Q$2,$R$2,HLOOKUP(Table1[[#This Row],[Date]],Funds!$C$10:$GV$11,2,FALSE)))</f>
        <v/>
      </c>
      <c r="I463" s="217" t="str">
        <f>IF(Table1[[#This Row],[Description]]="","",Table1[[#This Row],[Value]]/Table1[[#This Row],[Conversion]])</f>
        <v/>
      </c>
      <c r="J463" s="50" t="str">
        <f>IF(Table1[[#This Row],[Description]]="","",DATE(Table1[[#This Row],[Year]],Table1[[#This Row],[Month]],1))</f>
        <v/>
      </c>
    </row>
    <row r="464" spans="8:10" x14ac:dyDescent="0.25">
      <c r="H464" t="str">
        <f>IF(Table1[[#This Row],[Description]]="","",IF(Table1[[#This Row],[Currency]]=$Q$2,$R$2,HLOOKUP(Table1[[#This Row],[Date]],Funds!$C$10:$GV$11,2,FALSE)))</f>
        <v/>
      </c>
      <c r="I464" s="217" t="str">
        <f>IF(Table1[[#This Row],[Description]]="","",Table1[[#This Row],[Value]]/Table1[[#This Row],[Conversion]])</f>
        <v/>
      </c>
      <c r="J464" s="50" t="str">
        <f>IF(Table1[[#This Row],[Description]]="","",DATE(Table1[[#This Row],[Year]],Table1[[#This Row],[Month]],1))</f>
        <v/>
      </c>
    </row>
    <row r="465" spans="8:10" x14ac:dyDescent="0.25">
      <c r="H465" t="str">
        <f>IF(Table1[[#This Row],[Description]]="","",IF(Table1[[#This Row],[Currency]]=$Q$2,$R$2,HLOOKUP(Table1[[#This Row],[Date]],Funds!$C$10:$GV$11,2,FALSE)))</f>
        <v/>
      </c>
      <c r="I465" s="217" t="str">
        <f>IF(Table1[[#This Row],[Description]]="","",Table1[[#This Row],[Value]]/Table1[[#This Row],[Conversion]])</f>
        <v/>
      </c>
      <c r="J465" s="50" t="str">
        <f>IF(Table1[[#This Row],[Description]]="","",DATE(Table1[[#This Row],[Year]],Table1[[#This Row],[Month]],1))</f>
        <v/>
      </c>
    </row>
    <row r="466" spans="8:10" x14ac:dyDescent="0.25">
      <c r="H466" t="str">
        <f>IF(Table1[[#This Row],[Description]]="","",IF(Table1[[#This Row],[Currency]]=$Q$2,$R$2,HLOOKUP(Table1[[#This Row],[Date]],Funds!$C$10:$GV$11,2,FALSE)))</f>
        <v/>
      </c>
      <c r="I466" s="217" t="str">
        <f>IF(Table1[[#This Row],[Description]]="","",Table1[[#This Row],[Value]]/Table1[[#This Row],[Conversion]])</f>
        <v/>
      </c>
      <c r="J466" s="50" t="str">
        <f>IF(Table1[[#This Row],[Description]]="","",DATE(Table1[[#This Row],[Year]],Table1[[#This Row],[Month]],1))</f>
        <v/>
      </c>
    </row>
    <row r="467" spans="8:10" x14ac:dyDescent="0.25">
      <c r="H467" t="str">
        <f>IF(Table1[[#This Row],[Description]]="","",IF(Table1[[#This Row],[Currency]]=$Q$2,$R$2,HLOOKUP(Table1[[#This Row],[Date]],Funds!$C$10:$GV$11,2,FALSE)))</f>
        <v/>
      </c>
      <c r="I467" s="217" t="str">
        <f>IF(Table1[[#This Row],[Description]]="","",Table1[[#This Row],[Value]]/Table1[[#This Row],[Conversion]])</f>
        <v/>
      </c>
      <c r="J467" s="50" t="str">
        <f>IF(Table1[[#This Row],[Description]]="","",DATE(Table1[[#This Row],[Year]],Table1[[#This Row],[Month]],1))</f>
        <v/>
      </c>
    </row>
    <row r="468" spans="8:10" x14ac:dyDescent="0.25">
      <c r="H468" t="str">
        <f>IF(Table1[[#This Row],[Description]]="","",IF(Table1[[#This Row],[Currency]]=$Q$2,$R$2,HLOOKUP(Table1[[#This Row],[Date]],Funds!$C$10:$GV$11,2,FALSE)))</f>
        <v/>
      </c>
      <c r="I468" s="217" t="str">
        <f>IF(Table1[[#This Row],[Description]]="","",Table1[[#This Row],[Value]]/Table1[[#This Row],[Conversion]])</f>
        <v/>
      </c>
      <c r="J468" s="50" t="str">
        <f>IF(Table1[[#This Row],[Description]]="","",DATE(Table1[[#This Row],[Year]],Table1[[#This Row],[Month]],1))</f>
        <v/>
      </c>
    </row>
    <row r="469" spans="8:10" x14ac:dyDescent="0.25">
      <c r="H469" t="str">
        <f>IF(Table1[[#This Row],[Description]]="","",IF(Table1[[#This Row],[Currency]]=$Q$2,$R$2,HLOOKUP(Table1[[#This Row],[Date]],Funds!$C$10:$GV$11,2,FALSE)))</f>
        <v/>
      </c>
      <c r="I469" s="217" t="str">
        <f>IF(Table1[[#This Row],[Description]]="","",Table1[[#This Row],[Value]]/Table1[[#This Row],[Conversion]])</f>
        <v/>
      </c>
      <c r="J469" s="50" t="str">
        <f>IF(Table1[[#This Row],[Description]]="","",DATE(Table1[[#This Row],[Year]],Table1[[#This Row],[Month]],1))</f>
        <v/>
      </c>
    </row>
    <row r="470" spans="8:10" x14ac:dyDescent="0.25">
      <c r="H470" t="str">
        <f>IF(Table1[[#This Row],[Description]]="","",IF(Table1[[#This Row],[Currency]]=$Q$2,$R$2,HLOOKUP(Table1[[#This Row],[Date]],Funds!$C$10:$GV$11,2,FALSE)))</f>
        <v/>
      </c>
      <c r="I470" s="217" t="str">
        <f>IF(Table1[[#This Row],[Description]]="","",Table1[[#This Row],[Value]]/Table1[[#This Row],[Conversion]])</f>
        <v/>
      </c>
      <c r="J470" s="50" t="str">
        <f>IF(Table1[[#This Row],[Description]]="","",DATE(Table1[[#This Row],[Year]],Table1[[#This Row],[Month]],1))</f>
        <v/>
      </c>
    </row>
    <row r="471" spans="8:10" x14ac:dyDescent="0.25">
      <c r="H471" t="str">
        <f>IF(Table1[[#This Row],[Description]]="","",IF(Table1[[#This Row],[Currency]]=$Q$2,$R$2,HLOOKUP(Table1[[#This Row],[Date]],Funds!$C$10:$GV$11,2,FALSE)))</f>
        <v/>
      </c>
      <c r="I471" s="217" t="str">
        <f>IF(Table1[[#This Row],[Description]]="","",Table1[[#This Row],[Value]]/Table1[[#This Row],[Conversion]])</f>
        <v/>
      </c>
      <c r="J471" s="50" t="str">
        <f>IF(Table1[[#This Row],[Description]]="","",DATE(Table1[[#This Row],[Year]],Table1[[#This Row],[Month]],1))</f>
        <v/>
      </c>
    </row>
    <row r="472" spans="8:10" x14ac:dyDescent="0.25">
      <c r="H472" t="str">
        <f>IF(Table1[[#This Row],[Description]]="","",IF(Table1[[#This Row],[Currency]]=$Q$2,$R$2,HLOOKUP(Table1[[#This Row],[Date]],Funds!$C$10:$GV$11,2,FALSE)))</f>
        <v/>
      </c>
      <c r="I472" s="217" t="str">
        <f>IF(Table1[[#This Row],[Description]]="","",Table1[[#This Row],[Value]]/Table1[[#This Row],[Conversion]])</f>
        <v/>
      </c>
      <c r="J472" s="50" t="str">
        <f>IF(Table1[[#This Row],[Description]]="","",DATE(Table1[[#This Row],[Year]],Table1[[#This Row],[Month]],1))</f>
        <v/>
      </c>
    </row>
    <row r="473" spans="8:10" x14ac:dyDescent="0.25">
      <c r="H473" t="str">
        <f>IF(Table1[[#This Row],[Description]]="","",IF(Table1[[#This Row],[Currency]]=$Q$2,$R$2,HLOOKUP(Table1[[#This Row],[Date]],Funds!$C$10:$GV$11,2,FALSE)))</f>
        <v/>
      </c>
      <c r="I473" s="217" t="str">
        <f>IF(Table1[[#This Row],[Description]]="","",Table1[[#This Row],[Value]]/Table1[[#This Row],[Conversion]])</f>
        <v/>
      </c>
      <c r="J473" s="50" t="str">
        <f>IF(Table1[[#This Row],[Description]]="","",DATE(Table1[[#This Row],[Year]],Table1[[#This Row],[Month]],1))</f>
        <v/>
      </c>
    </row>
    <row r="474" spans="8:10" x14ac:dyDescent="0.25">
      <c r="H474" t="str">
        <f>IF(Table1[[#This Row],[Description]]="","",IF(Table1[[#This Row],[Currency]]=$Q$2,$R$2,HLOOKUP(Table1[[#This Row],[Date]],Funds!$C$10:$GV$11,2,FALSE)))</f>
        <v/>
      </c>
      <c r="I474" s="217" t="str">
        <f>IF(Table1[[#This Row],[Description]]="","",Table1[[#This Row],[Value]]/Table1[[#This Row],[Conversion]])</f>
        <v/>
      </c>
      <c r="J474" s="50" t="str">
        <f>IF(Table1[[#This Row],[Description]]="","",DATE(Table1[[#This Row],[Year]],Table1[[#This Row],[Month]],1))</f>
        <v/>
      </c>
    </row>
    <row r="475" spans="8:10" x14ac:dyDescent="0.25">
      <c r="H475" t="str">
        <f>IF(Table1[[#This Row],[Description]]="","",IF(Table1[[#This Row],[Currency]]=$Q$2,$R$2,HLOOKUP(Table1[[#This Row],[Date]],Funds!$C$10:$GV$11,2,FALSE)))</f>
        <v/>
      </c>
      <c r="I475" s="217" t="str">
        <f>IF(Table1[[#This Row],[Description]]="","",Table1[[#This Row],[Value]]/Table1[[#This Row],[Conversion]])</f>
        <v/>
      </c>
      <c r="J475" s="50" t="str">
        <f>IF(Table1[[#This Row],[Description]]="","",DATE(Table1[[#This Row],[Year]],Table1[[#This Row],[Month]],1))</f>
        <v/>
      </c>
    </row>
    <row r="476" spans="8:10" x14ac:dyDescent="0.25">
      <c r="H476" t="str">
        <f>IF(Table1[[#This Row],[Description]]="","",IF(Table1[[#This Row],[Currency]]=$Q$2,$R$2,HLOOKUP(Table1[[#This Row],[Date]],Funds!$C$10:$GV$11,2,FALSE)))</f>
        <v/>
      </c>
      <c r="I476" s="217" t="str">
        <f>IF(Table1[[#This Row],[Description]]="","",Table1[[#This Row],[Value]]/Table1[[#This Row],[Conversion]])</f>
        <v/>
      </c>
      <c r="J476" s="50" t="str">
        <f>IF(Table1[[#This Row],[Description]]="","",DATE(Table1[[#This Row],[Year]],Table1[[#This Row],[Month]],1))</f>
        <v/>
      </c>
    </row>
    <row r="477" spans="8:10" x14ac:dyDescent="0.25">
      <c r="H477" t="str">
        <f>IF(Table1[[#This Row],[Description]]="","",IF(Table1[[#This Row],[Currency]]=$Q$2,$R$2,HLOOKUP(Table1[[#This Row],[Date]],Funds!$C$10:$GV$11,2,FALSE)))</f>
        <v/>
      </c>
      <c r="I477" s="217" t="str">
        <f>IF(Table1[[#This Row],[Description]]="","",Table1[[#This Row],[Value]]/Table1[[#This Row],[Conversion]])</f>
        <v/>
      </c>
      <c r="J477" s="50" t="str">
        <f>IF(Table1[[#This Row],[Description]]="","",DATE(Table1[[#This Row],[Year]],Table1[[#This Row],[Month]],1))</f>
        <v/>
      </c>
    </row>
    <row r="478" spans="8:10" x14ac:dyDescent="0.25">
      <c r="H478" t="str">
        <f>IF(Table1[[#This Row],[Description]]="","",IF(Table1[[#This Row],[Currency]]=$Q$2,$R$2,HLOOKUP(Table1[[#This Row],[Date]],Funds!$C$10:$GV$11,2,FALSE)))</f>
        <v/>
      </c>
      <c r="I478" s="217" t="str">
        <f>IF(Table1[[#This Row],[Description]]="","",Table1[[#This Row],[Value]]/Table1[[#This Row],[Conversion]])</f>
        <v/>
      </c>
      <c r="J478" s="50" t="str">
        <f>IF(Table1[[#This Row],[Description]]="","",DATE(Table1[[#This Row],[Year]],Table1[[#This Row],[Month]],1))</f>
        <v/>
      </c>
    </row>
    <row r="479" spans="8:10" x14ac:dyDescent="0.25">
      <c r="H479" t="str">
        <f>IF(Table1[[#This Row],[Description]]="","",IF(Table1[[#This Row],[Currency]]=$Q$2,$R$2,HLOOKUP(Table1[[#This Row],[Date]],Funds!$C$10:$GV$11,2,FALSE)))</f>
        <v/>
      </c>
      <c r="I479" s="217" t="str">
        <f>IF(Table1[[#This Row],[Description]]="","",Table1[[#This Row],[Value]]/Table1[[#This Row],[Conversion]])</f>
        <v/>
      </c>
      <c r="J479" s="50" t="str">
        <f>IF(Table1[[#This Row],[Description]]="","",DATE(Table1[[#This Row],[Year]],Table1[[#This Row],[Month]],1))</f>
        <v/>
      </c>
    </row>
    <row r="480" spans="8:10" x14ac:dyDescent="0.25">
      <c r="H480" t="str">
        <f>IF(Table1[[#This Row],[Description]]="","",IF(Table1[[#This Row],[Currency]]=$Q$2,$R$2,HLOOKUP(Table1[[#This Row],[Date]],Funds!$C$10:$GV$11,2,FALSE)))</f>
        <v/>
      </c>
      <c r="I480" s="217" t="str">
        <f>IF(Table1[[#This Row],[Description]]="","",Table1[[#This Row],[Value]]/Table1[[#This Row],[Conversion]])</f>
        <v/>
      </c>
      <c r="J480" s="50" t="str">
        <f>IF(Table1[[#This Row],[Description]]="","",DATE(Table1[[#This Row],[Year]],Table1[[#This Row],[Month]],1))</f>
        <v/>
      </c>
    </row>
    <row r="481" spans="8:10" x14ac:dyDescent="0.25">
      <c r="H481" t="str">
        <f>IF(Table1[[#This Row],[Description]]="","",IF(Table1[[#This Row],[Currency]]=$Q$2,$R$2,HLOOKUP(Table1[[#This Row],[Date]],Funds!$C$10:$GV$11,2,FALSE)))</f>
        <v/>
      </c>
      <c r="I481" s="217" t="str">
        <f>IF(Table1[[#This Row],[Description]]="","",Table1[[#This Row],[Value]]/Table1[[#This Row],[Conversion]])</f>
        <v/>
      </c>
      <c r="J481" s="50" t="str">
        <f>IF(Table1[[#This Row],[Description]]="","",DATE(Table1[[#This Row],[Year]],Table1[[#This Row],[Month]],1))</f>
        <v/>
      </c>
    </row>
    <row r="482" spans="8:10" x14ac:dyDescent="0.25">
      <c r="H482" t="str">
        <f>IF(Table1[[#This Row],[Description]]="","",IF(Table1[[#This Row],[Currency]]=$Q$2,$R$2,HLOOKUP(Table1[[#This Row],[Date]],Funds!$C$10:$GV$11,2,FALSE)))</f>
        <v/>
      </c>
      <c r="I482" s="217" t="str">
        <f>IF(Table1[[#This Row],[Description]]="","",Table1[[#This Row],[Value]]/Table1[[#This Row],[Conversion]])</f>
        <v/>
      </c>
      <c r="J482" s="50" t="str">
        <f>IF(Table1[[#This Row],[Description]]="","",DATE(Table1[[#This Row],[Year]],Table1[[#This Row],[Month]],1))</f>
        <v/>
      </c>
    </row>
    <row r="483" spans="8:10" x14ac:dyDescent="0.25">
      <c r="H483" t="str">
        <f>IF(Table1[[#This Row],[Description]]="","",IF(Table1[[#This Row],[Currency]]=$Q$2,$R$2,HLOOKUP(Table1[[#This Row],[Date]],Funds!$C$10:$GV$11,2,FALSE)))</f>
        <v/>
      </c>
      <c r="I483" s="217" t="str">
        <f>IF(Table1[[#This Row],[Description]]="","",Table1[[#This Row],[Value]]/Table1[[#This Row],[Conversion]])</f>
        <v/>
      </c>
      <c r="J483" s="50" t="str">
        <f>IF(Table1[[#This Row],[Description]]="","",DATE(Table1[[#This Row],[Year]],Table1[[#This Row],[Month]],1))</f>
        <v/>
      </c>
    </row>
    <row r="484" spans="8:10" x14ac:dyDescent="0.25">
      <c r="H484" t="str">
        <f>IF(Table1[[#This Row],[Description]]="","",IF(Table1[[#This Row],[Currency]]=$Q$2,$R$2,HLOOKUP(Table1[[#This Row],[Date]],Funds!$C$10:$GV$11,2,FALSE)))</f>
        <v/>
      </c>
      <c r="I484" s="217" t="str">
        <f>IF(Table1[[#This Row],[Description]]="","",Table1[[#This Row],[Value]]/Table1[[#This Row],[Conversion]])</f>
        <v/>
      </c>
      <c r="J484" s="50" t="str">
        <f>IF(Table1[[#This Row],[Description]]="","",DATE(Table1[[#This Row],[Year]],Table1[[#This Row],[Month]],1))</f>
        <v/>
      </c>
    </row>
    <row r="485" spans="8:10" x14ac:dyDescent="0.25">
      <c r="H485" t="str">
        <f>IF(Table1[[#This Row],[Description]]="","",IF(Table1[[#This Row],[Currency]]=$Q$2,$R$2,HLOOKUP(Table1[[#This Row],[Date]],Funds!$C$10:$GV$11,2,FALSE)))</f>
        <v/>
      </c>
      <c r="I485" s="217" t="str">
        <f>IF(Table1[[#This Row],[Description]]="","",Table1[[#This Row],[Value]]/Table1[[#This Row],[Conversion]])</f>
        <v/>
      </c>
      <c r="J485" s="50" t="str">
        <f>IF(Table1[[#This Row],[Description]]="","",DATE(Table1[[#This Row],[Year]],Table1[[#This Row],[Month]],1))</f>
        <v/>
      </c>
    </row>
    <row r="486" spans="8:10" x14ac:dyDescent="0.25">
      <c r="H486" t="str">
        <f>IF(Table1[[#This Row],[Description]]="","",IF(Table1[[#This Row],[Currency]]=$Q$2,$R$2,HLOOKUP(Table1[[#This Row],[Date]],Funds!$C$10:$GV$11,2,FALSE)))</f>
        <v/>
      </c>
      <c r="I486" s="217" t="str">
        <f>IF(Table1[[#This Row],[Description]]="","",Table1[[#This Row],[Value]]/Table1[[#This Row],[Conversion]])</f>
        <v/>
      </c>
      <c r="J486" s="50" t="str">
        <f>IF(Table1[[#This Row],[Description]]="","",DATE(Table1[[#This Row],[Year]],Table1[[#This Row],[Month]],1))</f>
        <v/>
      </c>
    </row>
    <row r="487" spans="8:10" x14ac:dyDescent="0.25">
      <c r="H487" t="str">
        <f>IF(Table1[[#This Row],[Description]]="","",IF(Table1[[#This Row],[Currency]]=$Q$2,$R$2,HLOOKUP(Table1[[#This Row],[Date]],Funds!$C$10:$GV$11,2,FALSE)))</f>
        <v/>
      </c>
      <c r="I487" s="217" t="str">
        <f>IF(Table1[[#This Row],[Description]]="","",Table1[[#This Row],[Value]]/Table1[[#This Row],[Conversion]])</f>
        <v/>
      </c>
      <c r="J487" s="50" t="str">
        <f>IF(Table1[[#This Row],[Description]]="","",DATE(Table1[[#This Row],[Year]],Table1[[#This Row],[Month]],1))</f>
        <v/>
      </c>
    </row>
    <row r="488" spans="8:10" x14ac:dyDescent="0.25">
      <c r="H488" t="str">
        <f>IF(Table1[[#This Row],[Description]]="","",IF(Table1[[#This Row],[Currency]]=$Q$2,$R$2,HLOOKUP(Table1[[#This Row],[Date]],Funds!$C$10:$GV$11,2,FALSE)))</f>
        <v/>
      </c>
      <c r="I488" s="217" t="str">
        <f>IF(Table1[[#This Row],[Description]]="","",Table1[[#This Row],[Value]]/Table1[[#This Row],[Conversion]])</f>
        <v/>
      </c>
      <c r="J488" s="50" t="str">
        <f>IF(Table1[[#This Row],[Description]]="","",DATE(Table1[[#This Row],[Year]],Table1[[#This Row],[Month]],1))</f>
        <v/>
      </c>
    </row>
    <row r="489" spans="8:10" x14ac:dyDescent="0.25">
      <c r="H489" t="str">
        <f>IF(Table1[[#This Row],[Description]]="","",IF(Table1[[#This Row],[Currency]]=$Q$2,$R$2,HLOOKUP(Table1[[#This Row],[Date]],Funds!$C$10:$GV$11,2,FALSE)))</f>
        <v/>
      </c>
      <c r="I489" s="217" t="str">
        <f>IF(Table1[[#This Row],[Description]]="","",Table1[[#This Row],[Value]]/Table1[[#This Row],[Conversion]])</f>
        <v/>
      </c>
      <c r="J489" s="50" t="str">
        <f>IF(Table1[[#This Row],[Description]]="","",DATE(Table1[[#This Row],[Year]],Table1[[#This Row],[Month]],1))</f>
        <v/>
      </c>
    </row>
    <row r="490" spans="8:10" x14ac:dyDescent="0.25">
      <c r="H490" t="str">
        <f>IF(Table1[[#This Row],[Description]]="","",IF(Table1[[#This Row],[Currency]]=$Q$2,$R$2,HLOOKUP(Table1[[#This Row],[Date]],Funds!$C$10:$GV$11,2,FALSE)))</f>
        <v/>
      </c>
      <c r="I490" s="217" t="str">
        <f>IF(Table1[[#This Row],[Description]]="","",Table1[[#This Row],[Value]]/Table1[[#This Row],[Conversion]])</f>
        <v/>
      </c>
      <c r="J490" s="50" t="str">
        <f>IF(Table1[[#This Row],[Description]]="","",DATE(Table1[[#This Row],[Year]],Table1[[#This Row],[Month]],1))</f>
        <v/>
      </c>
    </row>
    <row r="491" spans="8:10" x14ac:dyDescent="0.25">
      <c r="H491" t="str">
        <f>IF(Table1[[#This Row],[Description]]="","",IF(Table1[[#This Row],[Currency]]=$Q$2,$R$2,HLOOKUP(Table1[[#This Row],[Date]],Funds!$C$10:$GV$11,2,FALSE)))</f>
        <v/>
      </c>
      <c r="I491" s="217" t="str">
        <f>IF(Table1[[#This Row],[Description]]="","",Table1[[#This Row],[Value]]/Table1[[#This Row],[Conversion]])</f>
        <v/>
      </c>
      <c r="J491" s="50" t="str">
        <f>IF(Table1[[#This Row],[Description]]="","",DATE(Table1[[#This Row],[Year]],Table1[[#This Row],[Month]],1))</f>
        <v/>
      </c>
    </row>
    <row r="492" spans="8:10" x14ac:dyDescent="0.25">
      <c r="H492" t="str">
        <f>IF(Table1[[#This Row],[Description]]="","",IF(Table1[[#This Row],[Currency]]=$Q$2,$R$2,HLOOKUP(Table1[[#This Row],[Date]],Funds!$C$10:$GV$11,2,FALSE)))</f>
        <v/>
      </c>
      <c r="I492" s="217" t="str">
        <f>IF(Table1[[#This Row],[Description]]="","",Table1[[#This Row],[Value]]/Table1[[#This Row],[Conversion]])</f>
        <v/>
      </c>
      <c r="J492" s="50" t="str">
        <f>IF(Table1[[#This Row],[Description]]="","",DATE(Table1[[#This Row],[Year]],Table1[[#This Row],[Month]],1))</f>
        <v/>
      </c>
    </row>
    <row r="493" spans="8:10" x14ac:dyDescent="0.25">
      <c r="H493" t="str">
        <f>IF(Table1[[#This Row],[Description]]="","",IF(Table1[[#This Row],[Currency]]=$Q$2,$R$2,HLOOKUP(Table1[[#This Row],[Date]],Funds!$C$10:$GV$11,2,FALSE)))</f>
        <v/>
      </c>
      <c r="I493" s="217" t="str">
        <f>IF(Table1[[#This Row],[Description]]="","",Table1[[#This Row],[Value]]/Table1[[#This Row],[Conversion]])</f>
        <v/>
      </c>
      <c r="J493" s="50" t="str">
        <f>IF(Table1[[#This Row],[Description]]="","",DATE(Table1[[#This Row],[Year]],Table1[[#This Row],[Month]],1))</f>
        <v/>
      </c>
    </row>
    <row r="494" spans="8:10" x14ac:dyDescent="0.25">
      <c r="H494" t="str">
        <f>IF(Table1[[#This Row],[Description]]="","",IF(Table1[[#This Row],[Currency]]=$Q$2,$R$2,HLOOKUP(Table1[[#This Row],[Date]],Funds!$C$10:$GV$11,2,FALSE)))</f>
        <v/>
      </c>
      <c r="I494" s="217" t="str">
        <f>IF(Table1[[#This Row],[Description]]="","",Table1[[#This Row],[Value]]/Table1[[#This Row],[Conversion]])</f>
        <v/>
      </c>
      <c r="J494" s="50" t="str">
        <f>IF(Table1[[#This Row],[Description]]="","",DATE(Table1[[#This Row],[Year]],Table1[[#This Row],[Month]],1))</f>
        <v/>
      </c>
    </row>
    <row r="495" spans="8:10" x14ac:dyDescent="0.25">
      <c r="H495" t="str">
        <f>IF(Table1[[#This Row],[Description]]="","",IF(Table1[[#This Row],[Currency]]=$Q$2,$R$2,HLOOKUP(Table1[[#This Row],[Date]],Funds!$C$10:$GV$11,2,FALSE)))</f>
        <v/>
      </c>
      <c r="I495" s="217" t="str">
        <f>IF(Table1[[#This Row],[Description]]="","",Table1[[#This Row],[Value]]/Table1[[#This Row],[Conversion]])</f>
        <v/>
      </c>
      <c r="J495" s="50" t="str">
        <f>IF(Table1[[#This Row],[Description]]="","",DATE(Table1[[#This Row],[Year]],Table1[[#This Row],[Month]],1))</f>
        <v/>
      </c>
    </row>
    <row r="496" spans="8:10" x14ac:dyDescent="0.25">
      <c r="H496" t="str">
        <f>IF(Table1[[#This Row],[Description]]="","",IF(Table1[[#This Row],[Currency]]=$Q$2,$R$2,HLOOKUP(Table1[[#This Row],[Date]],Funds!$C$10:$GV$11,2,FALSE)))</f>
        <v/>
      </c>
      <c r="I496" s="217" t="str">
        <f>IF(Table1[[#This Row],[Description]]="","",Table1[[#This Row],[Value]]/Table1[[#This Row],[Conversion]])</f>
        <v/>
      </c>
      <c r="J496" s="50" t="str">
        <f>IF(Table1[[#This Row],[Description]]="","",DATE(Table1[[#This Row],[Year]],Table1[[#This Row],[Month]],1))</f>
        <v/>
      </c>
    </row>
    <row r="497" spans="8:10" x14ac:dyDescent="0.25">
      <c r="H497" t="str">
        <f>IF(Table1[[#This Row],[Description]]="","",IF(Table1[[#This Row],[Currency]]=$Q$2,$R$2,HLOOKUP(Table1[[#This Row],[Date]],Funds!$C$10:$GV$11,2,FALSE)))</f>
        <v/>
      </c>
      <c r="I497" s="217" t="str">
        <f>IF(Table1[[#This Row],[Description]]="","",Table1[[#This Row],[Value]]/Table1[[#This Row],[Conversion]])</f>
        <v/>
      </c>
      <c r="J497" s="50" t="str">
        <f>IF(Table1[[#This Row],[Description]]="","",DATE(Table1[[#This Row],[Year]],Table1[[#This Row],[Month]],1))</f>
        <v/>
      </c>
    </row>
    <row r="498" spans="8:10" x14ac:dyDescent="0.25">
      <c r="H498" t="str">
        <f>IF(Table1[[#This Row],[Description]]="","",IF(Table1[[#This Row],[Currency]]=$Q$2,$R$2,HLOOKUP(Table1[[#This Row],[Date]],Funds!$C$10:$GV$11,2,FALSE)))</f>
        <v/>
      </c>
      <c r="I498" s="217" t="str">
        <f>IF(Table1[[#This Row],[Description]]="","",Table1[[#This Row],[Value]]/Table1[[#This Row],[Conversion]])</f>
        <v/>
      </c>
      <c r="J498" s="50" t="str">
        <f>IF(Table1[[#This Row],[Description]]="","",DATE(Table1[[#This Row],[Year]],Table1[[#This Row],[Month]],1))</f>
        <v/>
      </c>
    </row>
    <row r="499" spans="8:10" x14ac:dyDescent="0.25">
      <c r="H499" t="str">
        <f>IF(Table1[[#This Row],[Description]]="","",IF(Table1[[#This Row],[Currency]]=$Q$2,$R$2,HLOOKUP(Table1[[#This Row],[Date]],Funds!$C$10:$GV$11,2,FALSE)))</f>
        <v/>
      </c>
      <c r="I499" s="217" t="str">
        <f>IF(Table1[[#This Row],[Description]]="","",Table1[[#This Row],[Value]]/Table1[[#This Row],[Conversion]])</f>
        <v/>
      </c>
      <c r="J499" s="50" t="str">
        <f>IF(Table1[[#This Row],[Description]]="","",DATE(Table1[[#This Row],[Year]],Table1[[#This Row],[Month]],1))</f>
        <v/>
      </c>
    </row>
    <row r="500" spans="8:10" x14ac:dyDescent="0.25">
      <c r="H500" t="str">
        <f>IF(Table1[[#This Row],[Description]]="","",IF(Table1[[#This Row],[Currency]]=$Q$2,$R$2,HLOOKUP(Table1[[#This Row],[Date]],Funds!$C$10:$GV$11,2,FALSE)))</f>
        <v/>
      </c>
      <c r="I500" s="217" t="str">
        <f>IF(Table1[[#This Row],[Description]]="","",Table1[[#This Row],[Value]]/Table1[[#This Row],[Conversion]])</f>
        <v/>
      </c>
      <c r="J500" s="50" t="str">
        <f>IF(Table1[[#This Row],[Description]]="","",DATE(Table1[[#This Row],[Year]],Table1[[#This Row],[Month]],1))</f>
        <v/>
      </c>
    </row>
    <row r="501" spans="8:10" x14ac:dyDescent="0.25">
      <c r="H501" t="str">
        <f>IF(Table1[[#This Row],[Description]]="","",IF(Table1[[#This Row],[Currency]]=$Q$2,$R$2,HLOOKUP(Table1[[#This Row],[Date]],Funds!$C$10:$GV$11,2,FALSE)))</f>
        <v/>
      </c>
      <c r="I501" s="217" t="str">
        <f>IF(Table1[[#This Row],[Description]]="","",Table1[[#This Row],[Value]]/Table1[[#This Row],[Conversion]])</f>
        <v/>
      </c>
      <c r="J501" s="50" t="str">
        <f>IF(Table1[[#This Row],[Description]]="","",DATE(Table1[[#This Row],[Year]],Table1[[#This Row],[Month]],1))</f>
        <v/>
      </c>
    </row>
    <row r="502" spans="8:10" x14ac:dyDescent="0.25">
      <c r="H502" t="str">
        <f>IF(Table1[[#This Row],[Description]]="","",IF(Table1[[#This Row],[Currency]]=$Q$2,$R$2,HLOOKUP(Table1[[#This Row],[Date]],Funds!$C$10:$GV$11,2,FALSE)))</f>
        <v/>
      </c>
      <c r="I502" s="217" t="str">
        <f>IF(Table1[[#This Row],[Description]]="","",Table1[[#This Row],[Value]]/Table1[[#This Row],[Conversion]])</f>
        <v/>
      </c>
      <c r="J502" s="50" t="str">
        <f>IF(Table1[[#This Row],[Description]]="","",DATE(Table1[[#This Row],[Year]],Table1[[#This Row],[Month]],1))</f>
        <v/>
      </c>
    </row>
    <row r="503" spans="8:10" x14ac:dyDescent="0.25">
      <c r="H503" t="str">
        <f>IF(Table1[[#This Row],[Description]]="","",IF(Table1[[#This Row],[Currency]]=$Q$2,$R$2,HLOOKUP(Table1[[#This Row],[Date]],Funds!$C$10:$GV$11,2,FALSE)))</f>
        <v/>
      </c>
      <c r="I503" s="217" t="str">
        <f>IF(Table1[[#This Row],[Description]]="","",Table1[[#This Row],[Value]]/Table1[[#This Row],[Conversion]])</f>
        <v/>
      </c>
      <c r="J503" s="50" t="str">
        <f>IF(Table1[[#This Row],[Description]]="","",DATE(Table1[[#This Row],[Year]],Table1[[#This Row],[Month]],1))</f>
        <v/>
      </c>
    </row>
    <row r="504" spans="8:10" x14ac:dyDescent="0.25">
      <c r="H504" t="str">
        <f>IF(Table1[[#This Row],[Description]]="","",IF(Table1[[#This Row],[Currency]]=$Q$2,$R$2,HLOOKUP(Table1[[#This Row],[Date]],Funds!$C$10:$GV$11,2,FALSE)))</f>
        <v/>
      </c>
      <c r="I504" s="217" t="str">
        <f>IF(Table1[[#This Row],[Description]]="","",Table1[[#This Row],[Value]]/Table1[[#This Row],[Conversion]])</f>
        <v/>
      </c>
      <c r="J504" s="50" t="str">
        <f>IF(Table1[[#This Row],[Description]]="","",DATE(Table1[[#This Row],[Year]],Table1[[#This Row],[Month]],1))</f>
        <v/>
      </c>
    </row>
    <row r="505" spans="8:10" x14ac:dyDescent="0.25">
      <c r="H505" t="str">
        <f>IF(Table1[[#This Row],[Description]]="","",IF(Table1[[#This Row],[Currency]]=$Q$2,$R$2,HLOOKUP(Table1[[#This Row],[Date]],Funds!$C$10:$GV$11,2,FALSE)))</f>
        <v/>
      </c>
      <c r="I505" s="217" t="str">
        <f>IF(Table1[[#This Row],[Description]]="","",Table1[[#This Row],[Value]]/Table1[[#This Row],[Conversion]])</f>
        <v/>
      </c>
      <c r="J505" s="50" t="str">
        <f>IF(Table1[[#This Row],[Description]]="","",DATE(Table1[[#This Row],[Year]],Table1[[#This Row],[Month]],1))</f>
        <v/>
      </c>
    </row>
    <row r="506" spans="8:10" x14ac:dyDescent="0.25">
      <c r="H506" t="str">
        <f>IF(Table1[[#This Row],[Description]]="","",IF(Table1[[#This Row],[Currency]]=$Q$2,$R$2,HLOOKUP(Table1[[#This Row],[Date]],Funds!$C$10:$GV$11,2,FALSE)))</f>
        <v/>
      </c>
      <c r="I506" s="217" t="str">
        <f>IF(Table1[[#This Row],[Description]]="","",Table1[[#This Row],[Value]]/Table1[[#This Row],[Conversion]])</f>
        <v/>
      </c>
      <c r="J506" s="50" t="str">
        <f>IF(Table1[[#This Row],[Description]]="","",DATE(Table1[[#This Row],[Year]],Table1[[#This Row],[Month]],1))</f>
        <v/>
      </c>
    </row>
    <row r="507" spans="8:10" x14ac:dyDescent="0.25">
      <c r="H507" t="str">
        <f>IF(Table1[[#This Row],[Description]]="","",IF(Table1[[#This Row],[Currency]]=$Q$2,$R$2,HLOOKUP(Table1[[#This Row],[Date]],Funds!$C$10:$GV$11,2,FALSE)))</f>
        <v/>
      </c>
      <c r="I507" s="217" t="str">
        <f>IF(Table1[[#This Row],[Description]]="","",Table1[[#This Row],[Value]]/Table1[[#This Row],[Conversion]])</f>
        <v/>
      </c>
      <c r="J507" s="50" t="str">
        <f>IF(Table1[[#This Row],[Description]]="","",DATE(Table1[[#This Row],[Year]],Table1[[#This Row],[Month]],1))</f>
        <v/>
      </c>
    </row>
    <row r="508" spans="8:10" x14ac:dyDescent="0.25">
      <c r="H508" t="str">
        <f>IF(Table1[[#This Row],[Description]]="","",IF(Table1[[#This Row],[Currency]]=$Q$2,$R$2,HLOOKUP(Table1[[#This Row],[Date]],Funds!$C$10:$GV$11,2,FALSE)))</f>
        <v/>
      </c>
      <c r="I508" s="217" t="str">
        <f>IF(Table1[[#This Row],[Description]]="","",Table1[[#This Row],[Value]]/Table1[[#This Row],[Conversion]])</f>
        <v/>
      </c>
      <c r="J508" s="50" t="str">
        <f>IF(Table1[[#This Row],[Description]]="","",DATE(Table1[[#This Row],[Year]],Table1[[#This Row],[Month]],1))</f>
        <v/>
      </c>
    </row>
    <row r="509" spans="8:10" x14ac:dyDescent="0.25">
      <c r="H509" t="str">
        <f>IF(Table1[[#This Row],[Description]]="","",IF(Table1[[#This Row],[Currency]]=$Q$2,$R$2,HLOOKUP(Table1[[#This Row],[Date]],Funds!$C$10:$GV$11,2,FALSE)))</f>
        <v/>
      </c>
      <c r="I509" s="217" t="str">
        <f>IF(Table1[[#This Row],[Description]]="","",Table1[[#This Row],[Value]]/Table1[[#This Row],[Conversion]])</f>
        <v/>
      </c>
      <c r="J509" s="50" t="str">
        <f>IF(Table1[[#This Row],[Description]]="","",DATE(Table1[[#This Row],[Year]],Table1[[#This Row],[Month]],1))</f>
        <v/>
      </c>
    </row>
    <row r="510" spans="8:10" x14ac:dyDescent="0.25">
      <c r="H510" t="str">
        <f>IF(Table1[[#This Row],[Description]]="","",IF(Table1[[#This Row],[Currency]]=$Q$2,$R$2,HLOOKUP(Table1[[#This Row],[Date]],Funds!$C$10:$GV$11,2,FALSE)))</f>
        <v/>
      </c>
      <c r="I510" s="217" t="str">
        <f>IF(Table1[[#This Row],[Description]]="","",Table1[[#This Row],[Value]]/Table1[[#This Row],[Conversion]])</f>
        <v/>
      </c>
      <c r="J510" s="50" t="str">
        <f>IF(Table1[[#This Row],[Description]]="","",DATE(Table1[[#This Row],[Year]],Table1[[#This Row],[Month]],1))</f>
        <v/>
      </c>
    </row>
    <row r="511" spans="8:10" x14ac:dyDescent="0.25">
      <c r="H511" t="str">
        <f>IF(Table1[[#This Row],[Description]]="","",IF(Table1[[#This Row],[Currency]]=$Q$2,$R$2,HLOOKUP(Table1[[#This Row],[Date]],Funds!$C$10:$GV$11,2,FALSE)))</f>
        <v/>
      </c>
      <c r="I511" s="217" t="str">
        <f>IF(Table1[[#This Row],[Description]]="","",Table1[[#This Row],[Value]]/Table1[[#This Row],[Conversion]])</f>
        <v/>
      </c>
      <c r="J511" s="50" t="str">
        <f>IF(Table1[[#This Row],[Description]]="","",DATE(Table1[[#This Row],[Year]],Table1[[#This Row],[Month]],1))</f>
        <v/>
      </c>
    </row>
    <row r="512" spans="8:10" x14ac:dyDescent="0.25">
      <c r="H512" t="str">
        <f>IF(Table1[[#This Row],[Description]]="","",IF(Table1[[#This Row],[Currency]]=$Q$2,$R$2,HLOOKUP(Table1[[#This Row],[Date]],Funds!$C$10:$GV$11,2,FALSE)))</f>
        <v/>
      </c>
      <c r="I512" s="217" t="str">
        <f>IF(Table1[[#This Row],[Description]]="","",Table1[[#This Row],[Value]]/Table1[[#This Row],[Conversion]])</f>
        <v/>
      </c>
      <c r="J512" s="50" t="str">
        <f>IF(Table1[[#This Row],[Description]]="","",DATE(Table1[[#This Row],[Year]],Table1[[#This Row],[Month]],1))</f>
        <v/>
      </c>
    </row>
    <row r="513" spans="8:10" x14ac:dyDescent="0.25">
      <c r="H513" t="str">
        <f>IF(Table1[[#This Row],[Description]]="","",IF(Table1[[#This Row],[Currency]]=$Q$2,$R$2,HLOOKUP(Table1[[#This Row],[Date]],Funds!$C$10:$GV$11,2,FALSE)))</f>
        <v/>
      </c>
      <c r="I513" s="217" t="str">
        <f>IF(Table1[[#This Row],[Description]]="","",Table1[[#This Row],[Value]]/Table1[[#This Row],[Conversion]])</f>
        <v/>
      </c>
      <c r="J513" s="50" t="str">
        <f>IF(Table1[[#This Row],[Description]]="","",DATE(Table1[[#This Row],[Year]],Table1[[#This Row],[Month]],1))</f>
        <v/>
      </c>
    </row>
    <row r="514" spans="8:10" x14ac:dyDescent="0.25">
      <c r="H514" t="str">
        <f>IF(Table1[[#This Row],[Description]]="","",IF(Table1[[#This Row],[Currency]]=$Q$2,$R$2,HLOOKUP(Table1[[#This Row],[Date]],Funds!$C$10:$GV$11,2,FALSE)))</f>
        <v/>
      </c>
      <c r="I514" s="217" t="str">
        <f>IF(Table1[[#This Row],[Description]]="","",Table1[[#This Row],[Value]]/Table1[[#This Row],[Conversion]])</f>
        <v/>
      </c>
      <c r="J514" s="50" t="str">
        <f>IF(Table1[[#This Row],[Description]]="","",DATE(Table1[[#This Row],[Year]],Table1[[#This Row],[Month]],1))</f>
        <v/>
      </c>
    </row>
    <row r="515" spans="8:10" x14ac:dyDescent="0.25">
      <c r="H515" t="str">
        <f>IF(Table1[[#This Row],[Description]]="","",IF(Table1[[#This Row],[Currency]]=$Q$2,$R$2,HLOOKUP(Table1[[#This Row],[Date]],Funds!$C$10:$GV$11,2,FALSE)))</f>
        <v/>
      </c>
      <c r="I515" s="217" t="str">
        <f>IF(Table1[[#This Row],[Description]]="","",Table1[[#This Row],[Value]]/Table1[[#This Row],[Conversion]])</f>
        <v/>
      </c>
      <c r="J515" s="50" t="str">
        <f>IF(Table1[[#This Row],[Description]]="","",DATE(Table1[[#This Row],[Year]],Table1[[#This Row],[Month]],1))</f>
        <v/>
      </c>
    </row>
    <row r="516" spans="8:10" x14ac:dyDescent="0.25">
      <c r="H516" t="str">
        <f>IF(Table1[[#This Row],[Description]]="","",IF(Table1[[#This Row],[Currency]]=$Q$2,$R$2,HLOOKUP(Table1[[#This Row],[Date]],Funds!$C$10:$GV$11,2,FALSE)))</f>
        <v/>
      </c>
      <c r="I516" s="217" t="str">
        <f>IF(Table1[[#This Row],[Description]]="","",Table1[[#This Row],[Value]]/Table1[[#This Row],[Conversion]])</f>
        <v/>
      </c>
      <c r="J516" s="50" t="str">
        <f>IF(Table1[[#This Row],[Description]]="","",DATE(Table1[[#This Row],[Year]],Table1[[#This Row],[Month]],1))</f>
        <v/>
      </c>
    </row>
    <row r="517" spans="8:10" x14ac:dyDescent="0.25">
      <c r="H517" t="str">
        <f>IF(Table1[[#This Row],[Description]]="","",IF(Table1[[#This Row],[Currency]]=$Q$2,$R$2,HLOOKUP(Table1[[#This Row],[Date]],Funds!$C$10:$GV$11,2,FALSE)))</f>
        <v/>
      </c>
      <c r="I517" s="217" t="str">
        <f>IF(Table1[[#This Row],[Description]]="","",Table1[[#This Row],[Value]]/Table1[[#This Row],[Conversion]])</f>
        <v/>
      </c>
      <c r="J517" s="50" t="str">
        <f>IF(Table1[[#This Row],[Description]]="","",DATE(Table1[[#This Row],[Year]],Table1[[#This Row],[Month]],1))</f>
        <v/>
      </c>
    </row>
    <row r="518" spans="8:10" x14ac:dyDescent="0.25">
      <c r="H518" t="str">
        <f>IF(Table1[[#This Row],[Description]]="","",IF(Table1[[#This Row],[Currency]]=$Q$2,$R$2,HLOOKUP(Table1[[#This Row],[Date]],Funds!$C$10:$GV$11,2,FALSE)))</f>
        <v/>
      </c>
      <c r="I518" s="217" t="str">
        <f>IF(Table1[[#This Row],[Description]]="","",Table1[[#This Row],[Value]]/Table1[[#This Row],[Conversion]])</f>
        <v/>
      </c>
      <c r="J518" s="50" t="str">
        <f>IF(Table1[[#This Row],[Description]]="","",DATE(Table1[[#This Row],[Year]],Table1[[#This Row],[Month]],1))</f>
        <v/>
      </c>
    </row>
    <row r="519" spans="8:10" x14ac:dyDescent="0.25">
      <c r="H519" t="str">
        <f>IF(Table1[[#This Row],[Description]]="","",IF(Table1[[#This Row],[Currency]]=$Q$2,$R$2,HLOOKUP(Table1[[#This Row],[Date]],Funds!$C$10:$GV$11,2,FALSE)))</f>
        <v/>
      </c>
      <c r="I519" s="217" t="str">
        <f>IF(Table1[[#This Row],[Description]]="","",Table1[[#This Row],[Value]]/Table1[[#This Row],[Conversion]])</f>
        <v/>
      </c>
      <c r="J519" s="50" t="str">
        <f>IF(Table1[[#This Row],[Description]]="","",DATE(Table1[[#This Row],[Year]],Table1[[#This Row],[Month]],1))</f>
        <v/>
      </c>
    </row>
    <row r="520" spans="8:10" x14ac:dyDescent="0.25">
      <c r="H520" t="str">
        <f>IF(Table1[[#This Row],[Description]]="","",IF(Table1[[#This Row],[Currency]]=$Q$2,$R$2,HLOOKUP(Table1[[#This Row],[Date]],Funds!$C$10:$GV$11,2,FALSE)))</f>
        <v/>
      </c>
      <c r="I520" s="217" t="str">
        <f>IF(Table1[[#This Row],[Description]]="","",Table1[[#This Row],[Value]]/Table1[[#This Row],[Conversion]])</f>
        <v/>
      </c>
      <c r="J520" s="50" t="str">
        <f>IF(Table1[[#This Row],[Description]]="","",DATE(Table1[[#This Row],[Year]],Table1[[#This Row],[Month]],1))</f>
        <v/>
      </c>
    </row>
    <row r="521" spans="8:10" x14ac:dyDescent="0.25">
      <c r="H521" t="str">
        <f>IF(Table1[[#This Row],[Description]]="","",IF(Table1[[#This Row],[Currency]]=$Q$2,$R$2,HLOOKUP(Table1[[#This Row],[Date]],Funds!$C$10:$GV$11,2,FALSE)))</f>
        <v/>
      </c>
      <c r="I521" s="217" t="str">
        <f>IF(Table1[[#This Row],[Description]]="","",Table1[[#This Row],[Value]]/Table1[[#This Row],[Conversion]])</f>
        <v/>
      </c>
      <c r="J521" s="50" t="str">
        <f>IF(Table1[[#This Row],[Description]]="","",DATE(Table1[[#This Row],[Year]],Table1[[#This Row],[Month]],1))</f>
        <v/>
      </c>
    </row>
    <row r="522" spans="8:10" x14ac:dyDescent="0.25">
      <c r="H522" t="str">
        <f>IF(Table1[[#This Row],[Description]]="","",IF(Table1[[#This Row],[Currency]]=$Q$2,$R$2,HLOOKUP(Table1[[#This Row],[Date]],Funds!$C$10:$GV$11,2,FALSE)))</f>
        <v/>
      </c>
      <c r="I522" s="217" t="str">
        <f>IF(Table1[[#This Row],[Description]]="","",Table1[[#This Row],[Value]]/Table1[[#This Row],[Conversion]])</f>
        <v/>
      </c>
      <c r="J522" s="50" t="str">
        <f>IF(Table1[[#This Row],[Description]]="","",DATE(Table1[[#This Row],[Year]],Table1[[#This Row],[Month]],1))</f>
        <v/>
      </c>
    </row>
    <row r="523" spans="8:10" x14ac:dyDescent="0.25">
      <c r="H523" t="str">
        <f>IF(Table1[[#This Row],[Description]]="","",IF(Table1[[#This Row],[Currency]]=$Q$2,$R$2,HLOOKUP(Table1[[#This Row],[Date]],Funds!$C$10:$GV$11,2,FALSE)))</f>
        <v/>
      </c>
      <c r="I523" s="217" t="str">
        <f>IF(Table1[[#This Row],[Description]]="","",Table1[[#This Row],[Value]]/Table1[[#This Row],[Conversion]])</f>
        <v/>
      </c>
      <c r="J523" s="50" t="str">
        <f>IF(Table1[[#This Row],[Description]]="","",DATE(Table1[[#This Row],[Year]],Table1[[#This Row],[Month]],1))</f>
        <v/>
      </c>
    </row>
    <row r="524" spans="8:10" x14ac:dyDescent="0.25">
      <c r="H524" t="str">
        <f>IF(Table1[[#This Row],[Description]]="","",IF(Table1[[#This Row],[Currency]]=$Q$2,$R$2,HLOOKUP(Table1[[#This Row],[Date]],Funds!$C$10:$GV$11,2,FALSE)))</f>
        <v/>
      </c>
      <c r="I524" s="217" t="str">
        <f>IF(Table1[[#This Row],[Description]]="","",Table1[[#This Row],[Value]]/Table1[[#This Row],[Conversion]])</f>
        <v/>
      </c>
      <c r="J524" s="50" t="str">
        <f>IF(Table1[[#This Row],[Description]]="","",DATE(Table1[[#This Row],[Year]],Table1[[#This Row],[Month]],1))</f>
        <v/>
      </c>
    </row>
    <row r="525" spans="8:10" x14ac:dyDescent="0.25">
      <c r="H525" t="str">
        <f>IF(Table1[[#This Row],[Description]]="","",IF(Table1[[#This Row],[Currency]]=$Q$2,$R$2,HLOOKUP(Table1[[#This Row],[Date]],Funds!$C$10:$GV$11,2,FALSE)))</f>
        <v/>
      </c>
      <c r="I525" s="217" t="str">
        <f>IF(Table1[[#This Row],[Description]]="","",Table1[[#This Row],[Value]]/Table1[[#This Row],[Conversion]])</f>
        <v/>
      </c>
      <c r="J525" s="50" t="str">
        <f>IF(Table1[[#This Row],[Description]]="","",DATE(Table1[[#This Row],[Year]],Table1[[#This Row],[Month]],1))</f>
        <v/>
      </c>
    </row>
    <row r="526" spans="8:10" x14ac:dyDescent="0.25">
      <c r="H526" t="str">
        <f>IF(Table1[[#This Row],[Description]]="","",IF(Table1[[#This Row],[Currency]]=$Q$2,$R$2,HLOOKUP(Table1[[#This Row],[Date]],Funds!$C$10:$GV$11,2,FALSE)))</f>
        <v/>
      </c>
      <c r="I526" s="217" t="str">
        <f>IF(Table1[[#This Row],[Description]]="","",Table1[[#This Row],[Value]]/Table1[[#This Row],[Conversion]])</f>
        <v/>
      </c>
      <c r="J526" s="50" t="str">
        <f>IF(Table1[[#This Row],[Description]]="","",DATE(Table1[[#This Row],[Year]],Table1[[#This Row],[Month]],1))</f>
        <v/>
      </c>
    </row>
    <row r="527" spans="8:10" x14ac:dyDescent="0.25">
      <c r="H527" t="str">
        <f>IF(Table1[[#This Row],[Description]]="","",IF(Table1[[#This Row],[Currency]]=$Q$2,$R$2,HLOOKUP(Table1[[#This Row],[Date]],Funds!$C$10:$GV$11,2,FALSE)))</f>
        <v/>
      </c>
      <c r="I527" s="217" t="str">
        <f>IF(Table1[[#This Row],[Description]]="","",Table1[[#This Row],[Value]]/Table1[[#This Row],[Conversion]])</f>
        <v/>
      </c>
      <c r="J527" s="50" t="str">
        <f>IF(Table1[[#This Row],[Description]]="","",DATE(Table1[[#This Row],[Year]],Table1[[#This Row],[Month]],1))</f>
        <v/>
      </c>
    </row>
    <row r="528" spans="8:10" x14ac:dyDescent="0.25">
      <c r="H528" t="str">
        <f>IF(Table1[[#This Row],[Description]]="","",IF(Table1[[#This Row],[Currency]]=$Q$2,$R$2,HLOOKUP(Table1[[#This Row],[Date]],Funds!$C$10:$GV$11,2,FALSE)))</f>
        <v/>
      </c>
      <c r="I528" s="217" t="str">
        <f>IF(Table1[[#This Row],[Description]]="","",Table1[[#This Row],[Value]]/Table1[[#This Row],[Conversion]])</f>
        <v/>
      </c>
      <c r="J528" s="50" t="str">
        <f>IF(Table1[[#This Row],[Description]]="","",DATE(Table1[[#This Row],[Year]],Table1[[#This Row],[Month]],1))</f>
        <v/>
      </c>
    </row>
    <row r="529" spans="8:10" x14ac:dyDescent="0.25">
      <c r="H529" t="str">
        <f>IF(Table1[[#This Row],[Description]]="","",IF(Table1[[#This Row],[Currency]]=$Q$2,$R$2,HLOOKUP(Table1[[#This Row],[Date]],Funds!$C$10:$GV$11,2,FALSE)))</f>
        <v/>
      </c>
      <c r="I529" s="217" t="str">
        <f>IF(Table1[[#This Row],[Description]]="","",Table1[[#This Row],[Value]]/Table1[[#This Row],[Conversion]])</f>
        <v/>
      </c>
      <c r="J529" s="50" t="str">
        <f>IF(Table1[[#This Row],[Description]]="","",DATE(Table1[[#This Row],[Year]],Table1[[#This Row],[Month]],1))</f>
        <v/>
      </c>
    </row>
    <row r="530" spans="8:10" x14ac:dyDescent="0.25">
      <c r="H530" t="str">
        <f>IF(Table1[[#This Row],[Description]]="","",IF(Table1[[#This Row],[Currency]]=$Q$2,$R$2,HLOOKUP(Table1[[#This Row],[Date]],Funds!$C$10:$GV$11,2,FALSE)))</f>
        <v/>
      </c>
      <c r="I530" s="217" t="str">
        <f>IF(Table1[[#This Row],[Description]]="","",Table1[[#This Row],[Value]]/Table1[[#This Row],[Conversion]])</f>
        <v/>
      </c>
      <c r="J530" s="50" t="str">
        <f>IF(Table1[[#This Row],[Description]]="","",DATE(Table1[[#This Row],[Year]],Table1[[#This Row],[Month]],1))</f>
        <v/>
      </c>
    </row>
    <row r="531" spans="8:10" x14ac:dyDescent="0.25">
      <c r="H531" t="str">
        <f>IF(Table1[[#This Row],[Description]]="","",IF(Table1[[#This Row],[Currency]]=$Q$2,$R$2,HLOOKUP(Table1[[#This Row],[Date]],Funds!$C$10:$GV$11,2,FALSE)))</f>
        <v/>
      </c>
      <c r="I531" s="217" t="str">
        <f>IF(Table1[[#This Row],[Description]]="","",Table1[[#This Row],[Value]]/Table1[[#This Row],[Conversion]])</f>
        <v/>
      </c>
      <c r="J531" s="50" t="str">
        <f>IF(Table1[[#This Row],[Description]]="","",DATE(Table1[[#This Row],[Year]],Table1[[#This Row],[Month]],1))</f>
        <v/>
      </c>
    </row>
    <row r="532" spans="8:10" x14ac:dyDescent="0.25">
      <c r="H532" t="str">
        <f>IF(Table1[[#This Row],[Description]]="","",IF(Table1[[#This Row],[Currency]]=$Q$2,$R$2,HLOOKUP(Table1[[#This Row],[Date]],Funds!$C$10:$GV$11,2,FALSE)))</f>
        <v/>
      </c>
      <c r="I532" s="217" t="str">
        <f>IF(Table1[[#This Row],[Description]]="","",Table1[[#This Row],[Value]]/Table1[[#This Row],[Conversion]])</f>
        <v/>
      </c>
      <c r="J532" s="50" t="str">
        <f>IF(Table1[[#This Row],[Description]]="","",DATE(Table1[[#This Row],[Year]],Table1[[#This Row],[Month]],1))</f>
        <v/>
      </c>
    </row>
    <row r="533" spans="8:10" x14ac:dyDescent="0.25">
      <c r="H533" t="str">
        <f>IF(Table1[[#This Row],[Description]]="","",IF(Table1[[#This Row],[Currency]]=$Q$2,$R$2,HLOOKUP(Table1[[#This Row],[Date]],Funds!$C$10:$GV$11,2,FALSE)))</f>
        <v/>
      </c>
      <c r="I533" s="217" t="str">
        <f>IF(Table1[[#This Row],[Description]]="","",Table1[[#This Row],[Value]]/Table1[[#This Row],[Conversion]])</f>
        <v/>
      </c>
      <c r="J533" s="50" t="str">
        <f>IF(Table1[[#This Row],[Description]]="","",DATE(Table1[[#This Row],[Year]],Table1[[#This Row],[Month]],1))</f>
        <v/>
      </c>
    </row>
    <row r="534" spans="8:10" x14ac:dyDescent="0.25">
      <c r="H534" t="str">
        <f>IF(Table1[[#This Row],[Description]]="","",IF(Table1[[#This Row],[Currency]]=$Q$2,$R$2,HLOOKUP(Table1[[#This Row],[Date]],Funds!$C$10:$GV$11,2,FALSE)))</f>
        <v/>
      </c>
      <c r="I534" s="217" t="str">
        <f>IF(Table1[[#This Row],[Description]]="","",Table1[[#This Row],[Value]]/Table1[[#This Row],[Conversion]])</f>
        <v/>
      </c>
      <c r="J534" s="50" t="str">
        <f>IF(Table1[[#This Row],[Description]]="","",DATE(Table1[[#This Row],[Year]],Table1[[#This Row],[Month]],1))</f>
        <v/>
      </c>
    </row>
    <row r="535" spans="8:10" x14ac:dyDescent="0.25">
      <c r="H535" t="str">
        <f>IF(Table1[[#This Row],[Description]]="","",IF(Table1[[#This Row],[Currency]]=$Q$2,$R$2,HLOOKUP(Table1[[#This Row],[Date]],Funds!$C$10:$GV$11,2,FALSE)))</f>
        <v/>
      </c>
      <c r="I535" s="217" t="str">
        <f>IF(Table1[[#This Row],[Description]]="","",Table1[[#This Row],[Value]]/Table1[[#This Row],[Conversion]])</f>
        <v/>
      </c>
      <c r="J535" s="50" t="str">
        <f>IF(Table1[[#This Row],[Description]]="","",DATE(Table1[[#This Row],[Year]],Table1[[#This Row],[Month]],1))</f>
        <v/>
      </c>
    </row>
    <row r="536" spans="8:10" x14ac:dyDescent="0.25">
      <c r="H536" t="str">
        <f>IF(Table1[[#This Row],[Description]]="","",IF(Table1[[#This Row],[Currency]]=$Q$2,$R$2,HLOOKUP(Table1[[#This Row],[Date]],Funds!$C$10:$GV$11,2,FALSE)))</f>
        <v/>
      </c>
      <c r="I536" s="217" t="str">
        <f>IF(Table1[[#This Row],[Description]]="","",Table1[[#This Row],[Value]]/Table1[[#This Row],[Conversion]])</f>
        <v/>
      </c>
      <c r="J536" s="50" t="str">
        <f>IF(Table1[[#This Row],[Description]]="","",DATE(Table1[[#This Row],[Year]],Table1[[#This Row],[Month]],1))</f>
        <v/>
      </c>
    </row>
    <row r="537" spans="8:10" x14ac:dyDescent="0.25">
      <c r="H537" t="str">
        <f>IF(Table1[[#This Row],[Description]]="","",IF(Table1[[#This Row],[Currency]]=$Q$2,$R$2,HLOOKUP(Table1[[#This Row],[Date]],Funds!$C$10:$GV$11,2,FALSE)))</f>
        <v/>
      </c>
      <c r="I537" s="217" t="str">
        <f>IF(Table1[[#This Row],[Description]]="","",Table1[[#This Row],[Value]]/Table1[[#This Row],[Conversion]])</f>
        <v/>
      </c>
      <c r="J537" s="50" t="str">
        <f>IF(Table1[[#This Row],[Description]]="","",DATE(Table1[[#This Row],[Year]],Table1[[#This Row],[Month]],1))</f>
        <v/>
      </c>
    </row>
    <row r="538" spans="8:10" x14ac:dyDescent="0.25">
      <c r="H538" t="str">
        <f>IF(Table1[[#This Row],[Description]]="","",IF(Table1[[#This Row],[Currency]]=$Q$2,$R$2,HLOOKUP(Table1[[#This Row],[Date]],Funds!$C$10:$GV$11,2,FALSE)))</f>
        <v/>
      </c>
      <c r="I538" s="217" t="str">
        <f>IF(Table1[[#This Row],[Description]]="","",Table1[[#This Row],[Value]]/Table1[[#This Row],[Conversion]])</f>
        <v/>
      </c>
      <c r="J538" s="50" t="str">
        <f>IF(Table1[[#This Row],[Description]]="","",DATE(Table1[[#This Row],[Year]],Table1[[#This Row],[Month]],1))</f>
        <v/>
      </c>
    </row>
    <row r="539" spans="8:10" x14ac:dyDescent="0.25">
      <c r="H539" t="str">
        <f>IF(Table1[[#This Row],[Description]]="","",IF(Table1[[#This Row],[Currency]]=$Q$2,$R$2,HLOOKUP(Table1[[#This Row],[Date]],Funds!$C$10:$GV$11,2,FALSE)))</f>
        <v/>
      </c>
      <c r="I539" s="217" t="str">
        <f>IF(Table1[[#This Row],[Description]]="","",Table1[[#This Row],[Value]]/Table1[[#This Row],[Conversion]])</f>
        <v/>
      </c>
      <c r="J539" s="50" t="str">
        <f>IF(Table1[[#This Row],[Description]]="","",DATE(Table1[[#This Row],[Year]],Table1[[#This Row],[Month]],1))</f>
        <v/>
      </c>
    </row>
    <row r="540" spans="8:10" x14ac:dyDescent="0.25">
      <c r="H540" t="str">
        <f>IF(Table1[[#This Row],[Description]]="","",IF(Table1[[#This Row],[Currency]]=$Q$2,$R$2,HLOOKUP(Table1[[#This Row],[Date]],Funds!$C$10:$GV$11,2,FALSE)))</f>
        <v/>
      </c>
      <c r="I540" s="217" t="str">
        <f>IF(Table1[[#This Row],[Description]]="","",Table1[[#This Row],[Value]]/Table1[[#This Row],[Conversion]])</f>
        <v/>
      </c>
      <c r="J540" s="50" t="str">
        <f>IF(Table1[[#This Row],[Description]]="","",DATE(Table1[[#This Row],[Year]],Table1[[#This Row],[Month]],1))</f>
        <v/>
      </c>
    </row>
    <row r="541" spans="8:10" x14ac:dyDescent="0.25">
      <c r="H541" t="str">
        <f>IF(Table1[[#This Row],[Description]]="","",IF(Table1[[#This Row],[Currency]]=$Q$2,$R$2,HLOOKUP(Table1[[#This Row],[Date]],Funds!$C$10:$GV$11,2,FALSE)))</f>
        <v/>
      </c>
      <c r="I541" s="217" t="str">
        <f>IF(Table1[[#This Row],[Description]]="","",Table1[[#This Row],[Value]]/Table1[[#This Row],[Conversion]])</f>
        <v/>
      </c>
      <c r="J541" s="50" t="str">
        <f>IF(Table1[[#This Row],[Description]]="","",DATE(Table1[[#This Row],[Year]],Table1[[#This Row],[Month]],1))</f>
        <v/>
      </c>
    </row>
    <row r="542" spans="8:10" x14ac:dyDescent="0.25">
      <c r="H542" t="str">
        <f>IF(Table1[[#This Row],[Description]]="","",IF(Table1[[#This Row],[Currency]]=$Q$2,$R$2,HLOOKUP(Table1[[#This Row],[Date]],Funds!$C$10:$GV$11,2,FALSE)))</f>
        <v/>
      </c>
      <c r="I542" s="217" t="str">
        <f>IF(Table1[[#This Row],[Description]]="","",Table1[[#This Row],[Value]]/Table1[[#This Row],[Conversion]])</f>
        <v/>
      </c>
      <c r="J542" s="50" t="str">
        <f>IF(Table1[[#This Row],[Description]]="","",DATE(Table1[[#This Row],[Year]],Table1[[#This Row],[Month]],1))</f>
        <v/>
      </c>
    </row>
    <row r="543" spans="8:10" x14ac:dyDescent="0.25">
      <c r="H543" t="str">
        <f>IF(Table1[[#This Row],[Description]]="","",IF(Table1[[#This Row],[Currency]]=$Q$2,$R$2,HLOOKUP(Table1[[#This Row],[Date]],Funds!$C$10:$GV$11,2,FALSE)))</f>
        <v/>
      </c>
      <c r="I543" s="217" t="str">
        <f>IF(Table1[[#This Row],[Description]]="","",Table1[[#This Row],[Value]]/Table1[[#This Row],[Conversion]])</f>
        <v/>
      </c>
      <c r="J543" s="50" t="str">
        <f>IF(Table1[[#This Row],[Description]]="","",DATE(Table1[[#This Row],[Year]],Table1[[#This Row],[Month]],1))</f>
        <v/>
      </c>
    </row>
    <row r="544" spans="8:10" x14ac:dyDescent="0.25">
      <c r="H544" t="str">
        <f>IF(Table1[[#This Row],[Description]]="","",IF(Table1[[#This Row],[Currency]]=$Q$2,$R$2,HLOOKUP(Table1[[#This Row],[Date]],Funds!$C$10:$GV$11,2,FALSE)))</f>
        <v/>
      </c>
      <c r="I544" s="217" t="str">
        <f>IF(Table1[[#This Row],[Description]]="","",Table1[[#This Row],[Value]]/Table1[[#This Row],[Conversion]])</f>
        <v/>
      </c>
      <c r="J544" s="50" t="str">
        <f>IF(Table1[[#This Row],[Description]]="","",DATE(Table1[[#This Row],[Year]],Table1[[#This Row],[Month]],1))</f>
        <v/>
      </c>
    </row>
    <row r="545" spans="8:10" x14ac:dyDescent="0.25">
      <c r="H545" t="str">
        <f>IF(Table1[[#This Row],[Description]]="","",IF(Table1[[#This Row],[Currency]]=$Q$2,$R$2,HLOOKUP(Table1[[#This Row],[Date]],Funds!$C$10:$GV$11,2,FALSE)))</f>
        <v/>
      </c>
      <c r="I545" s="217" t="str">
        <f>IF(Table1[[#This Row],[Description]]="","",Table1[[#This Row],[Value]]/Table1[[#This Row],[Conversion]])</f>
        <v/>
      </c>
      <c r="J545" s="50" t="str">
        <f>IF(Table1[[#This Row],[Description]]="","",DATE(Table1[[#This Row],[Year]],Table1[[#This Row],[Month]],1))</f>
        <v/>
      </c>
    </row>
    <row r="546" spans="8:10" x14ac:dyDescent="0.25">
      <c r="H546" t="str">
        <f>IF(Table1[[#This Row],[Description]]="","",IF(Table1[[#This Row],[Currency]]=$Q$2,$R$2,HLOOKUP(Table1[[#This Row],[Date]],Funds!$C$10:$GV$11,2,FALSE)))</f>
        <v/>
      </c>
      <c r="I546" s="217" t="str">
        <f>IF(Table1[[#This Row],[Description]]="","",Table1[[#This Row],[Value]]/Table1[[#This Row],[Conversion]])</f>
        <v/>
      </c>
      <c r="J546" s="50" t="str">
        <f>IF(Table1[[#This Row],[Description]]="","",DATE(Table1[[#This Row],[Year]],Table1[[#This Row],[Month]],1))</f>
        <v/>
      </c>
    </row>
    <row r="547" spans="8:10" x14ac:dyDescent="0.25">
      <c r="H547" t="str">
        <f>IF(Table1[[#This Row],[Description]]="","",IF(Table1[[#This Row],[Currency]]=$Q$2,$R$2,HLOOKUP(Table1[[#This Row],[Date]],Funds!$C$10:$GV$11,2,FALSE)))</f>
        <v/>
      </c>
      <c r="I547" s="217" t="str">
        <f>IF(Table1[[#This Row],[Description]]="","",Table1[[#This Row],[Value]]/Table1[[#This Row],[Conversion]])</f>
        <v/>
      </c>
      <c r="J547" s="50" t="str">
        <f>IF(Table1[[#This Row],[Description]]="","",DATE(Table1[[#This Row],[Year]],Table1[[#This Row],[Month]],1))</f>
        <v/>
      </c>
    </row>
    <row r="548" spans="8:10" x14ac:dyDescent="0.25">
      <c r="H548" t="str">
        <f>IF(Table1[[#This Row],[Description]]="","",IF(Table1[[#This Row],[Currency]]=$Q$2,$R$2,HLOOKUP(Table1[[#This Row],[Date]],Funds!$C$10:$GV$11,2,FALSE)))</f>
        <v/>
      </c>
      <c r="I548" s="217" t="str">
        <f>IF(Table1[[#This Row],[Description]]="","",Table1[[#This Row],[Value]]/Table1[[#This Row],[Conversion]])</f>
        <v/>
      </c>
      <c r="J548" s="50" t="str">
        <f>IF(Table1[[#This Row],[Description]]="","",DATE(Table1[[#This Row],[Year]],Table1[[#This Row],[Month]],1))</f>
        <v/>
      </c>
    </row>
    <row r="549" spans="8:10" x14ac:dyDescent="0.25">
      <c r="H549" t="str">
        <f>IF(Table1[[#This Row],[Description]]="","",IF(Table1[[#This Row],[Currency]]=$Q$2,$R$2,HLOOKUP(Table1[[#This Row],[Date]],Funds!$C$10:$GV$11,2,FALSE)))</f>
        <v/>
      </c>
      <c r="I549" s="217" t="str">
        <f>IF(Table1[[#This Row],[Description]]="","",Table1[[#This Row],[Value]]/Table1[[#This Row],[Conversion]])</f>
        <v/>
      </c>
      <c r="J549" s="50" t="str">
        <f>IF(Table1[[#This Row],[Description]]="","",DATE(Table1[[#This Row],[Year]],Table1[[#This Row],[Month]],1))</f>
        <v/>
      </c>
    </row>
    <row r="550" spans="8:10" x14ac:dyDescent="0.25">
      <c r="H550" t="str">
        <f>IF(Table1[[#This Row],[Description]]="","",IF(Table1[[#This Row],[Currency]]=$Q$2,$R$2,HLOOKUP(Table1[[#This Row],[Date]],Funds!$C$10:$GV$11,2,FALSE)))</f>
        <v/>
      </c>
      <c r="I550" s="217" t="str">
        <f>IF(Table1[[#This Row],[Description]]="","",Table1[[#This Row],[Value]]/Table1[[#This Row],[Conversion]])</f>
        <v/>
      </c>
      <c r="J550" s="50" t="str">
        <f>IF(Table1[[#This Row],[Description]]="","",DATE(Table1[[#This Row],[Year]],Table1[[#This Row],[Month]],1))</f>
        <v/>
      </c>
    </row>
    <row r="551" spans="8:10" x14ac:dyDescent="0.25">
      <c r="H551" t="str">
        <f>IF(Table1[[#This Row],[Description]]="","",IF(Table1[[#This Row],[Currency]]=$Q$2,$R$2,HLOOKUP(Table1[[#This Row],[Date]],Funds!$C$10:$GV$11,2,FALSE)))</f>
        <v/>
      </c>
      <c r="I551" s="217" t="str">
        <f>IF(Table1[[#This Row],[Description]]="","",Table1[[#This Row],[Value]]/Table1[[#This Row],[Conversion]])</f>
        <v/>
      </c>
      <c r="J551" s="50" t="str">
        <f>IF(Table1[[#This Row],[Description]]="","",DATE(Table1[[#This Row],[Year]],Table1[[#This Row],[Month]],1))</f>
        <v/>
      </c>
    </row>
    <row r="552" spans="8:10" x14ac:dyDescent="0.25">
      <c r="H552" t="str">
        <f>IF(Table1[[#This Row],[Description]]="","",IF(Table1[[#This Row],[Currency]]=$Q$2,$R$2,HLOOKUP(Table1[[#This Row],[Date]],Funds!$C$10:$GV$11,2,FALSE)))</f>
        <v/>
      </c>
      <c r="I552" s="217" t="str">
        <f>IF(Table1[[#This Row],[Description]]="","",Table1[[#This Row],[Value]]/Table1[[#This Row],[Conversion]])</f>
        <v/>
      </c>
      <c r="J552" s="50" t="str">
        <f>IF(Table1[[#This Row],[Description]]="","",DATE(Table1[[#This Row],[Year]],Table1[[#This Row],[Month]],1))</f>
        <v/>
      </c>
    </row>
    <row r="553" spans="8:10" x14ac:dyDescent="0.25">
      <c r="H553" t="str">
        <f>IF(Table1[[#This Row],[Description]]="","",IF(Table1[[#This Row],[Currency]]=$Q$2,$R$2,HLOOKUP(Table1[[#This Row],[Date]],Funds!$C$10:$GV$11,2,FALSE)))</f>
        <v/>
      </c>
      <c r="I553" s="217" t="str">
        <f>IF(Table1[[#This Row],[Description]]="","",Table1[[#This Row],[Value]]/Table1[[#This Row],[Conversion]])</f>
        <v/>
      </c>
      <c r="J553" s="50" t="str">
        <f>IF(Table1[[#This Row],[Description]]="","",DATE(Table1[[#This Row],[Year]],Table1[[#This Row],[Month]],1))</f>
        <v/>
      </c>
    </row>
    <row r="554" spans="8:10" x14ac:dyDescent="0.25">
      <c r="H554" t="str">
        <f>IF(Table1[[#This Row],[Description]]="","",IF(Table1[[#This Row],[Currency]]=$Q$2,$R$2,HLOOKUP(Table1[[#This Row],[Date]],Funds!$C$10:$GV$11,2,FALSE)))</f>
        <v/>
      </c>
      <c r="I554" s="217" t="str">
        <f>IF(Table1[[#This Row],[Description]]="","",Table1[[#This Row],[Value]]/Table1[[#This Row],[Conversion]])</f>
        <v/>
      </c>
      <c r="J554" s="50" t="str">
        <f>IF(Table1[[#This Row],[Description]]="","",DATE(Table1[[#This Row],[Year]],Table1[[#This Row],[Month]],1))</f>
        <v/>
      </c>
    </row>
    <row r="555" spans="8:10" x14ac:dyDescent="0.25">
      <c r="H555" t="str">
        <f>IF(Table1[[#This Row],[Description]]="","",IF(Table1[[#This Row],[Currency]]=$Q$2,$R$2,HLOOKUP(Table1[[#This Row],[Date]],Funds!$C$10:$GV$11,2,FALSE)))</f>
        <v/>
      </c>
      <c r="I555" s="217" t="str">
        <f>IF(Table1[[#This Row],[Description]]="","",Table1[[#This Row],[Value]]/Table1[[#This Row],[Conversion]])</f>
        <v/>
      </c>
      <c r="J555" s="50" t="str">
        <f>IF(Table1[[#This Row],[Description]]="","",DATE(Table1[[#This Row],[Year]],Table1[[#This Row],[Month]],1))</f>
        <v/>
      </c>
    </row>
    <row r="556" spans="8:10" x14ac:dyDescent="0.25">
      <c r="H556" t="str">
        <f>IF(Table1[[#This Row],[Description]]="","",IF(Table1[[#This Row],[Currency]]=$Q$2,$R$2,HLOOKUP(Table1[[#This Row],[Date]],Funds!$C$10:$GV$11,2,FALSE)))</f>
        <v/>
      </c>
      <c r="I556" s="217" t="str">
        <f>IF(Table1[[#This Row],[Description]]="","",Table1[[#This Row],[Value]]/Table1[[#This Row],[Conversion]])</f>
        <v/>
      </c>
      <c r="J556" s="50" t="str">
        <f>IF(Table1[[#This Row],[Description]]="","",DATE(Table1[[#This Row],[Year]],Table1[[#This Row],[Month]],1))</f>
        <v/>
      </c>
    </row>
    <row r="557" spans="8:10" x14ac:dyDescent="0.25">
      <c r="H557" t="str">
        <f>IF(Table1[[#This Row],[Description]]="","",IF(Table1[[#This Row],[Currency]]=$Q$2,$R$2,HLOOKUP(Table1[[#This Row],[Date]],Funds!$C$10:$GV$11,2,FALSE)))</f>
        <v/>
      </c>
      <c r="I557" s="217" t="str">
        <f>IF(Table1[[#This Row],[Description]]="","",Table1[[#This Row],[Value]]/Table1[[#This Row],[Conversion]])</f>
        <v/>
      </c>
      <c r="J557" s="50" t="str">
        <f>IF(Table1[[#This Row],[Description]]="","",DATE(Table1[[#This Row],[Year]],Table1[[#This Row],[Month]],1))</f>
        <v/>
      </c>
    </row>
    <row r="558" spans="8:10" x14ac:dyDescent="0.25">
      <c r="H558" t="str">
        <f>IF(Table1[[#This Row],[Description]]="","",IF(Table1[[#This Row],[Currency]]=$Q$2,$R$2,HLOOKUP(Table1[[#This Row],[Date]],Funds!$C$10:$GV$11,2,FALSE)))</f>
        <v/>
      </c>
      <c r="I558" s="217" t="str">
        <f>IF(Table1[[#This Row],[Description]]="","",Table1[[#This Row],[Value]]/Table1[[#This Row],[Conversion]])</f>
        <v/>
      </c>
      <c r="J558" s="50" t="str">
        <f>IF(Table1[[#This Row],[Description]]="","",DATE(Table1[[#This Row],[Year]],Table1[[#This Row],[Month]],1))</f>
        <v/>
      </c>
    </row>
    <row r="559" spans="8:10" x14ac:dyDescent="0.25">
      <c r="H559" t="str">
        <f>IF(Table1[[#This Row],[Description]]="","",IF(Table1[[#This Row],[Currency]]=$Q$2,$R$2,HLOOKUP(Table1[[#This Row],[Date]],Funds!$C$10:$GV$11,2,FALSE)))</f>
        <v/>
      </c>
      <c r="I559" s="217" t="str">
        <f>IF(Table1[[#This Row],[Description]]="","",Table1[[#This Row],[Value]]/Table1[[#This Row],[Conversion]])</f>
        <v/>
      </c>
      <c r="J559" s="50" t="str">
        <f>IF(Table1[[#This Row],[Description]]="","",DATE(Table1[[#This Row],[Year]],Table1[[#This Row],[Month]],1))</f>
        <v/>
      </c>
    </row>
    <row r="560" spans="8:10" x14ac:dyDescent="0.25">
      <c r="H560" t="str">
        <f>IF(Table1[[#This Row],[Description]]="","",IF(Table1[[#This Row],[Currency]]=$Q$2,$R$2,HLOOKUP(Table1[[#This Row],[Date]],Funds!$C$10:$GV$11,2,FALSE)))</f>
        <v/>
      </c>
      <c r="I560" s="217" t="str">
        <f>IF(Table1[[#This Row],[Description]]="","",Table1[[#This Row],[Value]]/Table1[[#This Row],[Conversion]])</f>
        <v/>
      </c>
      <c r="J560" s="50" t="str">
        <f>IF(Table1[[#This Row],[Description]]="","",DATE(Table1[[#This Row],[Year]],Table1[[#This Row],[Month]],1))</f>
        <v/>
      </c>
    </row>
    <row r="561" spans="8:10" x14ac:dyDescent="0.25">
      <c r="H561" t="str">
        <f>IF(Table1[[#This Row],[Description]]="","",IF(Table1[[#This Row],[Currency]]=$Q$2,$R$2,HLOOKUP(Table1[[#This Row],[Date]],Funds!$C$10:$GV$11,2,FALSE)))</f>
        <v/>
      </c>
      <c r="I561" s="217" t="str">
        <f>IF(Table1[[#This Row],[Description]]="","",Table1[[#This Row],[Value]]/Table1[[#This Row],[Conversion]])</f>
        <v/>
      </c>
      <c r="J561" s="50" t="str">
        <f>IF(Table1[[#This Row],[Description]]="","",DATE(Table1[[#This Row],[Year]],Table1[[#This Row],[Month]],1))</f>
        <v/>
      </c>
    </row>
    <row r="562" spans="8:10" x14ac:dyDescent="0.25">
      <c r="H562" t="str">
        <f>IF(Table1[[#This Row],[Description]]="","",IF(Table1[[#This Row],[Currency]]=$Q$2,$R$2,HLOOKUP(Table1[[#This Row],[Date]],Funds!$C$10:$GV$11,2,FALSE)))</f>
        <v/>
      </c>
      <c r="I562" s="217" t="str">
        <f>IF(Table1[[#This Row],[Description]]="","",Table1[[#This Row],[Value]]/Table1[[#This Row],[Conversion]])</f>
        <v/>
      </c>
      <c r="J562" s="50" t="str">
        <f>IF(Table1[[#This Row],[Description]]="","",DATE(Table1[[#This Row],[Year]],Table1[[#This Row],[Month]],1))</f>
        <v/>
      </c>
    </row>
    <row r="563" spans="8:10" x14ac:dyDescent="0.25">
      <c r="H563" t="str">
        <f>IF(Table1[[#This Row],[Description]]="","",IF(Table1[[#This Row],[Currency]]=$Q$2,$R$2,HLOOKUP(Table1[[#This Row],[Date]],Funds!$C$10:$GV$11,2,FALSE)))</f>
        <v/>
      </c>
      <c r="I563" s="217" t="str">
        <f>IF(Table1[[#This Row],[Description]]="","",Table1[[#This Row],[Value]]/Table1[[#This Row],[Conversion]])</f>
        <v/>
      </c>
      <c r="J563" s="50" t="str">
        <f>IF(Table1[[#This Row],[Description]]="","",DATE(Table1[[#This Row],[Year]],Table1[[#This Row],[Month]],1))</f>
        <v/>
      </c>
    </row>
    <row r="564" spans="8:10" x14ac:dyDescent="0.25">
      <c r="H564" t="str">
        <f>IF(Table1[[#This Row],[Description]]="","",IF(Table1[[#This Row],[Currency]]=$Q$2,$R$2,HLOOKUP(Table1[[#This Row],[Date]],Funds!$C$10:$GV$11,2,FALSE)))</f>
        <v/>
      </c>
      <c r="I564" s="217" t="str">
        <f>IF(Table1[[#This Row],[Description]]="","",Table1[[#This Row],[Value]]/Table1[[#This Row],[Conversion]])</f>
        <v/>
      </c>
      <c r="J564" s="50" t="str">
        <f>IF(Table1[[#This Row],[Description]]="","",DATE(Table1[[#This Row],[Year]],Table1[[#This Row],[Month]],1))</f>
        <v/>
      </c>
    </row>
    <row r="565" spans="8:10" x14ac:dyDescent="0.25">
      <c r="H565" t="str">
        <f>IF(Table1[[#This Row],[Description]]="","",IF(Table1[[#This Row],[Currency]]=$Q$2,$R$2,HLOOKUP(Table1[[#This Row],[Date]],Funds!$C$10:$GV$11,2,FALSE)))</f>
        <v/>
      </c>
      <c r="I565" s="217" t="str">
        <f>IF(Table1[[#This Row],[Description]]="","",Table1[[#This Row],[Value]]/Table1[[#This Row],[Conversion]])</f>
        <v/>
      </c>
      <c r="J565" s="50" t="str">
        <f>IF(Table1[[#This Row],[Description]]="","",DATE(Table1[[#This Row],[Year]],Table1[[#This Row],[Month]],1))</f>
        <v/>
      </c>
    </row>
    <row r="566" spans="8:10" x14ac:dyDescent="0.25">
      <c r="H566" t="str">
        <f>IF(Table1[[#This Row],[Description]]="","",IF(Table1[[#This Row],[Currency]]=$Q$2,$R$2,HLOOKUP(Table1[[#This Row],[Date]],Funds!$C$10:$GV$11,2,FALSE)))</f>
        <v/>
      </c>
      <c r="I566" s="217" t="str">
        <f>IF(Table1[[#This Row],[Description]]="","",Table1[[#This Row],[Value]]/Table1[[#This Row],[Conversion]])</f>
        <v/>
      </c>
      <c r="J566" s="50" t="str">
        <f>IF(Table1[[#This Row],[Description]]="","",DATE(Table1[[#This Row],[Year]],Table1[[#This Row],[Month]],1))</f>
        <v/>
      </c>
    </row>
    <row r="567" spans="8:10" x14ac:dyDescent="0.25">
      <c r="H567" t="str">
        <f>IF(Table1[[#This Row],[Description]]="","",IF(Table1[[#This Row],[Currency]]=$Q$2,$R$2,HLOOKUP(Table1[[#This Row],[Date]],Funds!$C$10:$GV$11,2,FALSE)))</f>
        <v/>
      </c>
      <c r="I567" s="217" t="str">
        <f>IF(Table1[[#This Row],[Description]]="","",Table1[[#This Row],[Value]]/Table1[[#This Row],[Conversion]])</f>
        <v/>
      </c>
      <c r="J567" s="50" t="str">
        <f>IF(Table1[[#This Row],[Description]]="","",DATE(Table1[[#This Row],[Year]],Table1[[#This Row],[Month]],1))</f>
        <v/>
      </c>
    </row>
    <row r="568" spans="8:10" x14ac:dyDescent="0.25">
      <c r="H568" t="str">
        <f>IF(Table1[[#This Row],[Description]]="","",IF(Table1[[#This Row],[Currency]]=$Q$2,$R$2,HLOOKUP(Table1[[#This Row],[Date]],Funds!$C$10:$GV$11,2,FALSE)))</f>
        <v/>
      </c>
      <c r="I568" s="217" t="str">
        <f>IF(Table1[[#This Row],[Description]]="","",Table1[[#This Row],[Value]]/Table1[[#This Row],[Conversion]])</f>
        <v/>
      </c>
      <c r="J568" s="50" t="str">
        <f>IF(Table1[[#This Row],[Description]]="","",DATE(Table1[[#This Row],[Year]],Table1[[#This Row],[Month]],1))</f>
        <v/>
      </c>
    </row>
    <row r="569" spans="8:10" x14ac:dyDescent="0.25">
      <c r="H569" t="str">
        <f>IF(Table1[[#This Row],[Description]]="","",IF(Table1[[#This Row],[Currency]]=$Q$2,$R$2,HLOOKUP(Table1[[#This Row],[Date]],Funds!$C$10:$GV$11,2,FALSE)))</f>
        <v/>
      </c>
      <c r="I569" s="217" t="str">
        <f>IF(Table1[[#This Row],[Description]]="","",Table1[[#This Row],[Value]]/Table1[[#This Row],[Conversion]])</f>
        <v/>
      </c>
      <c r="J569" s="50" t="str">
        <f>IF(Table1[[#This Row],[Description]]="","",DATE(Table1[[#This Row],[Year]],Table1[[#This Row],[Month]],1))</f>
        <v/>
      </c>
    </row>
    <row r="570" spans="8:10" x14ac:dyDescent="0.25">
      <c r="H570" t="str">
        <f>IF(Table1[[#This Row],[Description]]="","",IF(Table1[[#This Row],[Currency]]=$Q$2,$R$2,HLOOKUP(Table1[[#This Row],[Date]],Funds!$C$10:$GV$11,2,FALSE)))</f>
        <v/>
      </c>
      <c r="I570" s="217" t="str">
        <f>IF(Table1[[#This Row],[Description]]="","",Table1[[#This Row],[Value]]/Table1[[#This Row],[Conversion]])</f>
        <v/>
      </c>
      <c r="J570" s="50" t="str">
        <f>IF(Table1[[#This Row],[Description]]="","",DATE(Table1[[#This Row],[Year]],Table1[[#This Row],[Month]],1))</f>
        <v/>
      </c>
    </row>
    <row r="571" spans="8:10" x14ac:dyDescent="0.25">
      <c r="H571" t="str">
        <f>IF(Table1[[#This Row],[Description]]="","",IF(Table1[[#This Row],[Currency]]=$Q$2,$R$2,HLOOKUP(Table1[[#This Row],[Date]],Funds!$C$10:$GV$11,2,FALSE)))</f>
        <v/>
      </c>
      <c r="I571" s="217" t="str">
        <f>IF(Table1[[#This Row],[Description]]="","",Table1[[#This Row],[Value]]/Table1[[#This Row],[Conversion]])</f>
        <v/>
      </c>
      <c r="J571" s="50" t="str">
        <f>IF(Table1[[#This Row],[Description]]="","",DATE(Table1[[#This Row],[Year]],Table1[[#This Row],[Month]],1))</f>
        <v/>
      </c>
    </row>
    <row r="572" spans="8:10" x14ac:dyDescent="0.25">
      <c r="H572" t="str">
        <f>IF(Table1[[#This Row],[Description]]="","",IF(Table1[[#This Row],[Currency]]=$Q$2,$R$2,HLOOKUP(Table1[[#This Row],[Date]],Funds!$C$10:$GV$11,2,FALSE)))</f>
        <v/>
      </c>
      <c r="I572" s="217" t="str">
        <f>IF(Table1[[#This Row],[Description]]="","",Table1[[#This Row],[Value]]/Table1[[#This Row],[Conversion]])</f>
        <v/>
      </c>
      <c r="J572" s="50" t="str">
        <f>IF(Table1[[#This Row],[Description]]="","",DATE(Table1[[#This Row],[Year]],Table1[[#This Row],[Month]],1))</f>
        <v/>
      </c>
    </row>
    <row r="573" spans="8:10" x14ac:dyDescent="0.25">
      <c r="H573" t="str">
        <f>IF(Table1[[#This Row],[Description]]="","",IF(Table1[[#This Row],[Currency]]=$Q$2,$R$2,HLOOKUP(Table1[[#This Row],[Date]],Funds!$C$10:$GV$11,2,FALSE)))</f>
        <v/>
      </c>
      <c r="I573" s="217" t="str">
        <f>IF(Table1[[#This Row],[Description]]="","",Table1[[#This Row],[Value]]/Table1[[#This Row],[Conversion]])</f>
        <v/>
      </c>
      <c r="J573" s="50" t="str">
        <f>IF(Table1[[#This Row],[Description]]="","",DATE(Table1[[#This Row],[Year]],Table1[[#This Row],[Month]],1))</f>
        <v/>
      </c>
    </row>
    <row r="574" spans="8:10" x14ac:dyDescent="0.25">
      <c r="H574" t="str">
        <f>IF(Table1[[#This Row],[Description]]="","",IF(Table1[[#This Row],[Currency]]=$Q$2,$R$2,HLOOKUP(Table1[[#This Row],[Date]],Funds!$C$10:$GV$11,2,FALSE)))</f>
        <v/>
      </c>
      <c r="I574" s="217" t="str">
        <f>IF(Table1[[#This Row],[Description]]="","",Table1[[#This Row],[Value]]/Table1[[#This Row],[Conversion]])</f>
        <v/>
      </c>
      <c r="J574" s="50" t="str">
        <f>IF(Table1[[#This Row],[Description]]="","",DATE(Table1[[#This Row],[Year]],Table1[[#This Row],[Month]],1))</f>
        <v/>
      </c>
    </row>
    <row r="575" spans="8:10" x14ac:dyDescent="0.25">
      <c r="H575" t="str">
        <f>IF(Table1[[#This Row],[Description]]="","",IF(Table1[[#This Row],[Currency]]=$Q$2,$R$2,HLOOKUP(Table1[[#This Row],[Date]],Funds!$C$10:$GV$11,2,FALSE)))</f>
        <v/>
      </c>
      <c r="I575" s="217" t="str">
        <f>IF(Table1[[#This Row],[Description]]="","",Table1[[#This Row],[Value]]/Table1[[#This Row],[Conversion]])</f>
        <v/>
      </c>
      <c r="J575" s="50" t="str">
        <f>IF(Table1[[#This Row],[Description]]="","",DATE(Table1[[#This Row],[Year]],Table1[[#This Row],[Month]],1))</f>
        <v/>
      </c>
    </row>
    <row r="576" spans="8:10" x14ac:dyDescent="0.25">
      <c r="H576" t="str">
        <f>IF(Table1[[#This Row],[Description]]="","",IF(Table1[[#This Row],[Currency]]=$Q$2,$R$2,HLOOKUP(Table1[[#This Row],[Date]],Funds!$C$10:$GV$11,2,FALSE)))</f>
        <v/>
      </c>
      <c r="I576" s="217" t="str">
        <f>IF(Table1[[#This Row],[Description]]="","",Table1[[#This Row],[Value]]/Table1[[#This Row],[Conversion]])</f>
        <v/>
      </c>
      <c r="J576" s="50" t="str">
        <f>IF(Table1[[#This Row],[Description]]="","",DATE(Table1[[#This Row],[Year]],Table1[[#This Row],[Month]],1))</f>
        <v/>
      </c>
    </row>
    <row r="577" spans="8:10" x14ac:dyDescent="0.25">
      <c r="H577" t="str">
        <f>IF(Table1[[#This Row],[Description]]="","",IF(Table1[[#This Row],[Currency]]=$Q$2,$R$2,HLOOKUP(Table1[[#This Row],[Date]],Funds!$C$10:$GV$11,2,FALSE)))</f>
        <v/>
      </c>
      <c r="I577" s="217" t="str">
        <f>IF(Table1[[#This Row],[Description]]="","",Table1[[#This Row],[Value]]/Table1[[#This Row],[Conversion]])</f>
        <v/>
      </c>
      <c r="J577" s="50" t="str">
        <f>IF(Table1[[#This Row],[Description]]="","",DATE(Table1[[#This Row],[Year]],Table1[[#This Row],[Month]],1))</f>
        <v/>
      </c>
    </row>
    <row r="578" spans="8:10" x14ac:dyDescent="0.25">
      <c r="H578" t="str">
        <f>IF(Table1[[#This Row],[Description]]="","",IF(Table1[[#This Row],[Currency]]=$Q$2,$R$2,HLOOKUP(Table1[[#This Row],[Date]],Funds!$C$10:$GV$11,2,FALSE)))</f>
        <v/>
      </c>
      <c r="I578" s="217" t="str">
        <f>IF(Table1[[#This Row],[Description]]="","",Table1[[#This Row],[Value]]/Table1[[#This Row],[Conversion]])</f>
        <v/>
      </c>
      <c r="J578" s="50" t="str">
        <f>IF(Table1[[#This Row],[Description]]="","",DATE(Table1[[#This Row],[Year]],Table1[[#This Row],[Month]],1))</f>
        <v/>
      </c>
    </row>
    <row r="579" spans="8:10" x14ac:dyDescent="0.25">
      <c r="H579" t="str">
        <f>IF(Table1[[#This Row],[Description]]="","",IF(Table1[[#This Row],[Currency]]=$Q$2,$R$2,HLOOKUP(Table1[[#This Row],[Date]],Funds!$C$10:$GV$11,2,FALSE)))</f>
        <v/>
      </c>
      <c r="I579" s="217" t="str">
        <f>IF(Table1[[#This Row],[Description]]="","",Table1[[#This Row],[Value]]/Table1[[#This Row],[Conversion]])</f>
        <v/>
      </c>
      <c r="J579" s="50" t="str">
        <f>IF(Table1[[#This Row],[Description]]="","",DATE(Table1[[#This Row],[Year]],Table1[[#This Row],[Month]],1))</f>
        <v/>
      </c>
    </row>
    <row r="580" spans="8:10" x14ac:dyDescent="0.25">
      <c r="H580" t="str">
        <f>IF(Table1[[#This Row],[Description]]="","",IF(Table1[[#This Row],[Currency]]=$Q$2,$R$2,HLOOKUP(Table1[[#This Row],[Date]],Funds!$C$10:$GV$11,2,FALSE)))</f>
        <v/>
      </c>
      <c r="I580" s="217" t="str">
        <f>IF(Table1[[#This Row],[Description]]="","",Table1[[#This Row],[Value]]/Table1[[#This Row],[Conversion]])</f>
        <v/>
      </c>
      <c r="J580" s="50" t="str">
        <f>IF(Table1[[#This Row],[Description]]="","",DATE(Table1[[#This Row],[Year]],Table1[[#This Row],[Month]],1))</f>
        <v/>
      </c>
    </row>
    <row r="581" spans="8:10" x14ac:dyDescent="0.25">
      <c r="H581" t="str">
        <f>IF(Table1[[#This Row],[Description]]="","",IF(Table1[[#This Row],[Currency]]=$Q$2,$R$2,HLOOKUP(Table1[[#This Row],[Date]],Funds!$C$10:$GV$11,2,FALSE)))</f>
        <v/>
      </c>
      <c r="I581" s="217" t="str">
        <f>IF(Table1[[#This Row],[Description]]="","",Table1[[#This Row],[Value]]/Table1[[#This Row],[Conversion]])</f>
        <v/>
      </c>
      <c r="J581" s="50" t="str">
        <f>IF(Table1[[#This Row],[Description]]="","",DATE(Table1[[#This Row],[Year]],Table1[[#This Row],[Month]],1))</f>
        <v/>
      </c>
    </row>
    <row r="582" spans="8:10" x14ac:dyDescent="0.25">
      <c r="H582" t="str">
        <f>IF(Table1[[#This Row],[Description]]="","",IF(Table1[[#This Row],[Currency]]=$Q$2,$R$2,HLOOKUP(Table1[[#This Row],[Date]],Funds!$C$10:$GV$11,2,FALSE)))</f>
        <v/>
      </c>
      <c r="I582" s="217" t="str">
        <f>IF(Table1[[#This Row],[Description]]="","",Table1[[#This Row],[Value]]/Table1[[#This Row],[Conversion]])</f>
        <v/>
      </c>
      <c r="J582" s="50" t="str">
        <f>IF(Table1[[#This Row],[Description]]="","",DATE(Table1[[#This Row],[Year]],Table1[[#This Row],[Month]],1))</f>
        <v/>
      </c>
    </row>
    <row r="583" spans="8:10" x14ac:dyDescent="0.25">
      <c r="H583" t="str">
        <f>IF(Table1[[#This Row],[Description]]="","",IF(Table1[[#This Row],[Currency]]=$Q$2,$R$2,HLOOKUP(Table1[[#This Row],[Date]],Funds!$C$10:$GV$11,2,FALSE)))</f>
        <v/>
      </c>
      <c r="I583" s="217" t="str">
        <f>IF(Table1[[#This Row],[Description]]="","",Table1[[#This Row],[Value]]/Table1[[#This Row],[Conversion]])</f>
        <v/>
      </c>
      <c r="J583" s="50" t="str">
        <f>IF(Table1[[#This Row],[Description]]="","",DATE(Table1[[#This Row],[Year]],Table1[[#This Row],[Month]],1))</f>
        <v/>
      </c>
    </row>
    <row r="584" spans="8:10" x14ac:dyDescent="0.25">
      <c r="H584" t="str">
        <f>IF(Table1[[#This Row],[Description]]="","",IF(Table1[[#This Row],[Currency]]=$Q$2,$R$2,HLOOKUP(Table1[[#This Row],[Date]],Funds!$C$10:$GV$11,2,FALSE)))</f>
        <v/>
      </c>
      <c r="I584" s="217" t="str">
        <f>IF(Table1[[#This Row],[Description]]="","",Table1[[#This Row],[Value]]/Table1[[#This Row],[Conversion]])</f>
        <v/>
      </c>
      <c r="J584" s="50" t="str">
        <f>IF(Table1[[#This Row],[Description]]="","",DATE(Table1[[#This Row],[Year]],Table1[[#This Row],[Month]],1))</f>
        <v/>
      </c>
    </row>
    <row r="585" spans="8:10" x14ac:dyDescent="0.25">
      <c r="H585" t="str">
        <f>IF(Table1[[#This Row],[Description]]="","",IF(Table1[[#This Row],[Currency]]=$Q$2,$R$2,HLOOKUP(Table1[[#This Row],[Date]],Funds!$C$10:$GV$11,2,FALSE)))</f>
        <v/>
      </c>
      <c r="I585" s="217" t="str">
        <f>IF(Table1[[#This Row],[Description]]="","",Table1[[#This Row],[Value]]/Table1[[#This Row],[Conversion]])</f>
        <v/>
      </c>
      <c r="J585" s="50" t="str">
        <f>IF(Table1[[#This Row],[Description]]="","",DATE(Table1[[#This Row],[Year]],Table1[[#This Row],[Month]],1))</f>
        <v/>
      </c>
    </row>
    <row r="586" spans="8:10" x14ac:dyDescent="0.25">
      <c r="H586" t="str">
        <f>IF(Table1[[#This Row],[Description]]="","",IF(Table1[[#This Row],[Currency]]=$Q$2,$R$2,HLOOKUP(Table1[[#This Row],[Date]],Funds!$C$10:$GV$11,2,FALSE)))</f>
        <v/>
      </c>
      <c r="I586" s="217" t="str">
        <f>IF(Table1[[#This Row],[Description]]="","",Table1[[#This Row],[Value]]/Table1[[#This Row],[Conversion]])</f>
        <v/>
      </c>
      <c r="J586" s="50" t="str">
        <f>IF(Table1[[#This Row],[Description]]="","",DATE(Table1[[#This Row],[Year]],Table1[[#This Row],[Month]],1))</f>
        <v/>
      </c>
    </row>
    <row r="587" spans="8:10" x14ac:dyDescent="0.25">
      <c r="H587" t="str">
        <f>IF(Table1[[#This Row],[Description]]="","",IF(Table1[[#This Row],[Currency]]=$Q$2,$R$2,HLOOKUP(Table1[[#This Row],[Date]],Funds!$C$10:$GV$11,2,FALSE)))</f>
        <v/>
      </c>
      <c r="I587" s="217" t="str">
        <f>IF(Table1[[#This Row],[Description]]="","",Table1[[#This Row],[Value]]/Table1[[#This Row],[Conversion]])</f>
        <v/>
      </c>
      <c r="J587" s="50" t="str">
        <f>IF(Table1[[#This Row],[Description]]="","",DATE(Table1[[#This Row],[Year]],Table1[[#This Row],[Month]],1))</f>
        <v/>
      </c>
    </row>
    <row r="588" spans="8:10" x14ac:dyDescent="0.25">
      <c r="H588" t="str">
        <f>IF(Table1[[#This Row],[Description]]="","",IF(Table1[[#This Row],[Currency]]=$Q$2,$R$2,HLOOKUP(Table1[[#This Row],[Date]],Funds!$C$10:$GV$11,2,FALSE)))</f>
        <v/>
      </c>
      <c r="I588" s="217" t="str">
        <f>IF(Table1[[#This Row],[Description]]="","",Table1[[#This Row],[Value]]/Table1[[#This Row],[Conversion]])</f>
        <v/>
      </c>
      <c r="J588" s="50" t="str">
        <f>IF(Table1[[#This Row],[Description]]="","",DATE(Table1[[#This Row],[Year]],Table1[[#This Row],[Month]],1))</f>
        <v/>
      </c>
    </row>
    <row r="589" spans="8:10" x14ac:dyDescent="0.25">
      <c r="H589" t="str">
        <f>IF(Table1[[#This Row],[Description]]="","",IF(Table1[[#This Row],[Currency]]=$Q$2,$R$2,HLOOKUP(Table1[[#This Row],[Date]],Funds!$C$10:$GV$11,2,FALSE)))</f>
        <v/>
      </c>
      <c r="I589" s="217" t="str">
        <f>IF(Table1[[#This Row],[Description]]="","",Table1[[#This Row],[Value]]/Table1[[#This Row],[Conversion]])</f>
        <v/>
      </c>
      <c r="J589" s="50" t="str">
        <f>IF(Table1[[#This Row],[Description]]="","",DATE(Table1[[#This Row],[Year]],Table1[[#This Row],[Month]],1))</f>
        <v/>
      </c>
    </row>
    <row r="590" spans="8:10" x14ac:dyDescent="0.25">
      <c r="H590" t="str">
        <f>IF(Table1[[#This Row],[Description]]="","",IF(Table1[[#This Row],[Currency]]=$Q$2,$R$2,HLOOKUP(Table1[[#This Row],[Date]],Funds!$C$10:$GV$11,2,FALSE)))</f>
        <v/>
      </c>
      <c r="I590" s="217" t="str">
        <f>IF(Table1[[#This Row],[Description]]="","",Table1[[#This Row],[Value]]/Table1[[#This Row],[Conversion]])</f>
        <v/>
      </c>
      <c r="J590" s="50" t="str">
        <f>IF(Table1[[#This Row],[Description]]="","",DATE(Table1[[#This Row],[Year]],Table1[[#This Row],[Month]],1))</f>
        <v/>
      </c>
    </row>
    <row r="591" spans="8:10" x14ac:dyDescent="0.25">
      <c r="H591" t="str">
        <f>IF(Table1[[#This Row],[Description]]="","",IF(Table1[[#This Row],[Currency]]=$Q$2,$R$2,HLOOKUP(Table1[[#This Row],[Date]],Funds!$C$10:$GV$11,2,FALSE)))</f>
        <v/>
      </c>
      <c r="I591" s="217" t="str">
        <f>IF(Table1[[#This Row],[Description]]="","",Table1[[#This Row],[Value]]/Table1[[#This Row],[Conversion]])</f>
        <v/>
      </c>
      <c r="J591" s="50" t="str">
        <f>IF(Table1[[#This Row],[Description]]="","",DATE(Table1[[#This Row],[Year]],Table1[[#This Row],[Month]],1))</f>
        <v/>
      </c>
    </row>
    <row r="592" spans="8:10" x14ac:dyDescent="0.25">
      <c r="H592" t="str">
        <f>IF(Table1[[#This Row],[Description]]="","",IF(Table1[[#This Row],[Currency]]=$Q$2,$R$2,HLOOKUP(Table1[[#This Row],[Date]],Funds!$C$10:$GV$11,2,FALSE)))</f>
        <v/>
      </c>
      <c r="I592" s="217" t="str">
        <f>IF(Table1[[#This Row],[Description]]="","",Table1[[#This Row],[Value]]/Table1[[#This Row],[Conversion]])</f>
        <v/>
      </c>
      <c r="J592" s="50" t="str">
        <f>IF(Table1[[#This Row],[Description]]="","",DATE(Table1[[#This Row],[Year]],Table1[[#This Row],[Month]],1))</f>
        <v/>
      </c>
    </row>
    <row r="593" spans="8:10" x14ac:dyDescent="0.25">
      <c r="H593" t="str">
        <f>IF(Table1[[#This Row],[Description]]="","",IF(Table1[[#This Row],[Currency]]=$Q$2,$R$2,HLOOKUP(Table1[[#This Row],[Date]],Funds!$C$10:$GV$11,2,FALSE)))</f>
        <v/>
      </c>
      <c r="I593" s="217" t="str">
        <f>IF(Table1[[#This Row],[Description]]="","",Table1[[#This Row],[Value]]/Table1[[#This Row],[Conversion]])</f>
        <v/>
      </c>
      <c r="J593" s="50" t="str">
        <f>IF(Table1[[#This Row],[Description]]="","",DATE(Table1[[#This Row],[Year]],Table1[[#This Row],[Month]],1))</f>
        <v/>
      </c>
    </row>
    <row r="594" spans="8:10" x14ac:dyDescent="0.25">
      <c r="H594" t="str">
        <f>IF(Table1[[#This Row],[Description]]="","",IF(Table1[[#This Row],[Currency]]=$Q$2,$R$2,HLOOKUP(Table1[[#This Row],[Date]],Funds!$C$10:$GV$11,2,FALSE)))</f>
        <v/>
      </c>
      <c r="I594" s="217" t="str">
        <f>IF(Table1[[#This Row],[Description]]="","",Table1[[#This Row],[Value]]/Table1[[#This Row],[Conversion]])</f>
        <v/>
      </c>
      <c r="J594" s="50" t="str">
        <f>IF(Table1[[#This Row],[Description]]="","",DATE(Table1[[#This Row],[Year]],Table1[[#This Row],[Month]],1))</f>
        <v/>
      </c>
    </row>
    <row r="595" spans="8:10" x14ac:dyDescent="0.25">
      <c r="H595" t="str">
        <f>IF(Table1[[#This Row],[Description]]="","",IF(Table1[[#This Row],[Currency]]=$Q$2,$R$2,HLOOKUP(Table1[[#This Row],[Date]],Funds!$C$10:$GV$11,2,FALSE)))</f>
        <v/>
      </c>
      <c r="I595" s="217" t="str">
        <f>IF(Table1[[#This Row],[Description]]="","",Table1[[#This Row],[Value]]/Table1[[#This Row],[Conversion]])</f>
        <v/>
      </c>
      <c r="J595" s="50" t="str">
        <f>IF(Table1[[#This Row],[Description]]="","",DATE(Table1[[#This Row],[Year]],Table1[[#This Row],[Month]],1))</f>
        <v/>
      </c>
    </row>
    <row r="596" spans="8:10" x14ac:dyDescent="0.25">
      <c r="H596" t="str">
        <f>IF(Table1[[#This Row],[Description]]="","",IF(Table1[[#This Row],[Currency]]=$Q$2,$R$2,HLOOKUP(Table1[[#This Row],[Date]],Funds!$C$10:$GV$11,2,FALSE)))</f>
        <v/>
      </c>
      <c r="I596" s="217" t="str">
        <f>IF(Table1[[#This Row],[Description]]="","",Table1[[#This Row],[Value]]/Table1[[#This Row],[Conversion]])</f>
        <v/>
      </c>
      <c r="J596" s="50" t="str">
        <f>IF(Table1[[#This Row],[Description]]="","",DATE(Table1[[#This Row],[Year]],Table1[[#This Row],[Month]],1))</f>
        <v/>
      </c>
    </row>
    <row r="597" spans="8:10" x14ac:dyDescent="0.25">
      <c r="H597" t="str">
        <f>IF(Table1[[#This Row],[Description]]="","",IF(Table1[[#This Row],[Currency]]=$Q$2,$R$2,HLOOKUP(Table1[[#This Row],[Date]],Funds!$C$10:$GV$11,2,FALSE)))</f>
        <v/>
      </c>
      <c r="I597" s="217" t="str">
        <f>IF(Table1[[#This Row],[Description]]="","",Table1[[#This Row],[Value]]/Table1[[#This Row],[Conversion]])</f>
        <v/>
      </c>
      <c r="J597" s="50" t="str">
        <f>IF(Table1[[#This Row],[Description]]="","",DATE(Table1[[#This Row],[Year]],Table1[[#This Row],[Month]],1))</f>
        <v/>
      </c>
    </row>
    <row r="598" spans="8:10" x14ac:dyDescent="0.25">
      <c r="H598" t="str">
        <f>IF(Table1[[#This Row],[Description]]="","",IF(Table1[[#This Row],[Currency]]=$Q$2,$R$2,HLOOKUP(Table1[[#This Row],[Date]],Funds!$C$10:$GV$11,2,FALSE)))</f>
        <v/>
      </c>
      <c r="I598" s="217" t="str">
        <f>IF(Table1[[#This Row],[Description]]="","",Table1[[#This Row],[Value]]/Table1[[#This Row],[Conversion]])</f>
        <v/>
      </c>
      <c r="J598" s="50" t="str">
        <f>IF(Table1[[#This Row],[Description]]="","",DATE(Table1[[#This Row],[Year]],Table1[[#This Row],[Month]],1))</f>
        <v/>
      </c>
    </row>
    <row r="599" spans="8:10" x14ac:dyDescent="0.25">
      <c r="H599" t="str">
        <f>IF(Table1[[#This Row],[Description]]="","",IF(Table1[[#This Row],[Currency]]=$Q$2,$R$2,HLOOKUP(Table1[[#This Row],[Date]],Funds!$C$10:$GV$11,2,FALSE)))</f>
        <v/>
      </c>
      <c r="I599" s="217" t="str">
        <f>IF(Table1[[#This Row],[Description]]="","",Table1[[#This Row],[Value]]/Table1[[#This Row],[Conversion]])</f>
        <v/>
      </c>
      <c r="J599" s="50" t="str">
        <f>IF(Table1[[#This Row],[Description]]="","",DATE(Table1[[#This Row],[Year]],Table1[[#This Row],[Month]],1))</f>
        <v/>
      </c>
    </row>
    <row r="600" spans="8:10" x14ac:dyDescent="0.25">
      <c r="H600" t="str">
        <f>IF(Table1[[#This Row],[Description]]="","",IF(Table1[[#This Row],[Currency]]=$Q$2,$R$2,HLOOKUP(Table1[[#This Row],[Date]],Funds!$C$10:$GV$11,2,FALSE)))</f>
        <v/>
      </c>
      <c r="I600" s="217" t="str">
        <f>IF(Table1[[#This Row],[Description]]="","",Table1[[#This Row],[Value]]/Table1[[#This Row],[Conversion]])</f>
        <v/>
      </c>
      <c r="J600" s="50" t="str">
        <f>IF(Table1[[#This Row],[Description]]="","",DATE(Table1[[#This Row],[Year]],Table1[[#This Row],[Month]],1))</f>
        <v/>
      </c>
    </row>
    <row r="601" spans="8:10" x14ac:dyDescent="0.25">
      <c r="H601" t="str">
        <f>IF(Table1[[#This Row],[Description]]="","",IF(Table1[[#This Row],[Currency]]=$Q$2,$R$2,HLOOKUP(Table1[[#This Row],[Date]],Funds!$C$10:$GV$11,2,FALSE)))</f>
        <v/>
      </c>
      <c r="I601" s="217" t="str">
        <f>IF(Table1[[#This Row],[Description]]="","",Table1[[#This Row],[Value]]/Table1[[#This Row],[Conversion]])</f>
        <v/>
      </c>
      <c r="J601" s="50" t="str">
        <f>IF(Table1[[#This Row],[Description]]="","",DATE(Table1[[#This Row],[Year]],Table1[[#This Row],[Month]],1))</f>
        <v/>
      </c>
    </row>
    <row r="602" spans="8:10" x14ac:dyDescent="0.25">
      <c r="H602" t="str">
        <f>IF(Table1[[#This Row],[Description]]="","",IF(Table1[[#This Row],[Currency]]=$Q$2,$R$2,HLOOKUP(Table1[[#This Row],[Date]],Funds!$C$10:$GV$11,2,FALSE)))</f>
        <v/>
      </c>
      <c r="I602" s="217" t="str">
        <f>IF(Table1[[#This Row],[Description]]="","",Table1[[#This Row],[Value]]/Table1[[#This Row],[Conversion]])</f>
        <v/>
      </c>
      <c r="J602" s="50" t="str">
        <f>IF(Table1[[#This Row],[Description]]="","",DATE(Table1[[#This Row],[Year]],Table1[[#This Row],[Month]],1))</f>
        <v/>
      </c>
    </row>
    <row r="603" spans="8:10" x14ac:dyDescent="0.25">
      <c r="H603" t="str">
        <f>IF(Table1[[#This Row],[Description]]="","",IF(Table1[[#This Row],[Currency]]=$Q$2,$R$2,HLOOKUP(Table1[[#This Row],[Date]],Funds!$C$10:$GV$11,2,FALSE)))</f>
        <v/>
      </c>
      <c r="I603" s="217" t="str">
        <f>IF(Table1[[#This Row],[Description]]="","",Table1[[#This Row],[Value]]/Table1[[#This Row],[Conversion]])</f>
        <v/>
      </c>
      <c r="J603" s="50" t="str">
        <f>IF(Table1[[#This Row],[Description]]="","",DATE(Table1[[#This Row],[Year]],Table1[[#This Row],[Month]],1))</f>
        <v/>
      </c>
    </row>
    <row r="604" spans="8:10" x14ac:dyDescent="0.25">
      <c r="H604" t="str">
        <f>IF(Table1[[#This Row],[Description]]="","",IF(Table1[[#This Row],[Currency]]=$Q$2,$R$2,HLOOKUP(Table1[[#This Row],[Date]],Funds!$C$10:$GV$11,2,FALSE)))</f>
        <v/>
      </c>
      <c r="I604" s="217" t="str">
        <f>IF(Table1[[#This Row],[Description]]="","",Table1[[#This Row],[Value]]/Table1[[#This Row],[Conversion]])</f>
        <v/>
      </c>
      <c r="J604" s="50" t="str">
        <f>IF(Table1[[#This Row],[Description]]="","",DATE(Table1[[#This Row],[Year]],Table1[[#This Row],[Month]],1))</f>
        <v/>
      </c>
    </row>
    <row r="605" spans="8:10" x14ac:dyDescent="0.25">
      <c r="H605" t="str">
        <f>IF(Table1[[#This Row],[Description]]="","",IF(Table1[[#This Row],[Currency]]=$Q$2,$R$2,HLOOKUP(Table1[[#This Row],[Date]],Funds!$C$10:$GV$11,2,FALSE)))</f>
        <v/>
      </c>
      <c r="I605" s="217" t="str">
        <f>IF(Table1[[#This Row],[Description]]="","",Table1[[#This Row],[Value]]/Table1[[#This Row],[Conversion]])</f>
        <v/>
      </c>
      <c r="J605" s="50" t="str">
        <f>IF(Table1[[#This Row],[Description]]="","",DATE(Table1[[#This Row],[Year]],Table1[[#This Row],[Month]],1))</f>
        <v/>
      </c>
    </row>
    <row r="606" spans="8:10" x14ac:dyDescent="0.25">
      <c r="H606" t="str">
        <f>IF(Table1[[#This Row],[Description]]="","",IF(Table1[[#This Row],[Currency]]=$Q$2,$R$2,HLOOKUP(Table1[[#This Row],[Date]],Funds!$C$10:$GV$11,2,FALSE)))</f>
        <v/>
      </c>
      <c r="I606" s="217" t="str">
        <f>IF(Table1[[#This Row],[Description]]="","",Table1[[#This Row],[Value]]/Table1[[#This Row],[Conversion]])</f>
        <v/>
      </c>
      <c r="J606" s="50" t="str">
        <f>IF(Table1[[#This Row],[Description]]="","",DATE(Table1[[#This Row],[Year]],Table1[[#This Row],[Month]],1))</f>
        <v/>
      </c>
    </row>
    <row r="607" spans="8:10" x14ac:dyDescent="0.25">
      <c r="H607" t="str">
        <f>IF(Table1[[#This Row],[Description]]="","",IF(Table1[[#This Row],[Currency]]=$Q$2,$R$2,HLOOKUP(Table1[[#This Row],[Date]],Funds!$C$10:$GV$11,2,FALSE)))</f>
        <v/>
      </c>
      <c r="I607" s="217" t="str">
        <f>IF(Table1[[#This Row],[Description]]="","",Table1[[#This Row],[Value]]/Table1[[#This Row],[Conversion]])</f>
        <v/>
      </c>
      <c r="J607" s="50" t="str">
        <f>IF(Table1[[#This Row],[Description]]="","",DATE(Table1[[#This Row],[Year]],Table1[[#This Row],[Month]],1))</f>
        <v/>
      </c>
    </row>
    <row r="608" spans="8:10" x14ac:dyDescent="0.25">
      <c r="H608" t="str">
        <f>IF(Table1[[#This Row],[Description]]="","",IF(Table1[[#This Row],[Currency]]=$Q$2,$R$2,HLOOKUP(Table1[[#This Row],[Date]],Funds!$C$10:$GV$11,2,FALSE)))</f>
        <v/>
      </c>
      <c r="I608" s="217" t="str">
        <f>IF(Table1[[#This Row],[Description]]="","",Table1[[#This Row],[Value]]/Table1[[#This Row],[Conversion]])</f>
        <v/>
      </c>
      <c r="J608" s="50" t="str">
        <f>IF(Table1[[#This Row],[Description]]="","",DATE(Table1[[#This Row],[Year]],Table1[[#This Row],[Month]],1))</f>
        <v/>
      </c>
    </row>
    <row r="609" spans="8:10" x14ac:dyDescent="0.25">
      <c r="H609" t="str">
        <f>IF(Table1[[#This Row],[Description]]="","",IF(Table1[[#This Row],[Currency]]=$Q$2,$R$2,HLOOKUP(Table1[[#This Row],[Date]],Funds!$C$10:$GV$11,2,FALSE)))</f>
        <v/>
      </c>
      <c r="I609" s="217" t="str">
        <f>IF(Table1[[#This Row],[Description]]="","",Table1[[#This Row],[Value]]/Table1[[#This Row],[Conversion]])</f>
        <v/>
      </c>
      <c r="J609" s="50" t="str">
        <f>IF(Table1[[#This Row],[Description]]="","",DATE(Table1[[#This Row],[Year]],Table1[[#This Row],[Month]],1))</f>
        <v/>
      </c>
    </row>
    <row r="610" spans="8:10" x14ac:dyDescent="0.25">
      <c r="H610" t="str">
        <f>IF(Table1[[#This Row],[Description]]="","",IF(Table1[[#This Row],[Currency]]=$Q$2,$R$2,HLOOKUP(Table1[[#This Row],[Date]],Funds!$C$10:$GV$11,2,FALSE)))</f>
        <v/>
      </c>
      <c r="I610" s="217" t="str">
        <f>IF(Table1[[#This Row],[Description]]="","",Table1[[#This Row],[Value]]/Table1[[#This Row],[Conversion]])</f>
        <v/>
      </c>
      <c r="J610" s="50" t="str">
        <f>IF(Table1[[#This Row],[Description]]="","",DATE(Table1[[#This Row],[Year]],Table1[[#This Row],[Month]],1))</f>
        <v/>
      </c>
    </row>
    <row r="611" spans="8:10" x14ac:dyDescent="0.25">
      <c r="H611" t="str">
        <f>IF(Table1[[#This Row],[Description]]="","",IF(Table1[[#This Row],[Currency]]=$Q$2,$R$2,HLOOKUP(Table1[[#This Row],[Date]],Funds!$C$10:$GV$11,2,FALSE)))</f>
        <v/>
      </c>
      <c r="I611" s="217" t="str">
        <f>IF(Table1[[#This Row],[Description]]="","",Table1[[#This Row],[Value]]/Table1[[#This Row],[Conversion]])</f>
        <v/>
      </c>
      <c r="J611" s="50" t="str">
        <f>IF(Table1[[#This Row],[Description]]="","",DATE(Table1[[#This Row],[Year]],Table1[[#This Row],[Month]],1))</f>
        <v/>
      </c>
    </row>
    <row r="612" spans="8:10" x14ac:dyDescent="0.25">
      <c r="H612" t="str">
        <f>IF(Table1[[#This Row],[Description]]="","",IF(Table1[[#This Row],[Currency]]=$Q$2,$R$2,HLOOKUP(Table1[[#This Row],[Date]],Funds!$C$10:$GV$11,2,FALSE)))</f>
        <v/>
      </c>
      <c r="I612" s="217" t="str">
        <f>IF(Table1[[#This Row],[Description]]="","",Table1[[#This Row],[Value]]/Table1[[#This Row],[Conversion]])</f>
        <v/>
      </c>
      <c r="J612" s="50" t="str">
        <f>IF(Table1[[#This Row],[Description]]="","",DATE(Table1[[#This Row],[Year]],Table1[[#This Row],[Month]],1))</f>
        <v/>
      </c>
    </row>
    <row r="613" spans="8:10" x14ac:dyDescent="0.25">
      <c r="H613" t="str">
        <f>IF(Table1[[#This Row],[Description]]="","",IF(Table1[[#This Row],[Currency]]=$Q$2,$R$2,HLOOKUP(Table1[[#This Row],[Date]],Funds!$C$10:$GV$11,2,FALSE)))</f>
        <v/>
      </c>
      <c r="I613" s="217" t="str">
        <f>IF(Table1[[#This Row],[Description]]="","",Table1[[#This Row],[Value]]/Table1[[#This Row],[Conversion]])</f>
        <v/>
      </c>
      <c r="J613" s="50" t="str">
        <f>IF(Table1[[#This Row],[Description]]="","",DATE(Table1[[#This Row],[Year]],Table1[[#This Row],[Month]],1))</f>
        <v/>
      </c>
    </row>
    <row r="614" spans="8:10" x14ac:dyDescent="0.25">
      <c r="H614" t="str">
        <f>IF(Table1[[#This Row],[Description]]="","",IF(Table1[[#This Row],[Currency]]=$Q$2,$R$2,HLOOKUP(Table1[[#This Row],[Date]],Funds!$C$10:$GV$11,2,FALSE)))</f>
        <v/>
      </c>
      <c r="I614" s="217" t="str">
        <f>IF(Table1[[#This Row],[Description]]="","",Table1[[#This Row],[Value]]/Table1[[#This Row],[Conversion]])</f>
        <v/>
      </c>
      <c r="J614" s="50" t="str">
        <f>IF(Table1[[#This Row],[Description]]="","",DATE(Table1[[#This Row],[Year]],Table1[[#This Row],[Month]],1))</f>
        <v/>
      </c>
    </row>
    <row r="615" spans="8:10" x14ac:dyDescent="0.25">
      <c r="H615" t="str">
        <f>IF(Table1[[#This Row],[Description]]="","",IF(Table1[[#This Row],[Currency]]=$Q$2,$R$2,HLOOKUP(Table1[[#This Row],[Date]],Funds!$C$10:$GV$11,2,FALSE)))</f>
        <v/>
      </c>
      <c r="I615" s="217" t="str">
        <f>IF(Table1[[#This Row],[Description]]="","",Table1[[#This Row],[Value]]/Table1[[#This Row],[Conversion]])</f>
        <v/>
      </c>
      <c r="J615" s="50" t="str">
        <f>IF(Table1[[#This Row],[Description]]="","",DATE(Table1[[#This Row],[Year]],Table1[[#This Row],[Month]],1))</f>
        <v/>
      </c>
    </row>
    <row r="616" spans="8:10" x14ac:dyDescent="0.25">
      <c r="H616" t="str">
        <f>IF(Table1[[#This Row],[Description]]="","",IF(Table1[[#This Row],[Currency]]=$Q$2,$R$2,HLOOKUP(Table1[[#This Row],[Date]],Funds!$C$10:$GV$11,2,FALSE)))</f>
        <v/>
      </c>
      <c r="I616" s="217" t="str">
        <f>IF(Table1[[#This Row],[Description]]="","",Table1[[#This Row],[Value]]/Table1[[#This Row],[Conversion]])</f>
        <v/>
      </c>
      <c r="J616" s="50" t="str">
        <f>IF(Table1[[#This Row],[Description]]="","",DATE(Table1[[#This Row],[Year]],Table1[[#This Row],[Month]],1))</f>
        <v/>
      </c>
    </row>
    <row r="617" spans="8:10" x14ac:dyDescent="0.25">
      <c r="H617" t="str">
        <f>IF(Table1[[#This Row],[Description]]="","",IF(Table1[[#This Row],[Currency]]=$Q$2,$R$2,HLOOKUP(Table1[[#This Row],[Date]],Funds!$C$10:$GV$11,2,FALSE)))</f>
        <v/>
      </c>
      <c r="I617" s="217" t="str">
        <f>IF(Table1[[#This Row],[Description]]="","",Table1[[#This Row],[Value]]/Table1[[#This Row],[Conversion]])</f>
        <v/>
      </c>
      <c r="J617" s="50" t="str">
        <f>IF(Table1[[#This Row],[Description]]="","",DATE(Table1[[#This Row],[Year]],Table1[[#This Row],[Month]],1))</f>
        <v/>
      </c>
    </row>
    <row r="618" spans="8:10" x14ac:dyDescent="0.25">
      <c r="H618" t="str">
        <f>IF(Table1[[#This Row],[Description]]="","",IF(Table1[[#This Row],[Currency]]=$Q$2,$R$2,HLOOKUP(Table1[[#This Row],[Date]],Funds!$C$10:$GV$11,2,FALSE)))</f>
        <v/>
      </c>
      <c r="I618" s="217" t="str">
        <f>IF(Table1[[#This Row],[Description]]="","",Table1[[#This Row],[Value]]/Table1[[#This Row],[Conversion]])</f>
        <v/>
      </c>
      <c r="J618" s="50" t="str">
        <f>IF(Table1[[#This Row],[Description]]="","",DATE(Table1[[#This Row],[Year]],Table1[[#This Row],[Month]],1))</f>
        <v/>
      </c>
    </row>
    <row r="619" spans="8:10" x14ac:dyDescent="0.25">
      <c r="H619" t="str">
        <f>IF(Table1[[#This Row],[Description]]="","",IF(Table1[[#This Row],[Currency]]=$Q$2,$R$2,HLOOKUP(Table1[[#This Row],[Date]],Funds!$C$10:$GV$11,2,FALSE)))</f>
        <v/>
      </c>
      <c r="I619" s="217" t="str">
        <f>IF(Table1[[#This Row],[Description]]="","",Table1[[#This Row],[Value]]/Table1[[#This Row],[Conversion]])</f>
        <v/>
      </c>
      <c r="J619" s="50" t="str">
        <f>IF(Table1[[#This Row],[Description]]="","",DATE(Table1[[#This Row],[Year]],Table1[[#This Row],[Month]],1))</f>
        <v/>
      </c>
    </row>
    <row r="620" spans="8:10" x14ac:dyDescent="0.25">
      <c r="H620" t="str">
        <f>IF(Table1[[#This Row],[Description]]="","",IF(Table1[[#This Row],[Currency]]=$Q$2,$R$2,HLOOKUP(Table1[[#This Row],[Date]],Funds!$C$10:$GV$11,2,FALSE)))</f>
        <v/>
      </c>
      <c r="I620" s="217" t="str">
        <f>IF(Table1[[#This Row],[Description]]="","",Table1[[#This Row],[Value]]/Table1[[#This Row],[Conversion]])</f>
        <v/>
      </c>
      <c r="J620" s="50" t="str">
        <f>IF(Table1[[#This Row],[Description]]="","",DATE(Table1[[#This Row],[Year]],Table1[[#This Row],[Month]],1))</f>
        <v/>
      </c>
    </row>
    <row r="621" spans="8:10" x14ac:dyDescent="0.25">
      <c r="H621" t="str">
        <f>IF(Table1[[#This Row],[Description]]="","",IF(Table1[[#This Row],[Currency]]=$Q$2,$R$2,HLOOKUP(Table1[[#This Row],[Date]],Funds!$C$10:$GV$11,2,FALSE)))</f>
        <v/>
      </c>
      <c r="I621" s="217" t="str">
        <f>IF(Table1[[#This Row],[Description]]="","",Table1[[#This Row],[Value]]/Table1[[#This Row],[Conversion]])</f>
        <v/>
      </c>
      <c r="J621" s="50" t="str">
        <f>IF(Table1[[#This Row],[Description]]="","",DATE(Table1[[#This Row],[Year]],Table1[[#This Row],[Month]],1))</f>
        <v/>
      </c>
    </row>
    <row r="622" spans="8:10" x14ac:dyDescent="0.25">
      <c r="H622" t="str">
        <f>IF(Table1[[#This Row],[Description]]="","",IF(Table1[[#This Row],[Currency]]=$Q$2,$R$2,HLOOKUP(Table1[[#This Row],[Date]],Funds!$C$10:$GV$11,2,FALSE)))</f>
        <v/>
      </c>
      <c r="I622" s="217" t="str">
        <f>IF(Table1[[#This Row],[Description]]="","",Table1[[#This Row],[Value]]/Table1[[#This Row],[Conversion]])</f>
        <v/>
      </c>
      <c r="J622" s="50" t="str">
        <f>IF(Table1[[#This Row],[Description]]="","",DATE(Table1[[#This Row],[Year]],Table1[[#This Row],[Month]],1))</f>
        <v/>
      </c>
    </row>
    <row r="623" spans="8:10" x14ac:dyDescent="0.25">
      <c r="H623" t="str">
        <f>IF(Table1[[#This Row],[Description]]="","",IF(Table1[[#This Row],[Currency]]=$Q$2,$R$2,HLOOKUP(Table1[[#This Row],[Date]],Funds!$C$10:$GV$11,2,FALSE)))</f>
        <v/>
      </c>
      <c r="I623" s="217" t="str">
        <f>IF(Table1[[#This Row],[Description]]="","",Table1[[#This Row],[Value]]/Table1[[#This Row],[Conversion]])</f>
        <v/>
      </c>
      <c r="J623" s="50" t="str">
        <f>IF(Table1[[#This Row],[Description]]="","",DATE(Table1[[#This Row],[Year]],Table1[[#This Row],[Month]],1))</f>
        <v/>
      </c>
    </row>
    <row r="624" spans="8:10" x14ac:dyDescent="0.25">
      <c r="H624" t="str">
        <f>IF(Table1[[#This Row],[Description]]="","",IF(Table1[[#This Row],[Currency]]=$Q$2,$R$2,HLOOKUP(Table1[[#This Row],[Date]],Funds!$C$10:$GV$11,2,FALSE)))</f>
        <v/>
      </c>
      <c r="I624" s="217" t="str">
        <f>IF(Table1[[#This Row],[Description]]="","",Table1[[#This Row],[Value]]/Table1[[#This Row],[Conversion]])</f>
        <v/>
      </c>
      <c r="J624" s="50" t="str">
        <f>IF(Table1[[#This Row],[Description]]="","",DATE(Table1[[#This Row],[Year]],Table1[[#This Row],[Month]],1))</f>
        <v/>
      </c>
    </row>
    <row r="625" spans="8:10" x14ac:dyDescent="0.25">
      <c r="H625" t="str">
        <f>IF(Table1[[#This Row],[Description]]="","",IF(Table1[[#This Row],[Currency]]=$Q$2,$R$2,HLOOKUP(Table1[[#This Row],[Date]],Funds!$C$10:$GV$11,2,FALSE)))</f>
        <v/>
      </c>
      <c r="I625" s="217" t="str">
        <f>IF(Table1[[#This Row],[Description]]="","",Table1[[#This Row],[Value]]/Table1[[#This Row],[Conversion]])</f>
        <v/>
      </c>
      <c r="J625" s="50" t="str">
        <f>IF(Table1[[#This Row],[Description]]="","",DATE(Table1[[#This Row],[Year]],Table1[[#This Row],[Month]],1))</f>
        <v/>
      </c>
    </row>
    <row r="626" spans="8:10" x14ac:dyDescent="0.25">
      <c r="H626" t="str">
        <f>IF(Table1[[#This Row],[Description]]="","",IF(Table1[[#This Row],[Currency]]=$Q$2,$R$2,HLOOKUP(Table1[[#This Row],[Date]],Funds!$C$10:$GV$11,2,FALSE)))</f>
        <v/>
      </c>
      <c r="I626" s="217" t="str">
        <f>IF(Table1[[#This Row],[Description]]="","",Table1[[#This Row],[Value]]/Table1[[#This Row],[Conversion]])</f>
        <v/>
      </c>
      <c r="J626" s="50" t="str">
        <f>IF(Table1[[#This Row],[Description]]="","",DATE(Table1[[#This Row],[Year]],Table1[[#This Row],[Month]],1))</f>
        <v/>
      </c>
    </row>
    <row r="627" spans="8:10" x14ac:dyDescent="0.25">
      <c r="H627" t="str">
        <f>IF(Table1[[#This Row],[Description]]="","",IF(Table1[[#This Row],[Currency]]=$Q$2,$R$2,HLOOKUP(Table1[[#This Row],[Date]],Funds!$C$10:$GV$11,2,FALSE)))</f>
        <v/>
      </c>
      <c r="I627" s="217" t="str">
        <f>IF(Table1[[#This Row],[Description]]="","",Table1[[#This Row],[Value]]/Table1[[#This Row],[Conversion]])</f>
        <v/>
      </c>
      <c r="J627" s="50" t="str">
        <f>IF(Table1[[#This Row],[Description]]="","",DATE(Table1[[#This Row],[Year]],Table1[[#This Row],[Month]],1))</f>
        <v/>
      </c>
    </row>
    <row r="628" spans="8:10" x14ac:dyDescent="0.25">
      <c r="H628" t="str">
        <f>IF(Table1[[#This Row],[Description]]="","",IF(Table1[[#This Row],[Currency]]=$Q$2,$R$2,HLOOKUP(Table1[[#This Row],[Date]],Funds!$C$10:$GV$11,2,FALSE)))</f>
        <v/>
      </c>
      <c r="I628" s="217" t="str">
        <f>IF(Table1[[#This Row],[Description]]="","",Table1[[#This Row],[Value]]/Table1[[#This Row],[Conversion]])</f>
        <v/>
      </c>
      <c r="J628" s="50" t="str">
        <f>IF(Table1[[#This Row],[Description]]="","",DATE(Table1[[#This Row],[Year]],Table1[[#This Row],[Month]],1))</f>
        <v/>
      </c>
    </row>
    <row r="629" spans="8:10" x14ac:dyDescent="0.25">
      <c r="H629" t="str">
        <f>IF(Table1[[#This Row],[Description]]="","",IF(Table1[[#This Row],[Currency]]=$Q$2,$R$2,HLOOKUP(Table1[[#This Row],[Date]],Funds!$C$10:$GV$11,2,FALSE)))</f>
        <v/>
      </c>
      <c r="I629" s="217" t="str">
        <f>IF(Table1[[#This Row],[Description]]="","",Table1[[#This Row],[Value]]/Table1[[#This Row],[Conversion]])</f>
        <v/>
      </c>
      <c r="J629" s="50" t="str">
        <f>IF(Table1[[#This Row],[Description]]="","",DATE(Table1[[#This Row],[Year]],Table1[[#This Row],[Month]],1))</f>
        <v/>
      </c>
    </row>
    <row r="630" spans="8:10" x14ac:dyDescent="0.25">
      <c r="H630" t="str">
        <f>IF(Table1[[#This Row],[Description]]="","",IF(Table1[[#This Row],[Currency]]=$Q$2,$R$2,HLOOKUP(Table1[[#This Row],[Date]],Funds!$C$10:$GV$11,2,FALSE)))</f>
        <v/>
      </c>
      <c r="I630" s="217" t="str">
        <f>IF(Table1[[#This Row],[Description]]="","",Table1[[#This Row],[Value]]/Table1[[#This Row],[Conversion]])</f>
        <v/>
      </c>
      <c r="J630" s="50" t="str">
        <f>IF(Table1[[#This Row],[Description]]="","",DATE(Table1[[#This Row],[Year]],Table1[[#This Row],[Month]],1))</f>
        <v/>
      </c>
    </row>
    <row r="631" spans="8:10" x14ac:dyDescent="0.25">
      <c r="H631" t="str">
        <f>IF(Table1[[#This Row],[Description]]="","",IF(Table1[[#This Row],[Currency]]=$Q$2,$R$2,HLOOKUP(Table1[[#This Row],[Date]],Funds!$C$10:$GV$11,2,FALSE)))</f>
        <v/>
      </c>
      <c r="I631" s="217" t="str">
        <f>IF(Table1[[#This Row],[Description]]="","",Table1[[#This Row],[Value]]/Table1[[#This Row],[Conversion]])</f>
        <v/>
      </c>
      <c r="J631" s="50" t="str">
        <f>IF(Table1[[#This Row],[Description]]="","",DATE(Table1[[#This Row],[Year]],Table1[[#This Row],[Month]],1))</f>
        <v/>
      </c>
    </row>
    <row r="632" spans="8:10" x14ac:dyDescent="0.25">
      <c r="H632" t="str">
        <f>IF(Table1[[#This Row],[Description]]="","",IF(Table1[[#This Row],[Currency]]=$Q$2,$R$2,HLOOKUP(Table1[[#This Row],[Date]],Funds!$C$10:$GV$11,2,FALSE)))</f>
        <v/>
      </c>
      <c r="I632" s="217" t="str">
        <f>IF(Table1[[#This Row],[Description]]="","",Table1[[#This Row],[Value]]/Table1[[#This Row],[Conversion]])</f>
        <v/>
      </c>
      <c r="J632" s="50" t="str">
        <f>IF(Table1[[#This Row],[Description]]="","",DATE(Table1[[#This Row],[Year]],Table1[[#This Row],[Month]],1))</f>
        <v/>
      </c>
    </row>
    <row r="633" spans="8:10" x14ac:dyDescent="0.25">
      <c r="H633" t="str">
        <f>IF(Table1[[#This Row],[Description]]="","",IF(Table1[[#This Row],[Currency]]=$Q$2,$R$2,HLOOKUP(Table1[[#This Row],[Date]],Funds!$C$10:$GV$11,2,FALSE)))</f>
        <v/>
      </c>
      <c r="I633" s="217" t="str">
        <f>IF(Table1[[#This Row],[Description]]="","",Table1[[#This Row],[Value]]/Table1[[#This Row],[Conversion]])</f>
        <v/>
      </c>
      <c r="J633" s="50" t="str">
        <f>IF(Table1[[#This Row],[Description]]="","",DATE(Table1[[#This Row],[Year]],Table1[[#This Row],[Month]],1))</f>
        <v/>
      </c>
    </row>
    <row r="634" spans="8:10" x14ac:dyDescent="0.25">
      <c r="H634" t="str">
        <f>IF(Table1[[#This Row],[Description]]="","",IF(Table1[[#This Row],[Currency]]=$Q$2,$R$2,HLOOKUP(Table1[[#This Row],[Date]],Funds!$C$10:$GV$11,2,FALSE)))</f>
        <v/>
      </c>
      <c r="I634" s="217" t="str">
        <f>IF(Table1[[#This Row],[Description]]="","",Table1[[#This Row],[Value]]/Table1[[#This Row],[Conversion]])</f>
        <v/>
      </c>
      <c r="J634" s="50" t="str">
        <f>IF(Table1[[#This Row],[Description]]="","",DATE(Table1[[#This Row],[Year]],Table1[[#This Row],[Month]],1))</f>
        <v/>
      </c>
    </row>
    <row r="635" spans="8:10" x14ac:dyDescent="0.25">
      <c r="H635" t="str">
        <f>IF(Table1[[#This Row],[Description]]="","",IF(Table1[[#This Row],[Currency]]=$Q$2,$R$2,HLOOKUP(Table1[[#This Row],[Date]],Funds!$C$10:$GV$11,2,FALSE)))</f>
        <v/>
      </c>
      <c r="I635" s="217" t="str">
        <f>IF(Table1[[#This Row],[Description]]="","",Table1[[#This Row],[Value]]/Table1[[#This Row],[Conversion]])</f>
        <v/>
      </c>
      <c r="J635" s="50" t="str">
        <f>IF(Table1[[#This Row],[Description]]="","",DATE(Table1[[#This Row],[Year]],Table1[[#This Row],[Month]],1))</f>
        <v/>
      </c>
    </row>
    <row r="636" spans="8:10" x14ac:dyDescent="0.25">
      <c r="H636" t="str">
        <f>IF(Table1[[#This Row],[Description]]="","",IF(Table1[[#This Row],[Currency]]=$Q$2,$R$2,HLOOKUP(Table1[[#This Row],[Date]],Funds!$C$10:$GV$11,2,FALSE)))</f>
        <v/>
      </c>
      <c r="I636" s="217" t="str">
        <f>IF(Table1[[#This Row],[Description]]="","",Table1[[#This Row],[Value]]/Table1[[#This Row],[Conversion]])</f>
        <v/>
      </c>
      <c r="J636" s="50" t="str">
        <f>IF(Table1[[#This Row],[Description]]="","",DATE(Table1[[#This Row],[Year]],Table1[[#This Row],[Month]],1))</f>
        <v/>
      </c>
    </row>
    <row r="637" spans="8:10" x14ac:dyDescent="0.25">
      <c r="H637" t="str">
        <f>IF(Table1[[#This Row],[Description]]="","",IF(Table1[[#This Row],[Currency]]=$Q$2,$R$2,HLOOKUP(Table1[[#This Row],[Date]],Funds!$C$10:$GV$11,2,FALSE)))</f>
        <v/>
      </c>
      <c r="I637" s="217" t="str">
        <f>IF(Table1[[#This Row],[Description]]="","",Table1[[#This Row],[Value]]/Table1[[#This Row],[Conversion]])</f>
        <v/>
      </c>
      <c r="J637" s="50" t="str">
        <f>IF(Table1[[#This Row],[Description]]="","",DATE(Table1[[#This Row],[Year]],Table1[[#This Row],[Month]],1))</f>
        <v/>
      </c>
    </row>
    <row r="638" spans="8:10" x14ac:dyDescent="0.25">
      <c r="H638" t="str">
        <f>IF(Table1[[#This Row],[Description]]="","",IF(Table1[[#This Row],[Currency]]=$Q$2,$R$2,HLOOKUP(Table1[[#This Row],[Date]],Funds!$C$10:$GV$11,2,FALSE)))</f>
        <v/>
      </c>
      <c r="I638" s="217" t="str">
        <f>IF(Table1[[#This Row],[Description]]="","",Table1[[#This Row],[Value]]/Table1[[#This Row],[Conversion]])</f>
        <v/>
      </c>
      <c r="J638" s="50" t="str">
        <f>IF(Table1[[#This Row],[Description]]="","",DATE(Table1[[#This Row],[Year]],Table1[[#This Row],[Month]],1))</f>
        <v/>
      </c>
    </row>
    <row r="639" spans="8:10" x14ac:dyDescent="0.25">
      <c r="H639" t="str">
        <f>IF(Table1[[#This Row],[Description]]="","",IF(Table1[[#This Row],[Currency]]=$Q$2,$R$2,HLOOKUP(Table1[[#This Row],[Date]],Funds!$C$10:$GV$11,2,FALSE)))</f>
        <v/>
      </c>
      <c r="I639" s="217" t="str">
        <f>IF(Table1[[#This Row],[Description]]="","",Table1[[#This Row],[Value]]/Table1[[#This Row],[Conversion]])</f>
        <v/>
      </c>
      <c r="J639" s="50" t="str">
        <f>IF(Table1[[#This Row],[Description]]="","",DATE(Table1[[#This Row],[Year]],Table1[[#This Row],[Month]],1))</f>
        <v/>
      </c>
    </row>
    <row r="640" spans="8:10" x14ac:dyDescent="0.25">
      <c r="H640" t="str">
        <f>IF(Table1[[#This Row],[Description]]="","",IF(Table1[[#This Row],[Currency]]=$Q$2,$R$2,HLOOKUP(Table1[[#This Row],[Date]],Funds!$C$10:$GV$11,2,FALSE)))</f>
        <v/>
      </c>
      <c r="I640" s="217" t="str">
        <f>IF(Table1[[#This Row],[Description]]="","",Table1[[#This Row],[Value]]/Table1[[#This Row],[Conversion]])</f>
        <v/>
      </c>
      <c r="J640" s="50" t="str">
        <f>IF(Table1[[#This Row],[Description]]="","",DATE(Table1[[#This Row],[Year]],Table1[[#This Row],[Month]],1))</f>
        <v/>
      </c>
    </row>
    <row r="641" spans="8:10" x14ac:dyDescent="0.25">
      <c r="H641" t="str">
        <f>IF(Table1[[#This Row],[Description]]="","",IF(Table1[[#This Row],[Currency]]=$Q$2,$R$2,HLOOKUP(Table1[[#This Row],[Date]],Funds!$C$10:$GV$11,2,FALSE)))</f>
        <v/>
      </c>
      <c r="I641" s="217" t="str">
        <f>IF(Table1[[#This Row],[Description]]="","",Table1[[#This Row],[Value]]/Table1[[#This Row],[Conversion]])</f>
        <v/>
      </c>
      <c r="J641" s="50" t="str">
        <f>IF(Table1[[#This Row],[Description]]="","",DATE(Table1[[#This Row],[Year]],Table1[[#This Row],[Month]],1))</f>
        <v/>
      </c>
    </row>
    <row r="642" spans="8:10" x14ac:dyDescent="0.25">
      <c r="H642" t="str">
        <f>IF(Table1[[#This Row],[Description]]="","",IF(Table1[[#This Row],[Currency]]=$Q$2,$R$2,HLOOKUP(Table1[[#This Row],[Date]],Funds!$C$10:$GV$11,2,FALSE)))</f>
        <v/>
      </c>
      <c r="I642" s="217" t="str">
        <f>IF(Table1[[#This Row],[Description]]="","",Table1[[#This Row],[Value]]/Table1[[#This Row],[Conversion]])</f>
        <v/>
      </c>
      <c r="J642" s="50" t="str">
        <f>IF(Table1[[#This Row],[Description]]="","",DATE(Table1[[#This Row],[Year]],Table1[[#This Row],[Month]],1))</f>
        <v/>
      </c>
    </row>
    <row r="643" spans="8:10" x14ac:dyDescent="0.25">
      <c r="H643" t="str">
        <f>IF(Table1[[#This Row],[Description]]="","",IF(Table1[[#This Row],[Currency]]=$Q$2,$R$2,HLOOKUP(Table1[[#This Row],[Date]],Funds!$C$10:$GV$11,2,FALSE)))</f>
        <v/>
      </c>
      <c r="I643" s="217" t="str">
        <f>IF(Table1[[#This Row],[Description]]="","",Table1[[#This Row],[Value]]/Table1[[#This Row],[Conversion]])</f>
        <v/>
      </c>
      <c r="J643" s="50" t="str">
        <f>IF(Table1[[#This Row],[Description]]="","",DATE(Table1[[#This Row],[Year]],Table1[[#This Row],[Month]],1))</f>
        <v/>
      </c>
    </row>
    <row r="644" spans="8:10" x14ac:dyDescent="0.25">
      <c r="H644" t="str">
        <f>IF(Table1[[#This Row],[Description]]="","",IF(Table1[[#This Row],[Currency]]=$Q$2,$R$2,HLOOKUP(Table1[[#This Row],[Date]],Funds!$C$10:$GV$11,2,FALSE)))</f>
        <v/>
      </c>
      <c r="I644" s="217" t="str">
        <f>IF(Table1[[#This Row],[Description]]="","",Table1[[#This Row],[Value]]/Table1[[#This Row],[Conversion]])</f>
        <v/>
      </c>
      <c r="J644" s="50" t="str">
        <f>IF(Table1[[#This Row],[Description]]="","",DATE(Table1[[#This Row],[Year]],Table1[[#This Row],[Month]],1))</f>
        <v/>
      </c>
    </row>
    <row r="645" spans="8:10" x14ac:dyDescent="0.25">
      <c r="H645" t="str">
        <f>IF(Table1[[#This Row],[Description]]="","",IF(Table1[[#This Row],[Currency]]=$Q$2,$R$2,HLOOKUP(Table1[[#This Row],[Date]],Funds!$C$10:$GV$11,2,FALSE)))</f>
        <v/>
      </c>
      <c r="I645" s="217" t="str">
        <f>IF(Table1[[#This Row],[Description]]="","",Table1[[#This Row],[Value]]/Table1[[#This Row],[Conversion]])</f>
        <v/>
      </c>
      <c r="J645" s="50" t="str">
        <f>IF(Table1[[#This Row],[Description]]="","",DATE(Table1[[#This Row],[Year]],Table1[[#This Row],[Month]],1))</f>
        <v/>
      </c>
    </row>
    <row r="646" spans="8:10" x14ac:dyDescent="0.25">
      <c r="H646" t="str">
        <f>IF(Table1[[#This Row],[Description]]="","",IF(Table1[[#This Row],[Currency]]=$Q$2,$R$2,HLOOKUP(Table1[[#This Row],[Date]],Funds!$C$10:$GV$11,2,FALSE)))</f>
        <v/>
      </c>
      <c r="I646" s="217" t="str">
        <f>IF(Table1[[#This Row],[Description]]="","",Table1[[#This Row],[Value]]/Table1[[#This Row],[Conversion]])</f>
        <v/>
      </c>
      <c r="J646" s="50" t="str">
        <f>IF(Table1[[#This Row],[Description]]="","",DATE(Table1[[#This Row],[Year]],Table1[[#This Row],[Month]],1))</f>
        <v/>
      </c>
    </row>
    <row r="647" spans="8:10" x14ac:dyDescent="0.25">
      <c r="H647" t="str">
        <f>IF(Table1[[#This Row],[Description]]="","",IF(Table1[[#This Row],[Currency]]=$Q$2,$R$2,HLOOKUP(Table1[[#This Row],[Date]],Funds!$C$10:$GV$11,2,FALSE)))</f>
        <v/>
      </c>
      <c r="I647" s="217" t="str">
        <f>IF(Table1[[#This Row],[Description]]="","",Table1[[#This Row],[Value]]/Table1[[#This Row],[Conversion]])</f>
        <v/>
      </c>
      <c r="J647" s="50" t="str">
        <f>IF(Table1[[#This Row],[Description]]="","",DATE(Table1[[#This Row],[Year]],Table1[[#This Row],[Month]],1))</f>
        <v/>
      </c>
    </row>
    <row r="648" spans="8:10" x14ac:dyDescent="0.25">
      <c r="H648" t="str">
        <f>IF(Table1[[#This Row],[Description]]="","",IF(Table1[[#This Row],[Currency]]=$Q$2,$R$2,HLOOKUP(Table1[[#This Row],[Date]],Funds!$C$10:$GV$11,2,FALSE)))</f>
        <v/>
      </c>
      <c r="I648" s="217" t="str">
        <f>IF(Table1[[#This Row],[Description]]="","",Table1[[#This Row],[Value]]/Table1[[#This Row],[Conversion]])</f>
        <v/>
      </c>
      <c r="J648" s="50" t="str">
        <f>IF(Table1[[#This Row],[Description]]="","",DATE(Table1[[#This Row],[Year]],Table1[[#This Row],[Month]],1))</f>
        <v/>
      </c>
    </row>
    <row r="649" spans="8:10" x14ac:dyDescent="0.25">
      <c r="H649" t="str">
        <f>IF(Table1[[#This Row],[Description]]="","",IF(Table1[[#This Row],[Currency]]=$Q$2,$R$2,HLOOKUP(Table1[[#This Row],[Date]],Funds!$C$10:$GV$11,2,FALSE)))</f>
        <v/>
      </c>
      <c r="I649" s="217" t="str">
        <f>IF(Table1[[#This Row],[Description]]="","",Table1[[#This Row],[Value]]/Table1[[#This Row],[Conversion]])</f>
        <v/>
      </c>
      <c r="J649" s="50" t="str">
        <f>IF(Table1[[#This Row],[Description]]="","",DATE(Table1[[#This Row],[Year]],Table1[[#This Row],[Month]],1))</f>
        <v/>
      </c>
    </row>
    <row r="650" spans="8:10" x14ac:dyDescent="0.25">
      <c r="H650" t="str">
        <f>IF(Table1[[#This Row],[Description]]="","",IF(Table1[[#This Row],[Currency]]=$Q$2,$R$2,HLOOKUP(Table1[[#This Row],[Date]],Funds!$C$10:$GV$11,2,FALSE)))</f>
        <v/>
      </c>
      <c r="I650" s="217" t="str">
        <f>IF(Table1[[#This Row],[Description]]="","",Table1[[#This Row],[Value]]/Table1[[#This Row],[Conversion]])</f>
        <v/>
      </c>
      <c r="J650" s="50" t="str">
        <f>IF(Table1[[#This Row],[Description]]="","",DATE(Table1[[#This Row],[Year]],Table1[[#This Row],[Month]],1))</f>
        <v/>
      </c>
    </row>
    <row r="651" spans="8:10" x14ac:dyDescent="0.25">
      <c r="H651" t="str">
        <f>IF(Table1[[#This Row],[Description]]="","",IF(Table1[[#This Row],[Currency]]=$Q$2,$R$2,HLOOKUP(Table1[[#This Row],[Date]],Funds!$C$10:$GV$11,2,FALSE)))</f>
        <v/>
      </c>
      <c r="I651" s="217" t="str">
        <f>IF(Table1[[#This Row],[Description]]="","",Table1[[#This Row],[Value]]/Table1[[#This Row],[Conversion]])</f>
        <v/>
      </c>
      <c r="J651" s="50" t="str">
        <f>IF(Table1[[#This Row],[Description]]="","",DATE(Table1[[#This Row],[Year]],Table1[[#This Row],[Month]],1))</f>
        <v/>
      </c>
    </row>
    <row r="652" spans="8:10" x14ac:dyDescent="0.25">
      <c r="H652" t="str">
        <f>IF(Table1[[#This Row],[Description]]="","",IF(Table1[[#This Row],[Currency]]=$Q$2,$R$2,HLOOKUP(Table1[[#This Row],[Date]],Funds!$C$10:$GV$11,2,FALSE)))</f>
        <v/>
      </c>
      <c r="I652" s="217" t="str">
        <f>IF(Table1[[#This Row],[Description]]="","",Table1[[#This Row],[Value]]/Table1[[#This Row],[Conversion]])</f>
        <v/>
      </c>
      <c r="J652" s="50" t="str">
        <f>IF(Table1[[#This Row],[Description]]="","",DATE(Table1[[#This Row],[Year]],Table1[[#This Row],[Month]],1))</f>
        <v/>
      </c>
    </row>
    <row r="653" spans="8:10" x14ac:dyDescent="0.25">
      <c r="H653" t="str">
        <f>IF(Table1[[#This Row],[Description]]="","",IF(Table1[[#This Row],[Currency]]=$Q$2,$R$2,HLOOKUP(Table1[[#This Row],[Date]],Funds!$C$10:$GV$11,2,FALSE)))</f>
        <v/>
      </c>
      <c r="I653" s="217" t="str">
        <f>IF(Table1[[#This Row],[Description]]="","",Table1[[#This Row],[Value]]/Table1[[#This Row],[Conversion]])</f>
        <v/>
      </c>
      <c r="J653" s="50" t="str">
        <f>IF(Table1[[#This Row],[Description]]="","",DATE(Table1[[#This Row],[Year]],Table1[[#This Row],[Month]],1))</f>
        <v/>
      </c>
    </row>
    <row r="654" spans="8:10" x14ac:dyDescent="0.25">
      <c r="H654" t="str">
        <f>IF(Table1[[#This Row],[Description]]="","",IF(Table1[[#This Row],[Currency]]=$Q$2,$R$2,HLOOKUP(Table1[[#This Row],[Date]],Funds!$C$10:$GV$11,2,FALSE)))</f>
        <v/>
      </c>
      <c r="I654" s="217" t="str">
        <f>IF(Table1[[#This Row],[Description]]="","",Table1[[#This Row],[Value]]/Table1[[#This Row],[Conversion]])</f>
        <v/>
      </c>
      <c r="J654" s="50" t="str">
        <f>IF(Table1[[#This Row],[Description]]="","",DATE(Table1[[#This Row],[Year]],Table1[[#This Row],[Month]],1))</f>
        <v/>
      </c>
    </row>
    <row r="655" spans="8:10" x14ac:dyDescent="0.25">
      <c r="H655" t="str">
        <f>IF(Table1[[#This Row],[Description]]="","",IF(Table1[[#This Row],[Currency]]=$Q$2,$R$2,HLOOKUP(Table1[[#This Row],[Date]],Funds!$C$10:$GV$11,2,FALSE)))</f>
        <v/>
      </c>
      <c r="I655" s="217" t="str">
        <f>IF(Table1[[#This Row],[Description]]="","",Table1[[#This Row],[Value]]/Table1[[#This Row],[Conversion]])</f>
        <v/>
      </c>
      <c r="J655" s="50" t="str">
        <f>IF(Table1[[#This Row],[Description]]="","",DATE(Table1[[#This Row],[Year]],Table1[[#This Row],[Month]],1))</f>
        <v/>
      </c>
    </row>
    <row r="656" spans="8:10" x14ac:dyDescent="0.25">
      <c r="H656" t="str">
        <f>IF(Table1[[#This Row],[Description]]="","",IF(Table1[[#This Row],[Currency]]=$Q$2,$R$2,HLOOKUP(Table1[[#This Row],[Date]],Funds!$C$10:$GV$11,2,FALSE)))</f>
        <v/>
      </c>
      <c r="I656" s="217" t="str">
        <f>IF(Table1[[#This Row],[Description]]="","",Table1[[#This Row],[Value]]/Table1[[#This Row],[Conversion]])</f>
        <v/>
      </c>
      <c r="J656" s="50" t="str">
        <f>IF(Table1[[#This Row],[Description]]="","",DATE(Table1[[#This Row],[Year]],Table1[[#This Row],[Month]],1))</f>
        <v/>
      </c>
    </row>
    <row r="657" spans="8:10" x14ac:dyDescent="0.25">
      <c r="H657" t="str">
        <f>IF(Table1[[#This Row],[Description]]="","",IF(Table1[[#This Row],[Currency]]=$Q$2,$R$2,HLOOKUP(Table1[[#This Row],[Date]],Funds!$C$10:$GV$11,2,FALSE)))</f>
        <v/>
      </c>
      <c r="I657" s="217" t="str">
        <f>IF(Table1[[#This Row],[Description]]="","",Table1[[#This Row],[Value]]/Table1[[#This Row],[Conversion]])</f>
        <v/>
      </c>
      <c r="J657" s="50" t="str">
        <f>IF(Table1[[#This Row],[Description]]="","",DATE(Table1[[#This Row],[Year]],Table1[[#This Row],[Month]],1))</f>
        <v/>
      </c>
    </row>
    <row r="658" spans="8:10" x14ac:dyDescent="0.25">
      <c r="H658" t="str">
        <f>IF(Table1[[#This Row],[Description]]="","",IF(Table1[[#This Row],[Currency]]=$Q$2,$R$2,HLOOKUP(Table1[[#This Row],[Date]],Funds!$C$10:$GV$11,2,FALSE)))</f>
        <v/>
      </c>
      <c r="I658" s="217" t="str">
        <f>IF(Table1[[#This Row],[Description]]="","",Table1[[#This Row],[Value]]/Table1[[#This Row],[Conversion]])</f>
        <v/>
      </c>
      <c r="J658" s="50" t="str">
        <f>IF(Table1[[#This Row],[Description]]="","",DATE(Table1[[#This Row],[Year]],Table1[[#This Row],[Month]],1))</f>
        <v/>
      </c>
    </row>
    <row r="659" spans="8:10" x14ac:dyDescent="0.25">
      <c r="H659" t="str">
        <f>IF(Table1[[#This Row],[Description]]="","",IF(Table1[[#This Row],[Currency]]=$Q$2,$R$2,HLOOKUP(Table1[[#This Row],[Date]],Funds!$C$10:$GV$11,2,FALSE)))</f>
        <v/>
      </c>
      <c r="I659" s="217" t="str">
        <f>IF(Table1[[#This Row],[Description]]="","",Table1[[#This Row],[Value]]/Table1[[#This Row],[Conversion]])</f>
        <v/>
      </c>
      <c r="J659" s="50" t="str">
        <f>IF(Table1[[#This Row],[Description]]="","",DATE(Table1[[#This Row],[Year]],Table1[[#This Row],[Month]],1))</f>
        <v/>
      </c>
    </row>
    <row r="660" spans="8:10" x14ac:dyDescent="0.25">
      <c r="H660" t="str">
        <f>IF(Table1[[#This Row],[Description]]="","",IF(Table1[[#This Row],[Currency]]=$Q$2,$R$2,HLOOKUP(Table1[[#This Row],[Date]],Funds!$C$10:$GV$11,2,FALSE)))</f>
        <v/>
      </c>
      <c r="I660" s="217" t="str">
        <f>IF(Table1[[#This Row],[Description]]="","",Table1[[#This Row],[Value]]/Table1[[#This Row],[Conversion]])</f>
        <v/>
      </c>
      <c r="J660" s="50" t="str">
        <f>IF(Table1[[#This Row],[Description]]="","",DATE(Table1[[#This Row],[Year]],Table1[[#This Row],[Month]],1))</f>
        <v/>
      </c>
    </row>
    <row r="661" spans="8:10" x14ac:dyDescent="0.25">
      <c r="H661" t="str">
        <f>IF(Table1[[#This Row],[Description]]="","",IF(Table1[[#This Row],[Currency]]=$Q$2,$R$2,HLOOKUP(Table1[[#This Row],[Date]],Funds!$C$10:$GV$11,2,FALSE)))</f>
        <v/>
      </c>
      <c r="I661" s="217" t="str">
        <f>IF(Table1[[#This Row],[Description]]="","",Table1[[#This Row],[Value]]/Table1[[#This Row],[Conversion]])</f>
        <v/>
      </c>
      <c r="J661" s="50" t="str">
        <f>IF(Table1[[#This Row],[Description]]="","",DATE(Table1[[#This Row],[Year]],Table1[[#This Row],[Month]],1))</f>
        <v/>
      </c>
    </row>
    <row r="662" spans="8:10" x14ac:dyDescent="0.25">
      <c r="H662" t="str">
        <f>IF(Table1[[#This Row],[Description]]="","",IF(Table1[[#This Row],[Currency]]=$Q$2,$R$2,HLOOKUP(Table1[[#This Row],[Date]],Funds!$C$10:$GV$11,2,FALSE)))</f>
        <v/>
      </c>
      <c r="I662" s="217" t="str">
        <f>IF(Table1[[#This Row],[Description]]="","",Table1[[#This Row],[Value]]/Table1[[#This Row],[Conversion]])</f>
        <v/>
      </c>
      <c r="J662" s="50" t="str">
        <f>IF(Table1[[#This Row],[Description]]="","",DATE(Table1[[#This Row],[Year]],Table1[[#This Row],[Month]],1))</f>
        <v/>
      </c>
    </row>
    <row r="663" spans="8:10" x14ac:dyDescent="0.25">
      <c r="H663" t="str">
        <f>IF(Table1[[#This Row],[Description]]="","",IF(Table1[[#This Row],[Currency]]=$Q$2,$R$2,HLOOKUP(Table1[[#This Row],[Date]],Funds!$C$10:$GV$11,2,FALSE)))</f>
        <v/>
      </c>
      <c r="I663" s="217" t="str">
        <f>IF(Table1[[#This Row],[Description]]="","",Table1[[#This Row],[Value]]/Table1[[#This Row],[Conversion]])</f>
        <v/>
      </c>
      <c r="J663" s="50" t="str">
        <f>IF(Table1[[#This Row],[Description]]="","",DATE(Table1[[#This Row],[Year]],Table1[[#This Row],[Month]],1))</f>
        <v/>
      </c>
    </row>
    <row r="664" spans="8:10" x14ac:dyDescent="0.25">
      <c r="H664" t="str">
        <f>IF(Table1[[#This Row],[Description]]="","",IF(Table1[[#This Row],[Currency]]=$Q$2,$R$2,HLOOKUP(Table1[[#This Row],[Date]],Funds!$C$10:$GV$11,2,FALSE)))</f>
        <v/>
      </c>
      <c r="I664" s="217" t="str">
        <f>IF(Table1[[#This Row],[Description]]="","",Table1[[#This Row],[Value]]/Table1[[#This Row],[Conversion]])</f>
        <v/>
      </c>
      <c r="J664" s="50" t="str">
        <f>IF(Table1[[#This Row],[Description]]="","",DATE(Table1[[#This Row],[Year]],Table1[[#This Row],[Month]],1))</f>
        <v/>
      </c>
    </row>
    <row r="665" spans="8:10" x14ac:dyDescent="0.25">
      <c r="H665" t="str">
        <f>IF(Table1[[#This Row],[Description]]="","",IF(Table1[[#This Row],[Currency]]=$Q$2,$R$2,HLOOKUP(Table1[[#This Row],[Date]],Funds!$C$10:$GV$11,2,FALSE)))</f>
        <v/>
      </c>
      <c r="I665" s="217" t="str">
        <f>IF(Table1[[#This Row],[Description]]="","",Table1[[#This Row],[Value]]/Table1[[#This Row],[Conversion]])</f>
        <v/>
      </c>
      <c r="J665" s="50" t="str">
        <f>IF(Table1[[#This Row],[Description]]="","",DATE(Table1[[#This Row],[Year]],Table1[[#This Row],[Month]],1))</f>
        <v/>
      </c>
    </row>
    <row r="666" spans="8:10" x14ac:dyDescent="0.25">
      <c r="H666" t="str">
        <f>IF(Table1[[#This Row],[Description]]="","",IF(Table1[[#This Row],[Currency]]=$Q$2,$R$2,HLOOKUP(Table1[[#This Row],[Date]],Funds!$C$10:$GV$11,2,FALSE)))</f>
        <v/>
      </c>
      <c r="I666" s="217" t="str">
        <f>IF(Table1[[#This Row],[Description]]="","",Table1[[#This Row],[Value]]/Table1[[#This Row],[Conversion]])</f>
        <v/>
      </c>
      <c r="J666" s="50" t="str">
        <f>IF(Table1[[#This Row],[Description]]="","",DATE(Table1[[#This Row],[Year]],Table1[[#This Row],[Month]],1))</f>
        <v/>
      </c>
    </row>
    <row r="667" spans="8:10" x14ac:dyDescent="0.25">
      <c r="H667" t="str">
        <f>IF(Table1[[#This Row],[Description]]="","",IF(Table1[[#This Row],[Currency]]=$Q$2,$R$2,HLOOKUP(Table1[[#This Row],[Date]],Funds!$C$10:$GV$11,2,FALSE)))</f>
        <v/>
      </c>
      <c r="I667" s="217" t="str">
        <f>IF(Table1[[#This Row],[Description]]="","",Table1[[#This Row],[Value]]/Table1[[#This Row],[Conversion]])</f>
        <v/>
      </c>
      <c r="J667" s="50" t="str">
        <f>IF(Table1[[#This Row],[Description]]="","",DATE(Table1[[#This Row],[Year]],Table1[[#This Row],[Month]],1))</f>
        <v/>
      </c>
    </row>
    <row r="668" spans="8:10" x14ac:dyDescent="0.25">
      <c r="H668" t="str">
        <f>IF(Table1[[#This Row],[Description]]="","",IF(Table1[[#This Row],[Currency]]=$Q$2,$R$2,HLOOKUP(Table1[[#This Row],[Date]],Funds!$C$10:$GV$11,2,FALSE)))</f>
        <v/>
      </c>
      <c r="I668" s="217" t="str">
        <f>IF(Table1[[#This Row],[Description]]="","",Table1[[#This Row],[Value]]/Table1[[#This Row],[Conversion]])</f>
        <v/>
      </c>
      <c r="J668" s="50" t="str">
        <f>IF(Table1[[#This Row],[Description]]="","",DATE(Table1[[#This Row],[Year]],Table1[[#This Row],[Month]],1))</f>
        <v/>
      </c>
    </row>
    <row r="669" spans="8:10" x14ac:dyDescent="0.25">
      <c r="H669" t="str">
        <f>IF(Table1[[#This Row],[Description]]="","",IF(Table1[[#This Row],[Currency]]=$Q$2,$R$2,HLOOKUP(Table1[[#This Row],[Date]],Funds!$C$10:$GV$11,2,FALSE)))</f>
        <v/>
      </c>
      <c r="I669" s="217" t="str">
        <f>IF(Table1[[#This Row],[Description]]="","",Table1[[#This Row],[Value]]/Table1[[#This Row],[Conversion]])</f>
        <v/>
      </c>
      <c r="J669" s="50" t="str">
        <f>IF(Table1[[#This Row],[Description]]="","",DATE(Table1[[#This Row],[Year]],Table1[[#This Row],[Month]],1))</f>
        <v/>
      </c>
    </row>
    <row r="670" spans="8:10" x14ac:dyDescent="0.25">
      <c r="H670" t="str">
        <f>IF(Table1[[#This Row],[Description]]="","",IF(Table1[[#This Row],[Currency]]=$Q$2,$R$2,HLOOKUP(Table1[[#This Row],[Date]],Funds!$C$10:$GV$11,2,FALSE)))</f>
        <v/>
      </c>
      <c r="I670" s="217" t="str">
        <f>IF(Table1[[#This Row],[Description]]="","",Table1[[#This Row],[Value]]/Table1[[#This Row],[Conversion]])</f>
        <v/>
      </c>
      <c r="J670" s="50" t="str">
        <f>IF(Table1[[#This Row],[Description]]="","",DATE(Table1[[#This Row],[Year]],Table1[[#This Row],[Month]],1))</f>
        <v/>
      </c>
    </row>
    <row r="671" spans="8:10" x14ac:dyDescent="0.25">
      <c r="H671" t="str">
        <f>IF(Table1[[#This Row],[Description]]="","",IF(Table1[[#This Row],[Currency]]=$Q$2,$R$2,HLOOKUP(Table1[[#This Row],[Date]],Funds!$C$10:$GV$11,2,FALSE)))</f>
        <v/>
      </c>
      <c r="I671" s="217" t="str">
        <f>IF(Table1[[#This Row],[Description]]="","",Table1[[#This Row],[Value]]/Table1[[#This Row],[Conversion]])</f>
        <v/>
      </c>
      <c r="J671" s="50" t="str">
        <f>IF(Table1[[#This Row],[Description]]="","",DATE(Table1[[#This Row],[Year]],Table1[[#This Row],[Month]],1))</f>
        <v/>
      </c>
    </row>
    <row r="672" spans="8:10" x14ac:dyDescent="0.25">
      <c r="H672" t="str">
        <f>IF(Table1[[#This Row],[Description]]="","",IF(Table1[[#This Row],[Currency]]=$Q$2,$R$2,HLOOKUP(Table1[[#This Row],[Date]],Funds!$C$10:$GV$11,2,FALSE)))</f>
        <v/>
      </c>
      <c r="I672" s="217" t="str">
        <f>IF(Table1[[#This Row],[Description]]="","",Table1[[#This Row],[Value]]/Table1[[#This Row],[Conversion]])</f>
        <v/>
      </c>
      <c r="J672" s="50" t="str">
        <f>IF(Table1[[#This Row],[Description]]="","",DATE(Table1[[#This Row],[Year]],Table1[[#This Row],[Month]],1))</f>
        <v/>
      </c>
    </row>
    <row r="673" spans="8:10" x14ac:dyDescent="0.25">
      <c r="H673" t="str">
        <f>IF(Table1[[#This Row],[Description]]="","",IF(Table1[[#This Row],[Currency]]=$Q$2,$R$2,HLOOKUP(Table1[[#This Row],[Date]],Funds!$C$10:$GV$11,2,FALSE)))</f>
        <v/>
      </c>
      <c r="I673" s="217" t="str">
        <f>IF(Table1[[#This Row],[Description]]="","",Table1[[#This Row],[Value]]/Table1[[#This Row],[Conversion]])</f>
        <v/>
      </c>
      <c r="J673" s="50" t="str">
        <f>IF(Table1[[#This Row],[Description]]="","",DATE(Table1[[#This Row],[Year]],Table1[[#This Row],[Month]],1))</f>
        <v/>
      </c>
    </row>
    <row r="674" spans="8:10" x14ac:dyDescent="0.25">
      <c r="H674" t="str">
        <f>IF(Table1[[#This Row],[Description]]="","",IF(Table1[[#This Row],[Currency]]=$Q$2,$R$2,HLOOKUP(Table1[[#This Row],[Date]],Funds!$C$10:$GV$11,2,FALSE)))</f>
        <v/>
      </c>
      <c r="I674" s="217" t="str">
        <f>IF(Table1[[#This Row],[Description]]="","",Table1[[#This Row],[Value]]/Table1[[#This Row],[Conversion]])</f>
        <v/>
      </c>
      <c r="J674" s="50" t="str">
        <f>IF(Table1[[#This Row],[Description]]="","",DATE(Table1[[#This Row],[Year]],Table1[[#This Row],[Month]],1))</f>
        <v/>
      </c>
    </row>
    <row r="675" spans="8:10" x14ac:dyDescent="0.25">
      <c r="H675" t="str">
        <f>IF(Table1[[#This Row],[Description]]="","",IF(Table1[[#This Row],[Currency]]=$Q$2,$R$2,HLOOKUP(Table1[[#This Row],[Date]],Funds!$C$10:$GV$11,2,FALSE)))</f>
        <v/>
      </c>
      <c r="I675" s="217" t="str">
        <f>IF(Table1[[#This Row],[Description]]="","",Table1[[#This Row],[Value]]/Table1[[#This Row],[Conversion]])</f>
        <v/>
      </c>
      <c r="J675" s="50" t="str">
        <f>IF(Table1[[#This Row],[Description]]="","",DATE(Table1[[#This Row],[Year]],Table1[[#This Row],[Month]],1))</f>
        <v/>
      </c>
    </row>
    <row r="676" spans="8:10" x14ac:dyDescent="0.25">
      <c r="H676" t="str">
        <f>IF(Table1[[#This Row],[Description]]="","",IF(Table1[[#This Row],[Currency]]=$Q$2,$R$2,HLOOKUP(Table1[[#This Row],[Date]],Funds!$C$10:$GV$11,2,FALSE)))</f>
        <v/>
      </c>
      <c r="I676" s="217" t="str">
        <f>IF(Table1[[#This Row],[Description]]="","",Table1[[#This Row],[Value]]/Table1[[#This Row],[Conversion]])</f>
        <v/>
      </c>
      <c r="J676" s="50" t="str">
        <f>IF(Table1[[#This Row],[Description]]="","",DATE(Table1[[#This Row],[Year]],Table1[[#This Row],[Month]],1))</f>
        <v/>
      </c>
    </row>
    <row r="677" spans="8:10" x14ac:dyDescent="0.25">
      <c r="H677" t="str">
        <f>IF(Table1[[#This Row],[Description]]="","",IF(Table1[[#This Row],[Currency]]=$Q$2,$R$2,HLOOKUP(Table1[[#This Row],[Date]],Funds!$C$10:$GV$11,2,FALSE)))</f>
        <v/>
      </c>
      <c r="I677" s="217" t="str">
        <f>IF(Table1[[#This Row],[Description]]="","",Table1[[#This Row],[Value]]/Table1[[#This Row],[Conversion]])</f>
        <v/>
      </c>
      <c r="J677" s="50" t="str">
        <f>IF(Table1[[#This Row],[Description]]="","",DATE(Table1[[#This Row],[Year]],Table1[[#This Row],[Month]],1))</f>
        <v/>
      </c>
    </row>
    <row r="678" spans="8:10" x14ac:dyDescent="0.25">
      <c r="H678" t="str">
        <f>IF(Table1[[#This Row],[Description]]="","",IF(Table1[[#This Row],[Currency]]=$Q$2,$R$2,HLOOKUP(Table1[[#This Row],[Date]],Funds!$C$10:$GV$11,2,FALSE)))</f>
        <v/>
      </c>
      <c r="I678" s="217" t="str">
        <f>IF(Table1[[#This Row],[Description]]="","",Table1[[#This Row],[Value]]/Table1[[#This Row],[Conversion]])</f>
        <v/>
      </c>
      <c r="J678" s="50" t="str">
        <f>IF(Table1[[#This Row],[Description]]="","",DATE(Table1[[#This Row],[Year]],Table1[[#This Row],[Month]],1))</f>
        <v/>
      </c>
    </row>
    <row r="679" spans="8:10" x14ac:dyDescent="0.25">
      <c r="H679" t="str">
        <f>IF(Table1[[#This Row],[Description]]="","",IF(Table1[[#This Row],[Currency]]=$Q$2,$R$2,HLOOKUP(Table1[[#This Row],[Date]],Funds!$C$10:$GV$11,2,FALSE)))</f>
        <v/>
      </c>
      <c r="I679" s="217" t="str">
        <f>IF(Table1[[#This Row],[Description]]="","",Table1[[#This Row],[Value]]/Table1[[#This Row],[Conversion]])</f>
        <v/>
      </c>
      <c r="J679" s="50" t="str">
        <f>IF(Table1[[#This Row],[Description]]="","",DATE(Table1[[#This Row],[Year]],Table1[[#This Row],[Month]],1))</f>
        <v/>
      </c>
    </row>
    <row r="680" spans="8:10" x14ac:dyDescent="0.25">
      <c r="H680" t="str">
        <f>IF(Table1[[#This Row],[Description]]="","",IF(Table1[[#This Row],[Currency]]=$Q$2,$R$2,HLOOKUP(Table1[[#This Row],[Date]],Funds!$C$10:$GV$11,2,FALSE)))</f>
        <v/>
      </c>
      <c r="I680" s="217" t="str">
        <f>IF(Table1[[#This Row],[Description]]="","",Table1[[#This Row],[Value]]/Table1[[#This Row],[Conversion]])</f>
        <v/>
      </c>
      <c r="J680" s="50" t="str">
        <f>IF(Table1[[#This Row],[Description]]="","",DATE(Table1[[#This Row],[Year]],Table1[[#This Row],[Month]],1))</f>
        <v/>
      </c>
    </row>
    <row r="681" spans="8:10" x14ac:dyDescent="0.25">
      <c r="H681" t="str">
        <f>IF(Table1[[#This Row],[Description]]="","",IF(Table1[[#This Row],[Currency]]=$Q$2,$R$2,HLOOKUP(Table1[[#This Row],[Date]],Funds!$C$10:$GV$11,2,FALSE)))</f>
        <v/>
      </c>
      <c r="I681" s="217" t="str">
        <f>IF(Table1[[#This Row],[Description]]="","",Table1[[#This Row],[Value]]/Table1[[#This Row],[Conversion]])</f>
        <v/>
      </c>
      <c r="J681" s="50" t="str">
        <f>IF(Table1[[#This Row],[Description]]="","",DATE(Table1[[#This Row],[Year]],Table1[[#This Row],[Month]],1))</f>
        <v/>
      </c>
    </row>
    <row r="682" spans="8:10" x14ac:dyDescent="0.25">
      <c r="H682" t="str">
        <f>IF(Table1[[#This Row],[Description]]="","",IF(Table1[[#This Row],[Currency]]=$Q$2,$R$2,HLOOKUP(Table1[[#This Row],[Date]],Funds!$C$10:$GV$11,2,FALSE)))</f>
        <v/>
      </c>
      <c r="I682" s="217" t="str">
        <f>IF(Table1[[#This Row],[Description]]="","",Table1[[#This Row],[Value]]/Table1[[#This Row],[Conversion]])</f>
        <v/>
      </c>
      <c r="J682" s="50" t="str">
        <f>IF(Table1[[#This Row],[Description]]="","",DATE(Table1[[#This Row],[Year]],Table1[[#This Row],[Month]],1))</f>
        <v/>
      </c>
    </row>
    <row r="683" spans="8:10" x14ac:dyDescent="0.25">
      <c r="H683" t="str">
        <f>IF(Table1[[#This Row],[Description]]="","",IF(Table1[[#This Row],[Currency]]=$Q$2,$R$2,HLOOKUP(Table1[[#This Row],[Date]],Funds!$C$10:$GV$11,2,FALSE)))</f>
        <v/>
      </c>
      <c r="I683" s="217" t="str">
        <f>IF(Table1[[#This Row],[Description]]="","",Table1[[#This Row],[Value]]/Table1[[#This Row],[Conversion]])</f>
        <v/>
      </c>
      <c r="J683" s="50" t="str">
        <f>IF(Table1[[#This Row],[Description]]="","",DATE(Table1[[#This Row],[Year]],Table1[[#This Row],[Month]],1))</f>
        <v/>
      </c>
    </row>
    <row r="684" spans="8:10" x14ac:dyDescent="0.25">
      <c r="H684" t="str">
        <f>IF(Table1[[#This Row],[Description]]="","",IF(Table1[[#This Row],[Currency]]=$Q$2,$R$2,HLOOKUP(Table1[[#This Row],[Date]],Funds!$C$10:$GV$11,2,FALSE)))</f>
        <v/>
      </c>
      <c r="I684" s="217" t="str">
        <f>IF(Table1[[#This Row],[Description]]="","",Table1[[#This Row],[Value]]/Table1[[#This Row],[Conversion]])</f>
        <v/>
      </c>
      <c r="J684" s="50" t="str">
        <f>IF(Table1[[#This Row],[Description]]="","",DATE(Table1[[#This Row],[Year]],Table1[[#This Row],[Month]],1))</f>
        <v/>
      </c>
    </row>
    <row r="685" spans="8:10" x14ac:dyDescent="0.25">
      <c r="H685" t="str">
        <f>IF(Table1[[#This Row],[Description]]="","",IF(Table1[[#This Row],[Currency]]=$Q$2,$R$2,HLOOKUP(Table1[[#This Row],[Date]],Funds!$C$10:$GV$11,2,FALSE)))</f>
        <v/>
      </c>
      <c r="I685" s="217" t="str">
        <f>IF(Table1[[#This Row],[Description]]="","",Table1[[#This Row],[Value]]/Table1[[#This Row],[Conversion]])</f>
        <v/>
      </c>
      <c r="J685" s="50" t="str">
        <f>IF(Table1[[#This Row],[Description]]="","",DATE(Table1[[#This Row],[Year]],Table1[[#This Row],[Month]],1))</f>
        <v/>
      </c>
    </row>
    <row r="686" spans="8:10" x14ac:dyDescent="0.25">
      <c r="H686" t="str">
        <f>IF(Table1[[#This Row],[Description]]="","",IF(Table1[[#This Row],[Currency]]=$Q$2,$R$2,HLOOKUP(Table1[[#This Row],[Date]],Funds!$C$10:$GV$11,2,FALSE)))</f>
        <v/>
      </c>
      <c r="I686" s="217" t="str">
        <f>IF(Table1[[#This Row],[Description]]="","",Table1[[#This Row],[Value]]/Table1[[#This Row],[Conversion]])</f>
        <v/>
      </c>
      <c r="J686" s="50" t="str">
        <f>IF(Table1[[#This Row],[Description]]="","",DATE(Table1[[#This Row],[Year]],Table1[[#This Row],[Month]],1))</f>
        <v/>
      </c>
    </row>
    <row r="687" spans="8:10" x14ac:dyDescent="0.25">
      <c r="H687" t="str">
        <f>IF(Table1[[#This Row],[Description]]="","",IF(Table1[[#This Row],[Currency]]=$Q$2,$R$2,HLOOKUP(Table1[[#This Row],[Date]],Funds!$C$10:$GV$11,2,FALSE)))</f>
        <v/>
      </c>
      <c r="I687" s="217" t="str">
        <f>IF(Table1[[#This Row],[Description]]="","",Table1[[#This Row],[Value]]/Table1[[#This Row],[Conversion]])</f>
        <v/>
      </c>
      <c r="J687" s="50" t="str">
        <f>IF(Table1[[#This Row],[Description]]="","",DATE(Table1[[#This Row],[Year]],Table1[[#This Row],[Month]],1))</f>
        <v/>
      </c>
    </row>
    <row r="688" spans="8:10" x14ac:dyDescent="0.25">
      <c r="H688" t="str">
        <f>IF(Table1[[#This Row],[Description]]="","",IF(Table1[[#This Row],[Currency]]=$Q$2,$R$2,HLOOKUP(Table1[[#This Row],[Date]],Funds!$C$10:$GV$11,2,FALSE)))</f>
        <v/>
      </c>
      <c r="I688" s="217" t="str">
        <f>IF(Table1[[#This Row],[Description]]="","",Table1[[#This Row],[Value]]/Table1[[#This Row],[Conversion]])</f>
        <v/>
      </c>
      <c r="J688" s="50" t="str">
        <f>IF(Table1[[#This Row],[Description]]="","",DATE(Table1[[#This Row],[Year]],Table1[[#This Row],[Month]],1))</f>
        <v/>
      </c>
    </row>
    <row r="689" spans="8:10" x14ac:dyDescent="0.25">
      <c r="H689" t="str">
        <f>IF(Table1[[#This Row],[Description]]="","",IF(Table1[[#This Row],[Currency]]=$Q$2,$R$2,HLOOKUP(Table1[[#This Row],[Date]],Funds!$C$10:$GV$11,2,FALSE)))</f>
        <v/>
      </c>
      <c r="I689" s="217" t="str">
        <f>IF(Table1[[#This Row],[Description]]="","",Table1[[#This Row],[Value]]/Table1[[#This Row],[Conversion]])</f>
        <v/>
      </c>
      <c r="J689" s="50" t="str">
        <f>IF(Table1[[#This Row],[Description]]="","",DATE(Table1[[#This Row],[Year]],Table1[[#This Row],[Month]],1))</f>
        <v/>
      </c>
    </row>
    <row r="690" spans="8:10" x14ac:dyDescent="0.25">
      <c r="H690" t="str">
        <f>IF(Table1[[#This Row],[Description]]="","",IF(Table1[[#This Row],[Currency]]=$Q$2,$R$2,HLOOKUP(Table1[[#This Row],[Date]],Funds!$C$10:$GV$11,2,FALSE)))</f>
        <v/>
      </c>
      <c r="I690" s="217" t="str">
        <f>IF(Table1[[#This Row],[Description]]="","",Table1[[#This Row],[Value]]/Table1[[#This Row],[Conversion]])</f>
        <v/>
      </c>
      <c r="J690" s="50" t="str">
        <f>IF(Table1[[#This Row],[Description]]="","",DATE(Table1[[#This Row],[Year]],Table1[[#This Row],[Month]],1))</f>
        <v/>
      </c>
    </row>
    <row r="691" spans="8:10" x14ac:dyDescent="0.25">
      <c r="H691" t="str">
        <f>IF(Table1[[#This Row],[Description]]="","",IF(Table1[[#This Row],[Currency]]=$Q$2,$R$2,HLOOKUP(Table1[[#This Row],[Date]],Funds!$C$10:$GV$11,2,FALSE)))</f>
        <v/>
      </c>
      <c r="I691" s="217" t="str">
        <f>IF(Table1[[#This Row],[Description]]="","",Table1[[#This Row],[Value]]/Table1[[#This Row],[Conversion]])</f>
        <v/>
      </c>
      <c r="J691" s="50" t="str">
        <f>IF(Table1[[#This Row],[Description]]="","",DATE(Table1[[#This Row],[Year]],Table1[[#This Row],[Month]],1))</f>
        <v/>
      </c>
    </row>
    <row r="692" spans="8:10" x14ac:dyDescent="0.25">
      <c r="H692" t="str">
        <f>IF(Table1[[#This Row],[Description]]="","",IF(Table1[[#This Row],[Currency]]=$Q$2,$R$2,HLOOKUP(Table1[[#This Row],[Date]],Funds!$C$10:$GV$11,2,FALSE)))</f>
        <v/>
      </c>
      <c r="I692" s="217" t="str">
        <f>IF(Table1[[#This Row],[Description]]="","",Table1[[#This Row],[Value]]/Table1[[#This Row],[Conversion]])</f>
        <v/>
      </c>
      <c r="J692" s="50" t="str">
        <f>IF(Table1[[#This Row],[Description]]="","",DATE(Table1[[#This Row],[Year]],Table1[[#This Row],[Month]],1))</f>
        <v/>
      </c>
    </row>
    <row r="693" spans="8:10" x14ac:dyDescent="0.25">
      <c r="H693" t="str">
        <f>IF(Table1[[#This Row],[Description]]="","",IF(Table1[[#This Row],[Currency]]=$Q$2,$R$2,HLOOKUP(Table1[[#This Row],[Date]],Funds!$C$10:$GV$11,2,FALSE)))</f>
        <v/>
      </c>
      <c r="I693" s="217" t="str">
        <f>IF(Table1[[#This Row],[Description]]="","",Table1[[#This Row],[Value]]/Table1[[#This Row],[Conversion]])</f>
        <v/>
      </c>
      <c r="J693" s="50" t="str">
        <f>IF(Table1[[#This Row],[Description]]="","",DATE(Table1[[#This Row],[Year]],Table1[[#This Row],[Month]],1))</f>
        <v/>
      </c>
    </row>
    <row r="694" spans="8:10" x14ac:dyDescent="0.25">
      <c r="H694" t="str">
        <f>IF(Table1[[#This Row],[Description]]="","",IF(Table1[[#This Row],[Currency]]=$Q$2,$R$2,HLOOKUP(Table1[[#This Row],[Date]],Funds!$C$10:$GV$11,2,FALSE)))</f>
        <v/>
      </c>
      <c r="I694" s="217" t="str">
        <f>IF(Table1[[#This Row],[Description]]="","",Table1[[#This Row],[Value]]/Table1[[#This Row],[Conversion]])</f>
        <v/>
      </c>
      <c r="J694" s="50" t="str">
        <f>IF(Table1[[#This Row],[Description]]="","",DATE(Table1[[#This Row],[Year]],Table1[[#This Row],[Month]],1))</f>
        <v/>
      </c>
    </row>
    <row r="695" spans="8:10" x14ac:dyDescent="0.25">
      <c r="H695" t="str">
        <f>IF(Table1[[#This Row],[Description]]="","",IF(Table1[[#This Row],[Currency]]=$Q$2,$R$2,HLOOKUP(Table1[[#This Row],[Date]],Funds!$C$10:$GV$11,2,FALSE)))</f>
        <v/>
      </c>
      <c r="I695" s="217" t="str">
        <f>IF(Table1[[#This Row],[Description]]="","",Table1[[#This Row],[Value]]/Table1[[#This Row],[Conversion]])</f>
        <v/>
      </c>
      <c r="J695" s="50" t="str">
        <f>IF(Table1[[#This Row],[Description]]="","",DATE(Table1[[#This Row],[Year]],Table1[[#This Row],[Month]],1))</f>
        <v/>
      </c>
    </row>
    <row r="696" spans="8:10" x14ac:dyDescent="0.25">
      <c r="H696" t="str">
        <f>IF(Table1[[#This Row],[Description]]="","",IF(Table1[[#This Row],[Currency]]=$Q$2,$R$2,HLOOKUP(Table1[[#This Row],[Date]],Funds!$C$10:$GV$11,2,FALSE)))</f>
        <v/>
      </c>
      <c r="I696" s="217" t="str">
        <f>IF(Table1[[#This Row],[Description]]="","",Table1[[#This Row],[Value]]/Table1[[#This Row],[Conversion]])</f>
        <v/>
      </c>
      <c r="J696" s="50" t="str">
        <f>IF(Table1[[#This Row],[Description]]="","",DATE(Table1[[#This Row],[Year]],Table1[[#This Row],[Month]],1))</f>
        <v/>
      </c>
    </row>
    <row r="697" spans="8:10" x14ac:dyDescent="0.25">
      <c r="H697" t="str">
        <f>IF(Table1[[#This Row],[Description]]="","",IF(Table1[[#This Row],[Currency]]=$Q$2,$R$2,HLOOKUP(Table1[[#This Row],[Date]],Funds!$C$10:$GV$11,2,FALSE)))</f>
        <v/>
      </c>
      <c r="I697" s="217" t="str">
        <f>IF(Table1[[#This Row],[Description]]="","",Table1[[#This Row],[Value]]/Table1[[#This Row],[Conversion]])</f>
        <v/>
      </c>
      <c r="J697" s="50" t="str">
        <f>IF(Table1[[#This Row],[Description]]="","",DATE(Table1[[#This Row],[Year]],Table1[[#This Row],[Month]],1))</f>
        <v/>
      </c>
    </row>
    <row r="698" spans="8:10" x14ac:dyDescent="0.25">
      <c r="H698" t="str">
        <f>IF(Table1[[#This Row],[Description]]="","",IF(Table1[[#This Row],[Currency]]=$Q$2,$R$2,HLOOKUP(Table1[[#This Row],[Date]],Funds!$C$10:$GV$11,2,FALSE)))</f>
        <v/>
      </c>
      <c r="I698" s="217" t="str">
        <f>IF(Table1[[#This Row],[Description]]="","",Table1[[#This Row],[Value]]/Table1[[#This Row],[Conversion]])</f>
        <v/>
      </c>
      <c r="J698" s="50" t="str">
        <f>IF(Table1[[#This Row],[Description]]="","",DATE(Table1[[#This Row],[Year]],Table1[[#This Row],[Month]],1))</f>
        <v/>
      </c>
    </row>
    <row r="699" spans="8:10" x14ac:dyDescent="0.25">
      <c r="H699" t="str">
        <f>IF(Table1[[#This Row],[Description]]="","",IF(Table1[[#This Row],[Currency]]=$Q$2,$R$2,HLOOKUP(Table1[[#This Row],[Date]],Funds!$C$10:$GV$11,2,FALSE)))</f>
        <v/>
      </c>
      <c r="I699" s="217" t="str">
        <f>IF(Table1[[#This Row],[Description]]="","",Table1[[#This Row],[Value]]/Table1[[#This Row],[Conversion]])</f>
        <v/>
      </c>
      <c r="J699" s="50" t="str">
        <f>IF(Table1[[#This Row],[Description]]="","",DATE(Table1[[#This Row],[Year]],Table1[[#This Row],[Month]],1))</f>
        <v/>
      </c>
    </row>
    <row r="700" spans="8:10" x14ac:dyDescent="0.25">
      <c r="H700" t="str">
        <f>IF(Table1[[#This Row],[Description]]="","",IF(Table1[[#This Row],[Currency]]=$Q$2,$R$2,HLOOKUP(Table1[[#This Row],[Date]],Funds!$C$10:$GV$11,2,FALSE)))</f>
        <v/>
      </c>
      <c r="I700" s="217" t="str">
        <f>IF(Table1[[#This Row],[Description]]="","",Table1[[#This Row],[Value]]/Table1[[#This Row],[Conversion]])</f>
        <v/>
      </c>
      <c r="J700" s="50" t="str">
        <f>IF(Table1[[#This Row],[Description]]="","",DATE(Table1[[#This Row],[Year]],Table1[[#This Row],[Month]],1))</f>
        <v/>
      </c>
    </row>
    <row r="701" spans="8:10" x14ac:dyDescent="0.25">
      <c r="H701" t="str">
        <f>IF(Table1[[#This Row],[Description]]="","",IF(Table1[[#This Row],[Currency]]=$Q$2,$R$2,HLOOKUP(Table1[[#This Row],[Date]],Funds!$C$10:$GV$11,2,FALSE)))</f>
        <v/>
      </c>
      <c r="I701" s="217" t="str">
        <f>IF(Table1[[#This Row],[Description]]="","",Table1[[#This Row],[Value]]/Table1[[#This Row],[Conversion]])</f>
        <v/>
      </c>
      <c r="J701" s="50" t="str">
        <f>IF(Table1[[#This Row],[Description]]="","",DATE(Table1[[#This Row],[Year]],Table1[[#This Row],[Month]],1))</f>
        <v/>
      </c>
    </row>
    <row r="702" spans="8:10" x14ac:dyDescent="0.25">
      <c r="H702" t="str">
        <f>IF(Table1[[#This Row],[Description]]="","",IF(Table1[[#This Row],[Currency]]=$Q$2,$R$2,HLOOKUP(Table1[[#This Row],[Date]],Funds!$C$10:$GV$11,2,FALSE)))</f>
        <v/>
      </c>
      <c r="I702" s="217" t="str">
        <f>IF(Table1[[#This Row],[Description]]="","",Table1[[#This Row],[Value]]/Table1[[#This Row],[Conversion]])</f>
        <v/>
      </c>
      <c r="J702" s="50" t="str">
        <f>IF(Table1[[#This Row],[Description]]="","",DATE(Table1[[#This Row],[Year]],Table1[[#This Row],[Month]],1))</f>
        <v/>
      </c>
    </row>
    <row r="703" spans="8:10" x14ac:dyDescent="0.25">
      <c r="H703" t="str">
        <f>IF(Table1[[#This Row],[Description]]="","",IF(Table1[[#This Row],[Currency]]=$Q$2,$R$2,HLOOKUP(Table1[[#This Row],[Date]],Funds!$C$10:$GV$11,2,FALSE)))</f>
        <v/>
      </c>
      <c r="I703" s="217" t="str">
        <f>IF(Table1[[#This Row],[Description]]="","",Table1[[#This Row],[Value]]/Table1[[#This Row],[Conversion]])</f>
        <v/>
      </c>
      <c r="J703" s="50" t="str">
        <f>IF(Table1[[#This Row],[Description]]="","",DATE(Table1[[#This Row],[Year]],Table1[[#This Row],[Month]],1))</f>
        <v/>
      </c>
    </row>
    <row r="704" spans="8:10" x14ac:dyDescent="0.25">
      <c r="H704" t="str">
        <f>IF(Table1[[#This Row],[Description]]="","",IF(Table1[[#This Row],[Currency]]=$Q$2,$R$2,HLOOKUP(Table1[[#This Row],[Date]],Funds!$C$10:$GV$11,2,FALSE)))</f>
        <v/>
      </c>
      <c r="I704" s="217" t="str">
        <f>IF(Table1[[#This Row],[Description]]="","",Table1[[#This Row],[Value]]/Table1[[#This Row],[Conversion]])</f>
        <v/>
      </c>
      <c r="J704" s="50" t="str">
        <f>IF(Table1[[#This Row],[Description]]="","",DATE(Table1[[#This Row],[Year]],Table1[[#This Row],[Month]],1))</f>
        <v/>
      </c>
    </row>
    <row r="705" spans="8:10" x14ac:dyDescent="0.25">
      <c r="H705" t="str">
        <f>IF(Table1[[#This Row],[Description]]="","",IF(Table1[[#This Row],[Currency]]=$Q$2,$R$2,HLOOKUP(Table1[[#This Row],[Date]],Funds!$C$10:$GV$11,2,FALSE)))</f>
        <v/>
      </c>
      <c r="I705" s="217" t="str">
        <f>IF(Table1[[#This Row],[Description]]="","",Table1[[#This Row],[Value]]/Table1[[#This Row],[Conversion]])</f>
        <v/>
      </c>
      <c r="J705" s="50" t="str">
        <f>IF(Table1[[#This Row],[Description]]="","",DATE(Table1[[#This Row],[Year]],Table1[[#This Row],[Month]],1))</f>
        <v/>
      </c>
    </row>
    <row r="706" spans="8:10" x14ac:dyDescent="0.25">
      <c r="H706" t="str">
        <f>IF(Table1[[#This Row],[Description]]="","",IF(Table1[[#This Row],[Currency]]=$Q$2,$R$2,HLOOKUP(Table1[[#This Row],[Date]],Funds!$C$10:$GV$11,2,FALSE)))</f>
        <v/>
      </c>
      <c r="I706" s="217" t="str">
        <f>IF(Table1[[#This Row],[Description]]="","",Table1[[#This Row],[Value]]/Table1[[#This Row],[Conversion]])</f>
        <v/>
      </c>
      <c r="J706" s="50" t="str">
        <f>IF(Table1[[#This Row],[Description]]="","",DATE(Table1[[#This Row],[Year]],Table1[[#This Row],[Month]],1))</f>
        <v/>
      </c>
    </row>
    <row r="707" spans="8:10" x14ac:dyDescent="0.25">
      <c r="H707" t="str">
        <f>IF(Table1[[#This Row],[Description]]="","",IF(Table1[[#This Row],[Currency]]=$Q$2,$R$2,HLOOKUP(Table1[[#This Row],[Date]],Funds!$C$10:$GV$11,2,FALSE)))</f>
        <v/>
      </c>
      <c r="I707" s="217" t="str">
        <f>IF(Table1[[#This Row],[Description]]="","",Table1[[#This Row],[Value]]/Table1[[#This Row],[Conversion]])</f>
        <v/>
      </c>
      <c r="J707" s="50" t="str">
        <f>IF(Table1[[#This Row],[Description]]="","",DATE(Table1[[#This Row],[Year]],Table1[[#This Row],[Month]],1))</f>
        <v/>
      </c>
    </row>
    <row r="708" spans="8:10" x14ac:dyDescent="0.25">
      <c r="H708" t="str">
        <f>IF(Table1[[#This Row],[Description]]="","",IF(Table1[[#This Row],[Currency]]=$Q$2,$R$2,HLOOKUP(Table1[[#This Row],[Date]],Funds!$C$10:$GV$11,2,FALSE)))</f>
        <v/>
      </c>
      <c r="I708" s="217" t="str">
        <f>IF(Table1[[#This Row],[Description]]="","",Table1[[#This Row],[Value]]/Table1[[#This Row],[Conversion]])</f>
        <v/>
      </c>
      <c r="J708" s="50" t="str">
        <f>IF(Table1[[#This Row],[Description]]="","",DATE(Table1[[#This Row],[Year]],Table1[[#This Row],[Month]],1))</f>
        <v/>
      </c>
    </row>
    <row r="709" spans="8:10" x14ac:dyDescent="0.25">
      <c r="H709" t="str">
        <f>IF(Table1[[#This Row],[Description]]="","",IF(Table1[[#This Row],[Currency]]=$Q$2,$R$2,HLOOKUP(Table1[[#This Row],[Date]],Funds!$C$10:$GV$11,2,FALSE)))</f>
        <v/>
      </c>
      <c r="I709" s="217" t="str">
        <f>IF(Table1[[#This Row],[Description]]="","",Table1[[#This Row],[Value]]/Table1[[#This Row],[Conversion]])</f>
        <v/>
      </c>
      <c r="J709" s="50" t="str">
        <f>IF(Table1[[#This Row],[Description]]="","",DATE(Table1[[#This Row],[Year]],Table1[[#This Row],[Month]],1))</f>
        <v/>
      </c>
    </row>
    <row r="710" spans="8:10" x14ac:dyDescent="0.25">
      <c r="H710" t="str">
        <f>IF(Table1[[#This Row],[Description]]="","",IF(Table1[[#This Row],[Currency]]=$Q$2,$R$2,HLOOKUP(Table1[[#This Row],[Date]],Funds!$C$10:$GV$11,2,FALSE)))</f>
        <v/>
      </c>
      <c r="I710" s="217" t="str">
        <f>IF(Table1[[#This Row],[Description]]="","",Table1[[#This Row],[Value]]/Table1[[#This Row],[Conversion]])</f>
        <v/>
      </c>
      <c r="J710" s="50" t="str">
        <f>IF(Table1[[#This Row],[Description]]="","",DATE(Table1[[#This Row],[Year]],Table1[[#This Row],[Month]],1))</f>
        <v/>
      </c>
    </row>
    <row r="711" spans="8:10" x14ac:dyDescent="0.25">
      <c r="H711" t="str">
        <f>IF(Table1[[#This Row],[Description]]="","",IF(Table1[[#This Row],[Currency]]=$Q$2,$R$2,HLOOKUP(Table1[[#This Row],[Date]],Funds!$C$10:$GV$11,2,FALSE)))</f>
        <v/>
      </c>
      <c r="I711" s="217" t="str">
        <f>IF(Table1[[#This Row],[Description]]="","",Table1[[#This Row],[Value]]/Table1[[#This Row],[Conversion]])</f>
        <v/>
      </c>
      <c r="J711" s="50" t="str">
        <f>IF(Table1[[#This Row],[Description]]="","",DATE(Table1[[#This Row],[Year]],Table1[[#This Row],[Month]],1))</f>
        <v/>
      </c>
    </row>
    <row r="712" spans="8:10" x14ac:dyDescent="0.25">
      <c r="H712" t="str">
        <f>IF(Table1[[#This Row],[Description]]="","",IF(Table1[[#This Row],[Currency]]=$Q$2,$R$2,HLOOKUP(Table1[[#This Row],[Date]],Funds!$C$10:$GV$11,2,FALSE)))</f>
        <v/>
      </c>
      <c r="I712" s="217" t="str">
        <f>IF(Table1[[#This Row],[Description]]="","",Table1[[#This Row],[Value]]/Table1[[#This Row],[Conversion]])</f>
        <v/>
      </c>
      <c r="J712" s="50" t="str">
        <f>IF(Table1[[#This Row],[Description]]="","",DATE(Table1[[#This Row],[Year]],Table1[[#This Row],[Month]],1))</f>
        <v/>
      </c>
    </row>
    <row r="713" spans="8:10" x14ac:dyDescent="0.25">
      <c r="H713" t="str">
        <f>IF(Table1[[#This Row],[Description]]="","",IF(Table1[[#This Row],[Currency]]=$Q$2,$R$2,HLOOKUP(Table1[[#This Row],[Date]],Funds!$C$10:$GV$11,2,FALSE)))</f>
        <v/>
      </c>
      <c r="I713" s="217" t="str">
        <f>IF(Table1[[#This Row],[Description]]="","",Table1[[#This Row],[Value]]/Table1[[#This Row],[Conversion]])</f>
        <v/>
      </c>
      <c r="J713" s="50" t="str">
        <f>IF(Table1[[#This Row],[Description]]="","",DATE(Table1[[#This Row],[Year]],Table1[[#This Row],[Month]],1))</f>
        <v/>
      </c>
    </row>
    <row r="714" spans="8:10" x14ac:dyDescent="0.25">
      <c r="H714" t="str">
        <f>IF(Table1[[#This Row],[Description]]="","",IF(Table1[[#This Row],[Currency]]=$Q$2,$R$2,HLOOKUP(Table1[[#This Row],[Date]],Funds!$C$10:$GV$11,2,FALSE)))</f>
        <v/>
      </c>
      <c r="I714" s="217" t="str">
        <f>IF(Table1[[#This Row],[Description]]="","",Table1[[#This Row],[Value]]/Table1[[#This Row],[Conversion]])</f>
        <v/>
      </c>
      <c r="J714" s="50" t="str">
        <f>IF(Table1[[#This Row],[Description]]="","",DATE(Table1[[#This Row],[Year]],Table1[[#This Row],[Month]],1))</f>
        <v/>
      </c>
    </row>
    <row r="715" spans="8:10" x14ac:dyDescent="0.25">
      <c r="H715" t="str">
        <f>IF(Table1[[#This Row],[Description]]="","",IF(Table1[[#This Row],[Currency]]=$Q$2,$R$2,HLOOKUP(Table1[[#This Row],[Date]],Funds!$C$10:$GV$11,2,FALSE)))</f>
        <v/>
      </c>
      <c r="I715" s="217" t="str">
        <f>IF(Table1[[#This Row],[Description]]="","",Table1[[#This Row],[Value]]/Table1[[#This Row],[Conversion]])</f>
        <v/>
      </c>
      <c r="J715" s="50" t="str">
        <f>IF(Table1[[#This Row],[Description]]="","",DATE(Table1[[#This Row],[Year]],Table1[[#This Row],[Month]],1))</f>
        <v/>
      </c>
    </row>
    <row r="716" spans="8:10" x14ac:dyDescent="0.25">
      <c r="H716" t="str">
        <f>IF(Table1[[#This Row],[Description]]="","",IF(Table1[[#This Row],[Currency]]=$Q$2,$R$2,HLOOKUP(Table1[[#This Row],[Date]],Funds!$C$10:$GV$11,2,FALSE)))</f>
        <v/>
      </c>
      <c r="I716" s="217" t="str">
        <f>IF(Table1[[#This Row],[Description]]="","",Table1[[#This Row],[Value]]/Table1[[#This Row],[Conversion]])</f>
        <v/>
      </c>
      <c r="J716" s="50" t="str">
        <f>IF(Table1[[#This Row],[Description]]="","",DATE(Table1[[#This Row],[Year]],Table1[[#This Row],[Month]],1))</f>
        <v/>
      </c>
    </row>
    <row r="717" spans="8:10" x14ac:dyDescent="0.25">
      <c r="H717" t="str">
        <f>IF(Table1[[#This Row],[Description]]="","",IF(Table1[[#This Row],[Currency]]=$Q$2,$R$2,HLOOKUP(Table1[[#This Row],[Date]],Funds!$C$10:$GV$11,2,FALSE)))</f>
        <v/>
      </c>
      <c r="I717" s="217" t="str">
        <f>IF(Table1[[#This Row],[Description]]="","",Table1[[#This Row],[Value]]/Table1[[#This Row],[Conversion]])</f>
        <v/>
      </c>
      <c r="J717" s="50" t="str">
        <f>IF(Table1[[#This Row],[Description]]="","",DATE(Table1[[#This Row],[Year]],Table1[[#This Row],[Month]],1))</f>
        <v/>
      </c>
    </row>
    <row r="718" spans="8:10" x14ac:dyDescent="0.25">
      <c r="H718" t="str">
        <f>IF(Table1[[#This Row],[Description]]="","",IF(Table1[[#This Row],[Currency]]=$Q$2,$R$2,HLOOKUP(Table1[[#This Row],[Date]],Funds!$C$10:$GV$11,2,FALSE)))</f>
        <v/>
      </c>
      <c r="I718" s="217" t="str">
        <f>IF(Table1[[#This Row],[Description]]="","",Table1[[#This Row],[Value]]/Table1[[#This Row],[Conversion]])</f>
        <v/>
      </c>
      <c r="J718" s="50" t="str">
        <f>IF(Table1[[#This Row],[Description]]="","",DATE(Table1[[#This Row],[Year]],Table1[[#This Row],[Month]],1))</f>
        <v/>
      </c>
    </row>
    <row r="719" spans="8:10" x14ac:dyDescent="0.25">
      <c r="H719" t="str">
        <f>IF(Table1[[#This Row],[Description]]="","",IF(Table1[[#This Row],[Currency]]=$Q$2,$R$2,HLOOKUP(Table1[[#This Row],[Date]],Funds!$C$10:$GV$11,2,FALSE)))</f>
        <v/>
      </c>
      <c r="I719" s="217" t="str">
        <f>IF(Table1[[#This Row],[Description]]="","",Table1[[#This Row],[Value]]/Table1[[#This Row],[Conversion]])</f>
        <v/>
      </c>
      <c r="J719" s="50" t="str">
        <f>IF(Table1[[#This Row],[Description]]="","",DATE(Table1[[#This Row],[Year]],Table1[[#This Row],[Month]],1))</f>
        <v/>
      </c>
    </row>
    <row r="720" spans="8:10" x14ac:dyDescent="0.25">
      <c r="H720" t="str">
        <f>IF(Table1[[#This Row],[Description]]="","",IF(Table1[[#This Row],[Currency]]=$Q$2,$R$2,HLOOKUP(Table1[[#This Row],[Date]],Funds!$C$10:$GV$11,2,FALSE)))</f>
        <v/>
      </c>
      <c r="I720" s="217" t="str">
        <f>IF(Table1[[#This Row],[Description]]="","",Table1[[#This Row],[Value]]/Table1[[#This Row],[Conversion]])</f>
        <v/>
      </c>
      <c r="J720" s="50" t="str">
        <f>IF(Table1[[#This Row],[Description]]="","",DATE(Table1[[#This Row],[Year]],Table1[[#This Row],[Month]],1))</f>
        <v/>
      </c>
    </row>
    <row r="721" spans="8:10" x14ac:dyDescent="0.25">
      <c r="H721" t="str">
        <f>IF(Table1[[#This Row],[Description]]="","",IF(Table1[[#This Row],[Currency]]=$Q$2,$R$2,HLOOKUP(Table1[[#This Row],[Date]],Funds!$C$10:$GV$11,2,FALSE)))</f>
        <v/>
      </c>
      <c r="I721" s="217" t="str">
        <f>IF(Table1[[#This Row],[Description]]="","",Table1[[#This Row],[Value]]/Table1[[#This Row],[Conversion]])</f>
        <v/>
      </c>
      <c r="J721" s="50" t="str">
        <f>IF(Table1[[#This Row],[Description]]="","",DATE(Table1[[#This Row],[Year]],Table1[[#This Row],[Month]],1))</f>
        <v/>
      </c>
    </row>
    <row r="722" spans="8:10" x14ac:dyDescent="0.25">
      <c r="H722" t="str">
        <f>IF(Table1[[#This Row],[Description]]="","",IF(Table1[[#This Row],[Currency]]=$Q$2,$R$2,HLOOKUP(Table1[[#This Row],[Date]],Funds!$C$10:$GV$11,2,FALSE)))</f>
        <v/>
      </c>
      <c r="I722" s="217" t="str">
        <f>IF(Table1[[#This Row],[Description]]="","",Table1[[#This Row],[Value]]/Table1[[#This Row],[Conversion]])</f>
        <v/>
      </c>
      <c r="J722" s="50" t="str">
        <f>IF(Table1[[#This Row],[Description]]="","",DATE(Table1[[#This Row],[Year]],Table1[[#This Row],[Month]],1))</f>
        <v/>
      </c>
    </row>
    <row r="723" spans="8:10" x14ac:dyDescent="0.25">
      <c r="H723" t="str">
        <f>IF(Table1[[#This Row],[Description]]="","",IF(Table1[[#This Row],[Currency]]=$Q$2,$R$2,HLOOKUP(Table1[[#This Row],[Date]],Funds!$C$10:$GV$11,2,FALSE)))</f>
        <v/>
      </c>
      <c r="I723" s="217" t="str">
        <f>IF(Table1[[#This Row],[Description]]="","",Table1[[#This Row],[Value]]/Table1[[#This Row],[Conversion]])</f>
        <v/>
      </c>
      <c r="J723" s="50" t="str">
        <f>IF(Table1[[#This Row],[Description]]="","",DATE(Table1[[#This Row],[Year]],Table1[[#This Row],[Month]],1))</f>
        <v/>
      </c>
    </row>
    <row r="724" spans="8:10" x14ac:dyDescent="0.25">
      <c r="H724" t="str">
        <f>IF(Table1[[#This Row],[Description]]="","",IF(Table1[[#This Row],[Currency]]=$Q$2,$R$2,HLOOKUP(Table1[[#This Row],[Date]],Funds!$C$10:$GV$11,2,FALSE)))</f>
        <v/>
      </c>
      <c r="I724" s="217" t="str">
        <f>IF(Table1[[#This Row],[Description]]="","",Table1[[#This Row],[Value]]/Table1[[#This Row],[Conversion]])</f>
        <v/>
      </c>
      <c r="J724" s="50" t="str">
        <f>IF(Table1[[#This Row],[Description]]="","",DATE(Table1[[#This Row],[Year]],Table1[[#This Row],[Month]],1))</f>
        <v/>
      </c>
    </row>
    <row r="725" spans="8:10" x14ac:dyDescent="0.25">
      <c r="H725" t="str">
        <f>IF(Table1[[#This Row],[Description]]="","",IF(Table1[[#This Row],[Currency]]=$Q$2,$R$2,HLOOKUP(Table1[[#This Row],[Date]],Funds!$C$10:$GV$11,2,FALSE)))</f>
        <v/>
      </c>
      <c r="I725" s="217" t="str">
        <f>IF(Table1[[#This Row],[Description]]="","",Table1[[#This Row],[Value]]/Table1[[#This Row],[Conversion]])</f>
        <v/>
      </c>
      <c r="J725" s="50" t="str">
        <f>IF(Table1[[#This Row],[Description]]="","",DATE(Table1[[#This Row],[Year]],Table1[[#This Row],[Month]],1))</f>
        <v/>
      </c>
    </row>
    <row r="726" spans="8:10" x14ac:dyDescent="0.25">
      <c r="H726" t="str">
        <f>IF(Table1[[#This Row],[Description]]="","",IF(Table1[[#This Row],[Currency]]=$Q$2,$R$2,HLOOKUP(Table1[[#This Row],[Date]],Funds!$C$10:$GV$11,2,FALSE)))</f>
        <v/>
      </c>
      <c r="I726" s="217" t="str">
        <f>IF(Table1[[#This Row],[Description]]="","",Table1[[#This Row],[Value]]/Table1[[#This Row],[Conversion]])</f>
        <v/>
      </c>
      <c r="J726" s="50" t="str">
        <f>IF(Table1[[#This Row],[Description]]="","",DATE(Table1[[#This Row],[Year]],Table1[[#This Row],[Month]],1))</f>
        <v/>
      </c>
    </row>
    <row r="727" spans="8:10" x14ac:dyDescent="0.25">
      <c r="H727" t="str">
        <f>IF(Table1[[#This Row],[Description]]="","",IF(Table1[[#This Row],[Currency]]=$Q$2,$R$2,HLOOKUP(Table1[[#This Row],[Date]],Funds!$C$10:$GV$11,2,FALSE)))</f>
        <v/>
      </c>
      <c r="I727" s="217" t="str">
        <f>IF(Table1[[#This Row],[Description]]="","",Table1[[#This Row],[Value]]/Table1[[#This Row],[Conversion]])</f>
        <v/>
      </c>
      <c r="J727" s="50" t="str">
        <f>IF(Table1[[#This Row],[Description]]="","",DATE(Table1[[#This Row],[Year]],Table1[[#This Row],[Month]],1))</f>
        <v/>
      </c>
    </row>
    <row r="728" spans="8:10" x14ac:dyDescent="0.25">
      <c r="H728" t="str">
        <f>IF(Table1[[#This Row],[Description]]="","",IF(Table1[[#This Row],[Currency]]=$Q$2,$R$2,HLOOKUP(Table1[[#This Row],[Date]],Funds!$C$10:$GV$11,2,FALSE)))</f>
        <v/>
      </c>
      <c r="I728" s="217" t="str">
        <f>IF(Table1[[#This Row],[Description]]="","",Table1[[#This Row],[Value]]/Table1[[#This Row],[Conversion]])</f>
        <v/>
      </c>
      <c r="J728" s="50" t="str">
        <f>IF(Table1[[#This Row],[Description]]="","",DATE(Table1[[#This Row],[Year]],Table1[[#This Row],[Month]],1))</f>
        <v/>
      </c>
    </row>
    <row r="729" spans="8:10" x14ac:dyDescent="0.25">
      <c r="H729" t="str">
        <f>IF(Table1[[#This Row],[Description]]="","",IF(Table1[[#This Row],[Currency]]=$Q$2,$R$2,HLOOKUP(Table1[[#This Row],[Date]],Funds!$C$10:$GV$11,2,FALSE)))</f>
        <v/>
      </c>
      <c r="I729" s="217" t="str">
        <f>IF(Table1[[#This Row],[Description]]="","",Table1[[#This Row],[Value]]/Table1[[#This Row],[Conversion]])</f>
        <v/>
      </c>
      <c r="J729" s="50" t="str">
        <f>IF(Table1[[#This Row],[Description]]="","",DATE(Table1[[#This Row],[Year]],Table1[[#This Row],[Month]],1))</f>
        <v/>
      </c>
    </row>
    <row r="730" spans="8:10" x14ac:dyDescent="0.25">
      <c r="H730" t="str">
        <f>IF(Table1[[#This Row],[Description]]="","",IF(Table1[[#This Row],[Currency]]=$Q$2,$R$2,HLOOKUP(Table1[[#This Row],[Date]],Funds!$C$10:$GV$11,2,FALSE)))</f>
        <v/>
      </c>
      <c r="I730" s="217" t="str">
        <f>IF(Table1[[#This Row],[Description]]="","",Table1[[#This Row],[Value]]/Table1[[#This Row],[Conversion]])</f>
        <v/>
      </c>
      <c r="J730" s="50" t="str">
        <f>IF(Table1[[#This Row],[Description]]="","",DATE(Table1[[#This Row],[Year]],Table1[[#This Row],[Month]],1))</f>
        <v/>
      </c>
    </row>
    <row r="731" spans="8:10" x14ac:dyDescent="0.25">
      <c r="H731" t="str">
        <f>IF(Table1[[#This Row],[Description]]="","",IF(Table1[[#This Row],[Currency]]=$Q$2,$R$2,HLOOKUP(Table1[[#This Row],[Date]],Funds!$C$10:$GV$11,2,FALSE)))</f>
        <v/>
      </c>
      <c r="I731" s="217" t="str">
        <f>IF(Table1[[#This Row],[Description]]="","",Table1[[#This Row],[Value]]/Table1[[#This Row],[Conversion]])</f>
        <v/>
      </c>
      <c r="J731" s="50" t="str">
        <f>IF(Table1[[#This Row],[Description]]="","",DATE(Table1[[#This Row],[Year]],Table1[[#This Row],[Month]],1))</f>
        <v/>
      </c>
    </row>
    <row r="732" spans="8:10" x14ac:dyDescent="0.25">
      <c r="H732" t="str">
        <f>IF(Table1[[#This Row],[Description]]="","",IF(Table1[[#This Row],[Currency]]=$Q$2,$R$2,HLOOKUP(Table1[[#This Row],[Date]],Funds!$C$10:$GV$11,2,FALSE)))</f>
        <v/>
      </c>
      <c r="I732" s="217" t="str">
        <f>IF(Table1[[#This Row],[Description]]="","",Table1[[#This Row],[Value]]/Table1[[#This Row],[Conversion]])</f>
        <v/>
      </c>
      <c r="J732" s="50" t="str">
        <f>IF(Table1[[#This Row],[Description]]="","",DATE(Table1[[#This Row],[Year]],Table1[[#This Row],[Month]],1))</f>
        <v/>
      </c>
    </row>
    <row r="733" spans="8:10" x14ac:dyDescent="0.25">
      <c r="H733" t="str">
        <f>IF(Table1[[#This Row],[Description]]="","",IF(Table1[[#This Row],[Currency]]=$Q$2,$R$2,HLOOKUP(Table1[[#This Row],[Date]],Funds!$C$10:$GV$11,2,FALSE)))</f>
        <v/>
      </c>
      <c r="I733" s="217" t="str">
        <f>IF(Table1[[#This Row],[Description]]="","",Table1[[#This Row],[Value]]/Table1[[#This Row],[Conversion]])</f>
        <v/>
      </c>
      <c r="J733" s="50" t="str">
        <f>IF(Table1[[#This Row],[Description]]="","",DATE(Table1[[#This Row],[Year]],Table1[[#This Row],[Month]],1))</f>
        <v/>
      </c>
    </row>
    <row r="734" spans="8:10" x14ac:dyDescent="0.25">
      <c r="H734" t="str">
        <f>IF(Table1[[#This Row],[Description]]="","",IF(Table1[[#This Row],[Currency]]=$Q$2,$R$2,HLOOKUP(Table1[[#This Row],[Date]],Funds!$C$10:$GV$11,2,FALSE)))</f>
        <v/>
      </c>
      <c r="I734" s="217" t="str">
        <f>IF(Table1[[#This Row],[Description]]="","",Table1[[#This Row],[Value]]/Table1[[#This Row],[Conversion]])</f>
        <v/>
      </c>
      <c r="J734" s="50" t="str">
        <f>IF(Table1[[#This Row],[Description]]="","",DATE(Table1[[#This Row],[Year]],Table1[[#This Row],[Month]],1))</f>
        <v/>
      </c>
    </row>
    <row r="735" spans="8:10" x14ac:dyDescent="0.25">
      <c r="H735" t="str">
        <f>IF(Table1[[#This Row],[Description]]="","",IF(Table1[[#This Row],[Currency]]=$Q$2,$R$2,HLOOKUP(Table1[[#This Row],[Date]],Funds!$C$10:$GV$11,2,FALSE)))</f>
        <v/>
      </c>
      <c r="I735" s="217" t="str">
        <f>IF(Table1[[#This Row],[Description]]="","",Table1[[#This Row],[Value]]/Table1[[#This Row],[Conversion]])</f>
        <v/>
      </c>
      <c r="J735" s="50" t="str">
        <f>IF(Table1[[#This Row],[Description]]="","",DATE(Table1[[#This Row],[Year]],Table1[[#This Row],[Month]],1))</f>
        <v/>
      </c>
    </row>
    <row r="736" spans="8:10" x14ac:dyDescent="0.25">
      <c r="H736" t="str">
        <f>IF(Table1[[#This Row],[Description]]="","",IF(Table1[[#This Row],[Currency]]=$Q$2,$R$2,HLOOKUP(Table1[[#This Row],[Date]],Funds!$C$10:$GV$11,2,FALSE)))</f>
        <v/>
      </c>
      <c r="I736" s="217" t="str">
        <f>IF(Table1[[#This Row],[Description]]="","",Table1[[#This Row],[Value]]/Table1[[#This Row],[Conversion]])</f>
        <v/>
      </c>
      <c r="J736" s="50" t="str">
        <f>IF(Table1[[#This Row],[Description]]="","",DATE(Table1[[#This Row],[Year]],Table1[[#This Row],[Month]],1))</f>
        <v/>
      </c>
    </row>
    <row r="737" spans="8:10" x14ac:dyDescent="0.25">
      <c r="H737" t="str">
        <f>IF(Table1[[#This Row],[Description]]="","",IF(Table1[[#This Row],[Currency]]=$Q$2,$R$2,HLOOKUP(Table1[[#This Row],[Date]],Funds!$C$10:$GV$11,2,FALSE)))</f>
        <v/>
      </c>
      <c r="I737" s="217" t="str">
        <f>IF(Table1[[#This Row],[Description]]="","",Table1[[#This Row],[Value]]/Table1[[#This Row],[Conversion]])</f>
        <v/>
      </c>
      <c r="J737" s="50" t="str">
        <f>IF(Table1[[#This Row],[Description]]="","",DATE(Table1[[#This Row],[Year]],Table1[[#This Row],[Month]],1))</f>
        <v/>
      </c>
    </row>
    <row r="738" spans="8:10" x14ac:dyDescent="0.25">
      <c r="H738" t="str">
        <f>IF(Table1[[#This Row],[Description]]="","",IF(Table1[[#This Row],[Currency]]=$Q$2,$R$2,HLOOKUP(Table1[[#This Row],[Date]],Funds!$C$10:$GV$11,2,FALSE)))</f>
        <v/>
      </c>
      <c r="I738" s="217" t="str">
        <f>IF(Table1[[#This Row],[Description]]="","",Table1[[#This Row],[Value]]/Table1[[#This Row],[Conversion]])</f>
        <v/>
      </c>
      <c r="J738" s="50" t="str">
        <f>IF(Table1[[#This Row],[Description]]="","",DATE(Table1[[#This Row],[Year]],Table1[[#This Row],[Month]],1))</f>
        <v/>
      </c>
    </row>
    <row r="739" spans="8:10" x14ac:dyDescent="0.25">
      <c r="H739" t="str">
        <f>IF(Table1[[#This Row],[Description]]="","",IF(Table1[[#This Row],[Currency]]=$Q$2,$R$2,HLOOKUP(Table1[[#This Row],[Date]],Funds!$C$10:$GV$11,2,FALSE)))</f>
        <v/>
      </c>
      <c r="I739" s="217" t="str">
        <f>IF(Table1[[#This Row],[Description]]="","",Table1[[#This Row],[Value]]/Table1[[#This Row],[Conversion]])</f>
        <v/>
      </c>
      <c r="J739" s="50" t="str">
        <f>IF(Table1[[#This Row],[Description]]="","",DATE(Table1[[#This Row],[Year]],Table1[[#This Row],[Month]],1))</f>
        <v/>
      </c>
    </row>
    <row r="740" spans="8:10" x14ac:dyDescent="0.25">
      <c r="H740" t="str">
        <f>IF(Table1[[#This Row],[Description]]="","",IF(Table1[[#This Row],[Currency]]=$Q$2,$R$2,HLOOKUP(Table1[[#This Row],[Date]],Funds!$C$10:$GV$11,2,FALSE)))</f>
        <v/>
      </c>
      <c r="I740" s="217" t="str">
        <f>IF(Table1[[#This Row],[Description]]="","",Table1[[#This Row],[Value]]/Table1[[#This Row],[Conversion]])</f>
        <v/>
      </c>
      <c r="J740" s="50" t="str">
        <f>IF(Table1[[#This Row],[Description]]="","",DATE(Table1[[#This Row],[Year]],Table1[[#This Row],[Month]],1))</f>
        <v/>
      </c>
    </row>
    <row r="741" spans="8:10" x14ac:dyDescent="0.25">
      <c r="H741" t="str">
        <f>IF(Table1[[#This Row],[Description]]="","",IF(Table1[[#This Row],[Currency]]=$Q$2,$R$2,HLOOKUP(Table1[[#This Row],[Date]],Funds!$C$10:$GV$11,2,FALSE)))</f>
        <v/>
      </c>
      <c r="I741" s="217" t="str">
        <f>IF(Table1[[#This Row],[Description]]="","",Table1[[#This Row],[Value]]/Table1[[#This Row],[Conversion]])</f>
        <v/>
      </c>
      <c r="J741" s="50" t="str">
        <f>IF(Table1[[#This Row],[Description]]="","",DATE(Table1[[#This Row],[Year]],Table1[[#This Row],[Month]],1))</f>
        <v/>
      </c>
    </row>
    <row r="742" spans="8:10" x14ac:dyDescent="0.25">
      <c r="H742" t="str">
        <f>IF(Table1[[#This Row],[Description]]="","",IF(Table1[[#This Row],[Currency]]=$Q$2,$R$2,HLOOKUP(Table1[[#This Row],[Date]],Funds!$C$10:$GV$11,2,FALSE)))</f>
        <v/>
      </c>
      <c r="I742" s="217" t="str">
        <f>IF(Table1[[#This Row],[Description]]="","",Table1[[#This Row],[Value]]/Table1[[#This Row],[Conversion]])</f>
        <v/>
      </c>
      <c r="J742" s="50" t="str">
        <f>IF(Table1[[#This Row],[Description]]="","",DATE(Table1[[#This Row],[Year]],Table1[[#This Row],[Month]],1))</f>
        <v/>
      </c>
    </row>
    <row r="743" spans="8:10" x14ac:dyDescent="0.25">
      <c r="H743" t="str">
        <f>IF(Table1[[#This Row],[Description]]="","",IF(Table1[[#This Row],[Currency]]=$Q$2,$R$2,HLOOKUP(Table1[[#This Row],[Date]],Funds!$C$10:$GV$11,2,FALSE)))</f>
        <v/>
      </c>
      <c r="I743" s="217" t="str">
        <f>IF(Table1[[#This Row],[Description]]="","",Table1[[#This Row],[Value]]/Table1[[#This Row],[Conversion]])</f>
        <v/>
      </c>
      <c r="J743" s="50" t="str">
        <f>IF(Table1[[#This Row],[Description]]="","",DATE(Table1[[#This Row],[Year]],Table1[[#This Row],[Month]],1))</f>
        <v/>
      </c>
    </row>
    <row r="744" spans="8:10" x14ac:dyDescent="0.25">
      <c r="H744" t="str">
        <f>IF(Table1[[#This Row],[Description]]="","",IF(Table1[[#This Row],[Currency]]=$Q$2,$R$2,HLOOKUP(Table1[[#This Row],[Date]],Funds!$C$10:$GV$11,2,FALSE)))</f>
        <v/>
      </c>
      <c r="I744" s="217" t="str">
        <f>IF(Table1[[#This Row],[Description]]="","",Table1[[#This Row],[Value]]/Table1[[#This Row],[Conversion]])</f>
        <v/>
      </c>
      <c r="J744" s="50" t="str">
        <f>IF(Table1[[#This Row],[Description]]="","",DATE(Table1[[#This Row],[Year]],Table1[[#This Row],[Month]],1))</f>
        <v/>
      </c>
    </row>
    <row r="745" spans="8:10" x14ac:dyDescent="0.25">
      <c r="H745" t="str">
        <f>IF(Table1[[#This Row],[Description]]="","",IF(Table1[[#This Row],[Currency]]=$Q$2,$R$2,HLOOKUP(Table1[[#This Row],[Date]],Funds!$C$10:$GV$11,2,FALSE)))</f>
        <v/>
      </c>
      <c r="I745" s="217" t="str">
        <f>IF(Table1[[#This Row],[Description]]="","",Table1[[#This Row],[Value]]/Table1[[#This Row],[Conversion]])</f>
        <v/>
      </c>
      <c r="J745" s="50" t="str">
        <f>IF(Table1[[#This Row],[Description]]="","",DATE(Table1[[#This Row],[Year]],Table1[[#This Row],[Month]],1))</f>
        <v/>
      </c>
    </row>
    <row r="746" spans="8:10" x14ac:dyDescent="0.25">
      <c r="H746" t="str">
        <f>IF(Table1[[#This Row],[Description]]="","",IF(Table1[[#This Row],[Currency]]=$Q$2,$R$2,HLOOKUP(Table1[[#This Row],[Date]],Funds!$C$10:$GV$11,2,FALSE)))</f>
        <v/>
      </c>
      <c r="I746" s="217" t="str">
        <f>IF(Table1[[#This Row],[Description]]="","",Table1[[#This Row],[Value]]/Table1[[#This Row],[Conversion]])</f>
        <v/>
      </c>
      <c r="J746" s="50" t="str">
        <f>IF(Table1[[#This Row],[Description]]="","",DATE(Table1[[#This Row],[Year]],Table1[[#This Row],[Month]],1))</f>
        <v/>
      </c>
    </row>
    <row r="747" spans="8:10" x14ac:dyDescent="0.25">
      <c r="H747" t="str">
        <f>IF(Table1[[#This Row],[Description]]="","",IF(Table1[[#This Row],[Currency]]=$Q$2,$R$2,HLOOKUP(Table1[[#This Row],[Date]],Funds!$C$10:$GV$11,2,FALSE)))</f>
        <v/>
      </c>
      <c r="I747" s="217" t="str">
        <f>IF(Table1[[#This Row],[Description]]="","",Table1[[#This Row],[Value]]/Table1[[#This Row],[Conversion]])</f>
        <v/>
      </c>
      <c r="J747" s="50" t="str">
        <f>IF(Table1[[#This Row],[Description]]="","",DATE(Table1[[#This Row],[Year]],Table1[[#This Row],[Month]],1))</f>
        <v/>
      </c>
    </row>
    <row r="748" spans="8:10" x14ac:dyDescent="0.25">
      <c r="H748" t="str">
        <f>IF(Table1[[#This Row],[Description]]="","",IF(Table1[[#This Row],[Currency]]=$Q$2,$R$2,HLOOKUP(Table1[[#This Row],[Date]],Funds!$C$10:$GV$11,2,FALSE)))</f>
        <v/>
      </c>
      <c r="I748" s="217" t="str">
        <f>IF(Table1[[#This Row],[Description]]="","",Table1[[#This Row],[Value]]/Table1[[#This Row],[Conversion]])</f>
        <v/>
      </c>
      <c r="J748" s="50" t="str">
        <f>IF(Table1[[#This Row],[Description]]="","",DATE(Table1[[#This Row],[Year]],Table1[[#This Row],[Month]],1))</f>
        <v/>
      </c>
    </row>
    <row r="749" spans="8:10" x14ac:dyDescent="0.25">
      <c r="H749" t="str">
        <f>IF(Table1[[#This Row],[Description]]="","",IF(Table1[[#This Row],[Currency]]=$Q$2,$R$2,HLOOKUP(Table1[[#This Row],[Date]],Funds!$C$10:$GV$11,2,FALSE)))</f>
        <v/>
      </c>
      <c r="I749" s="217" t="str">
        <f>IF(Table1[[#This Row],[Description]]="","",Table1[[#This Row],[Value]]/Table1[[#This Row],[Conversion]])</f>
        <v/>
      </c>
      <c r="J749" s="50" t="str">
        <f>IF(Table1[[#This Row],[Description]]="","",DATE(Table1[[#This Row],[Year]],Table1[[#This Row],[Month]],1))</f>
        <v/>
      </c>
    </row>
    <row r="750" spans="8:10" x14ac:dyDescent="0.25">
      <c r="H750" t="str">
        <f>IF(Table1[[#This Row],[Description]]="","",IF(Table1[[#This Row],[Currency]]=$Q$2,$R$2,HLOOKUP(Table1[[#This Row],[Date]],Funds!$C$10:$GV$11,2,FALSE)))</f>
        <v/>
      </c>
      <c r="I750" s="217" t="str">
        <f>IF(Table1[[#This Row],[Description]]="","",Table1[[#This Row],[Value]]/Table1[[#This Row],[Conversion]])</f>
        <v/>
      </c>
      <c r="J750" s="50" t="str">
        <f>IF(Table1[[#This Row],[Description]]="","",DATE(Table1[[#This Row],[Year]],Table1[[#This Row],[Month]],1))</f>
        <v/>
      </c>
    </row>
    <row r="751" spans="8:10" x14ac:dyDescent="0.25">
      <c r="H751" t="str">
        <f>IF(Table1[[#This Row],[Description]]="","",IF(Table1[[#This Row],[Currency]]=$Q$2,$R$2,HLOOKUP(Table1[[#This Row],[Date]],Funds!$C$10:$GV$11,2,FALSE)))</f>
        <v/>
      </c>
      <c r="I751" s="217" t="str">
        <f>IF(Table1[[#This Row],[Description]]="","",Table1[[#This Row],[Value]]/Table1[[#This Row],[Conversion]])</f>
        <v/>
      </c>
      <c r="J751" s="50" t="str">
        <f>IF(Table1[[#This Row],[Description]]="","",DATE(Table1[[#This Row],[Year]],Table1[[#This Row],[Month]],1))</f>
        <v/>
      </c>
    </row>
    <row r="752" spans="8:10" x14ac:dyDescent="0.25">
      <c r="H752" t="str">
        <f>IF(Table1[[#This Row],[Description]]="","",IF(Table1[[#This Row],[Currency]]=$Q$2,$R$2,HLOOKUP(Table1[[#This Row],[Date]],Funds!$C$10:$GV$11,2,FALSE)))</f>
        <v/>
      </c>
      <c r="I752" s="217" t="str">
        <f>IF(Table1[[#This Row],[Description]]="","",Table1[[#This Row],[Value]]/Table1[[#This Row],[Conversion]])</f>
        <v/>
      </c>
      <c r="J752" s="50" t="str">
        <f>IF(Table1[[#This Row],[Description]]="","",DATE(Table1[[#This Row],[Year]],Table1[[#This Row],[Month]],1))</f>
        <v/>
      </c>
    </row>
    <row r="753" spans="8:10" x14ac:dyDescent="0.25">
      <c r="H753" t="str">
        <f>IF(Table1[[#This Row],[Description]]="","",IF(Table1[[#This Row],[Currency]]=$Q$2,$R$2,HLOOKUP(Table1[[#This Row],[Date]],Funds!$C$10:$GV$11,2,FALSE)))</f>
        <v/>
      </c>
      <c r="I753" s="217" t="str">
        <f>IF(Table1[[#This Row],[Description]]="","",Table1[[#This Row],[Value]]/Table1[[#This Row],[Conversion]])</f>
        <v/>
      </c>
      <c r="J753" s="50" t="str">
        <f>IF(Table1[[#This Row],[Description]]="","",DATE(Table1[[#This Row],[Year]],Table1[[#This Row],[Month]],1))</f>
        <v/>
      </c>
    </row>
    <row r="754" spans="8:10" x14ac:dyDescent="0.25">
      <c r="H754" t="str">
        <f>IF(Table1[[#This Row],[Description]]="","",IF(Table1[[#This Row],[Currency]]=$Q$2,$R$2,HLOOKUP(Table1[[#This Row],[Date]],Funds!$C$10:$GV$11,2,FALSE)))</f>
        <v/>
      </c>
      <c r="I754" s="217" t="str">
        <f>IF(Table1[[#This Row],[Description]]="","",Table1[[#This Row],[Value]]/Table1[[#This Row],[Conversion]])</f>
        <v/>
      </c>
      <c r="J754" s="50" t="str">
        <f>IF(Table1[[#This Row],[Description]]="","",DATE(Table1[[#This Row],[Year]],Table1[[#This Row],[Month]],1))</f>
        <v/>
      </c>
    </row>
    <row r="755" spans="8:10" x14ac:dyDescent="0.25">
      <c r="H755" t="str">
        <f>IF(Table1[[#This Row],[Description]]="","",IF(Table1[[#This Row],[Currency]]=$Q$2,$R$2,HLOOKUP(Table1[[#This Row],[Date]],Funds!$C$10:$GV$11,2,FALSE)))</f>
        <v/>
      </c>
      <c r="I755" s="217" t="str">
        <f>IF(Table1[[#This Row],[Description]]="","",Table1[[#This Row],[Value]]/Table1[[#This Row],[Conversion]])</f>
        <v/>
      </c>
      <c r="J755" s="50" t="str">
        <f>IF(Table1[[#This Row],[Description]]="","",DATE(Table1[[#This Row],[Year]],Table1[[#This Row],[Month]],1))</f>
        <v/>
      </c>
    </row>
    <row r="756" spans="8:10" x14ac:dyDescent="0.25">
      <c r="H756" t="str">
        <f>IF(Table1[[#This Row],[Description]]="","",IF(Table1[[#This Row],[Currency]]=$Q$2,$R$2,HLOOKUP(Table1[[#This Row],[Date]],Funds!$C$10:$GV$11,2,FALSE)))</f>
        <v/>
      </c>
      <c r="I756" s="217" t="str">
        <f>IF(Table1[[#This Row],[Description]]="","",Table1[[#This Row],[Value]]/Table1[[#This Row],[Conversion]])</f>
        <v/>
      </c>
      <c r="J756" s="50" t="str">
        <f>IF(Table1[[#This Row],[Description]]="","",DATE(Table1[[#This Row],[Year]],Table1[[#This Row],[Month]],1))</f>
        <v/>
      </c>
    </row>
    <row r="757" spans="8:10" x14ac:dyDescent="0.25">
      <c r="H757" t="str">
        <f>IF(Table1[[#This Row],[Description]]="","",IF(Table1[[#This Row],[Currency]]=$Q$2,$R$2,HLOOKUP(Table1[[#This Row],[Date]],Funds!$C$10:$GV$11,2,FALSE)))</f>
        <v/>
      </c>
      <c r="I757" s="217" t="str">
        <f>IF(Table1[[#This Row],[Description]]="","",Table1[[#This Row],[Value]]/Table1[[#This Row],[Conversion]])</f>
        <v/>
      </c>
      <c r="J757" s="50" t="str">
        <f>IF(Table1[[#This Row],[Description]]="","",DATE(Table1[[#This Row],[Year]],Table1[[#This Row],[Month]],1))</f>
        <v/>
      </c>
    </row>
    <row r="758" spans="8:10" x14ac:dyDescent="0.25">
      <c r="H758" t="str">
        <f>IF(Table1[[#This Row],[Description]]="","",IF(Table1[[#This Row],[Currency]]=$Q$2,$R$2,HLOOKUP(Table1[[#This Row],[Date]],Funds!$C$10:$GV$11,2,FALSE)))</f>
        <v/>
      </c>
      <c r="I758" s="217" t="str">
        <f>IF(Table1[[#This Row],[Description]]="","",Table1[[#This Row],[Value]]/Table1[[#This Row],[Conversion]])</f>
        <v/>
      </c>
      <c r="J758" s="50" t="str">
        <f>IF(Table1[[#This Row],[Description]]="","",DATE(Table1[[#This Row],[Year]],Table1[[#This Row],[Month]],1))</f>
        <v/>
      </c>
    </row>
    <row r="759" spans="8:10" x14ac:dyDescent="0.25">
      <c r="H759" t="str">
        <f>IF(Table1[[#This Row],[Description]]="","",IF(Table1[[#This Row],[Currency]]=$Q$2,$R$2,HLOOKUP(Table1[[#This Row],[Date]],Funds!$C$10:$GV$11,2,FALSE)))</f>
        <v/>
      </c>
      <c r="I759" s="217" t="str">
        <f>IF(Table1[[#This Row],[Description]]="","",Table1[[#This Row],[Value]]/Table1[[#This Row],[Conversion]])</f>
        <v/>
      </c>
      <c r="J759" s="50" t="str">
        <f>IF(Table1[[#This Row],[Description]]="","",DATE(Table1[[#This Row],[Year]],Table1[[#This Row],[Month]],1))</f>
        <v/>
      </c>
    </row>
    <row r="760" spans="8:10" x14ac:dyDescent="0.25">
      <c r="H760" t="str">
        <f>IF(Table1[[#This Row],[Description]]="","",IF(Table1[[#This Row],[Currency]]=$Q$2,$R$2,HLOOKUP(Table1[[#This Row],[Date]],Funds!$C$10:$GV$11,2,FALSE)))</f>
        <v/>
      </c>
      <c r="I760" s="217" t="str">
        <f>IF(Table1[[#This Row],[Description]]="","",Table1[[#This Row],[Value]]/Table1[[#This Row],[Conversion]])</f>
        <v/>
      </c>
      <c r="J760" s="50" t="str">
        <f>IF(Table1[[#This Row],[Description]]="","",DATE(Table1[[#This Row],[Year]],Table1[[#This Row],[Month]],1))</f>
        <v/>
      </c>
    </row>
    <row r="761" spans="8:10" x14ac:dyDescent="0.25">
      <c r="H761" t="str">
        <f>IF(Table1[[#This Row],[Description]]="","",IF(Table1[[#This Row],[Currency]]=$Q$2,$R$2,HLOOKUP(Table1[[#This Row],[Date]],Funds!$C$10:$GV$11,2,FALSE)))</f>
        <v/>
      </c>
      <c r="I761" s="217" t="str">
        <f>IF(Table1[[#This Row],[Description]]="","",Table1[[#This Row],[Value]]/Table1[[#This Row],[Conversion]])</f>
        <v/>
      </c>
      <c r="J761" s="50" t="str">
        <f>IF(Table1[[#This Row],[Description]]="","",DATE(Table1[[#This Row],[Year]],Table1[[#This Row],[Month]],1))</f>
        <v/>
      </c>
    </row>
    <row r="762" spans="8:10" x14ac:dyDescent="0.25">
      <c r="H762" t="str">
        <f>IF(Table1[[#This Row],[Description]]="","",IF(Table1[[#This Row],[Currency]]=$Q$2,$R$2,HLOOKUP(Table1[[#This Row],[Date]],Funds!$C$10:$GV$11,2,FALSE)))</f>
        <v/>
      </c>
      <c r="I762" s="217" t="str">
        <f>IF(Table1[[#This Row],[Description]]="","",Table1[[#This Row],[Value]]/Table1[[#This Row],[Conversion]])</f>
        <v/>
      </c>
      <c r="J762" s="50" t="str">
        <f>IF(Table1[[#This Row],[Description]]="","",DATE(Table1[[#This Row],[Year]],Table1[[#This Row],[Month]],1))</f>
        <v/>
      </c>
    </row>
    <row r="763" spans="8:10" x14ac:dyDescent="0.25">
      <c r="H763" t="str">
        <f>IF(Table1[[#This Row],[Description]]="","",IF(Table1[[#This Row],[Currency]]=$Q$2,$R$2,HLOOKUP(Table1[[#This Row],[Date]],Funds!$C$10:$GV$11,2,FALSE)))</f>
        <v/>
      </c>
      <c r="I763" s="217" t="str">
        <f>IF(Table1[[#This Row],[Description]]="","",Table1[[#This Row],[Value]]/Table1[[#This Row],[Conversion]])</f>
        <v/>
      </c>
      <c r="J763" s="50" t="str">
        <f>IF(Table1[[#This Row],[Description]]="","",DATE(Table1[[#This Row],[Year]],Table1[[#This Row],[Month]],1))</f>
        <v/>
      </c>
    </row>
    <row r="764" spans="8:10" x14ac:dyDescent="0.25">
      <c r="H764" t="str">
        <f>IF(Table1[[#This Row],[Description]]="","",IF(Table1[[#This Row],[Currency]]=$Q$2,$R$2,HLOOKUP(Table1[[#This Row],[Date]],Funds!$C$10:$GV$11,2,FALSE)))</f>
        <v/>
      </c>
      <c r="I764" s="217" t="str">
        <f>IF(Table1[[#This Row],[Description]]="","",Table1[[#This Row],[Value]]/Table1[[#This Row],[Conversion]])</f>
        <v/>
      </c>
      <c r="J764" s="50" t="str">
        <f>IF(Table1[[#This Row],[Description]]="","",DATE(Table1[[#This Row],[Year]],Table1[[#This Row],[Month]],1))</f>
        <v/>
      </c>
    </row>
    <row r="765" spans="8:10" x14ac:dyDescent="0.25">
      <c r="H765" t="str">
        <f>IF(Table1[[#This Row],[Description]]="","",IF(Table1[[#This Row],[Currency]]=$Q$2,$R$2,HLOOKUP(Table1[[#This Row],[Date]],Funds!$C$10:$GV$11,2,FALSE)))</f>
        <v/>
      </c>
      <c r="I765" s="217" t="str">
        <f>IF(Table1[[#This Row],[Description]]="","",Table1[[#This Row],[Value]]/Table1[[#This Row],[Conversion]])</f>
        <v/>
      </c>
      <c r="J765" s="50" t="str">
        <f>IF(Table1[[#This Row],[Description]]="","",DATE(Table1[[#This Row],[Year]],Table1[[#This Row],[Month]],1))</f>
        <v/>
      </c>
    </row>
    <row r="766" spans="8:10" x14ac:dyDescent="0.25">
      <c r="H766" t="str">
        <f>IF(Table1[[#This Row],[Description]]="","",IF(Table1[[#This Row],[Currency]]=$Q$2,$R$2,HLOOKUP(Table1[[#This Row],[Date]],Funds!$C$10:$GV$11,2,FALSE)))</f>
        <v/>
      </c>
      <c r="I766" s="217" t="str">
        <f>IF(Table1[[#This Row],[Description]]="","",Table1[[#This Row],[Value]]/Table1[[#This Row],[Conversion]])</f>
        <v/>
      </c>
      <c r="J766" s="50" t="str">
        <f>IF(Table1[[#This Row],[Description]]="","",DATE(Table1[[#This Row],[Year]],Table1[[#This Row],[Month]],1))</f>
        <v/>
      </c>
    </row>
    <row r="767" spans="8:10" x14ac:dyDescent="0.25">
      <c r="H767" t="str">
        <f>IF(Table1[[#This Row],[Description]]="","",IF(Table1[[#This Row],[Currency]]=$Q$2,$R$2,HLOOKUP(Table1[[#This Row],[Date]],Funds!$C$10:$GV$11,2,FALSE)))</f>
        <v/>
      </c>
      <c r="I767" s="217" t="str">
        <f>IF(Table1[[#This Row],[Description]]="","",Table1[[#This Row],[Value]]/Table1[[#This Row],[Conversion]])</f>
        <v/>
      </c>
      <c r="J767" s="50" t="str">
        <f>IF(Table1[[#This Row],[Description]]="","",DATE(Table1[[#This Row],[Year]],Table1[[#This Row],[Month]],1))</f>
        <v/>
      </c>
    </row>
    <row r="768" spans="8:10" x14ac:dyDescent="0.25">
      <c r="H768" t="str">
        <f>IF(Table1[[#This Row],[Description]]="","",IF(Table1[[#This Row],[Currency]]=$Q$2,$R$2,HLOOKUP(Table1[[#This Row],[Date]],Funds!$C$10:$GV$11,2,FALSE)))</f>
        <v/>
      </c>
      <c r="I768" s="217" t="str">
        <f>IF(Table1[[#This Row],[Description]]="","",Table1[[#This Row],[Value]]/Table1[[#This Row],[Conversion]])</f>
        <v/>
      </c>
      <c r="J768" s="50" t="str">
        <f>IF(Table1[[#This Row],[Description]]="","",DATE(Table1[[#This Row],[Year]],Table1[[#This Row],[Month]],1))</f>
        <v/>
      </c>
    </row>
    <row r="769" spans="8:10" x14ac:dyDescent="0.25">
      <c r="H769" t="str">
        <f>IF(Table1[[#This Row],[Description]]="","",IF(Table1[[#This Row],[Currency]]=$Q$2,$R$2,HLOOKUP(Table1[[#This Row],[Date]],Funds!$C$10:$GV$11,2,FALSE)))</f>
        <v/>
      </c>
      <c r="I769" s="217" t="str">
        <f>IF(Table1[[#This Row],[Description]]="","",Table1[[#This Row],[Value]]/Table1[[#This Row],[Conversion]])</f>
        <v/>
      </c>
      <c r="J769" s="50" t="str">
        <f>IF(Table1[[#This Row],[Description]]="","",DATE(Table1[[#This Row],[Year]],Table1[[#This Row],[Month]],1))</f>
        <v/>
      </c>
    </row>
    <row r="770" spans="8:10" x14ac:dyDescent="0.25">
      <c r="H770" t="str">
        <f>IF(Table1[[#This Row],[Description]]="","",IF(Table1[[#This Row],[Currency]]=$Q$2,$R$2,HLOOKUP(Table1[[#This Row],[Date]],Funds!$C$10:$GV$11,2,FALSE)))</f>
        <v/>
      </c>
      <c r="I770" s="217" t="str">
        <f>IF(Table1[[#This Row],[Description]]="","",Table1[[#This Row],[Value]]/Table1[[#This Row],[Conversion]])</f>
        <v/>
      </c>
      <c r="J770" s="50" t="str">
        <f>IF(Table1[[#This Row],[Description]]="","",DATE(Table1[[#This Row],[Year]],Table1[[#This Row],[Month]],1))</f>
        <v/>
      </c>
    </row>
    <row r="771" spans="8:10" x14ac:dyDescent="0.25">
      <c r="H771" t="str">
        <f>IF(Table1[[#This Row],[Description]]="","",IF(Table1[[#This Row],[Currency]]=$Q$2,$R$2,HLOOKUP(Table1[[#This Row],[Date]],Funds!$C$10:$GV$11,2,FALSE)))</f>
        <v/>
      </c>
      <c r="I771" s="217" t="str">
        <f>IF(Table1[[#This Row],[Description]]="","",Table1[[#This Row],[Value]]/Table1[[#This Row],[Conversion]])</f>
        <v/>
      </c>
      <c r="J771" s="50" t="str">
        <f>IF(Table1[[#This Row],[Description]]="","",DATE(Table1[[#This Row],[Year]],Table1[[#This Row],[Month]],1))</f>
        <v/>
      </c>
    </row>
    <row r="772" spans="8:10" x14ac:dyDescent="0.25">
      <c r="H772" t="str">
        <f>IF(Table1[[#This Row],[Description]]="","",IF(Table1[[#This Row],[Currency]]=$Q$2,$R$2,HLOOKUP(Table1[[#This Row],[Date]],Funds!$C$10:$GV$11,2,FALSE)))</f>
        <v/>
      </c>
      <c r="I772" s="217" t="str">
        <f>IF(Table1[[#This Row],[Description]]="","",Table1[[#This Row],[Value]]/Table1[[#This Row],[Conversion]])</f>
        <v/>
      </c>
      <c r="J772" s="50" t="str">
        <f>IF(Table1[[#This Row],[Description]]="","",DATE(Table1[[#This Row],[Year]],Table1[[#This Row],[Month]],1))</f>
        <v/>
      </c>
    </row>
    <row r="773" spans="8:10" x14ac:dyDescent="0.25">
      <c r="H773" t="str">
        <f>IF(Table1[[#This Row],[Description]]="","",IF(Table1[[#This Row],[Currency]]=$Q$2,$R$2,HLOOKUP(Table1[[#This Row],[Date]],Funds!$C$10:$GV$11,2,FALSE)))</f>
        <v/>
      </c>
      <c r="I773" s="217" t="str">
        <f>IF(Table1[[#This Row],[Description]]="","",Table1[[#This Row],[Value]]/Table1[[#This Row],[Conversion]])</f>
        <v/>
      </c>
      <c r="J773" s="50" t="str">
        <f>IF(Table1[[#This Row],[Description]]="","",DATE(Table1[[#This Row],[Year]],Table1[[#This Row],[Month]],1))</f>
        <v/>
      </c>
    </row>
    <row r="774" spans="8:10" x14ac:dyDescent="0.25">
      <c r="H774" t="str">
        <f>IF(Table1[[#This Row],[Description]]="","",IF(Table1[[#This Row],[Currency]]=$Q$2,$R$2,HLOOKUP(Table1[[#This Row],[Date]],Funds!$C$10:$GV$11,2,FALSE)))</f>
        <v/>
      </c>
      <c r="I774" s="217" t="str">
        <f>IF(Table1[[#This Row],[Description]]="","",Table1[[#This Row],[Value]]/Table1[[#This Row],[Conversion]])</f>
        <v/>
      </c>
      <c r="J774" s="50" t="str">
        <f>IF(Table1[[#This Row],[Description]]="","",DATE(Table1[[#This Row],[Year]],Table1[[#This Row],[Month]],1))</f>
        <v/>
      </c>
    </row>
    <row r="775" spans="8:10" x14ac:dyDescent="0.25">
      <c r="H775" t="str">
        <f>IF(Table1[[#This Row],[Description]]="","",IF(Table1[[#This Row],[Currency]]=$Q$2,$R$2,HLOOKUP(Table1[[#This Row],[Date]],Funds!$C$10:$GV$11,2,FALSE)))</f>
        <v/>
      </c>
      <c r="I775" s="217" t="str">
        <f>IF(Table1[[#This Row],[Description]]="","",Table1[[#This Row],[Value]]/Table1[[#This Row],[Conversion]])</f>
        <v/>
      </c>
      <c r="J775" s="50" t="str">
        <f>IF(Table1[[#This Row],[Description]]="","",DATE(Table1[[#This Row],[Year]],Table1[[#This Row],[Month]],1))</f>
        <v/>
      </c>
    </row>
    <row r="776" spans="8:10" x14ac:dyDescent="0.25">
      <c r="H776" t="str">
        <f>IF(Table1[[#This Row],[Description]]="","",IF(Table1[[#This Row],[Currency]]=$Q$2,$R$2,HLOOKUP(Table1[[#This Row],[Date]],Funds!$C$10:$GV$11,2,FALSE)))</f>
        <v/>
      </c>
      <c r="I776" s="217" t="str">
        <f>IF(Table1[[#This Row],[Description]]="","",Table1[[#This Row],[Value]]/Table1[[#This Row],[Conversion]])</f>
        <v/>
      </c>
      <c r="J776" s="50" t="str">
        <f>IF(Table1[[#This Row],[Description]]="","",DATE(Table1[[#This Row],[Year]],Table1[[#This Row],[Month]],1))</f>
        <v/>
      </c>
    </row>
    <row r="777" spans="8:10" x14ac:dyDescent="0.25">
      <c r="H777" t="str">
        <f>IF(Table1[[#This Row],[Description]]="","",IF(Table1[[#This Row],[Currency]]=$Q$2,$R$2,HLOOKUP(Table1[[#This Row],[Date]],Funds!$C$10:$GV$11,2,FALSE)))</f>
        <v/>
      </c>
      <c r="I777" s="217" t="str">
        <f>IF(Table1[[#This Row],[Description]]="","",Table1[[#This Row],[Value]]/Table1[[#This Row],[Conversion]])</f>
        <v/>
      </c>
      <c r="J777" s="50" t="str">
        <f>IF(Table1[[#This Row],[Description]]="","",DATE(Table1[[#This Row],[Year]],Table1[[#This Row],[Month]],1))</f>
        <v/>
      </c>
    </row>
    <row r="778" spans="8:10" x14ac:dyDescent="0.25">
      <c r="H778" t="str">
        <f>IF(Table1[[#This Row],[Description]]="","",IF(Table1[[#This Row],[Currency]]=$Q$2,$R$2,HLOOKUP(Table1[[#This Row],[Date]],Funds!$C$10:$GV$11,2,FALSE)))</f>
        <v/>
      </c>
      <c r="I778" s="217" t="str">
        <f>IF(Table1[[#This Row],[Description]]="","",Table1[[#This Row],[Value]]/Table1[[#This Row],[Conversion]])</f>
        <v/>
      </c>
      <c r="J778" s="50" t="str">
        <f>IF(Table1[[#This Row],[Description]]="","",DATE(Table1[[#This Row],[Year]],Table1[[#This Row],[Month]],1))</f>
        <v/>
      </c>
    </row>
    <row r="779" spans="8:10" x14ac:dyDescent="0.25">
      <c r="H779" t="str">
        <f>IF(Table1[[#This Row],[Description]]="","",IF(Table1[[#This Row],[Currency]]=$Q$2,$R$2,HLOOKUP(Table1[[#This Row],[Date]],Funds!$C$10:$GV$11,2,FALSE)))</f>
        <v/>
      </c>
      <c r="I779" s="217" t="str">
        <f>IF(Table1[[#This Row],[Description]]="","",Table1[[#This Row],[Value]]/Table1[[#This Row],[Conversion]])</f>
        <v/>
      </c>
      <c r="J779" s="50" t="str">
        <f>IF(Table1[[#This Row],[Description]]="","",DATE(Table1[[#This Row],[Year]],Table1[[#This Row],[Month]],1))</f>
        <v/>
      </c>
    </row>
    <row r="780" spans="8:10" x14ac:dyDescent="0.25">
      <c r="H780" t="str">
        <f>IF(Table1[[#This Row],[Description]]="","",IF(Table1[[#This Row],[Currency]]=$Q$2,$R$2,HLOOKUP(Table1[[#This Row],[Date]],Funds!$C$10:$GV$11,2,FALSE)))</f>
        <v/>
      </c>
      <c r="I780" s="217" t="str">
        <f>IF(Table1[[#This Row],[Description]]="","",Table1[[#This Row],[Value]]/Table1[[#This Row],[Conversion]])</f>
        <v/>
      </c>
      <c r="J780" s="50" t="str">
        <f>IF(Table1[[#This Row],[Description]]="","",DATE(Table1[[#This Row],[Year]],Table1[[#This Row],[Month]],1))</f>
        <v/>
      </c>
    </row>
    <row r="781" spans="8:10" x14ac:dyDescent="0.25">
      <c r="H781" t="str">
        <f>IF(Table1[[#This Row],[Description]]="","",IF(Table1[[#This Row],[Currency]]=$Q$2,$R$2,HLOOKUP(Table1[[#This Row],[Date]],Funds!$C$10:$GV$11,2,FALSE)))</f>
        <v/>
      </c>
      <c r="I781" s="217" t="str">
        <f>IF(Table1[[#This Row],[Description]]="","",Table1[[#This Row],[Value]]/Table1[[#This Row],[Conversion]])</f>
        <v/>
      </c>
      <c r="J781" s="50" t="str">
        <f>IF(Table1[[#This Row],[Description]]="","",DATE(Table1[[#This Row],[Year]],Table1[[#This Row],[Month]],1))</f>
        <v/>
      </c>
    </row>
    <row r="782" spans="8:10" x14ac:dyDescent="0.25">
      <c r="H782" t="str">
        <f>IF(Table1[[#This Row],[Description]]="","",IF(Table1[[#This Row],[Currency]]=$Q$2,$R$2,HLOOKUP(Table1[[#This Row],[Date]],Funds!$C$10:$GV$11,2,FALSE)))</f>
        <v/>
      </c>
      <c r="I782" s="217" t="str">
        <f>IF(Table1[[#This Row],[Description]]="","",Table1[[#This Row],[Value]]/Table1[[#This Row],[Conversion]])</f>
        <v/>
      </c>
      <c r="J782" s="50" t="str">
        <f>IF(Table1[[#This Row],[Description]]="","",DATE(Table1[[#This Row],[Year]],Table1[[#This Row],[Month]],1))</f>
        <v/>
      </c>
    </row>
    <row r="783" spans="8:10" x14ac:dyDescent="0.25">
      <c r="H783" t="str">
        <f>IF(Table1[[#This Row],[Description]]="","",IF(Table1[[#This Row],[Currency]]=$Q$2,$R$2,HLOOKUP(Table1[[#This Row],[Date]],Funds!$C$10:$GV$11,2,FALSE)))</f>
        <v/>
      </c>
      <c r="I783" s="217" t="str">
        <f>IF(Table1[[#This Row],[Description]]="","",Table1[[#This Row],[Value]]/Table1[[#This Row],[Conversion]])</f>
        <v/>
      </c>
      <c r="J783" s="50" t="str">
        <f>IF(Table1[[#This Row],[Description]]="","",DATE(Table1[[#This Row],[Year]],Table1[[#This Row],[Month]],1))</f>
        <v/>
      </c>
    </row>
    <row r="784" spans="8:10" x14ac:dyDescent="0.25">
      <c r="H784" t="str">
        <f>IF(Table1[[#This Row],[Description]]="","",IF(Table1[[#This Row],[Currency]]=$Q$2,$R$2,HLOOKUP(Table1[[#This Row],[Date]],Funds!$C$10:$GV$11,2,FALSE)))</f>
        <v/>
      </c>
      <c r="I784" s="217" t="str">
        <f>IF(Table1[[#This Row],[Description]]="","",Table1[[#This Row],[Value]]/Table1[[#This Row],[Conversion]])</f>
        <v/>
      </c>
      <c r="J784" s="50" t="str">
        <f>IF(Table1[[#This Row],[Description]]="","",DATE(Table1[[#This Row],[Year]],Table1[[#This Row],[Month]],1))</f>
        <v/>
      </c>
    </row>
    <row r="785" spans="8:10" x14ac:dyDescent="0.25">
      <c r="H785" t="str">
        <f>IF(Table1[[#This Row],[Description]]="","",IF(Table1[[#This Row],[Currency]]=$Q$2,$R$2,HLOOKUP(Table1[[#This Row],[Date]],Funds!$C$10:$GV$11,2,FALSE)))</f>
        <v/>
      </c>
      <c r="I785" s="217" t="str">
        <f>IF(Table1[[#This Row],[Description]]="","",Table1[[#This Row],[Value]]/Table1[[#This Row],[Conversion]])</f>
        <v/>
      </c>
      <c r="J785" s="50" t="str">
        <f>IF(Table1[[#This Row],[Description]]="","",DATE(Table1[[#This Row],[Year]],Table1[[#This Row],[Month]],1))</f>
        <v/>
      </c>
    </row>
    <row r="786" spans="8:10" x14ac:dyDescent="0.25">
      <c r="H786" t="str">
        <f>IF(Table1[[#This Row],[Description]]="","",IF(Table1[[#This Row],[Currency]]=$Q$2,$R$2,HLOOKUP(Table1[[#This Row],[Date]],Funds!$C$10:$GV$11,2,FALSE)))</f>
        <v/>
      </c>
      <c r="I786" s="217" t="str">
        <f>IF(Table1[[#This Row],[Description]]="","",Table1[[#This Row],[Value]]/Table1[[#This Row],[Conversion]])</f>
        <v/>
      </c>
      <c r="J786" s="50" t="str">
        <f>IF(Table1[[#This Row],[Description]]="","",DATE(Table1[[#This Row],[Year]],Table1[[#This Row],[Month]],1))</f>
        <v/>
      </c>
    </row>
    <row r="787" spans="8:10" x14ac:dyDescent="0.25">
      <c r="H787" t="str">
        <f>IF(Table1[[#This Row],[Description]]="","",IF(Table1[[#This Row],[Currency]]=$Q$2,$R$2,HLOOKUP(Table1[[#This Row],[Date]],Funds!$C$10:$GV$11,2,FALSE)))</f>
        <v/>
      </c>
      <c r="I787" s="217" t="str">
        <f>IF(Table1[[#This Row],[Description]]="","",Table1[[#This Row],[Value]]/Table1[[#This Row],[Conversion]])</f>
        <v/>
      </c>
      <c r="J787" s="50" t="str">
        <f>IF(Table1[[#This Row],[Description]]="","",DATE(Table1[[#This Row],[Year]],Table1[[#This Row],[Month]],1))</f>
        <v/>
      </c>
    </row>
    <row r="788" spans="8:10" x14ac:dyDescent="0.25">
      <c r="H788" t="str">
        <f>IF(Table1[[#This Row],[Description]]="","",IF(Table1[[#This Row],[Currency]]=$Q$2,$R$2,HLOOKUP(Table1[[#This Row],[Date]],Funds!$C$10:$GV$11,2,FALSE)))</f>
        <v/>
      </c>
      <c r="I788" s="217" t="str">
        <f>IF(Table1[[#This Row],[Description]]="","",Table1[[#This Row],[Value]]/Table1[[#This Row],[Conversion]])</f>
        <v/>
      </c>
      <c r="J788" s="50" t="str">
        <f>IF(Table1[[#This Row],[Description]]="","",DATE(Table1[[#This Row],[Year]],Table1[[#This Row],[Month]],1))</f>
        <v/>
      </c>
    </row>
    <row r="789" spans="8:10" x14ac:dyDescent="0.25">
      <c r="H789" t="str">
        <f>IF(Table1[[#This Row],[Description]]="","",IF(Table1[[#This Row],[Currency]]=$Q$2,$R$2,HLOOKUP(Table1[[#This Row],[Date]],Funds!$C$10:$GV$11,2,FALSE)))</f>
        <v/>
      </c>
      <c r="I789" s="217" t="str">
        <f>IF(Table1[[#This Row],[Description]]="","",Table1[[#This Row],[Value]]/Table1[[#This Row],[Conversion]])</f>
        <v/>
      </c>
      <c r="J789" s="50" t="str">
        <f>IF(Table1[[#This Row],[Description]]="","",DATE(Table1[[#This Row],[Year]],Table1[[#This Row],[Month]],1))</f>
        <v/>
      </c>
    </row>
    <row r="790" spans="8:10" x14ac:dyDescent="0.25">
      <c r="H790" t="str">
        <f>IF(Table1[[#This Row],[Description]]="","",IF(Table1[[#This Row],[Currency]]=$Q$2,$R$2,HLOOKUP(Table1[[#This Row],[Date]],Funds!$C$10:$GV$11,2,FALSE)))</f>
        <v/>
      </c>
      <c r="I790" s="217" t="str">
        <f>IF(Table1[[#This Row],[Description]]="","",Table1[[#This Row],[Value]]/Table1[[#This Row],[Conversion]])</f>
        <v/>
      </c>
      <c r="J790" s="50" t="str">
        <f>IF(Table1[[#This Row],[Description]]="","",DATE(Table1[[#This Row],[Year]],Table1[[#This Row],[Month]],1))</f>
        <v/>
      </c>
    </row>
    <row r="791" spans="8:10" x14ac:dyDescent="0.25">
      <c r="H791" t="str">
        <f>IF(Table1[[#This Row],[Description]]="","",IF(Table1[[#This Row],[Currency]]=$Q$2,$R$2,HLOOKUP(Table1[[#This Row],[Date]],Funds!$C$10:$GV$11,2,FALSE)))</f>
        <v/>
      </c>
      <c r="I791" s="217" t="str">
        <f>IF(Table1[[#This Row],[Description]]="","",Table1[[#This Row],[Value]]/Table1[[#This Row],[Conversion]])</f>
        <v/>
      </c>
      <c r="J791" s="50" t="str">
        <f>IF(Table1[[#This Row],[Description]]="","",DATE(Table1[[#This Row],[Year]],Table1[[#This Row],[Month]],1))</f>
        <v/>
      </c>
    </row>
    <row r="792" spans="8:10" x14ac:dyDescent="0.25">
      <c r="H792" t="str">
        <f>IF(Table1[[#This Row],[Description]]="","",IF(Table1[[#This Row],[Currency]]=$Q$2,$R$2,HLOOKUP(Table1[[#This Row],[Date]],Funds!$C$10:$GV$11,2,FALSE)))</f>
        <v/>
      </c>
      <c r="I792" s="217" t="str">
        <f>IF(Table1[[#This Row],[Description]]="","",Table1[[#This Row],[Value]]/Table1[[#This Row],[Conversion]])</f>
        <v/>
      </c>
      <c r="J792" s="50" t="str">
        <f>IF(Table1[[#This Row],[Description]]="","",DATE(Table1[[#This Row],[Year]],Table1[[#This Row],[Month]],1))</f>
        <v/>
      </c>
    </row>
    <row r="793" spans="8:10" x14ac:dyDescent="0.25">
      <c r="H793" t="str">
        <f>IF(Table1[[#This Row],[Description]]="","",IF(Table1[[#This Row],[Currency]]=$Q$2,$R$2,HLOOKUP(Table1[[#This Row],[Date]],Funds!$C$10:$GV$11,2,FALSE)))</f>
        <v/>
      </c>
      <c r="I793" s="217" t="str">
        <f>IF(Table1[[#This Row],[Description]]="","",Table1[[#This Row],[Value]]/Table1[[#This Row],[Conversion]])</f>
        <v/>
      </c>
      <c r="J793" s="50" t="str">
        <f>IF(Table1[[#This Row],[Description]]="","",DATE(Table1[[#This Row],[Year]],Table1[[#This Row],[Month]],1))</f>
        <v/>
      </c>
    </row>
    <row r="794" spans="8:10" x14ac:dyDescent="0.25">
      <c r="H794" t="str">
        <f>IF(Table1[[#This Row],[Description]]="","",IF(Table1[[#This Row],[Currency]]=$Q$2,$R$2,HLOOKUP(Table1[[#This Row],[Date]],Funds!$C$10:$GV$11,2,FALSE)))</f>
        <v/>
      </c>
      <c r="I794" s="217" t="str">
        <f>IF(Table1[[#This Row],[Description]]="","",Table1[[#This Row],[Value]]/Table1[[#This Row],[Conversion]])</f>
        <v/>
      </c>
      <c r="J794" s="50" t="str">
        <f>IF(Table1[[#This Row],[Description]]="","",DATE(Table1[[#This Row],[Year]],Table1[[#This Row],[Month]],1))</f>
        <v/>
      </c>
    </row>
    <row r="795" spans="8:10" x14ac:dyDescent="0.25">
      <c r="H795" t="str">
        <f>IF(Table1[[#This Row],[Description]]="","",IF(Table1[[#This Row],[Currency]]=$Q$2,$R$2,HLOOKUP(Table1[[#This Row],[Date]],Funds!$C$10:$GV$11,2,FALSE)))</f>
        <v/>
      </c>
      <c r="I795" s="217" t="str">
        <f>IF(Table1[[#This Row],[Description]]="","",Table1[[#This Row],[Value]]/Table1[[#This Row],[Conversion]])</f>
        <v/>
      </c>
      <c r="J795" s="50" t="str">
        <f>IF(Table1[[#This Row],[Description]]="","",DATE(Table1[[#This Row],[Year]],Table1[[#This Row],[Month]],1))</f>
        <v/>
      </c>
    </row>
    <row r="796" spans="8:10" x14ac:dyDescent="0.25">
      <c r="H796" t="str">
        <f>IF(Table1[[#This Row],[Description]]="","",IF(Table1[[#This Row],[Currency]]=$Q$2,$R$2,HLOOKUP(Table1[[#This Row],[Date]],Funds!$C$10:$GV$11,2,FALSE)))</f>
        <v/>
      </c>
      <c r="I796" s="217" t="str">
        <f>IF(Table1[[#This Row],[Description]]="","",Table1[[#This Row],[Value]]/Table1[[#This Row],[Conversion]])</f>
        <v/>
      </c>
      <c r="J796" s="50" t="str">
        <f>IF(Table1[[#This Row],[Description]]="","",DATE(Table1[[#This Row],[Year]],Table1[[#This Row],[Month]],1))</f>
        <v/>
      </c>
    </row>
    <row r="797" spans="8:10" x14ac:dyDescent="0.25">
      <c r="H797" t="str">
        <f>IF(Table1[[#This Row],[Description]]="","",IF(Table1[[#This Row],[Currency]]=$Q$2,$R$2,HLOOKUP(Table1[[#This Row],[Date]],Funds!$C$10:$GV$11,2,FALSE)))</f>
        <v/>
      </c>
      <c r="I797" s="217" t="str">
        <f>IF(Table1[[#This Row],[Description]]="","",Table1[[#This Row],[Value]]/Table1[[#This Row],[Conversion]])</f>
        <v/>
      </c>
      <c r="J797" s="50" t="str">
        <f>IF(Table1[[#This Row],[Description]]="","",DATE(Table1[[#This Row],[Year]],Table1[[#This Row],[Month]],1))</f>
        <v/>
      </c>
    </row>
    <row r="798" spans="8:10" x14ac:dyDescent="0.25">
      <c r="H798" t="str">
        <f>IF(Table1[[#This Row],[Description]]="","",IF(Table1[[#This Row],[Currency]]=$Q$2,$R$2,HLOOKUP(Table1[[#This Row],[Date]],Funds!$C$10:$GV$11,2,FALSE)))</f>
        <v/>
      </c>
      <c r="I798" s="217" t="str">
        <f>IF(Table1[[#This Row],[Description]]="","",Table1[[#This Row],[Value]]/Table1[[#This Row],[Conversion]])</f>
        <v/>
      </c>
      <c r="J798" s="50" t="str">
        <f>IF(Table1[[#This Row],[Description]]="","",DATE(Table1[[#This Row],[Year]],Table1[[#This Row],[Month]],1))</f>
        <v/>
      </c>
    </row>
    <row r="799" spans="8:10" x14ac:dyDescent="0.25">
      <c r="H799" t="str">
        <f>IF(Table1[[#This Row],[Description]]="","",IF(Table1[[#This Row],[Currency]]=$Q$2,$R$2,HLOOKUP(Table1[[#This Row],[Date]],Funds!$C$10:$GV$11,2,FALSE)))</f>
        <v/>
      </c>
      <c r="I799" s="217" t="str">
        <f>IF(Table1[[#This Row],[Description]]="","",Table1[[#This Row],[Value]]/Table1[[#This Row],[Conversion]])</f>
        <v/>
      </c>
      <c r="J799" s="50" t="str">
        <f>IF(Table1[[#This Row],[Description]]="","",DATE(Table1[[#This Row],[Year]],Table1[[#This Row],[Month]],1))</f>
        <v/>
      </c>
    </row>
    <row r="800" spans="8:10" x14ac:dyDescent="0.25">
      <c r="H800" t="str">
        <f>IF(Table1[[#This Row],[Description]]="","",IF(Table1[[#This Row],[Currency]]=$Q$2,$R$2,HLOOKUP(Table1[[#This Row],[Date]],Funds!$C$10:$GV$11,2,FALSE)))</f>
        <v/>
      </c>
      <c r="I800" s="217" t="str">
        <f>IF(Table1[[#This Row],[Description]]="","",Table1[[#This Row],[Value]]/Table1[[#This Row],[Conversion]])</f>
        <v/>
      </c>
      <c r="J800" s="50" t="str">
        <f>IF(Table1[[#This Row],[Description]]="","",DATE(Table1[[#This Row],[Year]],Table1[[#This Row],[Month]],1))</f>
        <v/>
      </c>
    </row>
    <row r="801" spans="8:10" x14ac:dyDescent="0.25">
      <c r="H801" t="str">
        <f>IF(Table1[[#This Row],[Description]]="","",IF(Table1[[#This Row],[Currency]]=$Q$2,$R$2,HLOOKUP(Table1[[#This Row],[Date]],Funds!$C$10:$GV$11,2,FALSE)))</f>
        <v/>
      </c>
      <c r="I801" s="217" t="str">
        <f>IF(Table1[[#This Row],[Description]]="","",Table1[[#This Row],[Value]]/Table1[[#This Row],[Conversion]])</f>
        <v/>
      </c>
      <c r="J801" s="50" t="str">
        <f>IF(Table1[[#This Row],[Description]]="","",DATE(Table1[[#This Row],[Year]],Table1[[#This Row],[Month]],1))</f>
        <v/>
      </c>
    </row>
    <row r="802" spans="8:10" x14ac:dyDescent="0.25">
      <c r="H802" t="str">
        <f>IF(Table1[[#This Row],[Description]]="","",IF(Table1[[#This Row],[Currency]]=$Q$2,$R$2,HLOOKUP(Table1[[#This Row],[Date]],Funds!$C$10:$GV$11,2,FALSE)))</f>
        <v/>
      </c>
      <c r="I802" s="217" t="str">
        <f>IF(Table1[[#This Row],[Description]]="","",Table1[[#This Row],[Value]]/Table1[[#This Row],[Conversion]])</f>
        <v/>
      </c>
      <c r="J802" s="50" t="str">
        <f>IF(Table1[[#This Row],[Description]]="","",DATE(Table1[[#This Row],[Year]],Table1[[#This Row],[Month]],1))</f>
        <v/>
      </c>
    </row>
    <row r="803" spans="8:10" x14ac:dyDescent="0.25">
      <c r="H803" t="str">
        <f>IF(Table1[[#This Row],[Description]]="","",IF(Table1[[#This Row],[Currency]]=$Q$2,$R$2,HLOOKUP(Table1[[#This Row],[Date]],Funds!$C$10:$GV$11,2,FALSE)))</f>
        <v/>
      </c>
      <c r="I803" s="217" t="str">
        <f>IF(Table1[[#This Row],[Description]]="","",Table1[[#This Row],[Value]]/Table1[[#This Row],[Conversion]])</f>
        <v/>
      </c>
      <c r="J803" s="50" t="str">
        <f>IF(Table1[[#This Row],[Description]]="","",DATE(Table1[[#This Row],[Year]],Table1[[#This Row],[Month]],1))</f>
        <v/>
      </c>
    </row>
    <row r="804" spans="8:10" x14ac:dyDescent="0.25">
      <c r="H804" t="str">
        <f>IF(Table1[[#This Row],[Description]]="","",IF(Table1[[#This Row],[Currency]]=$Q$2,$R$2,HLOOKUP(Table1[[#This Row],[Date]],Funds!$C$10:$GV$11,2,FALSE)))</f>
        <v/>
      </c>
      <c r="I804" s="217" t="str">
        <f>IF(Table1[[#This Row],[Description]]="","",Table1[[#This Row],[Value]]/Table1[[#This Row],[Conversion]])</f>
        <v/>
      </c>
      <c r="J804" s="50" t="str">
        <f>IF(Table1[[#This Row],[Description]]="","",DATE(Table1[[#This Row],[Year]],Table1[[#This Row],[Month]],1))</f>
        <v/>
      </c>
    </row>
    <row r="805" spans="8:10" x14ac:dyDescent="0.25">
      <c r="H805" t="str">
        <f>IF(Table1[[#This Row],[Description]]="","",IF(Table1[[#This Row],[Currency]]=$Q$2,$R$2,HLOOKUP(Table1[[#This Row],[Date]],Funds!$C$10:$GV$11,2,FALSE)))</f>
        <v/>
      </c>
      <c r="I805" s="217" t="str">
        <f>IF(Table1[[#This Row],[Description]]="","",Table1[[#This Row],[Value]]/Table1[[#This Row],[Conversion]])</f>
        <v/>
      </c>
      <c r="J805" s="50" t="str">
        <f>IF(Table1[[#This Row],[Description]]="","",DATE(Table1[[#This Row],[Year]],Table1[[#This Row],[Month]],1))</f>
        <v/>
      </c>
    </row>
    <row r="806" spans="8:10" x14ac:dyDescent="0.25">
      <c r="H806" t="str">
        <f>IF(Table1[[#This Row],[Description]]="","",IF(Table1[[#This Row],[Currency]]=$Q$2,$R$2,HLOOKUP(Table1[[#This Row],[Date]],Funds!$C$10:$GV$11,2,FALSE)))</f>
        <v/>
      </c>
      <c r="I806" s="217" t="str">
        <f>IF(Table1[[#This Row],[Description]]="","",Table1[[#This Row],[Value]]/Table1[[#This Row],[Conversion]])</f>
        <v/>
      </c>
      <c r="J806" s="50" t="str">
        <f>IF(Table1[[#This Row],[Description]]="","",DATE(Table1[[#This Row],[Year]],Table1[[#This Row],[Month]],1))</f>
        <v/>
      </c>
    </row>
    <row r="807" spans="8:10" x14ac:dyDescent="0.25">
      <c r="H807" t="str">
        <f>IF(Table1[[#This Row],[Description]]="","",IF(Table1[[#This Row],[Currency]]=$Q$2,$R$2,HLOOKUP(Table1[[#This Row],[Date]],Funds!$C$10:$GV$11,2,FALSE)))</f>
        <v/>
      </c>
      <c r="I807" s="217" t="str">
        <f>IF(Table1[[#This Row],[Description]]="","",Table1[[#This Row],[Value]]/Table1[[#This Row],[Conversion]])</f>
        <v/>
      </c>
      <c r="J807" s="50" t="str">
        <f>IF(Table1[[#This Row],[Description]]="","",DATE(Table1[[#This Row],[Year]],Table1[[#This Row],[Month]],1))</f>
        <v/>
      </c>
    </row>
    <row r="808" spans="8:10" x14ac:dyDescent="0.25">
      <c r="H808" t="str">
        <f>IF(Table1[[#This Row],[Description]]="","",IF(Table1[[#This Row],[Currency]]=$Q$2,$R$2,HLOOKUP(Table1[[#This Row],[Date]],Funds!$C$10:$GV$11,2,FALSE)))</f>
        <v/>
      </c>
      <c r="I808" s="217" t="str">
        <f>IF(Table1[[#This Row],[Description]]="","",Table1[[#This Row],[Value]]/Table1[[#This Row],[Conversion]])</f>
        <v/>
      </c>
      <c r="J808" s="50" t="str">
        <f>IF(Table1[[#This Row],[Description]]="","",DATE(Table1[[#This Row],[Year]],Table1[[#This Row],[Month]],1))</f>
        <v/>
      </c>
    </row>
    <row r="809" spans="8:10" x14ac:dyDescent="0.25">
      <c r="H809" t="str">
        <f>IF(Table1[[#This Row],[Description]]="","",IF(Table1[[#This Row],[Currency]]=$Q$2,$R$2,HLOOKUP(Table1[[#This Row],[Date]],Funds!$C$10:$GV$11,2,FALSE)))</f>
        <v/>
      </c>
      <c r="I809" s="217" t="str">
        <f>IF(Table1[[#This Row],[Description]]="","",Table1[[#This Row],[Value]]/Table1[[#This Row],[Conversion]])</f>
        <v/>
      </c>
      <c r="J809" s="50" t="str">
        <f>IF(Table1[[#This Row],[Description]]="","",DATE(Table1[[#This Row],[Year]],Table1[[#This Row],[Month]],1))</f>
        <v/>
      </c>
    </row>
    <row r="810" spans="8:10" x14ac:dyDescent="0.25">
      <c r="H810" t="str">
        <f>IF(Table1[[#This Row],[Description]]="","",IF(Table1[[#This Row],[Currency]]=$Q$2,$R$2,HLOOKUP(Table1[[#This Row],[Date]],Funds!$C$10:$GV$11,2,FALSE)))</f>
        <v/>
      </c>
      <c r="I810" s="217" t="str">
        <f>IF(Table1[[#This Row],[Description]]="","",Table1[[#This Row],[Value]]/Table1[[#This Row],[Conversion]])</f>
        <v/>
      </c>
      <c r="J810" s="50" t="str">
        <f>IF(Table1[[#This Row],[Description]]="","",DATE(Table1[[#This Row],[Year]],Table1[[#This Row],[Month]],1))</f>
        <v/>
      </c>
    </row>
    <row r="811" spans="8:10" x14ac:dyDescent="0.25">
      <c r="H811" t="str">
        <f>IF(Table1[[#This Row],[Description]]="","",IF(Table1[[#This Row],[Currency]]=$Q$2,$R$2,HLOOKUP(Table1[[#This Row],[Date]],Funds!$C$10:$GV$11,2,FALSE)))</f>
        <v/>
      </c>
      <c r="I811" s="217" t="str">
        <f>IF(Table1[[#This Row],[Description]]="","",Table1[[#This Row],[Value]]/Table1[[#This Row],[Conversion]])</f>
        <v/>
      </c>
      <c r="J811" s="50" t="str">
        <f>IF(Table1[[#This Row],[Description]]="","",DATE(Table1[[#This Row],[Year]],Table1[[#This Row],[Month]],1))</f>
        <v/>
      </c>
    </row>
    <row r="812" spans="8:10" x14ac:dyDescent="0.25">
      <c r="H812" t="str">
        <f>IF(Table1[[#This Row],[Description]]="","",IF(Table1[[#This Row],[Currency]]=$Q$2,$R$2,HLOOKUP(Table1[[#This Row],[Date]],Funds!$C$10:$GV$11,2,FALSE)))</f>
        <v/>
      </c>
      <c r="I812" s="217" t="str">
        <f>IF(Table1[[#This Row],[Description]]="","",Table1[[#This Row],[Value]]/Table1[[#This Row],[Conversion]])</f>
        <v/>
      </c>
      <c r="J812" s="50" t="str">
        <f>IF(Table1[[#This Row],[Description]]="","",DATE(Table1[[#This Row],[Year]],Table1[[#This Row],[Month]],1))</f>
        <v/>
      </c>
    </row>
    <row r="813" spans="8:10" x14ac:dyDescent="0.25">
      <c r="H813" t="str">
        <f>IF(Table1[[#This Row],[Description]]="","",IF(Table1[[#This Row],[Currency]]=$Q$2,$R$2,HLOOKUP(Table1[[#This Row],[Date]],Funds!$C$10:$GV$11,2,FALSE)))</f>
        <v/>
      </c>
      <c r="I813" s="217" t="str">
        <f>IF(Table1[[#This Row],[Description]]="","",Table1[[#This Row],[Value]]/Table1[[#This Row],[Conversion]])</f>
        <v/>
      </c>
      <c r="J813" s="50" t="str">
        <f>IF(Table1[[#This Row],[Description]]="","",DATE(Table1[[#This Row],[Year]],Table1[[#This Row],[Month]],1))</f>
        <v/>
      </c>
    </row>
    <row r="814" spans="8:10" x14ac:dyDescent="0.25">
      <c r="H814" t="str">
        <f>IF(Table1[[#This Row],[Description]]="","",IF(Table1[[#This Row],[Currency]]=$Q$2,$R$2,HLOOKUP(Table1[[#This Row],[Date]],Funds!$C$10:$GV$11,2,FALSE)))</f>
        <v/>
      </c>
      <c r="I814" s="217" t="str">
        <f>IF(Table1[[#This Row],[Description]]="","",Table1[[#This Row],[Value]]/Table1[[#This Row],[Conversion]])</f>
        <v/>
      </c>
      <c r="J814" s="50" t="str">
        <f>IF(Table1[[#This Row],[Description]]="","",DATE(Table1[[#This Row],[Year]],Table1[[#This Row],[Month]],1))</f>
        <v/>
      </c>
    </row>
    <row r="815" spans="8:10" x14ac:dyDescent="0.25">
      <c r="H815" t="str">
        <f>IF(Table1[[#This Row],[Description]]="","",IF(Table1[[#This Row],[Currency]]=$Q$2,$R$2,HLOOKUP(Table1[[#This Row],[Date]],Funds!$C$10:$GV$11,2,FALSE)))</f>
        <v/>
      </c>
      <c r="I815" s="217" t="str">
        <f>IF(Table1[[#This Row],[Description]]="","",Table1[[#This Row],[Value]]/Table1[[#This Row],[Conversion]])</f>
        <v/>
      </c>
      <c r="J815" s="50" t="str">
        <f>IF(Table1[[#This Row],[Description]]="","",DATE(Table1[[#This Row],[Year]],Table1[[#This Row],[Month]],1))</f>
        <v/>
      </c>
    </row>
    <row r="816" spans="8:10" x14ac:dyDescent="0.25">
      <c r="H816" t="str">
        <f>IF(Table1[[#This Row],[Description]]="","",IF(Table1[[#This Row],[Currency]]=$Q$2,$R$2,HLOOKUP(Table1[[#This Row],[Date]],Funds!$C$10:$GV$11,2,FALSE)))</f>
        <v/>
      </c>
      <c r="I816" s="217" t="str">
        <f>IF(Table1[[#This Row],[Description]]="","",Table1[[#This Row],[Value]]/Table1[[#This Row],[Conversion]])</f>
        <v/>
      </c>
      <c r="J816" s="50" t="str">
        <f>IF(Table1[[#This Row],[Description]]="","",DATE(Table1[[#This Row],[Year]],Table1[[#This Row],[Month]],1))</f>
        <v/>
      </c>
    </row>
    <row r="817" spans="8:10" x14ac:dyDescent="0.25">
      <c r="H817" t="str">
        <f>IF(Table1[[#This Row],[Description]]="","",IF(Table1[[#This Row],[Currency]]=$Q$2,$R$2,HLOOKUP(Table1[[#This Row],[Date]],Funds!$C$10:$GV$11,2,FALSE)))</f>
        <v/>
      </c>
      <c r="I817" s="217" t="str">
        <f>IF(Table1[[#This Row],[Description]]="","",Table1[[#This Row],[Value]]/Table1[[#This Row],[Conversion]])</f>
        <v/>
      </c>
      <c r="J817" s="50" t="str">
        <f>IF(Table1[[#This Row],[Description]]="","",DATE(Table1[[#This Row],[Year]],Table1[[#This Row],[Month]],1))</f>
        <v/>
      </c>
    </row>
    <row r="818" spans="8:10" x14ac:dyDescent="0.25">
      <c r="H818" t="str">
        <f>IF(Table1[[#This Row],[Description]]="","",IF(Table1[[#This Row],[Currency]]=$Q$2,$R$2,HLOOKUP(Table1[[#This Row],[Date]],Funds!$C$10:$GV$11,2,FALSE)))</f>
        <v/>
      </c>
      <c r="I818" s="217" t="str">
        <f>IF(Table1[[#This Row],[Description]]="","",Table1[[#This Row],[Value]]/Table1[[#This Row],[Conversion]])</f>
        <v/>
      </c>
      <c r="J818" s="50" t="str">
        <f>IF(Table1[[#This Row],[Description]]="","",DATE(Table1[[#This Row],[Year]],Table1[[#This Row],[Month]],1))</f>
        <v/>
      </c>
    </row>
    <row r="819" spans="8:10" x14ac:dyDescent="0.25">
      <c r="H819" t="str">
        <f>IF(Table1[[#This Row],[Description]]="","",IF(Table1[[#This Row],[Currency]]=$Q$2,$R$2,HLOOKUP(Table1[[#This Row],[Date]],Funds!$C$10:$GV$11,2,FALSE)))</f>
        <v/>
      </c>
      <c r="I819" s="217" t="str">
        <f>IF(Table1[[#This Row],[Description]]="","",Table1[[#This Row],[Value]]/Table1[[#This Row],[Conversion]])</f>
        <v/>
      </c>
      <c r="J819" s="50" t="str">
        <f>IF(Table1[[#This Row],[Description]]="","",DATE(Table1[[#This Row],[Year]],Table1[[#This Row],[Month]],1))</f>
        <v/>
      </c>
    </row>
    <row r="820" spans="8:10" x14ac:dyDescent="0.25">
      <c r="H820" t="str">
        <f>IF(Table1[[#This Row],[Description]]="","",IF(Table1[[#This Row],[Currency]]=$Q$2,$R$2,HLOOKUP(Table1[[#This Row],[Date]],Funds!$C$10:$GV$11,2,FALSE)))</f>
        <v/>
      </c>
      <c r="I820" s="217" t="str">
        <f>IF(Table1[[#This Row],[Description]]="","",Table1[[#This Row],[Value]]/Table1[[#This Row],[Conversion]])</f>
        <v/>
      </c>
      <c r="J820" s="50" t="str">
        <f>IF(Table1[[#This Row],[Description]]="","",DATE(Table1[[#This Row],[Year]],Table1[[#This Row],[Month]],1))</f>
        <v/>
      </c>
    </row>
    <row r="821" spans="8:10" x14ac:dyDescent="0.25">
      <c r="H821" t="str">
        <f>IF(Table1[[#This Row],[Description]]="","",IF(Table1[[#This Row],[Currency]]=$Q$2,$R$2,HLOOKUP(Table1[[#This Row],[Date]],Funds!$C$10:$GV$11,2,FALSE)))</f>
        <v/>
      </c>
      <c r="I821" s="217" t="str">
        <f>IF(Table1[[#This Row],[Description]]="","",Table1[[#This Row],[Value]]/Table1[[#This Row],[Conversion]])</f>
        <v/>
      </c>
      <c r="J821" s="50" t="str">
        <f>IF(Table1[[#This Row],[Description]]="","",DATE(Table1[[#This Row],[Year]],Table1[[#This Row],[Month]],1))</f>
        <v/>
      </c>
    </row>
    <row r="822" spans="8:10" x14ac:dyDescent="0.25">
      <c r="H822" t="str">
        <f>IF(Table1[[#This Row],[Description]]="","",IF(Table1[[#This Row],[Currency]]=$Q$2,$R$2,HLOOKUP(Table1[[#This Row],[Date]],Funds!$C$10:$GV$11,2,FALSE)))</f>
        <v/>
      </c>
      <c r="I822" s="217" t="str">
        <f>IF(Table1[[#This Row],[Description]]="","",Table1[[#This Row],[Value]]/Table1[[#This Row],[Conversion]])</f>
        <v/>
      </c>
      <c r="J822" s="50" t="str">
        <f>IF(Table1[[#This Row],[Description]]="","",DATE(Table1[[#This Row],[Year]],Table1[[#This Row],[Month]],1))</f>
        <v/>
      </c>
    </row>
    <row r="823" spans="8:10" x14ac:dyDescent="0.25">
      <c r="H823" t="str">
        <f>IF(Table1[[#This Row],[Description]]="","",IF(Table1[[#This Row],[Currency]]=$Q$2,$R$2,HLOOKUP(Table1[[#This Row],[Date]],Funds!$C$10:$GV$11,2,FALSE)))</f>
        <v/>
      </c>
      <c r="I823" s="217" t="str">
        <f>IF(Table1[[#This Row],[Description]]="","",Table1[[#This Row],[Value]]/Table1[[#This Row],[Conversion]])</f>
        <v/>
      </c>
      <c r="J823" s="50" t="str">
        <f>IF(Table1[[#This Row],[Description]]="","",DATE(Table1[[#This Row],[Year]],Table1[[#This Row],[Month]],1))</f>
        <v/>
      </c>
    </row>
    <row r="824" spans="8:10" x14ac:dyDescent="0.25">
      <c r="H824" t="str">
        <f>IF(Table1[[#This Row],[Description]]="","",IF(Table1[[#This Row],[Currency]]=$Q$2,$R$2,HLOOKUP(Table1[[#This Row],[Date]],Funds!$C$10:$GV$11,2,FALSE)))</f>
        <v/>
      </c>
      <c r="I824" s="217" t="str">
        <f>IF(Table1[[#This Row],[Description]]="","",Table1[[#This Row],[Value]]/Table1[[#This Row],[Conversion]])</f>
        <v/>
      </c>
      <c r="J824" s="50" t="str">
        <f>IF(Table1[[#This Row],[Description]]="","",DATE(Table1[[#This Row],[Year]],Table1[[#This Row],[Month]],1))</f>
        <v/>
      </c>
    </row>
    <row r="825" spans="8:10" x14ac:dyDescent="0.25">
      <c r="H825" t="str">
        <f>IF(Table1[[#This Row],[Description]]="","",IF(Table1[[#This Row],[Currency]]=$Q$2,$R$2,HLOOKUP(Table1[[#This Row],[Date]],Funds!$C$10:$GV$11,2,FALSE)))</f>
        <v/>
      </c>
      <c r="I825" s="217" t="str">
        <f>IF(Table1[[#This Row],[Description]]="","",Table1[[#This Row],[Value]]/Table1[[#This Row],[Conversion]])</f>
        <v/>
      </c>
      <c r="J825" s="50" t="str">
        <f>IF(Table1[[#This Row],[Description]]="","",DATE(Table1[[#This Row],[Year]],Table1[[#This Row],[Month]],1))</f>
        <v/>
      </c>
    </row>
    <row r="826" spans="8:10" x14ac:dyDescent="0.25">
      <c r="H826" t="str">
        <f>IF(Table1[[#This Row],[Description]]="","",IF(Table1[[#This Row],[Currency]]=$Q$2,$R$2,HLOOKUP(Table1[[#This Row],[Date]],Funds!$C$10:$GV$11,2,FALSE)))</f>
        <v/>
      </c>
      <c r="I826" s="217" t="str">
        <f>IF(Table1[[#This Row],[Description]]="","",Table1[[#This Row],[Value]]/Table1[[#This Row],[Conversion]])</f>
        <v/>
      </c>
      <c r="J826" s="50" t="str">
        <f>IF(Table1[[#This Row],[Description]]="","",DATE(Table1[[#This Row],[Year]],Table1[[#This Row],[Month]],1))</f>
        <v/>
      </c>
    </row>
    <row r="827" spans="8:10" x14ac:dyDescent="0.25">
      <c r="H827" t="str">
        <f>IF(Table1[[#This Row],[Description]]="","",IF(Table1[[#This Row],[Currency]]=$Q$2,$R$2,HLOOKUP(Table1[[#This Row],[Date]],Funds!$C$10:$GV$11,2,FALSE)))</f>
        <v/>
      </c>
      <c r="I827" s="217" t="str">
        <f>IF(Table1[[#This Row],[Description]]="","",Table1[[#This Row],[Value]]/Table1[[#This Row],[Conversion]])</f>
        <v/>
      </c>
      <c r="J827" s="50" t="str">
        <f>IF(Table1[[#This Row],[Description]]="","",DATE(Table1[[#This Row],[Year]],Table1[[#This Row],[Month]],1))</f>
        <v/>
      </c>
    </row>
    <row r="828" spans="8:10" x14ac:dyDescent="0.25">
      <c r="H828" t="str">
        <f>IF(Table1[[#This Row],[Description]]="","",IF(Table1[[#This Row],[Currency]]=$Q$2,$R$2,HLOOKUP(Table1[[#This Row],[Date]],Funds!$C$10:$GV$11,2,FALSE)))</f>
        <v/>
      </c>
      <c r="I828" s="217" t="str">
        <f>IF(Table1[[#This Row],[Description]]="","",Table1[[#This Row],[Value]]/Table1[[#This Row],[Conversion]])</f>
        <v/>
      </c>
      <c r="J828" s="50" t="str">
        <f>IF(Table1[[#This Row],[Description]]="","",DATE(Table1[[#This Row],[Year]],Table1[[#This Row],[Month]],1))</f>
        <v/>
      </c>
    </row>
    <row r="829" spans="8:10" x14ac:dyDescent="0.25">
      <c r="H829" t="str">
        <f>IF(Table1[[#This Row],[Description]]="","",IF(Table1[[#This Row],[Currency]]=$Q$2,$R$2,HLOOKUP(Table1[[#This Row],[Date]],Funds!$C$10:$GV$11,2,FALSE)))</f>
        <v/>
      </c>
      <c r="I829" s="217" t="str">
        <f>IF(Table1[[#This Row],[Description]]="","",Table1[[#This Row],[Value]]/Table1[[#This Row],[Conversion]])</f>
        <v/>
      </c>
      <c r="J829" s="50" t="str">
        <f>IF(Table1[[#This Row],[Description]]="","",DATE(Table1[[#This Row],[Year]],Table1[[#This Row],[Month]],1))</f>
        <v/>
      </c>
    </row>
    <row r="830" spans="8:10" x14ac:dyDescent="0.25">
      <c r="H830" t="str">
        <f>IF(Table1[[#This Row],[Description]]="","",IF(Table1[[#This Row],[Currency]]=$Q$2,$R$2,HLOOKUP(Table1[[#This Row],[Date]],Funds!$C$10:$GV$11,2,FALSE)))</f>
        <v/>
      </c>
      <c r="I830" s="217" t="str">
        <f>IF(Table1[[#This Row],[Description]]="","",Table1[[#This Row],[Value]]/Table1[[#This Row],[Conversion]])</f>
        <v/>
      </c>
      <c r="J830" s="50" t="str">
        <f>IF(Table1[[#This Row],[Description]]="","",DATE(Table1[[#This Row],[Year]],Table1[[#This Row],[Month]],1))</f>
        <v/>
      </c>
    </row>
    <row r="831" spans="8:10" x14ac:dyDescent="0.25">
      <c r="H831" t="str">
        <f>IF(Table1[[#This Row],[Description]]="","",IF(Table1[[#This Row],[Currency]]=$Q$2,$R$2,HLOOKUP(Table1[[#This Row],[Date]],Funds!$C$10:$GV$11,2,FALSE)))</f>
        <v/>
      </c>
      <c r="I831" s="217" t="str">
        <f>IF(Table1[[#This Row],[Description]]="","",Table1[[#This Row],[Value]]/Table1[[#This Row],[Conversion]])</f>
        <v/>
      </c>
      <c r="J831" s="50" t="str">
        <f>IF(Table1[[#This Row],[Description]]="","",DATE(Table1[[#This Row],[Year]],Table1[[#This Row],[Month]],1))</f>
        <v/>
      </c>
    </row>
    <row r="832" spans="8:10" x14ac:dyDescent="0.25">
      <c r="H832" t="str">
        <f>IF(Table1[[#This Row],[Description]]="","",IF(Table1[[#This Row],[Currency]]=$Q$2,$R$2,HLOOKUP(Table1[[#This Row],[Date]],Funds!$C$10:$GV$11,2,FALSE)))</f>
        <v/>
      </c>
      <c r="I832" s="217" t="str">
        <f>IF(Table1[[#This Row],[Description]]="","",Table1[[#This Row],[Value]]/Table1[[#This Row],[Conversion]])</f>
        <v/>
      </c>
      <c r="J832" s="50" t="str">
        <f>IF(Table1[[#This Row],[Description]]="","",DATE(Table1[[#This Row],[Year]],Table1[[#This Row],[Month]],1))</f>
        <v/>
      </c>
    </row>
    <row r="833" spans="8:10" x14ac:dyDescent="0.25">
      <c r="H833" t="str">
        <f>IF(Table1[[#This Row],[Description]]="","",IF(Table1[[#This Row],[Currency]]=$Q$2,$R$2,HLOOKUP(Table1[[#This Row],[Date]],Funds!$C$10:$GV$11,2,FALSE)))</f>
        <v/>
      </c>
      <c r="I833" s="217" t="str">
        <f>IF(Table1[[#This Row],[Description]]="","",Table1[[#This Row],[Value]]/Table1[[#This Row],[Conversion]])</f>
        <v/>
      </c>
      <c r="J833" s="50" t="str">
        <f>IF(Table1[[#This Row],[Description]]="","",DATE(Table1[[#This Row],[Year]],Table1[[#This Row],[Month]],1))</f>
        <v/>
      </c>
    </row>
    <row r="834" spans="8:10" x14ac:dyDescent="0.25">
      <c r="H834" t="str">
        <f>IF(Table1[[#This Row],[Description]]="","",IF(Table1[[#This Row],[Currency]]=$Q$2,$R$2,HLOOKUP(Table1[[#This Row],[Date]],Funds!$C$10:$GV$11,2,FALSE)))</f>
        <v/>
      </c>
      <c r="I834" s="217" t="str">
        <f>IF(Table1[[#This Row],[Description]]="","",Table1[[#This Row],[Value]]/Table1[[#This Row],[Conversion]])</f>
        <v/>
      </c>
      <c r="J834" s="50" t="str">
        <f>IF(Table1[[#This Row],[Description]]="","",DATE(Table1[[#This Row],[Year]],Table1[[#This Row],[Month]],1))</f>
        <v/>
      </c>
    </row>
    <row r="835" spans="8:10" x14ac:dyDescent="0.25">
      <c r="H835" t="str">
        <f>IF(Table1[[#This Row],[Description]]="","",IF(Table1[[#This Row],[Currency]]=$Q$2,$R$2,HLOOKUP(Table1[[#This Row],[Date]],Funds!$C$10:$GV$11,2,FALSE)))</f>
        <v/>
      </c>
      <c r="I835" s="217" t="str">
        <f>IF(Table1[[#This Row],[Description]]="","",Table1[[#This Row],[Value]]/Table1[[#This Row],[Conversion]])</f>
        <v/>
      </c>
      <c r="J835" s="50" t="str">
        <f>IF(Table1[[#This Row],[Description]]="","",DATE(Table1[[#This Row],[Year]],Table1[[#This Row],[Month]],1))</f>
        <v/>
      </c>
    </row>
    <row r="836" spans="8:10" x14ac:dyDescent="0.25">
      <c r="H836" t="str">
        <f>IF(Table1[[#This Row],[Description]]="","",IF(Table1[[#This Row],[Currency]]=$Q$2,$R$2,HLOOKUP(Table1[[#This Row],[Date]],Funds!$C$10:$GV$11,2,FALSE)))</f>
        <v/>
      </c>
      <c r="I836" s="217" t="str">
        <f>IF(Table1[[#This Row],[Description]]="","",Table1[[#This Row],[Value]]/Table1[[#This Row],[Conversion]])</f>
        <v/>
      </c>
      <c r="J836" s="50" t="str">
        <f>IF(Table1[[#This Row],[Description]]="","",DATE(Table1[[#This Row],[Year]],Table1[[#This Row],[Month]],1))</f>
        <v/>
      </c>
    </row>
    <row r="837" spans="8:10" x14ac:dyDescent="0.25">
      <c r="H837" t="str">
        <f>IF(Table1[[#This Row],[Description]]="","",IF(Table1[[#This Row],[Currency]]=$Q$2,$R$2,HLOOKUP(Table1[[#This Row],[Date]],Funds!$C$10:$GV$11,2,FALSE)))</f>
        <v/>
      </c>
      <c r="I837" s="217" t="str">
        <f>IF(Table1[[#This Row],[Description]]="","",Table1[[#This Row],[Value]]/Table1[[#This Row],[Conversion]])</f>
        <v/>
      </c>
      <c r="J837" s="50" t="str">
        <f>IF(Table1[[#This Row],[Description]]="","",DATE(Table1[[#This Row],[Year]],Table1[[#This Row],[Month]],1))</f>
        <v/>
      </c>
    </row>
    <row r="838" spans="8:10" x14ac:dyDescent="0.25">
      <c r="H838" t="str">
        <f>IF(Table1[[#This Row],[Description]]="","",IF(Table1[[#This Row],[Currency]]=$Q$2,$R$2,HLOOKUP(Table1[[#This Row],[Date]],Funds!$C$10:$GV$11,2,FALSE)))</f>
        <v/>
      </c>
      <c r="I838" s="217" t="str">
        <f>IF(Table1[[#This Row],[Description]]="","",Table1[[#This Row],[Value]]/Table1[[#This Row],[Conversion]])</f>
        <v/>
      </c>
      <c r="J838" s="50" t="str">
        <f>IF(Table1[[#This Row],[Description]]="","",DATE(Table1[[#This Row],[Year]],Table1[[#This Row],[Month]],1))</f>
        <v/>
      </c>
    </row>
    <row r="839" spans="8:10" x14ac:dyDescent="0.25">
      <c r="H839" t="str">
        <f>IF(Table1[[#This Row],[Description]]="","",IF(Table1[[#This Row],[Currency]]=$Q$2,$R$2,HLOOKUP(Table1[[#This Row],[Date]],Funds!$C$10:$GV$11,2,FALSE)))</f>
        <v/>
      </c>
      <c r="I839" s="217" t="str">
        <f>IF(Table1[[#This Row],[Description]]="","",Table1[[#This Row],[Value]]/Table1[[#This Row],[Conversion]])</f>
        <v/>
      </c>
      <c r="J839" s="50" t="str">
        <f>IF(Table1[[#This Row],[Description]]="","",DATE(Table1[[#This Row],[Year]],Table1[[#This Row],[Month]],1))</f>
        <v/>
      </c>
    </row>
    <row r="840" spans="8:10" x14ac:dyDescent="0.25">
      <c r="H840" t="str">
        <f>IF(Table1[[#This Row],[Description]]="","",IF(Table1[[#This Row],[Currency]]=$Q$2,$R$2,HLOOKUP(Table1[[#This Row],[Date]],Funds!$C$10:$GV$11,2,FALSE)))</f>
        <v/>
      </c>
      <c r="I840" s="217" t="str">
        <f>IF(Table1[[#This Row],[Description]]="","",Table1[[#This Row],[Value]]/Table1[[#This Row],[Conversion]])</f>
        <v/>
      </c>
      <c r="J840" s="50" t="str">
        <f>IF(Table1[[#This Row],[Description]]="","",DATE(Table1[[#This Row],[Year]],Table1[[#This Row],[Month]],1))</f>
        <v/>
      </c>
    </row>
    <row r="841" spans="8:10" x14ac:dyDescent="0.25">
      <c r="H841" t="str">
        <f>IF(Table1[[#This Row],[Description]]="","",IF(Table1[[#This Row],[Currency]]=$Q$2,$R$2,HLOOKUP(Table1[[#This Row],[Date]],Funds!$C$10:$GV$11,2,FALSE)))</f>
        <v/>
      </c>
      <c r="I841" s="217" t="str">
        <f>IF(Table1[[#This Row],[Description]]="","",Table1[[#This Row],[Value]]/Table1[[#This Row],[Conversion]])</f>
        <v/>
      </c>
      <c r="J841" s="50" t="str">
        <f>IF(Table1[[#This Row],[Description]]="","",DATE(Table1[[#This Row],[Year]],Table1[[#This Row],[Month]],1))</f>
        <v/>
      </c>
    </row>
    <row r="842" spans="8:10" x14ac:dyDescent="0.25">
      <c r="H842" t="str">
        <f>IF(Table1[[#This Row],[Description]]="","",IF(Table1[[#This Row],[Currency]]=$Q$2,$R$2,HLOOKUP(Table1[[#This Row],[Date]],Funds!$C$10:$GV$11,2,FALSE)))</f>
        <v/>
      </c>
      <c r="I842" s="217" t="str">
        <f>IF(Table1[[#This Row],[Description]]="","",Table1[[#This Row],[Value]]/Table1[[#This Row],[Conversion]])</f>
        <v/>
      </c>
      <c r="J842" s="50" t="str">
        <f>IF(Table1[[#This Row],[Description]]="","",DATE(Table1[[#This Row],[Year]],Table1[[#This Row],[Month]],1))</f>
        <v/>
      </c>
    </row>
    <row r="843" spans="8:10" x14ac:dyDescent="0.25">
      <c r="H843" t="str">
        <f>IF(Table1[[#This Row],[Description]]="","",IF(Table1[[#This Row],[Currency]]=$Q$2,$R$2,HLOOKUP(Table1[[#This Row],[Date]],Funds!$C$10:$GV$11,2,FALSE)))</f>
        <v/>
      </c>
      <c r="I843" s="217" t="str">
        <f>IF(Table1[[#This Row],[Description]]="","",Table1[[#This Row],[Value]]/Table1[[#This Row],[Conversion]])</f>
        <v/>
      </c>
      <c r="J843" s="50" t="str">
        <f>IF(Table1[[#This Row],[Description]]="","",DATE(Table1[[#This Row],[Year]],Table1[[#This Row],[Month]],1))</f>
        <v/>
      </c>
    </row>
    <row r="844" spans="8:10" x14ac:dyDescent="0.25">
      <c r="H844" t="str">
        <f>IF(Table1[[#This Row],[Description]]="","",IF(Table1[[#This Row],[Currency]]=$Q$2,$R$2,HLOOKUP(Table1[[#This Row],[Date]],Funds!$C$10:$GV$11,2,FALSE)))</f>
        <v/>
      </c>
      <c r="I844" s="217" t="str">
        <f>IF(Table1[[#This Row],[Description]]="","",Table1[[#This Row],[Value]]/Table1[[#This Row],[Conversion]])</f>
        <v/>
      </c>
      <c r="J844" s="50" t="str">
        <f>IF(Table1[[#This Row],[Description]]="","",DATE(Table1[[#This Row],[Year]],Table1[[#This Row],[Month]],1))</f>
        <v/>
      </c>
    </row>
    <row r="845" spans="8:10" x14ac:dyDescent="0.25">
      <c r="H845" t="str">
        <f>IF(Table1[[#This Row],[Description]]="","",IF(Table1[[#This Row],[Currency]]=$Q$2,$R$2,HLOOKUP(Table1[[#This Row],[Date]],Funds!$C$10:$GV$11,2,FALSE)))</f>
        <v/>
      </c>
      <c r="I845" s="217" t="str">
        <f>IF(Table1[[#This Row],[Description]]="","",Table1[[#This Row],[Value]]/Table1[[#This Row],[Conversion]])</f>
        <v/>
      </c>
      <c r="J845" s="50" t="str">
        <f>IF(Table1[[#This Row],[Description]]="","",DATE(Table1[[#This Row],[Year]],Table1[[#This Row],[Month]],1))</f>
        <v/>
      </c>
    </row>
    <row r="846" spans="8:10" x14ac:dyDescent="0.25">
      <c r="H846" t="str">
        <f>IF(Table1[[#This Row],[Description]]="","",IF(Table1[[#This Row],[Currency]]=$Q$2,$R$2,HLOOKUP(Table1[[#This Row],[Date]],Funds!$C$10:$GV$11,2,FALSE)))</f>
        <v/>
      </c>
      <c r="I846" s="217" t="str">
        <f>IF(Table1[[#This Row],[Description]]="","",Table1[[#This Row],[Value]]/Table1[[#This Row],[Conversion]])</f>
        <v/>
      </c>
      <c r="J846" s="50" t="str">
        <f>IF(Table1[[#This Row],[Description]]="","",DATE(Table1[[#This Row],[Year]],Table1[[#This Row],[Month]],1))</f>
        <v/>
      </c>
    </row>
    <row r="847" spans="8:10" x14ac:dyDescent="0.25">
      <c r="H847" t="str">
        <f>IF(Table1[[#This Row],[Description]]="","",IF(Table1[[#This Row],[Currency]]=$Q$2,$R$2,HLOOKUP(Table1[[#This Row],[Date]],Funds!$C$10:$GV$11,2,FALSE)))</f>
        <v/>
      </c>
      <c r="I847" s="217" t="str">
        <f>IF(Table1[[#This Row],[Description]]="","",Table1[[#This Row],[Value]]/Table1[[#This Row],[Conversion]])</f>
        <v/>
      </c>
      <c r="J847" s="50" t="str">
        <f>IF(Table1[[#This Row],[Description]]="","",DATE(Table1[[#This Row],[Year]],Table1[[#This Row],[Month]],1))</f>
        <v/>
      </c>
    </row>
    <row r="848" spans="8:10" x14ac:dyDescent="0.25">
      <c r="H848" t="str">
        <f>IF(Table1[[#This Row],[Description]]="","",IF(Table1[[#This Row],[Currency]]=$Q$2,$R$2,HLOOKUP(Table1[[#This Row],[Date]],Funds!$C$10:$GV$11,2,FALSE)))</f>
        <v/>
      </c>
      <c r="I848" s="217" t="str">
        <f>IF(Table1[[#This Row],[Description]]="","",Table1[[#This Row],[Value]]/Table1[[#This Row],[Conversion]])</f>
        <v/>
      </c>
      <c r="J848" s="50" t="str">
        <f>IF(Table1[[#This Row],[Description]]="","",DATE(Table1[[#This Row],[Year]],Table1[[#This Row],[Month]],1))</f>
        <v/>
      </c>
    </row>
    <row r="849" spans="8:10" x14ac:dyDescent="0.25">
      <c r="H849" t="str">
        <f>IF(Table1[[#This Row],[Description]]="","",IF(Table1[[#This Row],[Currency]]=$Q$2,$R$2,HLOOKUP(Table1[[#This Row],[Date]],Funds!$C$10:$GV$11,2,FALSE)))</f>
        <v/>
      </c>
      <c r="I849" s="217" t="str">
        <f>IF(Table1[[#This Row],[Description]]="","",Table1[[#This Row],[Value]]/Table1[[#This Row],[Conversion]])</f>
        <v/>
      </c>
      <c r="J849" s="50" t="str">
        <f>IF(Table1[[#This Row],[Description]]="","",DATE(Table1[[#This Row],[Year]],Table1[[#This Row],[Month]],1))</f>
        <v/>
      </c>
    </row>
    <row r="850" spans="8:10" x14ac:dyDescent="0.25">
      <c r="H850" t="str">
        <f>IF(Table1[[#This Row],[Description]]="","",IF(Table1[[#This Row],[Currency]]=$Q$2,$R$2,HLOOKUP(Table1[[#This Row],[Date]],Funds!$C$10:$GV$11,2,FALSE)))</f>
        <v/>
      </c>
      <c r="I850" s="217" t="str">
        <f>IF(Table1[[#This Row],[Description]]="","",Table1[[#This Row],[Value]]/Table1[[#This Row],[Conversion]])</f>
        <v/>
      </c>
      <c r="J850" s="50" t="str">
        <f>IF(Table1[[#This Row],[Description]]="","",DATE(Table1[[#This Row],[Year]],Table1[[#This Row],[Month]],1))</f>
        <v/>
      </c>
    </row>
    <row r="851" spans="8:10" x14ac:dyDescent="0.25">
      <c r="H851" t="str">
        <f>IF(Table1[[#This Row],[Description]]="","",IF(Table1[[#This Row],[Currency]]=$Q$2,$R$2,HLOOKUP(Table1[[#This Row],[Date]],Funds!$C$10:$GV$11,2,FALSE)))</f>
        <v/>
      </c>
      <c r="I851" s="217" t="str">
        <f>IF(Table1[[#This Row],[Description]]="","",Table1[[#This Row],[Value]]/Table1[[#This Row],[Conversion]])</f>
        <v/>
      </c>
      <c r="J851" s="50" t="str">
        <f>IF(Table1[[#This Row],[Description]]="","",DATE(Table1[[#This Row],[Year]],Table1[[#This Row],[Month]],1))</f>
        <v/>
      </c>
    </row>
    <row r="852" spans="8:10" x14ac:dyDescent="0.25">
      <c r="H852" t="str">
        <f>IF(Table1[[#This Row],[Description]]="","",IF(Table1[[#This Row],[Currency]]=$Q$2,$R$2,HLOOKUP(Table1[[#This Row],[Date]],Funds!$C$10:$GV$11,2,FALSE)))</f>
        <v/>
      </c>
      <c r="I852" s="217" t="str">
        <f>IF(Table1[[#This Row],[Description]]="","",Table1[[#This Row],[Value]]/Table1[[#This Row],[Conversion]])</f>
        <v/>
      </c>
      <c r="J852" s="50" t="str">
        <f>IF(Table1[[#This Row],[Description]]="","",DATE(Table1[[#This Row],[Year]],Table1[[#This Row],[Month]],1))</f>
        <v/>
      </c>
    </row>
    <row r="853" spans="8:10" x14ac:dyDescent="0.25">
      <c r="H853" t="str">
        <f>IF(Table1[[#This Row],[Description]]="","",IF(Table1[[#This Row],[Currency]]=$Q$2,$R$2,HLOOKUP(Table1[[#This Row],[Date]],Funds!$C$10:$GV$11,2,FALSE)))</f>
        <v/>
      </c>
      <c r="I853" s="217" t="str">
        <f>IF(Table1[[#This Row],[Description]]="","",Table1[[#This Row],[Value]]/Table1[[#This Row],[Conversion]])</f>
        <v/>
      </c>
      <c r="J853" s="50" t="str">
        <f>IF(Table1[[#This Row],[Description]]="","",DATE(Table1[[#This Row],[Year]],Table1[[#This Row],[Month]],1))</f>
        <v/>
      </c>
    </row>
    <row r="854" spans="8:10" x14ac:dyDescent="0.25">
      <c r="H854" t="str">
        <f>IF(Table1[[#This Row],[Description]]="","",IF(Table1[[#This Row],[Currency]]=$Q$2,$R$2,HLOOKUP(Table1[[#This Row],[Date]],Funds!$C$10:$GV$11,2,FALSE)))</f>
        <v/>
      </c>
      <c r="I854" s="217" t="str">
        <f>IF(Table1[[#This Row],[Description]]="","",Table1[[#This Row],[Value]]/Table1[[#This Row],[Conversion]])</f>
        <v/>
      </c>
      <c r="J854" s="50" t="str">
        <f>IF(Table1[[#This Row],[Description]]="","",DATE(Table1[[#This Row],[Year]],Table1[[#This Row],[Month]],1))</f>
        <v/>
      </c>
    </row>
    <row r="855" spans="8:10" x14ac:dyDescent="0.25">
      <c r="H855" t="str">
        <f>IF(Table1[[#This Row],[Description]]="","",IF(Table1[[#This Row],[Currency]]=$Q$2,$R$2,HLOOKUP(Table1[[#This Row],[Date]],Funds!$C$10:$GV$11,2,FALSE)))</f>
        <v/>
      </c>
      <c r="I855" s="217" t="str">
        <f>IF(Table1[[#This Row],[Description]]="","",Table1[[#This Row],[Value]]/Table1[[#This Row],[Conversion]])</f>
        <v/>
      </c>
      <c r="J855" s="50" t="str">
        <f>IF(Table1[[#This Row],[Description]]="","",DATE(Table1[[#This Row],[Year]],Table1[[#This Row],[Month]],1))</f>
        <v/>
      </c>
    </row>
    <row r="856" spans="8:10" x14ac:dyDescent="0.25">
      <c r="H856" t="str">
        <f>IF(Table1[[#This Row],[Description]]="","",IF(Table1[[#This Row],[Currency]]=$Q$2,$R$2,HLOOKUP(Table1[[#This Row],[Date]],Funds!$C$10:$GV$11,2,FALSE)))</f>
        <v/>
      </c>
      <c r="I856" s="217" t="str">
        <f>IF(Table1[[#This Row],[Description]]="","",Table1[[#This Row],[Value]]/Table1[[#This Row],[Conversion]])</f>
        <v/>
      </c>
      <c r="J856" s="50" t="str">
        <f>IF(Table1[[#This Row],[Description]]="","",DATE(Table1[[#This Row],[Year]],Table1[[#This Row],[Month]],1))</f>
        <v/>
      </c>
    </row>
    <row r="857" spans="8:10" x14ac:dyDescent="0.25">
      <c r="H857" t="str">
        <f>IF(Table1[[#This Row],[Description]]="","",IF(Table1[[#This Row],[Currency]]=$Q$2,$R$2,HLOOKUP(Table1[[#This Row],[Date]],Funds!$C$10:$GV$11,2,FALSE)))</f>
        <v/>
      </c>
      <c r="I857" s="217" t="str">
        <f>IF(Table1[[#This Row],[Description]]="","",Table1[[#This Row],[Value]]/Table1[[#This Row],[Conversion]])</f>
        <v/>
      </c>
      <c r="J857" s="50" t="str">
        <f>IF(Table1[[#This Row],[Description]]="","",DATE(Table1[[#This Row],[Year]],Table1[[#This Row],[Month]],1))</f>
        <v/>
      </c>
    </row>
    <row r="858" spans="8:10" x14ac:dyDescent="0.25">
      <c r="H858" t="str">
        <f>IF(Table1[[#This Row],[Description]]="","",IF(Table1[[#This Row],[Currency]]=$Q$2,$R$2,HLOOKUP(Table1[[#This Row],[Date]],Funds!$C$10:$GV$11,2,FALSE)))</f>
        <v/>
      </c>
      <c r="I858" s="217" t="str">
        <f>IF(Table1[[#This Row],[Description]]="","",Table1[[#This Row],[Value]]/Table1[[#This Row],[Conversion]])</f>
        <v/>
      </c>
      <c r="J858" s="50" t="str">
        <f>IF(Table1[[#This Row],[Description]]="","",DATE(Table1[[#This Row],[Year]],Table1[[#This Row],[Month]],1))</f>
        <v/>
      </c>
    </row>
    <row r="859" spans="8:10" x14ac:dyDescent="0.25">
      <c r="H859" t="str">
        <f>IF(Table1[[#This Row],[Description]]="","",IF(Table1[[#This Row],[Currency]]=$Q$2,$R$2,HLOOKUP(Table1[[#This Row],[Date]],Funds!$C$10:$GV$11,2,FALSE)))</f>
        <v/>
      </c>
      <c r="I859" s="217" t="str">
        <f>IF(Table1[[#This Row],[Description]]="","",Table1[[#This Row],[Value]]/Table1[[#This Row],[Conversion]])</f>
        <v/>
      </c>
      <c r="J859" s="50" t="str">
        <f>IF(Table1[[#This Row],[Description]]="","",DATE(Table1[[#This Row],[Year]],Table1[[#This Row],[Month]],1))</f>
        <v/>
      </c>
    </row>
    <row r="860" spans="8:10" x14ac:dyDescent="0.25">
      <c r="H860" t="str">
        <f>IF(Table1[[#This Row],[Description]]="","",IF(Table1[[#This Row],[Currency]]=$Q$2,$R$2,HLOOKUP(Table1[[#This Row],[Date]],Funds!$C$10:$GV$11,2,FALSE)))</f>
        <v/>
      </c>
      <c r="I860" s="217" t="str">
        <f>IF(Table1[[#This Row],[Description]]="","",Table1[[#This Row],[Value]]/Table1[[#This Row],[Conversion]])</f>
        <v/>
      </c>
      <c r="J860" s="50" t="str">
        <f>IF(Table1[[#This Row],[Description]]="","",DATE(Table1[[#This Row],[Year]],Table1[[#This Row],[Month]],1))</f>
        <v/>
      </c>
    </row>
    <row r="861" spans="8:10" x14ac:dyDescent="0.25">
      <c r="H861" t="str">
        <f>IF(Table1[[#This Row],[Description]]="","",IF(Table1[[#This Row],[Currency]]=$Q$2,$R$2,HLOOKUP(Table1[[#This Row],[Date]],Funds!$C$10:$GV$11,2,FALSE)))</f>
        <v/>
      </c>
      <c r="I861" s="217" t="str">
        <f>IF(Table1[[#This Row],[Description]]="","",Table1[[#This Row],[Value]]/Table1[[#This Row],[Conversion]])</f>
        <v/>
      </c>
      <c r="J861" s="50" t="str">
        <f>IF(Table1[[#This Row],[Description]]="","",DATE(Table1[[#This Row],[Year]],Table1[[#This Row],[Month]],1))</f>
        <v/>
      </c>
    </row>
    <row r="862" spans="8:10" x14ac:dyDescent="0.25">
      <c r="H862" t="str">
        <f>IF(Table1[[#This Row],[Description]]="","",IF(Table1[[#This Row],[Currency]]=$Q$2,$R$2,HLOOKUP(Table1[[#This Row],[Date]],Funds!$C$10:$GV$11,2,FALSE)))</f>
        <v/>
      </c>
      <c r="I862" s="217" t="str">
        <f>IF(Table1[[#This Row],[Description]]="","",Table1[[#This Row],[Value]]/Table1[[#This Row],[Conversion]])</f>
        <v/>
      </c>
      <c r="J862" s="50" t="str">
        <f>IF(Table1[[#This Row],[Description]]="","",DATE(Table1[[#This Row],[Year]],Table1[[#This Row],[Month]],1))</f>
        <v/>
      </c>
    </row>
    <row r="863" spans="8:10" x14ac:dyDescent="0.25">
      <c r="H863" t="str">
        <f>IF(Table1[[#This Row],[Description]]="","",IF(Table1[[#This Row],[Currency]]=$Q$2,$R$2,HLOOKUP(Table1[[#This Row],[Date]],Funds!$C$10:$GV$11,2,FALSE)))</f>
        <v/>
      </c>
      <c r="I863" s="217" t="str">
        <f>IF(Table1[[#This Row],[Description]]="","",Table1[[#This Row],[Value]]/Table1[[#This Row],[Conversion]])</f>
        <v/>
      </c>
      <c r="J863" s="50" t="str">
        <f>IF(Table1[[#This Row],[Description]]="","",DATE(Table1[[#This Row],[Year]],Table1[[#This Row],[Month]],1))</f>
        <v/>
      </c>
    </row>
    <row r="864" spans="8:10" x14ac:dyDescent="0.25">
      <c r="H864" t="str">
        <f>IF(Table1[[#This Row],[Description]]="","",IF(Table1[[#This Row],[Currency]]=$Q$2,$R$2,HLOOKUP(Table1[[#This Row],[Date]],Funds!$C$10:$GV$11,2,FALSE)))</f>
        <v/>
      </c>
      <c r="I864" s="217" t="str">
        <f>IF(Table1[[#This Row],[Description]]="","",Table1[[#This Row],[Value]]/Table1[[#This Row],[Conversion]])</f>
        <v/>
      </c>
      <c r="J864" s="50" t="str">
        <f>IF(Table1[[#This Row],[Description]]="","",DATE(Table1[[#This Row],[Year]],Table1[[#This Row],[Month]],1))</f>
        <v/>
      </c>
    </row>
    <row r="865" spans="8:10" x14ac:dyDescent="0.25">
      <c r="H865" t="str">
        <f>IF(Table1[[#This Row],[Description]]="","",IF(Table1[[#This Row],[Currency]]=$Q$2,$R$2,HLOOKUP(Table1[[#This Row],[Date]],Funds!$C$10:$GV$11,2,FALSE)))</f>
        <v/>
      </c>
      <c r="I865" s="217" t="str">
        <f>IF(Table1[[#This Row],[Description]]="","",Table1[[#This Row],[Value]]/Table1[[#This Row],[Conversion]])</f>
        <v/>
      </c>
      <c r="J865" s="50" t="str">
        <f>IF(Table1[[#This Row],[Description]]="","",DATE(Table1[[#This Row],[Year]],Table1[[#This Row],[Month]],1))</f>
        <v/>
      </c>
    </row>
    <row r="866" spans="8:10" x14ac:dyDescent="0.25">
      <c r="H866" t="str">
        <f>IF(Table1[[#This Row],[Description]]="","",IF(Table1[[#This Row],[Currency]]=$Q$2,$R$2,HLOOKUP(Table1[[#This Row],[Date]],Funds!$C$10:$GV$11,2,FALSE)))</f>
        <v/>
      </c>
      <c r="I866" s="217" t="str">
        <f>IF(Table1[[#This Row],[Description]]="","",Table1[[#This Row],[Value]]/Table1[[#This Row],[Conversion]])</f>
        <v/>
      </c>
      <c r="J866" s="50" t="str">
        <f>IF(Table1[[#This Row],[Description]]="","",DATE(Table1[[#This Row],[Year]],Table1[[#This Row],[Month]],1))</f>
        <v/>
      </c>
    </row>
    <row r="867" spans="8:10" x14ac:dyDescent="0.25">
      <c r="H867" t="str">
        <f>IF(Table1[[#This Row],[Description]]="","",IF(Table1[[#This Row],[Currency]]=$Q$2,$R$2,HLOOKUP(Table1[[#This Row],[Date]],Funds!$C$10:$GV$11,2,FALSE)))</f>
        <v/>
      </c>
      <c r="I867" s="217" t="str">
        <f>IF(Table1[[#This Row],[Description]]="","",Table1[[#This Row],[Value]]/Table1[[#This Row],[Conversion]])</f>
        <v/>
      </c>
      <c r="J867" s="50" t="str">
        <f>IF(Table1[[#This Row],[Description]]="","",DATE(Table1[[#This Row],[Year]],Table1[[#This Row],[Month]],1))</f>
        <v/>
      </c>
    </row>
    <row r="868" spans="8:10" x14ac:dyDescent="0.25">
      <c r="H868" t="str">
        <f>IF(Table1[[#This Row],[Description]]="","",IF(Table1[[#This Row],[Currency]]=$Q$2,$R$2,HLOOKUP(Table1[[#This Row],[Date]],Funds!$C$10:$GV$11,2,FALSE)))</f>
        <v/>
      </c>
      <c r="I868" s="217" t="str">
        <f>IF(Table1[[#This Row],[Description]]="","",Table1[[#This Row],[Value]]/Table1[[#This Row],[Conversion]])</f>
        <v/>
      </c>
      <c r="J868" s="50" t="str">
        <f>IF(Table1[[#This Row],[Description]]="","",DATE(Table1[[#This Row],[Year]],Table1[[#This Row],[Month]],1))</f>
        <v/>
      </c>
    </row>
    <row r="869" spans="8:10" x14ac:dyDescent="0.25">
      <c r="H869" t="str">
        <f>IF(Table1[[#This Row],[Description]]="","",IF(Table1[[#This Row],[Currency]]=$Q$2,$R$2,HLOOKUP(Table1[[#This Row],[Date]],Funds!$C$10:$GV$11,2,FALSE)))</f>
        <v/>
      </c>
      <c r="I869" s="217" t="str">
        <f>IF(Table1[[#This Row],[Description]]="","",Table1[[#This Row],[Value]]/Table1[[#This Row],[Conversion]])</f>
        <v/>
      </c>
      <c r="J869" s="50" t="str">
        <f>IF(Table1[[#This Row],[Description]]="","",DATE(Table1[[#This Row],[Year]],Table1[[#This Row],[Month]],1))</f>
        <v/>
      </c>
    </row>
    <row r="870" spans="8:10" x14ac:dyDescent="0.25">
      <c r="H870" t="str">
        <f>IF(Table1[[#This Row],[Description]]="","",IF(Table1[[#This Row],[Currency]]=$Q$2,$R$2,HLOOKUP(Table1[[#This Row],[Date]],Funds!$C$10:$GV$11,2,FALSE)))</f>
        <v/>
      </c>
      <c r="I870" s="217" t="str">
        <f>IF(Table1[[#This Row],[Description]]="","",Table1[[#This Row],[Value]]/Table1[[#This Row],[Conversion]])</f>
        <v/>
      </c>
      <c r="J870" s="50" t="str">
        <f>IF(Table1[[#This Row],[Description]]="","",DATE(Table1[[#This Row],[Year]],Table1[[#This Row],[Month]],1))</f>
        <v/>
      </c>
    </row>
    <row r="871" spans="8:10" x14ac:dyDescent="0.25">
      <c r="H871" t="str">
        <f>IF(Table1[[#This Row],[Description]]="","",IF(Table1[[#This Row],[Currency]]=$Q$2,$R$2,HLOOKUP(Table1[[#This Row],[Date]],Funds!$C$10:$GV$11,2,FALSE)))</f>
        <v/>
      </c>
      <c r="I871" s="217" t="str">
        <f>IF(Table1[[#This Row],[Description]]="","",Table1[[#This Row],[Value]]/Table1[[#This Row],[Conversion]])</f>
        <v/>
      </c>
      <c r="J871" s="50" t="str">
        <f>IF(Table1[[#This Row],[Description]]="","",DATE(Table1[[#This Row],[Year]],Table1[[#This Row],[Month]],1))</f>
        <v/>
      </c>
    </row>
    <row r="872" spans="8:10" x14ac:dyDescent="0.25">
      <c r="H872" t="str">
        <f>IF(Table1[[#This Row],[Description]]="","",IF(Table1[[#This Row],[Currency]]=$Q$2,$R$2,HLOOKUP(Table1[[#This Row],[Date]],Funds!$C$10:$GV$11,2,FALSE)))</f>
        <v/>
      </c>
      <c r="I872" s="217" t="str">
        <f>IF(Table1[[#This Row],[Description]]="","",Table1[[#This Row],[Value]]/Table1[[#This Row],[Conversion]])</f>
        <v/>
      </c>
      <c r="J872" s="50" t="str">
        <f>IF(Table1[[#This Row],[Description]]="","",DATE(Table1[[#This Row],[Year]],Table1[[#This Row],[Month]],1))</f>
        <v/>
      </c>
    </row>
    <row r="873" spans="8:10" x14ac:dyDescent="0.25">
      <c r="H873" t="str">
        <f>IF(Table1[[#This Row],[Description]]="","",IF(Table1[[#This Row],[Currency]]=$Q$2,$R$2,HLOOKUP(Table1[[#This Row],[Date]],Funds!$C$10:$GV$11,2,FALSE)))</f>
        <v/>
      </c>
      <c r="I873" s="217" t="str">
        <f>IF(Table1[[#This Row],[Description]]="","",Table1[[#This Row],[Value]]/Table1[[#This Row],[Conversion]])</f>
        <v/>
      </c>
      <c r="J873" s="50" t="str">
        <f>IF(Table1[[#This Row],[Description]]="","",DATE(Table1[[#This Row],[Year]],Table1[[#This Row],[Month]],1))</f>
        <v/>
      </c>
    </row>
    <row r="874" spans="8:10" x14ac:dyDescent="0.25">
      <c r="H874" t="str">
        <f>IF(Table1[[#This Row],[Description]]="","",IF(Table1[[#This Row],[Currency]]=$Q$2,$R$2,HLOOKUP(Table1[[#This Row],[Date]],Funds!$C$10:$GV$11,2,FALSE)))</f>
        <v/>
      </c>
      <c r="I874" s="217" t="str">
        <f>IF(Table1[[#This Row],[Description]]="","",Table1[[#This Row],[Value]]/Table1[[#This Row],[Conversion]])</f>
        <v/>
      </c>
      <c r="J874" s="50" t="str">
        <f>IF(Table1[[#This Row],[Description]]="","",DATE(Table1[[#This Row],[Year]],Table1[[#This Row],[Month]],1))</f>
        <v/>
      </c>
    </row>
    <row r="875" spans="8:10" x14ac:dyDescent="0.25">
      <c r="H875" t="str">
        <f>IF(Table1[[#This Row],[Description]]="","",IF(Table1[[#This Row],[Currency]]=$Q$2,$R$2,HLOOKUP(Table1[[#This Row],[Date]],Funds!$C$10:$GV$11,2,FALSE)))</f>
        <v/>
      </c>
      <c r="I875" s="217" t="str">
        <f>IF(Table1[[#This Row],[Description]]="","",Table1[[#This Row],[Value]]/Table1[[#This Row],[Conversion]])</f>
        <v/>
      </c>
      <c r="J875" s="50" t="str">
        <f>IF(Table1[[#This Row],[Description]]="","",DATE(Table1[[#This Row],[Year]],Table1[[#This Row],[Month]],1))</f>
        <v/>
      </c>
    </row>
    <row r="876" spans="8:10" x14ac:dyDescent="0.25">
      <c r="H876" t="str">
        <f>IF(Table1[[#This Row],[Description]]="","",IF(Table1[[#This Row],[Currency]]=$Q$2,$R$2,HLOOKUP(Table1[[#This Row],[Date]],Funds!$C$10:$GV$11,2,FALSE)))</f>
        <v/>
      </c>
      <c r="I876" s="217" t="str">
        <f>IF(Table1[[#This Row],[Description]]="","",Table1[[#This Row],[Value]]/Table1[[#This Row],[Conversion]])</f>
        <v/>
      </c>
      <c r="J876" s="50" t="str">
        <f>IF(Table1[[#This Row],[Description]]="","",DATE(Table1[[#This Row],[Year]],Table1[[#This Row],[Month]],1))</f>
        <v/>
      </c>
    </row>
    <row r="877" spans="8:10" x14ac:dyDescent="0.25">
      <c r="H877" t="str">
        <f>IF(Table1[[#This Row],[Description]]="","",IF(Table1[[#This Row],[Currency]]=$Q$2,$R$2,HLOOKUP(Table1[[#This Row],[Date]],Funds!$C$10:$GV$11,2,FALSE)))</f>
        <v/>
      </c>
      <c r="I877" s="217" t="str">
        <f>IF(Table1[[#This Row],[Description]]="","",Table1[[#This Row],[Value]]/Table1[[#This Row],[Conversion]])</f>
        <v/>
      </c>
      <c r="J877" s="50" t="str">
        <f>IF(Table1[[#This Row],[Description]]="","",DATE(Table1[[#This Row],[Year]],Table1[[#This Row],[Month]],1))</f>
        <v/>
      </c>
    </row>
    <row r="878" spans="8:10" x14ac:dyDescent="0.25">
      <c r="H878" t="str">
        <f>IF(Table1[[#This Row],[Description]]="","",IF(Table1[[#This Row],[Currency]]=$Q$2,$R$2,HLOOKUP(Table1[[#This Row],[Date]],Funds!$C$10:$GV$11,2,FALSE)))</f>
        <v/>
      </c>
      <c r="I878" s="217" t="str">
        <f>IF(Table1[[#This Row],[Description]]="","",Table1[[#This Row],[Value]]/Table1[[#This Row],[Conversion]])</f>
        <v/>
      </c>
      <c r="J878" s="50" t="str">
        <f>IF(Table1[[#This Row],[Description]]="","",DATE(Table1[[#This Row],[Year]],Table1[[#This Row],[Month]],1))</f>
        <v/>
      </c>
    </row>
    <row r="879" spans="8:10" x14ac:dyDescent="0.25">
      <c r="H879" t="str">
        <f>IF(Table1[[#This Row],[Description]]="","",IF(Table1[[#This Row],[Currency]]=$Q$2,$R$2,HLOOKUP(Table1[[#This Row],[Date]],Funds!$C$10:$GV$11,2,FALSE)))</f>
        <v/>
      </c>
      <c r="I879" s="217" t="str">
        <f>IF(Table1[[#This Row],[Description]]="","",Table1[[#This Row],[Value]]/Table1[[#This Row],[Conversion]])</f>
        <v/>
      </c>
      <c r="J879" s="50" t="str">
        <f>IF(Table1[[#This Row],[Description]]="","",DATE(Table1[[#This Row],[Year]],Table1[[#This Row],[Month]],1))</f>
        <v/>
      </c>
    </row>
    <row r="880" spans="8:10" x14ac:dyDescent="0.25">
      <c r="H880" t="str">
        <f>IF(Table1[[#This Row],[Description]]="","",IF(Table1[[#This Row],[Currency]]=$Q$2,$R$2,HLOOKUP(Table1[[#This Row],[Date]],Funds!$C$10:$GV$11,2,FALSE)))</f>
        <v/>
      </c>
      <c r="I880" s="217" t="str">
        <f>IF(Table1[[#This Row],[Description]]="","",Table1[[#This Row],[Value]]/Table1[[#This Row],[Conversion]])</f>
        <v/>
      </c>
      <c r="J880" s="50" t="str">
        <f>IF(Table1[[#This Row],[Description]]="","",DATE(Table1[[#This Row],[Year]],Table1[[#This Row],[Month]],1))</f>
        <v/>
      </c>
    </row>
    <row r="881" spans="8:10" x14ac:dyDescent="0.25">
      <c r="H881" t="str">
        <f>IF(Table1[[#This Row],[Description]]="","",IF(Table1[[#This Row],[Currency]]=$Q$2,$R$2,HLOOKUP(Table1[[#This Row],[Date]],Funds!$C$10:$GV$11,2,FALSE)))</f>
        <v/>
      </c>
      <c r="I881" s="217" t="str">
        <f>IF(Table1[[#This Row],[Description]]="","",Table1[[#This Row],[Value]]/Table1[[#This Row],[Conversion]])</f>
        <v/>
      </c>
      <c r="J881" s="50" t="str">
        <f>IF(Table1[[#This Row],[Description]]="","",DATE(Table1[[#This Row],[Year]],Table1[[#This Row],[Month]],1))</f>
        <v/>
      </c>
    </row>
    <row r="882" spans="8:10" x14ac:dyDescent="0.25">
      <c r="H882" t="str">
        <f>IF(Table1[[#This Row],[Description]]="","",IF(Table1[[#This Row],[Currency]]=$Q$2,$R$2,HLOOKUP(Table1[[#This Row],[Date]],Funds!$C$10:$GV$11,2,FALSE)))</f>
        <v/>
      </c>
      <c r="I882" s="217" t="str">
        <f>IF(Table1[[#This Row],[Description]]="","",Table1[[#This Row],[Value]]/Table1[[#This Row],[Conversion]])</f>
        <v/>
      </c>
      <c r="J882" s="50" t="str">
        <f>IF(Table1[[#This Row],[Description]]="","",DATE(Table1[[#This Row],[Year]],Table1[[#This Row],[Month]],1))</f>
        <v/>
      </c>
    </row>
    <row r="883" spans="8:10" x14ac:dyDescent="0.25">
      <c r="H883" t="str">
        <f>IF(Table1[[#This Row],[Description]]="","",IF(Table1[[#This Row],[Currency]]=$Q$2,$R$2,HLOOKUP(Table1[[#This Row],[Date]],Funds!$C$10:$GV$11,2,FALSE)))</f>
        <v/>
      </c>
      <c r="I883" s="217" t="str">
        <f>IF(Table1[[#This Row],[Description]]="","",Table1[[#This Row],[Value]]/Table1[[#This Row],[Conversion]])</f>
        <v/>
      </c>
      <c r="J883" s="50" t="str">
        <f>IF(Table1[[#This Row],[Description]]="","",DATE(Table1[[#This Row],[Year]],Table1[[#This Row],[Month]],1))</f>
        <v/>
      </c>
    </row>
    <row r="884" spans="8:10" x14ac:dyDescent="0.25">
      <c r="H884" t="str">
        <f>IF(Table1[[#This Row],[Description]]="","",IF(Table1[[#This Row],[Currency]]=$Q$2,$R$2,HLOOKUP(Table1[[#This Row],[Date]],Funds!$C$10:$GV$11,2,FALSE)))</f>
        <v/>
      </c>
      <c r="I884" s="217" t="str">
        <f>IF(Table1[[#This Row],[Description]]="","",Table1[[#This Row],[Value]]/Table1[[#This Row],[Conversion]])</f>
        <v/>
      </c>
      <c r="J884" s="50" t="str">
        <f>IF(Table1[[#This Row],[Description]]="","",DATE(Table1[[#This Row],[Year]],Table1[[#This Row],[Month]],1))</f>
        <v/>
      </c>
    </row>
    <row r="885" spans="8:10" x14ac:dyDescent="0.25">
      <c r="H885" t="str">
        <f>IF(Table1[[#This Row],[Description]]="","",IF(Table1[[#This Row],[Currency]]=$Q$2,$R$2,HLOOKUP(Table1[[#This Row],[Date]],Funds!$C$10:$GV$11,2,FALSE)))</f>
        <v/>
      </c>
      <c r="I885" s="217" t="str">
        <f>IF(Table1[[#This Row],[Description]]="","",Table1[[#This Row],[Value]]/Table1[[#This Row],[Conversion]])</f>
        <v/>
      </c>
      <c r="J885" s="50" t="str">
        <f>IF(Table1[[#This Row],[Description]]="","",DATE(Table1[[#This Row],[Year]],Table1[[#This Row],[Month]],1))</f>
        <v/>
      </c>
    </row>
    <row r="886" spans="8:10" x14ac:dyDescent="0.25">
      <c r="H886" t="str">
        <f>IF(Table1[[#This Row],[Description]]="","",IF(Table1[[#This Row],[Currency]]=$Q$2,$R$2,HLOOKUP(Table1[[#This Row],[Date]],Funds!$C$10:$GV$11,2,FALSE)))</f>
        <v/>
      </c>
      <c r="I886" s="217" t="str">
        <f>IF(Table1[[#This Row],[Description]]="","",Table1[[#This Row],[Value]]/Table1[[#This Row],[Conversion]])</f>
        <v/>
      </c>
      <c r="J886" s="50" t="str">
        <f>IF(Table1[[#This Row],[Description]]="","",DATE(Table1[[#This Row],[Year]],Table1[[#This Row],[Month]],1))</f>
        <v/>
      </c>
    </row>
    <row r="887" spans="8:10" x14ac:dyDescent="0.25">
      <c r="H887" t="str">
        <f>IF(Table1[[#This Row],[Description]]="","",IF(Table1[[#This Row],[Currency]]=$Q$2,$R$2,HLOOKUP(Table1[[#This Row],[Date]],Funds!$C$10:$GV$11,2,FALSE)))</f>
        <v/>
      </c>
      <c r="I887" s="217" t="str">
        <f>IF(Table1[[#This Row],[Description]]="","",Table1[[#This Row],[Value]]/Table1[[#This Row],[Conversion]])</f>
        <v/>
      </c>
      <c r="J887" s="50" t="str">
        <f>IF(Table1[[#This Row],[Description]]="","",DATE(Table1[[#This Row],[Year]],Table1[[#This Row],[Month]],1))</f>
        <v/>
      </c>
    </row>
    <row r="888" spans="8:10" x14ac:dyDescent="0.25">
      <c r="H888" t="str">
        <f>IF(Table1[[#This Row],[Description]]="","",IF(Table1[[#This Row],[Currency]]=$Q$2,$R$2,HLOOKUP(Table1[[#This Row],[Date]],Funds!$C$10:$GV$11,2,FALSE)))</f>
        <v/>
      </c>
      <c r="I888" s="217" t="str">
        <f>IF(Table1[[#This Row],[Description]]="","",Table1[[#This Row],[Value]]/Table1[[#This Row],[Conversion]])</f>
        <v/>
      </c>
      <c r="J888" s="50" t="str">
        <f>IF(Table1[[#This Row],[Description]]="","",DATE(Table1[[#This Row],[Year]],Table1[[#This Row],[Month]],1))</f>
        <v/>
      </c>
    </row>
    <row r="889" spans="8:10" x14ac:dyDescent="0.25">
      <c r="H889" t="str">
        <f>IF(Table1[[#This Row],[Description]]="","",IF(Table1[[#This Row],[Currency]]=$Q$2,$R$2,HLOOKUP(Table1[[#This Row],[Date]],Funds!$C$10:$GV$11,2,FALSE)))</f>
        <v/>
      </c>
      <c r="I889" s="217" t="str">
        <f>IF(Table1[[#This Row],[Description]]="","",Table1[[#This Row],[Value]]/Table1[[#This Row],[Conversion]])</f>
        <v/>
      </c>
      <c r="J889" s="50" t="str">
        <f>IF(Table1[[#This Row],[Description]]="","",DATE(Table1[[#This Row],[Year]],Table1[[#This Row],[Month]],1))</f>
        <v/>
      </c>
    </row>
    <row r="890" spans="8:10" x14ac:dyDescent="0.25">
      <c r="H890" t="str">
        <f>IF(Table1[[#This Row],[Description]]="","",IF(Table1[[#This Row],[Currency]]=$Q$2,$R$2,HLOOKUP(Table1[[#This Row],[Date]],Funds!$C$10:$GV$11,2,FALSE)))</f>
        <v/>
      </c>
      <c r="I890" s="217" t="str">
        <f>IF(Table1[[#This Row],[Description]]="","",Table1[[#This Row],[Value]]/Table1[[#This Row],[Conversion]])</f>
        <v/>
      </c>
      <c r="J890" s="50" t="str">
        <f>IF(Table1[[#This Row],[Description]]="","",DATE(Table1[[#This Row],[Year]],Table1[[#This Row],[Month]],1))</f>
        <v/>
      </c>
    </row>
    <row r="891" spans="8:10" x14ac:dyDescent="0.25">
      <c r="H891" t="str">
        <f>IF(Table1[[#This Row],[Description]]="","",IF(Table1[[#This Row],[Currency]]=$Q$2,$R$2,HLOOKUP(Table1[[#This Row],[Date]],Funds!$C$10:$GV$11,2,FALSE)))</f>
        <v/>
      </c>
      <c r="I891" s="217" t="str">
        <f>IF(Table1[[#This Row],[Description]]="","",Table1[[#This Row],[Value]]/Table1[[#This Row],[Conversion]])</f>
        <v/>
      </c>
      <c r="J891" s="50" t="str">
        <f>IF(Table1[[#This Row],[Description]]="","",DATE(Table1[[#This Row],[Year]],Table1[[#This Row],[Month]],1))</f>
        <v/>
      </c>
    </row>
    <row r="892" spans="8:10" x14ac:dyDescent="0.25">
      <c r="H892" t="str">
        <f>IF(Table1[[#This Row],[Description]]="","",IF(Table1[[#This Row],[Currency]]=$Q$2,$R$2,HLOOKUP(Table1[[#This Row],[Date]],Funds!$C$10:$GV$11,2,FALSE)))</f>
        <v/>
      </c>
      <c r="I892" s="217" t="str">
        <f>IF(Table1[[#This Row],[Description]]="","",Table1[[#This Row],[Value]]/Table1[[#This Row],[Conversion]])</f>
        <v/>
      </c>
      <c r="J892" s="50" t="str">
        <f>IF(Table1[[#This Row],[Description]]="","",DATE(Table1[[#This Row],[Year]],Table1[[#This Row],[Month]],1))</f>
        <v/>
      </c>
    </row>
    <row r="893" spans="8:10" x14ac:dyDescent="0.25">
      <c r="H893" t="str">
        <f>IF(Table1[[#This Row],[Description]]="","",IF(Table1[[#This Row],[Currency]]=$Q$2,$R$2,HLOOKUP(Table1[[#This Row],[Date]],Funds!$C$10:$GV$11,2,FALSE)))</f>
        <v/>
      </c>
      <c r="I893" s="217" t="str">
        <f>IF(Table1[[#This Row],[Description]]="","",Table1[[#This Row],[Value]]/Table1[[#This Row],[Conversion]])</f>
        <v/>
      </c>
      <c r="J893" s="50" t="str">
        <f>IF(Table1[[#This Row],[Description]]="","",DATE(Table1[[#This Row],[Year]],Table1[[#This Row],[Month]],1))</f>
        <v/>
      </c>
    </row>
    <row r="894" spans="8:10" x14ac:dyDescent="0.25">
      <c r="H894" t="str">
        <f>IF(Table1[[#This Row],[Description]]="","",IF(Table1[[#This Row],[Currency]]=$Q$2,$R$2,HLOOKUP(Table1[[#This Row],[Date]],Funds!$C$10:$GV$11,2,FALSE)))</f>
        <v/>
      </c>
      <c r="I894" s="217" t="str">
        <f>IF(Table1[[#This Row],[Description]]="","",Table1[[#This Row],[Value]]/Table1[[#This Row],[Conversion]])</f>
        <v/>
      </c>
      <c r="J894" s="50" t="str">
        <f>IF(Table1[[#This Row],[Description]]="","",DATE(Table1[[#This Row],[Year]],Table1[[#This Row],[Month]],1))</f>
        <v/>
      </c>
    </row>
    <row r="895" spans="8:10" x14ac:dyDescent="0.25">
      <c r="H895" t="str">
        <f>IF(Table1[[#This Row],[Description]]="","",IF(Table1[[#This Row],[Currency]]=$Q$2,$R$2,HLOOKUP(Table1[[#This Row],[Date]],Funds!$C$10:$GV$11,2,FALSE)))</f>
        <v/>
      </c>
      <c r="I895" s="217" t="str">
        <f>IF(Table1[[#This Row],[Description]]="","",Table1[[#This Row],[Value]]/Table1[[#This Row],[Conversion]])</f>
        <v/>
      </c>
      <c r="J895" s="50" t="str">
        <f>IF(Table1[[#This Row],[Description]]="","",DATE(Table1[[#This Row],[Year]],Table1[[#This Row],[Month]],1))</f>
        <v/>
      </c>
    </row>
    <row r="896" spans="8:10" x14ac:dyDescent="0.25">
      <c r="H896" t="str">
        <f>IF(Table1[[#This Row],[Description]]="","",IF(Table1[[#This Row],[Currency]]=$Q$2,$R$2,HLOOKUP(Table1[[#This Row],[Date]],Funds!$C$10:$GV$11,2,FALSE)))</f>
        <v/>
      </c>
      <c r="I896" s="217" t="str">
        <f>IF(Table1[[#This Row],[Description]]="","",Table1[[#This Row],[Value]]/Table1[[#This Row],[Conversion]])</f>
        <v/>
      </c>
      <c r="J896" s="50" t="str">
        <f>IF(Table1[[#This Row],[Description]]="","",DATE(Table1[[#This Row],[Year]],Table1[[#This Row],[Month]],1))</f>
        <v/>
      </c>
    </row>
    <row r="897" spans="8:10" x14ac:dyDescent="0.25">
      <c r="H897" t="str">
        <f>IF(Table1[[#This Row],[Description]]="","",IF(Table1[[#This Row],[Currency]]=$Q$2,$R$2,HLOOKUP(Table1[[#This Row],[Date]],Funds!$C$10:$GV$11,2,FALSE)))</f>
        <v/>
      </c>
      <c r="I897" s="217" t="str">
        <f>IF(Table1[[#This Row],[Description]]="","",Table1[[#This Row],[Value]]/Table1[[#This Row],[Conversion]])</f>
        <v/>
      </c>
      <c r="J897" s="50" t="str">
        <f>IF(Table1[[#This Row],[Description]]="","",DATE(Table1[[#This Row],[Year]],Table1[[#This Row],[Month]],1))</f>
        <v/>
      </c>
    </row>
    <row r="898" spans="8:10" x14ac:dyDescent="0.25">
      <c r="H898" t="str">
        <f>IF(Table1[[#This Row],[Description]]="","",IF(Table1[[#This Row],[Currency]]=$Q$2,$R$2,HLOOKUP(Table1[[#This Row],[Date]],Funds!$C$10:$GV$11,2,FALSE)))</f>
        <v/>
      </c>
      <c r="I898" s="217" t="str">
        <f>IF(Table1[[#This Row],[Description]]="","",Table1[[#This Row],[Value]]/Table1[[#This Row],[Conversion]])</f>
        <v/>
      </c>
      <c r="J898" s="50" t="str">
        <f>IF(Table1[[#This Row],[Description]]="","",DATE(Table1[[#This Row],[Year]],Table1[[#This Row],[Month]],1))</f>
        <v/>
      </c>
    </row>
    <row r="899" spans="8:10" x14ac:dyDescent="0.25">
      <c r="H899" t="str">
        <f>IF(Table1[[#This Row],[Description]]="","",IF(Table1[[#This Row],[Currency]]=$Q$2,$R$2,HLOOKUP(Table1[[#This Row],[Date]],Funds!$C$10:$GV$11,2,FALSE)))</f>
        <v/>
      </c>
      <c r="I899" s="217" t="str">
        <f>IF(Table1[[#This Row],[Description]]="","",Table1[[#This Row],[Value]]/Table1[[#This Row],[Conversion]])</f>
        <v/>
      </c>
      <c r="J899" s="50" t="str">
        <f>IF(Table1[[#This Row],[Description]]="","",DATE(Table1[[#This Row],[Year]],Table1[[#This Row],[Month]],1))</f>
        <v/>
      </c>
    </row>
    <row r="900" spans="8:10" x14ac:dyDescent="0.25">
      <c r="H900" t="str">
        <f>IF(Table1[[#This Row],[Description]]="","",IF(Table1[[#This Row],[Currency]]=$Q$2,$R$2,HLOOKUP(Table1[[#This Row],[Date]],Funds!$C$10:$GV$11,2,FALSE)))</f>
        <v/>
      </c>
      <c r="I900" s="217" t="str">
        <f>IF(Table1[[#This Row],[Description]]="","",Table1[[#This Row],[Value]]/Table1[[#This Row],[Conversion]])</f>
        <v/>
      </c>
      <c r="J900" s="50" t="str">
        <f>IF(Table1[[#This Row],[Description]]="","",DATE(Table1[[#This Row],[Year]],Table1[[#This Row],[Month]],1))</f>
        <v/>
      </c>
    </row>
    <row r="901" spans="8:10" x14ac:dyDescent="0.25">
      <c r="H901" t="str">
        <f>IF(Table1[[#This Row],[Description]]="","",IF(Table1[[#This Row],[Currency]]=$Q$2,$R$2,HLOOKUP(Table1[[#This Row],[Date]],Funds!$C$10:$GV$11,2,FALSE)))</f>
        <v/>
      </c>
      <c r="I901" s="217" t="str">
        <f>IF(Table1[[#This Row],[Description]]="","",Table1[[#This Row],[Value]]/Table1[[#This Row],[Conversion]])</f>
        <v/>
      </c>
      <c r="J901" s="50" t="str">
        <f>IF(Table1[[#This Row],[Description]]="","",DATE(Table1[[#This Row],[Year]],Table1[[#This Row],[Month]],1))</f>
        <v/>
      </c>
    </row>
    <row r="902" spans="8:10" x14ac:dyDescent="0.25">
      <c r="H902" t="str">
        <f>IF(Table1[[#This Row],[Description]]="","",IF(Table1[[#This Row],[Currency]]=$Q$2,$R$2,HLOOKUP(Table1[[#This Row],[Date]],Funds!$C$10:$GV$11,2,FALSE)))</f>
        <v/>
      </c>
      <c r="I902" s="217" t="str">
        <f>IF(Table1[[#This Row],[Description]]="","",Table1[[#This Row],[Value]]/Table1[[#This Row],[Conversion]])</f>
        <v/>
      </c>
      <c r="J902" s="50" t="str">
        <f>IF(Table1[[#This Row],[Description]]="","",DATE(Table1[[#This Row],[Year]],Table1[[#This Row],[Month]],1))</f>
        <v/>
      </c>
    </row>
    <row r="903" spans="8:10" x14ac:dyDescent="0.25">
      <c r="H903" t="str">
        <f>IF(Table1[[#This Row],[Description]]="","",IF(Table1[[#This Row],[Currency]]=$Q$2,$R$2,HLOOKUP(Table1[[#This Row],[Date]],Funds!$C$10:$GV$11,2,FALSE)))</f>
        <v/>
      </c>
      <c r="I903" s="217" t="str">
        <f>IF(Table1[[#This Row],[Description]]="","",Table1[[#This Row],[Value]]/Table1[[#This Row],[Conversion]])</f>
        <v/>
      </c>
      <c r="J903" s="50" t="str">
        <f>IF(Table1[[#This Row],[Description]]="","",DATE(Table1[[#This Row],[Year]],Table1[[#This Row],[Month]],1))</f>
        <v/>
      </c>
    </row>
    <row r="904" spans="8:10" x14ac:dyDescent="0.25">
      <c r="H904" t="str">
        <f>IF(Table1[[#This Row],[Description]]="","",IF(Table1[[#This Row],[Currency]]=$Q$2,$R$2,HLOOKUP(Table1[[#This Row],[Date]],Funds!$C$10:$GV$11,2,FALSE)))</f>
        <v/>
      </c>
      <c r="I904" s="217" t="str">
        <f>IF(Table1[[#This Row],[Description]]="","",Table1[[#This Row],[Value]]/Table1[[#This Row],[Conversion]])</f>
        <v/>
      </c>
      <c r="J904" s="50" t="str">
        <f>IF(Table1[[#This Row],[Description]]="","",DATE(Table1[[#This Row],[Year]],Table1[[#This Row],[Month]],1))</f>
        <v/>
      </c>
    </row>
    <row r="905" spans="8:10" x14ac:dyDescent="0.25">
      <c r="H905" t="str">
        <f>IF(Table1[[#This Row],[Description]]="","",IF(Table1[[#This Row],[Currency]]=$Q$2,$R$2,HLOOKUP(Table1[[#This Row],[Date]],Funds!$C$10:$GV$11,2,FALSE)))</f>
        <v/>
      </c>
      <c r="I905" s="217" t="str">
        <f>IF(Table1[[#This Row],[Description]]="","",Table1[[#This Row],[Value]]/Table1[[#This Row],[Conversion]])</f>
        <v/>
      </c>
      <c r="J905" s="50" t="str">
        <f>IF(Table1[[#This Row],[Description]]="","",DATE(Table1[[#This Row],[Year]],Table1[[#This Row],[Month]],1))</f>
        <v/>
      </c>
    </row>
    <row r="906" spans="8:10" x14ac:dyDescent="0.25">
      <c r="H906" t="str">
        <f>IF(Table1[[#This Row],[Description]]="","",IF(Table1[[#This Row],[Currency]]=$Q$2,$R$2,HLOOKUP(Table1[[#This Row],[Date]],Funds!$C$10:$GV$11,2,FALSE)))</f>
        <v/>
      </c>
      <c r="I906" s="217" t="str">
        <f>IF(Table1[[#This Row],[Description]]="","",Table1[[#This Row],[Value]]/Table1[[#This Row],[Conversion]])</f>
        <v/>
      </c>
      <c r="J906" s="50" t="str">
        <f>IF(Table1[[#This Row],[Description]]="","",DATE(Table1[[#This Row],[Year]],Table1[[#This Row],[Month]],1))</f>
        <v/>
      </c>
    </row>
    <row r="907" spans="8:10" x14ac:dyDescent="0.25">
      <c r="H907" t="str">
        <f>IF(Table1[[#This Row],[Description]]="","",IF(Table1[[#This Row],[Currency]]=$Q$2,$R$2,HLOOKUP(Table1[[#This Row],[Date]],Funds!$C$10:$GV$11,2,FALSE)))</f>
        <v/>
      </c>
      <c r="I907" s="217" t="str">
        <f>IF(Table1[[#This Row],[Description]]="","",Table1[[#This Row],[Value]]/Table1[[#This Row],[Conversion]])</f>
        <v/>
      </c>
      <c r="J907" s="50" t="str">
        <f>IF(Table1[[#This Row],[Description]]="","",DATE(Table1[[#This Row],[Year]],Table1[[#This Row],[Month]],1))</f>
        <v/>
      </c>
    </row>
    <row r="908" spans="8:10" x14ac:dyDescent="0.25">
      <c r="H908" t="str">
        <f>IF(Table1[[#This Row],[Description]]="","",IF(Table1[[#This Row],[Currency]]=$Q$2,$R$2,HLOOKUP(Table1[[#This Row],[Date]],Funds!$C$10:$GV$11,2,FALSE)))</f>
        <v/>
      </c>
      <c r="I908" s="217" t="str">
        <f>IF(Table1[[#This Row],[Description]]="","",Table1[[#This Row],[Value]]/Table1[[#This Row],[Conversion]])</f>
        <v/>
      </c>
      <c r="J908" s="50" t="str">
        <f>IF(Table1[[#This Row],[Description]]="","",DATE(Table1[[#This Row],[Year]],Table1[[#This Row],[Month]],1))</f>
        <v/>
      </c>
    </row>
    <row r="909" spans="8:10" x14ac:dyDescent="0.25">
      <c r="H909" t="str">
        <f>IF(Table1[[#This Row],[Description]]="","",IF(Table1[[#This Row],[Currency]]=$Q$2,$R$2,HLOOKUP(Table1[[#This Row],[Date]],Funds!$C$10:$GV$11,2,FALSE)))</f>
        <v/>
      </c>
      <c r="I909" s="217" t="str">
        <f>IF(Table1[[#This Row],[Description]]="","",Table1[[#This Row],[Value]]/Table1[[#This Row],[Conversion]])</f>
        <v/>
      </c>
      <c r="J909" s="50" t="str">
        <f>IF(Table1[[#This Row],[Description]]="","",DATE(Table1[[#This Row],[Year]],Table1[[#This Row],[Month]],1))</f>
        <v/>
      </c>
    </row>
    <row r="910" spans="8:10" x14ac:dyDescent="0.25">
      <c r="H910" t="str">
        <f>IF(Table1[[#This Row],[Description]]="","",IF(Table1[[#This Row],[Currency]]=$Q$2,$R$2,HLOOKUP(Table1[[#This Row],[Date]],Funds!$C$10:$GV$11,2,FALSE)))</f>
        <v/>
      </c>
      <c r="I910" s="217" t="str">
        <f>IF(Table1[[#This Row],[Description]]="","",Table1[[#This Row],[Value]]/Table1[[#This Row],[Conversion]])</f>
        <v/>
      </c>
      <c r="J910" s="50" t="str">
        <f>IF(Table1[[#This Row],[Description]]="","",DATE(Table1[[#This Row],[Year]],Table1[[#This Row],[Month]],1))</f>
        <v/>
      </c>
    </row>
    <row r="911" spans="8:10" x14ac:dyDescent="0.25">
      <c r="H911" t="str">
        <f>IF(Table1[[#This Row],[Description]]="","",IF(Table1[[#This Row],[Currency]]=$Q$2,$R$2,HLOOKUP(Table1[[#This Row],[Date]],Funds!$C$10:$GV$11,2,FALSE)))</f>
        <v/>
      </c>
      <c r="I911" s="217" t="str">
        <f>IF(Table1[[#This Row],[Description]]="","",Table1[[#This Row],[Value]]/Table1[[#This Row],[Conversion]])</f>
        <v/>
      </c>
      <c r="J911" s="50" t="str">
        <f>IF(Table1[[#This Row],[Description]]="","",DATE(Table1[[#This Row],[Year]],Table1[[#This Row],[Month]],1))</f>
        <v/>
      </c>
    </row>
    <row r="912" spans="8:10" x14ac:dyDescent="0.25">
      <c r="H912" t="str">
        <f>IF(Table1[[#This Row],[Description]]="","",IF(Table1[[#This Row],[Currency]]=$Q$2,$R$2,HLOOKUP(Table1[[#This Row],[Date]],Funds!$C$10:$GV$11,2,FALSE)))</f>
        <v/>
      </c>
      <c r="I912" s="217" t="str">
        <f>IF(Table1[[#This Row],[Description]]="","",Table1[[#This Row],[Value]]/Table1[[#This Row],[Conversion]])</f>
        <v/>
      </c>
      <c r="J912" s="50" t="str">
        <f>IF(Table1[[#This Row],[Description]]="","",DATE(Table1[[#This Row],[Year]],Table1[[#This Row],[Month]],1))</f>
        <v/>
      </c>
    </row>
    <row r="913" spans="8:10" x14ac:dyDescent="0.25">
      <c r="H913" t="str">
        <f>IF(Table1[[#This Row],[Description]]="","",IF(Table1[[#This Row],[Currency]]=$Q$2,$R$2,HLOOKUP(Table1[[#This Row],[Date]],Funds!$C$10:$GV$11,2,FALSE)))</f>
        <v/>
      </c>
      <c r="I913" s="217" t="str">
        <f>IF(Table1[[#This Row],[Description]]="","",Table1[[#This Row],[Value]]/Table1[[#This Row],[Conversion]])</f>
        <v/>
      </c>
      <c r="J913" s="50" t="str">
        <f>IF(Table1[[#This Row],[Description]]="","",DATE(Table1[[#This Row],[Year]],Table1[[#This Row],[Month]],1))</f>
        <v/>
      </c>
    </row>
    <row r="914" spans="8:10" x14ac:dyDescent="0.25">
      <c r="H914" t="str">
        <f>IF(Table1[[#This Row],[Description]]="","",IF(Table1[[#This Row],[Currency]]=$Q$2,$R$2,HLOOKUP(Table1[[#This Row],[Date]],Funds!$C$10:$GV$11,2,FALSE)))</f>
        <v/>
      </c>
      <c r="I914" s="217" t="str">
        <f>IF(Table1[[#This Row],[Description]]="","",Table1[[#This Row],[Value]]/Table1[[#This Row],[Conversion]])</f>
        <v/>
      </c>
      <c r="J914" s="50" t="str">
        <f>IF(Table1[[#This Row],[Description]]="","",DATE(Table1[[#This Row],[Year]],Table1[[#This Row],[Month]],1))</f>
        <v/>
      </c>
    </row>
    <row r="915" spans="8:10" x14ac:dyDescent="0.25">
      <c r="H915" t="str">
        <f>IF(Table1[[#This Row],[Description]]="","",IF(Table1[[#This Row],[Currency]]=$Q$2,$R$2,HLOOKUP(Table1[[#This Row],[Date]],Funds!$C$10:$GV$11,2,FALSE)))</f>
        <v/>
      </c>
      <c r="I915" s="217" t="str">
        <f>IF(Table1[[#This Row],[Description]]="","",Table1[[#This Row],[Value]]/Table1[[#This Row],[Conversion]])</f>
        <v/>
      </c>
      <c r="J915" s="50" t="str">
        <f>IF(Table1[[#This Row],[Description]]="","",DATE(Table1[[#This Row],[Year]],Table1[[#This Row],[Month]],1))</f>
        <v/>
      </c>
    </row>
    <row r="916" spans="8:10" x14ac:dyDescent="0.25">
      <c r="H916" t="str">
        <f>IF(Table1[[#This Row],[Description]]="","",IF(Table1[[#This Row],[Currency]]=$Q$2,$R$2,HLOOKUP(Table1[[#This Row],[Date]],Funds!$C$10:$GV$11,2,FALSE)))</f>
        <v/>
      </c>
      <c r="I916" s="217" t="str">
        <f>IF(Table1[[#This Row],[Description]]="","",Table1[[#This Row],[Value]]/Table1[[#This Row],[Conversion]])</f>
        <v/>
      </c>
      <c r="J916" s="50" t="str">
        <f>IF(Table1[[#This Row],[Description]]="","",DATE(Table1[[#This Row],[Year]],Table1[[#This Row],[Month]],1))</f>
        <v/>
      </c>
    </row>
    <row r="917" spans="8:10" x14ac:dyDescent="0.25">
      <c r="H917" t="str">
        <f>IF(Table1[[#This Row],[Description]]="","",IF(Table1[[#This Row],[Currency]]=$Q$2,$R$2,HLOOKUP(Table1[[#This Row],[Date]],Funds!$C$10:$GV$11,2,FALSE)))</f>
        <v/>
      </c>
      <c r="I917" s="217" t="str">
        <f>IF(Table1[[#This Row],[Description]]="","",Table1[[#This Row],[Value]]/Table1[[#This Row],[Conversion]])</f>
        <v/>
      </c>
      <c r="J917" s="50" t="str">
        <f>IF(Table1[[#This Row],[Description]]="","",DATE(Table1[[#This Row],[Year]],Table1[[#This Row],[Month]],1))</f>
        <v/>
      </c>
    </row>
    <row r="918" spans="8:10" x14ac:dyDescent="0.25">
      <c r="H918" t="str">
        <f>IF(Table1[[#This Row],[Description]]="","",IF(Table1[[#This Row],[Currency]]=$Q$2,$R$2,HLOOKUP(Table1[[#This Row],[Date]],Funds!$C$10:$GV$11,2,FALSE)))</f>
        <v/>
      </c>
      <c r="I918" s="217" t="str">
        <f>IF(Table1[[#This Row],[Description]]="","",Table1[[#This Row],[Value]]/Table1[[#This Row],[Conversion]])</f>
        <v/>
      </c>
      <c r="J918" s="50" t="str">
        <f>IF(Table1[[#This Row],[Description]]="","",DATE(Table1[[#This Row],[Year]],Table1[[#This Row],[Month]],1))</f>
        <v/>
      </c>
    </row>
    <row r="919" spans="8:10" x14ac:dyDescent="0.25">
      <c r="H919" t="str">
        <f>IF(Table1[[#This Row],[Description]]="","",IF(Table1[[#This Row],[Currency]]=$Q$2,$R$2,HLOOKUP(Table1[[#This Row],[Date]],Funds!$C$10:$GV$11,2,FALSE)))</f>
        <v/>
      </c>
      <c r="I919" s="217" t="str">
        <f>IF(Table1[[#This Row],[Description]]="","",Table1[[#This Row],[Value]]/Table1[[#This Row],[Conversion]])</f>
        <v/>
      </c>
      <c r="J919" s="50" t="str">
        <f>IF(Table1[[#This Row],[Description]]="","",DATE(Table1[[#This Row],[Year]],Table1[[#This Row],[Month]],1))</f>
        <v/>
      </c>
    </row>
    <row r="920" spans="8:10" x14ac:dyDescent="0.25">
      <c r="H920" t="str">
        <f>IF(Table1[[#This Row],[Description]]="","",IF(Table1[[#This Row],[Currency]]=$Q$2,$R$2,HLOOKUP(Table1[[#This Row],[Date]],Funds!$C$10:$GV$11,2,FALSE)))</f>
        <v/>
      </c>
      <c r="I920" s="217" t="str">
        <f>IF(Table1[[#This Row],[Description]]="","",Table1[[#This Row],[Value]]/Table1[[#This Row],[Conversion]])</f>
        <v/>
      </c>
      <c r="J920" s="50" t="str">
        <f>IF(Table1[[#This Row],[Description]]="","",DATE(Table1[[#This Row],[Year]],Table1[[#This Row],[Month]],1))</f>
        <v/>
      </c>
    </row>
    <row r="921" spans="8:10" x14ac:dyDescent="0.25">
      <c r="H921" t="str">
        <f>IF(Table1[[#This Row],[Description]]="","",IF(Table1[[#This Row],[Currency]]=$Q$2,$R$2,HLOOKUP(Table1[[#This Row],[Date]],Funds!$C$10:$GV$11,2,FALSE)))</f>
        <v/>
      </c>
      <c r="I921" s="217" t="str">
        <f>IF(Table1[[#This Row],[Description]]="","",Table1[[#This Row],[Value]]/Table1[[#This Row],[Conversion]])</f>
        <v/>
      </c>
      <c r="J921" s="50" t="str">
        <f>IF(Table1[[#This Row],[Description]]="","",DATE(Table1[[#This Row],[Year]],Table1[[#This Row],[Month]],1))</f>
        <v/>
      </c>
    </row>
    <row r="922" spans="8:10" x14ac:dyDescent="0.25">
      <c r="H922" t="str">
        <f>IF(Table1[[#This Row],[Description]]="","",IF(Table1[[#This Row],[Currency]]=$Q$2,$R$2,HLOOKUP(Table1[[#This Row],[Date]],Funds!$C$10:$GV$11,2,FALSE)))</f>
        <v/>
      </c>
      <c r="I922" s="217" t="str">
        <f>IF(Table1[[#This Row],[Description]]="","",Table1[[#This Row],[Value]]/Table1[[#This Row],[Conversion]])</f>
        <v/>
      </c>
      <c r="J922" s="50" t="str">
        <f>IF(Table1[[#This Row],[Description]]="","",DATE(Table1[[#This Row],[Year]],Table1[[#This Row],[Month]],1))</f>
        <v/>
      </c>
    </row>
    <row r="923" spans="8:10" x14ac:dyDescent="0.25">
      <c r="H923" t="str">
        <f>IF(Table1[[#This Row],[Description]]="","",IF(Table1[[#This Row],[Currency]]=$Q$2,$R$2,HLOOKUP(Table1[[#This Row],[Date]],Funds!$C$10:$GV$11,2,FALSE)))</f>
        <v/>
      </c>
      <c r="I923" s="217" t="str">
        <f>IF(Table1[[#This Row],[Description]]="","",Table1[[#This Row],[Value]]/Table1[[#This Row],[Conversion]])</f>
        <v/>
      </c>
      <c r="J923" s="50" t="str">
        <f>IF(Table1[[#This Row],[Description]]="","",DATE(Table1[[#This Row],[Year]],Table1[[#This Row],[Month]],1))</f>
        <v/>
      </c>
    </row>
    <row r="924" spans="8:10" x14ac:dyDescent="0.25">
      <c r="H924" t="str">
        <f>IF(Table1[[#This Row],[Description]]="","",IF(Table1[[#This Row],[Currency]]=$Q$2,$R$2,HLOOKUP(Table1[[#This Row],[Date]],Funds!$C$10:$GV$11,2,FALSE)))</f>
        <v/>
      </c>
      <c r="I924" s="217" t="str">
        <f>IF(Table1[[#This Row],[Description]]="","",Table1[[#This Row],[Value]]/Table1[[#This Row],[Conversion]])</f>
        <v/>
      </c>
      <c r="J924" s="50" t="str">
        <f>IF(Table1[[#This Row],[Description]]="","",DATE(Table1[[#This Row],[Year]],Table1[[#This Row],[Month]],1))</f>
        <v/>
      </c>
    </row>
    <row r="925" spans="8:10" x14ac:dyDescent="0.25">
      <c r="H925" t="str">
        <f>IF(Table1[[#This Row],[Description]]="","",IF(Table1[[#This Row],[Currency]]=$Q$2,$R$2,HLOOKUP(Table1[[#This Row],[Date]],Funds!$C$10:$GV$11,2,FALSE)))</f>
        <v/>
      </c>
      <c r="I925" s="217" t="str">
        <f>IF(Table1[[#This Row],[Description]]="","",Table1[[#This Row],[Value]]/Table1[[#This Row],[Conversion]])</f>
        <v/>
      </c>
      <c r="J925" s="50" t="str">
        <f>IF(Table1[[#This Row],[Description]]="","",DATE(Table1[[#This Row],[Year]],Table1[[#This Row],[Month]],1))</f>
        <v/>
      </c>
    </row>
    <row r="926" spans="8:10" x14ac:dyDescent="0.25">
      <c r="H926" t="str">
        <f>IF(Table1[[#This Row],[Description]]="","",IF(Table1[[#This Row],[Currency]]=$Q$2,$R$2,HLOOKUP(Table1[[#This Row],[Date]],Funds!$C$10:$GV$11,2,FALSE)))</f>
        <v/>
      </c>
      <c r="I926" s="217" t="str">
        <f>IF(Table1[[#This Row],[Description]]="","",Table1[[#This Row],[Value]]/Table1[[#This Row],[Conversion]])</f>
        <v/>
      </c>
      <c r="J926" s="50" t="str">
        <f>IF(Table1[[#This Row],[Description]]="","",DATE(Table1[[#This Row],[Year]],Table1[[#This Row],[Month]],1))</f>
        <v/>
      </c>
    </row>
    <row r="927" spans="8:10" x14ac:dyDescent="0.25">
      <c r="H927" t="str">
        <f>IF(Table1[[#This Row],[Description]]="","",IF(Table1[[#This Row],[Currency]]=$Q$2,$R$2,HLOOKUP(Table1[[#This Row],[Date]],Funds!$C$10:$GV$11,2,FALSE)))</f>
        <v/>
      </c>
      <c r="I927" s="217" t="str">
        <f>IF(Table1[[#This Row],[Description]]="","",Table1[[#This Row],[Value]]/Table1[[#This Row],[Conversion]])</f>
        <v/>
      </c>
      <c r="J927" s="50" t="str">
        <f>IF(Table1[[#This Row],[Description]]="","",DATE(Table1[[#This Row],[Year]],Table1[[#This Row],[Month]],1))</f>
        <v/>
      </c>
    </row>
    <row r="928" spans="8:10" x14ac:dyDescent="0.25">
      <c r="H928" t="str">
        <f>IF(Table1[[#This Row],[Description]]="","",IF(Table1[[#This Row],[Currency]]=$Q$2,$R$2,HLOOKUP(Table1[[#This Row],[Date]],Funds!$C$10:$GV$11,2,FALSE)))</f>
        <v/>
      </c>
      <c r="I928" s="217" t="str">
        <f>IF(Table1[[#This Row],[Description]]="","",Table1[[#This Row],[Value]]/Table1[[#This Row],[Conversion]])</f>
        <v/>
      </c>
      <c r="J928" s="50" t="str">
        <f>IF(Table1[[#This Row],[Description]]="","",DATE(Table1[[#This Row],[Year]],Table1[[#This Row],[Month]],1))</f>
        <v/>
      </c>
    </row>
    <row r="929" spans="8:10" x14ac:dyDescent="0.25">
      <c r="H929" t="str">
        <f>IF(Table1[[#This Row],[Description]]="","",IF(Table1[[#This Row],[Currency]]=$Q$2,$R$2,HLOOKUP(Table1[[#This Row],[Date]],Funds!$C$10:$GV$11,2,FALSE)))</f>
        <v/>
      </c>
      <c r="I929" s="217" t="str">
        <f>IF(Table1[[#This Row],[Description]]="","",Table1[[#This Row],[Value]]/Table1[[#This Row],[Conversion]])</f>
        <v/>
      </c>
      <c r="J929" s="50" t="str">
        <f>IF(Table1[[#This Row],[Description]]="","",DATE(Table1[[#This Row],[Year]],Table1[[#This Row],[Month]],1))</f>
        <v/>
      </c>
    </row>
    <row r="930" spans="8:10" x14ac:dyDescent="0.25">
      <c r="H930" t="str">
        <f>IF(Table1[[#This Row],[Description]]="","",IF(Table1[[#This Row],[Currency]]=$Q$2,$R$2,HLOOKUP(Table1[[#This Row],[Date]],Funds!$C$10:$GV$11,2,FALSE)))</f>
        <v/>
      </c>
      <c r="I930" s="217" t="str">
        <f>IF(Table1[[#This Row],[Description]]="","",Table1[[#This Row],[Value]]/Table1[[#This Row],[Conversion]])</f>
        <v/>
      </c>
      <c r="J930" s="50" t="str">
        <f>IF(Table1[[#This Row],[Description]]="","",DATE(Table1[[#This Row],[Year]],Table1[[#This Row],[Month]],1))</f>
        <v/>
      </c>
    </row>
    <row r="931" spans="8:10" x14ac:dyDescent="0.25">
      <c r="H931" t="str">
        <f>IF(Table1[[#This Row],[Description]]="","",IF(Table1[[#This Row],[Currency]]=$Q$2,$R$2,HLOOKUP(Table1[[#This Row],[Date]],Funds!$C$10:$GV$11,2,FALSE)))</f>
        <v/>
      </c>
      <c r="I931" s="217" t="str">
        <f>IF(Table1[[#This Row],[Description]]="","",Table1[[#This Row],[Value]]/Table1[[#This Row],[Conversion]])</f>
        <v/>
      </c>
      <c r="J931" s="50" t="str">
        <f>IF(Table1[[#This Row],[Description]]="","",DATE(Table1[[#This Row],[Year]],Table1[[#This Row],[Month]],1))</f>
        <v/>
      </c>
    </row>
    <row r="932" spans="8:10" x14ac:dyDescent="0.25">
      <c r="H932" t="str">
        <f>IF(Table1[[#This Row],[Description]]="","",IF(Table1[[#This Row],[Currency]]=$Q$2,$R$2,HLOOKUP(Table1[[#This Row],[Date]],Funds!$C$10:$GV$11,2,FALSE)))</f>
        <v/>
      </c>
      <c r="I932" s="217" t="str">
        <f>IF(Table1[[#This Row],[Description]]="","",Table1[[#This Row],[Value]]/Table1[[#This Row],[Conversion]])</f>
        <v/>
      </c>
      <c r="J932" s="50" t="str">
        <f>IF(Table1[[#This Row],[Description]]="","",DATE(Table1[[#This Row],[Year]],Table1[[#This Row],[Month]],1))</f>
        <v/>
      </c>
    </row>
    <row r="933" spans="8:10" x14ac:dyDescent="0.25">
      <c r="H933" t="str">
        <f>IF(Table1[[#This Row],[Description]]="","",IF(Table1[[#This Row],[Currency]]=$Q$2,$R$2,HLOOKUP(Table1[[#This Row],[Date]],Funds!$C$10:$GV$11,2,FALSE)))</f>
        <v/>
      </c>
      <c r="I933" s="217" t="str">
        <f>IF(Table1[[#This Row],[Description]]="","",Table1[[#This Row],[Value]]/Table1[[#This Row],[Conversion]])</f>
        <v/>
      </c>
      <c r="J933" s="50" t="str">
        <f>IF(Table1[[#This Row],[Description]]="","",DATE(Table1[[#This Row],[Year]],Table1[[#This Row],[Month]],1))</f>
        <v/>
      </c>
    </row>
    <row r="934" spans="8:10" x14ac:dyDescent="0.25">
      <c r="H934" t="str">
        <f>IF(Table1[[#This Row],[Description]]="","",IF(Table1[[#This Row],[Currency]]=$Q$2,$R$2,HLOOKUP(Table1[[#This Row],[Date]],Funds!$C$10:$GV$11,2,FALSE)))</f>
        <v/>
      </c>
      <c r="I934" s="217" t="str">
        <f>IF(Table1[[#This Row],[Description]]="","",Table1[[#This Row],[Value]]/Table1[[#This Row],[Conversion]])</f>
        <v/>
      </c>
      <c r="J934" s="50" t="str">
        <f>IF(Table1[[#This Row],[Description]]="","",DATE(Table1[[#This Row],[Year]],Table1[[#This Row],[Month]],1))</f>
        <v/>
      </c>
    </row>
    <row r="935" spans="8:10" x14ac:dyDescent="0.25">
      <c r="H935" t="str">
        <f>IF(Table1[[#This Row],[Description]]="","",IF(Table1[[#This Row],[Currency]]=$Q$2,$R$2,HLOOKUP(Table1[[#This Row],[Date]],Funds!$C$10:$GV$11,2,FALSE)))</f>
        <v/>
      </c>
      <c r="I935" s="217" t="str">
        <f>IF(Table1[[#This Row],[Description]]="","",Table1[[#This Row],[Value]]/Table1[[#This Row],[Conversion]])</f>
        <v/>
      </c>
      <c r="J935" s="50" t="str">
        <f>IF(Table1[[#This Row],[Description]]="","",DATE(Table1[[#This Row],[Year]],Table1[[#This Row],[Month]],1))</f>
        <v/>
      </c>
    </row>
    <row r="936" spans="8:10" x14ac:dyDescent="0.25">
      <c r="H936" t="str">
        <f>IF(Table1[[#This Row],[Description]]="","",IF(Table1[[#This Row],[Currency]]=$Q$2,$R$2,HLOOKUP(Table1[[#This Row],[Date]],Funds!$C$10:$GV$11,2,FALSE)))</f>
        <v/>
      </c>
      <c r="I936" s="217" t="str">
        <f>IF(Table1[[#This Row],[Description]]="","",Table1[[#This Row],[Value]]/Table1[[#This Row],[Conversion]])</f>
        <v/>
      </c>
      <c r="J936" s="50" t="str">
        <f>IF(Table1[[#This Row],[Description]]="","",DATE(Table1[[#This Row],[Year]],Table1[[#This Row],[Month]],1))</f>
        <v/>
      </c>
    </row>
    <row r="937" spans="8:10" x14ac:dyDescent="0.25">
      <c r="H937" t="str">
        <f>IF(Table1[[#This Row],[Description]]="","",IF(Table1[[#This Row],[Currency]]=$Q$2,$R$2,HLOOKUP(Table1[[#This Row],[Date]],Funds!$C$10:$GV$11,2,FALSE)))</f>
        <v/>
      </c>
      <c r="I937" s="217" t="str">
        <f>IF(Table1[[#This Row],[Description]]="","",Table1[[#This Row],[Value]]/Table1[[#This Row],[Conversion]])</f>
        <v/>
      </c>
      <c r="J937" s="50" t="str">
        <f>IF(Table1[[#This Row],[Description]]="","",DATE(Table1[[#This Row],[Year]],Table1[[#This Row],[Month]],1))</f>
        <v/>
      </c>
    </row>
    <row r="938" spans="8:10" x14ac:dyDescent="0.25">
      <c r="H938" t="str">
        <f>IF(Table1[[#This Row],[Description]]="","",IF(Table1[[#This Row],[Currency]]=$Q$2,$R$2,HLOOKUP(Table1[[#This Row],[Date]],Funds!$C$10:$GV$11,2,FALSE)))</f>
        <v/>
      </c>
      <c r="I938" s="217" t="str">
        <f>IF(Table1[[#This Row],[Description]]="","",Table1[[#This Row],[Value]]/Table1[[#This Row],[Conversion]])</f>
        <v/>
      </c>
      <c r="J938" s="50" t="str">
        <f>IF(Table1[[#This Row],[Description]]="","",DATE(Table1[[#This Row],[Year]],Table1[[#This Row],[Month]],1))</f>
        <v/>
      </c>
    </row>
    <row r="939" spans="8:10" x14ac:dyDescent="0.25">
      <c r="H939" t="str">
        <f>IF(Table1[[#This Row],[Description]]="","",IF(Table1[[#This Row],[Currency]]=$Q$2,$R$2,HLOOKUP(Table1[[#This Row],[Date]],Funds!$C$10:$GV$11,2,FALSE)))</f>
        <v/>
      </c>
      <c r="I939" s="217" t="str">
        <f>IF(Table1[[#This Row],[Description]]="","",Table1[[#This Row],[Value]]/Table1[[#This Row],[Conversion]])</f>
        <v/>
      </c>
      <c r="J939" s="50" t="str">
        <f>IF(Table1[[#This Row],[Description]]="","",DATE(Table1[[#This Row],[Year]],Table1[[#This Row],[Month]],1))</f>
        <v/>
      </c>
    </row>
    <row r="940" spans="8:10" x14ac:dyDescent="0.25">
      <c r="H940" t="str">
        <f>IF(Table1[[#This Row],[Description]]="","",IF(Table1[[#This Row],[Currency]]=$Q$2,$R$2,HLOOKUP(Table1[[#This Row],[Date]],Funds!$C$10:$GV$11,2,FALSE)))</f>
        <v/>
      </c>
      <c r="I940" s="217" t="str">
        <f>IF(Table1[[#This Row],[Description]]="","",Table1[[#This Row],[Value]]/Table1[[#This Row],[Conversion]])</f>
        <v/>
      </c>
      <c r="J940" s="50" t="str">
        <f>IF(Table1[[#This Row],[Description]]="","",DATE(Table1[[#This Row],[Year]],Table1[[#This Row],[Month]],1))</f>
        <v/>
      </c>
    </row>
    <row r="941" spans="8:10" x14ac:dyDescent="0.25">
      <c r="H941" t="str">
        <f>IF(Table1[[#This Row],[Description]]="","",IF(Table1[[#This Row],[Currency]]=$Q$2,$R$2,HLOOKUP(Table1[[#This Row],[Date]],Funds!$C$10:$GV$11,2,FALSE)))</f>
        <v/>
      </c>
      <c r="I941" s="217" t="str">
        <f>IF(Table1[[#This Row],[Description]]="","",Table1[[#This Row],[Value]]/Table1[[#This Row],[Conversion]])</f>
        <v/>
      </c>
      <c r="J941" s="50" t="str">
        <f>IF(Table1[[#This Row],[Description]]="","",DATE(Table1[[#This Row],[Year]],Table1[[#This Row],[Month]],1))</f>
        <v/>
      </c>
    </row>
    <row r="942" spans="8:10" x14ac:dyDescent="0.25">
      <c r="H942" t="str">
        <f>IF(Table1[[#This Row],[Description]]="","",IF(Table1[[#This Row],[Currency]]=$Q$2,$R$2,HLOOKUP(Table1[[#This Row],[Date]],Funds!$C$10:$GV$11,2,FALSE)))</f>
        <v/>
      </c>
      <c r="I942" s="217" t="str">
        <f>IF(Table1[[#This Row],[Description]]="","",Table1[[#This Row],[Value]]/Table1[[#This Row],[Conversion]])</f>
        <v/>
      </c>
      <c r="J942" s="50" t="str">
        <f>IF(Table1[[#This Row],[Description]]="","",DATE(Table1[[#This Row],[Year]],Table1[[#This Row],[Month]],1))</f>
        <v/>
      </c>
    </row>
    <row r="943" spans="8:10" x14ac:dyDescent="0.25">
      <c r="H943" t="str">
        <f>IF(Table1[[#This Row],[Description]]="","",IF(Table1[[#This Row],[Currency]]=$Q$2,$R$2,HLOOKUP(Table1[[#This Row],[Date]],Funds!$C$10:$GV$11,2,FALSE)))</f>
        <v/>
      </c>
      <c r="I943" s="217" t="str">
        <f>IF(Table1[[#This Row],[Description]]="","",Table1[[#This Row],[Value]]/Table1[[#This Row],[Conversion]])</f>
        <v/>
      </c>
      <c r="J943" s="50" t="str">
        <f>IF(Table1[[#This Row],[Description]]="","",DATE(Table1[[#This Row],[Year]],Table1[[#This Row],[Month]],1))</f>
        <v/>
      </c>
    </row>
    <row r="944" spans="8:10" x14ac:dyDescent="0.25">
      <c r="H944" t="str">
        <f>IF(Table1[[#This Row],[Description]]="","",IF(Table1[[#This Row],[Currency]]=$Q$2,$R$2,HLOOKUP(Table1[[#This Row],[Date]],Funds!$C$10:$GV$11,2,FALSE)))</f>
        <v/>
      </c>
      <c r="I944" s="217" t="str">
        <f>IF(Table1[[#This Row],[Description]]="","",Table1[[#This Row],[Value]]/Table1[[#This Row],[Conversion]])</f>
        <v/>
      </c>
      <c r="J944" s="50" t="str">
        <f>IF(Table1[[#This Row],[Description]]="","",DATE(Table1[[#This Row],[Year]],Table1[[#This Row],[Month]],1))</f>
        <v/>
      </c>
    </row>
    <row r="945" spans="8:10" x14ac:dyDescent="0.25">
      <c r="H945" t="str">
        <f>IF(Table1[[#This Row],[Description]]="","",IF(Table1[[#This Row],[Currency]]=$Q$2,$R$2,HLOOKUP(Table1[[#This Row],[Date]],Funds!$C$10:$GV$11,2,FALSE)))</f>
        <v/>
      </c>
      <c r="I945" s="217" t="str">
        <f>IF(Table1[[#This Row],[Description]]="","",Table1[[#This Row],[Value]]/Table1[[#This Row],[Conversion]])</f>
        <v/>
      </c>
      <c r="J945" s="50" t="str">
        <f>IF(Table1[[#This Row],[Description]]="","",DATE(Table1[[#This Row],[Year]],Table1[[#This Row],[Month]],1))</f>
        <v/>
      </c>
    </row>
    <row r="946" spans="8:10" x14ac:dyDescent="0.25">
      <c r="H946" t="str">
        <f>IF(Table1[[#This Row],[Description]]="","",IF(Table1[[#This Row],[Currency]]=$Q$2,$R$2,HLOOKUP(Table1[[#This Row],[Date]],Funds!$C$10:$GV$11,2,FALSE)))</f>
        <v/>
      </c>
      <c r="I946" s="217" t="str">
        <f>IF(Table1[[#This Row],[Description]]="","",Table1[[#This Row],[Value]]/Table1[[#This Row],[Conversion]])</f>
        <v/>
      </c>
      <c r="J946" s="50" t="str">
        <f>IF(Table1[[#This Row],[Description]]="","",DATE(Table1[[#This Row],[Year]],Table1[[#This Row],[Month]],1))</f>
        <v/>
      </c>
    </row>
    <row r="947" spans="8:10" x14ac:dyDescent="0.25">
      <c r="H947" t="str">
        <f>IF(Table1[[#This Row],[Description]]="","",IF(Table1[[#This Row],[Currency]]=$Q$2,$R$2,HLOOKUP(Table1[[#This Row],[Date]],Funds!$C$10:$GV$11,2,FALSE)))</f>
        <v/>
      </c>
      <c r="I947" s="217" t="str">
        <f>IF(Table1[[#This Row],[Description]]="","",Table1[[#This Row],[Value]]/Table1[[#This Row],[Conversion]])</f>
        <v/>
      </c>
      <c r="J947" s="50" t="str">
        <f>IF(Table1[[#This Row],[Description]]="","",DATE(Table1[[#This Row],[Year]],Table1[[#This Row],[Month]],1))</f>
        <v/>
      </c>
    </row>
    <row r="948" spans="8:10" x14ac:dyDescent="0.25">
      <c r="H948" t="str">
        <f>IF(Table1[[#This Row],[Description]]="","",IF(Table1[[#This Row],[Currency]]=$Q$2,$R$2,HLOOKUP(Table1[[#This Row],[Date]],Funds!$C$10:$GV$11,2,FALSE)))</f>
        <v/>
      </c>
      <c r="I948" s="217" t="str">
        <f>IF(Table1[[#This Row],[Description]]="","",Table1[[#This Row],[Value]]/Table1[[#This Row],[Conversion]])</f>
        <v/>
      </c>
      <c r="J948" s="50" t="str">
        <f>IF(Table1[[#This Row],[Description]]="","",DATE(Table1[[#This Row],[Year]],Table1[[#This Row],[Month]],1))</f>
        <v/>
      </c>
    </row>
    <row r="949" spans="8:10" x14ac:dyDescent="0.25">
      <c r="H949" t="str">
        <f>IF(Table1[[#This Row],[Description]]="","",IF(Table1[[#This Row],[Currency]]=$Q$2,$R$2,HLOOKUP(Table1[[#This Row],[Date]],Funds!$C$10:$GV$11,2,FALSE)))</f>
        <v/>
      </c>
      <c r="I949" s="217" t="str">
        <f>IF(Table1[[#This Row],[Description]]="","",Table1[[#This Row],[Value]]/Table1[[#This Row],[Conversion]])</f>
        <v/>
      </c>
      <c r="J949" s="50" t="str">
        <f>IF(Table1[[#This Row],[Description]]="","",DATE(Table1[[#This Row],[Year]],Table1[[#This Row],[Month]],1))</f>
        <v/>
      </c>
    </row>
    <row r="950" spans="8:10" x14ac:dyDescent="0.25">
      <c r="H950" t="str">
        <f>IF(Table1[[#This Row],[Description]]="","",IF(Table1[[#This Row],[Currency]]=$Q$2,$R$2,HLOOKUP(Table1[[#This Row],[Date]],Funds!$C$10:$GV$11,2,FALSE)))</f>
        <v/>
      </c>
      <c r="I950" s="217" t="str">
        <f>IF(Table1[[#This Row],[Description]]="","",Table1[[#This Row],[Value]]/Table1[[#This Row],[Conversion]])</f>
        <v/>
      </c>
      <c r="J950" s="50" t="str">
        <f>IF(Table1[[#This Row],[Description]]="","",DATE(Table1[[#This Row],[Year]],Table1[[#This Row],[Month]],1))</f>
        <v/>
      </c>
    </row>
    <row r="951" spans="8:10" x14ac:dyDescent="0.25">
      <c r="H951" t="str">
        <f>IF(Table1[[#This Row],[Description]]="","",IF(Table1[[#This Row],[Currency]]=$Q$2,$R$2,HLOOKUP(Table1[[#This Row],[Date]],Funds!$C$10:$GV$11,2,FALSE)))</f>
        <v/>
      </c>
      <c r="I951" s="217" t="str">
        <f>IF(Table1[[#This Row],[Description]]="","",Table1[[#This Row],[Value]]/Table1[[#This Row],[Conversion]])</f>
        <v/>
      </c>
      <c r="J951" s="50" t="str">
        <f>IF(Table1[[#This Row],[Description]]="","",DATE(Table1[[#This Row],[Year]],Table1[[#This Row],[Month]],1))</f>
        <v/>
      </c>
    </row>
    <row r="952" spans="8:10" x14ac:dyDescent="0.25">
      <c r="H952" t="str">
        <f>IF(Table1[[#This Row],[Description]]="","",IF(Table1[[#This Row],[Currency]]=$Q$2,$R$2,HLOOKUP(Table1[[#This Row],[Date]],Funds!$C$10:$GV$11,2,FALSE)))</f>
        <v/>
      </c>
      <c r="I952" s="217" t="str">
        <f>IF(Table1[[#This Row],[Description]]="","",Table1[[#This Row],[Value]]/Table1[[#This Row],[Conversion]])</f>
        <v/>
      </c>
      <c r="J952" s="50" t="str">
        <f>IF(Table1[[#This Row],[Description]]="","",DATE(Table1[[#This Row],[Year]],Table1[[#This Row],[Month]],1))</f>
        <v/>
      </c>
    </row>
    <row r="953" spans="8:10" x14ac:dyDescent="0.25">
      <c r="H953" t="str">
        <f>IF(Table1[[#This Row],[Description]]="","",IF(Table1[[#This Row],[Currency]]=$Q$2,$R$2,HLOOKUP(Table1[[#This Row],[Date]],Funds!$C$10:$GV$11,2,FALSE)))</f>
        <v/>
      </c>
      <c r="I953" s="217" t="str">
        <f>IF(Table1[[#This Row],[Description]]="","",Table1[[#This Row],[Value]]/Table1[[#This Row],[Conversion]])</f>
        <v/>
      </c>
      <c r="J953" s="50" t="str">
        <f>IF(Table1[[#This Row],[Description]]="","",DATE(Table1[[#This Row],[Year]],Table1[[#This Row],[Month]],1))</f>
        <v/>
      </c>
    </row>
    <row r="954" spans="8:10" x14ac:dyDescent="0.25">
      <c r="H954" t="str">
        <f>IF(Table1[[#This Row],[Description]]="","",IF(Table1[[#This Row],[Currency]]=$Q$2,$R$2,HLOOKUP(Table1[[#This Row],[Date]],Funds!$C$10:$GV$11,2,FALSE)))</f>
        <v/>
      </c>
      <c r="I954" s="217" t="str">
        <f>IF(Table1[[#This Row],[Description]]="","",Table1[[#This Row],[Value]]/Table1[[#This Row],[Conversion]])</f>
        <v/>
      </c>
      <c r="J954" s="50" t="str">
        <f>IF(Table1[[#This Row],[Description]]="","",DATE(Table1[[#This Row],[Year]],Table1[[#This Row],[Month]],1))</f>
        <v/>
      </c>
    </row>
    <row r="955" spans="8:10" x14ac:dyDescent="0.25">
      <c r="H955" t="str">
        <f>IF(Table1[[#This Row],[Description]]="","",IF(Table1[[#This Row],[Currency]]=$Q$2,$R$2,HLOOKUP(Table1[[#This Row],[Date]],Funds!$C$10:$GV$11,2,FALSE)))</f>
        <v/>
      </c>
      <c r="I955" s="217" t="str">
        <f>IF(Table1[[#This Row],[Description]]="","",Table1[[#This Row],[Value]]/Table1[[#This Row],[Conversion]])</f>
        <v/>
      </c>
      <c r="J955" s="50" t="str">
        <f>IF(Table1[[#This Row],[Description]]="","",DATE(Table1[[#This Row],[Year]],Table1[[#This Row],[Month]],1))</f>
        <v/>
      </c>
    </row>
    <row r="956" spans="8:10" x14ac:dyDescent="0.25">
      <c r="H956" t="str">
        <f>IF(Table1[[#This Row],[Description]]="","",IF(Table1[[#This Row],[Currency]]=$Q$2,$R$2,HLOOKUP(Table1[[#This Row],[Date]],Funds!$C$10:$GV$11,2,FALSE)))</f>
        <v/>
      </c>
      <c r="I956" s="217" t="str">
        <f>IF(Table1[[#This Row],[Description]]="","",Table1[[#This Row],[Value]]/Table1[[#This Row],[Conversion]])</f>
        <v/>
      </c>
      <c r="J956" s="50" t="str">
        <f>IF(Table1[[#This Row],[Description]]="","",DATE(Table1[[#This Row],[Year]],Table1[[#This Row],[Month]],1))</f>
        <v/>
      </c>
    </row>
    <row r="957" spans="8:10" x14ac:dyDescent="0.25">
      <c r="H957" t="str">
        <f>IF(Table1[[#This Row],[Description]]="","",IF(Table1[[#This Row],[Currency]]=$Q$2,$R$2,HLOOKUP(Table1[[#This Row],[Date]],Funds!$C$10:$GV$11,2,FALSE)))</f>
        <v/>
      </c>
      <c r="I957" s="217" t="str">
        <f>IF(Table1[[#This Row],[Description]]="","",Table1[[#This Row],[Value]]/Table1[[#This Row],[Conversion]])</f>
        <v/>
      </c>
      <c r="J957" s="50" t="str">
        <f>IF(Table1[[#This Row],[Description]]="","",DATE(Table1[[#This Row],[Year]],Table1[[#This Row],[Month]],1))</f>
        <v/>
      </c>
    </row>
    <row r="958" spans="8:10" x14ac:dyDescent="0.25">
      <c r="H958" t="str">
        <f>IF(Table1[[#This Row],[Description]]="","",IF(Table1[[#This Row],[Currency]]=$Q$2,$R$2,HLOOKUP(Table1[[#This Row],[Date]],Funds!$C$10:$GV$11,2,FALSE)))</f>
        <v/>
      </c>
      <c r="I958" s="217" t="str">
        <f>IF(Table1[[#This Row],[Description]]="","",Table1[[#This Row],[Value]]/Table1[[#This Row],[Conversion]])</f>
        <v/>
      </c>
      <c r="J958" s="50" t="str">
        <f>IF(Table1[[#This Row],[Description]]="","",DATE(Table1[[#This Row],[Year]],Table1[[#This Row],[Month]],1))</f>
        <v/>
      </c>
    </row>
    <row r="959" spans="8:10" x14ac:dyDescent="0.25">
      <c r="H959" t="str">
        <f>IF(Table1[[#This Row],[Description]]="","",IF(Table1[[#This Row],[Currency]]=$Q$2,$R$2,HLOOKUP(Table1[[#This Row],[Date]],Funds!$C$10:$GV$11,2,FALSE)))</f>
        <v/>
      </c>
      <c r="I959" s="217" t="str">
        <f>IF(Table1[[#This Row],[Description]]="","",Table1[[#This Row],[Value]]/Table1[[#This Row],[Conversion]])</f>
        <v/>
      </c>
      <c r="J959" s="50" t="str">
        <f>IF(Table1[[#This Row],[Description]]="","",DATE(Table1[[#This Row],[Year]],Table1[[#This Row],[Month]],1))</f>
        <v/>
      </c>
    </row>
    <row r="960" spans="8:10" x14ac:dyDescent="0.25">
      <c r="H960" t="str">
        <f>IF(Table1[[#This Row],[Description]]="","",IF(Table1[[#This Row],[Currency]]=$Q$2,$R$2,HLOOKUP(Table1[[#This Row],[Date]],Funds!$C$10:$GV$11,2,FALSE)))</f>
        <v/>
      </c>
      <c r="I960" s="217" t="str">
        <f>IF(Table1[[#This Row],[Description]]="","",Table1[[#This Row],[Value]]/Table1[[#This Row],[Conversion]])</f>
        <v/>
      </c>
      <c r="J960" s="50" t="str">
        <f>IF(Table1[[#This Row],[Description]]="","",DATE(Table1[[#This Row],[Year]],Table1[[#This Row],[Month]],1))</f>
        <v/>
      </c>
    </row>
    <row r="961" spans="8:10" x14ac:dyDescent="0.25">
      <c r="H961" t="str">
        <f>IF(Table1[[#This Row],[Description]]="","",IF(Table1[[#This Row],[Currency]]=$Q$2,$R$2,HLOOKUP(Table1[[#This Row],[Date]],Funds!$C$10:$GV$11,2,FALSE)))</f>
        <v/>
      </c>
      <c r="I961" s="217" t="str">
        <f>IF(Table1[[#This Row],[Description]]="","",Table1[[#This Row],[Value]]/Table1[[#This Row],[Conversion]])</f>
        <v/>
      </c>
      <c r="J961" s="50" t="str">
        <f>IF(Table1[[#This Row],[Description]]="","",DATE(Table1[[#This Row],[Year]],Table1[[#This Row],[Month]],1))</f>
        <v/>
      </c>
    </row>
    <row r="962" spans="8:10" x14ac:dyDescent="0.25">
      <c r="H962" t="str">
        <f>IF(Table1[[#This Row],[Description]]="","",IF(Table1[[#This Row],[Currency]]=$Q$2,$R$2,HLOOKUP(Table1[[#This Row],[Date]],Funds!$C$10:$GV$11,2,FALSE)))</f>
        <v/>
      </c>
      <c r="I962" s="217" t="str">
        <f>IF(Table1[[#This Row],[Description]]="","",Table1[[#This Row],[Value]]/Table1[[#This Row],[Conversion]])</f>
        <v/>
      </c>
      <c r="J962" s="50" t="str">
        <f>IF(Table1[[#This Row],[Description]]="","",DATE(Table1[[#This Row],[Year]],Table1[[#This Row],[Month]],1))</f>
        <v/>
      </c>
    </row>
    <row r="963" spans="8:10" x14ac:dyDescent="0.25">
      <c r="H963" t="str">
        <f>IF(Table1[[#This Row],[Description]]="","",IF(Table1[[#This Row],[Currency]]=$Q$2,$R$2,HLOOKUP(Table1[[#This Row],[Date]],Funds!$C$10:$GV$11,2,FALSE)))</f>
        <v/>
      </c>
      <c r="I963" s="217" t="str">
        <f>IF(Table1[[#This Row],[Description]]="","",Table1[[#This Row],[Value]]/Table1[[#This Row],[Conversion]])</f>
        <v/>
      </c>
      <c r="J963" s="50" t="str">
        <f>IF(Table1[[#This Row],[Description]]="","",DATE(Table1[[#This Row],[Year]],Table1[[#This Row],[Month]],1))</f>
        <v/>
      </c>
    </row>
    <row r="964" spans="8:10" x14ac:dyDescent="0.25">
      <c r="H964" t="str">
        <f>IF(Table1[[#This Row],[Description]]="","",IF(Table1[[#This Row],[Currency]]=$Q$2,$R$2,HLOOKUP(Table1[[#This Row],[Date]],Funds!$C$10:$GV$11,2,FALSE)))</f>
        <v/>
      </c>
      <c r="I964" s="217" t="str">
        <f>IF(Table1[[#This Row],[Description]]="","",Table1[[#This Row],[Value]]/Table1[[#This Row],[Conversion]])</f>
        <v/>
      </c>
      <c r="J964" s="50" t="str">
        <f>IF(Table1[[#This Row],[Description]]="","",DATE(Table1[[#This Row],[Year]],Table1[[#This Row],[Month]],1))</f>
        <v/>
      </c>
    </row>
    <row r="965" spans="8:10" x14ac:dyDescent="0.25">
      <c r="H965" t="str">
        <f>IF(Table1[[#This Row],[Description]]="","",IF(Table1[[#This Row],[Currency]]=$Q$2,$R$2,HLOOKUP(Table1[[#This Row],[Date]],Funds!$C$10:$GV$11,2,FALSE)))</f>
        <v/>
      </c>
      <c r="I965" s="217" t="str">
        <f>IF(Table1[[#This Row],[Description]]="","",Table1[[#This Row],[Value]]/Table1[[#This Row],[Conversion]])</f>
        <v/>
      </c>
      <c r="J965" s="50" t="str">
        <f>IF(Table1[[#This Row],[Description]]="","",DATE(Table1[[#This Row],[Year]],Table1[[#This Row],[Month]],1))</f>
        <v/>
      </c>
    </row>
    <row r="966" spans="8:10" x14ac:dyDescent="0.25">
      <c r="H966" t="str">
        <f>IF(Table1[[#This Row],[Description]]="","",IF(Table1[[#This Row],[Currency]]=$Q$2,$R$2,HLOOKUP(Table1[[#This Row],[Date]],Funds!$C$10:$GV$11,2,FALSE)))</f>
        <v/>
      </c>
      <c r="I966" s="217" t="str">
        <f>IF(Table1[[#This Row],[Description]]="","",Table1[[#This Row],[Value]]/Table1[[#This Row],[Conversion]])</f>
        <v/>
      </c>
      <c r="J966" s="50" t="str">
        <f>IF(Table1[[#This Row],[Description]]="","",DATE(Table1[[#This Row],[Year]],Table1[[#This Row],[Month]],1))</f>
        <v/>
      </c>
    </row>
    <row r="967" spans="8:10" x14ac:dyDescent="0.25">
      <c r="H967" t="str">
        <f>IF(Table1[[#This Row],[Description]]="","",IF(Table1[[#This Row],[Currency]]=$Q$2,$R$2,HLOOKUP(Table1[[#This Row],[Date]],Funds!$C$10:$GV$11,2,FALSE)))</f>
        <v/>
      </c>
      <c r="I967" s="217" t="str">
        <f>IF(Table1[[#This Row],[Description]]="","",Table1[[#This Row],[Value]]/Table1[[#This Row],[Conversion]])</f>
        <v/>
      </c>
      <c r="J967" s="50" t="str">
        <f>IF(Table1[[#This Row],[Description]]="","",DATE(Table1[[#This Row],[Year]],Table1[[#This Row],[Month]],1))</f>
        <v/>
      </c>
    </row>
    <row r="968" spans="8:10" x14ac:dyDescent="0.25">
      <c r="H968" t="str">
        <f>IF(Table1[[#This Row],[Description]]="","",IF(Table1[[#This Row],[Currency]]=$Q$2,$R$2,HLOOKUP(Table1[[#This Row],[Date]],Funds!$C$10:$GV$11,2,FALSE)))</f>
        <v/>
      </c>
      <c r="I968" s="217" t="str">
        <f>IF(Table1[[#This Row],[Description]]="","",Table1[[#This Row],[Value]]/Table1[[#This Row],[Conversion]])</f>
        <v/>
      </c>
      <c r="J968" s="50" t="str">
        <f>IF(Table1[[#This Row],[Description]]="","",DATE(Table1[[#This Row],[Year]],Table1[[#This Row],[Month]],1))</f>
        <v/>
      </c>
    </row>
    <row r="969" spans="8:10" x14ac:dyDescent="0.25">
      <c r="H969" t="str">
        <f>IF(Table1[[#This Row],[Description]]="","",IF(Table1[[#This Row],[Currency]]=$Q$2,$R$2,HLOOKUP(Table1[[#This Row],[Date]],Funds!$C$10:$GV$11,2,FALSE)))</f>
        <v/>
      </c>
      <c r="I969" s="217" t="str">
        <f>IF(Table1[[#This Row],[Description]]="","",Table1[[#This Row],[Value]]/Table1[[#This Row],[Conversion]])</f>
        <v/>
      </c>
      <c r="J969" s="50" t="str">
        <f>IF(Table1[[#This Row],[Description]]="","",DATE(Table1[[#This Row],[Year]],Table1[[#This Row],[Month]],1))</f>
        <v/>
      </c>
    </row>
    <row r="970" spans="8:10" x14ac:dyDescent="0.25">
      <c r="H970" t="str">
        <f>IF(Table1[[#This Row],[Description]]="","",IF(Table1[[#This Row],[Currency]]=$Q$2,$R$2,HLOOKUP(Table1[[#This Row],[Date]],Funds!$C$10:$GV$11,2,FALSE)))</f>
        <v/>
      </c>
      <c r="I970" s="217" t="str">
        <f>IF(Table1[[#This Row],[Description]]="","",Table1[[#This Row],[Value]]/Table1[[#This Row],[Conversion]])</f>
        <v/>
      </c>
      <c r="J970" s="50" t="str">
        <f>IF(Table1[[#This Row],[Description]]="","",DATE(Table1[[#This Row],[Year]],Table1[[#This Row],[Month]],1))</f>
        <v/>
      </c>
    </row>
    <row r="971" spans="8:10" x14ac:dyDescent="0.25">
      <c r="H971" t="str">
        <f>IF(Table1[[#This Row],[Description]]="","",IF(Table1[[#This Row],[Currency]]=$Q$2,$R$2,HLOOKUP(Table1[[#This Row],[Date]],Funds!$C$10:$GV$11,2,FALSE)))</f>
        <v/>
      </c>
      <c r="I971" s="217" t="str">
        <f>IF(Table1[[#This Row],[Description]]="","",Table1[[#This Row],[Value]]/Table1[[#This Row],[Conversion]])</f>
        <v/>
      </c>
      <c r="J971" s="50" t="str">
        <f>IF(Table1[[#This Row],[Description]]="","",DATE(Table1[[#This Row],[Year]],Table1[[#This Row],[Month]],1))</f>
        <v/>
      </c>
    </row>
    <row r="972" spans="8:10" x14ac:dyDescent="0.25">
      <c r="H972" t="str">
        <f>IF(Table1[[#This Row],[Description]]="","",IF(Table1[[#This Row],[Currency]]=$Q$2,$R$2,HLOOKUP(Table1[[#This Row],[Date]],Funds!$C$10:$GV$11,2,FALSE)))</f>
        <v/>
      </c>
      <c r="I972" s="217" t="str">
        <f>IF(Table1[[#This Row],[Description]]="","",Table1[[#This Row],[Value]]/Table1[[#This Row],[Conversion]])</f>
        <v/>
      </c>
      <c r="J972" s="50" t="str">
        <f>IF(Table1[[#This Row],[Description]]="","",DATE(Table1[[#This Row],[Year]],Table1[[#This Row],[Month]],1))</f>
        <v/>
      </c>
    </row>
    <row r="973" spans="8:10" x14ac:dyDescent="0.25">
      <c r="H973" t="str">
        <f>IF(Table1[[#This Row],[Description]]="","",IF(Table1[[#This Row],[Currency]]=$Q$2,$R$2,HLOOKUP(Table1[[#This Row],[Date]],Funds!$C$10:$GV$11,2,FALSE)))</f>
        <v/>
      </c>
      <c r="I973" s="217" t="str">
        <f>IF(Table1[[#This Row],[Description]]="","",Table1[[#This Row],[Value]]/Table1[[#This Row],[Conversion]])</f>
        <v/>
      </c>
      <c r="J973" s="50" t="str">
        <f>IF(Table1[[#This Row],[Description]]="","",DATE(Table1[[#This Row],[Year]],Table1[[#This Row],[Month]],1))</f>
        <v/>
      </c>
    </row>
    <row r="974" spans="8:10" x14ac:dyDescent="0.25">
      <c r="H974" t="str">
        <f>IF(Table1[[#This Row],[Description]]="","",IF(Table1[[#This Row],[Currency]]=$Q$2,$R$2,HLOOKUP(Table1[[#This Row],[Date]],Funds!$C$10:$GV$11,2,FALSE)))</f>
        <v/>
      </c>
      <c r="I974" s="217" t="str">
        <f>IF(Table1[[#This Row],[Description]]="","",Table1[[#This Row],[Value]]/Table1[[#This Row],[Conversion]])</f>
        <v/>
      </c>
      <c r="J974" s="50" t="str">
        <f>IF(Table1[[#This Row],[Description]]="","",DATE(Table1[[#This Row],[Year]],Table1[[#This Row],[Month]],1))</f>
        <v/>
      </c>
    </row>
    <row r="975" spans="8:10" x14ac:dyDescent="0.25">
      <c r="H975" t="str">
        <f>IF(Table1[[#This Row],[Description]]="","",IF(Table1[[#This Row],[Currency]]=$Q$2,$R$2,HLOOKUP(Table1[[#This Row],[Date]],Funds!$C$10:$GV$11,2,FALSE)))</f>
        <v/>
      </c>
      <c r="I975" s="217" t="str">
        <f>IF(Table1[[#This Row],[Description]]="","",Table1[[#This Row],[Value]]/Table1[[#This Row],[Conversion]])</f>
        <v/>
      </c>
      <c r="J975" s="50" t="str">
        <f>IF(Table1[[#This Row],[Description]]="","",DATE(Table1[[#This Row],[Year]],Table1[[#This Row],[Month]],1))</f>
        <v/>
      </c>
    </row>
    <row r="976" spans="8:10" x14ac:dyDescent="0.25">
      <c r="H976" t="str">
        <f>IF(Table1[[#This Row],[Description]]="","",IF(Table1[[#This Row],[Currency]]=$Q$2,$R$2,HLOOKUP(Table1[[#This Row],[Date]],Funds!$C$10:$GV$11,2,FALSE)))</f>
        <v/>
      </c>
      <c r="I976" s="217" t="str">
        <f>IF(Table1[[#This Row],[Description]]="","",Table1[[#This Row],[Value]]/Table1[[#This Row],[Conversion]])</f>
        <v/>
      </c>
      <c r="J976" s="50" t="str">
        <f>IF(Table1[[#This Row],[Description]]="","",DATE(Table1[[#This Row],[Year]],Table1[[#This Row],[Month]],1))</f>
        <v/>
      </c>
    </row>
    <row r="977" spans="8:10" x14ac:dyDescent="0.25">
      <c r="H977" t="str">
        <f>IF(Table1[[#This Row],[Description]]="","",IF(Table1[[#This Row],[Currency]]=$Q$2,$R$2,HLOOKUP(Table1[[#This Row],[Date]],Funds!$C$10:$GV$11,2,FALSE)))</f>
        <v/>
      </c>
      <c r="I977" s="217" t="str">
        <f>IF(Table1[[#This Row],[Description]]="","",Table1[[#This Row],[Value]]/Table1[[#This Row],[Conversion]])</f>
        <v/>
      </c>
      <c r="J977" s="50" t="str">
        <f>IF(Table1[[#This Row],[Description]]="","",DATE(Table1[[#This Row],[Year]],Table1[[#This Row],[Month]],1))</f>
        <v/>
      </c>
    </row>
    <row r="978" spans="8:10" x14ac:dyDescent="0.25">
      <c r="H978" t="str">
        <f>IF(Table1[[#This Row],[Description]]="","",IF(Table1[[#This Row],[Currency]]=$Q$2,$R$2,HLOOKUP(Table1[[#This Row],[Date]],Funds!$C$10:$GV$11,2,FALSE)))</f>
        <v/>
      </c>
      <c r="I978" s="217" t="str">
        <f>IF(Table1[[#This Row],[Description]]="","",Table1[[#This Row],[Value]]/Table1[[#This Row],[Conversion]])</f>
        <v/>
      </c>
      <c r="J978" s="50" t="str">
        <f>IF(Table1[[#This Row],[Description]]="","",DATE(Table1[[#This Row],[Year]],Table1[[#This Row],[Month]],1))</f>
        <v/>
      </c>
    </row>
    <row r="979" spans="8:10" x14ac:dyDescent="0.25">
      <c r="H979" t="str">
        <f>IF(Table1[[#This Row],[Description]]="","",IF(Table1[[#This Row],[Currency]]=$Q$2,$R$2,HLOOKUP(Table1[[#This Row],[Date]],Funds!$C$10:$GV$11,2,FALSE)))</f>
        <v/>
      </c>
      <c r="I979" s="217" t="str">
        <f>IF(Table1[[#This Row],[Description]]="","",Table1[[#This Row],[Value]]/Table1[[#This Row],[Conversion]])</f>
        <v/>
      </c>
      <c r="J979" s="50" t="str">
        <f>IF(Table1[[#This Row],[Description]]="","",DATE(Table1[[#This Row],[Year]],Table1[[#This Row],[Month]],1))</f>
        <v/>
      </c>
    </row>
    <row r="980" spans="8:10" x14ac:dyDescent="0.25">
      <c r="H980" t="str">
        <f>IF(Table1[[#This Row],[Description]]="","",IF(Table1[[#This Row],[Currency]]=$Q$2,$R$2,HLOOKUP(Table1[[#This Row],[Date]],Funds!$C$10:$GV$11,2,FALSE)))</f>
        <v/>
      </c>
      <c r="I980" s="217" t="str">
        <f>IF(Table1[[#This Row],[Description]]="","",Table1[[#This Row],[Value]]/Table1[[#This Row],[Conversion]])</f>
        <v/>
      </c>
      <c r="J980" s="50" t="str">
        <f>IF(Table1[[#This Row],[Description]]="","",DATE(Table1[[#This Row],[Year]],Table1[[#This Row],[Month]],1))</f>
        <v/>
      </c>
    </row>
    <row r="981" spans="8:10" x14ac:dyDescent="0.25">
      <c r="H981" t="str">
        <f>IF(Table1[[#This Row],[Description]]="","",IF(Table1[[#This Row],[Currency]]=$Q$2,$R$2,HLOOKUP(Table1[[#This Row],[Date]],Funds!$C$10:$GV$11,2,FALSE)))</f>
        <v/>
      </c>
      <c r="I981" s="217" t="str">
        <f>IF(Table1[[#This Row],[Description]]="","",Table1[[#This Row],[Value]]/Table1[[#This Row],[Conversion]])</f>
        <v/>
      </c>
      <c r="J981" s="50" t="str">
        <f>IF(Table1[[#This Row],[Description]]="","",DATE(Table1[[#This Row],[Year]],Table1[[#This Row],[Month]],1))</f>
        <v/>
      </c>
    </row>
    <row r="982" spans="8:10" x14ac:dyDescent="0.25">
      <c r="H982" t="str">
        <f>IF(Table1[[#This Row],[Description]]="","",IF(Table1[[#This Row],[Currency]]=$Q$2,$R$2,HLOOKUP(Table1[[#This Row],[Date]],Funds!$C$10:$GV$11,2,FALSE)))</f>
        <v/>
      </c>
      <c r="I982" s="217" t="str">
        <f>IF(Table1[[#This Row],[Description]]="","",Table1[[#This Row],[Value]]/Table1[[#This Row],[Conversion]])</f>
        <v/>
      </c>
      <c r="J982" s="50" t="str">
        <f>IF(Table1[[#This Row],[Description]]="","",DATE(Table1[[#This Row],[Year]],Table1[[#This Row],[Month]],1))</f>
        <v/>
      </c>
    </row>
    <row r="983" spans="8:10" x14ac:dyDescent="0.25">
      <c r="H983" t="str">
        <f>IF(Table1[[#This Row],[Description]]="","",IF(Table1[[#This Row],[Currency]]=$Q$2,$R$2,HLOOKUP(Table1[[#This Row],[Date]],Funds!$C$10:$GV$11,2,FALSE)))</f>
        <v/>
      </c>
      <c r="I983" s="217" t="str">
        <f>IF(Table1[[#This Row],[Description]]="","",Table1[[#This Row],[Value]]/Table1[[#This Row],[Conversion]])</f>
        <v/>
      </c>
      <c r="J983" s="50" t="str">
        <f>IF(Table1[[#This Row],[Description]]="","",DATE(Table1[[#This Row],[Year]],Table1[[#This Row],[Month]],1))</f>
        <v/>
      </c>
    </row>
    <row r="984" spans="8:10" x14ac:dyDescent="0.25">
      <c r="H984" t="str">
        <f>IF(Table1[[#This Row],[Description]]="","",IF(Table1[[#This Row],[Currency]]=$Q$2,$R$2,HLOOKUP(Table1[[#This Row],[Date]],Funds!$C$10:$GV$11,2,FALSE)))</f>
        <v/>
      </c>
      <c r="I984" s="217" t="str">
        <f>IF(Table1[[#This Row],[Description]]="","",Table1[[#This Row],[Value]]/Table1[[#This Row],[Conversion]])</f>
        <v/>
      </c>
      <c r="J984" s="50" t="str">
        <f>IF(Table1[[#This Row],[Description]]="","",DATE(Table1[[#This Row],[Year]],Table1[[#This Row],[Month]],1))</f>
        <v/>
      </c>
    </row>
    <row r="985" spans="8:10" x14ac:dyDescent="0.25">
      <c r="H985" t="str">
        <f>IF(Table1[[#This Row],[Description]]="","",IF(Table1[[#This Row],[Currency]]=$Q$2,$R$2,HLOOKUP(Table1[[#This Row],[Date]],Funds!$C$10:$GV$11,2,FALSE)))</f>
        <v/>
      </c>
      <c r="I985" s="217" t="str">
        <f>IF(Table1[[#This Row],[Description]]="","",Table1[[#This Row],[Value]]/Table1[[#This Row],[Conversion]])</f>
        <v/>
      </c>
      <c r="J985" s="50" t="str">
        <f>IF(Table1[[#This Row],[Description]]="","",DATE(Table1[[#This Row],[Year]],Table1[[#This Row],[Month]],1))</f>
        <v/>
      </c>
    </row>
    <row r="986" spans="8:10" x14ac:dyDescent="0.25">
      <c r="H986" t="str">
        <f>IF(Table1[[#This Row],[Description]]="","",IF(Table1[[#This Row],[Currency]]=$Q$2,$R$2,HLOOKUP(Table1[[#This Row],[Date]],Funds!$C$10:$GV$11,2,FALSE)))</f>
        <v/>
      </c>
      <c r="I986" s="217" t="str">
        <f>IF(Table1[[#This Row],[Description]]="","",Table1[[#This Row],[Value]]/Table1[[#This Row],[Conversion]])</f>
        <v/>
      </c>
      <c r="J986" s="50" t="str">
        <f>IF(Table1[[#This Row],[Description]]="","",DATE(Table1[[#This Row],[Year]],Table1[[#This Row],[Month]],1))</f>
        <v/>
      </c>
    </row>
    <row r="987" spans="8:10" x14ac:dyDescent="0.25">
      <c r="H987" t="str">
        <f>IF(Table1[[#This Row],[Description]]="","",IF(Table1[[#This Row],[Currency]]=$Q$2,$R$2,HLOOKUP(Table1[[#This Row],[Date]],Funds!$C$10:$GV$11,2,FALSE)))</f>
        <v/>
      </c>
      <c r="I987" s="217" t="str">
        <f>IF(Table1[[#This Row],[Description]]="","",Table1[[#This Row],[Value]]/Table1[[#This Row],[Conversion]])</f>
        <v/>
      </c>
      <c r="J987" s="50" t="str">
        <f>IF(Table1[[#This Row],[Description]]="","",DATE(Table1[[#This Row],[Year]],Table1[[#This Row],[Month]],1))</f>
        <v/>
      </c>
    </row>
    <row r="988" spans="8:10" x14ac:dyDescent="0.25">
      <c r="H988" t="str">
        <f>IF(Table1[[#This Row],[Description]]="","",IF(Table1[[#This Row],[Currency]]=$Q$2,$R$2,HLOOKUP(Table1[[#This Row],[Date]],Funds!$C$10:$GV$11,2,FALSE)))</f>
        <v/>
      </c>
      <c r="I988" s="217" t="str">
        <f>IF(Table1[[#This Row],[Description]]="","",Table1[[#This Row],[Value]]/Table1[[#This Row],[Conversion]])</f>
        <v/>
      </c>
      <c r="J988" s="50" t="str">
        <f>IF(Table1[[#This Row],[Description]]="","",DATE(Table1[[#This Row],[Year]],Table1[[#This Row],[Month]],1))</f>
        <v/>
      </c>
    </row>
    <row r="989" spans="8:10" x14ac:dyDescent="0.25">
      <c r="H989" t="str">
        <f>IF(Table1[[#This Row],[Description]]="","",IF(Table1[[#This Row],[Currency]]=$Q$2,$R$2,HLOOKUP(Table1[[#This Row],[Date]],Funds!$C$10:$GV$11,2,FALSE)))</f>
        <v/>
      </c>
      <c r="I989" s="217" t="str">
        <f>IF(Table1[[#This Row],[Description]]="","",Table1[[#This Row],[Value]]/Table1[[#This Row],[Conversion]])</f>
        <v/>
      </c>
      <c r="J989" s="50" t="str">
        <f>IF(Table1[[#This Row],[Description]]="","",DATE(Table1[[#This Row],[Year]],Table1[[#This Row],[Month]],1))</f>
        <v/>
      </c>
    </row>
    <row r="990" spans="8:10" x14ac:dyDescent="0.25">
      <c r="H990" t="str">
        <f>IF(Table1[[#This Row],[Description]]="","",IF(Table1[[#This Row],[Currency]]=$Q$2,$R$2,HLOOKUP(Table1[[#This Row],[Date]],Funds!$C$10:$GV$11,2,FALSE)))</f>
        <v/>
      </c>
      <c r="I990" s="217" t="str">
        <f>IF(Table1[[#This Row],[Description]]="","",Table1[[#This Row],[Value]]/Table1[[#This Row],[Conversion]])</f>
        <v/>
      </c>
      <c r="J990" s="50" t="str">
        <f>IF(Table1[[#This Row],[Description]]="","",DATE(Table1[[#This Row],[Year]],Table1[[#This Row],[Month]],1))</f>
        <v/>
      </c>
    </row>
    <row r="991" spans="8:10" x14ac:dyDescent="0.25">
      <c r="H991" t="str">
        <f>IF(Table1[[#This Row],[Description]]="","",IF(Table1[[#This Row],[Currency]]=$Q$2,$R$2,HLOOKUP(Table1[[#This Row],[Date]],Funds!$C$10:$GV$11,2,FALSE)))</f>
        <v/>
      </c>
      <c r="I991" s="217" t="str">
        <f>IF(Table1[[#This Row],[Description]]="","",Table1[[#This Row],[Value]]/Table1[[#This Row],[Conversion]])</f>
        <v/>
      </c>
      <c r="J991" s="50" t="str">
        <f>IF(Table1[[#This Row],[Description]]="","",DATE(Table1[[#This Row],[Year]],Table1[[#This Row],[Month]],1))</f>
        <v/>
      </c>
    </row>
    <row r="992" spans="8:10" x14ac:dyDescent="0.25">
      <c r="H992" t="str">
        <f>IF(Table1[[#This Row],[Description]]="","",IF(Table1[[#This Row],[Currency]]=$Q$2,$R$2,HLOOKUP(Table1[[#This Row],[Date]],Funds!$C$10:$GV$11,2,FALSE)))</f>
        <v/>
      </c>
      <c r="I992" s="217" t="str">
        <f>IF(Table1[[#This Row],[Description]]="","",Table1[[#This Row],[Value]]/Table1[[#This Row],[Conversion]])</f>
        <v/>
      </c>
      <c r="J992" s="50" t="str">
        <f>IF(Table1[[#This Row],[Description]]="","",DATE(Table1[[#This Row],[Year]],Table1[[#This Row],[Month]],1))</f>
        <v/>
      </c>
    </row>
    <row r="993" spans="8:10" x14ac:dyDescent="0.25">
      <c r="H993" t="str">
        <f>IF(Table1[[#This Row],[Description]]="","",IF(Table1[[#This Row],[Currency]]=$Q$2,$R$2,HLOOKUP(Table1[[#This Row],[Date]],Funds!$C$10:$GV$11,2,FALSE)))</f>
        <v/>
      </c>
      <c r="I993" s="217" t="str">
        <f>IF(Table1[[#This Row],[Description]]="","",Table1[[#This Row],[Value]]/Table1[[#This Row],[Conversion]])</f>
        <v/>
      </c>
      <c r="J993" s="50" t="str">
        <f>IF(Table1[[#This Row],[Description]]="","",DATE(Table1[[#This Row],[Year]],Table1[[#This Row],[Month]],1))</f>
        <v/>
      </c>
    </row>
    <row r="994" spans="8:10" x14ac:dyDescent="0.25">
      <c r="H994" t="str">
        <f>IF(Table1[[#This Row],[Description]]="","",IF(Table1[[#This Row],[Currency]]=$Q$2,$R$2,HLOOKUP(Table1[[#This Row],[Date]],Funds!$C$10:$GV$11,2,FALSE)))</f>
        <v/>
      </c>
      <c r="I994" s="217" t="str">
        <f>IF(Table1[[#This Row],[Description]]="","",Table1[[#This Row],[Value]]/Table1[[#This Row],[Conversion]])</f>
        <v/>
      </c>
      <c r="J994" s="50" t="str">
        <f>IF(Table1[[#This Row],[Description]]="","",DATE(Table1[[#This Row],[Year]],Table1[[#This Row],[Month]],1))</f>
        <v/>
      </c>
    </row>
    <row r="995" spans="8:10" x14ac:dyDescent="0.25">
      <c r="H995" t="str">
        <f>IF(Table1[[#This Row],[Description]]="","",IF(Table1[[#This Row],[Currency]]=$Q$2,$R$2,HLOOKUP(Table1[[#This Row],[Date]],Funds!$C$10:$GV$11,2,FALSE)))</f>
        <v/>
      </c>
      <c r="I995" s="217" t="str">
        <f>IF(Table1[[#This Row],[Description]]="","",Table1[[#This Row],[Value]]/Table1[[#This Row],[Conversion]])</f>
        <v/>
      </c>
      <c r="J995" s="50" t="str">
        <f>IF(Table1[[#This Row],[Description]]="","",DATE(Table1[[#This Row],[Year]],Table1[[#This Row],[Month]],1))</f>
        <v/>
      </c>
    </row>
    <row r="996" spans="8:10" x14ac:dyDescent="0.25">
      <c r="H996" t="str">
        <f>IF(Table1[[#This Row],[Description]]="","",IF(Table1[[#This Row],[Currency]]=$Q$2,$R$2,HLOOKUP(Table1[[#This Row],[Date]],Funds!$C$10:$GV$11,2,FALSE)))</f>
        <v/>
      </c>
      <c r="I996" s="217" t="str">
        <f>IF(Table1[[#This Row],[Description]]="","",Table1[[#This Row],[Value]]/Table1[[#This Row],[Conversion]])</f>
        <v/>
      </c>
      <c r="J996" s="50" t="str">
        <f>IF(Table1[[#This Row],[Description]]="","",DATE(Table1[[#This Row],[Year]],Table1[[#This Row],[Month]],1))</f>
        <v/>
      </c>
    </row>
    <row r="997" spans="8:10" x14ac:dyDescent="0.25">
      <c r="H997" t="str">
        <f>IF(Table1[[#This Row],[Description]]="","",IF(Table1[[#This Row],[Currency]]=$Q$2,$R$2,HLOOKUP(Table1[[#This Row],[Date]],Funds!$C$10:$GV$11,2,FALSE)))</f>
        <v/>
      </c>
      <c r="I997" s="217" t="str">
        <f>IF(Table1[[#This Row],[Description]]="","",Table1[[#This Row],[Value]]/Table1[[#This Row],[Conversion]])</f>
        <v/>
      </c>
      <c r="J997" s="50" t="str">
        <f>IF(Table1[[#This Row],[Description]]="","",DATE(Table1[[#This Row],[Year]],Table1[[#This Row],[Month]],1))</f>
        <v/>
      </c>
    </row>
    <row r="998" spans="8:10" x14ac:dyDescent="0.25">
      <c r="H998" t="str">
        <f>IF(Table1[[#This Row],[Description]]="","",IF(Table1[[#This Row],[Currency]]=$Q$2,$R$2,HLOOKUP(Table1[[#This Row],[Date]],Funds!$C$10:$GV$11,2,FALSE)))</f>
        <v/>
      </c>
      <c r="I998" s="217" t="str">
        <f>IF(Table1[[#This Row],[Description]]="","",Table1[[#This Row],[Value]]/Table1[[#This Row],[Conversion]])</f>
        <v/>
      </c>
      <c r="J998" s="50" t="str">
        <f>IF(Table1[[#This Row],[Description]]="","",DATE(Table1[[#This Row],[Year]],Table1[[#This Row],[Month]],1))</f>
        <v/>
      </c>
    </row>
    <row r="999" spans="8:10" x14ac:dyDescent="0.25">
      <c r="H999" t="str">
        <f>IF(Table1[[#This Row],[Description]]="","",IF(Table1[[#This Row],[Currency]]=$Q$2,$R$2,HLOOKUP(Table1[[#This Row],[Date]],Funds!$C$10:$GV$11,2,FALSE)))</f>
        <v/>
      </c>
      <c r="I999" s="217" t="str">
        <f>IF(Table1[[#This Row],[Description]]="","",Table1[[#This Row],[Value]]/Table1[[#This Row],[Conversion]])</f>
        <v/>
      </c>
      <c r="J999" s="50" t="str">
        <f>IF(Table1[[#This Row],[Description]]="","",DATE(Table1[[#This Row],[Year]],Table1[[#This Row],[Month]],1))</f>
        <v/>
      </c>
    </row>
    <row r="1000" spans="8:10" x14ac:dyDescent="0.25">
      <c r="H1000" t="str">
        <f>IF(Table1[[#This Row],[Description]]="","",IF(Table1[[#This Row],[Currency]]=$Q$2,$R$2,HLOOKUP(Table1[[#This Row],[Date]],Funds!$C$10:$GV$11,2,FALSE)))</f>
        <v/>
      </c>
      <c r="I1000" s="217" t="str">
        <f>IF(Table1[[#This Row],[Description]]="","",Table1[[#This Row],[Value]]/Table1[[#This Row],[Conversion]])</f>
        <v/>
      </c>
      <c r="J1000" s="50" t="str">
        <f>IF(Table1[[#This Row],[Description]]="","",DATE(Table1[[#This Row],[Year]],Table1[[#This Row],[Month]],1))</f>
        <v/>
      </c>
    </row>
    <row r="1001" spans="8:10" x14ac:dyDescent="0.25">
      <c r="H1001" t="str">
        <f>IF(Table1[[#This Row],[Description]]="","",IF(Table1[[#This Row],[Currency]]=$Q$2,$R$2,HLOOKUP(Table1[[#This Row],[Date]],Funds!$C$10:$GV$11,2,FALSE)))</f>
        <v/>
      </c>
      <c r="I1001" s="217" t="str">
        <f>IF(Table1[[#This Row],[Description]]="","",Table1[[#This Row],[Value]]/Table1[[#This Row],[Conversion]])</f>
        <v/>
      </c>
      <c r="J1001" s="50" t="str">
        <f>IF(Table1[[#This Row],[Description]]="","",DATE(Table1[[#This Row],[Year]],Table1[[#This Row],[Month]],1))</f>
        <v/>
      </c>
    </row>
  </sheetData>
  <dataValidations count="5">
    <dataValidation type="list" allowBlank="1" showInputMessage="1" showErrorMessage="1" sqref="F39:F40 C2:C1001" xr:uid="{B0AA2EE2-D712-4982-AFC6-52B36A5DC4A1}">
      <formula1>$M$2:$M$13</formula1>
    </dataValidation>
    <dataValidation type="list" allowBlank="1" showInputMessage="1" showErrorMessage="1" sqref="D2:D1001" xr:uid="{39247EA4-CB00-4F18-B49B-44363DAC77FC}">
      <formula1>$N$2:$N$13</formula1>
    </dataValidation>
    <dataValidation type="list" allowBlank="1" showInputMessage="1" showErrorMessage="1" sqref="F14 E2:E1001" xr:uid="{888DF448-DBF1-484B-B9F7-619602836DA1}">
      <formula1>$O$2:$O$3</formula1>
    </dataValidation>
    <dataValidation type="list" allowBlank="1" showInputMessage="1" showErrorMessage="1" sqref="G2:G13 G15 G22:G98 G100:G1001" xr:uid="{6BD778AB-5665-48BE-BB54-1CB98106419D}">
      <formula1>$Q$2:$Q$3</formula1>
    </dataValidation>
    <dataValidation type="list" allowBlank="1" showInputMessage="1" showErrorMessage="1" sqref="B2:B1001" xr:uid="{30FF7955-25C2-4B2D-8868-A0D4CF35C8C7}">
      <formula1>$L$2:$L$14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FED95-8FBE-4D3D-87BE-6E5DEF55668D}">
  <sheetPr>
    <tabColor theme="5" tint="-0.249977111117893"/>
  </sheetPr>
  <dimension ref="A1:AL10000"/>
  <sheetViews>
    <sheetView topLeftCell="K1" zoomScaleNormal="100" workbookViewId="0">
      <pane ySplit="1" topLeftCell="A44" activePane="bottomLeft" state="frozen"/>
      <selection pane="bottomLeft" activeCell="Q2" sqref="Q2:S61"/>
    </sheetView>
  </sheetViews>
  <sheetFormatPr defaultRowHeight="15" x14ac:dyDescent="0.25"/>
  <cols>
    <col min="1" max="1" width="7.140625" style="3" customWidth="1"/>
    <col min="2" max="2" width="30.5703125" customWidth="1"/>
    <col min="3" max="4" width="8.5703125" style="1" customWidth="1"/>
    <col min="5" max="5" width="9.5703125" style="166" customWidth="1"/>
    <col min="6" max="6" width="8.5703125" style="1" customWidth="1"/>
    <col min="7" max="7" width="14.5703125" style="1" customWidth="1"/>
    <col min="8" max="9" width="8.5703125" style="1" customWidth="1"/>
    <col min="10" max="10" width="8.5703125" style="215" customWidth="1"/>
    <col min="11" max="11" width="10" style="1" customWidth="1"/>
    <col min="17" max="17" width="12.7109375" customWidth="1"/>
    <col min="18" max="18" width="13.42578125" customWidth="1"/>
    <col min="21" max="21" width="29.140625" customWidth="1"/>
    <col min="22" max="23" width="8.7109375" style="1"/>
    <col min="24" max="24" width="8.7109375" style="47"/>
    <col min="25" max="26" width="8.7109375" style="227" customWidth="1"/>
    <col min="27" max="27" width="8.7109375" style="44" customWidth="1"/>
    <col min="28" max="28" width="11.5703125" style="44" customWidth="1"/>
    <col min="31" max="31" width="13" customWidth="1"/>
  </cols>
  <sheetData>
    <row r="1" spans="1:38" x14ac:dyDescent="0.25">
      <c r="A1" s="3" t="s">
        <v>0</v>
      </c>
      <c r="B1" s="1" t="s">
        <v>1</v>
      </c>
      <c r="C1" s="1" t="s">
        <v>2</v>
      </c>
      <c r="D1" s="1" t="s">
        <v>3</v>
      </c>
      <c r="E1" s="166" t="s">
        <v>6</v>
      </c>
      <c r="F1" s="1" t="s">
        <v>18</v>
      </c>
      <c r="G1" s="2" t="s">
        <v>14</v>
      </c>
      <c r="H1" s="2" t="s">
        <v>15</v>
      </c>
      <c r="I1" s="2" t="s">
        <v>19</v>
      </c>
      <c r="J1" s="214" t="s">
        <v>20</v>
      </c>
      <c r="K1" s="2" t="s">
        <v>16</v>
      </c>
      <c r="M1" s="21" t="s">
        <v>2</v>
      </c>
      <c r="N1" s="21" t="s">
        <v>3</v>
      </c>
      <c r="O1" s="29" t="s">
        <v>18</v>
      </c>
      <c r="P1" s="22"/>
      <c r="Q1" s="22" t="s">
        <v>1</v>
      </c>
      <c r="R1" s="23" t="s">
        <v>17</v>
      </c>
      <c r="S1" s="24" t="s">
        <v>15</v>
      </c>
      <c r="T1" s="23"/>
      <c r="U1" s="23" t="s">
        <v>74</v>
      </c>
      <c r="V1" s="1" t="s">
        <v>2</v>
      </c>
      <c r="W1" s="1" t="s">
        <v>3</v>
      </c>
      <c r="X1" s="224" t="s">
        <v>284</v>
      </c>
      <c r="Y1" s="227" t="s">
        <v>285</v>
      </c>
      <c r="Z1" s="227" t="s">
        <v>286</v>
      </c>
      <c r="AA1" s="224" t="s">
        <v>283</v>
      </c>
      <c r="AB1" s="225" t="s">
        <v>48</v>
      </c>
      <c r="AC1" s="225" t="s">
        <v>49</v>
      </c>
      <c r="AD1" s="226" t="s">
        <v>50</v>
      </c>
      <c r="AE1" s="64" t="s">
        <v>282</v>
      </c>
    </row>
    <row r="2" spans="1:38" x14ac:dyDescent="0.25">
      <c r="A2" s="3">
        <v>1</v>
      </c>
      <c r="B2" t="s">
        <v>237</v>
      </c>
      <c r="C2" s="1">
        <v>5</v>
      </c>
      <c r="D2" s="1">
        <v>2019</v>
      </c>
      <c r="E2" s="166">
        <v>315.83</v>
      </c>
      <c r="F2" s="1" t="s">
        <v>21</v>
      </c>
      <c r="G2" s="1" t="str">
        <f>IF(Table2[[#This Row],[Description]]="","",VLOOKUP(Table2[[#This Row],[Description]],$Q$1:$S$101,2,FALSE))</f>
        <v>FX adjustment</v>
      </c>
      <c r="H2" s="1" t="s">
        <v>66</v>
      </c>
      <c r="I2" s="1">
        <f>IF(Table2[[#This Row],[Description]]="","",IF(Table2[[#This Row],[Currency]]=$O$2,$P$2,HLOOKUP(Table2[[#This Row],[Date]],Funds!$C$10:$GV$11,2,FALSE)))</f>
        <v>1</v>
      </c>
      <c r="J2" s="215">
        <f>IF(Table2[[#This Row],[Description]]="","",Table2[[#This Row],[Value]]/Table2[[#This Row],[Conversion]])</f>
        <v>315.83</v>
      </c>
      <c r="K2" s="45">
        <f>IF(Table2[[#This Row],[Description]]="","",DATE(Table2[[#This Row],[Year]],Table2[[#This Row],[Month]],1))</f>
        <v>43586</v>
      </c>
      <c r="M2" s="7">
        <v>1</v>
      </c>
      <c r="N2" s="7">
        <v>2019</v>
      </c>
      <c r="O2" s="20" t="s">
        <v>21</v>
      </c>
      <c r="P2" s="14">
        <v>1</v>
      </c>
      <c r="Q2" s="14" t="s">
        <v>31</v>
      </c>
      <c r="R2" s="9" t="s">
        <v>31</v>
      </c>
      <c r="S2" s="25" t="s">
        <v>51</v>
      </c>
      <c r="T2" s="9"/>
      <c r="U2" s="9" t="s">
        <v>126</v>
      </c>
      <c r="V2" s="10">
        <v>5</v>
      </c>
      <c r="W2" s="10">
        <v>2019</v>
      </c>
      <c r="X2" s="49">
        <f>DATE(Table3[[#This Row],[Year]],Table3[[#This Row],[Month]],1)</f>
        <v>43586</v>
      </c>
      <c r="Y2" s="228">
        <v>5</v>
      </c>
      <c r="Z2" s="228">
        <v>2019</v>
      </c>
      <c r="AA2" s="49">
        <f>DATE(Table3[[#This Row],[S Yr]],Table3[[#This Row],[S mth]],1)</f>
        <v>43586</v>
      </c>
      <c r="AB2" s="40">
        <f>1100/3.8</f>
        <v>289.47368421052636</v>
      </c>
      <c r="AC2" s="40">
        <f>SUMIFS(J:J,G:G,Table3[[#This Row],[Mid bgt]],K:K,"&lt;"&amp;Table3[[#This Row],[End Date]]+1)-SUMIFS(J:J,G:G,Table3[[#This Row],[Mid bgt]],K:K,"&lt;"&amp;Table3[[#This Row],[Start]])</f>
        <v>0</v>
      </c>
      <c r="AD2" s="41">
        <f>Table3[[#This Row],[Planned]]-Table3[[#This Row],[Spent]]</f>
        <v>289.47368421052636</v>
      </c>
      <c r="AE2" s="44"/>
      <c r="AF2" t="s">
        <v>129</v>
      </c>
      <c r="AG2" t="s">
        <v>130</v>
      </c>
      <c r="AH2" s="165">
        <v>2100</v>
      </c>
      <c r="AI2">
        <v>1</v>
      </c>
      <c r="AK2" s="1">
        <v>1</v>
      </c>
      <c r="AL2" s="165">
        <f>SUMIFS($AH$2:$AH$18,$AI$2:$AI$18,AK2)</f>
        <v>5075</v>
      </c>
    </row>
    <row r="3" spans="1:38" x14ac:dyDescent="0.25">
      <c r="A3" s="3">
        <v>2</v>
      </c>
      <c r="B3" t="s">
        <v>237</v>
      </c>
      <c r="C3" s="1">
        <v>5</v>
      </c>
      <c r="D3" s="1">
        <v>2019</v>
      </c>
      <c r="E3" s="166">
        <v>35.28</v>
      </c>
      <c r="F3" s="1" t="s">
        <v>21</v>
      </c>
      <c r="G3" s="1" t="str">
        <f>IF(Table2[[#This Row],[Description]]="","",VLOOKUP(Table2[[#This Row],[Description]],$Q$1:$S$101,2,FALSE))</f>
        <v>FX adjustment</v>
      </c>
      <c r="H3" s="1" t="s">
        <v>121</v>
      </c>
      <c r="I3" s="1">
        <f>IF(Table2[[#This Row],[Description]]="","",IF(Table2[[#This Row],[Currency]]=$O$2,$P$2,HLOOKUP(Table2[[#This Row],[Date]],Funds!$C$10:$GV$11,2,FALSE)))</f>
        <v>1</v>
      </c>
      <c r="J3" s="215">
        <f>IF(Table2[[#This Row],[Description]]="","",Table2[[#This Row],[Value]]/Table2[[#This Row],[Conversion]])</f>
        <v>35.28</v>
      </c>
      <c r="K3" s="45">
        <f>IF(Table2[[#This Row],[Description]]="","",DATE(Table2[[#This Row],[Year]],Table2[[#This Row],[Month]],1))</f>
        <v>43586</v>
      </c>
      <c r="M3" s="7">
        <v>2</v>
      </c>
      <c r="N3" s="7">
        <v>2020</v>
      </c>
      <c r="O3" s="31" t="s">
        <v>22</v>
      </c>
      <c r="P3" s="37">
        <f>HLOOKUP('P&amp;L USA'!B1,Funds!C10:GV11,2,FALSE)</f>
        <v>5.46</v>
      </c>
      <c r="Q3" s="14" t="s">
        <v>52</v>
      </c>
      <c r="R3" s="9" t="s">
        <v>33</v>
      </c>
      <c r="S3" s="25" t="s">
        <v>51</v>
      </c>
      <c r="T3" s="9"/>
      <c r="U3" s="9" t="s">
        <v>186</v>
      </c>
      <c r="V3" s="10">
        <v>5</v>
      </c>
      <c r="W3" s="10">
        <v>2019</v>
      </c>
      <c r="X3" s="49">
        <f>DATE(Table3[[#This Row],[Year]],Table3[[#This Row],[Month]],1)</f>
        <v>43586</v>
      </c>
      <c r="Y3" s="228">
        <v>5</v>
      </c>
      <c r="Z3" s="228">
        <v>2019</v>
      </c>
      <c r="AA3" s="49">
        <f>DATE(Table3[[#This Row],[S Yr]],Table3[[#This Row],[S mth]],1)</f>
        <v>43586</v>
      </c>
      <c r="AB3" s="40">
        <f>-6780/3.8</f>
        <v>-1784.2105263157896</v>
      </c>
      <c r="AC3" s="40">
        <f>SUMIFS(J:J,G:G,Table3[[#This Row],[Mid bgt]],K:K,"&lt;"&amp;Table3[[#This Row],[End Date]]+1)-SUMIFS(J:J,G:G,Table3[[#This Row],[Mid bgt]],K:K,"&lt;"&amp;Table3[[#This Row],[Start]])</f>
        <v>0</v>
      </c>
      <c r="AD3" s="41">
        <f>Table3[[#This Row],[Planned]]-Table3[[#This Row],[Spent]]</f>
        <v>-1784.2105263157896</v>
      </c>
      <c r="AE3" s="44"/>
      <c r="AG3" t="s">
        <v>131</v>
      </c>
      <c r="AH3" s="165">
        <v>160</v>
      </c>
      <c r="AI3">
        <v>2</v>
      </c>
      <c r="AK3" s="1">
        <v>2</v>
      </c>
      <c r="AL3" s="165">
        <f>SUMIFS($AH$2:$AH$18,$AI$2:$AI$18,AK3)</f>
        <v>1090</v>
      </c>
    </row>
    <row r="4" spans="1:38" x14ac:dyDescent="0.25">
      <c r="A4" s="3">
        <v>3</v>
      </c>
      <c r="B4" t="s">
        <v>58</v>
      </c>
      <c r="C4" s="1">
        <v>5</v>
      </c>
      <c r="D4" s="1">
        <v>2019</v>
      </c>
      <c r="E4" s="166">
        <v>6.44</v>
      </c>
      <c r="F4" s="1" t="s">
        <v>21</v>
      </c>
      <c r="G4" s="1" t="str">
        <f>IF(Table2[[#This Row],[Description]]="","",VLOOKUP(Table2[[#This Row],[Description]],$Q$1:$S$101,2,FALSE))</f>
        <v>Food</v>
      </c>
      <c r="H4" s="1" t="str">
        <f>IF(Table2[[#This Row],[Description]]="","",VLOOKUP(Table2[[#This Row],[Description]],$Q$1:$S$101,3,FALSE))</f>
        <v>Short</v>
      </c>
      <c r="I4" s="1">
        <f>IF(Table2[[#This Row],[Description]]="","",IF(Table2[[#This Row],[Currency]]=$O$2,$P$2,HLOOKUP(Table2[[#This Row],[Date]],Funds!$C$10:$GV$11,2,FALSE)))</f>
        <v>1</v>
      </c>
      <c r="J4" s="215">
        <f>IF(Table2[[#This Row],[Description]]="","",Table2[[#This Row],[Value]]/Table2[[#This Row],[Conversion]])</f>
        <v>6.44</v>
      </c>
      <c r="K4" s="45">
        <f>IF(Table2[[#This Row],[Description]]="","",DATE(Table2[[#This Row],[Year]],Table2[[#This Row],[Month]],1))</f>
        <v>43586</v>
      </c>
      <c r="M4" s="7">
        <v>3</v>
      </c>
      <c r="N4" s="7">
        <v>2021</v>
      </c>
      <c r="Q4" s="14" t="s">
        <v>53</v>
      </c>
      <c r="R4" s="9" t="s">
        <v>33</v>
      </c>
      <c r="S4" s="25" t="s">
        <v>51</v>
      </c>
      <c r="T4" s="9"/>
      <c r="U4" s="9" t="s">
        <v>185</v>
      </c>
      <c r="V4" s="10">
        <v>5</v>
      </c>
      <c r="W4" s="10">
        <v>2019</v>
      </c>
      <c r="X4" s="49">
        <f>DATE(Table3[[#This Row],[Year]],Table3[[#This Row],[Month]],1)</f>
        <v>43586</v>
      </c>
      <c r="Y4" s="228">
        <v>5</v>
      </c>
      <c r="Z4" s="228">
        <v>2019</v>
      </c>
      <c r="AA4" s="49">
        <f>DATE(Table3[[#This Row],[S Yr]],Table3[[#This Row],[S mth]],1)</f>
        <v>43586</v>
      </c>
      <c r="AB4" s="40">
        <f>2480/3.8</f>
        <v>652.63157894736844</v>
      </c>
      <c r="AC4" s="40">
        <f>SUMIFS(J:J,G:G,Table3[[#This Row],[Mid bgt]],K:K,"&lt;"&amp;Table3[[#This Row],[End Date]]+1)-SUMIFS(J:J,G:G,Table3[[#This Row],[Mid bgt]],K:K,"&lt;"&amp;Table3[[#This Row],[Start]])</f>
        <v>0</v>
      </c>
      <c r="AD4" s="41">
        <f>Table3[[#This Row],[Planned]]-Table3[[#This Row],[Spent]]</f>
        <v>652.63157894736844</v>
      </c>
      <c r="AE4" s="44"/>
      <c r="AG4" t="s">
        <v>132</v>
      </c>
      <c r="AH4" s="165">
        <v>400</v>
      </c>
      <c r="AI4">
        <v>3</v>
      </c>
      <c r="AK4" s="1">
        <v>3</v>
      </c>
      <c r="AL4" s="165">
        <f>SUMIFS($AH$2:$AH$18,$AI$2:$AI$18,AK4)</f>
        <v>720</v>
      </c>
    </row>
    <row r="5" spans="1:38" x14ac:dyDescent="0.25">
      <c r="A5" s="3">
        <v>4</v>
      </c>
      <c r="B5" t="s">
        <v>57</v>
      </c>
      <c r="C5" s="1">
        <v>5</v>
      </c>
      <c r="D5" s="1">
        <v>2019</v>
      </c>
      <c r="E5" s="166">
        <v>35.29</v>
      </c>
      <c r="F5" s="1" t="s">
        <v>21</v>
      </c>
      <c r="G5" s="1" t="str">
        <f>IF(Table2[[#This Row],[Description]]="","",VLOOKUP(Table2[[#This Row],[Description]],$Q$1:$S$101,2,FALSE))</f>
        <v>Food</v>
      </c>
      <c r="H5" s="1" t="str">
        <f>IF(Table2[[#This Row],[Description]]="","",VLOOKUP(Table2[[#This Row],[Description]],$Q$1:$S$101,3,FALSE))</f>
        <v>Short</v>
      </c>
      <c r="I5" s="1">
        <f>IF(Table2[[#This Row],[Description]]="","",IF(Table2[[#This Row],[Currency]]=$O$2,$P$2,HLOOKUP(Table2[[#This Row],[Date]],Funds!$C$10:$GV$11,2,FALSE)))</f>
        <v>1</v>
      </c>
      <c r="J5" s="215">
        <f>IF(Table2[[#This Row],[Description]]="","",Table2[[#This Row],[Value]]/Table2[[#This Row],[Conversion]])</f>
        <v>35.29</v>
      </c>
      <c r="K5" s="45">
        <f>IF(Table2[[#This Row],[Description]]="","",DATE(Table2[[#This Row],[Year]],Table2[[#This Row],[Month]],1))</f>
        <v>43586</v>
      </c>
      <c r="M5" s="7">
        <v>4</v>
      </c>
      <c r="N5" s="7">
        <v>2022</v>
      </c>
      <c r="Q5" s="14" t="s">
        <v>54</v>
      </c>
      <c r="R5" s="9" t="s">
        <v>33</v>
      </c>
      <c r="S5" s="25" t="s">
        <v>51</v>
      </c>
      <c r="T5" s="9"/>
      <c r="U5" s="9" t="s">
        <v>289</v>
      </c>
      <c r="V5" s="12">
        <v>4</v>
      </c>
      <c r="W5" s="12">
        <v>2019</v>
      </c>
      <c r="X5" s="49">
        <f>DATE(Table3[[#This Row],[Year]],Table3[[#This Row],[Month]],1)</f>
        <v>43556</v>
      </c>
      <c r="Y5" s="228">
        <v>11</v>
      </c>
      <c r="Z5" s="228">
        <v>2018</v>
      </c>
      <c r="AA5" s="49">
        <f>DATE(Table3[[#This Row],[S Yr]],Table3[[#This Row],[S mth]],1)</f>
        <v>43405</v>
      </c>
      <c r="AB5" s="42">
        <v>0</v>
      </c>
      <c r="AC5" s="40">
        <f>SUMIFS(J:J,G:G,Table3[[#This Row],[Mid bgt]],K:K,"&lt;"&amp;Table3[[#This Row],[End Date]]+1)-SUMIFS(J:J,G:G,Table3[[#This Row],[Mid bgt]],K:K,"&lt;"&amp;Table3[[#This Row],[Start]])</f>
        <v>0</v>
      </c>
      <c r="AD5" s="41">
        <f>Table3[[#This Row],[Planned]]-Table3[[#This Row],[Spent]]</f>
        <v>0</v>
      </c>
      <c r="AE5" s="44"/>
      <c r="AF5" t="s">
        <v>133</v>
      </c>
      <c r="AG5" t="s">
        <v>134</v>
      </c>
      <c r="AH5" s="165">
        <v>800</v>
      </c>
      <c r="AI5">
        <v>1</v>
      </c>
    </row>
    <row r="6" spans="1:38" x14ac:dyDescent="0.25">
      <c r="A6" s="3">
        <v>5</v>
      </c>
      <c r="B6" t="s">
        <v>127</v>
      </c>
      <c r="C6" s="1">
        <v>5</v>
      </c>
      <c r="D6" s="1">
        <v>2019</v>
      </c>
      <c r="E6" s="166">
        <v>1700</v>
      </c>
      <c r="F6" s="1" t="s">
        <v>21</v>
      </c>
      <c r="G6" s="1" t="s">
        <v>66</v>
      </c>
      <c r="H6" s="1" t="s">
        <v>66</v>
      </c>
      <c r="I6" s="1">
        <f>IF(Table2[[#This Row],[Description]]="","",IF(Table2[[#This Row],[Currency]]=$O$2,$P$2,HLOOKUP(Table2[[#This Row],[Date]],Funds!$C$10:$GV$11,2,FALSE)))</f>
        <v>1</v>
      </c>
      <c r="J6" s="215">
        <f>IF(Table2[[#This Row],[Description]]="","",Table2[[#This Row],[Value]]/Table2[[#This Row],[Conversion]])</f>
        <v>1700</v>
      </c>
      <c r="K6" s="45">
        <f>IF(Table2[[#This Row],[Description]]="","",DATE(Table2[[#This Row],[Year]],Table2[[#This Row],[Month]],1))</f>
        <v>43586</v>
      </c>
      <c r="M6" s="7">
        <v>5</v>
      </c>
      <c r="N6" s="7"/>
      <c r="Q6" s="14" t="s">
        <v>55</v>
      </c>
      <c r="R6" s="9" t="s">
        <v>33</v>
      </c>
      <c r="S6" s="25" t="s">
        <v>51</v>
      </c>
      <c r="T6" s="9"/>
      <c r="U6" s="9" t="s">
        <v>289</v>
      </c>
      <c r="V6" s="12">
        <v>7</v>
      </c>
      <c r="W6" s="12">
        <v>2019</v>
      </c>
      <c r="X6" s="49">
        <f>DATE(Table3[[#This Row],[Year]],Table3[[#This Row],[Month]],1)</f>
        <v>43647</v>
      </c>
      <c r="Y6" s="228">
        <v>5</v>
      </c>
      <c r="Z6" s="228">
        <v>2019</v>
      </c>
      <c r="AA6" s="49">
        <f>DATE(Table3[[#This Row],[S Yr]],Table3[[#This Row],[S mth]],1)</f>
        <v>43586</v>
      </c>
      <c r="AB6" s="42">
        <v>2000</v>
      </c>
      <c r="AC6" s="40">
        <f>SUMIFS(J:J,G:G,Table3[[#This Row],[Mid bgt]],K:K,"&lt;"&amp;Table3[[#This Row],[End Date]]+1)-SUMIFS(J:J,G:G,Table3[[#This Row],[Mid bgt]],K:K,"&lt;"&amp;Table3[[#This Row],[Start]])</f>
        <v>1523.099006642027</v>
      </c>
      <c r="AD6" s="41">
        <f>Table3[[#This Row],[Planned]]-Table3[[#This Row],[Spent]]</f>
        <v>476.90099335797299</v>
      </c>
      <c r="AE6" s="44"/>
      <c r="AG6" t="s">
        <v>135</v>
      </c>
      <c r="AH6" s="165">
        <v>1200</v>
      </c>
      <c r="AI6">
        <v>1</v>
      </c>
    </row>
    <row r="7" spans="1:38" x14ac:dyDescent="0.25">
      <c r="A7" s="3">
        <v>6</v>
      </c>
      <c r="B7" t="s">
        <v>252</v>
      </c>
      <c r="C7" s="1">
        <v>5</v>
      </c>
      <c r="D7" s="1">
        <v>2019</v>
      </c>
      <c r="E7" s="166">
        <f>62.7+19.44</f>
        <v>82.14</v>
      </c>
      <c r="F7" s="1" t="s">
        <v>21</v>
      </c>
      <c r="G7" s="1" t="str">
        <f>IF(Table2[[#This Row],[Description]]="","",VLOOKUP(Table2[[#This Row],[Description]],$Q$1:$S$101,2,FALSE))</f>
        <v>Other Mid</v>
      </c>
      <c r="H7" s="1" t="str">
        <f>IF(Table2[[#This Row],[Description]]="","",VLOOKUP(Table2[[#This Row],[Description]],$Q$1:$S$101,3,FALSE))</f>
        <v>Mid</v>
      </c>
      <c r="I7" s="1">
        <f>IF(Table2[[#This Row],[Description]]="","",IF(Table2[[#This Row],[Currency]]=$O$2,$P$2,HLOOKUP(Table2[[#This Row],[Date]],Funds!$C$10:$GV$11,2,FALSE)))</f>
        <v>1</v>
      </c>
      <c r="J7" s="215">
        <f>IF(Table2[[#This Row],[Description]]="","",Table2[[#This Row],[Value]]/Table2[[#This Row],[Conversion]])</f>
        <v>82.14</v>
      </c>
      <c r="K7" s="45">
        <f>IF(Table2[[#This Row],[Description]]="","",DATE(Table2[[#This Row],[Year]],Table2[[#This Row],[Month]],1))</f>
        <v>43586</v>
      </c>
      <c r="M7" s="7">
        <v>6</v>
      </c>
      <c r="N7" s="7"/>
      <c r="Q7" s="14" t="s">
        <v>56</v>
      </c>
      <c r="R7" s="9" t="s">
        <v>33</v>
      </c>
      <c r="S7" s="25" t="s">
        <v>51</v>
      </c>
      <c r="T7" s="9"/>
      <c r="U7" s="9" t="s">
        <v>289</v>
      </c>
      <c r="V7" s="12">
        <v>12</v>
      </c>
      <c r="W7" s="12">
        <v>2019</v>
      </c>
      <c r="X7" s="49">
        <f>DATE(Table3[[#This Row],[Year]],Table3[[#This Row],[Month]],1)</f>
        <v>43800</v>
      </c>
      <c r="Y7" s="228">
        <v>11</v>
      </c>
      <c r="Z7" s="228">
        <v>2019</v>
      </c>
      <c r="AA7" s="49">
        <f>DATE(Table3[[#This Row],[S Yr]],Table3[[#This Row],[S mth]],1)</f>
        <v>43770</v>
      </c>
      <c r="AB7" s="42">
        <v>2100</v>
      </c>
      <c r="AC7" s="40">
        <f>SUMIFS(J:J,G:G,Table3[[#This Row],[Mid bgt]],K:K,"&lt;"&amp;Table3[[#This Row],[End Date]]+1)-SUMIFS(J:J,G:G,Table3[[#This Row],[Mid bgt]],K:K,"&lt;"&amp;Table3[[#This Row],[Start]])</f>
        <v>1723.8867830423947</v>
      </c>
      <c r="AD7" s="41">
        <f>Table3[[#This Row],[Planned]]-Table3[[#This Row],[Spent]]</f>
        <v>376.11321695760535</v>
      </c>
      <c r="AE7" s="44"/>
      <c r="AG7" t="s">
        <v>136</v>
      </c>
      <c r="AH7" s="165">
        <v>250</v>
      </c>
      <c r="AI7">
        <v>1</v>
      </c>
    </row>
    <row r="8" spans="1:38" x14ac:dyDescent="0.25">
      <c r="A8" s="3">
        <v>7</v>
      </c>
      <c r="B8" t="s">
        <v>72</v>
      </c>
      <c r="C8" s="1">
        <v>5</v>
      </c>
      <c r="D8" s="1">
        <v>2019</v>
      </c>
      <c r="E8" s="166">
        <f>20</f>
        <v>20</v>
      </c>
      <c r="F8" s="1" t="s">
        <v>21</v>
      </c>
      <c r="G8" s="1" t="str">
        <f>IF(Table2[[#This Row],[Description]]="","",VLOOKUP(Table2[[#This Row],[Description]],$Q$1:$S$101,2,FALSE))</f>
        <v>EK free</v>
      </c>
      <c r="H8" s="1" t="str">
        <f>IF(Table2[[#This Row],[Description]]="","",VLOOKUP(Table2[[#This Row],[Description]],$Q$1:$S$101,3,FALSE))</f>
        <v>Mid</v>
      </c>
      <c r="I8" s="1">
        <f>IF(Table2[[#This Row],[Description]]="","",IF(Table2[[#This Row],[Currency]]=$O$2,$P$2,HLOOKUP(Table2[[#This Row],[Date]],Funds!$C$10:$GV$11,2,FALSE)))</f>
        <v>1</v>
      </c>
      <c r="J8" s="215">
        <f>IF(Table2[[#This Row],[Description]]="","",Table2[[#This Row],[Value]]/Table2[[#This Row],[Conversion]])</f>
        <v>20</v>
      </c>
      <c r="K8" s="45">
        <f>IF(Table2[[#This Row],[Description]]="","",DATE(Table2[[#This Row],[Year]],Table2[[#This Row],[Month]],1))</f>
        <v>43586</v>
      </c>
      <c r="M8" s="7">
        <v>7</v>
      </c>
      <c r="N8" s="7"/>
      <c r="Q8" s="14" t="s">
        <v>541</v>
      </c>
      <c r="R8" s="9" t="s">
        <v>541</v>
      </c>
      <c r="S8" s="25" t="s">
        <v>111</v>
      </c>
      <c r="T8" s="9"/>
      <c r="U8" s="9" t="s">
        <v>289</v>
      </c>
      <c r="V8" s="12">
        <v>10</v>
      </c>
      <c r="W8" s="12">
        <v>2020</v>
      </c>
      <c r="X8" s="49">
        <f>DATE(Table3[[#This Row],[Year]],Table3[[#This Row],[Month]],1)</f>
        <v>44105</v>
      </c>
      <c r="Y8" s="228">
        <v>5</v>
      </c>
      <c r="Z8" s="228">
        <v>2021</v>
      </c>
      <c r="AA8" s="49">
        <f>DATE(Table3[[#This Row],[S Yr]],Table3[[#This Row],[S mth]],1)</f>
        <v>44317</v>
      </c>
      <c r="AB8" s="42">
        <v>1200</v>
      </c>
      <c r="AC8" s="40">
        <f>SUMIFS(J:J,G:G,Table3[[#This Row],[Mid bgt]],K:K,"&lt;"&amp;Table3[[#This Row],[End Date]]+1)-SUMIFS(J:J,G:G,Table3[[#This Row],[Mid bgt]],K:K,"&lt;"&amp;Table3[[#This Row],[Start]])</f>
        <v>0</v>
      </c>
      <c r="AD8" s="41">
        <f>Table3[[#This Row],[Planned]]-Table3[[#This Row],[Spent]]</f>
        <v>1200</v>
      </c>
      <c r="AE8" s="44"/>
      <c r="AG8" t="s">
        <v>137</v>
      </c>
      <c r="AH8" s="165">
        <v>270</v>
      </c>
      <c r="AI8">
        <v>1</v>
      </c>
    </row>
    <row r="9" spans="1:38" x14ac:dyDescent="0.25">
      <c r="A9" s="3">
        <v>8</v>
      </c>
      <c r="B9" t="s">
        <v>73</v>
      </c>
      <c r="C9" s="1">
        <v>5</v>
      </c>
      <c r="D9" s="1">
        <v>2019</v>
      </c>
      <c r="E9" s="166">
        <f>20</f>
        <v>20</v>
      </c>
      <c r="F9" s="1" t="s">
        <v>21</v>
      </c>
      <c r="G9" s="1" t="str">
        <f>IF(Table2[[#This Row],[Description]]="","",VLOOKUP(Table2[[#This Row],[Description]],$Q$1:$S$101,2,FALSE))</f>
        <v>MN free</v>
      </c>
      <c r="H9" s="1" t="str">
        <f>IF(Table2[[#This Row],[Description]]="","",VLOOKUP(Table2[[#This Row],[Description]],$Q$1:$S$101,3,FALSE))</f>
        <v>Mid</v>
      </c>
      <c r="I9" s="1">
        <f>IF(Table2[[#This Row],[Description]]="","",IF(Table2[[#This Row],[Currency]]=$O$2,$P$2,HLOOKUP(Table2[[#This Row],[Date]],Funds!$C$10:$GV$11,2,FALSE)))</f>
        <v>1</v>
      </c>
      <c r="J9" s="215">
        <f>IF(Table2[[#This Row],[Description]]="","",Table2[[#This Row],[Value]]/Table2[[#This Row],[Conversion]])</f>
        <v>20</v>
      </c>
      <c r="K9" s="45">
        <f>IF(Table2[[#This Row],[Description]]="","",DATE(Table2[[#This Row],[Year]],Table2[[#This Row],[Month]],1))</f>
        <v>43586</v>
      </c>
      <c r="M9" s="7">
        <v>8</v>
      </c>
      <c r="N9" s="7"/>
      <c r="Q9" s="14" t="s">
        <v>120</v>
      </c>
      <c r="R9" s="14" t="s">
        <v>120</v>
      </c>
      <c r="S9" s="25" t="s">
        <v>121</v>
      </c>
      <c r="T9" s="9"/>
      <c r="U9" s="9" t="s">
        <v>289</v>
      </c>
      <c r="V9" s="12">
        <v>4</v>
      </c>
      <c r="W9" s="12">
        <v>2021</v>
      </c>
      <c r="X9" s="49">
        <f>DATE(Table3[[#This Row],[Year]],Table3[[#This Row],[Month]],1)</f>
        <v>44287</v>
      </c>
      <c r="Y9" s="228">
        <v>11</v>
      </c>
      <c r="Z9" s="228">
        <v>2020</v>
      </c>
      <c r="AA9" s="49">
        <f>DATE(Table3[[#This Row],[S Yr]],Table3[[#This Row],[S mth]],1)</f>
        <v>44136</v>
      </c>
      <c r="AB9" s="42">
        <v>2400</v>
      </c>
      <c r="AC9" s="40">
        <f>SUMIFS(J:J,G:G,Table3[[#This Row],[Mid bgt]],K:K,"&lt;"&amp;Table3[[#This Row],[End Date]]+1)-SUMIFS(J:J,G:G,Table3[[#This Row],[Mid bgt]],K:K,"&lt;"&amp;Table3[[#This Row],[Start]])</f>
        <v>0</v>
      </c>
      <c r="AD9" s="41">
        <f>Table3[[#This Row],[Planned]]-Table3[[#This Row],[Spent]]</f>
        <v>2400</v>
      </c>
      <c r="AE9" s="44"/>
      <c r="AF9" t="s">
        <v>138</v>
      </c>
      <c r="AG9" t="s">
        <v>134</v>
      </c>
      <c r="AH9" s="165">
        <v>400</v>
      </c>
      <c r="AI9">
        <v>2</v>
      </c>
    </row>
    <row r="10" spans="1:38" x14ac:dyDescent="0.25">
      <c r="A10" s="3">
        <v>9</v>
      </c>
      <c r="B10" t="s">
        <v>68</v>
      </c>
      <c r="C10" s="1">
        <v>5</v>
      </c>
      <c r="D10" s="1">
        <v>2019</v>
      </c>
      <c r="E10" s="166">
        <v>75</v>
      </c>
      <c r="F10" s="1" t="s">
        <v>21</v>
      </c>
      <c r="G10" s="1" t="str">
        <f>IF(Table2[[#This Row],[Description]]="","",VLOOKUP(Table2[[#This Row],[Description]],$Q$1:$S$101,2,FALSE))</f>
        <v>EK free</v>
      </c>
      <c r="H10" s="1" t="str">
        <f>IF(Table2[[#This Row],[Description]]="","",VLOOKUP(Table2[[#This Row],[Description]],$Q$1:$S$101,3,FALSE))</f>
        <v>Mid</v>
      </c>
      <c r="I10" s="1">
        <f>IF(Table2[[#This Row],[Description]]="","",IF(Table2[[#This Row],[Currency]]=$O$2,$P$2,HLOOKUP(Table2[[#This Row],[Date]],Funds!$C$10:$GV$11,2,FALSE)))</f>
        <v>1</v>
      </c>
      <c r="J10" s="215">
        <f>IF(Table2[[#This Row],[Description]]="","",Table2[[#This Row],[Value]]/Table2[[#This Row],[Conversion]])</f>
        <v>75</v>
      </c>
      <c r="K10" s="45">
        <f>IF(Table2[[#This Row],[Description]]="","",DATE(Table2[[#This Row],[Year]],Table2[[#This Row],[Month]],1))</f>
        <v>43586</v>
      </c>
      <c r="M10" s="7">
        <v>9</v>
      </c>
      <c r="N10" s="7"/>
      <c r="Q10" s="14" t="s">
        <v>545</v>
      </c>
      <c r="R10" s="9" t="s">
        <v>33</v>
      </c>
      <c r="S10" s="25" t="s">
        <v>51</v>
      </c>
      <c r="T10" s="9"/>
      <c r="U10" s="9" t="s">
        <v>289</v>
      </c>
      <c r="V10" s="12">
        <v>10</v>
      </c>
      <c r="W10" s="12">
        <v>2021</v>
      </c>
      <c r="X10" s="49">
        <f>DATE(Table3[[#This Row],[Year]],Table3[[#This Row],[Month]],1)</f>
        <v>44470</v>
      </c>
      <c r="Y10" s="228">
        <v>5</v>
      </c>
      <c r="Z10" s="228">
        <v>2022</v>
      </c>
      <c r="AA10" s="49">
        <f>DATE(Table3[[#This Row],[S Yr]],Table3[[#This Row],[S mth]],1)</f>
        <v>44682</v>
      </c>
      <c r="AB10" s="42">
        <v>1200</v>
      </c>
      <c r="AC10" s="40">
        <f>SUMIFS(J:J,G:G,Table3[[#This Row],[Mid bgt]],K:K,"&lt;"&amp;Table3[[#This Row],[End Date]]+1)-SUMIFS(J:J,G:G,Table3[[#This Row],[Mid bgt]],K:K,"&lt;"&amp;Table3[[#This Row],[Start]])</f>
        <v>0</v>
      </c>
      <c r="AD10" s="41">
        <f>Table3[[#This Row],[Planned]]-Table3[[#This Row],[Spent]]</f>
        <v>1200</v>
      </c>
      <c r="AE10" s="44"/>
      <c r="AG10" t="s">
        <v>135</v>
      </c>
      <c r="AH10" s="165">
        <v>350</v>
      </c>
      <c r="AI10">
        <v>2</v>
      </c>
    </row>
    <row r="11" spans="1:38" x14ac:dyDescent="0.25">
      <c r="A11" s="3">
        <v>10</v>
      </c>
      <c r="B11" t="s">
        <v>69</v>
      </c>
      <c r="C11" s="1">
        <v>5</v>
      </c>
      <c r="D11" s="1">
        <v>2019</v>
      </c>
      <c r="E11" s="166">
        <v>75</v>
      </c>
      <c r="F11" s="1" t="s">
        <v>21</v>
      </c>
      <c r="G11" s="1" t="str">
        <f>IF(Table2[[#This Row],[Description]]="","",VLOOKUP(Table2[[#This Row],[Description]],$Q$1:$S$101,2,FALSE))</f>
        <v>MN free</v>
      </c>
      <c r="H11" s="1" t="str">
        <f>IF(Table2[[#This Row],[Description]]="","",VLOOKUP(Table2[[#This Row],[Description]],$Q$1:$S$101,3,FALSE))</f>
        <v>Mid</v>
      </c>
      <c r="I11" s="1">
        <f>IF(Table2[[#This Row],[Description]]="","",IF(Table2[[#This Row],[Currency]]=$O$2,$P$2,HLOOKUP(Table2[[#This Row],[Date]],Funds!$C$10:$GV$11,2,FALSE)))</f>
        <v>1</v>
      </c>
      <c r="J11" s="215">
        <f>IF(Table2[[#This Row],[Description]]="","",Table2[[#This Row],[Value]]/Table2[[#This Row],[Conversion]])</f>
        <v>75</v>
      </c>
      <c r="K11" s="45">
        <f>IF(Table2[[#This Row],[Description]]="","",DATE(Table2[[#This Row],[Year]],Table2[[#This Row],[Month]],1))</f>
        <v>43586</v>
      </c>
      <c r="M11" s="7">
        <v>10</v>
      </c>
      <c r="N11" s="7"/>
      <c r="Q11" s="14" t="s">
        <v>35</v>
      </c>
      <c r="R11" s="9" t="s">
        <v>35</v>
      </c>
      <c r="S11" s="25" t="s">
        <v>51</v>
      </c>
      <c r="T11" s="9"/>
      <c r="U11" s="9" t="s">
        <v>289</v>
      </c>
      <c r="V11" s="12">
        <v>4</v>
      </c>
      <c r="W11" s="12">
        <v>2022</v>
      </c>
      <c r="X11" s="49">
        <f>DATE(Table3[[#This Row],[Year]],Table3[[#This Row],[Month]],1)</f>
        <v>44652</v>
      </c>
      <c r="Y11" s="228">
        <v>11</v>
      </c>
      <c r="Z11" s="228">
        <v>2021</v>
      </c>
      <c r="AA11" s="49">
        <f>DATE(Table3[[#This Row],[S Yr]],Table3[[#This Row],[S mth]],1)</f>
        <v>44501</v>
      </c>
      <c r="AB11" s="42">
        <v>2400</v>
      </c>
      <c r="AC11" s="40">
        <f>SUMIFS(J:J,G:G,Table3[[#This Row],[Mid bgt]],K:K,"&lt;"&amp;Table3[[#This Row],[End Date]]+1)-SUMIFS(J:J,G:G,Table3[[#This Row],[Mid bgt]],K:K,"&lt;"&amp;Table3[[#This Row],[Start]])</f>
        <v>0</v>
      </c>
      <c r="AD11" s="41">
        <f>Table3[[#This Row],[Planned]]-Table3[[#This Row],[Spent]]</f>
        <v>2400</v>
      </c>
      <c r="AE11" s="44"/>
      <c r="AG11" t="s">
        <v>136</v>
      </c>
      <c r="AH11" s="165">
        <v>180</v>
      </c>
      <c r="AI11">
        <v>2</v>
      </c>
    </row>
    <row r="12" spans="1:38" x14ac:dyDescent="0.25">
      <c r="A12" s="3">
        <v>11</v>
      </c>
      <c r="B12" t="s">
        <v>253</v>
      </c>
      <c r="C12" s="1">
        <v>5</v>
      </c>
      <c r="D12" s="1">
        <v>2019</v>
      </c>
      <c r="E12" s="166">
        <v>-1674.01179487179</v>
      </c>
      <c r="F12" s="1" t="s">
        <v>21</v>
      </c>
      <c r="G12" s="1" t="s">
        <v>66</v>
      </c>
      <c r="H12" s="1" t="s">
        <v>66</v>
      </c>
      <c r="I12" s="1">
        <f>IF(Table2[[#This Row],[Description]]="","",IF(Table2[[#This Row],[Currency]]=$O$2,$P$2,HLOOKUP(Table2[[#This Row],[Date]],Funds!$C$10:$GV$11,2,FALSE)))</f>
        <v>1</v>
      </c>
      <c r="J12" s="215">
        <f>IF(Table2[[#This Row],[Description]]="","",Table2[[#This Row],[Value]]/Table2[[#This Row],[Conversion]])</f>
        <v>-1674.01179487179</v>
      </c>
      <c r="K12" s="45">
        <f>IF(Table2[[#This Row],[Description]]="","",DATE(Table2[[#This Row],[Year]],Table2[[#This Row],[Month]],1))</f>
        <v>43586</v>
      </c>
      <c r="M12" s="7">
        <v>11</v>
      </c>
      <c r="N12" s="7"/>
      <c r="Q12" s="14" t="s">
        <v>57</v>
      </c>
      <c r="R12" s="9" t="s">
        <v>37</v>
      </c>
      <c r="S12" s="25" t="s">
        <v>51</v>
      </c>
      <c r="T12" s="9"/>
      <c r="U12" s="9" t="s">
        <v>289</v>
      </c>
      <c r="V12" s="12">
        <v>10</v>
      </c>
      <c r="W12" s="12">
        <v>2022</v>
      </c>
      <c r="X12" s="49">
        <f>DATE(Table3[[#This Row],[Year]],Table3[[#This Row],[Month]],1)</f>
        <v>44835</v>
      </c>
      <c r="Y12" s="228">
        <v>5</v>
      </c>
      <c r="Z12" s="228">
        <v>2023</v>
      </c>
      <c r="AA12" s="49">
        <f>DATE(Table3[[#This Row],[S Yr]],Table3[[#This Row],[S mth]],1)</f>
        <v>45047</v>
      </c>
      <c r="AB12" s="42">
        <v>1200</v>
      </c>
      <c r="AC12" s="40">
        <f>SUMIFS(J:J,G:G,Table3[[#This Row],[Mid bgt]],K:K,"&lt;"&amp;Table3[[#This Row],[End Date]]+1)-SUMIFS(J:J,G:G,Table3[[#This Row],[Mid bgt]],K:K,"&lt;"&amp;Table3[[#This Row],[Start]])</f>
        <v>0</v>
      </c>
      <c r="AD12" s="41">
        <f>Table3[[#This Row],[Planned]]-Table3[[#This Row],[Spent]]</f>
        <v>1200</v>
      </c>
      <c r="AE12" s="44"/>
      <c r="AF12" t="s">
        <v>139</v>
      </c>
      <c r="AG12" t="s">
        <v>140</v>
      </c>
      <c r="AH12" s="165">
        <v>400</v>
      </c>
      <c r="AI12">
        <v>1</v>
      </c>
    </row>
    <row r="13" spans="1:38" x14ac:dyDescent="0.25">
      <c r="A13" s="3">
        <v>12</v>
      </c>
      <c r="B13" t="s">
        <v>62</v>
      </c>
      <c r="C13" s="1">
        <v>5</v>
      </c>
      <c r="D13" s="1">
        <v>2019</v>
      </c>
      <c r="E13" s="166">
        <v>29.85</v>
      </c>
      <c r="F13" s="1" t="s">
        <v>21</v>
      </c>
      <c r="G13" s="1" t="str">
        <f>IF(Table2[[#This Row],[Description]]="","",VLOOKUP(Table2[[#This Row],[Description]],$Q$1:$S$101,2,FALSE))</f>
        <v>Leisure</v>
      </c>
      <c r="H13" s="1" t="str">
        <f>IF(Table2[[#This Row],[Description]]="","",VLOOKUP(Table2[[#This Row],[Description]],$Q$1:$S$101,3,FALSE))</f>
        <v>Short</v>
      </c>
      <c r="I13" s="1">
        <f>IF(Table2[[#This Row],[Description]]="","",IF(Table2[[#This Row],[Currency]]=$O$2,$P$2,HLOOKUP(Table2[[#This Row],[Date]],Funds!$C$10:$GV$11,2,FALSE)))</f>
        <v>1</v>
      </c>
      <c r="J13" s="215">
        <f>IF(Table2[[#This Row],[Description]]="","",Table2[[#This Row],[Value]]/Table2[[#This Row],[Conversion]])</f>
        <v>29.85</v>
      </c>
      <c r="K13" s="45">
        <f>IF(Table2[[#This Row],[Description]]="","",DATE(Table2[[#This Row],[Year]],Table2[[#This Row],[Month]],1))</f>
        <v>43586</v>
      </c>
      <c r="M13" s="8">
        <v>12</v>
      </c>
      <c r="N13" s="8"/>
      <c r="Q13" s="14" t="s">
        <v>58</v>
      </c>
      <c r="R13" s="9" t="s">
        <v>37</v>
      </c>
      <c r="S13" s="25" t="s">
        <v>51</v>
      </c>
      <c r="T13" s="9"/>
      <c r="U13" s="9" t="s">
        <v>289</v>
      </c>
      <c r="V13" s="12">
        <v>4</v>
      </c>
      <c r="W13" s="12">
        <v>2023</v>
      </c>
      <c r="X13" s="49">
        <f>DATE(Table3[[#This Row],[Year]],Table3[[#This Row],[Month]],1)</f>
        <v>45017</v>
      </c>
      <c r="Y13" s="228">
        <v>11</v>
      </c>
      <c r="Z13" s="228">
        <v>2022</v>
      </c>
      <c r="AA13" s="49">
        <f>DATE(Table3[[#This Row],[S Yr]],Table3[[#This Row],[S mth]],1)</f>
        <v>44866</v>
      </c>
      <c r="AB13" s="42">
        <v>2400</v>
      </c>
      <c r="AC13" s="40">
        <f>SUMIFS(J:J,G:G,Table3[[#This Row],[Mid bgt]],K:K,"&lt;"&amp;Table3[[#This Row],[End Date]]+1)-SUMIFS(J:J,G:G,Table3[[#This Row],[Mid bgt]],K:K,"&lt;"&amp;Table3[[#This Row],[Start]])</f>
        <v>0</v>
      </c>
      <c r="AD13" s="41">
        <f>Table3[[#This Row],[Planned]]-Table3[[#This Row],[Spent]]</f>
        <v>2400</v>
      </c>
      <c r="AE13" s="44"/>
      <c r="AG13" t="s">
        <v>141</v>
      </c>
      <c r="AH13" s="165">
        <v>100</v>
      </c>
      <c r="AI13">
        <v>3</v>
      </c>
    </row>
    <row r="14" spans="1:38" x14ac:dyDescent="0.25">
      <c r="A14" s="3">
        <v>13</v>
      </c>
      <c r="B14" t="s">
        <v>58</v>
      </c>
      <c r="C14" s="1">
        <v>5</v>
      </c>
      <c r="D14" s="1">
        <v>2019</v>
      </c>
      <c r="E14" s="166">
        <v>318.8300000000001</v>
      </c>
      <c r="F14" s="1" t="s">
        <v>21</v>
      </c>
      <c r="G14" s="1" t="str">
        <f>IF(Table2[[#This Row],[Description]]="","",VLOOKUP(Table2[[#This Row],[Description]],$Q$1:$S$101,2,FALSE))</f>
        <v>Food</v>
      </c>
      <c r="H14" s="1" t="str">
        <f>IF(Table2[[#This Row],[Description]]="","",VLOOKUP(Table2[[#This Row],[Description]],$Q$1:$S$101,3,FALSE))</f>
        <v>Short</v>
      </c>
      <c r="I14" s="1">
        <f>IF(Table2[[#This Row],[Description]]="","",IF(Table2[[#This Row],[Currency]]=$O$2,$P$2,HLOOKUP(Table2[[#This Row],[Date]],Funds!$C$10:$GV$11,2,FALSE)))</f>
        <v>1</v>
      </c>
      <c r="J14" s="215">
        <f>IF(Table2[[#This Row],[Description]]="","",Table2[[#This Row],[Value]]/Table2[[#This Row],[Conversion]])</f>
        <v>318.8300000000001</v>
      </c>
      <c r="K14" s="45">
        <f>IF(Table2[[#This Row],[Description]]="","",DATE(Table2[[#This Row],[Year]],Table2[[#This Row],[Month]],1))</f>
        <v>43586</v>
      </c>
      <c r="Q14" s="14"/>
      <c r="R14" s="9"/>
      <c r="S14" s="25"/>
      <c r="T14" s="9"/>
      <c r="U14" s="9" t="s">
        <v>289</v>
      </c>
      <c r="V14" s="12">
        <v>10</v>
      </c>
      <c r="W14" s="12">
        <v>2023</v>
      </c>
      <c r="X14" s="49">
        <f>DATE(Table3[[#This Row],[Year]],Table3[[#This Row],[Month]],1)</f>
        <v>45200</v>
      </c>
      <c r="Y14" s="228">
        <v>5</v>
      </c>
      <c r="Z14" s="228">
        <v>2024</v>
      </c>
      <c r="AA14" s="49">
        <f>DATE(Table3[[#This Row],[S Yr]],Table3[[#This Row],[S mth]],1)</f>
        <v>45413</v>
      </c>
      <c r="AB14" s="42">
        <v>1200</v>
      </c>
      <c r="AC14" s="40">
        <f>SUMIFS(J:J,G:G,Table3[[#This Row],[Mid bgt]],K:K,"&lt;"&amp;Table3[[#This Row],[End Date]]+1)-SUMIFS(J:J,G:G,Table3[[#This Row],[Mid bgt]],K:K,"&lt;"&amp;Table3[[#This Row],[Start]])</f>
        <v>0</v>
      </c>
      <c r="AD14" s="41">
        <f>Table3[[#This Row],[Planned]]-Table3[[#This Row],[Spent]]</f>
        <v>1200</v>
      </c>
      <c r="AE14" s="44"/>
      <c r="AG14" t="s">
        <v>142</v>
      </c>
      <c r="AH14" s="165">
        <v>150</v>
      </c>
      <c r="AI14">
        <v>3</v>
      </c>
    </row>
    <row r="15" spans="1:38" x14ac:dyDescent="0.25">
      <c r="A15" s="3">
        <v>14</v>
      </c>
      <c r="B15" t="s">
        <v>67</v>
      </c>
      <c r="C15" s="1">
        <v>5</v>
      </c>
      <c r="D15" s="1">
        <v>2019</v>
      </c>
      <c r="E15" s="166">
        <v>298.08999999999997</v>
      </c>
      <c r="F15" s="1" t="s">
        <v>21</v>
      </c>
      <c r="G15" s="1" t="str">
        <f>IF(Table2[[#This Row],[Description]]="","",VLOOKUP(Table2[[#This Row],[Description]],$Q$1:$S$101,2,FALSE))</f>
        <v>NE trips</v>
      </c>
      <c r="H15" s="1" t="str">
        <f>IF(Table2[[#This Row],[Description]]="","",VLOOKUP(Table2[[#This Row],[Description]],$Q$1:$S$101,3,FALSE))</f>
        <v>Mid</v>
      </c>
      <c r="I15" s="1">
        <f>IF(Table2[[#This Row],[Description]]="","",IF(Table2[[#This Row],[Currency]]=$O$2,$P$2,HLOOKUP(Table2[[#This Row],[Date]],Funds!$C$10:$GV$11,2,FALSE)))</f>
        <v>1</v>
      </c>
      <c r="J15" s="215">
        <f>IF(Table2[[#This Row],[Description]]="","",Table2[[#This Row],[Value]]/Table2[[#This Row],[Conversion]])</f>
        <v>298.08999999999997</v>
      </c>
      <c r="K15" s="45">
        <f>IF(Table2[[#This Row],[Description]]="","",DATE(Table2[[#This Row],[Year]],Table2[[#This Row],[Month]],1))</f>
        <v>43586</v>
      </c>
      <c r="Q15" s="14"/>
      <c r="R15" s="9"/>
      <c r="S15" s="25"/>
      <c r="T15" s="9"/>
      <c r="U15" s="9" t="s">
        <v>289</v>
      </c>
      <c r="V15" s="12">
        <v>4</v>
      </c>
      <c r="W15" s="12">
        <v>2024</v>
      </c>
      <c r="X15" s="49">
        <f>DATE(Table3[[#This Row],[Year]],Table3[[#This Row],[Month]],1)</f>
        <v>45383</v>
      </c>
      <c r="Y15" s="228">
        <v>11</v>
      </c>
      <c r="Z15" s="228">
        <v>2023</v>
      </c>
      <c r="AA15" s="49">
        <f>DATE(Table3[[#This Row],[S Yr]],Table3[[#This Row],[S mth]],1)</f>
        <v>45231</v>
      </c>
      <c r="AB15" s="42">
        <v>2400</v>
      </c>
      <c r="AC15" s="40">
        <f>SUMIFS(J:J,G:G,Table3[[#This Row],[Mid bgt]],K:K,"&lt;"&amp;Table3[[#This Row],[End Date]]+1)-SUMIFS(J:J,G:G,Table3[[#This Row],[Mid bgt]],K:K,"&lt;"&amp;Table3[[#This Row],[Start]])</f>
        <v>0</v>
      </c>
      <c r="AD15" s="41">
        <f>Table3[[#This Row],[Planned]]-Table3[[#This Row],[Spent]]</f>
        <v>2400</v>
      </c>
      <c r="AE15" s="44"/>
      <c r="AG15" t="s">
        <v>143</v>
      </c>
      <c r="AH15" s="165">
        <v>50</v>
      </c>
      <c r="AI15">
        <v>3</v>
      </c>
    </row>
    <row r="16" spans="1:38" x14ac:dyDescent="0.25">
      <c r="A16" s="3">
        <v>15</v>
      </c>
      <c r="B16" t="s">
        <v>57</v>
      </c>
      <c r="C16" s="1">
        <v>5</v>
      </c>
      <c r="D16" s="1">
        <v>2019</v>
      </c>
      <c r="E16" s="166">
        <v>113.53999999999999</v>
      </c>
      <c r="F16" s="1" t="s">
        <v>21</v>
      </c>
      <c r="G16" s="1" t="str">
        <f>IF(Table2[[#This Row],[Description]]="","",VLOOKUP(Table2[[#This Row],[Description]],$Q$1:$S$101,2,FALSE))</f>
        <v>Food</v>
      </c>
      <c r="H16" s="1" t="str">
        <f>IF(Table2[[#This Row],[Description]]="","",VLOOKUP(Table2[[#This Row],[Description]],$Q$1:$S$101,3,FALSE))</f>
        <v>Short</v>
      </c>
      <c r="I16" s="1">
        <f>IF(Table2[[#This Row],[Description]]="","",IF(Table2[[#This Row],[Currency]]=$O$2,$P$2,HLOOKUP(Table2[[#This Row],[Date]],Funds!$C$10:$GV$11,2,FALSE)))</f>
        <v>1</v>
      </c>
      <c r="J16" s="215">
        <f>IF(Table2[[#This Row],[Description]]="","",Table2[[#This Row],[Value]]/Table2[[#This Row],[Conversion]])</f>
        <v>113.53999999999999</v>
      </c>
      <c r="K16" s="45">
        <f>IF(Table2[[#This Row],[Description]]="","",DATE(Table2[[#This Row],[Year]],Table2[[#This Row],[Month]],1))</f>
        <v>43586</v>
      </c>
      <c r="Q16" s="14" t="s">
        <v>59</v>
      </c>
      <c r="R16" s="11" t="s">
        <v>39</v>
      </c>
      <c r="S16" s="25" t="s">
        <v>51</v>
      </c>
      <c r="T16" s="9"/>
      <c r="U16" s="9" t="s">
        <v>289</v>
      </c>
      <c r="V16" s="12">
        <v>10</v>
      </c>
      <c r="W16" s="12">
        <v>2024</v>
      </c>
      <c r="X16" s="49">
        <f>DATE(Table3[[#This Row],[Year]],Table3[[#This Row],[Month]],1)</f>
        <v>45566</v>
      </c>
      <c r="Y16" s="228">
        <v>5</v>
      </c>
      <c r="Z16" s="228">
        <v>2025</v>
      </c>
      <c r="AA16" s="49">
        <f>DATE(Table3[[#This Row],[S Yr]],Table3[[#This Row],[S mth]],1)</f>
        <v>45778</v>
      </c>
      <c r="AB16" s="42">
        <v>1200</v>
      </c>
      <c r="AC16" s="40">
        <f>SUMIFS(J:J,G:G,Table3[[#This Row],[Mid bgt]],K:K,"&lt;"&amp;Table3[[#This Row],[End Date]]+1)-SUMIFS(J:J,G:G,Table3[[#This Row],[Mid bgt]],K:K,"&lt;"&amp;Table3[[#This Row],[Start]])</f>
        <v>0</v>
      </c>
      <c r="AD16" s="41">
        <f>Table3[[#This Row],[Planned]]-Table3[[#This Row],[Spent]]</f>
        <v>1200</v>
      </c>
      <c r="AE16" s="44"/>
      <c r="AG16" t="s">
        <v>144</v>
      </c>
      <c r="AH16" s="165">
        <v>20</v>
      </c>
      <c r="AI16">
        <v>1</v>
      </c>
    </row>
    <row r="17" spans="1:35" x14ac:dyDescent="0.25">
      <c r="A17" s="3">
        <v>16</v>
      </c>
      <c r="B17" t="s">
        <v>249</v>
      </c>
      <c r="C17" s="1">
        <v>5</v>
      </c>
      <c r="D17" s="1">
        <v>2019</v>
      </c>
      <c r="E17" s="166">
        <v>30.92</v>
      </c>
      <c r="F17" s="1" t="s">
        <v>21</v>
      </c>
      <c r="G17" s="1" t="str">
        <f>IF(Table2[[#This Row],[Description]]="","",VLOOKUP(Table2[[#This Row],[Description]],$Q$1:$S$101,2,FALSE))</f>
        <v>Leisure</v>
      </c>
      <c r="H17" s="1" t="str">
        <f>IF(Table2[[#This Row],[Description]]="","",VLOOKUP(Table2[[#This Row],[Description]],$Q$1:$S$101,3,FALSE))</f>
        <v>Short</v>
      </c>
      <c r="I17" s="1">
        <f>IF(Table2[[#This Row],[Description]]="","",IF(Table2[[#This Row],[Currency]]=$O$2,$P$2,HLOOKUP(Table2[[#This Row],[Date]],Funds!$C$10:$GV$11,2,FALSE)))</f>
        <v>1</v>
      </c>
      <c r="J17" s="215">
        <f>IF(Table2[[#This Row],[Description]]="","",Table2[[#This Row],[Value]]/Table2[[#This Row],[Conversion]])</f>
        <v>30.92</v>
      </c>
      <c r="K17" s="45">
        <f>IF(Table2[[#This Row],[Description]]="","",DATE(Table2[[#This Row],[Year]],Table2[[#This Row],[Month]],1))</f>
        <v>43586</v>
      </c>
      <c r="Q17" s="14" t="s">
        <v>60</v>
      </c>
      <c r="R17" s="11" t="s">
        <v>39</v>
      </c>
      <c r="S17" s="25" t="s">
        <v>51</v>
      </c>
      <c r="T17" s="9"/>
      <c r="U17" s="9" t="s">
        <v>289</v>
      </c>
      <c r="V17" s="12">
        <v>4</v>
      </c>
      <c r="W17" s="12">
        <v>2025</v>
      </c>
      <c r="X17" s="49">
        <f>DATE(Table3[[#This Row],[Year]],Table3[[#This Row],[Month]],1)</f>
        <v>45748</v>
      </c>
      <c r="Y17" s="228">
        <v>11</v>
      </c>
      <c r="Z17" s="228">
        <v>2024</v>
      </c>
      <c r="AA17" s="49">
        <f>DATE(Table3[[#This Row],[S Yr]],Table3[[#This Row],[S mth]],1)</f>
        <v>45597</v>
      </c>
      <c r="AB17" s="42">
        <v>2400</v>
      </c>
      <c r="AC17" s="40">
        <f>SUMIFS(J:J,G:G,Table3[[#This Row],[Mid bgt]],K:K,"&lt;"&amp;Table3[[#This Row],[End Date]]+1)-SUMIFS(J:J,G:G,Table3[[#This Row],[Mid bgt]],K:K,"&lt;"&amp;Table3[[#This Row],[Start]])</f>
        <v>0</v>
      </c>
      <c r="AD17" s="41">
        <f>Table3[[#This Row],[Planned]]-Table3[[#This Row],[Spent]]</f>
        <v>2400</v>
      </c>
      <c r="AE17" s="44"/>
      <c r="AG17" t="s">
        <v>145</v>
      </c>
      <c r="AH17" s="165">
        <v>20</v>
      </c>
      <c r="AI17">
        <v>3</v>
      </c>
    </row>
    <row r="18" spans="1:35" x14ac:dyDescent="0.25">
      <c r="A18" s="3">
        <v>17</v>
      </c>
      <c r="B18" t="s">
        <v>254</v>
      </c>
      <c r="C18" s="1">
        <v>5</v>
      </c>
      <c r="D18" s="1">
        <v>2019</v>
      </c>
      <c r="E18" s="166">
        <v>100</v>
      </c>
      <c r="F18" s="1" t="s">
        <v>21</v>
      </c>
      <c r="G18" s="1" t="str">
        <f>IF(Table2[[#This Row],[Description]]="","",VLOOKUP(Table2[[#This Row],[Description]],$Q$1:$S$101,2,FALSE))</f>
        <v>EK Loan termination</v>
      </c>
      <c r="H18" s="1" t="str">
        <f>IF(Table2[[#This Row],[Description]]="","",VLOOKUP(Table2[[#This Row],[Description]],$Q$1:$S$101,3,FALSE))</f>
        <v>Mid</v>
      </c>
      <c r="I18" s="1">
        <f>IF(Table2[[#This Row],[Description]]="","",IF(Table2[[#This Row],[Currency]]=$O$2,$P$2,HLOOKUP(Table2[[#This Row],[Date]],Funds!$C$10:$GV$11,2,FALSE)))</f>
        <v>1</v>
      </c>
      <c r="J18" s="215">
        <f>IF(Table2[[#This Row],[Description]]="","",Table2[[#This Row],[Value]]/Table2[[#This Row],[Conversion]])</f>
        <v>100</v>
      </c>
      <c r="K18" s="45">
        <f>IF(Table2[[#This Row],[Description]]="","",DATE(Table2[[#This Row],[Year]],Table2[[#This Row],[Month]],1))</f>
        <v>43586</v>
      </c>
      <c r="Q18" s="14" t="s">
        <v>61</v>
      </c>
      <c r="R18" s="11" t="s">
        <v>39</v>
      </c>
      <c r="S18" s="25" t="s">
        <v>51</v>
      </c>
      <c r="T18" s="9"/>
      <c r="U18" s="9" t="s">
        <v>289</v>
      </c>
      <c r="V18" s="12">
        <v>10</v>
      </c>
      <c r="W18" s="12">
        <v>2025</v>
      </c>
      <c r="X18" s="49">
        <f>DATE(Table3[[#This Row],[Year]],Table3[[#This Row],[Month]],1)</f>
        <v>45931</v>
      </c>
      <c r="Y18" s="228">
        <v>5</v>
      </c>
      <c r="Z18" s="228">
        <v>2026</v>
      </c>
      <c r="AA18" s="49">
        <f>DATE(Table3[[#This Row],[S Yr]],Table3[[#This Row],[S mth]],1)</f>
        <v>46143</v>
      </c>
      <c r="AB18" s="42">
        <v>1200</v>
      </c>
      <c r="AC18" s="40">
        <f>SUMIFS(J:J,G:G,Table3[[#This Row],[Mid bgt]],K:K,"&lt;"&amp;Table3[[#This Row],[End Date]]+1)-SUMIFS(J:J,G:G,Table3[[#This Row],[Mid bgt]],K:K,"&lt;"&amp;Table3[[#This Row],[Start]])</f>
        <v>0</v>
      </c>
      <c r="AD18" s="41">
        <f>Table3[[#This Row],[Planned]]-Table3[[#This Row],[Spent]]</f>
        <v>1200</v>
      </c>
      <c r="AE18" s="44"/>
      <c r="AG18" t="s">
        <v>146</v>
      </c>
      <c r="AH18" s="165">
        <v>35</v>
      </c>
      <c r="AI18">
        <v>1</v>
      </c>
    </row>
    <row r="19" spans="1:35" x14ac:dyDescent="0.25">
      <c r="A19" s="3">
        <v>18</v>
      </c>
      <c r="B19" t="s">
        <v>31</v>
      </c>
      <c r="C19" s="1">
        <v>5</v>
      </c>
      <c r="D19" s="1">
        <v>2019</v>
      </c>
      <c r="E19" s="166">
        <v>2088.75</v>
      </c>
      <c r="F19" s="1" t="s">
        <v>21</v>
      </c>
      <c r="G19" s="1" t="str">
        <f>IF(Table2[[#This Row],[Description]]="","",VLOOKUP(Table2[[#This Row],[Description]],$Q$1:$S$101,2,FALSE))</f>
        <v>Rent</v>
      </c>
      <c r="H19" s="1" t="str">
        <f>IF(Table2[[#This Row],[Description]]="","",VLOOKUP(Table2[[#This Row],[Description]],$Q$1:$S$101,3,FALSE))</f>
        <v>Short</v>
      </c>
      <c r="I19" s="1">
        <f>IF(Table2[[#This Row],[Description]]="","",IF(Table2[[#This Row],[Currency]]=$O$2,$P$2,HLOOKUP(Table2[[#This Row],[Date]],Funds!$C$10:$GV$11,2,FALSE)))</f>
        <v>1</v>
      </c>
      <c r="J19" s="215">
        <f>IF(Table2[[#This Row],[Description]]="","",Table2[[#This Row],[Value]]/Table2[[#This Row],[Conversion]])</f>
        <v>2088.75</v>
      </c>
      <c r="K19" s="45">
        <f>IF(Table2[[#This Row],[Description]]="","",DATE(Table2[[#This Row],[Year]],Table2[[#This Row],[Month]],1))</f>
        <v>43586</v>
      </c>
      <c r="Q19" s="14" t="s">
        <v>266</v>
      </c>
      <c r="R19" s="9" t="s">
        <v>41</v>
      </c>
      <c r="S19" s="25" t="s">
        <v>51</v>
      </c>
      <c r="T19" s="9"/>
      <c r="U19" s="9" t="s">
        <v>289</v>
      </c>
      <c r="V19" s="12">
        <v>4</v>
      </c>
      <c r="W19" s="12">
        <v>2026</v>
      </c>
      <c r="X19" s="49">
        <f>DATE(Table3[[#This Row],[Year]],Table3[[#This Row],[Month]],1)</f>
        <v>46113</v>
      </c>
      <c r="Y19" s="228">
        <v>11</v>
      </c>
      <c r="Z19" s="228">
        <v>2025</v>
      </c>
      <c r="AA19" s="49">
        <f>DATE(Table3[[#This Row],[S Yr]],Table3[[#This Row],[S mth]],1)</f>
        <v>45962</v>
      </c>
      <c r="AB19" s="42">
        <v>2400</v>
      </c>
      <c r="AC19" s="40">
        <f>SUMIFS(J:J,G:G,Table3[[#This Row],[Mid bgt]],K:K,"&lt;"&amp;Table3[[#This Row],[End Date]]+1)-SUMIFS(J:J,G:G,Table3[[#This Row],[Mid bgt]],K:K,"&lt;"&amp;Table3[[#This Row],[Start]])</f>
        <v>0</v>
      </c>
      <c r="AD19" s="41">
        <f>Table3[[#This Row],[Planned]]-Table3[[#This Row],[Spent]]</f>
        <v>2400</v>
      </c>
      <c r="AE19" s="44"/>
    </row>
    <row r="20" spans="1:35" x14ac:dyDescent="0.25">
      <c r="A20" s="3">
        <v>19</v>
      </c>
      <c r="B20" t="s">
        <v>63</v>
      </c>
      <c r="C20" s="1">
        <v>5</v>
      </c>
      <c r="D20" s="1">
        <v>2019</v>
      </c>
      <c r="E20" s="166">
        <v>12.36</v>
      </c>
      <c r="F20" s="1" t="s">
        <v>21</v>
      </c>
      <c r="G20" s="1" t="str">
        <f>IF(Table2[[#This Row],[Description]]="","",VLOOKUP(Table2[[#This Row],[Description]],$Q$1:$S$101,2,FALSE))</f>
        <v>Leisure</v>
      </c>
      <c r="H20" s="1" t="str">
        <f>IF(Table2[[#This Row],[Description]]="","",VLOOKUP(Table2[[#This Row],[Description]],$Q$1:$S$101,3,FALSE))</f>
        <v>Short</v>
      </c>
      <c r="I20" s="1">
        <f>IF(Table2[[#This Row],[Description]]="","",IF(Table2[[#This Row],[Currency]]=$O$2,$P$2,HLOOKUP(Table2[[#This Row],[Date]],Funds!$C$10:$GV$11,2,FALSE)))</f>
        <v>1</v>
      </c>
      <c r="J20" s="215">
        <f>IF(Table2[[#This Row],[Description]]="","",Table2[[#This Row],[Value]]/Table2[[#This Row],[Conversion]])</f>
        <v>12.36</v>
      </c>
      <c r="K20" s="45">
        <f>IF(Table2[[#This Row],[Description]]="","",DATE(Table2[[#This Row],[Year]],Table2[[#This Row],[Month]],1))</f>
        <v>43586</v>
      </c>
      <c r="Q20" s="14" t="s">
        <v>249</v>
      </c>
      <c r="R20" s="11" t="s">
        <v>41</v>
      </c>
      <c r="S20" s="25" t="s">
        <v>51</v>
      </c>
      <c r="T20" s="9"/>
      <c r="U20" s="9" t="s">
        <v>289</v>
      </c>
      <c r="V20" s="12">
        <v>10</v>
      </c>
      <c r="W20" s="12">
        <v>2026</v>
      </c>
      <c r="X20" s="49">
        <f>DATE(Table3[[#This Row],[Year]],Table3[[#This Row],[Month]],1)</f>
        <v>46296</v>
      </c>
      <c r="Y20" s="228">
        <v>5</v>
      </c>
      <c r="Z20" s="228">
        <v>2027</v>
      </c>
      <c r="AA20" s="49">
        <f>DATE(Table3[[#This Row],[S Yr]],Table3[[#This Row],[S mth]],1)</f>
        <v>46508</v>
      </c>
      <c r="AB20" s="42">
        <v>1200</v>
      </c>
      <c r="AC20" s="40">
        <f>SUMIFS(J:J,G:G,Table3[[#This Row],[Mid bgt]],K:K,"&lt;"&amp;Table3[[#This Row],[End Date]]+1)-SUMIFS(J:J,G:G,Table3[[#This Row],[Mid bgt]],K:K,"&lt;"&amp;Table3[[#This Row],[Start]])</f>
        <v>0</v>
      </c>
      <c r="AD20" s="41">
        <f>Table3[[#This Row],[Planned]]-Table3[[#This Row],[Spent]]</f>
        <v>1200</v>
      </c>
      <c r="AE20" s="44"/>
    </row>
    <row r="21" spans="1:35" x14ac:dyDescent="0.25">
      <c r="A21" s="3">
        <v>20</v>
      </c>
      <c r="B21" t="s">
        <v>29</v>
      </c>
      <c r="C21" s="1">
        <v>5</v>
      </c>
      <c r="D21" s="1">
        <v>2019</v>
      </c>
      <c r="E21" s="166">
        <v>8.8000000000000007</v>
      </c>
      <c r="F21" s="1" t="s">
        <v>21</v>
      </c>
      <c r="G21" s="1" t="str">
        <f>IF(Table2[[#This Row],[Description]]="","",VLOOKUP(Table2[[#This Row],[Description]],$Q$1:$S$101,2,FALSE))</f>
        <v>Health</v>
      </c>
      <c r="H21" s="1" t="str">
        <f>IF(Table2[[#This Row],[Description]]="","",VLOOKUP(Table2[[#This Row],[Description]],$Q$1:$S$101,3,FALSE))</f>
        <v>Mid</v>
      </c>
      <c r="I21" s="1">
        <f>IF(Table2[[#This Row],[Description]]="","",IF(Table2[[#This Row],[Currency]]=$O$2,$P$2,HLOOKUP(Table2[[#This Row],[Date]],Funds!$C$10:$GV$11,2,FALSE)))</f>
        <v>1</v>
      </c>
      <c r="J21" s="215">
        <f>IF(Table2[[#This Row],[Description]]="","",Table2[[#This Row],[Value]]/Table2[[#This Row],[Conversion]])</f>
        <v>8.8000000000000007</v>
      </c>
      <c r="K21" s="45">
        <f>IF(Table2[[#This Row],[Description]]="","",DATE(Table2[[#This Row],[Year]],Table2[[#This Row],[Month]],1))</f>
        <v>43586</v>
      </c>
      <c r="Q21" s="14" t="s">
        <v>62</v>
      </c>
      <c r="R21" s="11" t="s">
        <v>41</v>
      </c>
      <c r="S21" s="25" t="s">
        <v>51</v>
      </c>
      <c r="T21" s="9"/>
      <c r="U21" s="9" t="s">
        <v>289</v>
      </c>
      <c r="V21" s="12">
        <v>4</v>
      </c>
      <c r="W21" s="12">
        <v>2027</v>
      </c>
      <c r="X21" s="49">
        <f>DATE(Table3[[#This Row],[Year]],Table3[[#This Row],[Month]],1)</f>
        <v>46478</v>
      </c>
      <c r="Y21" s="228">
        <v>11</v>
      </c>
      <c r="Z21" s="228">
        <v>2026</v>
      </c>
      <c r="AA21" s="49">
        <f>DATE(Table3[[#This Row],[S Yr]],Table3[[#This Row],[S mth]],1)</f>
        <v>46327</v>
      </c>
      <c r="AB21" s="42">
        <v>2400</v>
      </c>
      <c r="AC21" s="40">
        <f>SUMIFS(J:J,G:G,Table3[[#This Row],[Mid bgt]],K:K,"&lt;"&amp;Table3[[#This Row],[End Date]]+1)-SUMIFS(J:J,G:G,Table3[[#This Row],[Mid bgt]],K:K,"&lt;"&amp;Table3[[#This Row],[Start]])</f>
        <v>0</v>
      </c>
      <c r="AD21" s="41">
        <f>Table3[[#This Row],[Planned]]-Table3[[#This Row],[Spent]]</f>
        <v>2400</v>
      </c>
      <c r="AE21" s="44"/>
    </row>
    <row r="22" spans="1:35" x14ac:dyDescent="0.25">
      <c r="A22" s="3">
        <v>21</v>
      </c>
      <c r="B22" t="s">
        <v>252</v>
      </c>
      <c r="C22" s="1">
        <v>5</v>
      </c>
      <c r="D22" s="1">
        <v>2019</v>
      </c>
      <c r="E22" s="166">
        <v>66.759999999999991</v>
      </c>
      <c r="F22" s="1" t="s">
        <v>21</v>
      </c>
      <c r="G22" s="1" t="str">
        <f>IF(Table2[[#This Row],[Description]]="","",VLOOKUP(Table2[[#This Row],[Description]],$Q$1:$S$101,2,FALSE))</f>
        <v>Other Mid</v>
      </c>
      <c r="H22" s="1" t="str">
        <f>IF(Table2[[#This Row],[Description]]="","",VLOOKUP(Table2[[#This Row],[Description]],$Q$1:$S$101,3,FALSE))</f>
        <v>Mid</v>
      </c>
      <c r="I22" s="1">
        <f>IF(Table2[[#This Row],[Description]]="","",IF(Table2[[#This Row],[Currency]]=$O$2,$P$2,HLOOKUP(Table2[[#This Row],[Date]],Funds!$C$10:$GV$11,2,FALSE)))</f>
        <v>1</v>
      </c>
      <c r="J22" s="215">
        <f>IF(Table2[[#This Row],[Description]]="","",Table2[[#This Row],[Value]]/Table2[[#This Row],[Conversion]])</f>
        <v>66.759999999999991</v>
      </c>
      <c r="K22" s="45">
        <f>IF(Table2[[#This Row],[Description]]="","",DATE(Table2[[#This Row],[Year]],Table2[[#This Row],[Month]],1))</f>
        <v>43586</v>
      </c>
      <c r="Q22" s="14" t="s">
        <v>63</v>
      </c>
      <c r="R22" s="11" t="s">
        <v>41</v>
      </c>
      <c r="S22" s="25" t="s">
        <v>51</v>
      </c>
      <c r="T22" s="9"/>
      <c r="U22" s="9" t="s">
        <v>289</v>
      </c>
      <c r="V22" s="12">
        <v>10</v>
      </c>
      <c r="W22" s="12">
        <v>2027</v>
      </c>
      <c r="X22" s="49">
        <f>DATE(Table3[[#This Row],[Year]],Table3[[#This Row],[Month]],1)</f>
        <v>46661</v>
      </c>
      <c r="Y22" s="228">
        <v>5</v>
      </c>
      <c r="Z22" s="228">
        <v>2028</v>
      </c>
      <c r="AA22" s="49">
        <f>DATE(Table3[[#This Row],[S Yr]],Table3[[#This Row],[S mth]],1)</f>
        <v>46874</v>
      </c>
      <c r="AB22" s="42">
        <v>1200</v>
      </c>
      <c r="AC22" s="40">
        <f>SUMIFS(J:J,G:G,Table3[[#This Row],[Mid bgt]],K:K,"&lt;"&amp;Table3[[#This Row],[End Date]]+1)-SUMIFS(J:J,G:G,Table3[[#This Row],[Mid bgt]],K:K,"&lt;"&amp;Table3[[#This Row],[Start]])</f>
        <v>0</v>
      </c>
      <c r="AD22" s="41">
        <f>Table3[[#This Row],[Planned]]-Table3[[#This Row],[Spent]]</f>
        <v>1200</v>
      </c>
      <c r="AE22" s="44"/>
      <c r="AG22">
        <v>8</v>
      </c>
      <c r="AH22">
        <v>700</v>
      </c>
    </row>
    <row r="23" spans="1:35" x14ac:dyDescent="0.25">
      <c r="A23" s="3">
        <v>22</v>
      </c>
      <c r="B23" t="s">
        <v>255</v>
      </c>
      <c r="C23" s="1">
        <v>5</v>
      </c>
      <c r="D23" s="1">
        <v>2019</v>
      </c>
      <c r="E23" s="166">
        <v>30</v>
      </c>
      <c r="F23" s="1" t="s">
        <v>21</v>
      </c>
      <c r="G23" s="1" t="str">
        <f>IF(Table2[[#This Row],[Description]]="","",VLOOKUP(Table2[[#This Row],[Description]],$Q$1:$S$101,2,FALSE))</f>
        <v>EK free</v>
      </c>
      <c r="H23" s="1" t="str">
        <f>IF(Table2[[#This Row],[Description]]="","",VLOOKUP(Table2[[#This Row],[Description]],$Q$1:$S$101,3,FALSE))</f>
        <v>Mid</v>
      </c>
      <c r="I23" s="1">
        <f>IF(Table2[[#This Row],[Description]]="","",IF(Table2[[#This Row],[Currency]]=$O$2,$P$2,HLOOKUP(Table2[[#This Row],[Date]],Funds!$C$10:$GV$11,2,FALSE)))</f>
        <v>1</v>
      </c>
      <c r="J23" s="215">
        <f>IF(Table2[[#This Row],[Description]]="","",Table2[[#This Row],[Value]]/Table2[[#This Row],[Conversion]])</f>
        <v>30</v>
      </c>
      <c r="K23" s="45">
        <f>IF(Table2[[#This Row],[Description]]="","",DATE(Table2[[#This Row],[Year]],Table2[[#This Row],[Month]],1))</f>
        <v>43586</v>
      </c>
      <c r="Q23" s="14" t="s">
        <v>520</v>
      </c>
      <c r="R23" s="9" t="s">
        <v>41</v>
      </c>
      <c r="S23" s="25" t="s">
        <v>51</v>
      </c>
      <c r="T23" s="9"/>
      <c r="U23" s="9" t="s">
        <v>289</v>
      </c>
      <c r="V23" s="12">
        <v>4</v>
      </c>
      <c r="W23" s="12">
        <v>2028</v>
      </c>
      <c r="X23" s="49">
        <f>DATE(Table3[[#This Row],[Year]],Table3[[#This Row],[Month]],1)</f>
        <v>46844</v>
      </c>
      <c r="Y23" s="228">
        <v>11</v>
      </c>
      <c r="Z23" s="228">
        <v>2027</v>
      </c>
      <c r="AA23" s="49">
        <f>DATE(Table3[[#This Row],[S Yr]],Table3[[#This Row],[S mth]],1)</f>
        <v>46692</v>
      </c>
      <c r="AB23" s="42">
        <v>2400</v>
      </c>
      <c r="AC23" s="40">
        <f>SUMIFS(J:J,G:G,Table3[[#This Row],[Mid bgt]],K:K,"&lt;"&amp;Table3[[#This Row],[End Date]]+1)-SUMIFS(J:J,G:G,Table3[[#This Row],[Mid bgt]],K:K,"&lt;"&amp;Table3[[#This Row],[Start]])</f>
        <v>0</v>
      </c>
      <c r="AD23" s="41">
        <f>Table3[[#This Row],[Planned]]-Table3[[#This Row],[Spent]]</f>
        <v>2400</v>
      </c>
      <c r="AE23" s="44"/>
    </row>
    <row r="24" spans="1:35" x14ac:dyDescent="0.25">
      <c r="A24" s="3">
        <v>23</v>
      </c>
      <c r="B24" t="s">
        <v>59</v>
      </c>
      <c r="C24" s="1">
        <v>5</v>
      </c>
      <c r="D24" s="1">
        <v>2019</v>
      </c>
      <c r="E24" s="166">
        <v>220</v>
      </c>
      <c r="F24" s="1" t="s">
        <v>21</v>
      </c>
      <c r="G24" s="1" t="str">
        <f>IF(Table2[[#This Row],[Description]]="","",VLOOKUP(Table2[[#This Row],[Description]],$Q$1:$S$101,2,FALSE))</f>
        <v>Transportation</v>
      </c>
      <c r="H24" s="1" t="str">
        <f>IF(Table2[[#This Row],[Description]]="","",VLOOKUP(Table2[[#This Row],[Description]],$Q$1:$S$101,3,FALSE))</f>
        <v>Short</v>
      </c>
      <c r="I24" s="1">
        <f>IF(Table2[[#This Row],[Description]]="","",IF(Table2[[#This Row],[Currency]]=$O$2,$P$2,HLOOKUP(Table2[[#This Row],[Date]],Funds!$C$10:$GV$11,2,FALSE)))</f>
        <v>1</v>
      </c>
      <c r="J24" s="215">
        <f>IF(Table2[[#This Row],[Description]]="","",Table2[[#This Row],[Value]]/Table2[[#This Row],[Conversion]])</f>
        <v>220</v>
      </c>
      <c r="K24" s="45">
        <f>IF(Table2[[#This Row],[Description]]="","",DATE(Table2[[#This Row],[Year]],Table2[[#This Row],[Month]],1))</f>
        <v>43586</v>
      </c>
      <c r="Q24" s="14" t="s">
        <v>46</v>
      </c>
      <c r="R24" s="14" t="s">
        <v>46</v>
      </c>
      <c r="S24" s="25" t="s">
        <v>51</v>
      </c>
      <c r="T24" s="9"/>
      <c r="U24" s="9" t="s">
        <v>289</v>
      </c>
      <c r="V24" s="12">
        <v>10</v>
      </c>
      <c r="W24" s="12">
        <v>2028</v>
      </c>
      <c r="X24" s="49">
        <f>DATE(Table3[[#This Row],[Year]],Table3[[#This Row],[Month]],1)</f>
        <v>47027</v>
      </c>
      <c r="Y24" s="228">
        <v>5</v>
      </c>
      <c r="Z24" s="228">
        <v>2029</v>
      </c>
      <c r="AA24" s="49">
        <f>DATE(Table3[[#This Row],[S Yr]],Table3[[#This Row],[S mth]],1)</f>
        <v>47239</v>
      </c>
      <c r="AB24" s="42">
        <v>1200</v>
      </c>
      <c r="AC24" s="40">
        <f>SUMIFS(J:J,G:G,Table3[[#This Row],[Mid bgt]],K:K,"&lt;"&amp;Table3[[#This Row],[End Date]]+1)-SUMIFS(J:J,G:G,Table3[[#This Row],[Mid bgt]],K:K,"&lt;"&amp;Table3[[#This Row],[Start]])</f>
        <v>0</v>
      </c>
      <c r="AD24" s="41">
        <f>Table3[[#This Row],[Planned]]-Table3[[#This Row],[Spent]]</f>
        <v>1200</v>
      </c>
      <c r="AE24" s="44"/>
      <c r="AH24">
        <f>AG22*AH22</f>
        <v>5600</v>
      </c>
      <c r="AI24">
        <v>3</v>
      </c>
    </row>
    <row r="25" spans="1:35" x14ac:dyDescent="0.25">
      <c r="A25" s="3">
        <v>24</v>
      </c>
      <c r="B25" t="s">
        <v>35</v>
      </c>
      <c r="C25" s="1">
        <v>5</v>
      </c>
      <c r="D25" s="1">
        <v>2019</v>
      </c>
      <c r="E25" s="166">
        <v>82.5</v>
      </c>
      <c r="F25" s="1" t="s">
        <v>21</v>
      </c>
      <c r="G25" s="1" t="str">
        <f>IF(Table2[[#This Row],[Description]]="","",VLOOKUP(Table2[[#This Row],[Description]],$Q$1:$S$101,2,FALSE))</f>
        <v>Cellphone</v>
      </c>
      <c r="H25" s="1" t="str">
        <f>IF(Table2[[#This Row],[Description]]="","",VLOOKUP(Table2[[#This Row],[Description]],$Q$1:$S$101,3,FALSE))</f>
        <v>Short</v>
      </c>
      <c r="I25" s="1">
        <f>IF(Table2[[#This Row],[Description]]="","",IF(Table2[[#This Row],[Currency]]=$O$2,$P$2,HLOOKUP(Table2[[#This Row],[Date]],Funds!$C$10:$GV$11,2,FALSE)))</f>
        <v>1</v>
      </c>
      <c r="J25" s="215">
        <f>IF(Table2[[#This Row],[Description]]="","",Table2[[#This Row],[Value]]/Table2[[#This Row],[Conversion]])</f>
        <v>82.5</v>
      </c>
      <c r="K25" s="45">
        <f>IF(Table2[[#This Row],[Description]]="","",DATE(Table2[[#This Row],[Year]],Table2[[#This Row],[Month]],1))</f>
        <v>43586</v>
      </c>
      <c r="Q25" s="14" t="s">
        <v>267</v>
      </c>
      <c r="R25" s="9" t="s">
        <v>41</v>
      </c>
      <c r="S25" s="25" t="s">
        <v>51</v>
      </c>
      <c r="T25" s="9"/>
      <c r="U25" s="9" t="s">
        <v>289</v>
      </c>
      <c r="V25" s="12">
        <v>4</v>
      </c>
      <c r="W25" s="12">
        <v>2029</v>
      </c>
      <c r="X25" s="49">
        <f>DATE(Table3[[#This Row],[Year]],Table3[[#This Row],[Month]],1)</f>
        <v>47209</v>
      </c>
      <c r="Y25" s="228">
        <v>11</v>
      </c>
      <c r="Z25" s="228">
        <v>2028</v>
      </c>
      <c r="AA25" s="49">
        <f>DATE(Table3[[#This Row],[S Yr]],Table3[[#This Row],[S mth]],1)</f>
        <v>47058</v>
      </c>
      <c r="AB25" s="42">
        <v>2400</v>
      </c>
      <c r="AC25" s="40">
        <f>SUMIFS(J:J,G:G,Table3[[#This Row],[Mid bgt]],K:K,"&lt;"&amp;Table3[[#This Row],[End Date]]+1)-SUMIFS(J:J,G:G,Table3[[#This Row],[Mid bgt]],K:K,"&lt;"&amp;Table3[[#This Row],[Start]])</f>
        <v>0</v>
      </c>
      <c r="AD25" s="41">
        <f>Table3[[#This Row],[Planned]]-Table3[[#This Row],[Spent]]</f>
        <v>2400</v>
      </c>
      <c r="AE25" s="44"/>
    </row>
    <row r="26" spans="1:35" x14ac:dyDescent="0.25">
      <c r="A26" s="3">
        <v>25</v>
      </c>
      <c r="B26" t="s">
        <v>68</v>
      </c>
      <c r="C26" s="1">
        <v>5</v>
      </c>
      <c r="D26" s="1">
        <v>2019</v>
      </c>
      <c r="E26" s="166">
        <f>343.8/2</f>
        <v>171.9</v>
      </c>
      <c r="F26" s="1" t="s">
        <v>22</v>
      </c>
      <c r="G26" s="1" t="str">
        <f>IF(Table2[[#This Row],[Description]]="","",VLOOKUP(Table2[[#This Row],[Description]],$Q$1:$S$101,2,FALSE))</f>
        <v>EK free</v>
      </c>
      <c r="H26" s="1" t="str">
        <f>IF(Table2[[#This Row],[Description]]="","",VLOOKUP(Table2[[#This Row],[Description]],$Q$1:$S$101,3,FALSE))</f>
        <v>Mid</v>
      </c>
      <c r="I26" s="1">
        <f>IF(Table2[[#This Row],[Description]]="","",IF(Table2[[#This Row],[Currency]]=$O$2,$P$2,HLOOKUP(Table2[[#This Row],[Date]],Funds!$C$10:$GV$11,2,FALSE)))</f>
        <v>3.92</v>
      </c>
      <c r="J26" s="215">
        <f>IF(Table2[[#This Row],[Description]]="","",Table2[[#This Row],[Value]]/Table2[[#This Row],[Conversion]])</f>
        <v>43.852040816326536</v>
      </c>
      <c r="K26" s="45">
        <f>IF(Table2[[#This Row],[Description]]="","",DATE(Table2[[#This Row],[Year]],Table2[[#This Row],[Month]],1))</f>
        <v>43586</v>
      </c>
      <c r="Q26" s="14" t="s">
        <v>64</v>
      </c>
      <c r="R26" s="11" t="s">
        <v>26</v>
      </c>
      <c r="S26" s="38" t="s">
        <v>66</v>
      </c>
      <c r="T26" s="11"/>
      <c r="U26" s="9" t="s">
        <v>289</v>
      </c>
      <c r="V26" s="12">
        <v>10</v>
      </c>
      <c r="W26" s="12">
        <v>2029</v>
      </c>
      <c r="X26" s="49">
        <f>DATE(Table3[[#This Row],[Year]],Table3[[#This Row],[Month]],1)</f>
        <v>47392</v>
      </c>
      <c r="Y26" s="228">
        <v>5</v>
      </c>
      <c r="Z26" s="228">
        <v>2030</v>
      </c>
      <c r="AA26" s="49">
        <f>DATE(Table3[[#This Row],[S Yr]],Table3[[#This Row],[S mth]],1)</f>
        <v>47604</v>
      </c>
      <c r="AB26" s="42">
        <v>1200</v>
      </c>
      <c r="AC26" s="40">
        <f>SUMIFS(J:J,G:G,Table3[[#This Row],[Mid bgt]],K:K,"&lt;"&amp;Table3[[#This Row],[End Date]]+1)-SUMIFS(J:J,G:G,Table3[[#This Row],[Mid bgt]],K:K,"&lt;"&amp;Table3[[#This Row],[Start]])</f>
        <v>0</v>
      </c>
      <c r="AD26" s="41">
        <f>Table3[[#This Row],[Planned]]-Table3[[#This Row],[Spent]]</f>
        <v>1200</v>
      </c>
      <c r="AE26" s="44"/>
      <c r="AG26" s="291">
        <v>43831</v>
      </c>
      <c r="AH26">
        <v>3</v>
      </c>
      <c r="AI26">
        <f>$AH$24*AH26/$AG$22</f>
        <v>2100</v>
      </c>
    </row>
    <row r="27" spans="1:35" x14ac:dyDescent="0.25">
      <c r="A27" s="3">
        <v>26</v>
      </c>
      <c r="B27" t="s">
        <v>69</v>
      </c>
      <c r="C27" s="1">
        <v>5</v>
      </c>
      <c r="D27" s="1">
        <v>2019</v>
      </c>
      <c r="E27" s="166">
        <f>343.8/2</f>
        <v>171.9</v>
      </c>
      <c r="F27" s="1" t="s">
        <v>22</v>
      </c>
      <c r="G27" s="1" t="str">
        <f>IF(Table2[[#This Row],[Description]]="","",VLOOKUP(Table2[[#This Row],[Description]],$Q$1:$S$101,2,FALSE))</f>
        <v>MN free</v>
      </c>
      <c r="H27" s="1" t="str">
        <f>IF(Table2[[#This Row],[Description]]="","",VLOOKUP(Table2[[#This Row],[Description]],$Q$1:$S$101,3,FALSE))</f>
        <v>Mid</v>
      </c>
      <c r="I27" s="1">
        <f>IF(Table2[[#This Row],[Description]]="","",IF(Table2[[#This Row],[Currency]]=$O$2,$P$2,HLOOKUP(Table2[[#This Row],[Date]],Funds!$C$10:$GV$11,2,FALSE)))</f>
        <v>3.92</v>
      </c>
      <c r="J27" s="215">
        <f>IF(Table2[[#This Row],[Description]]="","",Table2[[#This Row],[Value]]/Table2[[#This Row],[Conversion]])</f>
        <v>43.852040816326536</v>
      </c>
      <c r="K27" s="45">
        <f>IF(Table2[[#This Row],[Description]]="","",DATE(Table2[[#This Row],[Year]],Table2[[#This Row],[Month]],1))</f>
        <v>43586</v>
      </c>
      <c r="Q27" s="14" t="s">
        <v>29</v>
      </c>
      <c r="R27" s="11" t="s">
        <v>26</v>
      </c>
      <c r="S27" s="38" t="s">
        <v>66</v>
      </c>
      <c r="T27" s="11"/>
      <c r="U27" s="9" t="s">
        <v>289</v>
      </c>
      <c r="V27" s="12">
        <v>4</v>
      </c>
      <c r="W27" s="12">
        <v>2030</v>
      </c>
      <c r="X27" s="49">
        <f>DATE(Table3[[#This Row],[Year]],Table3[[#This Row],[Month]],1)</f>
        <v>47574</v>
      </c>
      <c r="Y27" s="228">
        <v>11</v>
      </c>
      <c r="Z27" s="228">
        <v>2029</v>
      </c>
      <c r="AA27" s="49">
        <f>DATE(Table3[[#This Row],[S Yr]],Table3[[#This Row],[S mth]],1)</f>
        <v>47423</v>
      </c>
      <c r="AB27" s="42">
        <v>2400</v>
      </c>
      <c r="AC27" s="40">
        <f>SUMIFS(J:J,G:G,Table3[[#This Row],[Mid bgt]],K:K,"&lt;"&amp;Table3[[#This Row],[End Date]]+1)-SUMIFS(J:J,G:G,Table3[[#This Row],[Mid bgt]],K:K,"&lt;"&amp;Table3[[#This Row],[Start]])</f>
        <v>0</v>
      </c>
      <c r="AD27" s="41">
        <f>Table3[[#This Row],[Planned]]-Table3[[#This Row],[Spent]]</f>
        <v>2400</v>
      </c>
      <c r="AE27" s="44"/>
      <c r="AG27" s="291">
        <v>44044</v>
      </c>
      <c r="AH27">
        <v>3</v>
      </c>
      <c r="AI27">
        <f t="shared" ref="AI27:AI28" si="0">$AH$24*AH27/$AG$22</f>
        <v>2100</v>
      </c>
    </row>
    <row r="28" spans="1:35" x14ac:dyDescent="0.25">
      <c r="A28" s="3">
        <v>27</v>
      </c>
      <c r="B28" t="s">
        <v>260</v>
      </c>
      <c r="C28" s="1">
        <v>5</v>
      </c>
      <c r="D28" s="1">
        <v>2019</v>
      </c>
      <c r="E28" s="166">
        <v>-129</v>
      </c>
      <c r="F28" s="1" t="s">
        <v>22</v>
      </c>
      <c r="G28" s="1" t="s">
        <v>37</v>
      </c>
      <c r="H28" s="1" t="s">
        <v>51</v>
      </c>
      <c r="I28" s="1">
        <f>IF(Table2[[#This Row],[Description]]="","",IF(Table2[[#This Row],[Currency]]=$O$2,$P$2,HLOOKUP(Table2[[#This Row],[Date]],Funds!$C$10:$GV$11,2,FALSE)))</f>
        <v>3.92</v>
      </c>
      <c r="J28" s="215">
        <f>IF(Table2[[#This Row],[Description]]="","",Table2[[#This Row],[Value]]/Table2[[#This Row],[Conversion]])</f>
        <v>-32.908163265306122</v>
      </c>
      <c r="K28" s="45">
        <f>IF(Table2[[#This Row],[Description]]="","",DATE(Table2[[#This Row],[Year]],Table2[[#This Row],[Month]],1))</f>
        <v>43586</v>
      </c>
      <c r="Q28" s="14" t="s">
        <v>65</v>
      </c>
      <c r="R28" s="11" t="s">
        <v>26</v>
      </c>
      <c r="S28" s="38" t="s">
        <v>66</v>
      </c>
      <c r="T28" s="11"/>
      <c r="U28" s="9" t="s">
        <v>289</v>
      </c>
      <c r="V28" s="12">
        <v>10</v>
      </c>
      <c r="W28" s="12">
        <v>2030</v>
      </c>
      <c r="X28" s="49">
        <f>DATE(Table3[[#This Row],[Year]],Table3[[#This Row],[Month]],1)</f>
        <v>47757</v>
      </c>
      <c r="Y28" s="228">
        <v>5</v>
      </c>
      <c r="Z28" s="228">
        <v>2031</v>
      </c>
      <c r="AA28" s="49">
        <f>DATE(Table3[[#This Row],[S Yr]],Table3[[#This Row],[S mth]],1)</f>
        <v>47969</v>
      </c>
      <c r="AB28" s="42">
        <v>1200</v>
      </c>
      <c r="AC28" s="40">
        <f>SUMIFS(J:J,G:G,Table3[[#This Row],[Mid bgt]],K:K,"&lt;"&amp;Table3[[#This Row],[End Date]]+1)-SUMIFS(J:J,G:G,Table3[[#This Row],[Mid bgt]],K:K,"&lt;"&amp;Table3[[#This Row],[Start]])</f>
        <v>0</v>
      </c>
      <c r="AD28" s="41">
        <f>Table3[[#This Row],[Planned]]-Table3[[#This Row],[Spent]]</f>
        <v>1200</v>
      </c>
      <c r="AE28" s="44"/>
      <c r="AG28" s="233">
        <v>43486</v>
      </c>
      <c r="AH28">
        <v>2</v>
      </c>
      <c r="AI28">
        <f t="shared" si="0"/>
        <v>1400</v>
      </c>
    </row>
    <row r="29" spans="1:35" x14ac:dyDescent="0.25">
      <c r="A29" s="3">
        <v>28</v>
      </c>
      <c r="B29" t="s">
        <v>126</v>
      </c>
      <c r="C29" s="1">
        <v>5</v>
      </c>
      <c r="D29" s="1">
        <v>2019</v>
      </c>
      <c r="E29" s="166">
        <v>1100</v>
      </c>
      <c r="F29" s="1" t="s">
        <v>22</v>
      </c>
      <c r="G29" s="1" t="s">
        <v>252</v>
      </c>
      <c r="H29" s="1" t="s">
        <v>66</v>
      </c>
      <c r="I29" s="1">
        <f>IF(Table2[[#This Row],[Description]]="","",IF(Table2[[#This Row],[Currency]]=$O$2,$P$2,HLOOKUP(Table2[[#This Row],[Date]],Funds!$C$10:$GV$11,2,FALSE)))</f>
        <v>3.92</v>
      </c>
      <c r="J29" s="215">
        <f>IF(Table2[[#This Row],[Description]]="","",Table2[[#This Row],[Value]]/Table2[[#This Row],[Conversion]])</f>
        <v>280.61224489795921</v>
      </c>
      <c r="K29" s="45">
        <f>IF(Table2[[#This Row],[Description]]="","",DATE(Table2[[#This Row],[Year]],Table2[[#This Row],[Month]],1))</f>
        <v>43586</v>
      </c>
      <c r="Q29" s="14" t="s">
        <v>264</v>
      </c>
      <c r="R29" s="11" t="s">
        <v>71</v>
      </c>
      <c r="S29" s="38" t="s">
        <v>66</v>
      </c>
      <c r="T29" s="9"/>
      <c r="U29" s="9" t="s">
        <v>147</v>
      </c>
      <c r="V29" s="10">
        <v>5</v>
      </c>
      <c r="W29" s="10">
        <v>2019</v>
      </c>
      <c r="X29" s="49">
        <f>DATE(Table3[[#This Row],[Year]],Table3[[#This Row],[Month]],1)</f>
        <v>43586</v>
      </c>
      <c r="Y29" s="228">
        <v>5</v>
      </c>
      <c r="Z29" s="228">
        <v>2019</v>
      </c>
      <c r="AA29" s="49">
        <f>DATE(Table3[[#This Row],[S Yr]],Table3[[#This Row],[S mth]],1)</f>
        <v>43586</v>
      </c>
      <c r="AB29" s="40">
        <f>11000/3.8</f>
        <v>2894.7368421052633</v>
      </c>
      <c r="AC29" s="40">
        <f>SUMIFS(J:J,G:G,Table3[[#This Row],[Mid bgt]],K:K,"&lt;"&amp;Table3[[#This Row],[End Date]]+1)-SUMIFS(J:J,G:G,Table3[[#This Row],[Mid bgt]],K:K,"&lt;"&amp;Table3[[#This Row],[Start]])</f>
        <v>0</v>
      </c>
      <c r="AD29" s="41">
        <f>Table3[[#This Row],[Planned]]-Table3[[#This Row],[Spent]]</f>
        <v>2894.7368421052633</v>
      </c>
      <c r="AE29" s="44"/>
    </row>
    <row r="30" spans="1:35" x14ac:dyDescent="0.25">
      <c r="A30" s="3">
        <v>29</v>
      </c>
      <c r="B30" t="s">
        <v>185</v>
      </c>
      <c r="C30" s="1">
        <v>5</v>
      </c>
      <c r="D30" s="1">
        <v>2019</v>
      </c>
      <c r="E30" s="166">
        <v>2480</v>
      </c>
      <c r="F30" s="1" t="s">
        <v>22</v>
      </c>
      <c r="G30" s="1" t="s">
        <v>252</v>
      </c>
      <c r="H30" s="1" t="s">
        <v>66</v>
      </c>
      <c r="I30" s="1">
        <f>IF(Table2[[#This Row],[Description]]="","",IF(Table2[[#This Row],[Currency]]=$O$2,$P$2,HLOOKUP(Table2[[#This Row],[Date]],Funds!$C$10:$GV$11,2,FALSE)))</f>
        <v>3.92</v>
      </c>
      <c r="J30" s="215">
        <f>IF(Table2[[#This Row],[Description]]="","",Table2[[#This Row],[Value]]/Table2[[#This Row],[Conversion]])</f>
        <v>632.65306122448976</v>
      </c>
      <c r="K30" s="45">
        <f>IF(Table2[[#This Row],[Description]]="","",DATE(Table2[[#This Row],[Year]],Table2[[#This Row],[Month]],1))</f>
        <v>43586</v>
      </c>
      <c r="Q30" s="14" t="s">
        <v>289</v>
      </c>
      <c r="R30" s="9" t="s">
        <v>289</v>
      </c>
      <c r="S30" s="25" t="s">
        <v>66</v>
      </c>
      <c r="T30" s="9"/>
      <c r="U30" s="9" t="s">
        <v>393</v>
      </c>
      <c r="V30" s="10">
        <v>6</v>
      </c>
      <c r="W30" s="10">
        <v>2020</v>
      </c>
      <c r="X30" s="49">
        <f>DATE(Table3[[#This Row],[Year]],Table3[[#This Row],[Month]],1)</f>
        <v>43983</v>
      </c>
      <c r="Y30" s="10">
        <v>1</v>
      </c>
      <c r="Z30" s="10">
        <v>2020</v>
      </c>
      <c r="AA30" s="48">
        <f>DATE(Table3[[#This Row],[S Yr]],Table3[[#This Row],[S mth]],1)</f>
        <v>43831</v>
      </c>
      <c r="AB30" s="40">
        <v>500</v>
      </c>
      <c r="AC30" s="40">
        <f>SUMIFS(J:J,B:B,Table3[[#This Row],[Mid bgt]],K:K,"&lt;"&amp;Table3[[#This Row],[End Date]]+1)-SUMIFS(J:J,B:B,Table3[[#This Row],[Mid bgt]],K:K,"&lt;"&amp;Table3[[#This Row],[Start]])</f>
        <v>469.61</v>
      </c>
      <c r="AD30" s="41">
        <f>Table3[[#This Row],[Planned]]-Table3[[#This Row],[Spent]]</f>
        <v>30.389999999999986</v>
      </c>
      <c r="AE30" s="44"/>
    </row>
    <row r="31" spans="1:35" x14ac:dyDescent="0.25">
      <c r="A31" s="3">
        <v>30</v>
      </c>
      <c r="B31" t="s">
        <v>53</v>
      </c>
      <c r="C31" s="1">
        <v>5</v>
      </c>
      <c r="D31" s="1">
        <v>2019</v>
      </c>
      <c r="E31" s="166">
        <v>9.92</v>
      </c>
      <c r="F31" s="1" t="s">
        <v>22</v>
      </c>
      <c r="G31" s="1" t="str">
        <f>IF(Table2[[#This Row],[Description]]="","",VLOOKUP(Table2[[#This Row],[Description]],$Q$1:$S$101,2,FALSE))</f>
        <v>Utilities</v>
      </c>
      <c r="H31" s="1" t="str">
        <f>IF(Table2[[#This Row],[Description]]="","",VLOOKUP(Table2[[#This Row],[Description]],$Q$1:$S$101,3,FALSE))</f>
        <v>Short</v>
      </c>
      <c r="I31" s="1">
        <f>IF(Table2[[#This Row],[Description]]="","",IF(Table2[[#This Row],[Currency]]=$O$2,$P$2,HLOOKUP(Table2[[#This Row],[Date]],Funds!$C$10:$GV$11,2,FALSE)))</f>
        <v>3.92</v>
      </c>
      <c r="J31" s="215">
        <f>IF(Table2[[#This Row],[Description]]="","",Table2[[#This Row],[Value]]/Table2[[#This Row],[Conversion]])</f>
        <v>2.5306122448979593</v>
      </c>
      <c r="K31" s="45">
        <f>IF(Table2[[#This Row],[Description]]="","",DATE(Table2[[#This Row],[Year]],Table2[[#This Row],[Month]],1))</f>
        <v>43586</v>
      </c>
      <c r="Q31" s="14"/>
      <c r="R31" s="9"/>
      <c r="S31" s="38"/>
      <c r="T31" s="11"/>
      <c r="U31" s="9" t="s">
        <v>393</v>
      </c>
      <c r="V31" s="10">
        <v>7</v>
      </c>
      <c r="W31" s="10">
        <v>2020</v>
      </c>
      <c r="X31" s="49">
        <f>DATE(Table3[[#This Row],[Year]],Table3[[#This Row],[Month]],1)</f>
        <v>44013</v>
      </c>
      <c r="Y31" s="10">
        <v>7</v>
      </c>
      <c r="Z31" s="10">
        <v>2020</v>
      </c>
      <c r="AA31" s="48">
        <f>DATE(Table3[[#This Row],[S Yr]],Table3[[#This Row],[S mth]],1)</f>
        <v>44013</v>
      </c>
      <c r="AB31" s="40">
        <v>500</v>
      </c>
      <c r="AC31" s="40">
        <f>SUMIFS(J:J,B:B,Table3[[#This Row],[Mid bgt]],K:K,"&lt;"&amp;Table3[[#This Row],[End Date]]+1)-SUMIFS(J:J,B:B,Table3[[#This Row],[Mid bgt]],K:K,"&lt;"&amp;Table3[[#This Row],[Start]])</f>
        <v>0</v>
      </c>
      <c r="AD31" s="41">
        <f>Table3[[#This Row],[Planned]]-Table3[[#This Row],[Spent]]</f>
        <v>500</v>
      </c>
      <c r="AE31" s="44"/>
    </row>
    <row r="32" spans="1:35" x14ac:dyDescent="0.25">
      <c r="A32" s="3">
        <v>31</v>
      </c>
      <c r="B32" t="s">
        <v>56</v>
      </c>
      <c r="C32" s="1">
        <v>5</v>
      </c>
      <c r="D32" s="1">
        <v>2019</v>
      </c>
      <c r="E32" s="166">
        <v>325.55999999999995</v>
      </c>
      <c r="F32" s="1" t="s">
        <v>22</v>
      </c>
      <c r="G32" s="1" t="str">
        <f>IF(Table2[[#This Row],[Description]]="","",VLOOKUP(Table2[[#This Row],[Description]],$Q$1:$S$101,2,FALSE))</f>
        <v>Utilities</v>
      </c>
      <c r="H32" s="1" t="str">
        <f>IF(Table2[[#This Row],[Description]]="","",VLOOKUP(Table2[[#This Row],[Description]],$Q$1:$S$101,3,FALSE))</f>
        <v>Short</v>
      </c>
      <c r="I32" s="1">
        <f>IF(Table2[[#This Row],[Description]]="","",IF(Table2[[#This Row],[Currency]]=$O$2,$P$2,HLOOKUP(Table2[[#This Row],[Date]],Funds!$C$10:$GV$11,2,FALSE)))</f>
        <v>3.92</v>
      </c>
      <c r="J32" s="215">
        <f>IF(Table2[[#This Row],[Description]]="","",Table2[[#This Row],[Value]]/Table2[[#This Row],[Conversion]])</f>
        <v>83.051020408163254</v>
      </c>
      <c r="K32" s="45">
        <f>IF(Table2[[#This Row],[Description]]="","",DATE(Table2[[#This Row],[Year]],Table2[[#This Row],[Month]],1))</f>
        <v>43586</v>
      </c>
      <c r="Q32" s="14" t="s">
        <v>67</v>
      </c>
      <c r="R32" s="9" t="s">
        <v>67</v>
      </c>
      <c r="S32" s="38" t="s">
        <v>66</v>
      </c>
      <c r="T32" s="11"/>
      <c r="U32" s="9" t="s">
        <v>262</v>
      </c>
      <c r="V32" s="10">
        <v>1</v>
      </c>
      <c r="W32" s="10">
        <v>2020</v>
      </c>
      <c r="X32" s="49">
        <f>DATE(Table3[[#This Row],[Year]],Table3[[#This Row],[Month]],1)</f>
        <v>43831</v>
      </c>
      <c r="Y32" s="228">
        <v>1</v>
      </c>
      <c r="Z32" s="228">
        <v>2020</v>
      </c>
      <c r="AA32" s="49">
        <f>DATE(Table3[[#This Row],[S Yr]],Table3[[#This Row],[S mth]],1)</f>
        <v>43831</v>
      </c>
      <c r="AB32" s="40">
        <f>400+817.8</f>
        <v>1217.8</v>
      </c>
      <c r="AC32" s="40">
        <f>SUMIFS(J:J,G:G,Table3[[#This Row],[Mid bgt]],K:K,"&lt;"&amp;Table3[[#This Row],[End Date]]+1)-SUMIFS(J:J,G:G,Table3[[#This Row],[Mid bgt]],K:K,"&lt;"&amp;Table3[[#This Row],[Start]])</f>
        <v>0</v>
      </c>
      <c r="AD32" s="41">
        <f>Table3[[#This Row],[Planned]]-Table3[[#This Row],[Spent]]</f>
        <v>1217.8</v>
      </c>
      <c r="AE32" s="44"/>
    </row>
    <row r="33" spans="1:37" x14ac:dyDescent="0.25">
      <c r="A33" s="3">
        <v>32</v>
      </c>
      <c r="B33" t="s">
        <v>252</v>
      </c>
      <c r="C33" s="1">
        <v>5</v>
      </c>
      <c r="D33" s="1">
        <v>2019</v>
      </c>
      <c r="E33" s="166">
        <v>9.9</v>
      </c>
      <c r="F33" s="1" t="s">
        <v>22</v>
      </c>
      <c r="G33" s="1" t="str">
        <f>IF(Table2[[#This Row],[Description]]="","",VLOOKUP(Table2[[#This Row],[Description]],$Q$1:$S$101,2,FALSE))</f>
        <v>Other Mid</v>
      </c>
      <c r="H33" s="1" t="str">
        <f>IF(Table2[[#This Row],[Description]]="","",VLOOKUP(Table2[[#This Row],[Description]],$Q$1:$S$101,3,FALSE))</f>
        <v>Mid</v>
      </c>
      <c r="I33" s="1">
        <f>IF(Table2[[#This Row],[Description]]="","",IF(Table2[[#This Row],[Currency]]=$O$2,$P$2,HLOOKUP(Table2[[#This Row],[Date]],Funds!$C$10:$GV$11,2,FALSE)))</f>
        <v>3.92</v>
      </c>
      <c r="J33" s="215">
        <f>IF(Table2[[#This Row],[Description]]="","",Table2[[#This Row],[Value]]/Table2[[#This Row],[Conversion]])</f>
        <v>2.5255102040816326</v>
      </c>
      <c r="K33" s="45">
        <f>IF(Table2[[#This Row],[Description]]="","",DATE(Table2[[#This Row],[Year]],Table2[[#This Row],[Month]],1))</f>
        <v>43586</v>
      </c>
      <c r="Q33" s="14" t="s">
        <v>264</v>
      </c>
      <c r="R33" s="9" t="s">
        <v>71</v>
      </c>
      <c r="S33" s="38" t="s">
        <v>66</v>
      </c>
      <c r="T33" s="11"/>
      <c r="U33" s="9" t="s">
        <v>128</v>
      </c>
      <c r="V33" s="10">
        <v>6</v>
      </c>
      <c r="W33" s="10">
        <v>2019</v>
      </c>
      <c r="X33" s="49">
        <f>DATE(Table3[[#This Row],[Year]],Table3[[#This Row],[Month]],1)</f>
        <v>43617</v>
      </c>
      <c r="Y33" s="228">
        <v>6</v>
      </c>
      <c r="Z33" s="228">
        <v>2019</v>
      </c>
      <c r="AA33" s="49">
        <f>DATE(Table3[[#This Row],[S Yr]],Table3[[#This Row],[S mth]],1)</f>
        <v>43617</v>
      </c>
      <c r="AB33" s="40">
        <f>-5500/4</f>
        <v>-1375</v>
      </c>
      <c r="AC33" s="40">
        <f>SUMIFS(J:J,G:G,Table3[[#This Row],[Mid bgt]],K:K,"&lt;"&amp;Table3[[#This Row],[End Date]]+1)-SUMIFS(J:J,G:G,Table3[[#This Row],[Mid bgt]],K:K,"&lt;"&amp;Table3[[#This Row],[Start]])</f>
        <v>0</v>
      </c>
      <c r="AD33" s="41">
        <f>Table3[[#This Row],[Planned]]-Table3[[#This Row],[Spent]]</f>
        <v>-1375</v>
      </c>
      <c r="AE33" s="44"/>
    </row>
    <row r="34" spans="1:37" x14ac:dyDescent="0.25">
      <c r="A34" s="3">
        <v>33</v>
      </c>
      <c r="B34" t="s">
        <v>31</v>
      </c>
      <c r="C34" s="1">
        <v>5</v>
      </c>
      <c r="D34" s="1">
        <v>2019</v>
      </c>
      <c r="E34" s="166">
        <v>2855.12</v>
      </c>
      <c r="F34" s="1" t="s">
        <v>22</v>
      </c>
      <c r="G34" s="1" t="str">
        <f>IF(Table2[[#This Row],[Description]]="","",VLOOKUP(Table2[[#This Row],[Description]],$Q$1:$S$101,2,FALSE))</f>
        <v>Rent</v>
      </c>
      <c r="H34" s="1" t="str">
        <f>IF(Table2[[#This Row],[Description]]="","",VLOOKUP(Table2[[#This Row],[Description]],$Q$1:$S$101,3,FALSE))</f>
        <v>Short</v>
      </c>
      <c r="I34" s="1">
        <f>IF(Table2[[#This Row],[Description]]="","",IF(Table2[[#This Row],[Currency]]=$O$2,$P$2,HLOOKUP(Table2[[#This Row],[Date]],Funds!$C$10:$GV$11,2,FALSE)))</f>
        <v>3.92</v>
      </c>
      <c r="J34" s="215">
        <f>IF(Table2[[#This Row],[Description]]="","",Table2[[#This Row],[Value]]/Table2[[#This Row],[Conversion]])</f>
        <v>728.34693877551024</v>
      </c>
      <c r="K34" s="45">
        <f>IF(Table2[[#This Row],[Description]]="","",DATE(Table2[[#This Row],[Year]],Table2[[#This Row],[Month]],1))</f>
        <v>43586</v>
      </c>
      <c r="Q34" s="14" t="s">
        <v>68</v>
      </c>
      <c r="R34" s="11" t="s">
        <v>70</v>
      </c>
      <c r="S34" s="38" t="s">
        <v>66</v>
      </c>
      <c r="T34" s="11"/>
      <c r="U34" s="9" t="s">
        <v>127</v>
      </c>
      <c r="V34" s="10">
        <v>5</v>
      </c>
      <c r="W34" s="10">
        <v>2019</v>
      </c>
      <c r="X34" s="49">
        <f>DATE(Table3[[#This Row],[Year]],Table3[[#This Row],[Month]],1)</f>
        <v>43586</v>
      </c>
      <c r="Y34" s="228">
        <v>5</v>
      </c>
      <c r="Z34" s="228">
        <v>2019</v>
      </c>
      <c r="AA34" s="49">
        <f>DATE(Table3[[#This Row],[S Yr]],Table3[[#This Row],[S mth]],1)</f>
        <v>43586</v>
      </c>
      <c r="AB34" s="40">
        <v>1500</v>
      </c>
      <c r="AC34" s="40">
        <f>SUMIFS(J:J,G:G,Table3[[#This Row],[Mid bgt]],K:K,"&lt;"&amp;Table3[[#This Row],[End Date]]+1)-SUMIFS(J:J,G:G,Table3[[#This Row],[Mid bgt]],K:K,"&lt;"&amp;Table3[[#This Row],[Start]])</f>
        <v>0</v>
      </c>
      <c r="AD34" s="41">
        <f>Table3[[#This Row],[Planned]]-Table3[[#This Row],[Spent]]</f>
        <v>1500</v>
      </c>
      <c r="AE34" s="44"/>
    </row>
    <row r="35" spans="1:37" x14ac:dyDescent="0.25">
      <c r="A35" s="3">
        <v>34</v>
      </c>
      <c r="B35" t="s">
        <v>261</v>
      </c>
      <c r="C35" s="1">
        <v>5</v>
      </c>
      <c r="D35" s="1">
        <v>2019</v>
      </c>
      <c r="E35" s="166">
        <v>-200</v>
      </c>
      <c r="F35" s="1" t="s">
        <v>22</v>
      </c>
      <c r="G35" s="1" t="s">
        <v>252</v>
      </c>
      <c r="H35" s="1" t="s">
        <v>66</v>
      </c>
      <c r="I35" s="1">
        <f>IF(Table2[[#This Row],[Description]]="","",IF(Table2[[#This Row],[Currency]]=$O$2,$P$2,HLOOKUP(Table2[[#This Row],[Date]],Funds!$C$10:$GV$11,2,FALSE)))</f>
        <v>3.92</v>
      </c>
      <c r="J35" s="215">
        <f>IF(Table2[[#This Row],[Description]]="","",Table2[[#This Row],[Value]]/Table2[[#This Row],[Conversion]])</f>
        <v>-51.020408163265309</v>
      </c>
      <c r="K35" s="45">
        <f>IF(Table2[[#This Row],[Description]]="","",DATE(Table2[[#This Row],[Year]],Table2[[#This Row],[Month]],1))</f>
        <v>43586</v>
      </c>
      <c r="Q35" s="14" t="s">
        <v>69</v>
      </c>
      <c r="R35" s="11" t="s">
        <v>71</v>
      </c>
      <c r="S35" s="38" t="s">
        <v>66</v>
      </c>
      <c r="T35" s="11"/>
      <c r="U35" s="9" t="s">
        <v>224</v>
      </c>
      <c r="V35" s="10">
        <v>8</v>
      </c>
      <c r="W35" s="10">
        <v>2020</v>
      </c>
      <c r="X35" s="49">
        <f>DATE(Table3[[#This Row],[Year]],Table3[[#This Row],[Month]],1)</f>
        <v>44044</v>
      </c>
      <c r="Y35" s="228">
        <v>9</v>
      </c>
      <c r="Z35" s="228">
        <v>2019</v>
      </c>
      <c r="AA35" s="49">
        <f>DATE(Table3[[#This Row],[S Yr]],Table3[[#This Row],[S mth]],1)</f>
        <v>43709</v>
      </c>
      <c r="AB35" s="40">
        <v>4000</v>
      </c>
      <c r="AC35" s="40">
        <f>SUMIFS(J:J,G:G,Table3[[#This Row],[Mid bgt]],K:K,"&lt;"&amp;Table3[[#This Row],[End Date]]+1)-SUMIFS(J:J,G:G,Table3[[#This Row],[Mid bgt]],K:K,"&lt;"&amp;Table3[[#This Row],[Start]])</f>
        <v>0</v>
      </c>
      <c r="AD35" s="41">
        <f>Table3[[#This Row],[Planned]]-Table3[[#This Row],[Spent]]</f>
        <v>4000</v>
      </c>
      <c r="AE35" s="44"/>
    </row>
    <row r="36" spans="1:37" x14ac:dyDescent="0.25">
      <c r="A36" s="3">
        <v>35</v>
      </c>
      <c r="B36" t="s">
        <v>62</v>
      </c>
      <c r="C36" s="1">
        <v>5</v>
      </c>
      <c r="D36" s="1">
        <v>2019</v>
      </c>
      <c r="E36" s="166">
        <v>308</v>
      </c>
      <c r="F36" s="1" t="s">
        <v>22</v>
      </c>
      <c r="G36" s="1" t="str">
        <f>IF(Table2[[#This Row],[Description]]="","",VLOOKUP(Table2[[#This Row],[Description]],$Q$1:$S$101,2,FALSE))</f>
        <v>Leisure</v>
      </c>
      <c r="H36" s="1" t="str">
        <f>IF(Table2[[#This Row],[Description]]="","",VLOOKUP(Table2[[#This Row],[Description]],$Q$1:$S$101,3,FALSE))</f>
        <v>Short</v>
      </c>
      <c r="I36" s="1">
        <f>IF(Table2[[#This Row],[Description]]="","",IF(Table2[[#This Row],[Currency]]=$O$2,$P$2,HLOOKUP(Table2[[#This Row],[Date]],Funds!$C$10:$GV$11,2,FALSE)))</f>
        <v>3.92</v>
      </c>
      <c r="J36" s="215">
        <f>IF(Table2[[#This Row],[Description]]="","",Table2[[#This Row],[Value]]/Table2[[#This Row],[Conversion]])</f>
        <v>78.571428571428569</v>
      </c>
      <c r="K36" s="45">
        <f>IF(Table2[[#This Row],[Description]]="","",DATE(Table2[[#This Row],[Year]],Table2[[#This Row],[Month]],1))</f>
        <v>43586</v>
      </c>
      <c r="Q36" s="14" t="s">
        <v>72</v>
      </c>
      <c r="R36" s="9" t="s">
        <v>70</v>
      </c>
      <c r="S36" s="25" t="s">
        <v>66</v>
      </c>
      <c r="T36" s="9"/>
      <c r="U36" t="s">
        <v>563</v>
      </c>
      <c r="V36" s="1">
        <v>5</v>
      </c>
      <c r="W36" s="1">
        <v>2020</v>
      </c>
      <c r="X36" s="49">
        <f>DATE(Table3[[#This Row],[Year]],Table3[[#This Row],[Month]],1)</f>
        <v>43952</v>
      </c>
      <c r="Y36" s="227">
        <v>5</v>
      </c>
      <c r="Z36" s="227">
        <v>2020</v>
      </c>
      <c r="AA36" s="47">
        <f>DATE(Table3[[#This Row],[S Yr]],Table3[[#This Row],[S mth]],1)</f>
        <v>43952</v>
      </c>
      <c r="AC36" s="40">
        <f>SUMIFS(J:J,B:B,Table3[[#This Row],[Mid bgt]],K:K,"&lt;"&amp;Table3[[#This Row],[End Date]]+1)-SUMIFS(J:J,B:B,Table3[[#This Row],[Mid bgt]],K:K,"&lt;"&amp;Table3[[#This Row],[Start]])</f>
        <v>0</v>
      </c>
      <c r="AD36" s="41">
        <f>Table3[[#This Row],[Planned]]-Table3[[#This Row],[Spent]]</f>
        <v>0</v>
      </c>
      <c r="AE36" s="44"/>
    </row>
    <row r="37" spans="1:37" x14ac:dyDescent="0.25">
      <c r="A37" s="3">
        <v>36</v>
      </c>
      <c r="B37" t="s">
        <v>29</v>
      </c>
      <c r="C37" s="1">
        <v>5</v>
      </c>
      <c r="D37" s="1">
        <v>2019</v>
      </c>
      <c r="E37" s="166">
        <v>139.80000000000001</v>
      </c>
      <c r="F37" s="1" t="s">
        <v>22</v>
      </c>
      <c r="G37" s="1" t="str">
        <f>IF(Table2[[#This Row],[Description]]="","",VLOOKUP(Table2[[#This Row],[Description]],$Q$1:$S$101,2,FALSE))</f>
        <v>Health</v>
      </c>
      <c r="H37" s="1" t="str">
        <f>IF(Table2[[#This Row],[Description]]="","",VLOOKUP(Table2[[#This Row],[Description]],$Q$1:$S$101,3,FALSE))</f>
        <v>Mid</v>
      </c>
      <c r="I37" s="1">
        <f>IF(Table2[[#This Row],[Description]]="","",IF(Table2[[#This Row],[Currency]]=$O$2,$P$2,HLOOKUP(Table2[[#This Row],[Date]],Funds!$C$10:$GV$11,2,FALSE)))</f>
        <v>3.92</v>
      </c>
      <c r="J37" s="215">
        <f>IF(Table2[[#This Row],[Description]]="","",Table2[[#This Row],[Value]]/Table2[[#This Row],[Conversion]])</f>
        <v>35.663265306122454</v>
      </c>
      <c r="K37" s="45">
        <f>IF(Table2[[#This Row],[Description]]="","",DATE(Table2[[#This Row],[Year]],Table2[[#This Row],[Month]],1))</f>
        <v>43586</v>
      </c>
      <c r="Q37" s="14" t="s">
        <v>73</v>
      </c>
      <c r="R37" s="9" t="s">
        <v>71</v>
      </c>
      <c r="S37" s="25" t="s">
        <v>66</v>
      </c>
      <c r="T37" s="9"/>
      <c r="U37" t="s">
        <v>563</v>
      </c>
      <c r="V37" s="1">
        <v>6</v>
      </c>
      <c r="W37" s="1">
        <v>2020</v>
      </c>
      <c r="X37" s="49">
        <f>DATE(Table3[[#This Row],[Year]],Table3[[#This Row],[Month]],1)</f>
        <v>43983</v>
      </c>
      <c r="Y37" s="227">
        <v>6</v>
      </c>
      <c r="Z37" s="227">
        <v>2020</v>
      </c>
      <c r="AA37" s="47">
        <f>DATE(Table3[[#This Row],[S Yr]],Table3[[#This Row],[S mth]],1)</f>
        <v>43983</v>
      </c>
      <c r="AC37" s="40">
        <f>SUMIFS(J:J,B:B,Table3[[#This Row],[Mid bgt]],K:K,"&lt;"&amp;Table3[[#This Row],[End Date]]+1)-SUMIFS(J:J,B:B,Table3[[#This Row],[Mid bgt]],K:K,"&lt;"&amp;Table3[[#This Row],[Start]])</f>
        <v>0</v>
      </c>
      <c r="AD37" s="41">
        <f>Table3[[#This Row],[Planned]]-Table3[[#This Row],[Spent]]</f>
        <v>0</v>
      </c>
      <c r="AE37" s="44"/>
    </row>
    <row r="38" spans="1:37" x14ac:dyDescent="0.25">
      <c r="A38" s="3">
        <v>37</v>
      </c>
      <c r="B38" t="s">
        <v>252</v>
      </c>
      <c r="C38" s="1">
        <v>5</v>
      </c>
      <c r="D38" s="1">
        <v>2019</v>
      </c>
      <c r="E38" s="166">
        <v>-230.89</v>
      </c>
      <c r="F38" s="1" t="s">
        <v>22</v>
      </c>
      <c r="G38" s="1" t="str">
        <f>IF(Table2[[#This Row],[Description]]="","",VLOOKUP(Table2[[#This Row],[Description]],$Q$1:$S$101,2,FALSE))</f>
        <v>Other Mid</v>
      </c>
      <c r="H38" s="1" t="str">
        <f>IF(Table2[[#This Row],[Description]]="","",VLOOKUP(Table2[[#This Row],[Description]],$Q$1:$S$101,3,FALSE))</f>
        <v>Mid</v>
      </c>
      <c r="I38" s="1">
        <f>IF(Table2[[#This Row],[Description]]="","",IF(Table2[[#This Row],[Currency]]=$O$2,$P$2,HLOOKUP(Table2[[#This Row],[Date]],Funds!$C$10:$GV$11,2,FALSE)))</f>
        <v>3.92</v>
      </c>
      <c r="J38" s="215">
        <f>IF(Table2[[#This Row],[Description]]="","",Table2[[#This Row],[Value]]/Table2[[#This Row],[Conversion]])</f>
        <v>-58.900510204081627</v>
      </c>
      <c r="K38" s="45">
        <f>IF(Table2[[#This Row],[Description]]="","",DATE(Table2[[#This Row],[Year]],Table2[[#This Row],[Month]],1))</f>
        <v>43586</v>
      </c>
      <c r="Q38" s="14" t="s">
        <v>263</v>
      </c>
      <c r="R38" s="9" t="s">
        <v>71</v>
      </c>
      <c r="S38" s="25" t="s">
        <v>66</v>
      </c>
      <c r="T38" s="9"/>
      <c r="U38" t="s">
        <v>563</v>
      </c>
      <c r="V38" s="1">
        <v>7</v>
      </c>
      <c r="W38" s="1">
        <v>2020</v>
      </c>
      <c r="X38" s="49">
        <f>DATE(Table3[[#This Row],[Year]],Table3[[#This Row],[Month]],1)</f>
        <v>44013</v>
      </c>
      <c r="Y38" s="227">
        <v>7</v>
      </c>
      <c r="Z38" s="227">
        <v>2020</v>
      </c>
      <c r="AA38" s="47">
        <f>DATE(Table3[[#This Row],[S Yr]],Table3[[#This Row],[S mth]],1)</f>
        <v>44013</v>
      </c>
      <c r="AC38" s="40">
        <f>SUMIFS(J:J,B:B,Table3[[#This Row],[Mid bgt]],K:K,"&lt;"&amp;Table3[[#This Row],[End Date]]+1)-SUMIFS(J:J,B:B,Table3[[#This Row],[Mid bgt]],K:K,"&lt;"&amp;Table3[[#This Row],[Start]])</f>
        <v>0</v>
      </c>
      <c r="AD38" s="41">
        <f>Table3[[#This Row],[Planned]]-Table3[[#This Row],[Spent]]</f>
        <v>0</v>
      </c>
      <c r="AE38" s="44"/>
    </row>
    <row r="39" spans="1:37" x14ac:dyDescent="0.25">
      <c r="A39" s="3">
        <v>38</v>
      </c>
      <c r="B39" t="s">
        <v>58</v>
      </c>
      <c r="C39" s="1">
        <v>5</v>
      </c>
      <c r="D39" s="1">
        <v>2019</v>
      </c>
      <c r="E39" s="166">
        <v>361.47999999999996</v>
      </c>
      <c r="F39" s="1" t="s">
        <v>22</v>
      </c>
      <c r="G39" s="1" t="str">
        <f>IF(Table2[[#This Row],[Description]]="","",VLOOKUP(Table2[[#This Row],[Description]],$Q$1:$S$101,2,FALSE))</f>
        <v>Food</v>
      </c>
      <c r="H39" s="1" t="str">
        <f>IF(Table2[[#This Row],[Description]]="","",VLOOKUP(Table2[[#This Row],[Description]],$Q$1:$S$101,3,FALSE))</f>
        <v>Short</v>
      </c>
      <c r="I39" s="1">
        <f>IF(Table2[[#This Row],[Description]]="","",IF(Table2[[#This Row],[Currency]]=$O$2,$P$2,HLOOKUP(Table2[[#This Row],[Date]],Funds!$C$10:$GV$11,2,FALSE)))</f>
        <v>3.92</v>
      </c>
      <c r="J39" s="215">
        <f>IF(Table2[[#This Row],[Description]]="","",Table2[[#This Row],[Value]]/Table2[[#This Row],[Conversion]])</f>
        <v>92.214285714285708</v>
      </c>
      <c r="K39" s="45">
        <f>IF(Table2[[#This Row],[Description]]="","",DATE(Table2[[#This Row],[Year]],Table2[[#This Row],[Month]],1))</f>
        <v>43586</v>
      </c>
      <c r="Q39" s="14" t="s">
        <v>472</v>
      </c>
      <c r="R39" s="9" t="s">
        <v>281</v>
      </c>
      <c r="S39" s="25" t="s">
        <v>66</v>
      </c>
      <c r="T39" s="9"/>
      <c r="U39" t="s">
        <v>563</v>
      </c>
      <c r="V39" s="1">
        <v>8</v>
      </c>
      <c r="W39" s="1">
        <v>2020</v>
      </c>
      <c r="X39" s="49">
        <f>DATE(Table3[[#This Row],[Year]],Table3[[#This Row],[Month]],1)</f>
        <v>44044</v>
      </c>
      <c r="Y39" s="227">
        <v>8</v>
      </c>
      <c r="Z39" s="227">
        <v>2020</v>
      </c>
      <c r="AA39" s="47">
        <f>DATE(Table3[[#This Row],[S Yr]],Table3[[#This Row],[S mth]],1)</f>
        <v>44044</v>
      </c>
      <c r="AC39" s="40">
        <f>SUMIFS(J:J,B:B,Table3[[#This Row],[Mid bgt]],K:K,"&lt;"&amp;Table3[[#This Row],[End Date]]+1)-SUMIFS(J:J,B:B,Table3[[#This Row],[Mid bgt]],K:K,"&lt;"&amp;Table3[[#This Row],[Start]])</f>
        <v>0</v>
      </c>
      <c r="AD39" s="41">
        <f>Table3[[#This Row],[Planned]]-Table3[[#This Row],[Spent]]</f>
        <v>0</v>
      </c>
      <c r="AE39" s="44"/>
    </row>
    <row r="40" spans="1:37" x14ac:dyDescent="0.25">
      <c r="A40" s="3">
        <v>39</v>
      </c>
      <c r="B40" t="s">
        <v>57</v>
      </c>
      <c r="C40" s="1">
        <v>5</v>
      </c>
      <c r="D40" s="1">
        <v>2019</v>
      </c>
      <c r="E40" s="166">
        <v>94.41</v>
      </c>
      <c r="F40" s="1" t="s">
        <v>22</v>
      </c>
      <c r="G40" s="1" t="str">
        <f>IF(Table2[[#This Row],[Description]]="","",VLOOKUP(Table2[[#This Row],[Description]],$Q$1:$S$101,2,FALSE))</f>
        <v>Food</v>
      </c>
      <c r="H40" s="1" t="str">
        <f>IF(Table2[[#This Row],[Description]]="","",VLOOKUP(Table2[[#This Row],[Description]],$Q$1:$S$101,3,FALSE))</f>
        <v>Short</v>
      </c>
      <c r="I40" s="1">
        <f>IF(Table2[[#This Row],[Description]]="","",IF(Table2[[#This Row],[Currency]]=$O$2,$P$2,HLOOKUP(Table2[[#This Row],[Date]],Funds!$C$10:$GV$11,2,FALSE)))</f>
        <v>3.92</v>
      </c>
      <c r="J40" s="215">
        <f>IF(Table2[[#This Row],[Description]]="","",Table2[[#This Row],[Value]]/Table2[[#This Row],[Conversion]])</f>
        <v>24.084183673469386</v>
      </c>
      <c r="K40" s="45">
        <f>IF(Table2[[#This Row],[Description]]="","",DATE(Table2[[#This Row],[Year]],Table2[[#This Row],[Month]],1))</f>
        <v>43586</v>
      </c>
      <c r="Q40" s="14"/>
      <c r="R40" s="9"/>
      <c r="S40" s="25"/>
      <c r="T40" s="9"/>
      <c r="U40" t="s">
        <v>563</v>
      </c>
      <c r="V40" s="1">
        <v>9</v>
      </c>
      <c r="W40" s="1">
        <v>2020</v>
      </c>
      <c r="X40" s="49">
        <f>DATE(Table3[[#This Row],[Year]],Table3[[#This Row],[Month]],1)</f>
        <v>44075</v>
      </c>
      <c r="Y40" s="227">
        <v>9</v>
      </c>
      <c r="Z40" s="227">
        <v>2020</v>
      </c>
      <c r="AA40" s="47">
        <f>DATE(Table3[[#This Row],[S Yr]],Table3[[#This Row],[S mth]],1)</f>
        <v>44075</v>
      </c>
      <c r="AC40" s="40">
        <f>SUMIFS(J:J,B:B,Table3[[#This Row],[Mid bgt]],K:K,"&lt;"&amp;Table3[[#This Row],[End Date]]+1)-SUMIFS(J:J,B:B,Table3[[#This Row],[Mid bgt]],K:K,"&lt;"&amp;Table3[[#This Row],[Start]])</f>
        <v>0</v>
      </c>
      <c r="AD40" s="41">
        <f>Table3[[#This Row],[Planned]]-Table3[[#This Row],[Spent]]</f>
        <v>0</v>
      </c>
      <c r="AE40" s="44"/>
    </row>
    <row r="41" spans="1:37" x14ac:dyDescent="0.25">
      <c r="A41" s="3">
        <v>40</v>
      </c>
      <c r="B41" t="s">
        <v>289</v>
      </c>
      <c r="C41" s="1">
        <v>5</v>
      </c>
      <c r="D41" s="1">
        <v>2019</v>
      </c>
      <c r="E41" s="166">
        <v>822.95</v>
      </c>
      <c r="F41" s="1" t="s">
        <v>22</v>
      </c>
      <c r="G41" s="1" t="str">
        <f>IF(Table2[[#This Row],[Description]]="","",VLOOKUP(Table2[[#This Row],[Description]],$Q$1:$S$101,2,FALSE))</f>
        <v>BR trips</v>
      </c>
      <c r="H41" s="1" t="str">
        <f>IF(Table2[[#This Row],[Description]]="","",VLOOKUP(Table2[[#This Row],[Description]],$Q$1:$S$101,3,FALSE))</f>
        <v>Mid</v>
      </c>
      <c r="I41" s="1">
        <f>IF(Table2[[#This Row],[Description]]="","",IF(Table2[[#This Row],[Currency]]=$O$2,$P$2,HLOOKUP(Table2[[#This Row],[Date]],Funds!$C$10:$GV$11,2,FALSE)))</f>
        <v>3.92</v>
      </c>
      <c r="J41" s="215">
        <f>IF(Table2[[#This Row],[Description]]="","",Table2[[#This Row],[Value]]/Table2[[#This Row],[Conversion]])</f>
        <v>209.93622448979593</v>
      </c>
      <c r="K41" s="45">
        <f>IF(Table2[[#This Row],[Description]]="","",DATE(Table2[[#This Row],[Year]],Table2[[#This Row],[Month]],1))</f>
        <v>43586</v>
      </c>
      <c r="Q41" s="14"/>
      <c r="R41" s="9"/>
      <c r="S41" s="25"/>
      <c r="T41" s="9"/>
      <c r="U41" t="s">
        <v>563</v>
      </c>
      <c r="V41" s="1">
        <v>10</v>
      </c>
      <c r="W41" s="1">
        <v>2020</v>
      </c>
      <c r="X41" s="49">
        <f>DATE(Table3[[#This Row],[Year]],Table3[[#This Row],[Month]],1)</f>
        <v>44105</v>
      </c>
      <c r="Y41" s="227">
        <v>10</v>
      </c>
      <c r="Z41" s="227">
        <v>2020</v>
      </c>
      <c r="AA41" s="47">
        <f>DATE(Table3[[#This Row],[S Yr]],Table3[[#This Row],[S mth]],1)</f>
        <v>44105</v>
      </c>
      <c r="AC41" s="40">
        <f>SUMIFS(J:J,B:B,Table3[[#This Row],[Mid bgt]],K:K,"&lt;"&amp;Table3[[#This Row],[End Date]]+1)-SUMIFS(J:J,B:B,Table3[[#This Row],[Mid bgt]],K:K,"&lt;"&amp;Table3[[#This Row],[Start]])</f>
        <v>0</v>
      </c>
      <c r="AD41" s="41">
        <f>Table3[[#This Row],[Planned]]-Table3[[#This Row],[Spent]]</f>
        <v>0</v>
      </c>
      <c r="AE41" s="44"/>
    </row>
    <row r="42" spans="1:37" x14ac:dyDescent="0.25">
      <c r="A42" s="3">
        <v>41</v>
      </c>
      <c r="B42" t="s">
        <v>263</v>
      </c>
      <c r="C42" s="1">
        <v>5</v>
      </c>
      <c r="D42" s="1">
        <v>2019</v>
      </c>
      <c r="E42" s="166">
        <v>29.9</v>
      </c>
      <c r="F42" s="1" t="s">
        <v>22</v>
      </c>
      <c r="G42" s="1" t="str">
        <f>IF(Table2[[#This Row],[Description]]="","",VLOOKUP(Table2[[#This Row],[Description]],$Q$1:$S$101,2,FALSE))</f>
        <v>MN free</v>
      </c>
      <c r="H42" s="1" t="str">
        <f>IF(Table2[[#This Row],[Description]]="","",VLOOKUP(Table2[[#This Row],[Description]],$Q$1:$S$101,3,FALSE))</f>
        <v>Mid</v>
      </c>
      <c r="I42" s="1">
        <f>IF(Table2[[#This Row],[Description]]="","",IF(Table2[[#This Row],[Currency]]=$O$2,$P$2,HLOOKUP(Table2[[#This Row],[Date]],Funds!$C$10:$GV$11,2,FALSE)))</f>
        <v>3.92</v>
      </c>
      <c r="J42" s="215">
        <f>IF(Table2[[#This Row],[Description]]="","",Table2[[#This Row],[Value]]/Table2[[#This Row],[Conversion]])</f>
        <v>7.6275510204081627</v>
      </c>
      <c r="K42" s="45">
        <f>IF(Table2[[#This Row],[Description]]="","",DATE(Table2[[#This Row],[Year]],Table2[[#This Row],[Month]],1))</f>
        <v>43586</v>
      </c>
      <c r="Q42" s="14"/>
      <c r="R42" s="9"/>
      <c r="S42" s="25"/>
      <c r="T42" s="9"/>
      <c r="U42" t="s">
        <v>563</v>
      </c>
      <c r="V42" s="1">
        <v>11</v>
      </c>
      <c r="W42" s="1">
        <v>2020</v>
      </c>
      <c r="X42" s="49">
        <f>DATE(Table3[[#This Row],[Year]],Table3[[#This Row],[Month]],1)</f>
        <v>44136</v>
      </c>
      <c r="Y42" s="227">
        <v>11</v>
      </c>
      <c r="Z42" s="227">
        <v>2020</v>
      </c>
      <c r="AA42" s="47">
        <f>DATE(Table3[[#This Row],[S Yr]],Table3[[#This Row],[S mth]],1)</f>
        <v>44136</v>
      </c>
      <c r="AC42" s="40">
        <f>SUMIFS(J:J,B:B,Table3[[#This Row],[Mid bgt]],K:K,"&lt;"&amp;Table3[[#This Row],[End Date]]+1)-SUMIFS(J:J,B:B,Table3[[#This Row],[Mid bgt]],K:K,"&lt;"&amp;Table3[[#This Row],[Start]])</f>
        <v>0</v>
      </c>
      <c r="AD42" s="41">
        <f>Table3[[#This Row],[Planned]]-Table3[[#This Row],[Spent]]</f>
        <v>0</v>
      </c>
      <c r="AE42" s="44"/>
    </row>
    <row r="43" spans="1:37" x14ac:dyDescent="0.25">
      <c r="A43" s="3">
        <v>42</v>
      </c>
      <c r="B43" t="s">
        <v>265</v>
      </c>
      <c r="C43" s="1">
        <v>5</v>
      </c>
      <c r="D43" s="1">
        <v>2019</v>
      </c>
      <c r="E43" s="166">
        <v>34.9</v>
      </c>
      <c r="F43" s="1" t="s">
        <v>22</v>
      </c>
      <c r="G43" s="1" t="e">
        <f>IF(Table2[[#This Row],[Description]]="","",VLOOKUP(Table2[[#This Row],[Description]],$Q$1:$S$101,2,FALSE))</f>
        <v>#N/A</v>
      </c>
      <c r="H43" s="1" t="e">
        <f>IF(Table2[[#This Row],[Description]]="","",VLOOKUP(Table2[[#This Row],[Description]],$Q$1:$S$101,3,FALSE))</f>
        <v>#N/A</v>
      </c>
      <c r="I43" s="1">
        <f>IF(Table2[[#This Row],[Description]]="","",IF(Table2[[#This Row],[Currency]]=$O$2,$P$2,HLOOKUP(Table2[[#This Row],[Date]],Funds!$C$10:$GV$11,2,FALSE)))</f>
        <v>3.92</v>
      </c>
      <c r="J43" s="215">
        <f>IF(Table2[[#This Row],[Description]]="","",Table2[[#This Row],[Value]]/Table2[[#This Row],[Conversion]])</f>
        <v>8.9030612244897949</v>
      </c>
      <c r="K43" s="45">
        <f>IF(Table2[[#This Row],[Description]]="","",DATE(Table2[[#This Row],[Year]],Table2[[#This Row],[Month]],1))</f>
        <v>43586</v>
      </c>
      <c r="Q43" s="14" t="s">
        <v>288</v>
      </c>
      <c r="R43" s="14" t="s">
        <v>288</v>
      </c>
      <c r="S43" s="25" t="s">
        <v>66</v>
      </c>
      <c r="T43" s="9"/>
      <c r="U43" t="s">
        <v>563</v>
      </c>
      <c r="V43" s="1">
        <v>12</v>
      </c>
      <c r="W43" s="1">
        <v>2020</v>
      </c>
      <c r="X43" s="49">
        <f>DATE(Table3[[#This Row],[Year]],Table3[[#This Row],[Month]],1)</f>
        <v>44166</v>
      </c>
      <c r="Y43" s="227">
        <v>12</v>
      </c>
      <c r="Z43" s="227">
        <v>2020</v>
      </c>
      <c r="AA43" s="47">
        <f>DATE(Table3[[#This Row],[S Yr]],Table3[[#This Row],[S mth]],1)</f>
        <v>44166</v>
      </c>
      <c r="AC43" s="40">
        <f>SUMIFS(J:J,B:B,Table3[[#This Row],[Mid bgt]],K:K,"&lt;"&amp;Table3[[#This Row],[End Date]]+1)-SUMIFS(J:J,B:B,Table3[[#This Row],[Mid bgt]],K:K,"&lt;"&amp;Table3[[#This Row],[Start]])</f>
        <v>0</v>
      </c>
      <c r="AD43" s="41">
        <f>Table3[[#This Row],[Planned]]-Table3[[#This Row],[Spent]]</f>
        <v>0</v>
      </c>
      <c r="AE43" s="44"/>
    </row>
    <row r="44" spans="1:37" x14ac:dyDescent="0.25">
      <c r="A44" s="3">
        <v>43</v>
      </c>
      <c r="B44" t="s">
        <v>267</v>
      </c>
      <c r="C44" s="1">
        <v>5</v>
      </c>
      <c r="D44" s="1">
        <v>2019</v>
      </c>
      <c r="E44" s="166">
        <v>32.9</v>
      </c>
      <c r="F44" s="1" t="s">
        <v>22</v>
      </c>
      <c r="G44" s="1" t="str">
        <f>IF(Table2[[#This Row],[Description]]="","",VLOOKUP(Table2[[#This Row],[Description]],$Q$1:$S$101,2,FALSE))</f>
        <v>Leisure</v>
      </c>
      <c r="H44" s="1" t="str">
        <f>IF(Table2[[#This Row],[Description]]="","",VLOOKUP(Table2[[#This Row],[Description]],$Q$1:$S$101,3,FALSE))</f>
        <v>Short</v>
      </c>
      <c r="I44" s="1">
        <f>IF(Table2[[#This Row],[Description]]="","",IF(Table2[[#This Row],[Currency]]=$O$2,$P$2,HLOOKUP(Table2[[#This Row],[Date]],Funds!$C$10:$GV$11,2,FALSE)))</f>
        <v>3.92</v>
      </c>
      <c r="J44" s="215">
        <f>IF(Table2[[#This Row],[Description]]="","",Table2[[#This Row],[Value]]/Table2[[#This Row],[Conversion]])</f>
        <v>8.3928571428571423</v>
      </c>
      <c r="K44" s="45">
        <f>IF(Table2[[#This Row],[Description]]="","",DATE(Table2[[#This Row],[Year]],Table2[[#This Row],[Month]],1))</f>
        <v>43586</v>
      </c>
      <c r="Q44" s="14" t="s">
        <v>237</v>
      </c>
      <c r="R44" s="14" t="s">
        <v>237</v>
      </c>
      <c r="S44" s="25"/>
      <c r="T44" s="9"/>
      <c r="U44" t="s">
        <v>563</v>
      </c>
      <c r="V44" s="1">
        <v>1</v>
      </c>
      <c r="W44" s="1">
        <v>2021</v>
      </c>
      <c r="X44" s="49">
        <f>DATE(Table3[[#This Row],[Year]],Table3[[#This Row],[Month]],1)</f>
        <v>44197</v>
      </c>
      <c r="Y44" s="227">
        <v>1</v>
      </c>
      <c r="Z44" s="227">
        <v>2021</v>
      </c>
      <c r="AA44" s="47">
        <f>DATE(Table3[[#This Row],[S Yr]],Table3[[#This Row],[S mth]],1)</f>
        <v>44197</v>
      </c>
      <c r="AC44" s="40">
        <f>SUMIFS(J:J,B:B,Table3[[#This Row],[Mid bgt]],K:K,"&lt;"&amp;Table3[[#This Row],[End Date]]+1)-SUMIFS(J:J,B:B,Table3[[#This Row],[Mid bgt]],K:K,"&lt;"&amp;Table3[[#This Row],[Start]])</f>
        <v>0</v>
      </c>
      <c r="AD44" s="41">
        <f>Table3[[#This Row],[Planned]]-Table3[[#This Row],[Spent]]</f>
        <v>0</v>
      </c>
      <c r="AE44" s="44"/>
    </row>
    <row r="45" spans="1:37" x14ac:dyDescent="0.25">
      <c r="A45" s="3">
        <v>44</v>
      </c>
      <c r="B45" t="s">
        <v>252</v>
      </c>
      <c r="C45" s="1">
        <v>5</v>
      </c>
      <c r="D45" s="1">
        <v>2019</v>
      </c>
      <c r="E45" s="166">
        <v>-275.39</v>
      </c>
      <c r="F45" s="1" t="s">
        <v>22</v>
      </c>
      <c r="G45" s="1" t="str">
        <f>IF(Table2[[#This Row],[Description]]="","",VLOOKUP(Table2[[#This Row],[Description]],$Q$1:$S$101,2,FALSE))</f>
        <v>Other Mid</v>
      </c>
      <c r="H45" s="1" t="str">
        <f>IF(Table2[[#This Row],[Description]]="","",VLOOKUP(Table2[[#This Row],[Description]],$Q$1:$S$101,3,FALSE))</f>
        <v>Mid</v>
      </c>
      <c r="I45" s="1">
        <f>IF(Table2[[#This Row],[Description]]="","",IF(Table2[[#This Row],[Currency]]=$O$2,$P$2,HLOOKUP(Table2[[#This Row],[Date]],Funds!$C$10:$GV$11,2,FALSE)))</f>
        <v>3.92</v>
      </c>
      <c r="J45" s="215">
        <f>IF(Table2[[#This Row],[Description]]="","",Table2[[#This Row],[Value]]/Table2[[#This Row],[Conversion]])</f>
        <v>-70.252551020408163</v>
      </c>
      <c r="K45" s="45">
        <f>IF(Table2[[#This Row],[Description]]="","",DATE(Table2[[#This Row],[Year]],Table2[[#This Row],[Month]],1))</f>
        <v>43586</v>
      </c>
      <c r="Q45" s="14" t="s">
        <v>316</v>
      </c>
      <c r="R45" s="11" t="s">
        <v>316</v>
      </c>
      <c r="S45" s="25" t="s">
        <v>66</v>
      </c>
      <c r="T45" s="9"/>
      <c r="U45" t="s">
        <v>563</v>
      </c>
      <c r="V45" s="1">
        <v>2</v>
      </c>
      <c r="W45" s="1">
        <v>2021</v>
      </c>
      <c r="X45" s="49">
        <f>DATE(Table3[[#This Row],[Year]],Table3[[#This Row],[Month]],1)</f>
        <v>44228</v>
      </c>
      <c r="Y45" s="227">
        <v>2</v>
      </c>
      <c r="Z45" s="227">
        <v>2021</v>
      </c>
      <c r="AA45" s="47">
        <f>DATE(Table3[[#This Row],[S Yr]],Table3[[#This Row],[S mth]],1)</f>
        <v>44228</v>
      </c>
      <c r="AC45" s="40">
        <f>SUMIFS(J:J,B:B,Table3[[#This Row],[Mid bgt]],K:K,"&lt;"&amp;Table3[[#This Row],[End Date]]+1)-SUMIFS(J:J,B:B,Table3[[#This Row],[Mid bgt]],K:K,"&lt;"&amp;Table3[[#This Row],[Start]])</f>
        <v>0</v>
      </c>
      <c r="AD45" s="41">
        <f>Table3[[#This Row],[Planned]]-Table3[[#This Row],[Spent]]</f>
        <v>0</v>
      </c>
      <c r="AE45" s="44"/>
    </row>
    <row r="46" spans="1:37" x14ac:dyDescent="0.25">
      <c r="A46" s="3">
        <v>45</v>
      </c>
      <c r="B46" t="s">
        <v>264</v>
      </c>
      <c r="C46" s="1">
        <v>5</v>
      </c>
      <c r="D46" s="1">
        <v>2019</v>
      </c>
      <c r="E46" s="166">
        <v>79.900000000000006</v>
      </c>
      <c r="F46" s="1" t="s">
        <v>22</v>
      </c>
      <c r="G46" s="1" t="str">
        <f>IF(Table2[[#This Row],[Description]]="","",VLOOKUP(Table2[[#This Row],[Description]],$Q$1:$S$101,2,FALSE))</f>
        <v>MN free</v>
      </c>
      <c r="H46" s="1" t="str">
        <f>IF(Table2[[#This Row],[Description]]="","",VLOOKUP(Table2[[#This Row],[Description]],$Q$1:$S$101,3,FALSE))</f>
        <v>Mid</v>
      </c>
      <c r="I46" s="1">
        <f>IF(Table2[[#This Row],[Description]]="","",IF(Table2[[#This Row],[Currency]]=$O$2,$P$2,HLOOKUP(Table2[[#This Row],[Date]],Funds!$C$10:$GV$11,2,FALSE)))</f>
        <v>3.92</v>
      </c>
      <c r="J46" s="215">
        <f>IF(Table2[[#This Row],[Description]]="","",Table2[[#This Row],[Value]]/Table2[[#This Row],[Conversion]])</f>
        <v>20.382653061224492</v>
      </c>
      <c r="K46" s="45">
        <f>IF(Table2[[#This Row],[Description]]="","",DATE(Table2[[#This Row],[Year]],Table2[[#This Row],[Month]],1))</f>
        <v>43586</v>
      </c>
      <c r="Q46" s="14" t="s">
        <v>250</v>
      </c>
      <c r="R46" s="14" t="s">
        <v>250</v>
      </c>
      <c r="S46" s="25" t="s">
        <v>66</v>
      </c>
      <c r="T46" s="9"/>
      <c r="U46" t="s">
        <v>563</v>
      </c>
      <c r="V46" s="1">
        <v>3</v>
      </c>
      <c r="W46" s="1">
        <v>2021</v>
      </c>
      <c r="X46" s="49">
        <f>DATE(Table3[[#This Row],[Year]],Table3[[#This Row],[Month]],1)</f>
        <v>44256</v>
      </c>
      <c r="Y46" s="227">
        <v>3</v>
      </c>
      <c r="Z46" s="227">
        <v>2021</v>
      </c>
      <c r="AA46" s="47">
        <f>DATE(Table3[[#This Row],[S Yr]],Table3[[#This Row],[S mth]],1)</f>
        <v>44256</v>
      </c>
      <c r="AC46" s="40">
        <f>SUMIFS(J:J,B:B,Table3[[#This Row],[Mid bgt]],K:K,"&lt;"&amp;Table3[[#This Row],[End Date]]+1)-SUMIFS(J:J,B:B,Table3[[#This Row],[Mid bgt]],K:K,"&lt;"&amp;Table3[[#This Row],[Start]])</f>
        <v>0</v>
      </c>
      <c r="AD46" s="41">
        <f>Table3[[#This Row],[Planned]]-Table3[[#This Row],[Spent]]</f>
        <v>0</v>
      </c>
      <c r="AE46" s="44"/>
    </row>
    <row r="47" spans="1:37" x14ac:dyDescent="0.25">
      <c r="A47" s="3">
        <v>46</v>
      </c>
      <c r="B47" t="s">
        <v>58</v>
      </c>
      <c r="C47" s="1">
        <v>5</v>
      </c>
      <c r="D47" s="1">
        <v>2019</v>
      </c>
      <c r="E47" s="166">
        <v>9.52</v>
      </c>
      <c r="F47" s="1" t="s">
        <v>22</v>
      </c>
      <c r="G47" s="1" t="str">
        <f>IF(Table2[[#This Row],[Description]]="","",VLOOKUP(Table2[[#This Row],[Description]],$Q$1:$S$101,2,FALSE))</f>
        <v>Food</v>
      </c>
      <c r="H47" s="1" t="str">
        <f>IF(Table2[[#This Row],[Description]]="","",VLOOKUP(Table2[[#This Row],[Description]],$Q$1:$S$101,3,FALSE))</f>
        <v>Short</v>
      </c>
      <c r="I47" s="1">
        <f>IF(Table2[[#This Row],[Description]]="","",IF(Table2[[#This Row],[Currency]]=$O$2,$P$2,HLOOKUP(Table2[[#This Row],[Date]],Funds!$C$10:$GV$11,2,FALSE)))</f>
        <v>3.92</v>
      </c>
      <c r="J47" s="215">
        <f>IF(Table2[[#This Row],[Description]]="","",Table2[[#This Row],[Value]]/Table2[[#This Row],[Conversion]])</f>
        <v>2.4285714285714284</v>
      </c>
      <c r="K47" s="45">
        <f>IF(Table2[[#This Row],[Description]]="","",DATE(Table2[[#This Row],[Year]],Table2[[#This Row],[Month]],1))</f>
        <v>43586</v>
      </c>
      <c r="Q47" s="14" t="s">
        <v>252</v>
      </c>
      <c r="R47" s="14" t="s">
        <v>252</v>
      </c>
      <c r="S47" s="25" t="s">
        <v>66</v>
      </c>
      <c r="T47" s="9"/>
      <c r="U47" t="s">
        <v>563</v>
      </c>
      <c r="V47" s="1">
        <v>4</v>
      </c>
      <c r="W47" s="1">
        <v>2021</v>
      </c>
      <c r="X47" s="49">
        <f>DATE(Table3[[#This Row],[Year]],Table3[[#This Row],[Month]],1)</f>
        <v>44287</v>
      </c>
      <c r="Y47" s="227">
        <v>4</v>
      </c>
      <c r="Z47" s="227">
        <v>2021</v>
      </c>
      <c r="AA47" s="47">
        <f>DATE(Table3[[#This Row],[S Yr]],Table3[[#This Row],[S mth]],1)</f>
        <v>44287</v>
      </c>
      <c r="AC47" s="40">
        <f>SUMIFS(J:J,B:B,Table3[[#This Row],[Mid bgt]],K:K,"&lt;"&amp;Table3[[#This Row],[End Date]]+1)-SUMIFS(J:J,B:B,Table3[[#This Row],[Mid bgt]],K:K,"&lt;"&amp;Table3[[#This Row],[Start]])</f>
        <v>0</v>
      </c>
      <c r="AD47" s="41">
        <f>Table3[[#This Row],[Planned]]-Table3[[#This Row],[Spent]]</f>
        <v>0</v>
      </c>
      <c r="AE47" s="44"/>
      <c r="AG47" t="s">
        <v>394</v>
      </c>
      <c r="AI47">
        <v>3200</v>
      </c>
      <c r="AJ47" t="s">
        <v>398</v>
      </c>
      <c r="AK47">
        <v>2</v>
      </c>
    </row>
    <row r="48" spans="1:37" x14ac:dyDescent="0.25">
      <c r="A48" s="3">
        <v>47</v>
      </c>
      <c r="B48" t="s">
        <v>266</v>
      </c>
      <c r="C48" s="1">
        <v>5</v>
      </c>
      <c r="D48" s="1">
        <v>2019</v>
      </c>
      <c r="E48" s="166">
        <v>26.9</v>
      </c>
      <c r="F48" s="1" t="s">
        <v>22</v>
      </c>
      <c r="G48" s="1" t="str">
        <f>IF(Table2[[#This Row],[Description]]="","",VLOOKUP(Table2[[#This Row],[Description]],$Q$1:$S$101,2,FALSE))</f>
        <v>Leisure</v>
      </c>
      <c r="H48" s="1" t="str">
        <f>IF(Table2[[#This Row],[Description]]="","",VLOOKUP(Table2[[#This Row],[Description]],$Q$1:$S$101,3,FALSE))</f>
        <v>Short</v>
      </c>
      <c r="I48" s="1">
        <f>IF(Table2[[#This Row],[Description]]="","",IF(Table2[[#This Row],[Currency]]=$O$2,$P$2,HLOOKUP(Table2[[#This Row],[Date]],Funds!$C$10:$GV$11,2,FALSE)))</f>
        <v>3.92</v>
      </c>
      <c r="J48" s="215">
        <f>IF(Table2[[#This Row],[Description]]="","",Table2[[#This Row],[Value]]/Table2[[#This Row],[Conversion]])</f>
        <v>6.862244897959183</v>
      </c>
      <c r="K48" s="45">
        <f>IF(Table2[[#This Row],[Description]]="","",DATE(Table2[[#This Row],[Year]],Table2[[#This Row],[Month]],1))</f>
        <v>43586</v>
      </c>
      <c r="Q48" s="14" t="s">
        <v>317</v>
      </c>
      <c r="R48" s="25" t="s">
        <v>66</v>
      </c>
      <c r="S48" s="25" t="s">
        <v>66</v>
      </c>
      <c r="T48" s="9"/>
      <c r="U48" t="s">
        <v>563</v>
      </c>
      <c r="V48" s="1">
        <v>5</v>
      </c>
      <c r="W48" s="1">
        <v>2021</v>
      </c>
      <c r="X48" s="49">
        <f>DATE(Table3[[#This Row],[Year]],Table3[[#This Row],[Month]],1)</f>
        <v>44317</v>
      </c>
      <c r="Y48" s="227">
        <v>5</v>
      </c>
      <c r="Z48" s="227">
        <v>2021</v>
      </c>
      <c r="AA48" s="47">
        <f>DATE(Table3[[#This Row],[S Yr]],Table3[[#This Row],[S mth]],1)</f>
        <v>44317</v>
      </c>
      <c r="AC48" s="40">
        <f>SUMIFS(J:J,B:B,Table3[[#This Row],[Mid bgt]],K:K,"&lt;"&amp;Table3[[#This Row],[End Date]]+1)-SUMIFS(J:J,B:B,Table3[[#This Row],[Mid bgt]],K:K,"&lt;"&amp;Table3[[#This Row],[Start]])</f>
        <v>0</v>
      </c>
      <c r="AD48" s="41">
        <f>Table3[[#This Row],[Planned]]-Table3[[#This Row],[Spent]]</f>
        <v>0</v>
      </c>
      <c r="AE48" s="44"/>
      <c r="AG48" t="s">
        <v>395</v>
      </c>
      <c r="AI48">
        <v>1600</v>
      </c>
      <c r="AJ48" t="s">
        <v>399</v>
      </c>
      <c r="AK48">
        <v>2</v>
      </c>
    </row>
    <row r="49" spans="1:37" x14ac:dyDescent="0.25">
      <c r="A49" s="3">
        <v>48</v>
      </c>
      <c r="B49" t="s">
        <v>61</v>
      </c>
      <c r="C49" s="1">
        <v>5</v>
      </c>
      <c r="D49" s="1">
        <v>2019</v>
      </c>
      <c r="E49" s="166">
        <v>604.96000000000015</v>
      </c>
      <c r="F49" s="1" t="s">
        <v>22</v>
      </c>
      <c r="G49" s="1" t="str">
        <f>IF(Table2[[#This Row],[Description]]="","",VLOOKUP(Table2[[#This Row],[Description]],$Q$1:$S$101,2,FALSE))</f>
        <v>Transportation</v>
      </c>
      <c r="H49" s="1" t="str">
        <f>IF(Table2[[#This Row],[Description]]="","",VLOOKUP(Table2[[#This Row],[Description]],$Q$1:$S$101,3,FALSE))</f>
        <v>Short</v>
      </c>
      <c r="I49" s="1">
        <f>IF(Table2[[#This Row],[Description]]="","",IF(Table2[[#This Row],[Currency]]=$O$2,$P$2,HLOOKUP(Table2[[#This Row],[Date]],Funds!$C$10:$GV$11,2,FALSE)))</f>
        <v>3.92</v>
      </c>
      <c r="J49" s="215">
        <f>IF(Table2[[#This Row],[Description]]="","",Table2[[#This Row],[Value]]/Table2[[#This Row],[Conversion]])</f>
        <v>154.32653061224494</v>
      </c>
      <c r="K49" s="45">
        <f>IF(Table2[[#This Row],[Description]]="","",DATE(Table2[[#This Row],[Year]],Table2[[#This Row],[Month]],1))</f>
        <v>43586</v>
      </c>
      <c r="Q49" s="14" t="s">
        <v>255</v>
      </c>
      <c r="R49" s="11" t="s">
        <v>70</v>
      </c>
      <c r="S49" s="38" t="s">
        <v>66</v>
      </c>
      <c r="T49" s="9"/>
      <c r="U49" t="s">
        <v>563</v>
      </c>
      <c r="V49" s="1">
        <v>6</v>
      </c>
      <c r="W49" s="1">
        <v>2021</v>
      </c>
      <c r="X49" s="49">
        <f>DATE(Table3[[#This Row],[Year]],Table3[[#This Row],[Month]],1)</f>
        <v>44348</v>
      </c>
      <c r="Y49" s="227">
        <v>6</v>
      </c>
      <c r="Z49" s="227">
        <v>2021</v>
      </c>
      <c r="AA49" s="47">
        <f>DATE(Table3[[#This Row],[S Yr]],Table3[[#This Row],[S mth]],1)</f>
        <v>44348</v>
      </c>
      <c r="AC49" s="40">
        <f>SUMIFS(J:J,B:B,Table3[[#This Row],[Mid bgt]],K:K,"&lt;"&amp;Table3[[#This Row],[End Date]]+1)-SUMIFS(J:J,B:B,Table3[[#This Row],[Mid bgt]],K:K,"&lt;"&amp;Table3[[#This Row],[Start]])</f>
        <v>0</v>
      </c>
      <c r="AD49" s="41">
        <f>Table3[[#This Row],[Planned]]-Table3[[#This Row],[Spent]]</f>
        <v>0</v>
      </c>
      <c r="AE49" s="44"/>
      <c r="AG49" t="s">
        <v>396</v>
      </c>
      <c r="AH49">
        <v>3200</v>
      </c>
      <c r="AJ49" t="s">
        <v>397</v>
      </c>
      <c r="AK49">
        <v>3</v>
      </c>
    </row>
    <row r="50" spans="1:37" x14ac:dyDescent="0.25">
      <c r="A50" s="3">
        <v>49</v>
      </c>
      <c r="B50" t="s">
        <v>262</v>
      </c>
      <c r="C50" s="1">
        <v>5</v>
      </c>
      <c r="D50" s="1">
        <v>2019</v>
      </c>
      <c r="E50" s="166">
        <v>9329.0099999999984</v>
      </c>
      <c r="F50" s="1" t="s">
        <v>22</v>
      </c>
      <c r="G50" s="1" t="str">
        <f>IF(Table2[[#This Row],[Description]]="","",VLOOKUP(Table2[[#This Row],[Description]],$Q$1:$S$101,2,FALSE))</f>
        <v>Mid</v>
      </c>
      <c r="H50" s="1" t="str">
        <f>IF(Table2[[#This Row],[Description]]="","",VLOOKUP(Table2[[#This Row],[Description]],$Q$1:$S$101,3,FALSE))</f>
        <v>Mid</v>
      </c>
      <c r="I50" s="1">
        <f>IF(Table2[[#This Row],[Description]]="","",IF(Table2[[#This Row],[Currency]]=$O$2,$P$2,HLOOKUP(Table2[[#This Row],[Date]],Funds!$C$10:$GV$11,2,FALSE)))</f>
        <v>3.92</v>
      </c>
      <c r="J50" s="215">
        <f>IF(Table2[[#This Row],[Description]]="","",Table2[[#This Row],[Value]]/Table2[[#This Row],[Conversion]])</f>
        <v>2379.8494897959181</v>
      </c>
      <c r="K50" s="45">
        <f>IF(Table2[[#This Row],[Description]]="","",DATE(Table2[[#This Row],[Year]],Table2[[#This Row],[Month]],1))</f>
        <v>43586</v>
      </c>
      <c r="Q50" s="14" t="s">
        <v>256</v>
      </c>
      <c r="R50" s="9" t="s">
        <v>71</v>
      </c>
      <c r="S50" s="25" t="s">
        <v>66</v>
      </c>
      <c r="T50" s="9"/>
      <c r="U50" t="s">
        <v>563</v>
      </c>
      <c r="V50" s="1">
        <v>7</v>
      </c>
      <c r="W50" s="1">
        <v>2021</v>
      </c>
      <c r="X50" s="49">
        <f>DATE(Table3[[#This Row],[Year]],Table3[[#This Row],[Month]],1)</f>
        <v>44378</v>
      </c>
      <c r="Y50" s="227">
        <v>7</v>
      </c>
      <c r="Z50" s="227">
        <v>2021</v>
      </c>
      <c r="AA50" s="47">
        <f>DATE(Table3[[#This Row],[S Yr]],Table3[[#This Row],[S mth]],1)</f>
        <v>44378</v>
      </c>
      <c r="AC50" s="40">
        <f>SUMIFS(J:J,B:B,Table3[[#This Row],[Mid bgt]],K:K,"&lt;"&amp;Table3[[#This Row],[End Date]]+1)-SUMIFS(J:J,B:B,Table3[[#This Row],[Mid bgt]],K:K,"&lt;"&amp;Table3[[#This Row],[Start]])</f>
        <v>0</v>
      </c>
      <c r="AD50" s="41">
        <f>Table3[[#This Row],[Planned]]-Table3[[#This Row],[Spent]]</f>
        <v>0</v>
      </c>
      <c r="AE50" s="44"/>
    </row>
    <row r="51" spans="1:37" x14ac:dyDescent="0.25">
      <c r="A51" s="3">
        <v>50</v>
      </c>
      <c r="B51" t="s">
        <v>269</v>
      </c>
      <c r="C51" s="1">
        <v>5</v>
      </c>
      <c r="D51" s="1">
        <v>2019</v>
      </c>
      <c r="E51" s="166">
        <f>129+76</f>
        <v>205</v>
      </c>
      <c r="F51" s="1" t="s">
        <v>22</v>
      </c>
      <c r="G51" s="1" t="str">
        <f>IF(Table2[[#This Row],[Description]]="","",VLOOKUP(Table2[[#This Row],[Description]],$Q$1:$S$101,2,FALSE))</f>
        <v>Other Mid</v>
      </c>
      <c r="H51" s="1" t="str">
        <f>IF(Table2[[#This Row],[Description]]="","",VLOOKUP(Table2[[#This Row],[Description]],$Q$1:$S$101,3,FALSE))</f>
        <v>Mid</v>
      </c>
      <c r="I51" s="1">
        <f>IF(Table2[[#This Row],[Description]]="","",IF(Table2[[#This Row],[Currency]]=$O$2,$P$2,HLOOKUP(Table2[[#This Row],[Date]],Funds!$C$10:$GV$11,2,FALSE)))</f>
        <v>3.92</v>
      </c>
      <c r="J51" s="215">
        <f>IF(Table2[[#This Row],[Description]]="","",Table2[[#This Row],[Value]]/Table2[[#This Row],[Conversion]])</f>
        <v>52.295918367346943</v>
      </c>
      <c r="K51" s="45">
        <f>IF(Table2[[#This Row],[Description]]="","",DATE(Table2[[#This Row],[Year]],Table2[[#This Row],[Month]],1))</f>
        <v>43586</v>
      </c>
      <c r="Q51" s="14" t="s">
        <v>369</v>
      </c>
      <c r="R51" s="14" t="s">
        <v>369</v>
      </c>
      <c r="S51" s="25" t="s">
        <v>66</v>
      </c>
      <c r="T51" s="9"/>
      <c r="U51" t="s">
        <v>563</v>
      </c>
      <c r="V51" s="1">
        <v>8</v>
      </c>
      <c r="W51" s="1">
        <v>2021</v>
      </c>
      <c r="X51" s="49">
        <f>DATE(Table3[[#This Row],[Year]],Table3[[#This Row],[Month]],1)</f>
        <v>44409</v>
      </c>
      <c r="Y51" s="227">
        <v>8</v>
      </c>
      <c r="Z51" s="227">
        <v>2021</v>
      </c>
      <c r="AA51" s="47">
        <f>DATE(Table3[[#This Row],[S Yr]],Table3[[#This Row],[S mth]],1)</f>
        <v>44409</v>
      </c>
      <c r="AC51" s="40">
        <f>SUMIFS(J:J,B:B,Table3[[#This Row],[Mid bgt]],K:K,"&lt;"&amp;Table3[[#This Row],[End Date]]+1)-SUMIFS(J:J,B:B,Table3[[#This Row],[Mid bgt]],K:K,"&lt;"&amp;Table3[[#This Row],[Start]])</f>
        <v>0</v>
      </c>
      <c r="AD51" s="41">
        <f>Table3[[#This Row],[Planned]]-Table3[[#This Row],[Spent]]</f>
        <v>0</v>
      </c>
      <c r="AE51" s="44"/>
    </row>
    <row r="52" spans="1:37" x14ac:dyDescent="0.25">
      <c r="A52" s="3">
        <v>51</v>
      </c>
      <c r="B52" t="s">
        <v>58</v>
      </c>
      <c r="C52" s="1">
        <v>5</v>
      </c>
      <c r="D52" s="1">
        <v>2019</v>
      </c>
      <c r="E52" s="166">
        <v>31.21</v>
      </c>
      <c r="F52" s="1" t="s">
        <v>22</v>
      </c>
      <c r="G52" s="1" t="str">
        <f>IF(Table2[[#This Row],[Description]]="","",VLOOKUP(Table2[[#This Row],[Description]],$Q$1:$S$101,2,FALSE))</f>
        <v>Food</v>
      </c>
      <c r="H52" s="1" t="str">
        <f>IF(Table2[[#This Row],[Description]]="","",VLOOKUP(Table2[[#This Row],[Description]],$Q$1:$S$101,3,FALSE))</f>
        <v>Short</v>
      </c>
      <c r="I52" s="1">
        <f>IF(Table2[[#This Row],[Description]]="","",IF(Table2[[#This Row],[Currency]]=$O$2,$P$2,HLOOKUP(Table2[[#This Row],[Date]],Funds!$C$10:$GV$11,2,FALSE)))</f>
        <v>3.92</v>
      </c>
      <c r="J52" s="215">
        <f>IF(Table2[[#This Row],[Description]]="","",Table2[[#This Row],[Value]]/Table2[[#This Row],[Conversion]])</f>
        <v>7.9617346938775517</v>
      </c>
      <c r="K52" s="45">
        <f>IF(Table2[[#This Row],[Description]]="","",DATE(Table2[[#This Row],[Year]],Table2[[#This Row],[Month]],1))</f>
        <v>43586</v>
      </c>
      <c r="Q52" s="14" t="s">
        <v>262</v>
      </c>
      <c r="R52" s="25" t="s">
        <v>66</v>
      </c>
      <c r="S52" s="25" t="s">
        <v>66</v>
      </c>
      <c r="T52" s="9"/>
      <c r="U52" t="s">
        <v>563</v>
      </c>
      <c r="V52" s="1">
        <v>9</v>
      </c>
      <c r="W52" s="1">
        <v>2021</v>
      </c>
      <c r="X52" s="49">
        <f>DATE(Table3[[#This Row],[Year]],Table3[[#This Row],[Month]],1)</f>
        <v>44440</v>
      </c>
      <c r="Y52" s="227">
        <v>9</v>
      </c>
      <c r="Z52" s="227">
        <v>2021</v>
      </c>
      <c r="AA52" s="47">
        <f>DATE(Table3[[#This Row],[S Yr]],Table3[[#This Row],[S mth]],1)</f>
        <v>44440</v>
      </c>
      <c r="AC52" s="40">
        <f>SUMIFS(J:J,B:B,Table3[[#This Row],[Mid bgt]],K:K,"&lt;"&amp;Table3[[#This Row],[End Date]]+1)-SUMIFS(J:J,B:B,Table3[[#This Row],[Mid bgt]],K:K,"&lt;"&amp;Table3[[#This Row],[Start]])</f>
        <v>0</v>
      </c>
      <c r="AD52" s="41">
        <f>Table3[[#This Row],[Planned]]-Table3[[#This Row],[Spent]]</f>
        <v>0</v>
      </c>
      <c r="AE52" s="44"/>
    </row>
    <row r="53" spans="1:37" x14ac:dyDescent="0.25">
      <c r="A53" s="3">
        <v>52</v>
      </c>
      <c r="B53" t="s">
        <v>58</v>
      </c>
      <c r="C53" s="1">
        <v>5</v>
      </c>
      <c r="D53" s="1">
        <v>2019</v>
      </c>
      <c r="E53" s="166">
        <v>700</v>
      </c>
      <c r="F53" s="1" t="s">
        <v>22</v>
      </c>
      <c r="G53" s="1" t="str">
        <f>IF(Table2[[#This Row],[Description]]="","",VLOOKUP(Table2[[#This Row],[Description]],$Q$1:$S$101,2,FALSE))</f>
        <v>Food</v>
      </c>
      <c r="H53" s="1" t="str">
        <f>IF(Table2[[#This Row],[Description]]="","",VLOOKUP(Table2[[#This Row],[Description]],$Q$1:$S$101,3,FALSE))</f>
        <v>Short</v>
      </c>
      <c r="I53" s="1">
        <f>IF(Table2[[#This Row],[Description]]="","",IF(Table2[[#This Row],[Currency]]=$O$2,$P$2,HLOOKUP(Table2[[#This Row],[Date]],Funds!$C$10:$GV$11,2,FALSE)))</f>
        <v>3.92</v>
      </c>
      <c r="J53" s="215">
        <f>IF(Table2[[#This Row],[Description]]="","",Table2[[#This Row],[Value]]/Table2[[#This Row],[Conversion]])</f>
        <v>178.57142857142858</v>
      </c>
      <c r="K53" s="45">
        <f>IF(Table2[[#This Row],[Description]]="","",DATE(Table2[[#This Row],[Year]],Table2[[#This Row],[Month]],1))</f>
        <v>43586</v>
      </c>
      <c r="Q53" s="14" t="s">
        <v>280</v>
      </c>
      <c r="R53" s="9" t="s">
        <v>66</v>
      </c>
      <c r="S53" s="25" t="s">
        <v>66</v>
      </c>
      <c r="T53" s="9"/>
      <c r="U53" t="s">
        <v>563</v>
      </c>
      <c r="V53" s="1">
        <v>10</v>
      </c>
      <c r="W53" s="1">
        <v>2021</v>
      </c>
      <c r="X53" s="49">
        <f>DATE(Table3[[#This Row],[Year]],Table3[[#This Row],[Month]],1)</f>
        <v>44470</v>
      </c>
      <c r="Y53" s="227">
        <v>10</v>
      </c>
      <c r="Z53" s="227">
        <v>2021</v>
      </c>
      <c r="AA53" s="47">
        <f>DATE(Table3[[#This Row],[S Yr]],Table3[[#This Row],[S mth]],1)</f>
        <v>44470</v>
      </c>
      <c r="AC53" s="40">
        <f>SUMIFS(J:J,B:B,Table3[[#This Row],[Mid bgt]],K:K,"&lt;"&amp;Table3[[#This Row],[End Date]]+1)-SUMIFS(J:J,B:B,Table3[[#This Row],[Mid bgt]],K:K,"&lt;"&amp;Table3[[#This Row],[Start]])</f>
        <v>0</v>
      </c>
      <c r="AD53" s="41">
        <f>Table3[[#This Row],[Planned]]-Table3[[#This Row],[Spent]]</f>
        <v>0</v>
      </c>
      <c r="AE53" s="44"/>
    </row>
    <row r="54" spans="1:37" x14ac:dyDescent="0.25">
      <c r="A54" s="3">
        <v>53</v>
      </c>
      <c r="B54" t="s">
        <v>237</v>
      </c>
      <c r="C54" s="1">
        <v>5</v>
      </c>
      <c r="D54" s="1">
        <v>2019</v>
      </c>
      <c r="E54" s="166">
        <v>-12.25</v>
      </c>
      <c r="F54" s="1" t="s">
        <v>21</v>
      </c>
      <c r="G54" s="1" t="str">
        <f>IF(Table2[[#This Row],[Description]]="","",VLOOKUP(Table2[[#This Row],[Description]],$Q$1:$S$101,2,FALSE))</f>
        <v>FX adjustment</v>
      </c>
      <c r="H54" s="1" t="s">
        <v>111</v>
      </c>
      <c r="I54" s="1">
        <f>IF(Table2[[#This Row],[Description]]="","",IF(Table2[[#This Row],[Currency]]=$O$2,$P$2,HLOOKUP(Table2[[#This Row],[Date]],Funds!$C$10:$GV$11,2,FALSE)))</f>
        <v>1</v>
      </c>
      <c r="J54" s="215">
        <f>IF(Table2[[#This Row],[Description]]="","",Table2[[#This Row],[Value]]/Table2[[#This Row],[Conversion]])</f>
        <v>-12.25</v>
      </c>
      <c r="K54" s="45">
        <f>IF(Table2[[#This Row],[Description]]="","",DATE(Table2[[#This Row],[Year]],Table2[[#This Row],[Month]],1))</f>
        <v>43586</v>
      </c>
      <c r="Q54" s="14" t="s">
        <v>120</v>
      </c>
      <c r="R54" s="25" t="s">
        <v>121</v>
      </c>
      <c r="S54" s="25" t="s">
        <v>121</v>
      </c>
      <c r="T54" s="9"/>
      <c r="U54" t="s">
        <v>563</v>
      </c>
      <c r="V54" s="1">
        <v>11</v>
      </c>
      <c r="W54" s="1">
        <v>2021</v>
      </c>
      <c r="X54" s="49">
        <f>DATE(Table3[[#This Row],[Year]],Table3[[#This Row],[Month]],1)</f>
        <v>44501</v>
      </c>
      <c r="Y54" s="227">
        <v>11</v>
      </c>
      <c r="Z54" s="227">
        <v>2021</v>
      </c>
      <c r="AA54" s="47">
        <f>DATE(Table3[[#This Row],[S Yr]],Table3[[#This Row],[S mth]],1)</f>
        <v>44501</v>
      </c>
      <c r="AC54" s="40">
        <f>SUMIFS(J:J,B:B,Table3[[#This Row],[Mid bgt]],K:K,"&lt;"&amp;Table3[[#This Row],[End Date]]+1)-SUMIFS(J:J,B:B,Table3[[#This Row],[Mid bgt]],K:K,"&lt;"&amp;Table3[[#This Row],[Start]])</f>
        <v>0</v>
      </c>
      <c r="AD54" s="41">
        <f>Table3[[#This Row],[Planned]]-Table3[[#This Row],[Spent]]</f>
        <v>0</v>
      </c>
      <c r="AE54" s="44"/>
    </row>
    <row r="55" spans="1:37" x14ac:dyDescent="0.25">
      <c r="A55" s="3">
        <v>54</v>
      </c>
      <c r="B55" t="s">
        <v>280</v>
      </c>
      <c r="C55" s="1">
        <v>5</v>
      </c>
      <c r="D55" s="1">
        <v>2019</v>
      </c>
      <c r="E55" s="166">
        <v>306.11</v>
      </c>
      <c r="F55" s="1" t="s">
        <v>21</v>
      </c>
      <c r="G55" s="1" t="str">
        <f>IF(Table2[[#This Row],[Description]]="","",VLOOKUP(Table2[[#This Row],[Description]],$Q$1:$S$101,2,FALSE))</f>
        <v>Mid</v>
      </c>
      <c r="H55" s="1" t="str">
        <f>IF(Table2[[#This Row],[Description]]="","",VLOOKUP(Table2[[#This Row],[Description]],$Q$1:$S$101,3,FALSE))</f>
        <v>Mid</v>
      </c>
      <c r="I55" s="1">
        <f>IF(Table2[[#This Row],[Description]]="","",IF(Table2[[#This Row],[Currency]]=$O$2,$P$2,HLOOKUP(Table2[[#This Row],[Date]],Funds!$C$10:$GV$11,2,FALSE)))</f>
        <v>1</v>
      </c>
      <c r="J55" s="215">
        <f>IF(Table2[[#This Row],[Description]]="","",Table2[[#This Row],[Value]]/Table2[[#This Row],[Conversion]])</f>
        <v>306.11</v>
      </c>
      <c r="K55" s="45">
        <f>IF(Table2[[#This Row],[Description]]="","",DATE(Table2[[#This Row],[Year]],Table2[[#This Row],[Month]],1))</f>
        <v>43586</v>
      </c>
      <c r="Q55" s="14" t="s">
        <v>320</v>
      </c>
      <c r="R55" s="9" t="s">
        <v>121</v>
      </c>
      <c r="S55" s="25" t="s">
        <v>121</v>
      </c>
      <c r="T55" s="9"/>
      <c r="U55" t="s">
        <v>563</v>
      </c>
      <c r="V55" s="1">
        <v>12</v>
      </c>
      <c r="W55" s="1">
        <v>2021</v>
      </c>
      <c r="X55" s="49">
        <f>DATE(Table3[[#This Row],[Year]],Table3[[#This Row],[Month]],1)</f>
        <v>44531</v>
      </c>
      <c r="Y55" s="227">
        <v>12</v>
      </c>
      <c r="Z55" s="227">
        <v>2021</v>
      </c>
      <c r="AA55" s="47">
        <f>DATE(Table3[[#This Row],[S Yr]],Table3[[#This Row],[S mth]],1)</f>
        <v>44531</v>
      </c>
      <c r="AC55" s="40">
        <f>SUMIFS(J:J,B:B,Table3[[#This Row],[Mid bgt]],K:K,"&lt;"&amp;Table3[[#This Row],[End Date]]+1)-SUMIFS(J:J,B:B,Table3[[#This Row],[Mid bgt]],K:K,"&lt;"&amp;Table3[[#This Row],[Start]])</f>
        <v>0</v>
      </c>
      <c r="AD55" s="41">
        <f>Table3[[#This Row],[Planned]]-Table3[[#This Row],[Spent]]</f>
        <v>0</v>
      </c>
      <c r="AE55" s="44"/>
    </row>
    <row r="56" spans="1:37" x14ac:dyDescent="0.25">
      <c r="A56" s="3">
        <v>55</v>
      </c>
      <c r="B56" t="s">
        <v>237</v>
      </c>
      <c r="C56" s="1">
        <v>6</v>
      </c>
      <c r="D56" s="1">
        <v>2019</v>
      </c>
      <c r="E56" s="166">
        <v>-113.856452521148</v>
      </c>
      <c r="F56" s="1" t="s">
        <v>21</v>
      </c>
      <c r="G56" s="1" t="str">
        <f>IF(Table2[[#This Row],[Description]]="","",VLOOKUP(Table2[[#This Row],[Description]],$Q$1:$S$101,2,FALSE))</f>
        <v>FX adjustment</v>
      </c>
      <c r="H56" s="1" t="s">
        <v>66</v>
      </c>
      <c r="I56" s="1">
        <f>IF(Table2[[#This Row],[Description]]="","",IF(Table2[[#This Row],[Currency]]=$O$2,$P$2,HLOOKUP(Table2[[#This Row],[Date]],Funds!$C$10:$GV$11,2,FALSE)))</f>
        <v>1</v>
      </c>
      <c r="J56" s="215">
        <f>IF(Table2[[#This Row],[Description]]="","",Table2[[#This Row],[Value]]/Table2[[#This Row],[Conversion]])</f>
        <v>-113.856452521148</v>
      </c>
      <c r="K56" s="45">
        <f>IF(Table2[[#This Row],[Description]]="","",DATE(Table2[[#This Row],[Year]],Table2[[#This Row],[Month]],1))</f>
        <v>43617</v>
      </c>
      <c r="Q56" s="14" t="s">
        <v>324</v>
      </c>
      <c r="R56" s="9" t="s">
        <v>46</v>
      </c>
      <c r="S56" s="25" t="s">
        <v>51</v>
      </c>
      <c r="T56" s="9"/>
      <c r="U56" t="s">
        <v>70</v>
      </c>
      <c r="V56" s="10">
        <v>12</v>
      </c>
      <c r="W56" s="12">
        <v>2019</v>
      </c>
      <c r="X56" s="49">
        <f>DATE(Table3[[#This Row],[Year]],Table3[[#This Row],[Month]],1)</f>
        <v>43800</v>
      </c>
      <c r="Y56" s="228">
        <v>1</v>
      </c>
      <c r="Z56" s="228">
        <v>2019</v>
      </c>
      <c r="AA56" s="49">
        <f>DATE(Table3[[#This Row],[S Yr]],Table3[[#This Row],[S mth]],1)</f>
        <v>43466</v>
      </c>
      <c r="AB56" s="42">
        <f>2120-384+300</f>
        <v>2036</v>
      </c>
      <c r="AC56" s="40">
        <f>SUMIFS(J:J,G:G,Table3[[#This Row],[Mid bgt]],K:K,"&lt;"&amp;Table3[[#This Row],[End Date]]+1)-SUMIFS(J:J,G:G,Table3[[#This Row],[Mid bgt]],K:K,"&lt;"&amp;Table3[[#This Row],[Start]])</f>
        <v>1780.6427896085972</v>
      </c>
      <c r="AD56" s="41">
        <f>Table3[[#This Row],[Planned]]-Table3[[#This Row],[Spent]]</f>
        <v>255.35721039140276</v>
      </c>
      <c r="AE56" s="44"/>
    </row>
    <row r="57" spans="1:37" x14ac:dyDescent="0.25">
      <c r="A57" s="3">
        <v>56</v>
      </c>
      <c r="B57" t="s">
        <v>237</v>
      </c>
      <c r="C57" s="1">
        <v>6</v>
      </c>
      <c r="D57" s="1">
        <v>2019</v>
      </c>
      <c r="E57" s="166">
        <v>-29.461648536649399</v>
      </c>
      <c r="F57" s="1" t="s">
        <v>21</v>
      </c>
      <c r="G57" s="1" t="str">
        <f>IF(Table2[[#This Row],[Description]]="","",VLOOKUP(Table2[[#This Row],[Description]],$Q$1:$S$101,2,FALSE))</f>
        <v>FX adjustment</v>
      </c>
      <c r="H57" s="1" t="s">
        <v>121</v>
      </c>
      <c r="I57" s="1">
        <f>IF(Table2[[#This Row],[Description]]="","",IF(Table2[[#This Row],[Currency]]=$O$2,$P$2,HLOOKUP(Table2[[#This Row],[Date]],Funds!$C$10:$GV$11,2,FALSE)))</f>
        <v>1</v>
      </c>
      <c r="J57" s="215">
        <f>IF(Table2[[#This Row],[Description]]="","",Table2[[#This Row],[Value]]/Table2[[#This Row],[Conversion]])</f>
        <v>-29.461648536649399</v>
      </c>
      <c r="K57" s="45">
        <f>IF(Table2[[#This Row],[Description]]="","",DATE(Table2[[#This Row],[Year]],Table2[[#This Row],[Month]],1))</f>
        <v>43617</v>
      </c>
      <c r="Q57" s="14" t="s">
        <v>514</v>
      </c>
      <c r="R57" s="9" t="s">
        <v>121</v>
      </c>
      <c r="S57" s="25" t="s">
        <v>121</v>
      </c>
      <c r="T57" s="9"/>
      <c r="U57" t="s">
        <v>70</v>
      </c>
      <c r="V57" s="10">
        <v>12</v>
      </c>
      <c r="W57" s="12">
        <v>2020</v>
      </c>
      <c r="X57" s="49">
        <f>DATE(Table3[[#This Row],[Year]],Table3[[#This Row],[Month]],1)</f>
        <v>44166</v>
      </c>
      <c r="Y57" s="228">
        <v>1</v>
      </c>
      <c r="Z57" s="228">
        <v>2020</v>
      </c>
      <c r="AA57" s="49">
        <f>DATE(Table3[[#This Row],[S Yr]],Table3[[#This Row],[S mth]],1)</f>
        <v>43831</v>
      </c>
      <c r="AB57" s="42">
        <v>2300</v>
      </c>
      <c r="AC57" s="40">
        <f>SUMIFS(J:J,G:G,Table3[[#This Row],[Mid bgt]],K:K,"&lt;"&amp;Table3[[#This Row],[End Date]]+1)-SUMIFS(J:J,G:G,Table3[[#This Row],[Mid bgt]],K:K,"&lt;"&amp;Table3[[#This Row],[Start]])</f>
        <v>1289.9100000000001</v>
      </c>
      <c r="AD57" s="41">
        <f>Table3[[#This Row],[Planned]]-Table3[[#This Row],[Spent]]</f>
        <v>1010.0899999999999</v>
      </c>
      <c r="AE57" s="44"/>
    </row>
    <row r="58" spans="1:37" x14ac:dyDescent="0.25">
      <c r="A58" s="3">
        <v>57</v>
      </c>
      <c r="B58" t="s">
        <v>29</v>
      </c>
      <c r="C58" s="1">
        <v>6</v>
      </c>
      <c r="D58" s="1">
        <v>2019</v>
      </c>
      <c r="E58" s="166">
        <v>22.72</v>
      </c>
      <c r="F58" s="1" t="s">
        <v>21</v>
      </c>
      <c r="G58" s="1" t="str">
        <f>IF(Table2[[#This Row],[Description]]="","",VLOOKUP(Table2[[#This Row],[Description]],$Q$1:$S$101,2,FALSE))</f>
        <v>Health</v>
      </c>
      <c r="H58" s="1" t="str">
        <f>IF(Table2[[#This Row],[Description]]="","",VLOOKUP(Table2[[#This Row],[Description]],$Q$1:$S$101,3,FALSE))</f>
        <v>Mid</v>
      </c>
      <c r="I58" s="1">
        <f>IF(Table2[[#This Row],[Description]]="","",IF(Table2[[#This Row],[Currency]]=$O$2,$P$2,HLOOKUP(Table2[[#This Row],[Date]],Funds!$C$10:$GV$11,2,FALSE)))</f>
        <v>1</v>
      </c>
      <c r="J58" s="215">
        <f>IF(Table2[[#This Row],[Description]]="","",Table2[[#This Row],[Value]]/Table2[[#This Row],[Conversion]])</f>
        <v>22.72</v>
      </c>
      <c r="K58" s="45">
        <f>IF(Table2[[#This Row],[Description]]="","",DATE(Table2[[#This Row],[Year]],Table2[[#This Row],[Month]],1))</f>
        <v>43617</v>
      </c>
      <c r="Q58" s="14" t="s">
        <v>392</v>
      </c>
      <c r="R58" s="11" t="s">
        <v>392</v>
      </c>
      <c r="S58" s="25" t="s">
        <v>66</v>
      </c>
      <c r="T58" s="9"/>
      <c r="U58" t="s">
        <v>70</v>
      </c>
      <c r="V58" s="10">
        <v>12</v>
      </c>
      <c r="W58" s="12">
        <v>2021</v>
      </c>
      <c r="X58" s="49">
        <f>DATE(Table3[[#This Row],[Year]],Table3[[#This Row],[Month]],1)</f>
        <v>44531</v>
      </c>
      <c r="Y58" s="228">
        <v>1</v>
      </c>
      <c r="Z58" s="228">
        <v>2021</v>
      </c>
      <c r="AA58" s="49">
        <f>DATE(Table3[[#This Row],[S Yr]],Table3[[#This Row],[S mth]],1)</f>
        <v>44197</v>
      </c>
      <c r="AB58" s="42">
        <v>2300</v>
      </c>
      <c r="AC58" s="40">
        <f>SUMIFS(J:J,G:G,Table3[[#This Row],[Mid bgt]],K:K,"&lt;"&amp;Table3[[#This Row],[End Date]]+1)-SUMIFS(J:J,G:G,Table3[[#This Row],[Mid bgt]],K:K,"&lt;"&amp;Table3[[#This Row],[Start]])</f>
        <v>0</v>
      </c>
      <c r="AD58" s="41">
        <f>Table3[[#This Row],[Planned]]-Table3[[#This Row],[Spent]]</f>
        <v>2300</v>
      </c>
      <c r="AE58" s="44"/>
    </row>
    <row r="59" spans="1:37" x14ac:dyDescent="0.25">
      <c r="A59" s="3">
        <v>58</v>
      </c>
      <c r="B59" t="s">
        <v>58</v>
      </c>
      <c r="C59" s="1">
        <v>6</v>
      </c>
      <c r="D59" s="1">
        <v>2019</v>
      </c>
      <c r="E59" s="166">
        <v>50.51</v>
      </c>
      <c r="F59" s="1" t="s">
        <v>21</v>
      </c>
      <c r="G59" s="1" t="str">
        <f>IF(Table2[[#This Row],[Description]]="","",VLOOKUP(Table2[[#This Row],[Description]],$Q$1:$S$101,2,FALSE))</f>
        <v>Food</v>
      </c>
      <c r="H59" s="1" t="str">
        <f>IF(Table2[[#This Row],[Description]]="","",VLOOKUP(Table2[[#This Row],[Description]],$Q$1:$S$101,3,FALSE))</f>
        <v>Short</v>
      </c>
      <c r="I59" s="1">
        <f>IF(Table2[[#This Row],[Description]]="","",IF(Table2[[#This Row],[Currency]]=$O$2,$P$2,HLOOKUP(Table2[[#This Row],[Date]],Funds!$C$10:$GV$11,2,FALSE)))</f>
        <v>1</v>
      </c>
      <c r="J59" s="215">
        <f>IF(Table2[[#This Row],[Description]]="","",Table2[[#This Row],[Value]]/Table2[[#This Row],[Conversion]])</f>
        <v>50.51</v>
      </c>
      <c r="K59" s="45">
        <f>IF(Table2[[#This Row],[Description]]="","",DATE(Table2[[#This Row],[Year]],Table2[[#This Row],[Month]],1))</f>
        <v>43617</v>
      </c>
      <c r="Q59" s="14" t="s">
        <v>471</v>
      </c>
      <c r="R59" s="9" t="s">
        <v>66</v>
      </c>
      <c r="S59" s="25" t="s">
        <v>66</v>
      </c>
      <c r="T59" s="9"/>
      <c r="U59" t="s">
        <v>70</v>
      </c>
      <c r="V59" s="10">
        <v>12</v>
      </c>
      <c r="W59" s="12">
        <v>2022</v>
      </c>
      <c r="X59" s="49">
        <f>DATE(Table3[[#This Row],[Year]],Table3[[#This Row],[Month]],1)</f>
        <v>44896</v>
      </c>
      <c r="Y59" s="228">
        <v>1</v>
      </c>
      <c r="Z59" s="228">
        <v>2022</v>
      </c>
      <c r="AA59" s="49">
        <f>DATE(Table3[[#This Row],[S Yr]],Table3[[#This Row],[S mth]],1)</f>
        <v>44562</v>
      </c>
      <c r="AB59" s="42">
        <v>2300</v>
      </c>
      <c r="AC59" s="40">
        <f>SUMIFS(J:J,G:G,Table3[[#This Row],[Mid bgt]],K:K,"&lt;"&amp;Table3[[#This Row],[End Date]]+1)-SUMIFS(J:J,G:G,Table3[[#This Row],[Mid bgt]],K:K,"&lt;"&amp;Table3[[#This Row],[Start]])</f>
        <v>0</v>
      </c>
      <c r="AD59" s="41">
        <f>Table3[[#This Row],[Planned]]-Table3[[#This Row],[Spent]]</f>
        <v>2300</v>
      </c>
      <c r="AE59" s="44"/>
    </row>
    <row r="60" spans="1:37" x14ac:dyDescent="0.25">
      <c r="A60" s="3">
        <v>59</v>
      </c>
      <c r="B60" t="s">
        <v>288</v>
      </c>
      <c r="C60" s="1">
        <v>6</v>
      </c>
      <c r="D60" s="1">
        <v>2019</v>
      </c>
      <c r="E60" s="166">
        <v>367.46</v>
      </c>
      <c r="F60" s="1" t="s">
        <v>21</v>
      </c>
      <c r="G60" s="1" t="str">
        <f>IF(Table2[[#This Row],[Description]]="","",VLOOKUP(Table2[[#This Row],[Description]],$Q$1:$S$101,2,FALSE))</f>
        <v xml:space="preserve">US Furniture </v>
      </c>
      <c r="H60" s="1" t="str">
        <f>IF(Table2[[#This Row],[Description]]="","",VLOOKUP(Table2[[#This Row],[Description]],$Q$1:$S$101,3,FALSE))</f>
        <v>Mid</v>
      </c>
      <c r="I60" s="1">
        <f>IF(Table2[[#This Row],[Description]]="","",IF(Table2[[#This Row],[Currency]]=$O$2,$P$2,HLOOKUP(Table2[[#This Row],[Date]],Funds!$C$10:$GV$11,2,FALSE)))</f>
        <v>1</v>
      </c>
      <c r="J60" s="215">
        <f>IF(Table2[[#This Row],[Description]]="","",Table2[[#This Row],[Value]]/Table2[[#This Row],[Conversion]])</f>
        <v>367.46</v>
      </c>
      <c r="K60" s="45">
        <f>IF(Table2[[#This Row],[Description]]="","",DATE(Table2[[#This Row],[Year]],Table2[[#This Row],[Month]],1))</f>
        <v>43617</v>
      </c>
      <c r="Q60" s="14" t="s">
        <v>592</v>
      </c>
      <c r="R60" s="14" t="s">
        <v>592</v>
      </c>
      <c r="S60" s="25" t="s">
        <v>66</v>
      </c>
      <c r="T60" s="9"/>
      <c r="U60" t="s">
        <v>70</v>
      </c>
      <c r="V60" s="10">
        <v>12</v>
      </c>
      <c r="W60" s="12">
        <v>2023</v>
      </c>
      <c r="X60" s="49">
        <f>DATE(Table3[[#This Row],[Year]],Table3[[#This Row],[Month]],1)</f>
        <v>45261</v>
      </c>
      <c r="Y60" s="228">
        <v>1</v>
      </c>
      <c r="Z60" s="228">
        <v>2023</v>
      </c>
      <c r="AA60" s="49">
        <f>DATE(Table3[[#This Row],[S Yr]],Table3[[#This Row],[S mth]],1)</f>
        <v>44927</v>
      </c>
      <c r="AB60" s="42">
        <v>2300</v>
      </c>
      <c r="AC60" s="40">
        <f>SUMIFS(J:J,G:G,Table3[[#This Row],[Mid bgt]],K:K,"&lt;"&amp;Table3[[#This Row],[End Date]]+1)-SUMIFS(J:J,G:G,Table3[[#This Row],[Mid bgt]],K:K,"&lt;"&amp;Table3[[#This Row],[Start]])</f>
        <v>0</v>
      </c>
      <c r="AD60" s="41">
        <f>Table3[[#This Row],[Planned]]-Table3[[#This Row],[Spent]]</f>
        <v>2300</v>
      </c>
      <c r="AE60" s="44"/>
    </row>
    <row r="61" spans="1:37" x14ac:dyDescent="0.25">
      <c r="A61" s="3">
        <v>60</v>
      </c>
      <c r="B61" t="s">
        <v>57</v>
      </c>
      <c r="C61" s="1">
        <v>6</v>
      </c>
      <c r="D61" s="1">
        <v>2019</v>
      </c>
      <c r="E61" s="166">
        <v>116.76</v>
      </c>
      <c r="F61" s="1" t="s">
        <v>21</v>
      </c>
      <c r="G61" s="1" t="str">
        <f>IF(Table2[[#This Row],[Description]]="","",VLOOKUP(Table2[[#This Row],[Description]],$Q$1:$S$101,2,FALSE))</f>
        <v>Food</v>
      </c>
      <c r="H61" s="1" t="str">
        <f>IF(Table2[[#This Row],[Description]]="","",VLOOKUP(Table2[[#This Row],[Description]],$Q$1:$S$101,3,FALSE))</f>
        <v>Short</v>
      </c>
      <c r="I61" s="1">
        <f>IF(Table2[[#This Row],[Description]]="","",IF(Table2[[#This Row],[Currency]]=$O$2,$P$2,HLOOKUP(Table2[[#This Row],[Date]],Funds!$C$10:$GV$11,2,FALSE)))</f>
        <v>1</v>
      </c>
      <c r="J61" s="215">
        <f>IF(Table2[[#This Row],[Description]]="","",Table2[[#This Row],[Value]]/Table2[[#This Row],[Conversion]])</f>
        <v>116.76</v>
      </c>
      <c r="K61" s="45">
        <f>IF(Table2[[#This Row],[Description]]="","",DATE(Table2[[#This Row],[Year]],Table2[[#This Row],[Month]],1))</f>
        <v>43617</v>
      </c>
      <c r="Q61" s="14" t="s">
        <v>593</v>
      </c>
      <c r="R61" s="11" t="s">
        <v>66</v>
      </c>
      <c r="S61" s="25" t="s">
        <v>66</v>
      </c>
      <c r="T61" s="9"/>
      <c r="U61" t="s">
        <v>70</v>
      </c>
      <c r="V61" s="10">
        <v>12</v>
      </c>
      <c r="W61" s="12">
        <v>2024</v>
      </c>
      <c r="X61" s="49">
        <f>DATE(Table3[[#This Row],[Year]],Table3[[#This Row],[Month]],1)</f>
        <v>45627</v>
      </c>
      <c r="Y61" s="228">
        <v>1</v>
      </c>
      <c r="Z61" s="228">
        <v>2024</v>
      </c>
      <c r="AA61" s="49">
        <f>DATE(Table3[[#This Row],[S Yr]],Table3[[#This Row],[S mth]],1)</f>
        <v>45292</v>
      </c>
      <c r="AB61" s="42">
        <v>2300</v>
      </c>
      <c r="AC61" s="40">
        <f>SUMIFS(J:J,G:G,Table3[[#This Row],[Mid bgt]],K:K,"&lt;"&amp;Table3[[#This Row],[End Date]]+1)-SUMIFS(J:J,G:G,Table3[[#This Row],[Mid bgt]],K:K,"&lt;"&amp;Table3[[#This Row],[Start]])</f>
        <v>0</v>
      </c>
      <c r="AD61" s="41">
        <f>Table3[[#This Row],[Planned]]-Table3[[#This Row],[Spent]]</f>
        <v>2300</v>
      </c>
      <c r="AE61" s="44"/>
    </row>
    <row r="62" spans="1:37" x14ac:dyDescent="0.25">
      <c r="A62" s="3">
        <v>61</v>
      </c>
      <c r="B62" t="s">
        <v>316</v>
      </c>
      <c r="C62" s="1">
        <v>6</v>
      </c>
      <c r="D62" s="1">
        <v>2019</v>
      </c>
      <c r="E62" s="166">
        <v>61.56</v>
      </c>
      <c r="F62" s="1" t="s">
        <v>21</v>
      </c>
      <c r="G62" s="1" t="str">
        <f>IF(Table2[[#This Row],[Description]]="","",VLOOKUP(Table2[[#This Row],[Description]],$Q$1:$S$101,2,FALSE))</f>
        <v>Gifts</v>
      </c>
      <c r="H62" s="1" t="str">
        <f>IF(Table2[[#This Row],[Description]]="","",VLOOKUP(Table2[[#This Row],[Description]],$Q$1:$S$101,3,FALSE))</f>
        <v>Mid</v>
      </c>
      <c r="I62" s="1">
        <f>IF(Table2[[#This Row],[Description]]="","",IF(Table2[[#This Row],[Currency]]=$O$2,$P$2,HLOOKUP(Table2[[#This Row],[Date]],Funds!$C$10:$GV$11,2,FALSE)))</f>
        <v>1</v>
      </c>
      <c r="J62" s="215">
        <f>IF(Table2[[#This Row],[Description]]="","",Table2[[#This Row],[Value]]/Table2[[#This Row],[Conversion]])</f>
        <v>61.56</v>
      </c>
      <c r="K62" s="45">
        <f>IF(Table2[[#This Row],[Description]]="","",DATE(Table2[[#This Row],[Year]],Table2[[#This Row],[Month]],1))</f>
        <v>43617</v>
      </c>
      <c r="Q62" s="14"/>
      <c r="R62" s="9"/>
      <c r="S62" s="25"/>
      <c r="T62" s="9"/>
      <c r="U62" t="s">
        <v>70</v>
      </c>
      <c r="V62" s="10">
        <v>12</v>
      </c>
      <c r="W62" s="12">
        <v>2025</v>
      </c>
      <c r="X62" s="49">
        <f>DATE(Table3[[#This Row],[Year]],Table3[[#This Row],[Month]],1)</f>
        <v>45992</v>
      </c>
      <c r="Y62" s="228">
        <v>1</v>
      </c>
      <c r="Z62" s="228">
        <v>2025</v>
      </c>
      <c r="AA62" s="49">
        <f>DATE(Table3[[#This Row],[S Yr]],Table3[[#This Row],[S mth]],1)</f>
        <v>45658</v>
      </c>
      <c r="AB62" s="42">
        <v>2300</v>
      </c>
      <c r="AC62" s="40">
        <f>SUMIFS(J:J,G:G,Table3[[#This Row],[Mid bgt]],K:K,"&lt;"&amp;Table3[[#This Row],[End Date]]+1)-SUMIFS(J:J,G:G,Table3[[#This Row],[Mid bgt]],K:K,"&lt;"&amp;Table3[[#This Row],[Start]])</f>
        <v>0</v>
      </c>
      <c r="AD62" s="41">
        <f>Table3[[#This Row],[Planned]]-Table3[[#This Row],[Spent]]</f>
        <v>2300</v>
      </c>
      <c r="AE62" s="44"/>
    </row>
    <row r="63" spans="1:37" x14ac:dyDescent="0.25">
      <c r="A63" s="3">
        <v>62</v>
      </c>
      <c r="B63" t="s">
        <v>317</v>
      </c>
      <c r="C63" s="1">
        <v>6</v>
      </c>
      <c r="D63" s="1">
        <v>2019</v>
      </c>
      <c r="E63" s="166">
        <f>-42.61+11</f>
        <v>-31.61</v>
      </c>
      <c r="F63" s="1" t="s">
        <v>21</v>
      </c>
      <c r="G63" s="1" t="str">
        <f>IF(Table2[[#This Row],[Description]]="","",VLOOKUP(Table2[[#This Row],[Description]],$Q$1:$S$101,2,FALSE))</f>
        <v>Mid</v>
      </c>
      <c r="H63" s="1" t="str">
        <f>IF(Table2[[#This Row],[Description]]="","",VLOOKUP(Table2[[#This Row],[Description]],$Q$1:$S$101,3,FALSE))</f>
        <v>Mid</v>
      </c>
      <c r="I63" s="1">
        <f>IF(Table2[[#This Row],[Description]]="","",IF(Table2[[#This Row],[Currency]]=$O$2,$P$2,HLOOKUP(Table2[[#This Row],[Date]],Funds!$C$10:$GV$11,2,FALSE)))</f>
        <v>1</v>
      </c>
      <c r="J63" s="215">
        <f>IF(Table2[[#This Row],[Description]]="","",Table2[[#This Row],[Value]]/Table2[[#This Row],[Conversion]])</f>
        <v>-31.61</v>
      </c>
      <c r="K63" s="45">
        <f>IF(Table2[[#This Row],[Description]]="","",DATE(Table2[[#This Row],[Year]],Table2[[#This Row],[Month]],1))</f>
        <v>43617</v>
      </c>
      <c r="Q63" s="14"/>
      <c r="R63" s="9"/>
      <c r="S63" s="25"/>
      <c r="T63" s="9"/>
      <c r="U63" t="s">
        <v>70</v>
      </c>
      <c r="V63" s="10">
        <v>12</v>
      </c>
      <c r="W63" s="12">
        <v>2026</v>
      </c>
      <c r="X63" s="49">
        <f>DATE(Table3[[#This Row],[Year]],Table3[[#This Row],[Month]],1)</f>
        <v>46357</v>
      </c>
      <c r="Y63" s="228">
        <v>1</v>
      </c>
      <c r="Z63" s="228">
        <v>2026</v>
      </c>
      <c r="AA63" s="49">
        <f>DATE(Table3[[#This Row],[S Yr]],Table3[[#This Row],[S mth]],1)</f>
        <v>46023</v>
      </c>
      <c r="AB63" s="42">
        <v>2300</v>
      </c>
      <c r="AC63" s="40">
        <f>SUMIFS(J:J,G:G,Table3[[#This Row],[Mid bgt]],K:K,"&lt;"&amp;Table3[[#This Row],[End Date]]+1)-SUMIFS(J:J,G:G,Table3[[#This Row],[Mid bgt]],K:K,"&lt;"&amp;Table3[[#This Row],[Start]])</f>
        <v>0</v>
      </c>
      <c r="AD63" s="41">
        <f>Table3[[#This Row],[Planned]]-Table3[[#This Row],[Spent]]</f>
        <v>2300</v>
      </c>
      <c r="AE63" s="44"/>
    </row>
    <row r="64" spans="1:37" x14ac:dyDescent="0.25">
      <c r="A64" s="3">
        <v>63</v>
      </c>
      <c r="B64" t="s">
        <v>267</v>
      </c>
      <c r="C64" s="1">
        <v>6</v>
      </c>
      <c r="D64" s="1">
        <v>2019</v>
      </c>
      <c r="E64" s="166">
        <v>49.03</v>
      </c>
      <c r="F64" s="1" t="s">
        <v>21</v>
      </c>
      <c r="G64" s="1" t="str">
        <f>IF(Table2[[#This Row],[Description]]="","",VLOOKUP(Table2[[#This Row],[Description]],$Q$1:$S$101,2,FALSE))</f>
        <v>Leisure</v>
      </c>
      <c r="H64" s="1" t="str">
        <f>IF(Table2[[#This Row],[Description]]="","",VLOOKUP(Table2[[#This Row],[Description]],$Q$1:$S$101,3,FALSE))</f>
        <v>Short</v>
      </c>
      <c r="I64" s="1">
        <f>IF(Table2[[#This Row],[Description]]="","",IF(Table2[[#This Row],[Currency]]=$O$2,$P$2,HLOOKUP(Table2[[#This Row],[Date]],Funds!$C$10:$GV$11,2,FALSE)))</f>
        <v>1</v>
      </c>
      <c r="J64" s="215">
        <f>IF(Table2[[#This Row],[Description]]="","",Table2[[#This Row],[Value]]/Table2[[#This Row],[Conversion]])</f>
        <v>49.03</v>
      </c>
      <c r="K64" s="45">
        <f>IF(Table2[[#This Row],[Description]]="","",DATE(Table2[[#This Row],[Year]],Table2[[#This Row],[Month]],1))</f>
        <v>43617</v>
      </c>
      <c r="Q64" s="14"/>
      <c r="R64" s="9"/>
      <c r="S64" s="25"/>
      <c r="T64" s="9"/>
      <c r="U64" t="s">
        <v>70</v>
      </c>
      <c r="V64" s="10">
        <v>12</v>
      </c>
      <c r="W64" s="12">
        <v>2027</v>
      </c>
      <c r="X64" s="49">
        <f>DATE(Table3[[#This Row],[Year]],Table3[[#This Row],[Month]],1)</f>
        <v>46722</v>
      </c>
      <c r="Y64" s="228">
        <v>1</v>
      </c>
      <c r="Z64" s="228">
        <v>2027</v>
      </c>
      <c r="AA64" s="49">
        <f>DATE(Table3[[#This Row],[S Yr]],Table3[[#This Row],[S mth]],1)</f>
        <v>46388</v>
      </c>
      <c r="AB64" s="42">
        <v>2300</v>
      </c>
      <c r="AC64" s="40">
        <f>SUMIFS(J:J,G:G,Table3[[#This Row],[Mid bgt]],K:K,"&lt;"&amp;Table3[[#This Row],[End Date]]+1)-SUMIFS(J:J,G:G,Table3[[#This Row],[Mid bgt]],K:K,"&lt;"&amp;Table3[[#This Row],[Start]])</f>
        <v>0</v>
      </c>
      <c r="AD64" s="41">
        <f>Table3[[#This Row],[Planned]]-Table3[[#This Row],[Spent]]</f>
        <v>2300</v>
      </c>
      <c r="AE64" s="44"/>
    </row>
    <row r="65" spans="1:35" x14ac:dyDescent="0.25">
      <c r="A65" s="3">
        <v>64</v>
      </c>
      <c r="B65" t="s">
        <v>59</v>
      </c>
      <c r="C65" s="1">
        <v>6</v>
      </c>
      <c r="D65" s="1">
        <v>2019</v>
      </c>
      <c r="E65" s="166">
        <v>105</v>
      </c>
      <c r="F65" s="1" t="s">
        <v>21</v>
      </c>
      <c r="G65" s="1" t="str">
        <f>IF(Table2[[#This Row],[Description]]="","",VLOOKUP(Table2[[#This Row],[Description]],$Q$1:$S$101,2,FALSE))</f>
        <v>Transportation</v>
      </c>
      <c r="H65" s="1" t="str">
        <f>IF(Table2[[#This Row],[Description]]="","",VLOOKUP(Table2[[#This Row],[Description]],$Q$1:$S$101,3,FALSE))</f>
        <v>Short</v>
      </c>
      <c r="I65" s="1">
        <f>IF(Table2[[#This Row],[Description]]="","",IF(Table2[[#This Row],[Currency]]=$O$2,$P$2,HLOOKUP(Table2[[#This Row],[Date]],Funds!$C$10:$GV$11,2,FALSE)))</f>
        <v>1</v>
      </c>
      <c r="J65" s="215">
        <f>IF(Table2[[#This Row],[Description]]="","",Table2[[#This Row],[Value]]/Table2[[#This Row],[Conversion]])</f>
        <v>105</v>
      </c>
      <c r="K65" s="45">
        <f>IF(Table2[[#This Row],[Description]]="","",DATE(Table2[[#This Row],[Year]],Table2[[#This Row],[Month]],1))</f>
        <v>43617</v>
      </c>
      <c r="Q65" s="14"/>
      <c r="R65" s="9"/>
      <c r="S65" s="25"/>
      <c r="T65" s="9"/>
      <c r="U65" t="s">
        <v>70</v>
      </c>
      <c r="V65" s="10">
        <v>12</v>
      </c>
      <c r="W65" s="12">
        <v>2028</v>
      </c>
      <c r="X65" s="49">
        <f>DATE(Table3[[#This Row],[Year]],Table3[[#This Row],[Month]],1)</f>
        <v>47088</v>
      </c>
      <c r="Y65" s="228">
        <v>1</v>
      </c>
      <c r="Z65" s="228">
        <v>2028</v>
      </c>
      <c r="AA65" s="49">
        <f>DATE(Table3[[#This Row],[S Yr]],Table3[[#This Row],[S mth]],1)</f>
        <v>46753</v>
      </c>
      <c r="AB65" s="42">
        <v>2300</v>
      </c>
      <c r="AC65" s="40">
        <f>SUMIFS(J:J,G:G,Table3[[#This Row],[Mid bgt]],K:K,"&lt;"&amp;Table3[[#This Row],[End Date]]+1)-SUMIFS(J:J,G:G,Table3[[#This Row],[Mid bgt]],K:K,"&lt;"&amp;Table3[[#This Row],[Start]])</f>
        <v>0</v>
      </c>
      <c r="AD65" s="41">
        <f>Table3[[#This Row],[Planned]]-Table3[[#This Row],[Spent]]</f>
        <v>2300</v>
      </c>
      <c r="AE65" s="44"/>
    </row>
    <row r="66" spans="1:35" x14ac:dyDescent="0.25">
      <c r="A66" s="3">
        <v>65</v>
      </c>
      <c r="B66" t="s">
        <v>289</v>
      </c>
      <c r="C66" s="1">
        <v>6</v>
      </c>
      <c r="D66" s="1">
        <v>2019</v>
      </c>
      <c r="E66" s="166">
        <v>1270.42</v>
      </c>
      <c r="F66" s="1" t="s">
        <v>21</v>
      </c>
      <c r="G66" s="1" t="str">
        <f>IF(Table2[[#This Row],[Description]]="","",VLOOKUP(Table2[[#This Row],[Description]],$Q$1:$S$101,2,FALSE))</f>
        <v>BR trips</v>
      </c>
      <c r="H66" s="1" t="str">
        <f>IF(Table2[[#This Row],[Description]]="","",VLOOKUP(Table2[[#This Row],[Description]],$Q$1:$S$101,3,FALSE))</f>
        <v>Mid</v>
      </c>
      <c r="I66" s="1">
        <f>IF(Table2[[#This Row],[Description]]="","",IF(Table2[[#This Row],[Currency]]=$O$2,$P$2,HLOOKUP(Table2[[#This Row],[Date]],Funds!$C$10:$GV$11,2,FALSE)))</f>
        <v>1</v>
      </c>
      <c r="J66" s="215">
        <f>IF(Table2[[#This Row],[Description]]="","",Table2[[#This Row],[Value]]/Table2[[#This Row],[Conversion]])</f>
        <v>1270.42</v>
      </c>
      <c r="K66" s="45">
        <f>IF(Table2[[#This Row],[Description]]="","",DATE(Table2[[#This Row],[Year]],Table2[[#This Row],[Month]],1))</f>
        <v>43617</v>
      </c>
      <c r="Q66" s="14"/>
      <c r="R66" s="9"/>
      <c r="S66" s="25"/>
      <c r="T66" s="9"/>
      <c r="U66" t="s">
        <v>70</v>
      </c>
      <c r="V66" s="10">
        <v>12</v>
      </c>
      <c r="W66" s="12">
        <v>2029</v>
      </c>
      <c r="X66" s="49">
        <f>DATE(Table3[[#This Row],[Year]],Table3[[#This Row],[Month]],1)</f>
        <v>47453</v>
      </c>
      <c r="Y66" s="228">
        <v>1</v>
      </c>
      <c r="Z66" s="228">
        <v>2029</v>
      </c>
      <c r="AA66" s="49">
        <f>DATE(Table3[[#This Row],[S Yr]],Table3[[#This Row],[S mth]],1)</f>
        <v>47119</v>
      </c>
      <c r="AB66" s="42">
        <v>2300</v>
      </c>
      <c r="AC66" s="40">
        <f>SUMIFS(J:J,G:G,Table3[[#This Row],[Mid bgt]],K:K,"&lt;"&amp;Table3[[#This Row],[End Date]]+1)-SUMIFS(J:J,G:G,Table3[[#This Row],[Mid bgt]],K:K,"&lt;"&amp;Table3[[#This Row],[Start]])</f>
        <v>0</v>
      </c>
      <c r="AD66" s="41">
        <f>Table3[[#This Row],[Planned]]-Table3[[#This Row],[Spent]]</f>
        <v>2300</v>
      </c>
      <c r="AE66" s="44"/>
    </row>
    <row r="67" spans="1:35" x14ac:dyDescent="0.25">
      <c r="A67" s="3">
        <v>66</v>
      </c>
      <c r="B67" t="s">
        <v>62</v>
      </c>
      <c r="C67" s="1">
        <v>6</v>
      </c>
      <c r="D67" s="1">
        <v>2019</v>
      </c>
      <c r="E67" s="166">
        <v>112.79</v>
      </c>
      <c r="F67" s="1" t="s">
        <v>21</v>
      </c>
      <c r="G67" s="1" t="str">
        <f>IF(Table2[[#This Row],[Description]]="","",VLOOKUP(Table2[[#This Row],[Description]],$Q$1:$S$101,2,FALSE))</f>
        <v>Leisure</v>
      </c>
      <c r="H67" s="1" t="str">
        <f>IF(Table2[[#This Row],[Description]]="","",VLOOKUP(Table2[[#This Row],[Description]],$Q$1:$S$101,3,FALSE))</f>
        <v>Short</v>
      </c>
      <c r="I67" s="1">
        <f>IF(Table2[[#This Row],[Description]]="","",IF(Table2[[#This Row],[Currency]]=$O$2,$P$2,HLOOKUP(Table2[[#This Row],[Date]],Funds!$C$10:$GV$11,2,FALSE)))</f>
        <v>1</v>
      </c>
      <c r="J67" s="215">
        <f>IF(Table2[[#This Row],[Description]]="","",Table2[[#This Row],[Value]]/Table2[[#This Row],[Conversion]])</f>
        <v>112.79</v>
      </c>
      <c r="K67" s="45">
        <f>IF(Table2[[#This Row],[Description]]="","",DATE(Table2[[#This Row],[Year]],Table2[[#This Row],[Month]],1))</f>
        <v>43617</v>
      </c>
      <c r="Q67" s="14"/>
      <c r="R67" s="9"/>
      <c r="S67" s="25"/>
      <c r="T67" s="9"/>
      <c r="U67" t="s">
        <v>70</v>
      </c>
      <c r="V67" s="10">
        <v>12</v>
      </c>
      <c r="W67" s="12">
        <v>2030</v>
      </c>
      <c r="X67" s="49">
        <f>DATE(Table3[[#This Row],[Year]],Table3[[#This Row],[Month]],1)</f>
        <v>47818</v>
      </c>
      <c r="Y67" s="228">
        <v>1</v>
      </c>
      <c r="Z67" s="228">
        <v>2030</v>
      </c>
      <c r="AA67" s="49">
        <f>DATE(Table3[[#This Row],[S Yr]],Table3[[#This Row],[S mth]],1)</f>
        <v>47484</v>
      </c>
      <c r="AB67" s="42">
        <v>2300</v>
      </c>
      <c r="AC67" s="40">
        <f>SUMIFS(J:J,G:G,Table3[[#This Row],[Mid bgt]],K:K,"&lt;"&amp;Table3[[#This Row],[End Date]]+1)-SUMIFS(J:J,G:G,Table3[[#This Row],[Mid bgt]],K:K,"&lt;"&amp;Table3[[#This Row],[Start]])</f>
        <v>0</v>
      </c>
      <c r="AD67" s="41">
        <f>Table3[[#This Row],[Planned]]-Table3[[#This Row],[Spent]]</f>
        <v>2300</v>
      </c>
      <c r="AE67" s="44"/>
    </row>
    <row r="68" spans="1:35" x14ac:dyDescent="0.25">
      <c r="A68" s="3">
        <v>67</v>
      </c>
      <c r="B68" t="s">
        <v>288</v>
      </c>
      <c r="C68" s="1">
        <v>6</v>
      </c>
      <c r="D68" s="1">
        <v>2019</v>
      </c>
      <c r="E68" s="166">
        <f>1192+1000</f>
        <v>2192</v>
      </c>
      <c r="F68" s="1" t="s">
        <v>21</v>
      </c>
      <c r="G68" s="1" t="str">
        <f>IF(Table2[[#This Row],[Description]]="","",VLOOKUP(Table2[[#This Row],[Description]],$Q$1:$S$101,2,FALSE))</f>
        <v xml:space="preserve">US Furniture </v>
      </c>
      <c r="H68" s="1" t="str">
        <f>IF(Table2[[#This Row],[Description]]="","",VLOOKUP(Table2[[#This Row],[Description]],$Q$1:$S$101,3,FALSE))</f>
        <v>Mid</v>
      </c>
      <c r="I68" s="1">
        <f>IF(Table2[[#This Row],[Description]]="","",IF(Table2[[#This Row],[Currency]]=$O$2,$P$2,HLOOKUP(Table2[[#This Row],[Date]],Funds!$C$10:$GV$11,2,FALSE)))</f>
        <v>1</v>
      </c>
      <c r="J68" s="215">
        <f>IF(Table2[[#This Row],[Description]]="","",Table2[[#This Row],[Value]]/Table2[[#This Row],[Conversion]])</f>
        <v>2192</v>
      </c>
      <c r="K68" s="45">
        <f>IF(Table2[[#This Row],[Description]]="","",DATE(Table2[[#This Row],[Year]],Table2[[#This Row],[Month]],1))</f>
        <v>43617</v>
      </c>
      <c r="Q68" s="14"/>
      <c r="R68" s="9"/>
      <c r="S68" s="25"/>
      <c r="T68" s="9"/>
      <c r="U68" s="9" t="s">
        <v>250</v>
      </c>
      <c r="V68" s="10">
        <v>3</v>
      </c>
      <c r="W68" s="10">
        <v>2020</v>
      </c>
      <c r="X68" s="49">
        <f>DATE(Table3[[#This Row],[Year]],Table3[[#This Row],[Month]],1)</f>
        <v>43891</v>
      </c>
      <c r="Y68" s="228">
        <v>2</v>
      </c>
      <c r="Z68" s="228">
        <v>2020</v>
      </c>
      <c r="AA68" s="49">
        <f>DATE(Table3[[#This Row],[S Yr]],Table3[[#This Row],[S mth]],1)</f>
        <v>43862</v>
      </c>
      <c r="AB68" s="40">
        <v>2500</v>
      </c>
      <c r="AC68" s="40">
        <f>SUMIFS(J:J,G:G,Table3[[#This Row],[Mid bgt]],K:K,"&lt;"&amp;Table3[[#This Row],[End Date]]+1)-SUMIFS(J:J,G:G,Table3[[#This Row],[Mid bgt]],K:K,"&lt;"&amp;Table3[[#This Row],[Start]])</f>
        <v>2491.4499999999998</v>
      </c>
      <c r="AD68" s="41">
        <f>Table3[[#This Row],[Planned]]-Table3[[#This Row],[Spent]]</f>
        <v>8.5500000000001819</v>
      </c>
      <c r="AE68" s="44"/>
    </row>
    <row r="69" spans="1:35" x14ac:dyDescent="0.25">
      <c r="A69" s="3">
        <v>68</v>
      </c>
      <c r="B69" t="s">
        <v>35</v>
      </c>
      <c r="C69" s="1">
        <v>6</v>
      </c>
      <c r="D69" s="1">
        <v>2019</v>
      </c>
      <c r="E69" s="166">
        <v>85.36</v>
      </c>
      <c r="F69" s="1" t="s">
        <v>21</v>
      </c>
      <c r="G69" s="1" t="str">
        <f>IF(Table2[[#This Row],[Description]]="","",VLOOKUP(Table2[[#This Row],[Description]],$Q$1:$S$101,2,FALSE))</f>
        <v>Cellphone</v>
      </c>
      <c r="H69" s="1" t="str">
        <f>IF(Table2[[#This Row],[Description]]="","",VLOOKUP(Table2[[#This Row],[Description]],$Q$1:$S$101,3,FALSE))</f>
        <v>Short</v>
      </c>
      <c r="I69" s="1">
        <f>IF(Table2[[#This Row],[Description]]="","",IF(Table2[[#This Row],[Currency]]=$O$2,$P$2,HLOOKUP(Table2[[#This Row],[Date]],Funds!$C$10:$GV$11,2,FALSE)))</f>
        <v>1</v>
      </c>
      <c r="J69" s="215">
        <f>IF(Table2[[#This Row],[Description]]="","",Table2[[#This Row],[Value]]/Table2[[#This Row],[Conversion]])</f>
        <v>85.36</v>
      </c>
      <c r="K69" s="45">
        <f>IF(Table2[[#This Row],[Description]]="","",DATE(Table2[[#This Row],[Year]],Table2[[#This Row],[Month]],1))</f>
        <v>43617</v>
      </c>
      <c r="Q69" s="14"/>
      <c r="R69" s="9"/>
      <c r="S69" s="25"/>
      <c r="T69" s="9"/>
      <c r="U69" s="9" t="s">
        <v>281</v>
      </c>
      <c r="V69" s="10">
        <v>10</v>
      </c>
      <c r="W69" s="10">
        <v>2019</v>
      </c>
      <c r="X69" s="48">
        <f>DATE(Table3[[#This Row],[Year]],Table3[[#This Row],[Month]],1)</f>
        <v>43739</v>
      </c>
      <c r="Y69" s="229">
        <v>1</v>
      </c>
      <c r="Z69" s="229">
        <v>2019</v>
      </c>
      <c r="AA69" s="48">
        <f>DATE(Table3[[#This Row],[S Yr]],Table3[[#This Row],[S mth]],1)</f>
        <v>43466</v>
      </c>
      <c r="AB69" s="40">
        <v>3300</v>
      </c>
      <c r="AC69" s="40">
        <f>SUMIFS(J:J,G:G,Table3[[#This Row],[Mid bgt]],K:K,"&lt;"&amp;Table3[[#This Row],[End Date]]+1)-SUMIFS(J:J,G:G,Table3[[#This Row],[Mid bgt]],K:K,"&lt;"&amp;Table3[[#This Row],[Start]])</f>
        <v>3559.6400000000003</v>
      </c>
      <c r="AD69" s="41">
        <f>Table3[[#This Row],[Planned]]-Table3[[#This Row],[Spent]]</f>
        <v>-259.64000000000033</v>
      </c>
      <c r="AE69" s="44"/>
    </row>
    <row r="70" spans="1:35" x14ac:dyDescent="0.25">
      <c r="A70" s="3">
        <v>69</v>
      </c>
      <c r="B70" t="s">
        <v>31</v>
      </c>
      <c r="C70" s="1">
        <v>6</v>
      </c>
      <c r="D70" s="1">
        <v>2019</v>
      </c>
      <c r="E70" s="166">
        <f>11.58+1700</f>
        <v>1711.58</v>
      </c>
      <c r="F70" s="1" t="s">
        <v>21</v>
      </c>
      <c r="G70" s="1" t="str">
        <f>IF(Table2[[#This Row],[Description]]="","",VLOOKUP(Table2[[#This Row],[Description]],$Q$1:$S$101,2,FALSE))</f>
        <v>Rent</v>
      </c>
      <c r="H70" s="1" t="str">
        <f>IF(Table2[[#This Row],[Description]]="","",VLOOKUP(Table2[[#This Row],[Description]],$Q$1:$S$101,3,FALSE))</f>
        <v>Short</v>
      </c>
      <c r="I70" s="1">
        <f>IF(Table2[[#This Row],[Description]]="","",IF(Table2[[#This Row],[Currency]]=$O$2,$P$2,HLOOKUP(Table2[[#This Row],[Date]],Funds!$C$10:$GV$11,2,FALSE)))</f>
        <v>1</v>
      </c>
      <c r="J70" s="215">
        <f>IF(Table2[[#This Row],[Description]]="","",Table2[[#This Row],[Value]]/Table2[[#This Row],[Conversion]])</f>
        <v>1711.58</v>
      </c>
      <c r="K70" s="45">
        <f>IF(Table2[[#This Row],[Description]]="","",DATE(Table2[[#This Row],[Year]],Table2[[#This Row],[Month]],1))</f>
        <v>43617</v>
      </c>
      <c r="Q70" s="14"/>
      <c r="R70" s="9"/>
      <c r="S70" s="25"/>
      <c r="T70" s="9"/>
      <c r="U70" s="9" t="s">
        <v>281</v>
      </c>
      <c r="V70" s="10">
        <v>3</v>
      </c>
      <c r="W70" s="10">
        <v>2020</v>
      </c>
      <c r="X70" s="48">
        <f>DATE(Table3[[#This Row],[Year]],Table3[[#This Row],[Month]],1)</f>
        <v>43891</v>
      </c>
      <c r="Y70" s="229">
        <v>11</v>
      </c>
      <c r="Z70" s="229">
        <v>2019</v>
      </c>
      <c r="AA70" s="48">
        <f>DATE(Table3[[#This Row],[S Yr]],Table3[[#This Row],[S mth]],1)</f>
        <v>43770</v>
      </c>
      <c r="AB70" s="40">
        <f>3300+2100</f>
        <v>5400</v>
      </c>
      <c r="AC70" s="40">
        <f>SUMIFS(J:J,G:G,Table3[[#This Row],[Mid bgt]],K:K,"&lt;"&amp;Table3[[#This Row],[End Date]]+1)-SUMIFS(J:J,G:G,Table3[[#This Row],[Mid bgt]],K:K,"&lt;"&amp;Table3[[#This Row],[Start]])</f>
        <v>5524.8699999999981</v>
      </c>
      <c r="AD70" s="41">
        <f>Table3[[#This Row],[Planned]]-Table3[[#This Row],[Spent]]</f>
        <v>-124.86999999999807</v>
      </c>
      <c r="AE70" s="44"/>
    </row>
    <row r="71" spans="1:35" x14ac:dyDescent="0.25">
      <c r="A71" s="3">
        <v>70</v>
      </c>
      <c r="B71" t="s">
        <v>256</v>
      </c>
      <c r="C71" s="1">
        <v>6</v>
      </c>
      <c r="D71" s="1">
        <v>2019</v>
      </c>
      <c r="E71" s="166">
        <v>25.34</v>
      </c>
      <c r="F71" s="1" t="s">
        <v>21</v>
      </c>
      <c r="G71" s="1" t="str">
        <f>IF(Table2[[#This Row],[Description]]="","",VLOOKUP(Table2[[#This Row],[Description]],$Q$1:$S$101,2,FALSE))</f>
        <v>MN free</v>
      </c>
      <c r="H71" s="1" t="str">
        <f>IF(Table2[[#This Row],[Description]]="","",VLOOKUP(Table2[[#This Row],[Description]],$Q$1:$S$101,3,FALSE))</f>
        <v>Mid</v>
      </c>
      <c r="I71" s="1">
        <f>IF(Table2[[#This Row],[Description]]="","",IF(Table2[[#This Row],[Currency]]=$O$2,$P$2,HLOOKUP(Table2[[#This Row],[Date]],Funds!$C$10:$GV$11,2,FALSE)))</f>
        <v>1</v>
      </c>
      <c r="J71" s="215">
        <f>IF(Table2[[#This Row],[Description]]="","",Table2[[#This Row],[Value]]/Table2[[#This Row],[Conversion]])</f>
        <v>25.34</v>
      </c>
      <c r="K71" s="45">
        <f>IF(Table2[[#This Row],[Description]]="","",DATE(Table2[[#This Row],[Year]],Table2[[#This Row],[Month]],1))</f>
        <v>43617</v>
      </c>
      <c r="Q71" s="14"/>
      <c r="R71" s="9"/>
      <c r="S71" s="25"/>
      <c r="T71" s="9"/>
      <c r="U71" s="9" t="s">
        <v>281</v>
      </c>
      <c r="V71" s="10">
        <v>6</v>
      </c>
      <c r="W71" s="10">
        <v>2020</v>
      </c>
      <c r="X71" s="48">
        <f>DATE(Table3[[#This Row],[Year]],Table3[[#This Row],[Month]],1)</f>
        <v>43983</v>
      </c>
      <c r="Y71" s="229">
        <v>4</v>
      </c>
      <c r="Z71" s="229">
        <v>2020</v>
      </c>
      <c r="AA71" s="48">
        <f>DATE(Table3[[#This Row],[S Yr]],Table3[[#This Row],[S mth]],1)</f>
        <v>43922</v>
      </c>
      <c r="AB71" s="40">
        <v>1600</v>
      </c>
      <c r="AC71" s="40">
        <f>SUMIFS(J:J,G:G,Table3[[#This Row],[Mid bgt]],K:K,"&lt;"&amp;Table3[[#This Row],[End Date]]+1)-SUMIFS(J:J,G:G,Table3[[#This Row],[Mid bgt]],K:K,"&lt;"&amp;Table3[[#This Row],[Start]])</f>
        <v>1628.6299999999992</v>
      </c>
      <c r="AD71" s="41">
        <f>Table3[[#This Row],[Planned]]-Table3[[#This Row],[Spent]]</f>
        <v>-28.6299999999992</v>
      </c>
      <c r="AE71" s="44"/>
    </row>
    <row r="72" spans="1:35" x14ac:dyDescent="0.25">
      <c r="A72" s="3">
        <v>71</v>
      </c>
      <c r="B72" t="s">
        <v>252</v>
      </c>
      <c r="C72" s="1">
        <v>6</v>
      </c>
      <c r="D72" s="1">
        <v>2019</v>
      </c>
      <c r="E72" s="166">
        <v>106.99</v>
      </c>
      <c r="F72" s="1" t="s">
        <v>21</v>
      </c>
      <c r="G72" s="1" t="str">
        <f>IF(Table2[[#This Row],[Description]]="","",VLOOKUP(Table2[[#This Row],[Description]],$Q$1:$S$101,2,FALSE))</f>
        <v>Other Mid</v>
      </c>
      <c r="H72" s="1" t="str">
        <f>IF(Table2[[#This Row],[Description]]="","",VLOOKUP(Table2[[#This Row],[Description]],$Q$1:$S$101,3,FALSE))</f>
        <v>Mid</v>
      </c>
      <c r="I72" s="1">
        <f>IF(Table2[[#This Row],[Description]]="","",IF(Table2[[#This Row],[Currency]]=$O$2,$P$2,HLOOKUP(Table2[[#This Row],[Date]],Funds!$C$10:$GV$11,2,FALSE)))</f>
        <v>1</v>
      </c>
      <c r="J72" s="215">
        <f>IF(Table2[[#This Row],[Description]]="","",Table2[[#This Row],[Value]]/Table2[[#This Row],[Conversion]])</f>
        <v>106.99</v>
      </c>
      <c r="K72" s="45">
        <f>IF(Table2[[#This Row],[Description]]="","",DATE(Table2[[#This Row],[Year]],Table2[[#This Row],[Month]],1))</f>
        <v>43617</v>
      </c>
      <c r="Q72" s="14"/>
      <c r="R72" s="9"/>
      <c r="S72" s="25"/>
      <c r="T72" s="9"/>
      <c r="U72" s="9" t="s">
        <v>281</v>
      </c>
      <c r="V72" s="10">
        <v>9</v>
      </c>
      <c r="W72" s="10">
        <v>2020</v>
      </c>
      <c r="X72" s="48">
        <f>DATE(Table3[[#This Row],[Year]],Table3[[#This Row],[Month]],1)</f>
        <v>44075</v>
      </c>
      <c r="Y72" s="229">
        <v>7</v>
      </c>
      <c r="Z72" s="229">
        <v>2020</v>
      </c>
      <c r="AA72" s="48">
        <f>DATE(Table3[[#This Row],[S Yr]],Table3[[#This Row],[S mth]],1)</f>
        <v>44013</v>
      </c>
      <c r="AB72" s="40">
        <v>6800</v>
      </c>
      <c r="AC72" s="40">
        <f>SUMIFS(J:J,G:G,Table3[[#This Row],[Mid bgt]],K:K,"&lt;"&amp;Table3[[#This Row],[End Date]]+1)-SUMIFS(J:J,G:G,Table3[[#This Row],[Mid bgt]],K:K,"&lt;"&amp;Table3[[#This Row],[Start]])</f>
        <v>0</v>
      </c>
      <c r="AD72" s="41">
        <f>Table3[[#This Row],[Planned]]-Table3[[#This Row],[Spent]]</f>
        <v>6800</v>
      </c>
      <c r="AE72" s="44"/>
    </row>
    <row r="73" spans="1:35" x14ac:dyDescent="0.25">
      <c r="A73" s="3">
        <v>72</v>
      </c>
      <c r="B73" t="s">
        <v>57</v>
      </c>
      <c r="C73" s="1">
        <v>6</v>
      </c>
      <c r="D73" s="1">
        <v>2019</v>
      </c>
      <c r="E73" s="166">
        <v>120.32</v>
      </c>
      <c r="F73" s="1" t="s">
        <v>21</v>
      </c>
      <c r="G73" s="1" t="str">
        <f>IF(Table2[[#This Row],[Description]]="","",VLOOKUP(Table2[[#This Row],[Description]],$Q$1:$S$101,2,FALSE))</f>
        <v>Food</v>
      </c>
      <c r="H73" s="1" t="str">
        <f>IF(Table2[[#This Row],[Description]]="","",VLOOKUP(Table2[[#This Row],[Description]],$Q$1:$S$101,3,FALSE))</f>
        <v>Short</v>
      </c>
      <c r="I73" s="1">
        <f>IF(Table2[[#This Row],[Description]]="","",IF(Table2[[#This Row],[Currency]]=$O$2,$P$2,HLOOKUP(Table2[[#This Row],[Date]],Funds!$C$10:$GV$11,2,FALSE)))</f>
        <v>1</v>
      </c>
      <c r="J73" s="215">
        <f>IF(Table2[[#This Row],[Description]]="","",Table2[[#This Row],[Value]]/Table2[[#This Row],[Conversion]])</f>
        <v>120.32</v>
      </c>
      <c r="K73" s="45">
        <f>IF(Table2[[#This Row],[Description]]="","",DATE(Table2[[#This Row],[Year]],Table2[[#This Row],[Month]],1))</f>
        <v>43617</v>
      </c>
      <c r="Q73" s="14"/>
      <c r="R73" s="9"/>
      <c r="S73" s="25"/>
      <c r="T73" s="9"/>
      <c r="U73" s="9" t="s">
        <v>281</v>
      </c>
      <c r="V73" s="10">
        <v>1</v>
      </c>
      <c r="W73" s="10">
        <v>2021</v>
      </c>
      <c r="X73" s="48">
        <f>DATE(Table3[[#This Row],[Year]],Table3[[#This Row],[Month]],1)</f>
        <v>44197</v>
      </c>
      <c r="Y73" s="229">
        <v>9</v>
      </c>
      <c r="Z73" s="229">
        <v>2020</v>
      </c>
      <c r="AA73" s="48">
        <f>DATE(Table3[[#This Row],[S Yr]],Table3[[#This Row],[S mth]],1)</f>
        <v>44075</v>
      </c>
      <c r="AB73" s="40">
        <v>3800</v>
      </c>
      <c r="AC73" s="40">
        <f>SUMIFS(J:J,G:G,Table3[[#This Row],[Mid bgt]],K:K,"&lt;"&amp;Table3[[#This Row],[End Date]]+1)-SUMIFS(J:J,G:G,Table3[[#This Row],[Mid bgt]],K:K,"&lt;"&amp;Table3[[#This Row],[Start]])</f>
        <v>0</v>
      </c>
      <c r="AD73" s="41">
        <f>Table3[[#This Row],[Planned]]-Table3[[#This Row],[Spent]]</f>
        <v>3800</v>
      </c>
      <c r="AE73" s="44"/>
      <c r="AH73">
        <v>50</v>
      </c>
      <c r="AI73">
        <v>100</v>
      </c>
    </row>
    <row r="74" spans="1:35" x14ac:dyDescent="0.25">
      <c r="A74" s="3">
        <v>73</v>
      </c>
      <c r="B74" t="s">
        <v>317</v>
      </c>
      <c r="C74" s="1">
        <v>6</v>
      </c>
      <c r="D74" s="1">
        <v>2019</v>
      </c>
      <c r="E74" s="166">
        <v>110.43</v>
      </c>
      <c r="F74" s="1" t="s">
        <v>21</v>
      </c>
      <c r="G74" s="1" t="str">
        <f>IF(Table2[[#This Row],[Description]]="","",VLOOKUP(Table2[[#This Row],[Description]],$Q$1:$S$101,2,FALSE))</f>
        <v>Mid</v>
      </c>
      <c r="H74" s="1" t="str">
        <f>IF(Table2[[#This Row],[Description]]="","",VLOOKUP(Table2[[#This Row],[Description]],$Q$1:$S$101,3,FALSE))</f>
        <v>Mid</v>
      </c>
      <c r="I74" s="1">
        <f>IF(Table2[[#This Row],[Description]]="","",IF(Table2[[#This Row],[Currency]]=$O$2,$P$2,HLOOKUP(Table2[[#This Row],[Date]],Funds!$C$10:$GV$11,2,FALSE)))</f>
        <v>1</v>
      </c>
      <c r="J74" s="215">
        <f>IF(Table2[[#This Row],[Description]]="","",Table2[[#This Row],[Value]]/Table2[[#This Row],[Conversion]])</f>
        <v>110.43</v>
      </c>
      <c r="K74" s="45">
        <f>IF(Table2[[#This Row],[Description]]="","",DATE(Table2[[#This Row],[Year]],Table2[[#This Row],[Month]],1))</f>
        <v>43617</v>
      </c>
      <c r="Q74" s="14"/>
      <c r="R74" s="9"/>
      <c r="S74" s="25"/>
      <c r="T74" s="9"/>
      <c r="U74" s="9" t="s">
        <v>281</v>
      </c>
      <c r="V74" s="10">
        <v>6</v>
      </c>
      <c r="W74" s="10">
        <v>2021</v>
      </c>
      <c r="X74" s="48">
        <f>DATE(Table3[[#This Row],[Year]],Table3[[#This Row],[Month]],1)</f>
        <v>44348</v>
      </c>
      <c r="Y74" s="229">
        <v>2</v>
      </c>
      <c r="Z74" s="229">
        <v>2021</v>
      </c>
      <c r="AA74" s="48">
        <f>DATE(Table3[[#This Row],[S Yr]],Table3[[#This Row],[S mth]],1)</f>
        <v>44228</v>
      </c>
      <c r="AB74" s="40">
        <v>1600</v>
      </c>
      <c r="AC74" s="40">
        <f>SUMIFS(J:J,G:G,Table3[[#This Row],[Mid bgt]],K:K,"&lt;"&amp;Table3[[#This Row],[End Date]]+1)-SUMIFS(J:J,G:G,Table3[[#This Row],[Mid bgt]],K:K,"&lt;"&amp;Table3[[#This Row],[Start]])</f>
        <v>0</v>
      </c>
      <c r="AD74" s="41">
        <f>Table3[[#This Row],[Planned]]-Table3[[#This Row],[Spent]]</f>
        <v>1600</v>
      </c>
      <c r="AE74" s="44"/>
    </row>
    <row r="75" spans="1:35" x14ac:dyDescent="0.25">
      <c r="A75" s="3">
        <v>74</v>
      </c>
      <c r="B75" t="s">
        <v>250</v>
      </c>
      <c r="C75" s="1">
        <v>6</v>
      </c>
      <c r="D75" s="1">
        <v>2019</v>
      </c>
      <c r="E75" s="166">
        <v>100</v>
      </c>
      <c r="F75" s="1" t="s">
        <v>21</v>
      </c>
      <c r="G75" s="1" t="str">
        <f>IF(Table2[[#This Row],[Description]]="","",VLOOKUP(Table2[[#This Row],[Description]],$Q$1:$S$101,2,FALSE))</f>
        <v>EK Loan termination</v>
      </c>
      <c r="H75" s="1" t="str">
        <f>IF(Table2[[#This Row],[Description]]="","",VLOOKUP(Table2[[#This Row],[Description]],$Q$1:$S$101,3,FALSE))</f>
        <v>Mid</v>
      </c>
      <c r="I75" s="1">
        <f>IF(Table2[[#This Row],[Description]]="","",IF(Table2[[#This Row],[Currency]]=$O$2,$P$2,HLOOKUP(Table2[[#This Row],[Date]],Funds!$C$10:$GV$11,2,FALSE)))</f>
        <v>1</v>
      </c>
      <c r="J75" s="215">
        <f>IF(Table2[[#This Row],[Description]]="","",Table2[[#This Row],[Value]]/Table2[[#This Row],[Conversion]])</f>
        <v>100</v>
      </c>
      <c r="K75" s="45">
        <f>IF(Table2[[#This Row],[Description]]="","",DATE(Table2[[#This Row],[Year]],Table2[[#This Row],[Month]],1))</f>
        <v>43617</v>
      </c>
      <c r="Q75" s="14"/>
      <c r="R75" s="9"/>
      <c r="S75" s="25"/>
      <c r="T75" s="9"/>
      <c r="U75" s="9" t="s">
        <v>281</v>
      </c>
      <c r="V75" s="10">
        <v>9</v>
      </c>
      <c r="W75" s="10">
        <v>2021</v>
      </c>
      <c r="X75" s="48">
        <f>DATE(Table3[[#This Row],[Year]],Table3[[#This Row],[Month]],1)</f>
        <v>44440</v>
      </c>
      <c r="Y75" s="229">
        <v>7</v>
      </c>
      <c r="Z75" s="229">
        <v>2021</v>
      </c>
      <c r="AA75" s="48">
        <f>DATE(Table3[[#This Row],[S Yr]],Table3[[#This Row],[S mth]],1)</f>
        <v>44378</v>
      </c>
      <c r="AB75" s="40">
        <v>3800</v>
      </c>
      <c r="AC75" s="40">
        <f>SUMIFS(J:J,G:G,Table3[[#This Row],[Mid bgt]],K:K,"&lt;"&amp;Table3[[#This Row],[End Date]]+1)-SUMIFS(J:J,G:G,Table3[[#This Row],[Mid bgt]],K:K,"&lt;"&amp;Table3[[#This Row],[Start]])</f>
        <v>0</v>
      </c>
      <c r="AD75" s="41">
        <f>Table3[[#This Row],[Planned]]-Table3[[#This Row],[Spent]]</f>
        <v>3800</v>
      </c>
      <c r="AE75" s="44"/>
      <c r="AH75" t="s">
        <v>587</v>
      </c>
      <c r="AI75" t="s">
        <v>524</v>
      </c>
    </row>
    <row r="76" spans="1:35" x14ac:dyDescent="0.25">
      <c r="A76" s="3">
        <v>75</v>
      </c>
      <c r="B76" t="s">
        <v>267</v>
      </c>
      <c r="C76" s="1">
        <v>6</v>
      </c>
      <c r="D76" s="1">
        <v>2019</v>
      </c>
      <c r="E76" s="166">
        <v>13.49</v>
      </c>
      <c r="F76" s="1" t="s">
        <v>21</v>
      </c>
      <c r="G76" s="1" t="str">
        <f>IF(Table2[[#This Row],[Description]]="","",VLOOKUP(Table2[[#This Row],[Description]],$Q$1:$S$101,2,FALSE))</f>
        <v>Leisure</v>
      </c>
      <c r="H76" s="1" t="str">
        <f>IF(Table2[[#This Row],[Description]]="","",VLOOKUP(Table2[[#This Row],[Description]],$Q$1:$S$101,3,FALSE))</f>
        <v>Short</v>
      </c>
      <c r="I76" s="1">
        <f>IF(Table2[[#This Row],[Description]]="","",IF(Table2[[#This Row],[Currency]]=$O$2,$P$2,HLOOKUP(Table2[[#This Row],[Date]],Funds!$C$10:$GV$11,2,FALSE)))</f>
        <v>1</v>
      </c>
      <c r="J76" s="215">
        <f>IF(Table2[[#This Row],[Description]]="","",Table2[[#This Row],[Value]]/Table2[[#This Row],[Conversion]])</f>
        <v>13.49</v>
      </c>
      <c r="K76" s="45">
        <f>IF(Table2[[#This Row],[Description]]="","",DATE(Table2[[#This Row],[Year]],Table2[[#This Row],[Month]],1))</f>
        <v>43617</v>
      </c>
      <c r="Q76" s="14"/>
      <c r="R76" s="9"/>
      <c r="S76" s="25"/>
      <c r="T76" s="9"/>
      <c r="U76" t="s">
        <v>316</v>
      </c>
      <c r="V76" s="1">
        <v>6</v>
      </c>
      <c r="W76" s="1">
        <v>2020</v>
      </c>
      <c r="X76" s="49">
        <f>DATE(Table3[[#This Row],[Year]],Table3[[#This Row],[Month]],1)</f>
        <v>43983</v>
      </c>
      <c r="Y76" s="227">
        <v>1</v>
      </c>
      <c r="Z76" s="227">
        <v>2020</v>
      </c>
      <c r="AA76" s="47">
        <f>DATE(Table3[[#This Row],[S Yr]],Table3[[#This Row],[S mth]],1)</f>
        <v>43831</v>
      </c>
      <c r="AB76" s="44">
        <v>1200</v>
      </c>
      <c r="AC76" s="40">
        <f>SUMIFS(J:J,B:B,Table3[[#This Row],[Mid bgt]],K:K,"&lt;"&amp;Table3[[#This Row],[End Date]]+1)-SUMIFS(J:J,B:B,Table3[[#This Row],[Mid bgt]],K:K,"&lt;"&amp;Table3[[#This Row],[Start]])</f>
        <v>304.73</v>
      </c>
      <c r="AD76" s="41">
        <f>Table3[[#This Row],[Planned]]-Table3[[#This Row],[Spent]]</f>
        <v>895.27</v>
      </c>
      <c r="AE76" s="44"/>
      <c r="AG76" t="s">
        <v>538</v>
      </c>
      <c r="AH76">
        <v>6</v>
      </c>
      <c r="AI76">
        <v>2</v>
      </c>
    </row>
    <row r="77" spans="1:35" x14ac:dyDescent="0.25">
      <c r="A77" s="3">
        <v>76</v>
      </c>
      <c r="B77" t="s">
        <v>58</v>
      </c>
      <c r="C77" s="1">
        <v>6</v>
      </c>
      <c r="D77" s="1">
        <v>2019</v>
      </c>
      <c r="E77" s="166">
        <v>194.35</v>
      </c>
      <c r="F77" s="1" t="s">
        <v>21</v>
      </c>
      <c r="G77" s="1" t="str">
        <f>IF(Table2[[#This Row],[Description]]="","",VLOOKUP(Table2[[#This Row],[Description]],$Q$1:$S$101,2,FALSE))</f>
        <v>Food</v>
      </c>
      <c r="H77" s="1" t="str">
        <f>IF(Table2[[#This Row],[Description]]="","",VLOOKUP(Table2[[#This Row],[Description]],$Q$1:$S$101,3,FALSE))</f>
        <v>Short</v>
      </c>
      <c r="I77" s="1">
        <f>IF(Table2[[#This Row],[Description]]="","",IF(Table2[[#This Row],[Currency]]=$O$2,$P$2,HLOOKUP(Table2[[#This Row],[Date]],Funds!$C$10:$GV$11,2,FALSE)))</f>
        <v>1</v>
      </c>
      <c r="J77" s="215">
        <f>IF(Table2[[#This Row],[Description]]="","",Table2[[#This Row],[Value]]/Table2[[#This Row],[Conversion]])</f>
        <v>194.35</v>
      </c>
      <c r="K77" s="45">
        <f>IF(Table2[[#This Row],[Description]]="","",DATE(Table2[[#This Row],[Year]],Table2[[#This Row],[Month]],1))</f>
        <v>43617</v>
      </c>
      <c r="Q77" s="14"/>
      <c r="R77" s="9"/>
      <c r="S77" s="25"/>
      <c r="T77" s="9"/>
      <c r="U77" t="s">
        <v>316</v>
      </c>
      <c r="V77" s="1">
        <v>6</v>
      </c>
      <c r="W77" s="1">
        <v>2021</v>
      </c>
      <c r="X77" s="49">
        <f>DATE(Table3[[#This Row],[Year]],Table3[[#This Row],[Month]],1)</f>
        <v>44348</v>
      </c>
      <c r="Y77" s="227">
        <v>1</v>
      </c>
      <c r="Z77" s="227">
        <v>2021</v>
      </c>
      <c r="AA77" s="47">
        <f>DATE(Table3[[#This Row],[S Yr]],Table3[[#This Row],[S mth]],1)</f>
        <v>44197</v>
      </c>
      <c r="AB77" s="44">
        <v>1200</v>
      </c>
      <c r="AC77" s="40">
        <f>SUMIFS(J:J,B:B,Table3[[#This Row],[Mid bgt]],K:K,"&lt;"&amp;Table3[[#This Row],[End Date]]+1)-SUMIFS(J:J,B:B,Table3[[#This Row],[Mid bgt]],K:K,"&lt;"&amp;Table3[[#This Row],[Start]])</f>
        <v>0</v>
      </c>
      <c r="AD77" s="41">
        <f>Table3[[#This Row],[Planned]]-Table3[[#This Row],[Spent]]</f>
        <v>1200</v>
      </c>
      <c r="AE77" s="44"/>
      <c r="AG77" t="s">
        <v>585</v>
      </c>
      <c r="AH77">
        <v>6</v>
      </c>
      <c r="AI77">
        <v>2</v>
      </c>
    </row>
    <row r="78" spans="1:35" x14ac:dyDescent="0.25">
      <c r="A78" s="3">
        <v>77</v>
      </c>
      <c r="B78" t="s">
        <v>29</v>
      </c>
      <c r="C78" s="1">
        <v>6</v>
      </c>
      <c r="D78" s="1">
        <v>2019</v>
      </c>
      <c r="E78" s="166">
        <v>76.040000000000006</v>
      </c>
      <c r="F78" s="1" t="s">
        <v>21</v>
      </c>
      <c r="G78" s="1" t="str">
        <f>IF(Table2[[#This Row],[Description]]="","",VLOOKUP(Table2[[#This Row],[Description]],$Q$1:$S$101,2,FALSE))</f>
        <v>Health</v>
      </c>
      <c r="H78" s="1" t="str">
        <f>IF(Table2[[#This Row],[Description]]="","",VLOOKUP(Table2[[#This Row],[Description]],$Q$1:$S$101,3,FALSE))</f>
        <v>Mid</v>
      </c>
      <c r="I78" s="1">
        <f>IF(Table2[[#This Row],[Description]]="","",IF(Table2[[#This Row],[Currency]]=$O$2,$P$2,HLOOKUP(Table2[[#This Row],[Date]],Funds!$C$10:$GV$11,2,FALSE)))</f>
        <v>1</v>
      </c>
      <c r="J78" s="215">
        <f>IF(Table2[[#This Row],[Description]]="","",Table2[[#This Row],[Value]]/Table2[[#This Row],[Conversion]])</f>
        <v>76.040000000000006</v>
      </c>
      <c r="K78" s="45">
        <f>IF(Table2[[#This Row],[Description]]="","",DATE(Table2[[#This Row],[Year]],Table2[[#This Row],[Month]],1))</f>
        <v>43617</v>
      </c>
      <c r="Q78" s="14"/>
      <c r="R78" s="9"/>
      <c r="S78" s="25"/>
      <c r="T78" s="9"/>
      <c r="U78" t="s">
        <v>316</v>
      </c>
      <c r="V78" s="1">
        <v>6</v>
      </c>
      <c r="W78" s="1">
        <v>2022</v>
      </c>
      <c r="X78" s="49">
        <f>DATE(Table3[[#This Row],[Year]],Table3[[#This Row],[Month]],1)</f>
        <v>44713</v>
      </c>
      <c r="Y78" s="227">
        <v>1</v>
      </c>
      <c r="Z78" s="1">
        <v>2022</v>
      </c>
      <c r="AA78" s="47">
        <f>DATE(Table3[[#This Row],[S Yr]],Table3[[#This Row],[S mth]],1)</f>
        <v>44562</v>
      </c>
      <c r="AB78" s="44">
        <v>1200</v>
      </c>
      <c r="AC78" s="40">
        <f>SUMIFS(J:J,B:B,Table3[[#This Row],[Mid bgt]],K:K,"&lt;"&amp;Table3[[#This Row],[End Date]]+1)-SUMIFS(J:J,B:B,Table3[[#This Row],[Mid bgt]],K:K,"&lt;"&amp;Table3[[#This Row],[Start]])</f>
        <v>0</v>
      </c>
      <c r="AD78" s="41">
        <f>Table3[[#This Row],[Planned]]-Table3[[#This Row],[Spent]]</f>
        <v>1200</v>
      </c>
      <c r="AE78" s="44"/>
      <c r="AG78" t="s">
        <v>586</v>
      </c>
      <c r="AH78">
        <v>4</v>
      </c>
    </row>
    <row r="79" spans="1:35" x14ac:dyDescent="0.25">
      <c r="A79" s="3">
        <v>78</v>
      </c>
      <c r="B79" t="s">
        <v>68</v>
      </c>
      <c r="C79" s="1">
        <v>6</v>
      </c>
      <c r="D79" s="1">
        <v>2019</v>
      </c>
      <c r="E79" s="166">
        <v>70</v>
      </c>
      <c r="F79" s="1" t="s">
        <v>21</v>
      </c>
      <c r="G79" s="1" t="str">
        <f>IF(Table2[[#This Row],[Description]]="","",VLOOKUP(Table2[[#This Row],[Description]],$Q$1:$S$101,2,FALSE))</f>
        <v>EK free</v>
      </c>
      <c r="H79" s="1" t="str">
        <f>IF(Table2[[#This Row],[Description]]="","",VLOOKUP(Table2[[#This Row],[Description]],$Q$1:$S$101,3,FALSE))</f>
        <v>Mid</v>
      </c>
      <c r="I79" s="1">
        <f>IF(Table2[[#This Row],[Description]]="","",IF(Table2[[#This Row],[Currency]]=$O$2,$P$2,HLOOKUP(Table2[[#This Row],[Date]],Funds!$C$10:$GV$11,2,FALSE)))</f>
        <v>1</v>
      </c>
      <c r="J79" s="215">
        <f>IF(Table2[[#This Row],[Description]]="","",Table2[[#This Row],[Value]]/Table2[[#This Row],[Conversion]])</f>
        <v>70</v>
      </c>
      <c r="K79" s="45">
        <f>IF(Table2[[#This Row],[Description]]="","",DATE(Table2[[#This Row],[Year]],Table2[[#This Row],[Month]],1))</f>
        <v>43617</v>
      </c>
      <c r="Q79" s="14"/>
      <c r="R79" s="9"/>
      <c r="S79" s="25"/>
      <c r="T79" s="9"/>
      <c r="U79" t="s">
        <v>316</v>
      </c>
      <c r="V79" s="1">
        <v>6</v>
      </c>
      <c r="W79" s="1">
        <v>2023</v>
      </c>
      <c r="X79" s="49">
        <f>DATE(Table3[[#This Row],[Year]],Table3[[#This Row],[Month]],1)</f>
        <v>45078</v>
      </c>
      <c r="Y79" s="227">
        <v>1</v>
      </c>
      <c r="Z79" s="1">
        <v>2023</v>
      </c>
      <c r="AA79" s="47">
        <f>DATE(Table3[[#This Row],[S Yr]],Table3[[#This Row],[S mth]],1)</f>
        <v>44927</v>
      </c>
      <c r="AB79" s="44">
        <v>1200</v>
      </c>
      <c r="AC79" s="40">
        <f>SUMIFS(J:J,B:B,Table3[[#This Row],[Mid bgt]],K:K,"&lt;"&amp;Table3[[#This Row],[End Date]]+1)-SUMIFS(J:J,B:B,Table3[[#This Row],[Mid bgt]],K:K,"&lt;"&amp;Table3[[#This Row],[Start]])</f>
        <v>0</v>
      </c>
      <c r="AD79" s="41">
        <f>Table3[[#This Row],[Planned]]-Table3[[#This Row],[Spent]]</f>
        <v>1200</v>
      </c>
      <c r="AE79" s="44"/>
    </row>
    <row r="80" spans="1:35" x14ac:dyDescent="0.25">
      <c r="A80" s="3">
        <v>79</v>
      </c>
      <c r="B80" t="s">
        <v>69</v>
      </c>
      <c r="C80" s="1">
        <v>6</v>
      </c>
      <c r="D80" s="1">
        <v>2019</v>
      </c>
      <c r="E80" s="166">
        <v>70</v>
      </c>
      <c r="F80" s="1" t="s">
        <v>21</v>
      </c>
      <c r="G80" s="1" t="str">
        <f>IF(Table2[[#This Row],[Description]]="","",VLOOKUP(Table2[[#This Row],[Description]],$Q$1:$S$101,2,FALSE))</f>
        <v>MN free</v>
      </c>
      <c r="H80" s="1" t="str">
        <f>IF(Table2[[#This Row],[Description]]="","",VLOOKUP(Table2[[#This Row],[Description]],$Q$1:$S$101,3,FALSE))</f>
        <v>Mid</v>
      </c>
      <c r="I80" s="1">
        <f>IF(Table2[[#This Row],[Description]]="","",IF(Table2[[#This Row],[Currency]]=$O$2,$P$2,HLOOKUP(Table2[[#This Row],[Date]],Funds!$C$10:$GV$11,2,FALSE)))</f>
        <v>1</v>
      </c>
      <c r="J80" s="215">
        <f>IF(Table2[[#This Row],[Description]]="","",Table2[[#This Row],[Value]]/Table2[[#This Row],[Conversion]])</f>
        <v>70</v>
      </c>
      <c r="K80" s="45">
        <f>IF(Table2[[#This Row],[Description]]="","",DATE(Table2[[#This Row],[Year]],Table2[[#This Row],[Month]],1))</f>
        <v>43617</v>
      </c>
      <c r="Q80" s="14"/>
      <c r="R80" s="9"/>
      <c r="S80" s="25"/>
      <c r="T80" s="9"/>
      <c r="U80" t="s">
        <v>316</v>
      </c>
      <c r="V80" s="1">
        <v>6</v>
      </c>
      <c r="W80" s="1">
        <v>2024</v>
      </c>
      <c r="X80" s="49">
        <f>DATE(Table3[[#This Row],[Year]],Table3[[#This Row],[Month]],1)</f>
        <v>45444</v>
      </c>
      <c r="Y80" s="227">
        <v>1</v>
      </c>
      <c r="Z80" s="1">
        <v>2024</v>
      </c>
      <c r="AA80" s="47">
        <f>DATE(Table3[[#This Row],[S Yr]],Table3[[#This Row],[S mth]],1)</f>
        <v>45292</v>
      </c>
      <c r="AB80" s="44">
        <v>1200</v>
      </c>
      <c r="AC80" s="40">
        <f>SUMIFS(J:J,B:B,Table3[[#This Row],[Mid bgt]],K:K,"&lt;"&amp;Table3[[#This Row],[End Date]]+1)-SUMIFS(J:J,B:B,Table3[[#This Row],[Mid bgt]],K:K,"&lt;"&amp;Table3[[#This Row],[Start]])</f>
        <v>0</v>
      </c>
      <c r="AD80" s="41">
        <f>Table3[[#This Row],[Planned]]-Table3[[#This Row],[Spent]]</f>
        <v>1200</v>
      </c>
      <c r="AE80" s="44"/>
      <c r="AH80">
        <f>SUM(AH76:AH79)</f>
        <v>16</v>
      </c>
      <c r="AI80">
        <f>SUM(AI76:AI79)</f>
        <v>4</v>
      </c>
    </row>
    <row r="81" spans="1:34" x14ac:dyDescent="0.25">
      <c r="A81" s="3">
        <v>80</v>
      </c>
      <c r="B81" t="s">
        <v>59</v>
      </c>
      <c r="C81" s="1">
        <v>6</v>
      </c>
      <c r="D81" s="1">
        <v>2019</v>
      </c>
      <c r="E81" s="166">
        <v>115</v>
      </c>
      <c r="F81" s="1" t="s">
        <v>21</v>
      </c>
      <c r="G81" s="1" t="str">
        <f>IF(Table2[[#This Row],[Description]]="","",VLOOKUP(Table2[[#This Row],[Description]],$Q$1:$S$101,2,FALSE))</f>
        <v>Transportation</v>
      </c>
      <c r="H81" s="1" t="str">
        <f>IF(Table2[[#This Row],[Description]]="","",VLOOKUP(Table2[[#This Row],[Description]],$Q$1:$S$101,3,FALSE))</f>
        <v>Short</v>
      </c>
      <c r="I81" s="1">
        <f>IF(Table2[[#This Row],[Description]]="","",IF(Table2[[#This Row],[Currency]]=$O$2,$P$2,HLOOKUP(Table2[[#This Row],[Date]],Funds!$C$10:$GV$11,2,FALSE)))</f>
        <v>1</v>
      </c>
      <c r="J81" s="215">
        <f>IF(Table2[[#This Row],[Description]]="","",Table2[[#This Row],[Value]]/Table2[[#This Row],[Conversion]])</f>
        <v>115</v>
      </c>
      <c r="K81" s="45">
        <f>IF(Table2[[#This Row],[Description]]="","",DATE(Table2[[#This Row],[Year]],Table2[[#This Row],[Month]],1))</f>
        <v>43617</v>
      </c>
      <c r="Q81" s="14"/>
      <c r="R81" s="9"/>
      <c r="S81" s="25"/>
      <c r="T81" s="9"/>
      <c r="U81" t="s">
        <v>316</v>
      </c>
      <c r="V81" s="1">
        <v>6</v>
      </c>
      <c r="W81" s="1">
        <v>2025</v>
      </c>
      <c r="X81" s="49">
        <f>DATE(Table3[[#This Row],[Year]],Table3[[#This Row],[Month]],1)</f>
        <v>45809</v>
      </c>
      <c r="Y81" s="227">
        <v>1</v>
      </c>
      <c r="Z81" s="1">
        <v>2025</v>
      </c>
      <c r="AA81" s="47">
        <f>DATE(Table3[[#This Row],[S Yr]],Table3[[#This Row],[S mth]],1)</f>
        <v>45658</v>
      </c>
      <c r="AB81" s="44">
        <v>1200</v>
      </c>
      <c r="AC81" s="40">
        <f>SUMIFS(J:J,B:B,Table3[[#This Row],[Mid bgt]],K:K,"&lt;"&amp;Table3[[#This Row],[End Date]]+1)-SUMIFS(J:J,B:B,Table3[[#This Row],[Mid bgt]],K:K,"&lt;"&amp;Table3[[#This Row],[Start]])</f>
        <v>0</v>
      </c>
      <c r="AD81" s="41">
        <f>Table3[[#This Row],[Planned]]-Table3[[#This Row],[Spent]]</f>
        <v>1200</v>
      </c>
      <c r="AE81" s="44"/>
    </row>
    <row r="82" spans="1:34" x14ac:dyDescent="0.25">
      <c r="A82" s="3">
        <v>81</v>
      </c>
      <c r="B82" t="s">
        <v>62</v>
      </c>
      <c r="C82" s="1">
        <v>6</v>
      </c>
      <c r="D82" s="1">
        <v>2019</v>
      </c>
      <c r="E82" s="166">
        <v>74.900000000000006</v>
      </c>
      <c r="F82" s="1" t="s">
        <v>21</v>
      </c>
      <c r="G82" s="1" t="str">
        <f>IF(Table2[[#This Row],[Description]]="","",VLOOKUP(Table2[[#This Row],[Description]],$Q$1:$S$101,2,FALSE))</f>
        <v>Leisure</v>
      </c>
      <c r="H82" s="1" t="str">
        <f>IF(Table2[[#This Row],[Description]]="","",VLOOKUP(Table2[[#This Row],[Description]],$Q$1:$S$101,3,FALSE))</f>
        <v>Short</v>
      </c>
      <c r="I82" s="1">
        <f>IF(Table2[[#This Row],[Description]]="","",IF(Table2[[#This Row],[Currency]]=$O$2,$P$2,HLOOKUP(Table2[[#This Row],[Date]],Funds!$C$10:$GV$11,2,FALSE)))</f>
        <v>1</v>
      </c>
      <c r="J82" s="215">
        <f>IF(Table2[[#This Row],[Description]]="","",Table2[[#This Row],[Value]]/Table2[[#This Row],[Conversion]])</f>
        <v>74.900000000000006</v>
      </c>
      <c r="K82" s="45">
        <f>IF(Table2[[#This Row],[Description]]="","",DATE(Table2[[#This Row],[Year]],Table2[[#This Row],[Month]],1))</f>
        <v>43617</v>
      </c>
      <c r="Q82" s="14"/>
      <c r="R82" s="9"/>
      <c r="S82" s="25"/>
      <c r="T82" s="9"/>
      <c r="U82" t="s">
        <v>316</v>
      </c>
      <c r="V82" s="1">
        <v>6</v>
      </c>
      <c r="W82" s="1">
        <v>2026</v>
      </c>
      <c r="X82" s="49">
        <f>DATE(Table3[[#This Row],[Year]],Table3[[#This Row],[Month]],1)</f>
        <v>46174</v>
      </c>
      <c r="Y82" s="227">
        <v>1</v>
      </c>
      <c r="Z82" s="1">
        <v>2026</v>
      </c>
      <c r="AA82" s="47">
        <f>DATE(Table3[[#This Row],[S Yr]],Table3[[#This Row],[S mth]],1)</f>
        <v>46023</v>
      </c>
      <c r="AB82" s="44">
        <v>1200</v>
      </c>
      <c r="AC82" s="40">
        <f>SUMIFS(J:J,B:B,Table3[[#This Row],[Mid bgt]],K:K,"&lt;"&amp;Table3[[#This Row],[End Date]]+1)-SUMIFS(J:J,B:B,Table3[[#This Row],[Mid bgt]],K:K,"&lt;"&amp;Table3[[#This Row],[Start]])</f>
        <v>0</v>
      </c>
      <c r="AD82" s="41">
        <f>Table3[[#This Row],[Planned]]-Table3[[#This Row],[Spent]]</f>
        <v>1200</v>
      </c>
      <c r="AE82" s="44"/>
      <c r="AH82">
        <f>SUMPRODUCT(AH73:AI73,AH80:AI80)</f>
        <v>1200</v>
      </c>
    </row>
    <row r="83" spans="1:34" x14ac:dyDescent="0.25">
      <c r="A83" s="3">
        <v>82</v>
      </c>
      <c r="B83" t="s">
        <v>288</v>
      </c>
      <c r="C83" s="1">
        <v>6</v>
      </c>
      <c r="D83" s="1">
        <v>2019</v>
      </c>
      <c r="E83" s="166">
        <v>104.5</v>
      </c>
      <c r="F83" s="1" t="s">
        <v>21</v>
      </c>
      <c r="G83" s="1" t="str">
        <f>IF(Table2[[#This Row],[Description]]="","",VLOOKUP(Table2[[#This Row],[Description]],$Q$1:$S$101,2,FALSE))</f>
        <v xml:space="preserve">US Furniture </v>
      </c>
      <c r="H83" s="1" t="str">
        <f>IF(Table2[[#This Row],[Description]]="","",VLOOKUP(Table2[[#This Row],[Description]],$Q$1:$S$101,3,FALSE))</f>
        <v>Mid</v>
      </c>
      <c r="I83" s="1">
        <f>IF(Table2[[#This Row],[Description]]="","",IF(Table2[[#This Row],[Currency]]=$O$2,$P$2,HLOOKUP(Table2[[#This Row],[Date]],Funds!$C$10:$GV$11,2,FALSE)))</f>
        <v>1</v>
      </c>
      <c r="J83" s="215">
        <f>IF(Table2[[#This Row],[Description]]="","",Table2[[#This Row],[Value]]/Table2[[#This Row],[Conversion]])</f>
        <v>104.5</v>
      </c>
      <c r="K83" s="45">
        <f>IF(Table2[[#This Row],[Description]]="","",DATE(Table2[[#This Row],[Year]],Table2[[#This Row],[Month]],1))</f>
        <v>43617</v>
      </c>
      <c r="Q83" s="14"/>
      <c r="R83" s="9"/>
      <c r="S83" s="25"/>
      <c r="T83" s="9"/>
      <c r="U83" t="s">
        <v>316</v>
      </c>
      <c r="V83" s="1">
        <v>6</v>
      </c>
      <c r="W83" s="1">
        <v>2027</v>
      </c>
      <c r="X83" s="49">
        <f>DATE(Table3[[#This Row],[Year]],Table3[[#This Row],[Month]],1)</f>
        <v>46539</v>
      </c>
      <c r="Y83" s="227">
        <v>1</v>
      </c>
      <c r="Z83" s="1">
        <v>2027</v>
      </c>
      <c r="AA83" s="47">
        <f>DATE(Table3[[#This Row],[S Yr]],Table3[[#This Row],[S mth]],1)</f>
        <v>46388</v>
      </c>
      <c r="AB83" s="44">
        <v>1200</v>
      </c>
      <c r="AC83" s="40">
        <f>SUMIFS(J:J,B:B,Table3[[#This Row],[Mid bgt]],K:K,"&lt;"&amp;Table3[[#This Row],[End Date]]+1)-SUMIFS(J:J,B:B,Table3[[#This Row],[Mid bgt]],K:K,"&lt;"&amp;Table3[[#This Row],[Start]])</f>
        <v>0</v>
      </c>
      <c r="AD83" s="41">
        <f>Table3[[#This Row],[Planned]]-Table3[[#This Row],[Spent]]</f>
        <v>1200</v>
      </c>
      <c r="AE83" s="44"/>
    </row>
    <row r="84" spans="1:34" x14ac:dyDescent="0.25">
      <c r="A84" s="3">
        <v>83</v>
      </c>
      <c r="B84" t="s">
        <v>249</v>
      </c>
      <c r="C84" s="1">
        <v>6</v>
      </c>
      <c r="D84" s="1">
        <v>2019</v>
      </c>
      <c r="E84" s="166">
        <v>15.69</v>
      </c>
      <c r="F84" s="1" t="s">
        <v>21</v>
      </c>
      <c r="G84" s="1" t="str">
        <f>IF(Table2[[#This Row],[Description]]="","",VLOOKUP(Table2[[#This Row],[Description]],$Q$1:$S$101,2,FALSE))</f>
        <v>Leisure</v>
      </c>
      <c r="H84" s="1" t="str">
        <f>IF(Table2[[#This Row],[Description]]="","",VLOOKUP(Table2[[#This Row],[Description]],$Q$1:$S$101,3,FALSE))</f>
        <v>Short</v>
      </c>
      <c r="I84" s="1">
        <f>IF(Table2[[#This Row],[Description]]="","",IF(Table2[[#This Row],[Currency]]=$O$2,$P$2,HLOOKUP(Table2[[#This Row],[Date]],Funds!$C$10:$GV$11,2,FALSE)))</f>
        <v>1</v>
      </c>
      <c r="J84" s="215">
        <f>IF(Table2[[#This Row],[Description]]="","",Table2[[#This Row],[Value]]/Table2[[#This Row],[Conversion]])</f>
        <v>15.69</v>
      </c>
      <c r="K84" s="45">
        <f>IF(Table2[[#This Row],[Description]]="","",DATE(Table2[[#This Row],[Year]],Table2[[#This Row],[Month]],1))</f>
        <v>43617</v>
      </c>
      <c r="Q84" s="14"/>
      <c r="R84" s="9"/>
      <c r="S84" s="25"/>
      <c r="T84" s="9"/>
      <c r="U84" t="s">
        <v>316</v>
      </c>
      <c r="V84" s="1">
        <v>6</v>
      </c>
      <c r="W84" s="1">
        <v>2028</v>
      </c>
      <c r="X84" s="49">
        <f>DATE(Table3[[#This Row],[Year]],Table3[[#This Row],[Month]],1)</f>
        <v>46905</v>
      </c>
      <c r="Y84" s="227">
        <v>1</v>
      </c>
      <c r="Z84" s="1">
        <v>2028</v>
      </c>
      <c r="AA84" s="47">
        <f>DATE(Table3[[#This Row],[S Yr]],Table3[[#This Row],[S mth]],1)</f>
        <v>46753</v>
      </c>
      <c r="AB84" s="44">
        <v>1200</v>
      </c>
      <c r="AC84" s="40">
        <f>SUMIFS(J:J,B:B,Table3[[#This Row],[Mid bgt]],K:K,"&lt;"&amp;Table3[[#This Row],[End Date]]+1)-SUMIFS(J:J,B:B,Table3[[#This Row],[Mid bgt]],K:K,"&lt;"&amp;Table3[[#This Row],[Start]])</f>
        <v>0</v>
      </c>
      <c r="AD84" s="41">
        <f>Table3[[#This Row],[Planned]]-Table3[[#This Row],[Spent]]</f>
        <v>1200</v>
      </c>
      <c r="AE84" s="44"/>
    </row>
    <row r="85" spans="1:34" x14ac:dyDescent="0.25">
      <c r="A85" s="3">
        <v>84</v>
      </c>
      <c r="B85" t="s">
        <v>288</v>
      </c>
      <c r="C85" s="1">
        <v>6</v>
      </c>
      <c r="D85" s="1">
        <v>2019</v>
      </c>
      <c r="E85" s="166">
        <v>1639</v>
      </c>
      <c r="F85" s="1" t="s">
        <v>21</v>
      </c>
      <c r="G85" s="1" t="str">
        <f>IF(Table2[[#This Row],[Description]]="","",VLOOKUP(Table2[[#This Row],[Description]],$Q$1:$S$101,2,FALSE))</f>
        <v xml:space="preserve">US Furniture </v>
      </c>
      <c r="H85" s="1" t="str">
        <f>IF(Table2[[#This Row],[Description]]="","",VLOOKUP(Table2[[#This Row],[Description]],$Q$1:$S$101,3,FALSE))</f>
        <v>Mid</v>
      </c>
      <c r="I85" s="1">
        <f>IF(Table2[[#This Row],[Description]]="","",IF(Table2[[#This Row],[Currency]]=$O$2,$P$2,HLOOKUP(Table2[[#This Row],[Date]],Funds!$C$10:$GV$11,2,FALSE)))</f>
        <v>1</v>
      </c>
      <c r="J85" s="215">
        <f>IF(Table2[[#This Row],[Description]]="","",Table2[[#This Row],[Value]]/Table2[[#This Row],[Conversion]])</f>
        <v>1639</v>
      </c>
      <c r="K85" s="45">
        <f>IF(Table2[[#This Row],[Description]]="","",DATE(Table2[[#This Row],[Year]],Table2[[#This Row],[Month]],1))</f>
        <v>43617</v>
      </c>
      <c r="Q85" s="14"/>
      <c r="R85" s="9"/>
      <c r="S85" s="25"/>
      <c r="T85" s="9"/>
      <c r="U85" t="s">
        <v>316</v>
      </c>
      <c r="V85" s="1">
        <v>6</v>
      </c>
      <c r="W85" s="1">
        <v>2029</v>
      </c>
      <c r="X85" s="49">
        <f>DATE(Table3[[#This Row],[Year]],Table3[[#This Row],[Month]],1)</f>
        <v>47270</v>
      </c>
      <c r="Y85" s="227">
        <v>1</v>
      </c>
      <c r="Z85" s="1">
        <v>2029</v>
      </c>
      <c r="AA85" s="47">
        <f>DATE(Table3[[#This Row],[S Yr]],Table3[[#This Row],[S mth]],1)</f>
        <v>47119</v>
      </c>
      <c r="AB85" s="44">
        <v>1200</v>
      </c>
      <c r="AC85" s="40">
        <f>SUMIFS(J:J,B:B,Table3[[#This Row],[Mid bgt]],K:K,"&lt;"&amp;Table3[[#This Row],[End Date]]+1)-SUMIFS(J:J,B:B,Table3[[#This Row],[Mid bgt]],K:K,"&lt;"&amp;Table3[[#This Row],[Start]])</f>
        <v>0</v>
      </c>
      <c r="AD85" s="41">
        <f>Table3[[#This Row],[Planned]]-Table3[[#This Row],[Spent]]</f>
        <v>1200</v>
      </c>
      <c r="AE85" s="44"/>
    </row>
    <row r="86" spans="1:34" x14ac:dyDescent="0.25">
      <c r="A86" s="3">
        <v>85</v>
      </c>
      <c r="B86" t="s">
        <v>288</v>
      </c>
      <c r="C86" s="1">
        <v>6</v>
      </c>
      <c r="D86" s="1">
        <v>2019</v>
      </c>
      <c r="E86" s="166">
        <v>557.61</v>
      </c>
      <c r="F86" s="1" t="s">
        <v>21</v>
      </c>
      <c r="G86" s="1" t="str">
        <f>IF(Table2[[#This Row],[Description]]="","",VLOOKUP(Table2[[#This Row],[Description]],$Q$1:$S$101,2,FALSE))</f>
        <v xml:space="preserve">US Furniture </v>
      </c>
      <c r="H86" s="1" t="str">
        <f>IF(Table2[[#This Row],[Description]]="","",VLOOKUP(Table2[[#This Row],[Description]],$Q$1:$S$101,3,FALSE))</f>
        <v>Mid</v>
      </c>
      <c r="I86" s="1">
        <f>IF(Table2[[#This Row],[Description]]="","",IF(Table2[[#This Row],[Currency]]=$O$2,$P$2,HLOOKUP(Table2[[#This Row],[Date]],Funds!$C$10:$GV$11,2,FALSE)))</f>
        <v>1</v>
      </c>
      <c r="J86" s="215">
        <f>IF(Table2[[#This Row],[Description]]="","",Table2[[#This Row],[Value]]/Table2[[#This Row],[Conversion]])</f>
        <v>557.61</v>
      </c>
      <c r="K86" s="45">
        <f>IF(Table2[[#This Row],[Description]]="","",DATE(Table2[[#This Row],[Year]],Table2[[#This Row],[Month]],1))</f>
        <v>43617</v>
      </c>
      <c r="Q86" s="14"/>
      <c r="R86" s="9"/>
      <c r="S86" s="25"/>
      <c r="T86" s="9"/>
      <c r="U86" t="s">
        <v>316</v>
      </c>
      <c r="V86" s="1">
        <v>6</v>
      </c>
      <c r="W86" s="1">
        <v>2030</v>
      </c>
      <c r="X86" s="49">
        <f>DATE(Table3[[#This Row],[Year]],Table3[[#This Row],[Month]],1)</f>
        <v>47635</v>
      </c>
      <c r="Y86" s="227">
        <v>1</v>
      </c>
      <c r="Z86" s="1">
        <v>2030</v>
      </c>
      <c r="AA86" s="47">
        <f>DATE(Table3[[#This Row],[S Yr]],Table3[[#This Row],[S mth]],1)</f>
        <v>47484</v>
      </c>
      <c r="AB86" s="44">
        <v>1200</v>
      </c>
      <c r="AC86" s="40">
        <f>SUMIFS(J:J,B:B,Table3[[#This Row],[Mid bgt]],K:K,"&lt;"&amp;Table3[[#This Row],[End Date]]+1)-SUMIFS(J:J,B:B,Table3[[#This Row],[Mid bgt]],K:K,"&lt;"&amp;Table3[[#This Row],[Start]])</f>
        <v>0</v>
      </c>
      <c r="AD86" s="41">
        <f>Table3[[#This Row],[Planned]]-Table3[[#This Row],[Spent]]</f>
        <v>1200</v>
      </c>
      <c r="AE86" s="44"/>
    </row>
    <row r="87" spans="1:34" x14ac:dyDescent="0.25">
      <c r="A87" s="3">
        <v>86</v>
      </c>
      <c r="B87" t="s">
        <v>35</v>
      </c>
      <c r="C87" s="1">
        <v>6</v>
      </c>
      <c r="D87" s="1">
        <v>2019</v>
      </c>
      <c r="E87" s="166">
        <f>74.99+104.98</f>
        <v>179.97</v>
      </c>
      <c r="F87" s="1" t="s">
        <v>22</v>
      </c>
      <c r="G87" s="1" t="str">
        <f>IF(Table2[[#This Row],[Description]]="","",VLOOKUP(Table2[[#This Row],[Description]],$Q$1:$S$101,2,FALSE))</f>
        <v>Cellphone</v>
      </c>
      <c r="H87" s="1" t="str">
        <f>IF(Table2[[#This Row],[Description]]="","",VLOOKUP(Table2[[#This Row],[Description]],$Q$1:$S$101,3,FALSE))</f>
        <v>Short</v>
      </c>
      <c r="I87" s="1">
        <f>IF(Table2[[#This Row],[Description]]="","",IF(Table2[[#This Row],[Currency]]=$O$2,$P$2,HLOOKUP(Table2[[#This Row],[Date]],Funds!$C$10:$GV$11,2,FALSE)))</f>
        <v>3.84</v>
      </c>
      <c r="J87" s="215">
        <f>IF(Table2[[#This Row],[Description]]="","",Table2[[#This Row],[Value]]/Table2[[#This Row],[Conversion]])</f>
        <v>46.8671875</v>
      </c>
      <c r="K87" s="45">
        <f>IF(Table2[[#This Row],[Description]]="","",DATE(Table2[[#This Row],[Year]],Table2[[#This Row],[Month]],1))</f>
        <v>43617</v>
      </c>
      <c r="Q87" s="14"/>
      <c r="R87" s="9"/>
      <c r="S87" s="25"/>
      <c r="T87" s="9"/>
      <c r="U87" t="s">
        <v>26</v>
      </c>
      <c r="V87" s="10">
        <v>12</v>
      </c>
      <c r="W87" s="12">
        <v>2019</v>
      </c>
      <c r="X87" s="49">
        <f>DATE(Table3[[#This Row],[Year]],Table3[[#This Row],[Month]],1)</f>
        <v>43800</v>
      </c>
      <c r="Y87" s="228">
        <v>1</v>
      </c>
      <c r="Z87" s="228">
        <v>2019</v>
      </c>
      <c r="AA87" s="49">
        <f>DATE(Table3[[#This Row],[S Yr]],Table3[[#This Row],[S mth]],1)</f>
        <v>43466</v>
      </c>
      <c r="AB87" s="42">
        <v>850</v>
      </c>
      <c r="AC87" s="40">
        <f>SUMIFS(J:J,G:G,Table3[[#This Row],[Mid bgt]],K:K,"&lt;"&amp;Table3[[#This Row],[End Date]]+1)-SUMIFS(J:J,G:G,Table3[[#This Row],[Mid bgt]],K:K,"&lt;"&amp;Table3[[#This Row],[Start]])</f>
        <v>561.70336192447996</v>
      </c>
      <c r="AD87" s="41">
        <f>Table3[[#This Row],[Planned]]-Table3[[#This Row],[Spent]]</f>
        <v>288.29663807552004</v>
      </c>
      <c r="AE87" s="44"/>
    </row>
    <row r="88" spans="1:34" x14ac:dyDescent="0.25">
      <c r="A88" s="3">
        <v>87</v>
      </c>
      <c r="B88" t="s">
        <v>120</v>
      </c>
      <c r="C88" s="1">
        <v>6</v>
      </c>
      <c r="D88" s="1">
        <v>2019</v>
      </c>
      <c r="E88" s="166">
        <f>5540</f>
        <v>5540</v>
      </c>
      <c r="F88" s="1" t="s">
        <v>22</v>
      </c>
      <c r="G88" s="1" t="str">
        <f>IF(Table2[[#This Row],[Description]]="","",VLOOKUP(Table2[[#This Row],[Description]],$Q$1:$S$101,2,FALSE))</f>
        <v>Investment</v>
      </c>
      <c r="H88" s="1" t="str">
        <f>IF(Table2[[#This Row],[Description]]="","",VLOOKUP(Table2[[#This Row],[Description]],$Q$1:$S$101,3,FALSE))</f>
        <v>Long</v>
      </c>
      <c r="I88" s="1">
        <f>IF(Table2[[#This Row],[Description]]="","",IF(Table2[[#This Row],[Currency]]=$O$2,$P$2,HLOOKUP(Table2[[#This Row],[Date]],Funds!$C$10:$GV$11,2,FALSE)))</f>
        <v>3.84</v>
      </c>
      <c r="J88" s="215">
        <f>IF(Table2[[#This Row],[Description]]="","",Table2[[#This Row],[Value]]/Table2[[#This Row],[Conversion]])</f>
        <v>1442.7083333333335</v>
      </c>
      <c r="K88" s="45">
        <f>IF(Table2[[#This Row],[Description]]="","",DATE(Table2[[#This Row],[Year]],Table2[[#This Row],[Month]],1))</f>
        <v>43617</v>
      </c>
      <c r="Q88" s="14"/>
      <c r="R88" s="9"/>
      <c r="S88" s="25"/>
      <c r="T88" s="9"/>
      <c r="U88" t="s">
        <v>26</v>
      </c>
      <c r="V88" s="10">
        <v>12</v>
      </c>
      <c r="W88" s="12">
        <v>2020</v>
      </c>
      <c r="X88" s="49">
        <f>DATE(Table3[[#This Row],[Year]],Table3[[#This Row],[Month]],1)</f>
        <v>44166</v>
      </c>
      <c r="Y88" s="228">
        <v>1</v>
      </c>
      <c r="Z88" s="228">
        <v>2020</v>
      </c>
      <c r="AA88" s="49">
        <f>DATE(Table3[[#This Row],[S Yr]],Table3[[#This Row],[S mth]],1)</f>
        <v>43831</v>
      </c>
      <c r="AB88" s="42">
        <v>1000</v>
      </c>
      <c r="AC88" s="40">
        <f>SUMIFS(J:J,G:G,Table3[[#This Row],[Mid bgt]],K:K,"&lt;"&amp;Table3[[#This Row],[End Date]]+1)-SUMIFS(J:J,G:G,Table3[[#This Row],[Mid bgt]],K:K,"&lt;"&amp;Table3[[#This Row],[Start]])</f>
        <v>416.07000000000005</v>
      </c>
      <c r="AD88" s="41">
        <f>Table3[[#This Row],[Planned]]-Table3[[#This Row],[Spent]]</f>
        <v>583.92999999999995</v>
      </c>
      <c r="AE88" s="44"/>
    </row>
    <row r="89" spans="1:34" x14ac:dyDescent="0.25">
      <c r="A89" s="3">
        <v>88</v>
      </c>
      <c r="B89" t="s">
        <v>262</v>
      </c>
      <c r="C89" s="1">
        <v>6</v>
      </c>
      <c r="D89" s="1">
        <v>2019</v>
      </c>
      <c r="E89" s="166">
        <f>1552.11+31.21</f>
        <v>1583.32</v>
      </c>
      <c r="F89" s="1" t="s">
        <v>22</v>
      </c>
      <c r="G89" s="1" t="str">
        <f>IF(Table2[[#This Row],[Description]]="","",VLOOKUP(Table2[[#This Row],[Description]],$Q$1:$S$101,2,FALSE))</f>
        <v>Mid</v>
      </c>
      <c r="H89" s="1" t="str">
        <f>IF(Table2[[#This Row],[Description]]="","",VLOOKUP(Table2[[#This Row],[Description]],$Q$1:$S$101,3,FALSE))</f>
        <v>Mid</v>
      </c>
      <c r="I89" s="1">
        <f>IF(Table2[[#This Row],[Description]]="","",IF(Table2[[#This Row],[Currency]]=$O$2,$P$2,HLOOKUP(Table2[[#This Row],[Date]],Funds!$C$10:$GV$11,2,FALSE)))</f>
        <v>3.84</v>
      </c>
      <c r="J89" s="215">
        <f>IF(Table2[[#This Row],[Description]]="","",Table2[[#This Row],[Value]]/Table2[[#This Row],[Conversion]])</f>
        <v>412.32291666666669</v>
      </c>
      <c r="K89" s="45">
        <f>IF(Table2[[#This Row],[Description]]="","",DATE(Table2[[#This Row],[Year]],Table2[[#This Row],[Month]],1))</f>
        <v>43617</v>
      </c>
      <c r="Q89" s="14"/>
      <c r="R89" s="9"/>
      <c r="S89" s="25"/>
      <c r="T89" s="9"/>
      <c r="U89" t="s">
        <v>26</v>
      </c>
      <c r="V89" s="10">
        <v>12</v>
      </c>
      <c r="W89" s="12">
        <v>2021</v>
      </c>
      <c r="X89" s="49">
        <f>DATE(Table3[[#This Row],[Year]],Table3[[#This Row],[Month]],1)</f>
        <v>44531</v>
      </c>
      <c r="Y89" s="228">
        <v>1</v>
      </c>
      <c r="Z89" s="228">
        <v>2021</v>
      </c>
      <c r="AA89" s="49">
        <f>DATE(Table3[[#This Row],[S Yr]],Table3[[#This Row],[S mth]],1)</f>
        <v>44197</v>
      </c>
      <c r="AB89" s="42">
        <v>1000</v>
      </c>
      <c r="AC89" s="40">
        <f>SUMIFS(J:J,G:G,Table3[[#This Row],[Mid bgt]],K:K,"&lt;"&amp;Table3[[#This Row],[End Date]]+1)-SUMIFS(J:J,G:G,Table3[[#This Row],[Mid bgt]],K:K,"&lt;"&amp;Table3[[#This Row],[Start]])</f>
        <v>0</v>
      </c>
      <c r="AD89" s="41">
        <f>Table3[[#This Row],[Planned]]-Table3[[#This Row],[Spent]]</f>
        <v>1000</v>
      </c>
      <c r="AE89" s="44"/>
    </row>
    <row r="90" spans="1:34" x14ac:dyDescent="0.25">
      <c r="A90" s="3">
        <v>89</v>
      </c>
      <c r="B90" t="s">
        <v>318</v>
      </c>
      <c r="C90" s="1">
        <v>6</v>
      </c>
      <c r="D90" s="1">
        <v>2019</v>
      </c>
      <c r="E90" s="166">
        <v>-5541</v>
      </c>
      <c r="F90" s="1" t="s">
        <v>22</v>
      </c>
      <c r="G90" s="1" t="s">
        <v>66</v>
      </c>
      <c r="H90" s="1" t="s">
        <v>66</v>
      </c>
      <c r="I90" s="1">
        <f>IF(Table2[[#This Row],[Description]]="","",IF(Table2[[#This Row],[Currency]]=$O$2,$P$2,HLOOKUP(Table2[[#This Row],[Date]],Funds!$C$10:$GV$11,2,FALSE)))</f>
        <v>3.84</v>
      </c>
      <c r="J90" s="215">
        <f>IF(Table2[[#This Row],[Description]]="","",Table2[[#This Row],[Value]]/Table2[[#This Row],[Conversion]])</f>
        <v>-1442.96875</v>
      </c>
      <c r="K90" s="45">
        <f>IF(Table2[[#This Row],[Description]]="","",DATE(Table2[[#This Row],[Year]],Table2[[#This Row],[Month]],1))</f>
        <v>43617</v>
      </c>
      <c r="Q90" s="14"/>
      <c r="R90" s="9"/>
      <c r="S90" s="25"/>
      <c r="T90" s="9"/>
      <c r="U90" t="s">
        <v>26</v>
      </c>
      <c r="V90" s="10">
        <v>12</v>
      </c>
      <c r="W90" s="12">
        <v>2022</v>
      </c>
      <c r="X90" s="49">
        <f>DATE(Table3[[#This Row],[Year]],Table3[[#This Row],[Month]],1)</f>
        <v>44896</v>
      </c>
      <c r="Y90" s="228">
        <v>1</v>
      </c>
      <c r="Z90" s="228">
        <v>2022</v>
      </c>
      <c r="AA90" s="49">
        <f>DATE(Table3[[#This Row],[S Yr]],Table3[[#This Row],[S mth]],1)</f>
        <v>44562</v>
      </c>
      <c r="AB90" s="42">
        <v>1000</v>
      </c>
      <c r="AC90" s="40">
        <f>SUMIFS(J:J,G:G,Table3[[#This Row],[Mid bgt]],K:K,"&lt;"&amp;Table3[[#This Row],[End Date]]+1)-SUMIFS(J:J,G:G,Table3[[#This Row],[Mid bgt]],K:K,"&lt;"&amp;Table3[[#This Row],[Start]])</f>
        <v>0</v>
      </c>
      <c r="AD90" s="41">
        <f>Table3[[#This Row],[Planned]]-Table3[[#This Row],[Spent]]</f>
        <v>1000</v>
      </c>
      <c r="AE90" s="44"/>
    </row>
    <row r="91" spans="1:34" x14ac:dyDescent="0.25">
      <c r="A91" s="3">
        <v>90</v>
      </c>
      <c r="B91" t="s">
        <v>262</v>
      </c>
      <c r="C91" s="1">
        <v>6</v>
      </c>
      <c r="D91" s="1">
        <v>2019</v>
      </c>
      <c r="E91" s="166">
        <v>84.7</v>
      </c>
      <c r="F91" s="1" t="s">
        <v>22</v>
      </c>
      <c r="G91" s="1" t="str">
        <f>IF(Table2[[#This Row],[Description]]="","",VLOOKUP(Table2[[#This Row],[Description]],$Q$1:$S$101,2,FALSE))</f>
        <v>Mid</v>
      </c>
      <c r="H91" s="1" t="str">
        <f>IF(Table2[[#This Row],[Description]]="","",VLOOKUP(Table2[[#This Row],[Description]],$Q$1:$S$101,3,FALSE))</f>
        <v>Mid</v>
      </c>
      <c r="I91" s="1">
        <f>IF(Table2[[#This Row],[Description]]="","",IF(Table2[[#This Row],[Currency]]=$O$2,$P$2,HLOOKUP(Table2[[#This Row],[Date]],Funds!$C$10:$GV$11,2,FALSE)))</f>
        <v>3.84</v>
      </c>
      <c r="J91" s="215">
        <f>IF(Table2[[#This Row],[Description]]="","",Table2[[#This Row],[Value]]/Table2[[#This Row],[Conversion]])</f>
        <v>22.057291666666668</v>
      </c>
      <c r="K91" s="45">
        <f>IF(Table2[[#This Row],[Description]]="","",DATE(Table2[[#This Row],[Year]],Table2[[#This Row],[Month]],1))</f>
        <v>43617</v>
      </c>
      <c r="Q91" s="14"/>
      <c r="R91" s="9"/>
      <c r="S91" s="25"/>
      <c r="T91" s="9"/>
      <c r="U91" t="s">
        <v>26</v>
      </c>
      <c r="V91" s="10">
        <v>12</v>
      </c>
      <c r="W91" s="12">
        <v>2023</v>
      </c>
      <c r="X91" s="49">
        <f>DATE(Table3[[#This Row],[Year]],Table3[[#This Row],[Month]],1)</f>
        <v>45261</v>
      </c>
      <c r="Y91" s="228">
        <v>1</v>
      </c>
      <c r="Z91" s="228">
        <v>2023</v>
      </c>
      <c r="AA91" s="49">
        <f>DATE(Table3[[#This Row],[S Yr]],Table3[[#This Row],[S mth]],1)</f>
        <v>44927</v>
      </c>
      <c r="AB91" s="42">
        <v>1000</v>
      </c>
      <c r="AC91" s="40">
        <f>SUMIFS(J:J,G:G,Table3[[#This Row],[Mid bgt]],K:K,"&lt;"&amp;Table3[[#This Row],[End Date]]+1)-SUMIFS(J:J,G:G,Table3[[#This Row],[Mid bgt]],K:K,"&lt;"&amp;Table3[[#This Row],[Start]])</f>
        <v>0</v>
      </c>
      <c r="AD91" s="41">
        <f>Table3[[#This Row],[Planned]]-Table3[[#This Row],[Spent]]</f>
        <v>1000</v>
      </c>
      <c r="AE91" s="44"/>
    </row>
    <row r="92" spans="1:34" x14ac:dyDescent="0.25">
      <c r="A92" s="3">
        <v>91</v>
      </c>
      <c r="B92" t="s">
        <v>263</v>
      </c>
      <c r="C92" s="1">
        <v>6</v>
      </c>
      <c r="D92" s="1">
        <v>2019</v>
      </c>
      <c r="E92" s="166">
        <v>29.9</v>
      </c>
      <c r="F92" s="1" t="s">
        <v>22</v>
      </c>
      <c r="G92" s="1" t="str">
        <f>IF(Table2[[#This Row],[Description]]="","",VLOOKUP(Table2[[#This Row],[Description]],$Q$1:$S$101,2,FALSE))</f>
        <v>MN free</v>
      </c>
      <c r="H92" s="1" t="str">
        <f>IF(Table2[[#This Row],[Description]]="","",VLOOKUP(Table2[[#This Row],[Description]],$Q$1:$S$101,3,FALSE))</f>
        <v>Mid</v>
      </c>
      <c r="I92" s="1">
        <f>IF(Table2[[#This Row],[Description]]="","",IF(Table2[[#This Row],[Currency]]=$O$2,$P$2,HLOOKUP(Table2[[#This Row],[Date]],Funds!$C$10:$GV$11,2,FALSE)))</f>
        <v>3.84</v>
      </c>
      <c r="J92" s="215">
        <f>IF(Table2[[#This Row],[Description]]="","",Table2[[#This Row],[Value]]/Table2[[#This Row],[Conversion]])</f>
        <v>7.786458333333333</v>
      </c>
      <c r="K92" s="45">
        <f>IF(Table2[[#This Row],[Description]]="","",DATE(Table2[[#This Row],[Year]],Table2[[#This Row],[Month]],1))</f>
        <v>43617</v>
      </c>
      <c r="Q92" s="14"/>
      <c r="R92" s="9"/>
      <c r="S92" s="25"/>
      <c r="T92" s="9"/>
      <c r="U92" t="s">
        <v>26</v>
      </c>
      <c r="V92" s="10">
        <v>12</v>
      </c>
      <c r="W92" s="12">
        <v>2024</v>
      </c>
      <c r="X92" s="49">
        <f>DATE(Table3[[#This Row],[Year]],Table3[[#This Row],[Month]],1)</f>
        <v>45627</v>
      </c>
      <c r="Y92" s="228">
        <v>1</v>
      </c>
      <c r="Z92" s="228">
        <v>2024</v>
      </c>
      <c r="AA92" s="49">
        <f>DATE(Table3[[#This Row],[S Yr]],Table3[[#This Row],[S mth]],1)</f>
        <v>45292</v>
      </c>
      <c r="AB92" s="42">
        <v>1000</v>
      </c>
      <c r="AC92" s="40">
        <f>SUMIFS(J:J,G:G,Table3[[#This Row],[Mid bgt]],K:K,"&lt;"&amp;Table3[[#This Row],[End Date]]+1)-SUMIFS(J:J,G:G,Table3[[#This Row],[Mid bgt]],K:K,"&lt;"&amp;Table3[[#This Row],[Start]])</f>
        <v>0</v>
      </c>
      <c r="AD92" s="41">
        <f>Table3[[#This Row],[Planned]]-Table3[[#This Row],[Spent]]</f>
        <v>1000</v>
      </c>
      <c r="AE92" s="44"/>
    </row>
    <row r="93" spans="1:34" x14ac:dyDescent="0.25">
      <c r="A93" s="3">
        <v>92</v>
      </c>
      <c r="B93" t="s">
        <v>265</v>
      </c>
      <c r="C93" s="1">
        <v>6</v>
      </c>
      <c r="D93" s="1">
        <v>2019</v>
      </c>
      <c r="E93" s="166">
        <v>34.9</v>
      </c>
      <c r="F93" s="1" t="s">
        <v>22</v>
      </c>
      <c r="G93" s="1" t="e">
        <f>IF(Table2[[#This Row],[Description]]="","",VLOOKUP(Table2[[#This Row],[Description]],$Q$1:$S$101,2,FALSE))</f>
        <v>#N/A</v>
      </c>
      <c r="H93" s="1" t="e">
        <f>IF(Table2[[#This Row],[Description]]="","",VLOOKUP(Table2[[#This Row],[Description]],$Q$1:$S$101,3,FALSE))</f>
        <v>#N/A</v>
      </c>
      <c r="I93" s="1">
        <f>IF(Table2[[#This Row],[Description]]="","",IF(Table2[[#This Row],[Currency]]=$O$2,$P$2,HLOOKUP(Table2[[#This Row],[Date]],Funds!$C$10:$GV$11,2,FALSE)))</f>
        <v>3.84</v>
      </c>
      <c r="J93" s="215">
        <f>IF(Table2[[#This Row],[Description]]="","",Table2[[#This Row],[Value]]/Table2[[#This Row],[Conversion]])</f>
        <v>9.0885416666666661</v>
      </c>
      <c r="K93" s="45">
        <f>IF(Table2[[#This Row],[Description]]="","",DATE(Table2[[#This Row],[Year]],Table2[[#This Row],[Month]],1))</f>
        <v>43617</v>
      </c>
      <c r="Q93" s="14"/>
      <c r="R93" s="9"/>
      <c r="S93" s="25"/>
      <c r="T93" s="9"/>
      <c r="U93" t="s">
        <v>26</v>
      </c>
      <c r="V93" s="10">
        <v>12</v>
      </c>
      <c r="W93" s="12">
        <v>2025</v>
      </c>
      <c r="X93" s="49">
        <f>DATE(Table3[[#This Row],[Year]],Table3[[#This Row],[Month]],1)</f>
        <v>45992</v>
      </c>
      <c r="Y93" s="228">
        <v>1</v>
      </c>
      <c r="Z93" s="228">
        <v>2025</v>
      </c>
      <c r="AA93" s="49">
        <f>DATE(Table3[[#This Row],[S Yr]],Table3[[#This Row],[S mth]],1)</f>
        <v>45658</v>
      </c>
      <c r="AB93" s="42">
        <v>1000</v>
      </c>
      <c r="AC93" s="40">
        <f>SUMIFS(J:J,G:G,Table3[[#This Row],[Mid bgt]],K:K,"&lt;"&amp;Table3[[#This Row],[End Date]]+1)-SUMIFS(J:J,G:G,Table3[[#This Row],[Mid bgt]],K:K,"&lt;"&amp;Table3[[#This Row],[Start]])</f>
        <v>0</v>
      </c>
      <c r="AD93" s="41">
        <f>Table3[[#This Row],[Planned]]-Table3[[#This Row],[Spent]]</f>
        <v>1000</v>
      </c>
      <c r="AE93" s="44"/>
    </row>
    <row r="94" spans="1:34" x14ac:dyDescent="0.25">
      <c r="A94" s="3">
        <v>93</v>
      </c>
      <c r="B94" t="s">
        <v>264</v>
      </c>
      <c r="C94" s="1">
        <v>6</v>
      </c>
      <c r="D94" s="1">
        <v>2019</v>
      </c>
      <c r="E94" s="166">
        <v>19.899999999999999</v>
      </c>
      <c r="F94" s="1" t="s">
        <v>22</v>
      </c>
      <c r="G94" s="1" t="str">
        <f>IF(Table2[[#This Row],[Description]]="","",VLOOKUP(Table2[[#This Row],[Description]],$Q$1:$S$101,2,FALSE))</f>
        <v>MN free</v>
      </c>
      <c r="H94" s="1" t="str">
        <f>IF(Table2[[#This Row],[Description]]="","",VLOOKUP(Table2[[#This Row],[Description]],$Q$1:$S$101,3,FALSE))</f>
        <v>Mid</v>
      </c>
      <c r="I94" s="1">
        <f>IF(Table2[[#This Row],[Description]]="","",IF(Table2[[#This Row],[Currency]]=$O$2,$P$2,HLOOKUP(Table2[[#This Row],[Date]],Funds!$C$10:$GV$11,2,FALSE)))</f>
        <v>3.84</v>
      </c>
      <c r="J94" s="215">
        <f>IF(Table2[[#This Row],[Description]]="","",Table2[[#This Row],[Value]]/Table2[[#This Row],[Conversion]])</f>
        <v>5.1822916666666661</v>
      </c>
      <c r="K94" s="45">
        <f>IF(Table2[[#This Row],[Description]]="","",DATE(Table2[[#This Row],[Year]],Table2[[#This Row],[Month]],1))</f>
        <v>43617</v>
      </c>
      <c r="Q94" s="14"/>
      <c r="R94" s="9"/>
      <c r="S94" s="25"/>
      <c r="T94" s="9"/>
      <c r="U94" t="s">
        <v>26</v>
      </c>
      <c r="V94" s="10">
        <v>12</v>
      </c>
      <c r="W94" s="12">
        <v>2026</v>
      </c>
      <c r="X94" s="49">
        <f>DATE(Table3[[#This Row],[Year]],Table3[[#This Row],[Month]],1)</f>
        <v>46357</v>
      </c>
      <c r="Y94" s="228">
        <v>1</v>
      </c>
      <c r="Z94" s="228">
        <v>2026</v>
      </c>
      <c r="AA94" s="49">
        <f>DATE(Table3[[#This Row],[S Yr]],Table3[[#This Row],[S mth]],1)</f>
        <v>46023</v>
      </c>
      <c r="AB94" s="42">
        <v>1000</v>
      </c>
      <c r="AC94" s="40">
        <f>SUMIFS(J:J,G:G,Table3[[#This Row],[Mid bgt]],K:K,"&lt;"&amp;Table3[[#This Row],[End Date]]+1)-SUMIFS(J:J,G:G,Table3[[#This Row],[Mid bgt]],K:K,"&lt;"&amp;Table3[[#This Row],[Start]])</f>
        <v>0</v>
      </c>
      <c r="AD94" s="41">
        <f>Table3[[#This Row],[Planned]]-Table3[[#This Row],[Spent]]</f>
        <v>1000</v>
      </c>
      <c r="AE94" s="44"/>
    </row>
    <row r="95" spans="1:34" x14ac:dyDescent="0.25">
      <c r="A95" s="3">
        <v>94</v>
      </c>
      <c r="B95" t="s">
        <v>320</v>
      </c>
      <c r="C95" s="1">
        <v>6</v>
      </c>
      <c r="D95" s="1">
        <v>2019</v>
      </c>
      <c r="E95" s="166">
        <v>140.22293048758647</v>
      </c>
      <c r="F95" s="1" t="s">
        <v>21</v>
      </c>
      <c r="G95" s="1" t="str">
        <f>IF(Table2[[#This Row],[Description]]="","",VLOOKUP(Table2[[#This Row],[Description]],$Q$1:$S$101,2,FALSE))</f>
        <v>Long</v>
      </c>
      <c r="H95" s="1" t="str">
        <f>IF(Table2[[#This Row],[Description]]="","",VLOOKUP(Table2[[#This Row],[Description]],$Q$1:$S$101,3,FALSE))</f>
        <v>Long</v>
      </c>
      <c r="I95" s="1">
        <f>IF(Table2[[#This Row],[Description]]="","",IF(Table2[[#This Row],[Currency]]=$O$2,$P$2,HLOOKUP(Table2[[#This Row],[Date]],Funds!$C$10:$GV$11,2,FALSE)))</f>
        <v>1</v>
      </c>
      <c r="J95" s="215">
        <f>IF(Table2[[#This Row],[Description]]="","",Table2[[#This Row],[Value]]/Table2[[#This Row],[Conversion]])</f>
        <v>140.22293048758647</v>
      </c>
      <c r="K95" s="45">
        <f>IF(Table2[[#This Row],[Description]]="","",DATE(Table2[[#This Row],[Year]],Table2[[#This Row],[Month]],1))</f>
        <v>43617</v>
      </c>
      <c r="Q95" s="14"/>
      <c r="R95" s="9"/>
      <c r="S95" s="25"/>
      <c r="T95" s="9"/>
      <c r="U95" t="s">
        <v>26</v>
      </c>
      <c r="V95" s="10">
        <v>12</v>
      </c>
      <c r="W95" s="12">
        <v>2027</v>
      </c>
      <c r="X95" s="49">
        <f>DATE(Table3[[#This Row],[Year]],Table3[[#This Row],[Month]],1)</f>
        <v>46722</v>
      </c>
      <c r="Y95" s="228">
        <v>1</v>
      </c>
      <c r="Z95" s="228">
        <v>2027</v>
      </c>
      <c r="AA95" s="49">
        <f>DATE(Table3[[#This Row],[S Yr]],Table3[[#This Row],[S mth]],1)</f>
        <v>46388</v>
      </c>
      <c r="AB95" s="42">
        <v>1000</v>
      </c>
      <c r="AC95" s="40">
        <f>SUMIFS(J:J,G:G,Table3[[#This Row],[Mid bgt]],K:K,"&lt;"&amp;Table3[[#This Row],[End Date]]+1)-SUMIFS(J:J,G:G,Table3[[#This Row],[Mid bgt]],K:K,"&lt;"&amp;Table3[[#This Row],[Start]])</f>
        <v>0</v>
      </c>
      <c r="AD95" s="41">
        <f>Table3[[#This Row],[Planned]]-Table3[[#This Row],[Spent]]</f>
        <v>1000</v>
      </c>
      <c r="AE95" s="44"/>
    </row>
    <row r="96" spans="1:34" x14ac:dyDescent="0.25">
      <c r="A96" s="3">
        <v>95</v>
      </c>
      <c r="B96" t="s">
        <v>46</v>
      </c>
      <c r="C96" s="1">
        <v>6</v>
      </c>
      <c r="D96" s="1">
        <v>2019</v>
      </c>
      <c r="E96" s="166">
        <v>106.94145380379831</v>
      </c>
      <c r="F96" s="1" t="s">
        <v>21</v>
      </c>
      <c r="G96" s="1" t="str">
        <f>IF(Table2[[#This Row],[Description]]="","",VLOOKUP(Table2[[#This Row],[Description]],$Q$1:$S$101,2,FALSE))</f>
        <v>Health care</v>
      </c>
      <c r="H96" s="1" t="str">
        <f>IF(Table2[[#This Row],[Description]]="","",VLOOKUP(Table2[[#This Row],[Description]],$Q$1:$S$101,3,FALSE))</f>
        <v>Short</v>
      </c>
      <c r="I96" s="1">
        <f>IF(Table2[[#This Row],[Description]]="","",IF(Table2[[#This Row],[Currency]]=$O$2,$P$2,HLOOKUP(Table2[[#This Row],[Date]],Funds!$C$10:$GV$11,2,FALSE)))</f>
        <v>1</v>
      </c>
      <c r="J96" s="215">
        <f>IF(Table2[[#This Row],[Description]]="","",Table2[[#This Row],[Value]]/Table2[[#This Row],[Conversion]])</f>
        <v>106.94145380379831</v>
      </c>
      <c r="K96" s="45">
        <f>IF(Table2[[#This Row],[Description]]="","",DATE(Table2[[#This Row],[Year]],Table2[[#This Row],[Month]],1))</f>
        <v>43617</v>
      </c>
      <c r="Q96" s="14"/>
      <c r="R96" s="9"/>
      <c r="S96" s="25"/>
      <c r="T96" s="9"/>
      <c r="U96" t="s">
        <v>26</v>
      </c>
      <c r="V96" s="10">
        <v>12</v>
      </c>
      <c r="W96" s="12">
        <v>2028</v>
      </c>
      <c r="X96" s="49">
        <f>DATE(Table3[[#This Row],[Year]],Table3[[#This Row],[Month]],1)</f>
        <v>47088</v>
      </c>
      <c r="Y96" s="228">
        <v>1</v>
      </c>
      <c r="Z96" s="228">
        <v>2028</v>
      </c>
      <c r="AA96" s="49">
        <f>DATE(Table3[[#This Row],[S Yr]],Table3[[#This Row],[S mth]],1)</f>
        <v>46753</v>
      </c>
      <c r="AB96" s="42">
        <v>1000</v>
      </c>
      <c r="AC96" s="40">
        <f>SUMIFS(J:J,G:G,Table3[[#This Row],[Mid bgt]],K:K,"&lt;"&amp;Table3[[#This Row],[End Date]]+1)-SUMIFS(J:J,G:G,Table3[[#This Row],[Mid bgt]],K:K,"&lt;"&amp;Table3[[#This Row],[Start]])</f>
        <v>0</v>
      </c>
      <c r="AD96" s="41">
        <f>Table3[[#This Row],[Planned]]-Table3[[#This Row],[Spent]]</f>
        <v>1000</v>
      </c>
      <c r="AE96" s="44"/>
    </row>
    <row r="97" spans="1:31" x14ac:dyDescent="0.25">
      <c r="A97" s="3">
        <v>96</v>
      </c>
      <c r="B97" t="s">
        <v>324</v>
      </c>
      <c r="C97" s="1">
        <v>6</v>
      </c>
      <c r="D97" s="1">
        <v>2019</v>
      </c>
      <c r="E97" s="166">
        <v>13.80516949103578</v>
      </c>
      <c r="F97" s="1" t="s">
        <v>21</v>
      </c>
      <c r="G97" s="1" t="str">
        <f>IF(Table2[[#This Row],[Description]]="","",VLOOKUP(Table2[[#This Row],[Description]],$Q$1:$S$101,2,FALSE))</f>
        <v>Health care</v>
      </c>
      <c r="H97" s="1" t="str">
        <f>IF(Table2[[#This Row],[Description]]="","",VLOOKUP(Table2[[#This Row],[Description]],$Q$1:$S$101,3,FALSE))</f>
        <v>Short</v>
      </c>
      <c r="I97" s="1">
        <f>IF(Table2[[#This Row],[Description]]="","",IF(Table2[[#This Row],[Currency]]=$O$2,$P$2,HLOOKUP(Table2[[#This Row],[Date]],Funds!$C$10:$GV$11,2,FALSE)))</f>
        <v>1</v>
      </c>
      <c r="J97" s="215">
        <f>IF(Table2[[#This Row],[Description]]="","",Table2[[#This Row],[Value]]/Table2[[#This Row],[Conversion]])</f>
        <v>13.80516949103578</v>
      </c>
      <c r="K97" s="45">
        <f>IF(Table2[[#This Row],[Description]]="","",DATE(Table2[[#This Row],[Year]],Table2[[#This Row],[Month]],1))</f>
        <v>43617</v>
      </c>
      <c r="Q97" s="14"/>
      <c r="R97" s="9"/>
      <c r="S97" s="25"/>
      <c r="T97" s="9"/>
      <c r="U97" t="s">
        <v>26</v>
      </c>
      <c r="V97" s="10">
        <v>12</v>
      </c>
      <c r="W97" s="12">
        <v>2029</v>
      </c>
      <c r="X97" s="49">
        <f>DATE(Table3[[#This Row],[Year]],Table3[[#This Row],[Month]],1)</f>
        <v>47453</v>
      </c>
      <c r="Y97" s="228">
        <v>1</v>
      </c>
      <c r="Z97" s="228">
        <v>2029</v>
      </c>
      <c r="AA97" s="49">
        <f>DATE(Table3[[#This Row],[S Yr]],Table3[[#This Row],[S mth]],1)</f>
        <v>47119</v>
      </c>
      <c r="AB97" s="42">
        <v>1000</v>
      </c>
      <c r="AC97" s="40">
        <f>SUMIFS(J:J,G:G,Table3[[#This Row],[Mid bgt]],K:K,"&lt;"&amp;Table3[[#This Row],[End Date]]+1)-SUMIFS(J:J,G:G,Table3[[#This Row],[Mid bgt]],K:K,"&lt;"&amp;Table3[[#This Row],[Start]])</f>
        <v>0</v>
      </c>
      <c r="AD97" s="41">
        <f>Table3[[#This Row],[Planned]]-Table3[[#This Row],[Spent]]</f>
        <v>1000</v>
      </c>
      <c r="AE97" s="44"/>
    </row>
    <row r="98" spans="1:31" x14ac:dyDescent="0.25">
      <c r="A98" s="3">
        <v>97</v>
      </c>
      <c r="B98" t="s">
        <v>280</v>
      </c>
      <c r="C98" s="1">
        <v>6</v>
      </c>
      <c r="D98" s="1">
        <v>2019</v>
      </c>
      <c r="E98" s="166">
        <v>-1000</v>
      </c>
      <c r="F98" s="1" t="s">
        <v>21</v>
      </c>
      <c r="G98" s="1" t="str">
        <f>IF(Table2[[#This Row],[Description]]="","",VLOOKUP(Table2[[#This Row],[Description]],$Q$1:$S$101,2,FALSE))</f>
        <v>Mid</v>
      </c>
      <c r="H98" s="1" t="str">
        <f>IF(Table2[[#This Row],[Description]]="","",VLOOKUP(Table2[[#This Row],[Description]],$Q$1:$S$101,3,FALSE))</f>
        <v>Mid</v>
      </c>
      <c r="I98" s="1">
        <f>IF(Table2[[#This Row],[Description]]="","",IF(Table2[[#This Row],[Currency]]=$O$2,$P$2,HLOOKUP(Table2[[#This Row],[Date]],Funds!$C$10:$GV$11,2,FALSE)))</f>
        <v>1</v>
      </c>
      <c r="J98" s="215">
        <f>IF(Table2[[#This Row],[Description]]="","",Table2[[#This Row],[Value]]/Table2[[#This Row],[Conversion]])</f>
        <v>-1000</v>
      </c>
      <c r="K98" s="45">
        <f>IF(Table2[[#This Row],[Description]]="","",DATE(Table2[[#This Row],[Year]],Table2[[#This Row],[Month]],1))</f>
        <v>43617</v>
      </c>
      <c r="Q98" s="14"/>
      <c r="R98" s="9"/>
      <c r="S98" s="25"/>
      <c r="T98" s="9"/>
      <c r="U98" t="s">
        <v>26</v>
      </c>
      <c r="V98" s="10">
        <v>12</v>
      </c>
      <c r="W98" s="12">
        <v>2030</v>
      </c>
      <c r="X98" s="49">
        <f>DATE(Table3[[#This Row],[Year]],Table3[[#This Row],[Month]],1)</f>
        <v>47818</v>
      </c>
      <c r="Y98" s="228">
        <v>1</v>
      </c>
      <c r="Z98" s="228">
        <v>2030</v>
      </c>
      <c r="AA98" s="49">
        <f>DATE(Table3[[#This Row],[S Yr]],Table3[[#This Row],[S mth]],1)</f>
        <v>47484</v>
      </c>
      <c r="AB98" s="42">
        <v>1000</v>
      </c>
      <c r="AC98" s="40">
        <f>SUMIFS(J:J,G:G,Table3[[#This Row],[Mid bgt]],K:K,"&lt;"&amp;Table3[[#This Row],[End Date]]+1)-SUMIFS(J:J,G:G,Table3[[#This Row],[Mid bgt]],K:K,"&lt;"&amp;Table3[[#This Row],[Start]])</f>
        <v>0</v>
      </c>
      <c r="AD98" s="41">
        <f>Table3[[#This Row],[Planned]]-Table3[[#This Row],[Spent]]</f>
        <v>1000</v>
      </c>
      <c r="AE98" s="44"/>
    </row>
    <row r="99" spans="1:31" x14ac:dyDescent="0.25">
      <c r="A99" s="3">
        <v>98</v>
      </c>
      <c r="B99" t="s">
        <v>280</v>
      </c>
      <c r="C99" s="1">
        <v>6</v>
      </c>
      <c r="D99" s="1">
        <v>2019</v>
      </c>
      <c r="E99" s="166">
        <v>-604.36</v>
      </c>
      <c r="F99" s="1" t="s">
        <v>21</v>
      </c>
      <c r="G99" s="1" t="str">
        <f>IF(Table2[[#This Row],[Description]]="","",VLOOKUP(Table2[[#This Row],[Description]],$Q$1:$S$101,2,FALSE))</f>
        <v>Mid</v>
      </c>
      <c r="H99" s="1" t="str">
        <f>IF(Table2[[#This Row],[Description]]="","",VLOOKUP(Table2[[#This Row],[Description]],$Q$1:$S$101,3,FALSE))</f>
        <v>Mid</v>
      </c>
      <c r="I99" s="1">
        <f>IF(Table2[[#This Row],[Description]]="","",IF(Table2[[#This Row],[Currency]]=$O$2,$P$2,HLOOKUP(Table2[[#This Row],[Date]],Funds!$C$10:$GV$11,2,FALSE)))</f>
        <v>1</v>
      </c>
      <c r="J99" s="215">
        <f>IF(Table2[[#This Row],[Description]]="","",Table2[[#This Row],[Value]]/Table2[[#This Row],[Conversion]])</f>
        <v>-604.36</v>
      </c>
      <c r="K99" s="45">
        <f>IF(Table2[[#This Row],[Description]]="","",DATE(Table2[[#This Row],[Year]],Table2[[#This Row],[Month]],1))</f>
        <v>43617</v>
      </c>
      <c r="Q99" s="14"/>
      <c r="R99" s="9"/>
      <c r="S99" s="25"/>
      <c r="T99" s="9"/>
      <c r="U99" t="s">
        <v>388</v>
      </c>
      <c r="V99" s="1">
        <v>12</v>
      </c>
      <c r="W99" s="1">
        <v>2021</v>
      </c>
      <c r="X99" s="49">
        <f>DATE(Table3[[#This Row],[Year]],Table3[[#This Row],[Month]],1)</f>
        <v>44531</v>
      </c>
      <c r="Y99" s="227">
        <v>12</v>
      </c>
      <c r="Z99" s="227">
        <v>2021</v>
      </c>
      <c r="AA99" s="47">
        <f>DATE(Table3[[#This Row],[S Yr]],Table3[[#This Row],[S mth]],1)</f>
        <v>44531</v>
      </c>
      <c r="AC99" s="40">
        <f>SUMIFS(J:J,B:B,Table3[[#This Row],[Mid bgt]],K:K,"&lt;"&amp;Table3[[#This Row],[End Date]]+1)-SUMIFS(J:J,B:B,Table3[[#This Row],[Mid bgt]],K:K,"&lt;"&amp;Table3[[#This Row],[Start]])</f>
        <v>0</v>
      </c>
      <c r="AD99" s="41">
        <f>Table3[[#This Row],[Planned]]-Table3[[#This Row],[Spent]]</f>
        <v>0</v>
      </c>
      <c r="AE99" s="44"/>
    </row>
    <row r="100" spans="1:31" x14ac:dyDescent="0.25">
      <c r="A100" s="3">
        <v>99</v>
      </c>
      <c r="I100" s="1" t="str">
        <f>IF(Table2[[#This Row],[Description]]="","",IF(Table2[[#This Row],[Currency]]=$O$2,$P$2,HLOOKUP(Table2[[#This Row],[Date]],Funds!$C$10:$GV$11,2,FALSE)))</f>
        <v/>
      </c>
      <c r="J100" s="215" t="str">
        <f>IF(Table2[[#This Row],[Description]]="","",Table2[[#This Row],[Value]]/Table2[[#This Row],[Conversion]])</f>
        <v/>
      </c>
      <c r="K100" s="45" t="str">
        <f>IF(Table2[[#This Row],[Description]]="","",DATE(Table2[[#This Row],[Year]],Table2[[#This Row],[Month]],1))</f>
        <v/>
      </c>
      <c r="Q100" s="14"/>
      <c r="R100" s="9"/>
      <c r="S100" s="25"/>
      <c r="T100" s="9"/>
      <c r="U100" t="s">
        <v>388</v>
      </c>
      <c r="V100" s="1">
        <v>6</v>
      </c>
      <c r="W100" s="1">
        <v>2022</v>
      </c>
      <c r="X100" s="49">
        <f>DATE(Table3[[#This Row],[Year]],Table3[[#This Row],[Month]],1)</f>
        <v>44713</v>
      </c>
      <c r="Y100" s="227">
        <v>6</v>
      </c>
      <c r="Z100" s="227">
        <v>2022</v>
      </c>
      <c r="AA100" s="47">
        <f>DATE(Table3[[#This Row],[S Yr]],Table3[[#This Row],[S mth]],1)</f>
        <v>44713</v>
      </c>
      <c r="AC100" s="40">
        <f>SUMIFS(J:J,B:B,Table3[[#This Row],[Mid bgt]],K:K,"&lt;"&amp;Table3[[#This Row],[End Date]]+1)-SUMIFS(J:J,B:B,Table3[[#This Row],[Mid bgt]],K:K,"&lt;"&amp;Table3[[#This Row],[Start]])</f>
        <v>0</v>
      </c>
      <c r="AD100" s="41">
        <f>Table3[[#This Row],[Planned]]-Table3[[#This Row],[Spent]]</f>
        <v>0</v>
      </c>
      <c r="AE100" s="44"/>
    </row>
    <row r="101" spans="1:31" x14ac:dyDescent="0.25">
      <c r="A101" s="3">
        <v>100</v>
      </c>
      <c r="B101" t="s">
        <v>237</v>
      </c>
      <c r="C101" s="1">
        <v>7</v>
      </c>
      <c r="D101" s="1">
        <v>2019</v>
      </c>
      <c r="E101" s="166">
        <v>-38.78</v>
      </c>
      <c r="F101" s="1" t="s">
        <v>21</v>
      </c>
      <c r="G101" s="1" t="str">
        <f>IF(Table2[[#This Row],[Description]]="","",VLOOKUP(Table2[[#This Row],[Description]],$Q$1:$S$101,2,FALSE))</f>
        <v>FX adjustment</v>
      </c>
      <c r="H101" s="1" t="s">
        <v>66</v>
      </c>
      <c r="I101" s="1">
        <f>IF(Table2[[#This Row],[Description]]="","",IF(Table2[[#This Row],[Currency]]=$O$2,$P$2,HLOOKUP(Table2[[#This Row],[Date]],Funds!$C$10:$GV$11,2,FALSE)))</f>
        <v>1</v>
      </c>
      <c r="J101" s="215">
        <f>IF(Table2[[#This Row],[Description]]="","",Table2[[#This Row],[Value]]/Table2[[#This Row],[Conversion]])</f>
        <v>-38.78</v>
      </c>
      <c r="K101" s="45">
        <f>IF(Table2[[#This Row],[Description]]="","",DATE(Table2[[#This Row],[Year]],Table2[[#This Row],[Month]],1))</f>
        <v>43647</v>
      </c>
      <c r="Q101" s="15"/>
      <c r="R101" s="26"/>
      <c r="S101" s="27"/>
      <c r="T101" s="308"/>
      <c r="U101" t="s">
        <v>388</v>
      </c>
      <c r="V101" s="1">
        <v>6</v>
      </c>
      <c r="W101" s="1">
        <v>2023</v>
      </c>
      <c r="X101" s="49">
        <f>DATE(Table3[[#This Row],[Year]],Table3[[#This Row],[Month]],1)</f>
        <v>45078</v>
      </c>
      <c r="Y101" s="227">
        <v>6</v>
      </c>
      <c r="Z101" s="227">
        <v>2023</v>
      </c>
      <c r="AA101" s="47">
        <f>DATE(Table3[[#This Row],[S Yr]],Table3[[#This Row],[S mth]],1)</f>
        <v>45078</v>
      </c>
      <c r="AC101" s="40">
        <f>SUMIFS(J:J,B:B,Table3[[#This Row],[Mid bgt]],K:K,"&lt;"&amp;Table3[[#This Row],[End Date]]+1)-SUMIFS(J:J,B:B,Table3[[#This Row],[Mid bgt]],K:K,"&lt;"&amp;Table3[[#This Row],[Start]])</f>
        <v>0</v>
      </c>
      <c r="AD101" s="41">
        <f>Table3[[#This Row],[Planned]]-Table3[[#This Row],[Spent]]</f>
        <v>0</v>
      </c>
      <c r="AE101" s="44"/>
    </row>
    <row r="102" spans="1:31" x14ac:dyDescent="0.25">
      <c r="A102" s="3">
        <v>101</v>
      </c>
      <c r="B102" t="s">
        <v>237</v>
      </c>
      <c r="C102" s="1">
        <v>7</v>
      </c>
      <c r="D102" s="1">
        <v>2019</v>
      </c>
      <c r="E102" s="166">
        <v>-1.85</v>
      </c>
      <c r="F102" s="1" t="s">
        <v>21</v>
      </c>
      <c r="G102" s="1" t="str">
        <f>IF(Table2[[#This Row],[Description]]="","",VLOOKUP(Table2[[#This Row],[Description]],$Q$1:$S$101,2,FALSE))</f>
        <v>FX adjustment</v>
      </c>
      <c r="H102" s="1" t="s">
        <v>121</v>
      </c>
      <c r="I102" s="1">
        <f>IF(Table2[[#This Row],[Description]]="","",IF(Table2[[#This Row],[Currency]]=$O$2,$P$2,HLOOKUP(Table2[[#This Row],[Date]],Funds!$C$10:$GV$11,2,FALSE)))</f>
        <v>1</v>
      </c>
      <c r="J102" s="215">
        <f>IF(Table2[[#This Row],[Description]]="","",Table2[[#This Row],[Value]]/Table2[[#This Row],[Conversion]])</f>
        <v>-1.85</v>
      </c>
      <c r="K102" s="45">
        <f>IF(Table2[[#This Row],[Description]]="","",DATE(Table2[[#This Row],[Year]],Table2[[#This Row],[Month]],1))</f>
        <v>43647</v>
      </c>
      <c r="T102" s="308"/>
      <c r="U102" t="s">
        <v>388</v>
      </c>
      <c r="V102" s="1">
        <v>6</v>
      </c>
      <c r="W102" s="1">
        <v>2024</v>
      </c>
      <c r="X102" s="49">
        <f>DATE(Table3[[#This Row],[Year]],Table3[[#This Row],[Month]],1)</f>
        <v>45444</v>
      </c>
      <c r="Y102" s="227">
        <v>6</v>
      </c>
      <c r="Z102" s="227">
        <v>2024</v>
      </c>
      <c r="AA102" s="47">
        <f>DATE(Table3[[#This Row],[S Yr]],Table3[[#This Row],[S mth]],1)</f>
        <v>45444</v>
      </c>
      <c r="AC102" s="40">
        <f>SUMIFS(J:J,B:B,Table3[[#This Row],[Mid bgt]],K:K,"&lt;"&amp;Table3[[#This Row],[End Date]]+1)-SUMIFS(J:J,B:B,Table3[[#This Row],[Mid bgt]],K:K,"&lt;"&amp;Table3[[#This Row],[Start]])</f>
        <v>0</v>
      </c>
      <c r="AD102" s="41">
        <f>Table3[[#This Row],[Planned]]-Table3[[#This Row],[Spent]]</f>
        <v>0</v>
      </c>
      <c r="AE102" s="44"/>
    </row>
    <row r="103" spans="1:31" x14ac:dyDescent="0.25">
      <c r="A103" s="3">
        <v>102</v>
      </c>
      <c r="B103" t="s">
        <v>68</v>
      </c>
      <c r="C103" s="1">
        <v>7</v>
      </c>
      <c r="D103" s="1">
        <v>2019</v>
      </c>
      <c r="E103" s="166">
        <f>55.22/2</f>
        <v>27.61</v>
      </c>
      <c r="F103" s="1" t="s">
        <v>21</v>
      </c>
      <c r="G103" s="1" t="str">
        <f>IF(Table2[[#This Row],[Description]]="","",VLOOKUP(Table2[[#This Row],[Description]],$Q$1:$S$101,2,FALSE))</f>
        <v>EK free</v>
      </c>
      <c r="H103" s="1" t="str">
        <f>IF(Table2[[#This Row],[Description]]="","",VLOOKUP(Table2[[#This Row],[Description]],$Q$1:$S$101,3,FALSE))</f>
        <v>Mid</v>
      </c>
      <c r="I103" s="1">
        <f>IF(Table2[[#This Row],[Description]]="","",IF(Table2[[#This Row],[Currency]]=$O$2,$P$2,HLOOKUP(Table2[[#This Row],[Date]],Funds!$C$10:$GV$11,2,FALSE)))</f>
        <v>1</v>
      </c>
      <c r="J103" s="215">
        <f>IF(Table2[[#This Row],[Description]]="","",Table2[[#This Row],[Value]]/Table2[[#This Row],[Conversion]])</f>
        <v>27.61</v>
      </c>
      <c r="K103" s="45">
        <f>IF(Table2[[#This Row],[Description]]="","",DATE(Table2[[#This Row],[Year]],Table2[[#This Row],[Month]],1))</f>
        <v>43647</v>
      </c>
      <c r="T103" s="308"/>
      <c r="U103" t="s">
        <v>388</v>
      </c>
      <c r="V103" s="1">
        <v>6</v>
      </c>
      <c r="W103" s="1">
        <v>2025</v>
      </c>
      <c r="X103" s="49">
        <f>DATE(Table3[[#This Row],[Year]],Table3[[#This Row],[Month]],1)</f>
        <v>45809</v>
      </c>
      <c r="Y103" s="227">
        <v>6</v>
      </c>
      <c r="Z103" s="227">
        <v>2025</v>
      </c>
      <c r="AA103" s="47">
        <f>DATE(Table3[[#This Row],[S Yr]],Table3[[#This Row],[S mth]],1)</f>
        <v>45809</v>
      </c>
      <c r="AC103" s="40">
        <f>SUMIFS(J:J,B:B,Table3[[#This Row],[Mid bgt]],K:K,"&lt;"&amp;Table3[[#This Row],[End Date]]+1)-SUMIFS(J:J,B:B,Table3[[#This Row],[Mid bgt]],K:K,"&lt;"&amp;Table3[[#This Row],[Start]])</f>
        <v>0</v>
      </c>
      <c r="AD103" s="41">
        <f>Table3[[#This Row],[Planned]]-Table3[[#This Row],[Spent]]</f>
        <v>0</v>
      </c>
      <c r="AE103" s="44"/>
    </row>
    <row r="104" spans="1:31" x14ac:dyDescent="0.25">
      <c r="A104" s="3">
        <v>103</v>
      </c>
      <c r="B104" t="s">
        <v>69</v>
      </c>
      <c r="C104" s="1">
        <v>7</v>
      </c>
      <c r="D104" s="1">
        <v>2019</v>
      </c>
      <c r="E104" s="166">
        <f>55.22/2</f>
        <v>27.61</v>
      </c>
      <c r="F104" s="1" t="s">
        <v>21</v>
      </c>
      <c r="G104" s="1" t="str">
        <f>IF(Table2[[#This Row],[Description]]="","",VLOOKUP(Table2[[#This Row],[Description]],$Q$1:$S$101,2,FALSE))</f>
        <v>MN free</v>
      </c>
      <c r="H104" s="1" t="str">
        <f>IF(Table2[[#This Row],[Description]]="","",VLOOKUP(Table2[[#This Row],[Description]],$Q$1:$S$101,3,FALSE))</f>
        <v>Mid</v>
      </c>
      <c r="I104" s="1">
        <f>IF(Table2[[#This Row],[Description]]="","",IF(Table2[[#This Row],[Currency]]=$O$2,$P$2,HLOOKUP(Table2[[#This Row],[Date]],Funds!$C$10:$GV$11,2,FALSE)))</f>
        <v>1</v>
      </c>
      <c r="J104" s="215">
        <f>IF(Table2[[#This Row],[Description]]="","",Table2[[#This Row],[Value]]/Table2[[#This Row],[Conversion]])</f>
        <v>27.61</v>
      </c>
      <c r="K104" s="45">
        <f>IF(Table2[[#This Row],[Description]]="","",DATE(Table2[[#This Row],[Year]],Table2[[#This Row],[Month]],1))</f>
        <v>43647</v>
      </c>
      <c r="T104" s="308"/>
      <c r="U104" t="s">
        <v>388</v>
      </c>
      <c r="V104" s="1">
        <v>6</v>
      </c>
      <c r="W104" s="1">
        <v>2026</v>
      </c>
      <c r="X104" s="49">
        <f>DATE(Table3[[#This Row],[Year]],Table3[[#This Row],[Month]],1)</f>
        <v>46174</v>
      </c>
      <c r="Y104" s="227">
        <v>6</v>
      </c>
      <c r="Z104" s="227">
        <v>2026</v>
      </c>
      <c r="AA104" s="47">
        <f>DATE(Table3[[#This Row],[S Yr]],Table3[[#This Row],[S mth]],1)</f>
        <v>46174</v>
      </c>
      <c r="AC104" s="40">
        <f>SUMIFS(J:J,B:B,Table3[[#This Row],[Mid bgt]],K:K,"&lt;"&amp;Table3[[#This Row],[End Date]]+1)-SUMIFS(J:J,B:B,Table3[[#This Row],[Mid bgt]],K:K,"&lt;"&amp;Table3[[#This Row],[Start]])</f>
        <v>0</v>
      </c>
      <c r="AD104" s="41">
        <f>Table3[[#This Row],[Planned]]-Table3[[#This Row],[Spent]]</f>
        <v>0</v>
      </c>
      <c r="AE104" s="44"/>
    </row>
    <row r="105" spans="1:31" x14ac:dyDescent="0.25">
      <c r="A105" s="3">
        <v>104</v>
      </c>
      <c r="B105" t="s">
        <v>317</v>
      </c>
      <c r="C105" s="1">
        <v>7</v>
      </c>
      <c r="D105" s="1">
        <v>2019</v>
      </c>
      <c r="E105" s="166">
        <v>-146.09</v>
      </c>
      <c r="F105" s="1" t="s">
        <v>21</v>
      </c>
      <c r="G105" s="1" t="str">
        <f>IF(Table2[[#This Row],[Description]]="","",VLOOKUP(Table2[[#This Row],[Description]],$Q$1:$S$101,2,FALSE))</f>
        <v>Mid</v>
      </c>
      <c r="H105" s="1" t="str">
        <f>IF(Table2[[#This Row],[Description]]="","",VLOOKUP(Table2[[#This Row],[Description]],$Q$1:$S$101,3,FALSE))</f>
        <v>Mid</v>
      </c>
      <c r="I105" s="1">
        <f>IF(Table2[[#This Row],[Description]]="","",IF(Table2[[#This Row],[Currency]]=$O$2,$P$2,HLOOKUP(Table2[[#This Row],[Date]],Funds!$C$10:$GV$11,2,FALSE)))</f>
        <v>1</v>
      </c>
      <c r="J105" s="215">
        <f>IF(Table2[[#This Row],[Description]]="","",Table2[[#This Row],[Value]]/Table2[[#This Row],[Conversion]])</f>
        <v>-146.09</v>
      </c>
      <c r="K105" s="45">
        <f>IF(Table2[[#This Row],[Description]]="","",DATE(Table2[[#This Row],[Year]],Table2[[#This Row],[Month]],1))</f>
        <v>43647</v>
      </c>
      <c r="T105" s="308"/>
      <c r="U105" t="s">
        <v>388</v>
      </c>
      <c r="V105" s="1">
        <v>6</v>
      </c>
      <c r="W105" s="10">
        <v>2027</v>
      </c>
      <c r="X105" s="49">
        <f>DATE(Table3[[#This Row],[Year]],Table3[[#This Row],[Month]],1)</f>
        <v>46539</v>
      </c>
      <c r="Y105" s="227">
        <v>6</v>
      </c>
      <c r="Z105" s="229">
        <v>2027</v>
      </c>
      <c r="AA105" s="48">
        <f>DATE(Table3[[#This Row],[S Yr]],Table3[[#This Row],[S mth]],1)</f>
        <v>46539</v>
      </c>
      <c r="AC105" s="40">
        <f>SUMIFS(J:J,B:B,Table3[[#This Row],[Mid bgt]],K:K,"&lt;"&amp;Table3[[#This Row],[End Date]]+1)-SUMIFS(J:J,B:B,Table3[[#This Row],[Mid bgt]],K:K,"&lt;"&amp;Table3[[#This Row],[Start]])</f>
        <v>0</v>
      </c>
      <c r="AD105" s="41">
        <f>Table3[[#This Row],[Planned]]-Table3[[#This Row],[Spent]]</f>
        <v>0</v>
      </c>
      <c r="AE105" s="44"/>
    </row>
    <row r="106" spans="1:31" x14ac:dyDescent="0.25">
      <c r="A106" s="3">
        <v>105</v>
      </c>
      <c r="B106" t="s">
        <v>57</v>
      </c>
      <c r="C106" s="1">
        <v>7</v>
      </c>
      <c r="D106" s="1">
        <v>2019</v>
      </c>
      <c r="E106" s="166">
        <v>528.24</v>
      </c>
      <c r="F106" s="1" t="s">
        <v>21</v>
      </c>
      <c r="G106" s="1" t="str">
        <f>IF(Table2[[#This Row],[Description]]="","",VLOOKUP(Table2[[#This Row],[Description]],$Q$1:$S$101,2,FALSE))</f>
        <v>Food</v>
      </c>
      <c r="H106" s="1" t="str">
        <f>IF(Table2[[#This Row],[Description]]="","",VLOOKUP(Table2[[#This Row],[Description]],$Q$1:$S$101,3,FALSE))</f>
        <v>Short</v>
      </c>
      <c r="I106" s="1">
        <f>IF(Table2[[#This Row],[Description]]="","",IF(Table2[[#This Row],[Currency]]=$O$2,$P$2,HLOOKUP(Table2[[#This Row],[Date]],Funds!$C$10:$GV$11,2,FALSE)))</f>
        <v>1</v>
      </c>
      <c r="J106" s="215">
        <f>IF(Table2[[#This Row],[Description]]="","",Table2[[#This Row],[Value]]/Table2[[#This Row],[Conversion]])</f>
        <v>528.24</v>
      </c>
      <c r="K106" s="45">
        <f>IF(Table2[[#This Row],[Description]]="","",DATE(Table2[[#This Row],[Year]],Table2[[#This Row],[Month]],1))</f>
        <v>43647</v>
      </c>
      <c r="T106" s="308"/>
      <c r="U106" t="s">
        <v>388</v>
      </c>
      <c r="V106" s="1">
        <v>6</v>
      </c>
      <c r="W106" s="395">
        <v>2028</v>
      </c>
      <c r="X106" s="49">
        <f>DATE(Table3[[#This Row],[Year]],Table3[[#This Row],[Month]],1)</f>
        <v>46905</v>
      </c>
      <c r="Y106" s="227">
        <v>6</v>
      </c>
      <c r="Z106" s="396">
        <v>2028</v>
      </c>
      <c r="AA106" s="397">
        <f>DATE(Table3[[#This Row],[S Yr]],Table3[[#This Row],[S mth]],1)</f>
        <v>46905</v>
      </c>
      <c r="AC106" s="40">
        <f>SUMIFS(J:J,B:B,Table3[[#This Row],[Mid bgt]],K:K,"&lt;"&amp;Table3[[#This Row],[End Date]]+1)-SUMIFS(J:J,B:B,Table3[[#This Row],[Mid bgt]],K:K,"&lt;"&amp;Table3[[#This Row],[Start]])</f>
        <v>0</v>
      </c>
      <c r="AD106" s="41">
        <f>Table3[[#This Row],[Planned]]-Table3[[#This Row],[Spent]]</f>
        <v>0</v>
      </c>
      <c r="AE106" s="44"/>
    </row>
    <row r="107" spans="1:31" x14ac:dyDescent="0.25">
      <c r="A107" s="3">
        <v>106</v>
      </c>
      <c r="B107" t="s">
        <v>58</v>
      </c>
      <c r="C107" s="1">
        <v>7</v>
      </c>
      <c r="D107" s="1">
        <v>2019</v>
      </c>
      <c r="E107" s="166">
        <v>215.54999999999998</v>
      </c>
      <c r="F107" s="1" t="s">
        <v>21</v>
      </c>
      <c r="G107" s="1" t="str">
        <f>IF(Table2[[#This Row],[Description]]="","",VLOOKUP(Table2[[#This Row],[Description]],$Q$1:$S$101,2,FALSE))</f>
        <v>Food</v>
      </c>
      <c r="H107" s="1" t="str">
        <f>IF(Table2[[#This Row],[Description]]="","",VLOOKUP(Table2[[#This Row],[Description]],$Q$1:$S$101,3,FALSE))</f>
        <v>Short</v>
      </c>
      <c r="I107" s="1">
        <f>IF(Table2[[#This Row],[Description]]="","",IF(Table2[[#This Row],[Currency]]=$O$2,$P$2,HLOOKUP(Table2[[#This Row],[Date]],Funds!$C$10:$GV$11,2,FALSE)))</f>
        <v>1</v>
      </c>
      <c r="J107" s="215">
        <f>IF(Table2[[#This Row],[Description]]="","",Table2[[#This Row],[Value]]/Table2[[#This Row],[Conversion]])</f>
        <v>215.54999999999998</v>
      </c>
      <c r="K107" s="45">
        <f>IF(Table2[[#This Row],[Description]]="","",DATE(Table2[[#This Row],[Year]],Table2[[#This Row],[Month]],1))</f>
        <v>43647</v>
      </c>
      <c r="U107" t="s">
        <v>388</v>
      </c>
      <c r="V107" s="1">
        <v>6</v>
      </c>
      <c r="W107" s="1">
        <v>2029</v>
      </c>
      <c r="X107" s="49">
        <f>DATE(Table3[[#This Row],[Year]],Table3[[#This Row],[Month]],1)</f>
        <v>47270</v>
      </c>
      <c r="Y107" s="227">
        <v>6</v>
      </c>
      <c r="Z107" s="227">
        <v>2029</v>
      </c>
      <c r="AA107" s="47">
        <f>DATE(Table3[[#This Row],[S Yr]],Table3[[#This Row],[S mth]],1)</f>
        <v>47270</v>
      </c>
      <c r="AC107" s="40">
        <f>SUMIFS(J:J,B:B,Table3[[#This Row],[Mid bgt]],K:K,"&lt;"&amp;Table3[[#This Row],[End Date]]+1)-SUMIFS(J:J,B:B,Table3[[#This Row],[Mid bgt]],K:K,"&lt;"&amp;Table3[[#This Row],[Start]])</f>
        <v>0</v>
      </c>
      <c r="AD107" s="41">
        <f>Table3[[#This Row],[Planned]]-Table3[[#This Row],[Spent]]</f>
        <v>0</v>
      </c>
      <c r="AE107" s="44"/>
    </row>
    <row r="108" spans="1:31" x14ac:dyDescent="0.25">
      <c r="A108" s="3">
        <v>107</v>
      </c>
      <c r="B108" t="s">
        <v>29</v>
      </c>
      <c r="C108" s="1">
        <v>7</v>
      </c>
      <c r="D108" s="1">
        <v>2019</v>
      </c>
      <c r="E108" s="166">
        <v>105.17</v>
      </c>
      <c r="F108" s="1" t="s">
        <v>21</v>
      </c>
      <c r="G108" s="1" t="str">
        <f>IF(Table2[[#This Row],[Description]]="","",VLOOKUP(Table2[[#This Row],[Description]],$Q$1:$S$101,2,FALSE))</f>
        <v>Health</v>
      </c>
      <c r="H108" s="1" t="str">
        <f>IF(Table2[[#This Row],[Description]]="","",VLOOKUP(Table2[[#This Row],[Description]],$Q$1:$S$101,3,FALSE))</f>
        <v>Mid</v>
      </c>
      <c r="I108" s="1">
        <f>IF(Table2[[#This Row],[Description]]="","",IF(Table2[[#This Row],[Currency]]=$O$2,$P$2,HLOOKUP(Table2[[#This Row],[Date]],Funds!$C$10:$GV$11,2,FALSE)))</f>
        <v>1</v>
      </c>
      <c r="J108" s="215">
        <f>IF(Table2[[#This Row],[Description]]="","",Table2[[#This Row],[Value]]/Table2[[#This Row],[Conversion]])</f>
        <v>105.17</v>
      </c>
      <c r="K108" s="45">
        <f>IF(Table2[[#This Row],[Description]]="","",DATE(Table2[[#This Row],[Year]],Table2[[#This Row],[Month]],1))</f>
        <v>43647</v>
      </c>
      <c r="U108" t="s">
        <v>388</v>
      </c>
      <c r="V108" s="1">
        <v>6</v>
      </c>
      <c r="W108" s="1">
        <v>2030</v>
      </c>
      <c r="X108" s="49">
        <f>DATE(Table3[[#This Row],[Year]],Table3[[#This Row],[Month]],1)</f>
        <v>47635</v>
      </c>
      <c r="Y108" s="227">
        <v>6</v>
      </c>
      <c r="Z108" s="227">
        <v>2030</v>
      </c>
      <c r="AA108" s="47">
        <f>DATE(Table3[[#This Row],[S Yr]],Table3[[#This Row],[S mth]],1)</f>
        <v>47635</v>
      </c>
      <c r="AC108" s="40">
        <f>SUMIFS(J:J,B:B,Table3[[#This Row],[Mid bgt]],K:K,"&lt;"&amp;Table3[[#This Row],[End Date]]+1)-SUMIFS(J:J,B:B,Table3[[#This Row],[Mid bgt]],K:K,"&lt;"&amp;Table3[[#This Row],[Start]])</f>
        <v>0</v>
      </c>
      <c r="AD108" s="41">
        <f>Table3[[#This Row],[Planned]]-Table3[[#This Row],[Spent]]</f>
        <v>0</v>
      </c>
      <c r="AE108" s="44"/>
    </row>
    <row r="109" spans="1:31" x14ac:dyDescent="0.25">
      <c r="A109" s="3">
        <v>108</v>
      </c>
      <c r="B109" t="s">
        <v>267</v>
      </c>
      <c r="C109" s="1">
        <v>7</v>
      </c>
      <c r="D109" s="1">
        <v>2019</v>
      </c>
      <c r="E109" s="166">
        <v>100.38999999999999</v>
      </c>
      <c r="F109" s="1" t="s">
        <v>21</v>
      </c>
      <c r="G109" s="1" t="str">
        <f>IF(Table2[[#This Row],[Description]]="","",VLOOKUP(Table2[[#This Row],[Description]],$Q$1:$S$101,2,FALSE))</f>
        <v>Leisure</v>
      </c>
      <c r="H109" s="1" t="str">
        <f>IF(Table2[[#This Row],[Description]]="","",VLOOKUP(Table2[[#This Row],[Description]],$Q$1:$S$101,3,FALSE))</f>
        <v>Short</v>
      </c>
      <c r="I109" s="1">
        <f>IF(Table2[[#This Row],[Description]]="","",IF(Table2[[#This Row],[Currency]]=$O$2,$P$2,HLOOKUP(Table2[[#This Row],[Date]],Funds!$C$10:$GV$11,2,FALSE)))</f>
        <v>1</v>
      </c>
      <c r="J109" s="215">
        <f>IF(Table2[[#This Row],[Description]]="","",Table2[[#This Row],[Value]]/Table2[[#This Row],[Conversion]])</f>
        <v>100.38999999999999</v>
      </c>
      <c r="K109" s="45">
        <f>IF(Table2[[#This Row],[Description]]="","",DATE(Table2[[#This Row],[Year]],Table2[[#This Row],[Month]],1))</f>
        <v>43647</v>
      </c>
      <c r="U109" s="9" t="s">
        <v>513</v>
      </c>
      <c r="V109" s="10">
        <v>11</v>
      </c>
      <c r="W109" s="10">
        <v>2021</v>
      </c>
      <c r="X109" s="49">
        <f>DATE(Table3[[#This Row],[Year]],Table3[[#This Row],[Month]],1)</f>
        <v>44501</v>
      </c>
      <c r="Y109" s="229">
        <v>11</v>
      </c>
      <c r="Z109" s="229">
        <v>2021</v>
      </c>
      <c r="AA109" s="48">
        <f>DATE(Table3[[#This Row],[S Yr]],Table3[[#This Row],[S mth]],1)</f>
        <v>44501</v>
      </c>
      <c r="AB109" s="40"/>
      <c r="AC109" s="40">
        <f>SUMIFS(J:J,B:B,Table3[[#This Row],[Mid bgt]],K:K,"&lt;"&amp;Table3[[#This Row],[End Date]]+1)-SUMIFS(J:J,B:B,Table3[[#This Row],[Mid bgt]],K:K,"&lt;"&amp;Table3[[#This Row],[Start]])</f>
        <v>0</v>
      </c>
      <c r="AD109" s="41">
        <f>Table3[[#This Row],[Planned]]-Table3[[#This Row],[Spent]]</f>
        <v>0</v>
      </c>
      <c r="AE109" s="44"/>
    </row>
    <row r="110" spans="1:31" x14ac:dyDescent="0.25">
      <c r="A110" s="3">
        <v>109</v>
      </c>
      <c r="B110" t="s">
        <v>288</v>
      </c>
      <c r="C110" s="1">
        <v>7</v>
      </c>
      <c r="D110" s="1">
        <v>2019</v>
      </c>
      <c r="E110" s="166">
        <v>163.16</v>
      </c>
      <c r="F110" s="1" t="s">
        <v>21</v>
      </c>
      <c r="G110" s="1" t="str">
        <f>IF(Table2[[#This Row],[Description]]="","",VLOOKUP(Table2[[#This Row],[Description]],$Q$1:$S$101,2,FALSE))</f>
        <v xml:space="preserve">US Furniture </v>
      </c>
      <c r="H110" s="1" t="str">
        <f>IF(Table2[[#This Row],[Description]]="","",VLOOKUP(Table2[[#This Row],[Description]],$Q$1:$S$101,3,FALSE))</f>
        <v>Mid</v>
      </c>
      <c r="I110" s="1">
        <f>IF(Table2[[#This Row],[Description]]="","",IF(Table2[[#This Row],[Currency]]=$O$2,$P$2,HLOOKUP(Table2[[#This Row],[Date]],Funds!$C$10:$GV$11,2,FALSE)))</f>
        <v>1</v>
      </c>
      <c r="J110" s="215">
        <f>IF(Table2[[#This Row],[Description]]="","",Table2[[#This Row],[Value]]/Table2[[#This Row],[Conversion]])</f>
        <v>163.16</v>
      </c>
      <c r="K110" s="45">
        <f>IF(Table2[[#This Row],[Description]]="","",DATE(Table2[[#This Row],[Year]],Table2[[#This Row],[Month]],1))</f>
        <v>43647</v>
      </c>
      <c r="U110" s="9" t="s">
        <v>513</v>
      </c>
      <c r="V110" s="10">
        <v>5</v>
      </c>
      <c r="W110" s="10">
        <v>2022</v>
      </c>
      <c r="X110" s="49">
        <f>DATE(Table3[[#This Row],[Year]],Table3[[#This Row],[Month]],1)</f>
        <v>44682</v>
      </c>
      <c r="Y110" s="229">
        <v>5</v>
      </c>
      <c r="Z110" s="229">
        <v>2022</v>
      </c>
      <c r="AA110" s="48">
        <f>DATE(Table3[[#This Row],[S Yr]],Table3[[#This Row],[S mth]],1)</f>
        <v>44682</v>
      </c>
      <c r="AB110" s="40"/>
      <c r="AC110" s="40">
        <f>SUMIFS(J:J,B:B,Table3[[#This Row],[Mid bgt]],K:K,"&lt;"&amp;Table3[[#This Row],[End Date]]+1)-SUMIFS(J:J,B:B,Table3[[#This Row],[Mid bgt]],K:K,"&lt;"&amp;Table3[[#This Row],[Start]])</f>
        <v>0</v>
      </c>
      <c r="AD110" s="41">
        <f>Table3[[#This Row],[Planned]]-Table3[[#This Row],[Spent]]</f>
        <v>0</v>
      </c>
      <c r="AE110" s="44"/>
    </row>
    <row r="111" spans="1:31" x14ac:dyDescent="0.25">
      <c r="A111" s="3">
        <v>110</v>
      </c>
      <c r="B111" t="s">
        <v>62</v>
      </c>
      <c r="C111" s="1">
        <v>7</v>
      </c>
      <c r="D111" s="1">
        <v>2019</v>
      </c>
      <c r="E111" s="166">
        <v>225</v>
      </c>
      <c r="F111" s="1" t="s">
        <v>21</v>
      </c>
      <c r="G111" s="1" t="str">
        <f>IF(Table2[[#This Row],[Description]]="","",VLOOKUP(Table2[[#This Row],[Description]],$Q$1:$S$101,2,FALSE))</f>
        <v>Leisure</v>
      </c>
      <c r="H111" s="1" t="str">
        <f>IF(Table2[[#This Row],[Description]]="","",VLOOKUP(Table2[[#This Row],[Description]],$Q$1:$S$101,3,FALSE))</f>
        <v>Short</v>
      </c>
      <c r="I111" s="1">
        <f>IF(Table2[[#This Row],[Description]]="","",IF(Table2[[#This Row],[Currency]]=$O$2,$P$2,HLOOKUP(Table2[[#This Row],[Date]],Funds!$C$10:$GV$11,2,FALSE)))</f>
        <v>1</v>
      </c>
      <c r="J111" s="215">
        <f>IF(Table2[[#This Row],[Description]]="","",Table2[[#This Row],[Value]]/Table2[[#This Row],[Conversion]])</f>
        <v>225</v>
      </c>
      <c r="K111" s="45">
        <f>IF(Table2[[#This Row],[Description]]="","",DATE(Table2[[#This Row],[Year]],Table2[[#This Row],[Month]],1))</f>
        <v>43647</v>
      </c>
      <c r="U111" s="9" t="s">
        <v>513</v>
      </c>
      <c r="V111" s="10">
        <v>11</v>
      </c>
      <c r="W111" s="10">
        <v>2022</v>
      </c>
      <c r="X111" s="49">
        <f>DATE(Table3[[#This Row],[Year]],Table3[[#This Row],[Month]],1)</f>
        <v>44866</v>
      </c>
      <c r="Y111" s="10">
        <v>11</v>
      </c>
      <c r="Z111" s="229">
        <v>2022</v>
      </c>
      <c r="AA111" s="48">
        <f>DATE(Table3[[#This Row],[S Yr]],Table3[[#This Row],[S mth]],1)</f>
        <v>44866</v>
      </c>
      <c r="AB111" s="40"/>
      <c r="AC111" s="40">
        <f>SUMIFS(J:J,B:B,Table3[[#This Row],[Mid bgt]],K:K,"&lt;"&amp;Table3[[#This Row],[End Date]]+1)-SUMIFS(J:J,B:B,Table3[[#This Row],[Mid bgt]],K:K,"&lt;"&amp;Table3[[#This Row],[Start]])</f>
        <v>0</v>
      </c>
      <c r="AD111" s="41">
        <f>Table3[[#This Row],[Planned]]-Table3[[#This Row],[Spent]]</f>
        <v>0</v>
      </c>
      <c r="AE111" s="44"/>
    </row>
    <row r="112" spans="1:31" x14ac:dyDescent="0.25">
      <c r="A112" s="3">
        <v>111</v>
      </c>
      <c r="B112" t="s">
        <v>63</v>
      </c>
      <c r="C112" s="1">
        <v>7</v>
      </c>
      <c r="D112" s="1">
        <v>2019</v>
      </c>
      <c r="E112" s="166">
        <v>2.58</v>
      </c>
      <c r="F112" s="1" t="s">
        <v>21</v>
      </c>
      <c r="G112" s="1" t="str">
        <f>IF(Table2[[#This Row],[Description]]="","",VLOOKUP(Table2[[#This Row],[Description]],$Q$1:$S$101,2,FALSE))</f>
        <v>Leisure</v>
      </c>
      <c r="H112" s="1" t="str">
        <f>IF(Table2[[#This Row],[Description]]="","",VLOOKUP(Table2[[#This Row],[Description]],$Q$1:$S$101,3,FALSE))</f>
        <v>Short</v>
      </c>
      <c r="I112" s="1">
        <f>IF(Table2[[#This Row],[Description]]="","",IF(Table2[[#This Row],[Currency]]=$O$2,$P$2,HLOOKUP(Table2[[#This Row],[Date]],Funds!$C$10:$GV$11,2,FALSE)))</f>
        <v>1</v>
      </c>
      <c r="J112" s="215">
        <f>IF(Table2[[#This Row],[Description]]="","",Table2[[#This Row],[Value]]/Table2[[#This Row],[Conversion]])</f>
        <v>2.58</v>
      </c>
      <c r="K112" s="45">
        <f>IF(Table2[[#This Row],[Description]]="","",DATE(Table2[[#This Row],[Year]],Table2[[#This Row],[Month]],1))</f>
        <v>43647</v>
      </c>
      <c r="U112" s="9" t="s">
        <v>513</v>
      </c>
      <c r="V112" s="10">
        <v>5</v>
      </c>
      <c r="W112" s="10">
        <v>2023</v>
      </c>
      <c r="X112" s="49">
        <f>DATE(Table3[[#This Row],[Year]],Table3[[#This Row],[Month]],1)</f>
        <v>45047</v>
      </c>
      <c r="Y112" s="10">
        <v>5</v>
      </c>
      <c r="Z112" s="229">
        <v>2023</v>
      </c>
      <c r="AA112" s="48">
        <f>DATE(Table3[[#This Row],[S Yr]],Table3[[#This Row],[S mth]],1)</f>
        <v>45047</v>
      </c>
      <c r="AB112" s="40"/>
      <c r="AC112" s="40">
        <f>SUMIFS(J:J,B:B,Table3[[#This Row],[Mid bgt]],K:K,"&lt;"&amp;Table3[[#This Row],[End Date]]+1)-SUMIFS(J:J,B:B,Table3[[#This Row],[Mid bgt]],K:K,"&lt;"&amp;Table3[[#This Row],[Start]])</f>
        <v>0</v>
      </c>
      <c r="AD112" s="41">
        <f>Table3[[#This Row],[Planned]]-Table3[[#This Row],[Spent]]</f>
        <v>0</v>
      </c>
      <c r="AE112" s="44"/>
    </row>
    <row r="113" spans="1:31" x14ac:dyDescent="0.25">
      <c r="A113" s="3">
        <v>112</v>
      </c>
      <c r="B113" t="s">
        <v>255</v>
      </c>
      <c r="C113" s="1">
        <v>7</v>
      </c>
      <c r="D113" s="1">
        <v>2019</v>
      </c>
      <c r="E113" s="166">
        <v>25</v>
      </c>
      <c r="F113" s="1" t="s">
        <v>21</v>
      </c>
      <c r="G113" s="1" t="str">
        <f>IF(Table2[[#This Row],[Description]]="","",VLOOKUP(Table2[[#This Row],[Description]],$Q$1:$S$101,2,FALSE))</f>
        <v>EK free</v>
      </c>
      <c r="H113" s="1" t="str">
        <f>IF(Table2[[#This Row],[Description]]="","",VLOOKUP(Table2[[#This Row],[Description]],$Q$1:$S$101,3,FALSE))</f>
        <v>Mid</v>
      </c>
      <c r="I113" s="1">
        <f>IF(Table2[[#This Row],[Description]]="","",IF(Table2[[#This Row],[Currency]]=$O$2,$P$2,HLOOKUP(Table2[[#This Row],[Date]],Funds!$C$10:$GV$11,2,FALSE)))</f>
        <v>1</v>
      </c>
      <c r="J113" s="215">
        <f>IF(Table2[[#This Row],[Description]]="","",Table2[[#This Row],[Value]]/Table2[[#This Row],[Conversion]])</f>
        <v>25</v>
      </c>
      <c r="K113" s="45">
        <f>IF(Table2[[#This Row],[Description]]="","",DATE(Table2[[#This Row],[Year]],Table2[[#This Row],[Month]],1))</f>
        <v>43647</v>
      </c>
      <c r="U113" s="9" t="s">
        <v>513</v>
      </c>
      <c r="V113" s="10">
        <v>11</v>
      </c>
      <c r="W113" s="10">
        <v>2023</v>
      </c>
      <c r="X113" s="49">
        <f>DATE(Table3[[#This Row],[Year]],Table3[[#This Row],[Month]],1)</f>
        <v>45231</v>
      </c>
      <c r="Y113" s="10">
        <v>11</v>
      </c>
      <c r="Z113" s="229">
        <v>2023</v>
      </c>
      <c r="AA113" s="48">
        <f>DATE(Table3[[#This Row],[S Yr]],Table3[[#This Row],[S mth]],1)</f>
        <v>45231</v>
      </c>
      <c r="AB113" s="40"/>
      <c r="AC113" s="40">
        <f>SUMIFS(J:J,B:B,Table3[[#This Row],[Mid bgt]],K:K,"&lt;"&amp;Table3[[#This Row],[End Date]]+1)-SUMIFS(J:J,B:B,Table3[[#This Row],[Mid bgt]],K:K,"&lt;"&amp;Table3[[#This Row],[Start]])</f>
        <v>0</v>
      </c>
      <c r="AD113" s="41">
        <f>Table3[[#This Row],[Planned]]-Table3[[#This Row],[Spent]]</f>
        <v>0</v>
      </c>
      <c r="AE113" s="44"/>
    </row>
    <row r="114" spans="1:31" x14ac:dyDescent="0.25">
      <c r="A114" s="3">
        <v>113</v>
      </c>
      <c r="B114" t="s">
        <v>59</v>
      </c>
      <c r="C114" s="1">
        <v>7</v>
      </c>
      <c r="D114" s="1">
        <v>2019</v>
      </c>
      <c r="E114" s="166">
        <v>105</v>
      </c>
      <c r="F114" s="1" t="s">
        <v>21</v>
      </c>
      <c r="G114" s="1" t="str">
        <f>IF(Table2[[#This Row],[Description]]="","",VLOOKUP(Table2[[#This Row],[Description]],$Q$1:$S$101,2,FALSE))</f>
        <v>Transportation</v>
      </c>
      <c r="H114" s="1" t="str">
        <f>IF(Table2[[#This Row],[Description]]="","",VLOOKUP(Table2[[#This Row],[Description]],$Q$1:$S$101,3,FALSE))</f>
        <v>Short</v>
      </c>
      <c r="I114" s="1">
        <f>IF(Table2[[#This Row],[Description]]="","",IF(Table2[[#This Row],[Currency]]=$O$2,$P$2,HLOOKUP(Table2[[#This Row],[Date]],Funds!$C$10:$GV$11,2,FALSE)))</f>
        <v>1</v>
      </c>
      <c r="J114" s="215">
        <f>IF(Table2[[#This Row],[Description]]="","",Table2[[#This Row],[Value]]/Table2[[#This Row],[Conversion]])</f>
        <v>105</v>
      </c>
      <c r="K114" s="45">
        <f>IF(Table2[[#This Row],[Description]]="","",DATE(Table2[[#This Row],[Year]],Table2[[#This Row],[Month]],1))</f>
        <v>43647</v>
      </c>
      <c r="U114" s="9" t="s">
        <v>513</v>
      </c>
      <c r="V114" s="10">
        <v>5</v>
      </c>
      <c r="W114" s="10">
        <v>2024</v>
      </c>
      <c r="X114" s="49">
        <f>DATE(Table3[[#This Row],[Year]],Table3[[#This Row],[Month]],1)</f>
        <v>45413</v>
      </c>
      <c r="Y114" s="10">
        <v>5</v>
      </c>
      <c r="Z114" s="229">
        <v>2024</v>
      </c>
      <c r="AA114" s="48">
        <f>DATE(Table3[[#This Row],[S Yr]],Table3[[#This Row],[S mth]],1)</f>
        <v>45413</v>
      </c>
      <c r="AB114" s="40"/>
      <c r="AC114" s="40">
        <f>SUMIFS(J:J,B:B,Table3[[#This Row],[Mid bgt]],K:K,"&lt;"&amp;Table3[[#This Row],[End Date]]+1)-SUMIFS(J:J,B:B,Table3[[#This Row],[Mid bgt]],K:K,"&lt;"&amp;Table3[[#This Row],[Start]])</f>
        <v>0</v>
      </c>
      <c r="AD114" s="41">
        <f>Table3[[#This Row],[Planned]]-Table3[[#This Row],[Spent]]</f>
        <v>0</v>
      </c>
      <c r="AE114" s="44"/>
    </row>
    <row r="115" spans="1:31" x14ac:dyDescent="0.25">
      <c r="A115" s="3">
        <v>114</v>
      </c>
      <c r="B115" t="s">
        <v>35</v>
      </c>
      <c r="C115" s="1">
        <v>7</v>
      </c>
      <c r="D115" s="1">
        <v>2019</v>
      </c>
      <c r="E115" s="166">
        <v>85.36</v>
      </c>
      <c r="F115" s="1" t="s">
        <v>21</v>
      </c>
      <c r="G115" s="1" t="str">
        <f>IF(Table2[[#This Row],[Description]]="","",VLOOKUP(Table2[[#This Row],[Description]],$Q$1:$S$101,2,FALSE))</f>
        <v>Cellphone</v>
      </c>
      <c r="H115" s="1" t="str">
        <f>IF(Table2[[#This Row],[Description]]="","",VLOOKUP(Table2[[#This Row],[Description]],$Q$1:$S$101,3,FALSE))</f>
        <v>Short</v>
      </c>
      <c r="I115" s="1">
        <f>IF(Table2[[#This Row],[Description]]="","",IF(Table2[[#This Row],[Currency]]=$O$2,$P$2,HLOOKUP(Table2[[#This Row],[Date]],Funds!$C$10:$GV$11,2,FALSE)))</f>
        <v>1</v>
      </c>
      <c r="J115" s="215">
        <f>IF(Table2[[#This Row],[Description]]="","",Table2[[#This Row],[Value]]/Table2[[#This Row],[Conversion]])</f>
        <v>85.36</v>
      </c>
      <c r="K115" s="45">
        <f>IF(Table2[[#This Row],[Description]]="","",DATE(Table2[[#This Row],[Year]],Table2[[#This Row],[Month]],1))</f>
        <v>43647</v>
      </c>
      <c r="U115" t="s">
        <v>71</v>
      </c>
      <c r="V115" s="12">
        <v>12</v>
      </c>
      <c r="W115" s="12">
        <v>2019</v>
      </c>
      <c r="X115" s="49">
        <f>DATE(Table3[[#This Row],[Year]],Table3[[#This Row],[Month]],1)</f>
        <v>43800</v>
      </c>
      <c r="Y115" s="228">
        <v>1</v>
      </c>
      <c r="Z115" s="228">
        <v>2019</v>
      </c>
      <c r="AA115" s="49">
        <f>DATE(Table3[[#This Row],[S Yr]],Table3[[#This Row],[S mth]],1)</f>
        <v>43466</v>
      </c>
      <c r="AB115" s="42">
        <f>1554-197+300</f>
        <v>1657</v>
      </c>
      <c r="AC115" s="40">
        <f>SUMIFS(J:J,G:G,Table3[[#This Row],[Mid bgt]],K:K,"&lt;"&amp;Table3[[#This Row],[End Date]]+1)-SUMIFS(J:J,G:G,Table3[[#This Row],[Mid bgt]],K:K,"&lt;"&amp;Table3[[#This Row],[Start]])</f>
        <v>1693.1090484331983</v>
      </c>
      <c r="AD115" s="41">
        <f>Table3[[#This Row],[Planned]]-Table3[[#This Row],[Spent]]</f>
        <v>-36.109048433198268</v>
      </c>
      <c r="AE115" s="44"/>
    </row>
    <row r="116" spans="1:31" x14ac:dyDescent="0.25">
      <c r="A116" s="3">
        <v>115</v>
      </c>
      <c r="B116" t="s">
        <v>249</v>
      </c>
      <c r="C116" s="1">
        <v>7</v>
      </c>
      <c r="D116" s="1">
        <v>2019</v>
      </c>
      <c r="E116" s="166">
        <v>70</v>
      </c>
      <c r="F116" s="1" t="s">
        <v>21</v>
      </c>
      <c r="G116" s="1" t="str">
        <f>IF(Table2[[#This Row],[Description]]="","",VLOOKUP(Table2[[#This Row],[Description]],$Q$1:$S$101,2,FALSE))</f>
        <v>Leisure</v>
      </c>
      <c r="H116" s="1" t="str">
        <f>IF(Table2[[#This Row],[Description]]="","",VLOOKUP(Table2[[#This Row],[Description]],$Q$1:$S$101,3,FALSE))</f>
        <v>Short</v>
      </c>
      <c r="I116" s="1">
        <f>IF(Table2[[#This Row],[Description]]="","",IF(Table2[[#This Row],[Currency]]=$O$2,$P$2,HLOOKUP(Table2[[#This Row],[Date]],Funds!$C$10:$GV$11,2,FALSE)))</f>
        <v>1</v>
      </c>
      <c r="J116" s="215">
        <f>IF(Table2[[#This Row],[Description]]="","",Table2[[#This Row],[Value]]/Table2[[#This Row],[Conversion]])</f>
        <v>70</v>
      </c>
      <c r="K116" s="45">
        <f>IF(Table2[[#This Row],[Description]]="","",DATE(Table2[[#This Row],[Year]],Table2[[#This Row],[Month]],1))</f>
        <v>43647</v>
      </c>
      <c r="U116" t="s">
        <v>71</v>
      </c>
      <c r="V116" s="12">
        <v>12</v>
      </c>
      <c r="W116" s="1">
        <v>2020</v>
      </c>
      <c r="X116" s="49">
        <f>DATE(Table3[[#This Row],[Year]],Table3[[#This Row],[Month]],1)</f>
        <v>44166</v>
      </c>
      <c r="Y116" s="228">
        <v>1</v>
      </c>
      <c r="Z116" s="1">
        <v>2020</v>
      </c>
      <c r="AA116" s="49">
        <f>DATE(Table3[[#This Row],[S Yr]],Table3[[#This Row],[S mth]],1)</f>
        <v>43831</v>
      </c>
      <c r="AB116" s="42">
        <f>2300-300-36</f>
        <v>1964</v>
      </c>
      <c r="AC116" s="40">
        <f>SUMIFS(J:J,G:G,Table3[[#This Row],[Mid bgt]],K:K,"&lt;"&amp;Table3[[#This Row],[End Date]]+1)-SUMIFS(J:J,G:G,Table3[[#This Row],[Mid bgt]],K:K,"&lt;"&amp;Table3[[#This Row],[Start]])</f>
        <v>1855.3036959816566</v>
      </c>
      <c r="AD116" s="41">
        <f>Table3[[#This Row],[Planned]]-Table3[[#This Row],[Spent]]</f>
        <v>108.69630401834343</v>
      </c>
      <c r="AE116" s="44"/>
    </row>
    <row r="117" spans="1:31" x14ac:dyDescent="0.25">
      <c r="A117" s="3">
        <v>116</v>
      </c>
      <c r="B117" t="s">
        <v>72</v>
      </c>
      <c r="C117" s="1">
        <v>7</v>
      </c>
      <c r="D117" s="1">
        <v>2019</v>
      </c>
      <c r="E117" s="166">
        <v>65.37</v>
      </c>
      <c r="F117" s="1" t="s">
        <v>21</v>
      </c>
      <c r="G117" s="1" t="str">
        <f>IF(Table2[[#This Row],[Description]]="","",VLOOKUP(Table2[[#This Row],[Description]],$Q$1:$S$101,2,FALSE))</f>
        <v>EK free</v>
      </c>
      <c r="H117" s="1" t="str">
        <f>IF(Table2[[#This Row],[Description]]="","",VLOOKUP(Table2[[#This Row],[Description]],$Q$1:$S$101,3,FALSE))</f>
        <v>Mid</v>
      </c>
      <c r="I117" s="1">
        <f>IF(Table2[[#This Row],[Description]]="","",IF(Table2[[#This Row],[Currency]]=$O$2,$P$2,HLOOKUP(Table2[[#This Row],[Date]],Funds!$C$10:$GV$11,2,FALSE)))</f>
        <v>1</v>
      </c>
      <c r="J117" s="215">
        <f>IF(Table2[[#This Row],[Description]]="","",Table2[[#This Row],[Value]]/Table2[[#This Row],[Conversion]])</f>
        <v>65.37</v>
      </c>
      <c r="K117" s="45">
        <f>IF(Table2[[#This Row],[Description]]="","",DATE(Table2[[#This Row],[Year]],Table2[[#This Row],[Month]],1))</f>
        <v>43647</v>
      </c>
      <c r="P117" t="s">
        <v>524</v>
      </c>
      <c r="Q117">
        <v>2</v>
      </c>
      <c r="R117">
        <v>2</v>
      </c>
      <c r="S117">
        <v>100</v>
      </c>
      <c r="U117" t="s">
        <v>71</v>
      </c>
      <c r="V117" s="12">
        <v>12</v>
      </c>
      <c r="W117" s="12">
        <v>2021</v>
      </c>
      <c r="X117" s="49">
        <f>DATE(Table3[[#This Row],[Year]],Table3[[#This Row],[Month]],1)</f>
        <v>44531</v>
      </c>
      <c r="Y117" s="228">
        <v>1</v>
      </c>
      <c r="Z117" s="12">
        <v>2021</v>
      </c>
      <c r="AA117" s="49">
        <f>DATE(Table3[[#This Row],[S Yr]],Table3[[#This Row],[S mth]],1)</f>
        <v>44197</v>
      </c>
      <c r="AB117" s="42">
        <v>2300</v>
      </c>
      <c r="AC117" s="40">
        <f>SUMIFS(J:J,G:G,Table3[[#This Row],[Mid bgt]],K:K,"&lt;"&amp;Table3[[#This Row],[End Date]]+1)-SUMIFS(J:J,G:G,Table3[[#This Row],[Mid bgt]],K:K,"&lt;"&amp;Table3[[#This Row],[Start]])</f>
        <v>0</v>
      </c>
      <c r="AD117" s="41">
        <f>Table3[[#This Row],[Planned]]-Table3[[#This Row],[Spent]]</f>
        <v>2300</v>
      </c>
      <c r="AE117" s="44"/>
    </row>
    <row r="118" spans="1:31" x14ac:dyDescent="0.25">
      <c r="A118" s="3">
        <v>117</v>
      </c>
      <c r="B118" t="s">
        <v>31</v>
      </c>
      <c r="C118" s="1">
        <v>7</v>
      </c>
      <c r="D118" s="1">
        <v>2019</v>
      </c>
      <c r="E118" s="166">
        <v>1866.58</v>
      </c>
      <c r="F118" s="1" t="s">
        <v>21</v>
      </c>
      <c r="G118" s="1" t="str">
        <f>IF(Table2[[#This Row],[Description]]="","",VLOOKUP(Table2[[#This Row],[Description]],$Q$1:$S$101,2,FALSE))</f>
        <v>Rent</v>
      </c>
      <c r="H118" s="1" t="str">
        <f>IF(Table2[[#This Row],[Description]]="","",VLOOKUP(Table2[[#This Row],[Description]],$Q$1:$S$101,3,FALSE))</f>
        <v>Short</v>
      </c>
      <c r="I118" s="1">
        <f>IF(Table2[[#This Row],[Description]]="","",IF(Table2[[#This Row],[Currency]]=$O$2,$P$2,HLOOKUP(Table2[[#This Row],[Date]],Funds!$C$10:$GV$11,2,FALSE)))</f>
        <v>1</v>
      </c>
      <c r="J118" s="215">
        <f>IF(Table2[[#This Row],[Description]]="","",Table2[[#This Row],[Value]]/Table2[[#This Row],[Conversion]])</f>
        <v>1866.58</v>
      </c>
      <c r="K118" s="45">
        <f>IF(Table2[[#This Row],[Description]]="","",DATE(Table2[[#This Row],[Year]],Table2[[#This Row],[Month]],1))</f>
        <v>43647</v>
      </c>
      <c r="P118" t="s">
        <v>525</v>
      </c>
      <c r="Q118">
        <v>2</v>
      </c>
      <c r="R118">
        <v>2</v>
      </c>
      <c r="S118">
        <v>50</v>
      </c>
      <c r="U118" t="s">
        <v>71</v>
      </c>
      <c r="V118" s="12">
        <v>12</v>
      </c>
      <c r="W118" s="1">
        <v>2022</v>
      </c>
      <c r="X118" s="49">
        <f>DATE(Table3[[#This Row],[Year]],Table3[[#This Row],[Month]],1)</f>
        <v>44896</v>
      </c>
      <c r="Y118" s="228">
        <v>1</v>
      </c>
      <c r="Z118" s="1">
        <v>2022</v>
      </c>
      <c r="AA118" s="49">
        <f>DATE(Table3[[#This Row],[S Yr]],Table3[[#This Row],[S mth]],1)</f>
        <v>44562</v>
      </c>
      <c r="AB118" s="42">
        <v>2300</v>
      </c>
      <c r="AC118" s="40">
        <f>SUMIFS(J:J,G:G,Table3[[#This Row],[Mid bgt]],K:K,"&lt;"&amp;Table3[[#This Row],[End Date]]+1)-SUMIFS(J:J,G:G,Table3[[#This Row],[Mid bgt]],K:K,"&lt;"&amp;Table3[[#This Row],[Start]])</f>
        <v>0</v>
      </c>
      <c r="AD118" s="41">
        <f>Table3[[#This Row],[Planned]]-Table3[[#This Row],[Spent]]</f>
        <v>2300</v>
      </c>
      <c r="AE118" s="44"/>
    </row>
    <row r="119" spans="1:31" x14ac:dyDescent="0.25">
      <c r="A119" s="3">
        <v>118</v>
      </c>
      <c r="B119" t="s">
        <v>262</v>
      </c>
      <c r="C119" s="1">
        <v>7</v>
      </c>
      <c r="D119" s="1">
        <v>2019</v>
      </c>
      <c r="E119" s="166">
        <v>1000</v>
      </c>
      <c r="F119" s="1" t="s">
        <v>21</v>
      </c>
      <c r="G119" s="1" t="str">
        <f>IF(Table2[[#This Row],[Description]]="","",VLOOKUP(Table2[[#This Row],[Description]],$Q$1:$S$101,2,FALSE))</f>
        <v>Mid</v>
      </c>
      <c r="H119" s="1" t="str">
        <f>IF(Table2[[#This Row],[Description]]="","",VLOOKUP(Table2[[#This Row],[Description]],$Q$1:$S$101,3,FALSE))</f>
        <v>Mid</v>
      </c>
      <c r="I119" s="1">
        <f>IF(Table2[[#This Row],[Description]]="","",IF(Table2[[#This Row],[Currency]]=$O$2,$P$2,HLOOKUP(Table2[[#This Row],[Date]],Funds!$C$10:$GV$11,2,FALSE)))</f>
        <v>1</v>
      </c>
      <c r="J119" s="215">
        <f>IF(Table2[[#This Row],[Description]]="","",Table2[[#This Row],[Value]]/Table2[[#This Row],[Conversion]])</f>
        <v>1000</v>
      </c>
      <c r="K119" s="45">
        <f>IF(Table2[[#This Row],[Description]]="","",DATE(Table2[[#This Row],[Year]],Table2[[#This Row],[Month]],1))</f>
        <v>43647</v>
      </c>
      <c r="P119" t="s">
        <v>526</v>
      </c>
      <c r="Q119">
        <v>4</v>
      </c>
      <c r="R119">
        <v>3</v>
      </c>
      <c r="S119">
        <v>50</v>
      </c>
      <c r="U119" t="s">
        <v>71</v>
      </c>
      <c r="V119" s="12">
        <v>12</v>
      </c>
      <c r="W119" s="12">
        <v>2023</v>
      </c>
      <c r="X119" s="49">
        <f>DATE(Table3[[#This Row],[Year]],Table3[[#This Row],[Month]],1)</f>
        <v>45261</v>
      </c>
      <c r="Y119" s="228">
        <v>1</v>
      </c>
      <c r="Z119" s="12">
        <v>2023</v>
      </c>
      <c r="AA119" s="49">
        <f>DATE(Table3[[#This Row],[S Yr]],Table3[[#This Row],[S mth]],1)</f>
        <v>44927</v>
      </c>
      <c r="AB119" s="42">
        <v>2300</v>
      </c>
      <c r="AC119" s="40">
        <f>SUMIFS(J:J,G:G,Table3[[#This Row],[Mid bgt]],K:K,"&lt;"&amp;Table3[[#This Row],[End Date]]+1)-SUMIFS(J:J,G:G,Table3[[#This Row],[Mid bgt]],K:K,"&lt;"&amp;Table3[[#This Row],[Start]])</f>
        <v>0</v>
      </c>
      <c r="AD119" s="41">
        <f>Table3[[#This Row],[Planned]]-Table3[[#This Row],[Spent]]</f>
        <v>2300</v>
      </c>
      <c r="AE119" s="44"/>
    </row>
    <row r="120" spans="1:31" x14ac:dyDescent="0.25">
      <c r="A120" s="3">
        <v>119</v>
      </c>
      <c r="B120" t="s">
        <v>56</v>
      </c>
      <c r="C120" s="1">
        <v>7</v>
      </c>
      <c r="D120" s="1">
        <v>2019</v>
      </c>
      <c r="E120" s="166">
        <v>50</v>
      </c>
      <c r="F120" s="1" t="s">
        <v>21</v>
      </c>
      <c r="G120" s="1" t="str">
        <f>IF(Table2[[#This Row],[Description]]="","",VLOOKUP(Table2[[#This Row],[Description]],$Q$1:$S$101,2,FALSE))</f>
        <v>Utilities</v>
      </c>
      <c r="H120" s="1" t="str">
        <f>IF(Table2[[#This Row],[Description]]="","",VLOOKUP(Table2[[#This Row],[Description]],$Q$1:$S$101,3,FALSE))</f>
        <v>Short</v>
      </c>
      <c r="I120" s="1">
        <f>IF(Table2[[#This Row],[Description]]="","",IF(Table2[[#This Row],[Currency]]=$O$2,$P$2,HLOOKUP(Table2[[#This Row],[Date]],Funds!$C$10:$GV$11,2,FALSE)))</f>
        <v>1</v>
      </c>
      <c r="J120" s="215">
        <f>IF(Table2[[#This Row],[Description]]="","",Table2[[#This Row],[Value]]/Table2[[#This Row],[Conversion]])</f>
        <v>50</v>
      </c>
      <c r="K120" s="45">
        <f>IF(Table2[[#This Row],[Description]]="","",DATE(Table2[[#This Row],[Year]],Table2[[#This Row],[Month]],1))</f>
        <v>43647</v>
      </c>
      <c r="S120">
        <f>SUMPRODUCT(Q117:Q119,R117:R119,S117:S119)</f>
        <v>1200</v>
      </c>
      <c r="U120" t="s">
        <v>71</v>
      </c>
      <c r="V120" s="12">
        <v>12</v>
      </c>
      <c r="W120" s="1">
        <v>2024</v>
      </c>
      <c r="X120" s="49">
        <f>DATE(Table3[[#This Row],[Year]],Table3[[#This Row],[Month]],1)</f>
        <v>45627</v>
      </c>
      <c r="Y120" s="228">
        <v>1</v>
      </c>
      <c r="Z120" s="1">
        <v>2024</v>
      </c>
      <c r="AA120" s="49">
        <f>DATE(Table3[[#This Row],[S Yr]],Table3[[#This Row],[S mth]],1)</f>
        <v>45292</v>
      </c>
      <c r="AB120" s="42">
        <v>2300</v>
      </c>
      <c r="AC120" s="40">
        <f>SUMIFS(J:J,G:G,Table3[[#This Row],[Mid bgt]],K:K,"&lt;"&amp;Table3[[#This Row],[End Date]]+1)-SUMIFS(J:J,G:G,Table3[[#This Row],[Mid bgt]],K:K,"&lt;"&amp;Table3[[#This Row],[Start]])</f>
        <v>0</v>
      </c>
      <c r="AD120" s="41">
        <f>Table3[[#This Row],[Planned]]-Table3[[#This Row],[Spent]]</f>
        <v>2300</v>
      </c>
      <c r="AE120" s="44"/>
    </row>
    <row r="121" spans="1:31" x14ac:dyDescent="0.25">
      <c r="A121" s="3">
        <v>120</v>
      </c>
      <c r="B121" t="s">
        <v>68</v>
      </c>
      <c r="C121" s="1">
        <v>7</v>
      </c>
      <c r="D121" s="1">
        <v>2019</v>
      </c>
      <c r="E121" s="166">
        <f>155/2</f>
        <v>77.5</v>
      </c>
      <c r="F121" s="1" t="s">
        <v>21</v>
      </c>
      <c r="G121" s="1" t="str">
        <f>IF(Table2[[#This Row],[Description]]="","",VLOOKUP(Table2[[#This Row],[Description]],$Q$1:$S$101,2,FALSE))</f>
        <v>EK free</v>
      </c>
      <c r="H121" s="1" t="str">
        <f>IF(Table2[[#This Row],[Description]]="","",VLOOKUP(Table2[[#This Row],[Description]],$Q$1:$S$101,3,FALSE))</f>
        <v>Mid</v>
      </c>
      <c r="I121" s="1">
        <f>IF(Table2[[#This Row],[Description]]="","",IF(Table2[[#This Row],[Currency]]=$O$2,$P$2,HLOOKUP(Table2[[#This Row],[Date]],Funds!$C$10:$GV$11,2,FALSE)))</f>
        <v>1</v>
      </c>
      <c r="J121" s="215">
        <f>IF(Table2[[#This Row],[Description]]="","",Table2[[#This Row],[Value]]/Table2[[#This Row],[Conversion]])</f>
        <v>77.5</v>
      </c>
      <c r="K121" s="45">
        <f>IF(Table2[[#This Row],[Description]]="","",DATE(Table2[[#This Row],[Year]],Table2[[#This Row],[Month]],1))</f>
        <v>43647</v>
      </c>
      <c r="Q121" t="s">
        <v>527</v>
      </c>
      <c r="R121" t="s">
        <v>530</v>
      </c>
      <c r="U121" t="s">
        <v>71</v>
      </c>
      <c r="V121" s="12">
        <v>12</v>
      </c>
      <c r="W121" s="12">
        <v>2025</v>
      </c>
      <c r="X121" s="49">
        <f>DATE(Table3[[#This Row],[Year]],Table3[[#This Row],[Month]],1)</f>
        <v>45992</v>
      </c>
      <c r="Y121" s="228">
        <v>1</v>
      </c>
      <c r="Z121" s="12">
        <v>2025</v>
      </c>
      <c r="AA121" s="49">
        <f>DATE(Table3[[#This Row],[S Yr]],Table3[[#This Row],[S mth]],1)</f>
        <v>45658</v>
      </c>
      <c r="AB121" s="42">
        <v>2300</v>
      </c>
      <c r="AC121" s="40">
        <f>SUMIFS(J:J,G:G,Table3[[#This Row],[Mid bgt]],K:K,"&lt;"&amp;Table3[[#This Row],[End Date]]+1)-SUMIFS(J:J,G:G,Table3[[#This Row],[Mid bgt]],K:K,"&lt;"&amp;Table3[[#This Row],[Start]])</f>
        <v>0</v>
      </c>
      <c r="AD121" s="41">
        <f>Table3[[#This Row],[Planned]]-Table3[[#This Row],[Spent]]</f>
        <v>2300</v>
      </c>
      <c r="AE121" s="44"/>
    </row>
    <row r="122" spans="1:31" x14ac:dyDescent="0.25">
      <c r="A122" s="3">
        <v>121</v>
      </c>
      <c r="B122" t="s">
        <v>69</v>
      </c>
      <c r="C122" s="1">
        <v>7</v>
      </c>
      <c r="D122" s="1">
        <v>2019</v>
      </c>
      <c r="E122" s="166">
        <f>155/2</f>
        <v>77.5</v>
      </c>
      <c r="F122" s="1" t="s">
        <v>21</v>
      </c>
      <c r="G122" s="1" t="str">
        <f>IF(Table2[[#This Row],[Description]]="","",VLOOKUP(Table2[[#This Row],[Description]],$Q$1:$S$101,2,FALSE))</f>
        <v>MN free</v>
      </c>
      <c r="H122" s="1" t="str">
        <f>IF(Table2[[#This Row],[Description]]="","",VLOOKUP(Table2[[#This Row],[Description]],$Q$1:$S$101,3,FALSE))</f>
        <v>Mid</v>
      </c>
      <c r="I122" s="1">
        <f>IF(Table2[[#This Row],[Description]]="","",IF(Table2[[#This Row],[Currency]]=$O$2,$P$2,HLOOKUP(Table2[[#This Row],[Date]],Funds!$C$10:$GV$11,2,FALSE)))</f>
        <v>1</v>
      </c>
      <c r="J122" s="215">
        <f>IF(Table2[[#This Row],[Description]]="","",Table2[[#This Row],[Value]]/Table2[[#This Row],[Conversion]])</f>
        <v>77.5</v>
      </c>
      <c r="K122" s="45">
        <f>IF(Table2[[#This Row],[Description]]="","",DATE(Table2[[#This Row],[Year]],Table2[[#This Row],[Month]],1))</f>
        <v>43647</v>
      </c>
      <c r="P122" t="s">
        <v>528</v>
      </c>
      <c r="Q122">
        <v>2</v>
      </c>
      <c r="S122">
        <v>50</v>
      </c>
      <c r="U122" t="s">
        <v>71</v>
      </c>
      <c r="V122" s="12">
        <v>12</v>
      </c>
      <c r="W122" s="1">
        <v>2026</v>
      </c>
      <c r="X122" s="49">
        <f>DATE(Table3[[#This Row],[Year]],Table3[[#This Row],[Month]],1)</f>
        <v>46357</v>
      </c>
      <c r="Y122" s="228">
        <v>1</v>
      </c>
      <c r="Z122" s="1">
        <v>2026</v>
      </c>
      <c r="AA122" s="49">
        <f>DATE(Table3[[#This Row],[S Yr]],Table3[[#This Row],[S mth]],1)</f>
        <v>46023</v>
      </c>
      <c r="AB122" s="42">
        <v>2300</v>
      </c>
      <c r="AC122" s="40">
        <f>SUMIFS(J:J,G:G,Table3[[#This Row],[Mid bgt]],K:K,"&lt;"&amp;Table3[[#This Row],[End Date]]+1)-SUMIFS(J:J,G:G,Table3[[#This Row],[Mid bgt]],K:K,"&lt;"&amp;Table3[[#This Row],[Start]])</f>
        <v>0</v>
      </c>
      <c r="AD122" s="41">
        <f>Table3[[#This Row],[Planned]]-Table3[[#This Row],[Spent]]</f>
        <v>2300</v>
      </c>
      <c r="AE122" s="44"/>
    </row>
    <row r="123" spans="1:31" x14ac:dyDescent="0.25">
      <c r="A123" s="3">
        <v>122</v>
      </c>
      <c r="B123" t="s">
        <v>288</v>
      </c>
      <c r="C123" s="1">
        <v>7</v>
      </c>
      <c r="D123" s="1">
        <v>2019</v>
      </c>
      <c r="E123" s="166">
        <v>256.08999999999997</v>
      </c>
      <c r="F123" s="1" t="s">
        <v>21</v>
      </c>
      <c r="G123" s="1" t="str">
        <f>IF(Table2[[#This Row],[Description]]="","",VLOOKUP(Table2[[#This Row],[Description]],$Q$1:$S$101,2,FALSE))</f>
        <v xml:space="preserve">US Furniture </v>
      </c>
      <c r="H123" s="1" t="str">
        <f>IF(Table2[[#This Row],[Description]]="","",VLOOKUP(Table2[[#This Row],[Description]],$Q$1:$S$101,3,FALSE))</f>
        <v>Mid</v>
      </c>
      <c r="I123" s="1">
        <f>IF(Table2[[#This Row],[Description]]="","",IF(Table2[[#This Row],[Currency]]=$O$2,$P$2,HLOOKUP(Table2[[#This Row],[Date]],Funds!$C$10:$GV$11,2,FALSE)))</f>
        <v>1</v>
      </c>
      <c r="J123" s="215">
        <f>IF(Table2[[#This Row],[Description]]="","",Table2[[#This Row],[Value]]/Table2[[#This Row],[Conversion]])</f>
        <v>256.08999999999997</v>
      </c>
      <c r="K123" s="45">
        <f>IF(Table2[[#This Row],[Description]]="","",DATE(Table2[[#This Row],[Year]],Table2[[#This Row],[Month]],1))</f>
        <v>43647</v>
      </c>
      <c r="P123" t="s">
        <v>529</v>
      </c>
      <c r="Q123">
        <v>1</v>
      </c>
      <c r="S123">
        <v>50</v>
      </c>
      <c r="U123" t="s">
        <v>71</v>
      </c>
      <c r="V123" s="12">
        <v>12</v>
      </c>
      <c r="W123" s="12">
        <v>2027</v>
      </c>
      <c r="X123" s="49">
        <f>DATE(Table3[[#This Row],[Year]],Table3[[#This Row],[Month]],1)</f>
        <v>46722</v>
      </c>
      <c r="Y123" s="228">
        <v>1</v>
      </c>
      <c r="Z123" s="12">
        <v>2027</v>
      </c>
      <c r="AA123" s="49">
        <f>DATE(Table3[[#This Row],[S Yr]],Table3[[#This Row],[S mth]],1)</f>
        <v>46388</v>
      </c>
      <c r="AB123" s="42">
        <v>2300</v>
      </c>
      <c r="AC123" s="40">
        <f>SUMIFS(J:J,G:G,Table3[[#This Row],[Mid bgt]],K:K,"&lt;"&amp;Table3[[#This Row],[End Date]]+1)-SUMIFS(J:J,G:G,Table3[[#This Row],[Mid bgt]],K:K,"&lt;"&amp;Table3[[#This Row],[Start]])</f>
        <v>0</v>
      </c>
      <c r="AD123" s="41">
        <f>Table3[[#This Row],[Planned]]-Table3[[#This Row],[Spent]]</f>
        <v>2300</v>
      </c>
      <c r="AE123" s="44"/>
    </row>
    <row r="124" spans="1:31" x14ac:dyDescent="0.25">
      <c r="A124" s="3">
        <v>123</v>
      </c>
      <c r="B124" t="s">
        <v>250</v>
      </c>
      <c r="C124" s="1">
        <v>7</v>
      </c>
      <c r="D124" s="1">
        <v>2019</v>
      </c>
      <c r="E124" s="166">
        <v>100</v>
      </c>
      <c r="F124" s="1" t="s">
        <v>21</v>
      </c>
      <c r="G124" s="1" t="str">
        <f>IF(Table2[[#This Row],[Description]]="","",VLOOKUP(Table2[[#This Row],[Description]],$Q$1:$S$101,2,FALSE))</f>
        <v>EK Loan termination</v>
      </c>
      <c r="H124" s="1" t="str">
        <f>IF(Table2[[#This Row],[Description]]="","",VLOOKUP(Table2[[#This Row],[Description]],$Q$1:$S$101,3,FALSE))</f>
        <v>Mid</v>
      </c>
      <c r="I124" s="1">
        <f>IF(Table2[[#This Row],[Description]]="","",IF(Table2[[#This Row],[Currency]]=$O$2,$P$2,HLOOKUP(Table2[[#This Row],[Date]],Funds!$C$10:$GV$11,2,FALSE)))</f>
        <v>1</v>
      </c>
      <c r="J124" s="215">
        <f>IF(Table2[[#This Row],[Description]]="","",Table2[[#This Row],[Value]]/Table2[[#This Row],[Conversion]])</f>
        <v>100</v>
      </c>
      <c r="K124" s="45">
        <f>IF(Table2[[#This Row],[Description]]="","",DATE(Table2[[#This Row],[Year]],Table2[[#This Row],[Month]],1))</f>
        <v>43647</v>
      </c>
      <c r="P124" t="s">
        <v>531</v>
      </c>
      <c r="Q124">
        <v>1</v>
      </c>
      <c r="R124">
        <v>1</v>
      </c>
      <c r="S124">
        <v>50</v>
      </c>
      <c r="U124" t="s">
        <v>71</v>
      </c>
      <c r="V124" s="12">
        <v>12</v>
      </c>
      <c r="W124" s="1">
        <v>2028</v>
      </c>
      <c r="X124" s="49">
        <f>DATE(Table3[[#This Row],[Year]],Table3[[#This Row],[Month]],1)</f>
        <v>47088</v>
      </c>
      <c r="Y124" s="228">
        <v>1</v>
      </c>
      <c r="Z124" s="1">
        <v>2028</v>
      </c>
      <c r="AA124" s="49">
        <f>DATE(Table3[[#This Row],[S Yr]],Table3[[#This Row],[S mth]],1)</f>
        <v>46753</v>
      </c>
      <c r="AB124" s="42">
        <v>2300</v>
      </c>
      <c r="AC124" s="40">
        <f>SUMIFS(J:J,G:G,Table3[[#This Row],[Mid bgt]],K:K,"&lt;"&amp;Table3[[#This Row],[End Date]]+1)-SUMIFS(J:J,G:G,Table3[[#This Row],[Mid bgt]],K:K,"&lt;"&amp;Table3[[#This Row],[Start]])</f>
        <v>0</v>
      </c>
      <c r="AD124" s="41">
        <f>Table3[[#This Row],[Planned]]-Table3[[#This Row],[Spent]]</f>
        <v>2300</v>
      </c>
      <c r="AE124" s="44"/>
    </row>
    <row r="125" spans="1:31" x14ac:dyDescent="0.25">
      <c r="A125" s="3">
        <v>124</v>
      </c>
      <c r="B125" t="s">
        <v>58</v>
      </c>
      <c r="C125" s="1">
        <v>7</v>
      </c>
      <c r="D125" s="1">
        <v>2019</v>
      </c>
      <c r="E125" s="166">
        <v>33.020000000000003</v>
      </c>
      <c r="F125" s="1" t="s">
        <v>21</v>
      </c>
      <c r="G125" s="1" t="str">
        <f>IF(Table2[[#This Row],[Description]]="","",VLOOKUP(Table2[[#This Row],[Description]],$Q$1:$S$101,2,FALSE))</f>
        <v>Food</v>
      </c>
      <c r="H125" s="1" t="str">
        <f>IF(Table2[[#This Row],[Description]]="","",VLOOKUP(Table2[[#This Row],[Description]],$Q$1:$S$101,3,FALSE))</f>
        <v>Short</v>
      </c>
      <c r="I125" s="1">
        <f>IF(Table2[[#This Row],[Description]]="","",IF(Table2[[#This Row],[Currency]]=$O$2,$P$2,HLOOKUP(Table2[[#This Row],[Date]],Funds!$C$10:$GV$11,2,FALSE)))</f>
        <v>1</v>
      </c>
      <c r="J125" s="215">
        <f>IF(Table2[[#This Row],[Description]]="","",Table2[[#This Row],[Value]]/Table2[[#This Row],[Conversion]])</f>
        <v>33.020000000000003</v>
      </c>
      <c r="K125" s="45">
        <f>IF(Table2[[#This Row],[Description]]="","",DATE(Table2[[#This Row],[Year]],Table2[[#This Row],[Month]],1))</f>
        <v>43647</v>
      </c>
      <c r="P125" t="s">
        <v>532</v>
      </c>
      <c r="R125">
        <v>1</v>
      </c>
      <c r="S125">
        <v>50</v>
      </c>
      <c r="U125" t="s">
        <v>71</v>
      </c>
      <c r="V125" s="12">
        <v>12</v>
      </c>
      <c r="W125" s="12">
        <v>2029</v>
      </c>
      <c r="X125" s="49">
        <f>DATE(Table3[[#This Row],[Year]],Table3[[#This Row],[Month]],1)</f>
        <v>47453</v>
      </c>
      <c r="Y125" s="228">
        <v>1</v>
      </c>
      <c r="Z125" s="12">
        <v>2029</v>
      </c>
      <c r="AA125" s="49">
        <f>DATE(Table3[[#This Row],[S Yr]],Table3[[#This Row],[S mth]],1)</f>
        <v>47119</v>
      </c>
      <c r="AB125" s="42">
        <v>2300</v>
      </c>
      <c r="AC125" s="40">
        <f>SUMIFS(J:J,G:G,Table3[[#This Row],[Mid bgt]],K:K,"&lt;"&amp;Table3[[#This Row],[End Date]]+1)-SUMIFS(J:J,G:G,Table3[[#This Row],[Mid bgt]],K:K,"&lt;"&amp;Table3[[#This Row],[Start]])</f>
        <v>0</v>
      </c>
      <c r="AD125" s="41">
        <f>Table3[[#This Row],[Planned]]-Table3[[#This Row],[Spent]]</f>
        <v>2300</v>
      </c>
      <c r="AE125" s="44"/>
    </row>
    <row r="126" spans="1:31" x14ac:dyDescent="0.25">
      <c r="A126" s="3">
        <v>125</v>
      </c>
      <c r="B126" t="s">
        <v>59</v>
      </c>
      <c r="C126" s="1">
        <v>7</v>
      </c>
      <c r="D126" s="1">
        <v>2019</v>
      </c>
      <c r="E126" s="166">
        <v>105</v>
      </c>
      <c r="F126" s="1" t="s">
        <v>21</v>
      </c>
      <c r="G126" s="1" t="str">
        <f>IF(Table2[[#This Row],[Description]]="","",VLOOKUP(Table2[[#This Row],[Description]],$Q$1:$S$101,2,FALSE))</f>
        <v>Transportation</v>
      </c>
      <c r="H126" s="1" t="str">
        <f>IF(Table2[[#This Row],[Description]]="","",VLOOKUP(Table2[[#This Row],[Description]],$Q$1:$S$101,3,FALSE))</f>
        <v>Short</v>
      </c>
      <c r="I126" s="1">
        <f>IF(Table2[[#This Row],[Description]]="","",IF(Table2[[#This Row],[Currency]]=$O$2,$P$2,HLOOKUP(Table2[[#This Row],[Date]],Funds!$C$10:$GV$11,2,FALSE)))</f>
        <v>1</v>
      </c>
      <c r="J126" s="215">
        <f>IF(Table2[[#This Row],[Description]]="","",Table2[[#This Row],[Value]]/Table2[[#This Row],[Conversion]])</f>
        <v>105</v>
      </c>
      <c r="K126" s="45">
        <f>IF(Table2[[#This Row],[Description]]="","",DATE(Table2[[#This Row],[Year]],Table2[[#This Row],[Month]],1))</f>
        <v>43647</v>
      </c>
      <c r="P126" t="s">
        <v>533</v>
      </c>
      <c r="R126">
        <v>1</v>
      </c>
      <c r="S126">
        <v>50</v>
      </c>
      <c r="U126" t="s">
        <v>71</v>
      </c>
      <c r="V126" s="12">
        <v>12</v>
      </c>
      <c r="W126" s="1">
        <v>2030</v>
      </c>
      <c r="X126" s="49">
        <f>DATE(Table3[[#This Row],[Year]],Table3[[#This Row],[Month]],1)</f>
        <v>47818</v>
      </c>
      <c r="Y126" s="228">
        <v>1</v>
      </c>
      <c r="Z126" s="1">
        <v>2030</v>
      </c>
      <c r="AA126" s="49">
        <f>DATE(Table3[[#This Row],[S Yr]],Table3[[#This Row],[S mth]],1)</f>
        <v>47484</v>
      </c>
      <c r="AB126" s="42">
        <v>2300</v>
      </c>
      <c r="AC126" s="40">
        <f>SUMIFS(J:J,G:G,Table3[[#This Row],[Mid bgt]],K:K,"&lt;"&amp;Table3[[#This Row],[End Date]]+1)-SUMIFS(J:J,G:G,Table3[[#This Row],[Mid bgt]],K:K,"&lt;"&amp;Table3[[#This Row],[Start]])</f>
        <v>0</v>
      </c>
      <c r="AD126" s="41">
        <f>Table3[[#This Row],[Planned]]-Table3[[#This Row],[Spent]]</f>
        <v>2300</v>
      </c>
      <c r="AE126" s="44"/>
    </row>
    <row r="127" spans="1:31" x14ac:dyDescent="0.25">
      <c r="A127" s="3">
        <v>126</v>
      </c>
      <c r="B127" t="s">
        <v>255</v>
      </c>
      <c r="C127" s="1">
        <v>7</v>
      </c>
      <c r="D127" s="1">
        <v>2019</v>
      </c>
      <c r="E127" s="166">
        <v>-9.31</v>
      </c>
      <c r="F127" s="1" t="s">
        <v>21</v>
      </c>
      <c r="G127" s="1" t="str">
        <f>IF(Table2[[#This Row],[Description]]="","",VLOOKUP(Table2[[#This Row],[Description]],$Q$1:$S$101,2,FALSE))</f>
        <v>EK free</v>
      </c>
      <c r="H127" s="1" t="str">
        <f>IF(Table2[[#This Row],[Description]]="","",VLOOKUP(Table2[[#This Row],[Description]],$Q$1:$S$101,3,FALSE))</f>
        <v>Mid</v>
      </c>
      <c r="I127" s="1">
        <f>IF(Table2[[#This Row],[Description]]="","",IF(Table2[[#This Row],[Currency]]=$O$2,$P$2,HLOOKUP(Table2[[#This Row],[Date]],Funds!$C$10:$GV$11,2,FALSE)))</f>
        <v>1</v>
      </c>
      <c r="J127" s="215">
        <f>IF(Table2[[#This Row],[Description]]="","",Table2[[#This Row],[Value]]/Table2[[#This Row],[Conversion]])</f>
        <v>-9.31</v>
      </c>
      <c r="K127" s="45">
        <f>IF(Table2[[#This Row],[Description]]="","",DATE(Table2[[#This Row],[Year]],Table2[[#This Row],[Month]],1))</f>
        <v>43647</v>
      </c>
      <c r="P127" t="s">
        <v>534</v>
      </c>
      <c r="R127">
        <v>1</v>
      </c>
      <c r="S127">
        <v>50</v>
      </c>
      <c r="U127" s="9" t="s">
        <v>287</v>
      </c>
      <c r="V127" s="10">
        <v>2</v>
      </c>
      <c r="W127" s="10">
        <v>2021</v>
      </c>
      <c r="X127" s="49">
        <f>DATE(Table3[[#This Row],[Year]],Table3[[#This Row],[Month]],1)</f>
        <v>44228</v>
      </c>
      <c r="Y127" s="228">
        <v>1</v>
      </c>
      <c r="Z127" s="228">
        <v>2021</v>
      </c>
      <c r="AA127" s="49">
        <f>DATE(Table3[[#This Row],[S Yr]],Table3[[#This Row],[S mth]],1)</f>
        <v>44197</v>
      </c>
      <c r="AB127" s="40"/>
      <c r="AC127" s="40">
        <f>SUMIFS(J:J,G:G,Table3[[#This Row],[Mid bgt]],K:K,"&lt;"&amp;Table3[[#This Row],[End Date]]+1)-SUMIFS(J:J,G:G,Table3[[#This Row],[Mid bgt]],K:K,"&lt;"&amp;Table3[[#This Row],[Start]])</f>
        <v>0</v>
      </c>
      <c r="AD127" s="41">
        <f>Table3[[#This Row],[Planned]]-Table3[[#This Row],[Spent]]</f>
        <v>0</v>
      </c>
      <c r="AE127" s="44"/>
    </row>
    <row r="128" spans="1:31" x14ac:dyDescent="0.25">
      <c r="A128" s="3">
        <v>127</v>
      </c>
      <c r="B128" t="s">
        <v>369</v>
      </c>
      <c r="C128" s="1">
        <v>7</v>
      </c>
      <c r="D128" s="1">
        <v>2019</v>
      </c>
      <c r="E128" s="166">
        <v>600</v>
      </c>
      <c r="F128" s="1" t="s">
        <v>22</v>
      </c>
      <c r="G128" s="1" t="str">
        <f>IF(Table2[[#This Row],[Description]]="","",VLOOKUP(Table2[[#This Row],[Description]],$Q$1:$S$101,2,FALSE))</f>
        <v>MN studies</v>
      </c>
      <c r="H128" s="1" t="str">
        <f>IF(Table2[[#This Row],[Description]]="","",VLOOKUP(Table2[[#This Row],[Description]],$Q$1:$S$101,3,FALSE))</f>
        <v>Mid</v>
      </c>
      <c r="I128" s="1">
        <f>IF(Table2[[#This Row],[Description]]="","",IF(Table2[[#This Row],[Currency]]=$O$2,$P$2,HLOOKUP(Table2[[#This Row],[Date]],Funds!$C$10:$GV$11,2,FALSE)))</f>
        <v>3.81</v>
      </c>
      <c r="J128" s="215">
        <f>IF(Table2[[#This Row],[Description]]="","",Table2[[#This Row],[Value]]/Table2[[#This Row],[Conversion]])</f>
        <v>157.48031496062993</v>
      </c>
      <c r="K128" s="45">
        <f>IF(Table2[[#This Row],[Description]]="","",DATE(Table2[[#This Row],[Year]],Table2[[#This Row],[Month]],1))</f>
        <v>43647</v>
      </c>
      <c r="P128" t="s">
        <v>535</v>
      </c>
      <c r="R128">
        <v>1</v>
      </c>
      <c r="S128">
        <v>50</v>
      </c>
      <c r="U128" s="9" t="s">
        <v>287</v>
      </c>
      <c r="V128" s="10">
        <v>8</v>
      </c>
      <c r="W128" s="10">
        <v>2021</v>
      </c>
      <c r="X128" s="49">
        <f>DATE(Table3[[#This Row],[Year]],Table3[[#This Row],[Month]],1)</f>
        <v>44409</v>
      </c>
      <c r="Y128" s="228">
        <v>7</v>
      </c>
      <c r="Z128" s="228">
        <v>2021</v>
      </c>
      <c r="AA128" s="49">
        <f>DATE(Table3[[#This Row],[S Yr]],Table3[[#This Row],[S mth]],1)</f>
        <v>44378</v>
      </c>
      <c r="AB128" s="40">
        <v>20000</v>
      </c>
      <c r="AC128" s="40">
        <f>SUMIFS(J:J,G:G,Table3[[#This Row],[Mid bgt]],K:K,"&lt;"&amp;Table3[[#This Row],[End Date]]+1)-SUMIFS(J:J,G:G,Table3[[#This Row],[Mid bgt]],K:K,"&lt;"&amp;Table3[[#This Row],[Start]])</f>
        <v>0</v>
      </c>
      <c r="AD128" s="41">
        <f>Table3[[#This Row],[Planned]]-Table3[[#This Row],[Spent]]</f>
        <v>20000</v>
      </c>
      <c r="AE128" s="44"/>
    </row>
    <row r="129" spans="1:31" x14ac:dyDescent="0.25">
      <c r="A129" s="3">
        <v>128</v>
      </c>
      <c r="B129" t="s">
        <v>262</v>
      </c>
      <c r="C129" s="1">
        <v>7</v>
      </c>
      <c r="D129" s="1">
        <v>2019</v>
      </c>
      <c r="E129" s="166">
        <v>84.7</v>
      </c>
      <c r="F129" s="1" t="s">
        <v>22</v>
      </c>
      <c r="G129" s="1" t="str">
        <f>IF(Table2[[#This Row],[Description]]="","",VLOOKUP(Table2[[#This Row],[Description]],$Q$1:$S$101,2,FALSE))</f>
        <v>Mid</v>
      </c>
      <c r="H129" s="1" t="str">
        <f>IF(Table2[[#This Row],[Description]]="","",VLOOKUP(Table2[[#This Row],[Description]],$Q$1:$S$101,3,FALSE))</f>
        <v>Mid</v>
      </c>
      <c r="I129" s="1">
        <f>IF(Table2[[#This Row],[Description]]="","",IF(Table2[[#This Row],[Currency]]=$O$2,$P$2,HLOOKUP(Table2[[#This Row],[Date]],Funds!$C$10:$GV$11,2,FALSE)))</f>
        <v>3.81</v>
      </c>
      <c r="J129" s="215">
        <f>IF(Table2[[#This Row],[Description]]="","",Table2[[#This Row],[Value]]/Table2[[#This Row],[Conversion]])</f>
        <v>22.230971128608925</v>
      </c>
      <c r="K129" s="45">
        <f>IF(Table2[[#This Row],[Description]]="","",DATE(Table2[[#This Row],[Year]],Table2[[#This Row],[Month]],1))</f>
        <v>43647</v>
      </c>
      <c r="P129" t="s">
        <v>536</v>
      </c>
      <c r="R129">
        <v>1</v>
      </c>
      <c r="S129">
        <v>50</v>
      </c>
      <c r="U129" s="9" t="s">
        <v>287</v>
      </c>
      <c r="V129" s="10">
        <v>2</v>
      </c>
      <c r="W129" s="10">
        <v>2022</v>
      </c>
      <c r="X129" s="49">
        <f>DATE(Table3[[#This Row],[Year]],Table3[[#This Row],[Month]],1)</f>
        <v>44593</v>
      </c>
      <c r="Y129" s="229">
        <v>1</v>
      </c>
      <c r="Z129" s="229">
        <v>2022</v>
      </c>
      <c r="AA129" s="49">
        <f>DATE(Table3[[#This Row],[S Yr]],Table3[[#This Row],[S mth]],1)</f>
        <v>44562</v>
      </c>
      <c r="AB129" s="40">
        <v>20000</v>
      </c>
      <c r="AC129" s="40">
        <f>SUMIFS(J:J,G:G,Table3[[#This Row],[Mid bgt]],K:K,"&lt;"&amp;Table3[[#This Row],[End Date]]+1)-SUMIFS(J:J,G:G,Table3[[#This Row],[Mid bgt]],K:K,"&lt;"&amp;Table3[[#This Row],[Start]])</f>
        <v>0</v>
      </c>
      <c r="AD129" s="41">
        <f>Table3[[#This Row],[Planned]]-Table3[[#This Row],[Spent]]</f>
        <v>20000</v>
      </c>
      <c r="AE129" s="44"/>
    </row>
    <row r="130" spans="1:31" x14ac:dyDescent="0.25">
      <c r="A130" s="3">
        <v>129</v>
      </c>
      <c r="B130" t="s">
        <v>289</v>
      </c>
      <c r="C130" s="1">
        <v>7</v>
      </c>
      <c r="D130" s="1">
        <v>2019</v>
      </c>
      <c r="E130" s="166">
        <v>162.85</v>
      </c>
      <c r="F130" s="1" t="s">
        <v>22</v>
      </c>
      <c r="G130" s="1" t="str">
        <f>IF(Table2[[#This Row],[Description]]="","",VLOOKUP(Table2[[#This Row],[Description]],$Q$1:$S$101,2,FALSE))</f>
        <v>BR trips</v>
      </c>
      <c r="H130" s="1" t="str">
        <f>IF(Table2[[#This Row],[Description]]="","",VLOOKUP(Table2[[#This Row],[Description]],$Q$1:$S$101,3,FALSE))</f>
        <v>Mid</v>
      </c>
      <c r="I130" s="1">
        <f>IF(Table2[[#This Row],[Description]]="","",IF(Table2[[#This Row],[Currency]]=$O$2,$P$2,HLOOKUP(Table2[[#This Row],[Date]],Funds!$C$10:$GV$11,2,FALSE)))</f>
        <v>3.81</v>
      </c>
      <c r="J130" s="215">
        <f>IF(Table2[[#This Row],[Description]]="","",Table2[[#This Row],[Value]]/Table2[[#This Row],[Conversion]])</f>
        <v>42.742782152230966</v>
      </c>
      <c r="K130" s="45">
        <f>IF(Table2[[#This Row],[Description]]="","",DATE(Table2[[#This Row],[Year]],Table2[[#This Row],[Month]],1))</f>
        <v>43647</v>
      </c>
      <c r="P130" t="s">
        <v>538</v>
      </c>
      <c r="R130">
        <v>6</v>
      </c>
      <c r="S130">
        <v>50</v>
      </c>
      <c r="U130" s="9" t="s">
        <v>287</v>
      </c>
      <c r="V130" s="10">
        <v>8</v>
      </c>
      <c r="W130" s="10">
        <v>2022</v>
      </c>
      <c r="X130" s="49">
        <f>DATE(Table3[[#This Row],[Year]],Table3[[#This Row],[Month]],1)</f>
        <v>44774</v>
      </c>
      <c r="Y130" s="229">
        <v>7</v>
      </c>
      <c r="Z130" s="229">
        <v>2022</v>
      </c>
      <c r="AA130" s="49">
        <f>DATE(Table3[[#This Row],[S Yr]],Table3[[#This Row],[S mth]],1)</f>
        <v>44743</v>
      </c>
      <c r="AB130" s="40">
        <v>20000</v>
      </c>
      <c r="AC130" s="40">
        <f>SUMIFS(J:J,G:G,Table3[[#This Row],[Mid bgt]],K:K,"&lt;"&amp;Table3[[#This Row],[End Date]]+1)-SUMIFS(J:J,G:G,Table3[[#This Row],[Mid bgt]],K:K,"&lt;"&amp;Table3[[#This Row],[Start]])</f>
        <v>0</v>
      </c>
      <c r="AD130" s="41">
        <f>Table3[[#This Row],[Planned]]-Table3[[#This Row],[Spent]]</f>
        <v>20000</v>
      </c>
      <c r="AE130" s="44"/>
    </row>
    <row r="131" spans="1:31" x14ac:dyDescent="0.25">
      <c r="A131" s="3">
        <v>130</v>
      </c>
      <c r="B131" t="s">
        <v>320</v>
      </c>
      <c r="C131" s="1">
        <v>7</v>
      </c>
      <c r="D131" s="1">
        <v>2019</v>
      </c>
      <c r="E131" s="166">
        <v>140.22293048758647</v>
      </c>
      <c r="F131" s="1" t="s">
        <v>21</v>
      </c>
      <c r="G131" s="1" t="str">
        <f>IF(Table2[[#This Row],[Description]]="","",VLOOKUP(Table2[[#This Row],[Description]],$Q$1:$S$101,2,FALSE))</f>
        <v>Long</v>
      </c>
      <c r="H131" s="1" t="str">
        <f>IF(Table2[[#This Row],[Description]]="","",VLOOKUP(Table2[[#This Row],[Description]],$Q$1:$S$101,3,FALSE))</f>
        <v>Long</v>
      </c>
      <c r="I131" s="1">
        <f>IF(Table2[[#This Row],[Description]]="","",IF(Table2[[#This Row],[Currency]]=$O$2,$P$2,HLOOKUP(Table2[[#This Row],[Date]],Funds!$C$10:$GV$11,2,FALSE)))</f>
        <v>1</v>
      </c>
      <c r="J131" s="215">
        <f>IF(Table2[[#This Row],[Description]]="","",Table2[[#This Row],[Value]]/Table2[[#This Row],[Conversion]])</f>
        <v>140.22293048758647</v>
      </c>
      <c r="K131" s="45">
        <f>IF(Table2[[#This Row],[Description]]="","",DATE(Table2[[#This Row],[Year]],Table2[[#This Row],[Month]],1))</f>
        <v>43647</v>
      </c>
      <c r="P131" t="s">
        <v>537</v>
      </c>
      <c r="R131">
        <v>2</v>
      </c>
      <c r="S131">
        <v>100</v>
      </c>
      <c r="U131" s="9" t="s">
        <v>287</v>
      </c>
      <c r="V131" s="10">
        <v>2</v>
      </c>
      <c r="W131" s="10">
        <v>2023</v>
      </c>
      <c r="X131" s="49">
        <f>DATE(Table3[[#This Row],[Year]],Table3[[#This Row],[Month]],1)</f>
        <v>44958</v>
      </c>
      <c r="Y131" s="229">
        <v>1</v>
      </c>
      <c r="Z131" s="229">
        <v>2023</v>
      </c>
      <c r="AA131" s="49">
        <f>DATE(Table3[[#This Row],[S Yr]],Table3[[#This Row],[S mth]],1)</f>
        <v>44927</v>
      </c>
      <c r="AB131" s="40">
        <v>20000</v>
      </c>
      <c r="AC131" s="40">
        <f>SUMIFS(J:J,G:G,Table3[[#This Row],[Mid bgt]],K:K,"&lt;"&amp;Table3[[#This Row],[End Date]]+1)-SUMIFS(J:J,G:G,Table3[[#This Row],[Mid bgt]],K:K,"&lt;"&amp;Table3[[#This Row],[Start]])</f>
        <v>0</v>
      </c>
      <c r="AD131" s="41">
        <f>Table3[[#This Row],[Planned]]-Table3[[#This Row],[Spent]]</f>
        <v>20000</v>
      </c>
      <c r="AE131" s="44"/>
    </row>
    <row r="132" spans="1:31" x14ac:dyDescent="0.25">
      <c r="A132" s="3">
        <v>131</v>
      </c>
      <c r="B132" t="s">
        <v>46</v>
      </c>
      <c r="C132" s="1">
        <v>7</v>
      </c>
      <c r="D132" s="1">
        <v>2019</v>
      </c>
      <c r="E132" s="166">
        <v>106.94145380379831</v>
      </c>
      <c r="F132" s="1" t="s">
        <v>21</v>
      </c>
      <c r="G132" s="1" t="str">
        <f>IF(Table2[[#This Row],[Description]]="","",VLOOKUP(Table2[[#This Row],[Description]],$Q$1:$S$101,2,FALSE))</f>
        <v>Health care</v>
      </c>
      <c r="H132" s="1" t="str">
        <f>IF(Table2[[#This Row],[Description]]="","",VLOOKUP(Table2[[#This Row],[Description]],$Q$1:$S$101,3,FALSE))</f>
        <v>Short</v>
      </c>
      <c r="I132" s="1">
        <f>IF(Table2[[#This Row],[Description]]="","",IF(Table2[[#This Row],[Currency]]=$O$2,$P$2,HLOOKUP(Table2[[#This Row],[Date]],Funds!$C$10:$GV$11,2,FALSE)))</f>
        <v>1</v>
      </c>
      <c r="J132" s="215">
        <f>IF(Table2[[#This Row],[Description]]="","",Table2[[#This Row],[Value]]/Table2[[#This Row],[Conversion]])</f>
        <v>106.94145380379831</v>
      </c>
      <c r="K132" s="45">
        <f>IF(Table2[[#This Row],[Description]]="","",DATE(Table2[[#This Row],[Year]],Table2[[#This Row],[Month]],1))</f>
        <v>43647</v>
      </c>
      <c r="P132" t="s">
        <v>539</v>
      </c>
      <c r="R132">
        <v>2</v>
      </c>
      <c r="S132">
        <v>100</v>
      </c>
      <c r="U132" s="9" t="s">
        <v>287</v>
      </c>
      <c r="V132" s="10">
        <v>8</v>
      </c>
      <c r="W132" s="10">
        <v>2023</v>
      </c>
      <c r="X132" s="49">
        <f>DATE(Table3[[#This Row],[Year]],Table3[[#This Row],[Month]],1)</f>
        <v>45139</v>
      </c>
      <c r="Y132" s="228">
        <v>7</v>
      </c>
      <c r="Z132" s="228">
        <v>2023</v>
      </c>
      <c r="AA132" s="49">
        <f>DATE(Table3[[#This Row],[S Yr]],Table3[[#This Row],[S mth]],1)</f>
        <v>45108</v>
      </c>
      <c r="AB132" s="40"/>
      <c r="AC132" s="40">
        <f>SUMIFS(J:J,G:G,Table3[[#This Row],[Mid bgt]],K:K,"&lt;"&amp;Table3[[#This Row],[End Date]]+1)-SUMIFS(J:J,G:G,Table3[[#This Row],[Mid bgt]],K:K,"&lt;"&amp;Table3[[#This Row],[Start]])</f>
        <v>0</v>
      </c>
      <c r="AD132" s="41">
        <f>Table3[[#This Row],[Planned]]-Table3[[#This Row],[Spent]]</f>
        <v>0</v>
      </c>
      <c r="AE132" s="44"/>
    </row>
    <row r="133" spans="1:31" x14ac:dyDescent="0.25">
      <c r="A133" s="3">
        <v>132</v>
      </c>
      <c r="B133" t="s">
        <v>324</v>
      </c>
      <c r="C133" s="1">
        <v>7</v>
      </c>
      <c r="D133" s="1">
        <v>2019</v>
      </c>
      <c r="E133" s="166">
        <v>13.80516949103578</v>
      </c>
      <c r="F133" s="1" t="s">
        <v>21</v>
      </c>
      <c r="G133" s="1" t="str">
        <f>IF(Table2[[#This Row],[Description]]="","",VLOOKUP(Table2[[#This Row],[Description]],$Q$1:$S$101,2,FALSE))</f>
        <v>Health care</v>
      </c>
      <c r="H133" s="1" t="str">
        <f>IF(Table2[[#This Row],[Description]]="","",VLOOKUP(Table2[[#This Row],[Description]],$Q$1:$S$101,3,FALSE))</f>
        <v>Short</v>
      </c>
      <c r="I133" s="1">
        <f>IF(Table2[[#This Row],[Description]]="","",IF(Table2[[#This Row],[Currency]]=$O$2,$P$2,HLOOKUP(Table2[[#This Row],[Date]],Funds!$C$10:$GV$11,2,FALSE)))</f>
        <v>1</v>
      </c>
      <c r="J133" s="215">
        <f>IF(Table2[[#This Row],[Description]]="","",Table2[[#This Row],[Value]]/Table2[[#This Row],[Conversion]])</f>
        <v>13.80516949103578</v>
      </c>
      <c r="K133" s="45">
        <f>IF(Table2[[#This Row],[Description]]="","",DATE(Table2[[#This Row],[Year]],Table2[[#This Row],[Month]],1))</f>
        <v>43647</v>
      </c>
      <c r="U133" s="9" t="s">
        <v>287</v>
      </c>
      <c r="V133" s="10">
        <v>2</v>
      </c>
      <c r="W133" s="10">
        <v>2024</v>
      </c>
      <c r="X133" s="49">
        <f>DATE(Table3[[#This Row],[Year]],Table3[[#This Row],[Month]],1)</f>
        <v>45323</v>
      </c>
      <c r="Y133" s="229">
        <v>1</v>
      </c>
      <c r="Z133" s="10">
        <v>2024</v>
      </c>
      <c r="AA133" s="49">
        <f>DATE(Table3[[#This Row],[S Yr]],Table3[[#This Row],[S mth]],1)</f>
        <v>45292</v>
      </c>
      <c r="AB133" s="40"/>
      <c r="AC133" s="40">
        <f>SUMIFS(J:J,G:G,Table3[[#This Row],[Mid bgt]],K:K,"&lt;"&amp;Table3[[#This Row],[End Date]]+1)-SUMIFS(J:J,G:G,Table3[[#This Row],[Mid bgt]],K:K,"&lt;"&amp;Table3[[#This Row],[Start]])</f>
        <v>0</v>
      </c>
      <c r="AD133" s="41">
        <f>Table3[[#This Row],[Planned]]-Table3[[#This Row],[Spent]]</f>
        <v>0</v>
      </c>
      <c r="AE133" s="44"/>
    </row>
    <row r="134" spans="1:31" x14ac:dyDescent="0.25">
      <c r="A134" s="3">
        <v>133</v>
      </c>
      <c r="B134" t="s">
        <v>59</v>
      </c>
      <c r="C134" s="1">
        <v>7</v>
      </c>
      <c r="D134" s="1">
        <v>2019</v>
      </c>
      <c r="E134" s="166">
        <v>85</v>
      </c>
      <c r="F134" s="1" t="s">
        <v>21</v>
      </c>
      <c r="G134" s="1" t="s">
        <v>252</v>
      </c>
      <c r="H134" s="1" t="s">
        <v>66</v>
      </c>
      <c r="I134" s="1">
        <f>IF(Table2[[#This Row],[Description]]="","",IF(Table2[[#This Row],[Currency]]=$O$2,$P$2,HLOOKUP(Table2[[#This Row],[Date]],Funds!$C$10:$GV$11,2,FALSE)))</f>
        <v>1</v>
      </c>
      <c r="J134" s="215">
        <f>IF(Table2[[#This Row],[Description]]="","",Table2[[#This Row],[Value]]/Table2[[#This Row],[Conversion]])</f>
        <v>85</v>
      </c>
      <c r="K134" s="45">
        <f>IF(Table2[[#This Row],[Description]]="","",DATE(Table2[[#This Row],[Year]],Table2[[#This Row],[Month]],1))</f>
        <v>43647</v>
      </c>
      <c r="Q134">
        <f>SUMPRODUCT(Q122:Q132,S122:S132)</f>
        <v>200</v>
      </c>
      <c r="R134">
        <f>SUMPRODUCT(R122:R132,S122:S132)</f>
        <v>1000</v>
      </c>
      <c r="U134" s="9" t="s">
        <v>287</v>
      </c>
      <c r="V134" s="10">
        <v>8</v>
      </c>
      <c r="W134" s="10">
        <v>2024</v>
      </c>
      <c r="X134" s="49">
        <f>DATE(Table3[[#This Row],[Year]],Table3[[#This Row],[Month]],1)</f>
        <v>45505</v>
      </c>
      <c r="Y134" s="228">
        <v>7</v>
      </c>
      <c r="Z134" s="10">
        <v>2024</v>
      </c>
      <c r="AA134" s="49">
        <f>DATE(Table3[[#This Row],[S Yr]],Table3[[#This Row],[S mth]],1)</f>
        <v>45474</v>
      </c>
      <c r="AB134" s="40"/>
      <c r="AC134" s="40">
        <f>SUMIFS(J:J,G:G,Table3[[#This Row],[Mid bgt]],K:K,"&lt;"&amp;Table3[[#This Row],[End Date]]+1)-SUMIFS(J:J,G:G,Table3[[#This Row],[Mid bgt]],K:K,"&lt;"&amp;Table3[[#This Row],[Start]])</f>
        <v>0</v>
      </c>
      <c r="AD134" s="41">
        <f>Table3[[#This Row],[Planned]]-Table3[[#This Row],[Spent]]</f>
        <v>0</v>
      </c>
      <c r="AE134" s="44"/>
    </row>
    <row r="135" spans="1:31" x14ac:dyDescent="0.25">
      <c r="A135" s="3">
        <v>134</v>
      </c>
      <c r="B135" t="s">
        <v>280</v>
      </c>
      <c r="C135" s="1">
        <v>7</v>
      </c>
      <c r="D135" s="1">
        <v>2019</v>
      </c>
      <c r="E135" s="166">
        <v>146.97</v>
      </c>
      <c r="F135" s="1" t="s">
        <v>21</v>
      </c>
      <c r="G135" s="1" t="str">
        <f>IF(Table2[[#This Row],[Description]]="","",VLOOKUP(Table2[[#This Row],[Description]],$Q$1:$S$101,2,FALSE))</f>
        <v>Mid</v>
      </c>
      <c r="H135" s="1" t="str">
        <f>IF(Table2[[#This Row],[Description]]="","",VLOOKUP(Table2[[#This Row],[Description]],$Q$1:$S$101,3,FALSE))</f>
        <v>Mid</v>
      </c>
      <c r="I135" s="1">
        <f>IF(Table2[[#This Row],[Description]]="","",IF(Table2[[#This Row],[Currency]]=$O$2,$P$2,HLOOKUP(Table2[[#This Row],[Date]],Funds!$C$10:$GV$11,2,FALSE)))</f>
        <v>1</v>
      </c>
      <c r="J135" s="215">
        <f>IF(Table2[[#This Row],[Description]]="","",Table2[[#This Row],[Value]]/Table2[[#This Row],[Conversion]])</f>
        <v>146.97</v>
      </c>
      <c r="K135" s="45">
        <f>IF(Table2[[#This Row],[Description]]="","",DATE(Table2[[#This Row],[Year]],Table2[[#This Row],[Month]],1))</f>
        <v>43647</v>
      </c>
      <c r="U135" t="s">
        <v>67</v>
      </c>
      <c r="V135" s="10">
        <v>12</v>
      </c>
      <c r="W135" s="12">
        <v>2019</v>
      </c>
      <c r="X135" s="49">
        <f>DATE(Table3[[#This Row],[Year]],Table3[[#This Row],[Month]],1)</f>
        <v>43800</v>
      </c>
      <c r="Y135" s="228">
        <v>1</v>
      </c>
      <c r="Z135" s="228">
        <v>2019</v>
      </c>
      <c r="AA135" s="49">
        <f>DATE(Table3[[#This Row],[S Yr]],Table3[[#This Row],[S mth]],1)</f>
        <v>43466</v>
      </c>
      <c r="AB135" s="40">
        <v>1200</v>
      </c>
      <c r="AC135" s="40">
        <f>SUMIFS(J:J,G:G,Table3[[#This Row],[Mid bgt]],K:K,"&lt;"&amp;Table3[[#This Row],[End Date]]+1)-SUMIFS(J:J,G:G,Table3[[#This Row],[Mid bgt]],K:K,"&lt;"&amp;Table3[[#This Row],[Start]])</f>
        <v>1144.01</v>
      </c>
      <c r="AD135" s="41">
        <f>Table3[[#This Row],[Planned]]-Table3[[#This Row],[Spent]]</f>
        <v>55.990000000000009</v>
      </c>
      <c r="AE135" s="44"/>
    </row>
    <row r="136" spans="1:31" x14ac:dyDescent="0.25">
      <c r="A136" s="3">
        <v>135</v>
      </c>
      <c r="B136" t="s">
        <v>374</v>
      </c>
      <c r="C136" s="1">
        <v>7</v>
      </c>
      <c r="D136" s="1">
        <v>2019</v>
      </c>
      <c r="E136" s="166">
        <v>200</v>
      </c>
      <c r="F136" s="1" t="s">
        <v>21</v>
      </c>
      <c r="G136" s="1" t="s">
        <v>111</v>
      </c>
      <c r="H136" s="1" t="s">
        <v>111</v>
      </c>
      <c r="I136" s="1">
        <f>IF(Table2[[#This Row],[Description]]="","",IF(Table2[[#This Row],[Currency]]=$O$2,$P$2,HLOOKUP(Table2[[#This Row],[Date]],Funds!$C$10:$GV$11,2,FALSE)))</f>
        <v>1</v>
      </c>
      <c r="J136" s="215">
        <f>IF(Table2[[#This Row],[Description]]="","",Table2[[#This Row],[Value]]/Table2[[#This Row],[Conversion]])</f>
        <v>200</v>
      </c>
      <c r="K136" s="45">
        <f>IF(Table2[[#This Row],[Description]]="","",DATE(Table2[[#This Row],[Year]],Table2[[#This Row],[Month]],1))</f>
        <v>43647</v>
      </c>
      <c r="U136" t="s">
        <v>67</v>
      </c>
      <c r="V136" s="10">
        <v>12</v>
      </c>
      <c r="W136" s="12">
        <v>2020</v>
      </c>
      <c r="X136" s="49">
        <f>DATE(Table3[[#This Row],[Year]],Table3[[#This Row],[Month]],1)</f>
        <v>44166</v>
      </c>
      <c r="Y136" s="228">
        <v>1</v>
      </c>
      <c r="Z136" s="228">
        <v>2020</v>
      </c>
      <c r="AA136" s="49">
        <f>DATE(Table3[[#This Row],[S Yr]],Table3[[#This Row],[S mth]],1)</f>
        <v>43831</v>
      </c>
      <c r="AB136" s="40">
        <v>1200</v>
      </c>
      <c r="AC136" s="40">
        <f>SUMIFS(J:J,G:G,Table3[[#This Row],[Mid bgt]],K:K,"&lt;"&amp;Table3[[#This Row],[End Date]]+1)-SUMIFS(J:J,G:G,Table3[[#This Row],[Mid bgt]],K:K,"&lt;"&amp;Table3[[#This Row],[Start]])</f>
        <v>0</v>
      </c>
      <c r="AD136" s="41">
        <f>Table3[[#This Row],[Planned]]-Table3[[#This Row],[Spent]]</f>
        <v>1200</v>
      </c>
      <c r="AE136" s="44"/>
    </row>
    <row r="137" spans="1:31" x14ac:dyDescent="0.25">
      <c r="A137" s="3">
        <v>136</v>
      </c>
      <c r="B137" t="s">
        <v>58</v>
      </c>
      <c r="C137" s="1">
        <v>7</v>
      </c>
      <c r="D137" s="1">
        <v>2019</v>
      </c>
      <c r="E137" s="166">
        <v>-200</v>
      </c>
      <c r="F137" s="1" t="s">
        <v>21</v>
      </c>
      <c r="G137" s="1" t="str">
        <f>IF(Table2[[#This Row],[Description]]="","",VLOOKUP(Table2[[#This Row],[Description]],$Q$1:$S$101,2,FALSE))</f>
        <v>Food</v>
      </c>
      <c r="H137" s="1" t="str">
        <f>IF(Table2[[#This Row],[Description]]="","",VLOOKUP(Table2[[#This Row],[Description]],$Q$1:$S$101,3,FALSE))</f>
        <v>Short</v>
      </c>
      <c r="I137" s="1">
        <f>IF(Table2[[#This Row],[Description]]="","",IF(Table2[[#This Row],[Currency]]=$O$2,$P$2,HLOOKUP(Table2[[#This Row],[Date]],Funds!$C$10:$GV$11,2,FALSE)))</f>
        <v>1</v>
      </c>
      <c r="J137" s="215">
        <f>IF(Table2[[#This Row],[Description]]="","",Table2[[#This Row],[Value]]/Table2[[#This Row],[Conversion]])</f>
        <v>-200</v>
      </c>
      <c r="K137" s="45">
        <f>IF(Table2[[#This Row],[Description]]="","",DATE(Table2[[#This Row],[Year]],Table2[[#This Row],[Month]],1))</f>
        <v>43647</v>
      </c>
      <c r="U137" t="s">
        <v>67</v>
      </c>
      <c r="V137" s="10">
        <v>12</v>
      </c>
      <c r="W137" s="12">
        <v>2021</v>
      </c>
      <c r="X137" s="49">
        <f>DATE(Table3[[#This Row],[Year]],Table3[[#This Row],[Month]],1)</f>
        <v>44531</v>
      </c>
      <c r="Y137" s="228">
        <v>1</v>
      </c>
      <c r="Z137" s="228">
        <v>2021</v>
      </c>
      <c r="AA137" s="49">
        <f>DATE(Table3[[#This Row],[S Yr]],Table3[[#This Row],[S mth]],1)</f>
        <v>44197</v>
      </c>
      <c r="AB137" s="40">
        <v>1200</v>
      </c>
      <c r="AC137" s="40">
        <f>SUMIFS(J:J,G:G,Table3[[#This Row],[Mid bgt]],K:K,"&lt;"&amp;Table3[[#This Row],[End Date]]+1)-SUMIFS(J:J,G:G,Table3[[#This Row],[Mid bgt]],K:K,"&lt;"&amp;Table3[[#This Row],[Start]])</f>
        <v>0</v>
      </c>
      <c r="AD137" s="41">
        <f>Table3[[#This Row],[Planned]]-Table3[[#This Row],[Spent]]</f>
        <v>1200</v>
      </c>
      <c r="AE137" s="44"/>
    </row>
    <row r="138" spans="1:31" x14ac:dyDescent="0.25">
      <c r="A138" s="3">
        <v>137</v>
      </c>
      <c r="B138" t="s">
        <v>237</v>
      </c>
      <c r="C138" s="1">
        <v>8</v>
      </c>
      <c r="D138" s="1">
        <v>2019</v>
      </c>
      <c r="E138" s="166">
        <v>250.35855869383801</v>
      </c>
      <c r="F138" s="1" t="s">
        <v>21</v>
      </c>
      <c r="G138" s="1" t="str">
        <f>IF(Table2[[#This Row],[Description]]="","",VLOOKUP(Table2[[#This Row],[Description]],$Q$1:$S$101,2,FALSE))</f>
        <v>FX adjustment</v>
      </c>
      <c r="H138" s="1" t="s">
        <v>66</v>
      </c>
      <c r="I138" s="1">
        <f>IF(Table2[[#This Row],[Description]]="","",IF(Table2[[#This Row],[Currency]]=$O$2,$P$2,HLOOKUP(Table2[[#This Row],[Date]],Funds!$C$10:$GV$11,2,FALSE)))</f>
        <v>1</v>
      </c>
      <c r="J138" s="215">
        <f>IF(Table2[[#This Row],[Description]]="","",Table2[[#This Row],[Value]]/Table2[[#This Row],[Conversion]])</f>
        <v>250.35855869383801</v>
      </c>
      <c r="K138" s="45">
        <f>IF(Table2[[#This Row],[Description]]="","",DATE(Table2[[#This Row],[Year]],Table2[[#This Row],[Month]],1))</f>
        <v>43678</v>
      </c>
      <c r="U138" t="s">
        <v>67</v>
      </c>
      <c r="V138" s="10">
        <v>12</v>
      </c>
      <c r="W138" s="12">
        <v>2022</v>
      </c>
      <c r="X138" s="49">
        <f>DATE(Table3[[#This Row],[Year]],Table3[[#This Row],[Month]],1)</f>
        <v>44896</v>
      </c>
      <c r="Y138" s="228">
        <v>1</v>
      </c>
      <c r="Z138" s="228">
        <v>2022</v>
      </c>
      <c r="AA138" s="49">
        <f>DATE(Table3[[#This Row],[S Yr]],Table3[[#This Row],[S mth]],1)</f>
        <v>44562</v>
      </c>
      <c r="AB138" s="40">
        <v>1200</v>
      </c>
      <c r="AC138" s="40">
        <f>SUMIFS(J:J,G:G,Table3[[#This Row],[Mid bgt]],K:K,"&lt;"&amp;Table3[[#This Row],[End Date]]+1)-SUMIFS(J:J,G:G,Table3[[#This Row],[Mid bgt]],K:K,"&lt;"&amp;Table3[[#This Row],[Start]])</f>
        <v>0</v>
      </c>
      <c r="AD138" s="41">
        <f>Table3[[#This Row],[Planned]]-Table3[[#This Row],[Spent]]</f>
        <v>1200</v>
      </c>
      <c r="AE138" s="44"/>
    </row>
    <row r="139" spans="1:31" x14ac:dyDescent="0.25">
      <c r="A139" s="3">
        <v>138</v>
      </c>
      <c r="B139" t="s">
        <v>237</v>
      </c>
      <c r="C139" s="1">
        <v>8</v>
      </c>
      <c r="D139" s="1">
        <v>2019</v>
      </c>
      <c r="E139" s="166">
        <v>17.118858821911701</v>
      </c>
      <c r="F139" s="1" t="s">
        <v>21</v>
      </c>
      <c r="G139" s="1" t="str">
        <f>IF(Table2[[#This Row],[Description]]="","",VLOOKUP(Table2[[#This Row],[Description]],$Q$1:$S$101,2,FALSE))</f>
        <v>FX adjustment</v>
      </c>
      <c r="H139" s="1" t="s">
        <v>111</v>
      </c>
      <c r="I139" s="1">
        <f>IF(Table2[[#This Row],[Description]]="","",IF(Table2[[#This Row],[Currency]]=$O$2,$P$2,HLOOKUP(Table2[[#This Row],[Date]],Funds!$C$10:$GV$11,2,FALSE)))</f>
        <v>1</v>
      </c>
      <c r="J139" s="215">
        <f>IF(Table2[[#This Row],[Description]]="","",Table2[[#This Row],[Value]]/Table2[[#This Row],[Conversion]])</f>
        <v>17.118858821911701</v>
      </c>
      <c r="K139" s="45">
        <f>IF(Table2[[#This Row],[Description]]="","",DATE(Table2[[#This Row],[Year]],Table2[[#This Row],[Month]],1))</f>
        <v>43678</v>
      </c>
      <c r="R139" t="s">
        <v>565</v>
      </c>
      <c r="S139" s="39">
        <f>SUM(AB139:AB144)</f>
        <v>7200</v>
      </c>
      <c r="U139" t="s">
        <v>67</v>
      </c>
      <c r="V139" s="10">
        <v>12</v>
      </c>
      <c r="W139" s="12">
        <v>2023</v>
      </c>
      <c r="X139" s="49">
        <f>DATE(Table3[[#This Row],[Year]],Table3[[#This Row],[Month]],1)</f>
        <v>45261</v>
      </c>
      <c r="Y139" s="228">
        <v>1</v>
      </c>
      <c r="Z139" s="228">
        <v>2023</v>
      </c>
      <c r="AA139" s="49">
        <f>DATE(Table3[[#This Row],[S Yr]],Table3[[#This Row],[S mth]],1)</f>
        <v>44927</v>
      </c>
      <c r="AB139" s="40">
        <v>1200</v>
      </c>
      <c r="AC139" s="40">
        <f>SUMIFS(J:J,G:G,Table3[[#This Row],[Mid bgt]],K:K,"&lt;"&amp;Table3[[#This Row],[End Date]]+1)-SUMIFS(J:J,G:G,Table3[[#This Row],[Mid bgt]],K:K,"&lt;"&amp;Table3[[#This Row],[Start]])</f>
        <v>0</v>
      </c>
      <c r="AD139" s="41">
        <f>Table3[[#This Row],[Planned]]-Table3[[#This Row],[Spent]]</f>
        <v>1200</v>
      </c>
      <c r="AE139" s="44"/>
    </row>
    <row r="140" spans="1:31" x14ac:dyDescent="0.25">
      <c r="A140" s="3">
        <v>139</v>
      </c>
      <c r="B140" t="s">
        <v>237</v>
      </c>
      <c r="C140" s="1">
        <v>8</v>
      </c>
      <c r="D140" s="1">
        <v>2019</v>
      </c>
      <c r="E140" s="166">
        <v>146.13078115431901</v>
      </c>
      <c r="F140" s="1" t="s">
        <v>21</v>
      </c>
      <c r="G140" s="1" t="str">
        <f>IF(Table2[[#This Row],[Description]]="","",VLOOKUP(Table2[[#This Row],[Description]],$Q$1:$S$101,2,FALSE))</f>
        <v>FX adjustment</v>
      </c>
      <c r="H140" s="1" t="s">
        <v>121</v>
      </c>
      <c r="I140" s="1">
        <f>IF(Table2[[#This Row],[Description]]="","",IF(Table2[[#This Row],[Currency]]=$O$2,$P$2,HLOOKUP(Table2[[#This Row],[Date]],Funds!$C$10:$GV$11,2,FALSE)))</f>
        <v>1</v>
      </c>
      <c r="J140" s="215">
        <f>IF(Table2[[#This Row],[Description]]="","",Table2[[#This Row],[Value]]/Table2[[#This Row],[Conversion]])</f>
        <v>146.13078115431901</v>
      </c>
      <c r="K140" s="45">
        <f>IF(Table2[[#This Row],[Description]]="","",DATE(Table2[[#This Row],[Year]],Table2[[#This Row],[Month]],1))</f>
        <v>43678</v>
      </c>
      <c r="Q140" t="s">
        <v>566</v>
      </c>
      <c r="R140">
        <v>20</v>
      </c>
      <c r="S140">
        <f>7344+5</f>
        <v>7349</v>
      </c>
      <c r="T140" t="s">
        <v>567</v>
      </c>
      <c r="U140" t="s">
        <v>67</v>
      </c>
      <c r="V140" s="10">
        <v>12</v>
      </c>
      <c r="W140" s="12">
        <v>2024</v>
      </c>
      <c r="X140" s="49">
        <f>DATE(Table3[[#This Row],[Year]],Table3[[#This Row],[Month]],1)</f>
        <v>45627</v>
      </c>
      <c r="Y140" s="228">
        <v>1</v>
      </c>
      <c r="Z140" s="228">
        <v>2024</v>
      </c>
      <c r="AA140" s="49">
        <f>DATE(Table3[[#This Row],[S Yr]],Table3[[#This Row],[S mth]],1)</f>
        <v>45292</v>
      </c>
      <c r="AB140" s="40">
        <v>1200</v>
      </c>
      <c r="AC140" s="40">
        <f>SUMIFS(J:J,G:G,Table3[[#This Row],[Mid bgt]],K:K,"&lt;"&amp;Table3[[#This Row],[End Date]]+1)-SUMIFS(J:J,G:G,Table3[[#This Row],[Mid bgt]],K:K,"&lt;"&amp;Table3[[#This Row],[Start]])</f>
        <v>0</v>
      </c>
      <c r="AD140" s="41">
        <f>Table3[[#This Row],[Planned]]-Table3[[#This Row],[Spent]]</f>
        <v>1200</v>
      </c>
      <c r="AE140" s="44"/>
    </row>
    <row r="141" spans="1:31" x14ac:dyDescent="0.25">
      <c r="A141" s="3">
        <v>140</v>
      </c>
      <c r="B141" t="s">
        <v>288</v>
      </c>
      <c r="C141" s="1">
        <v>8</v>
      </c>
      <c r="D141" s="1">
        <v>2019</v>
      </c>
      <c r="E141" s="166">
        <v>417.07</v>
      </c>
      <c r="F141" s="1" t="s">
        <v>21</v>
      </c>
      <c r="G141" s="1" t="str">
        <f>IF(Table2[[#This Row],[Description]]="","",VLOOKUP(Table2[[#This Row],[Description]],$Q$1:$S$101,2,FALSE))</f>
        <v xml:space="preserve">US Furniture </v>
      </c>
      <c r="H141" s="1" t="str">
        <f>IF(Table2[[#This Row],[Description]]="","",VLOOKUP(Table2[[#This Row],[Description]],$Q$1:$S$101,3,FALSE))</f>
        <v>Mid</v>
      </c>
      <c r="I141" s="1">
        <f>IF(Table2[[#This Row],[Description]]="","",IF(Table2[[#This Row],[Currency]]=$O$2,$P$2,HLOOKUP(Table2[[#This Row],[Date]],Funds!$C$10:$GV$11,2,FALSE)))</f>
        <v>1</v>
      </c>
      <c r="J141" s="215">
        <f>IF(Table2[[#This Row],[Description]]="","",Table2[[#This Row],[Value]]/Table2[[#This Row],[Conversion]])</f>
        <v>417.07</v>
      </c>
      <c r="K141" s="45">
        <f>IF(Table2[[#This Row],[Description]]="","",DATE(Table2[[#This Row],[Year]],Table2[[#This Row],[Month]],1))</f>
        <v>43678</v>
      </c>
      <c r="R141">
        <v>1</v>
      </c>
      <c r="S141">
        <v>1775</v>
      </c>
      <c r="U141" t="s">
        <v>67</v>
      </c>
      <c r="V141" s="10">
        <v>12</v>
      </c>
      <c r="W141" s="12">
        <v>2025</v>
      </c>
      <c r="X141" s="49">
        <f>DATE(Table3[[#This Row],[Year]],Table3[[#This Row],[Month]],1)</f>
        <v>45992</v>
      </c>
      <c r="Y141" s="228">
        <v>1</v>
      </c>
      <c r="Z141" s="228">
        <v>2025</v>
      </c>
      <c r="AA141" s="49">
        <f>DATE(Table3[[#This Row],[S Yr]],Table3[[#This Row],[S mth]],1)</f>
        <v>45658</v>
      </c>
      <c r="AB141" s="40">
        <v>1200</v>
      </c>
      <c r="AC141" s="40">
        <f>SUMIFS(J:J,G:G,Table3[[#This Row],[Mid bgt]],K:K,"&lt;"&amp;Table3[[#This Row],[End Date]]+1)-SUMIFS(J:J,G:G,Table3[[#This Row],[Mid bgt]],K:K,"&lt;"&amp;Table3[[#This Row],[Start]])</f>
        <v>0</v>
      </c>
      <c r="AD141" s="41">
        <f>Table3[[#This Row],[Planned]]-Table3[[#This Row],[Spent]]</f>
        <v>1200</v>
      </c>
      <c r="AE141" s="44"/>
    </row>
    <row r="142" spans="1:31" x14ac:dyDescent="0.25">
      <c r="A142" s="3">
        <v>141</v>
      </c>
      <c r="B142" t="s">
        <v>256</v>
      </c>
      <c r="C142" s="1">
        <v>8</v>
      </c>
      <c r="D142" s="1">
        <v>2019</v>
      </c>
      <c r="E142" s="166">
        <v>180.94072686399403</v>
      </c>
      <c r="F142" s="1" t="s">
        <v>21</v>
      </c>
      <c r="G142" s="1" t="str">
        <f>IF(Table2[[#This Row],[Description]]="","",VLOOKUP(Table2[[#This Row],[Description]],$Q$1:$S$101,2,FALSE))</f>
        <v>MN free</v>
      </c>
      <c r="H142" s="1" t="str">
        <f>IF(Table2[[#This Row],[Description]]="","",VLOOKUP(Table2[[#This Row],[Description]],$Q$1:$S$101,3,FALSE))</f>
        <v>Mid</v>
      </c>
      <c r="I142" s="1">
        <f>IF(Table2[[#This Row],[Description]]="","",IF(Table2[[#This Row],[Currency]]=$O$2,$P$2,HLOOKUP(Table2[[#This Row],[Date]],Funds!$C$10:$GV$11,2,FALSE)))</f>
        <v>1</v>
      </c>
      <c r="J142" s="215">
        <f>IF(Table2[[#This Row],[Description]]="","",Table2[[#This Row],[Value]]/Table2[[#This Row],[Conversion]])</f>
        <v>180.94072686399403</v>
      </c>
      <c r="K142" s="45">
        <f>IF(Table2[[#This Row],[Description]]="","",DATE(Table2[[#This Row],[Year]],Table2[[#This Row],[Month]],1))</f>
        <v>43678</v>
      </c>
      <c r="U142" t="s">
        <v>67</v>
      </c>
      <c r="V142" s="10">
        <v>12</v>
      </c>
      <c r="W142" s="12">
        <v>2026</v>
      </c>
      <c r="X142" s="49">
        <f>DATE(Table3[[#This Row],[Year]],Table3[[#This Row],[Month]],1)</f>
        <v>46357</v>
      </c>
      <c r="Y142" s="228">
        <v>1</v>
      </c>
      <c r="Z142" s="228">
        <v>2026</v>
      </c>
      <c r="AA142" s="49">
        <f>DATE(Table3[[#This Row],[S Yr]],Table3[[#This Row],[S mth]],1)</f>
        <v>46023</v>
      </c>
      <c r="AB142" s="40">
        <v>1200</v>
      </c>
      <c r="AC142" s="40">
        <f>SUMIFS(J:J,G:G,Table3[[#This Row],[Mid bgt]],K:K,"&lt;"&amp;Table3[[#This Row],[End Date]]+1)-SUMIFS(J:J,G:G,Table3[[#This Row],[Mid bgt]],K:K,"&lt;"&amp;Table3[[#This Row],[Start]])</f>
        <v>0</v>
      </c>
      <c r="AD142" s="41">
        <f>Table3[[#This Row],[Planned]]-Table3[[#This Row],[Spent]]</f>
        <v>1200</v>
      </c>
      <c r="AE142" s="44"/>
    </row>
    <row r="143" spans="1:31" x14ac:dyDescent="0.25">
      <c r="A143" s="3">
        <v>142</v>
      </c>
      <c r="B143" t="s">
        <v>288</v>
      </c>
      <c r="C143" s="1">
        <v>8</v>
      </c>
      <c r="D143" s="1">
        <v>2019</v>
      </c>
      <c r="E143" s="166">
        <f>294.47-180.94</f>
        <v>113.53000000000003</v>
      </c>
      <c r="F143" s="1" t="s">
        <v>21</v>
      </c>
      <c r="G143" s="1" t="str">
        <f>IF(Table2[[#This Row],[Description]]="","",VLOOKUP(Table2[[#This Row],[Description]],$Q$1:$S$101,2,FALSE))</f>
        <v xml:space="preserve">US Furniture </v>
      </c>
      <c r="H143" s="1" t="str">
        <f>IF(Table2[[#This Row],[Description]]="","",VLOOKUP(Table2[[#This Row],[Description]],$Q$1:$S$101,3,FALSE))</f>
        <v>Mid</v>
      </c>
      <c r="I143" s="1">
        <f>IF(Table2[[#This Row],[Description]]="","",IF(Table2[[#This Row],[Currency]]=$O$2,$P$2,HLOOKUP(Table2[[#This Row],[Date]],Funds!$C$10:$GV$11,2,FALSE)))</f>
        <v>1</v>
      </c>
      <c r="J143" s="215">
        <f>IF(Table2[[#This Row],[Description]]="","",Table2[[#This Row],[Value]]/Table2[[#This Row],[Conversion]])</f>
        <v>113.53000000000003</v>
      </c>
      <c r="K143" s="45">
        <f>IF(Table2[[#This Row],[Description]]="","",DATE(Table2[[#This Row],[Year]],Table2[[#This Row],[Month]],1))</f>
        <v>43678</v>
      </c>
      <c r="R143" t="s">
        <v>339</v>
      </c>
      <c r="S143">
        <f>SUMPRODUCT(R140:R141,S140:S141)</f>
        <v>148755</v>
      </c>
      <c r="U143" t="s">
        <v>67</v>
      </c>
      <c r="V143" s="10">
        <v>12</v>
      </c>
      <c r="W143" s="12">
        <v>2027</v>
      </c>
      <c r="X143" s="49">
        <f>DATE(Table3[[#This Row],[Year]],Table3[[#This Row],[Month]],1)</f>
        <v>46722</v>
      </c>
      <c r="Y143" s="228">
        <v>1</v>
      </c>
      <c r="Z143" s="228">
        <v>2027</v>
      </c>
      <c r="AA143" s="49">
        <f>DATE(Table3[[#This Row],[S Yr]],Table3[[#This Row],[S mth]],1)</f>
        <v>46388</v>
      </c>
      <c r="AB143" s="40">
        <v>1200</v>
      </c>
      <c r="AC143" s="40">
        <f>SUMIFS(J:J,G:G,Table3[[#This Row],[Mid bgt]],K:K,"&lt;"&amp;Table3[[#This Row],[End Date]]+1)-SUMIFS(J:J,G:G,Table3[[#This Row],[Mid bgt]],K:K,"&lt;"&amp;Table3[[#This Row],[Start]])</f>
        <v>0</v>
      </c>
      <c r="AD143" s="41">
        <f>Table3[[#This Row],[Planned]]-Table3[[#This Row],[Spent]]</f>
        <v>1200</v>
      </c>
      <c r="AE143" s="44"/>
    </row>
    <row r="144" spans="1:31" x14ac:dyDescent="0.25">
      <c r="A144" s="3">
        <v>143</v>
      </c>
      <c r="B144" t="s">
        <v>472</v>
      </c>
      <c r="C144" s="1">
        <v>8</v>
      </c>
      <c r="D144" s="1">
        <v>2019</v>
      </c>
      <c r="E144" s="166">
        <v>79.41</v>
      </c>
      <c r="F144" s="1" t="s">
        <v>21</v>
      </c>
      <c r="G144" s="1" t="str">
        <f>IF(Table2[[#This Row],[Description]]="","",VLOOKUP(Table2[[#This Row],[Description]],$Q$1:$S$101,2,FALSE))</f>
        <v xml:space="preserve">EK studies </v>
      </c>
      <c r="H144" s="1" t="str">
        <f>IF(Table2[[#This Row],[Description]]="","",VLOOKUP(Table2[[#This Row],[Description]],$Q$1:$S$101,3,FALSE))</f>
        <v>Mid</v>
      </c>
      <c r="I144" s="1">
        <f>IF(Table2[[#This Row],[Description]]="","",IF(Table2[[#This Row],[Currency]]=$O$2,$P$2,HLOOKUP(Table2[[#This Row],[Date]],Funds!$C$10:$GV$11,2,FALSE)))</f>
        <v>1</v>
      </c>
      <c r="J144" s="215">
        <f>IF(Table2[[#This Row],[Description]]="","",Table2[[#This Row],[Value]]/Table2[[#This Row],[Conversion]])</f>
        <v>79.41</v>
      </c>
      <c r="K144" s="45">
        <f>IF(Table2[[#This Row],[Description]]="","",DATE(Table2[[#This Row],[Year]],Table2[[#This Row],[Month]],1))</f>
        <v>43678</v>
      </c>
      <c r="R144" t="s">
        <v>568</v>
      </c>
      <c r="S144">
        <v>4</v>
      </c>
      <c r="U144" t="s">
        <v>67</v>
      </c>
      <c r="V144" s="10">
        <v>12</v>
      </c>
      <c r="W144" s="12">
        <v>2028</v>
      </c>
      <c r="X144" s="49">
        <f>DATE(Table3[[#This Row],[Year]],Table3[[#This Row],[Month]],1)</f>
        <v>47088</v>
      </c>
      <c r="Y144" s="228">
        <v>1</v>
      </c>
      <c r="Z144" s="228">
        <v>2028</v>
      </c>
      <c r="AA144" s="49">
        <f>DATE(Table3[[#This Row],[S Yr]],Table3[[#This Row],[S mth]],1)</f>
        <v>46753</v>
      </c>
      <c r="AB144" s="40">
        <v>1200</v>
      </c>
      <c r="AC144" s="40">
        <f>SUMIFS(J:J,G:G,Table3[[#This Row],[Mid bgt]],K:K,"&lt;"&amp;Table3[[#This Row],[End Date]]+1)-SUMIFS(J:J,G:G,Table3[[#This Row],[Mid bgt]],K:K,"&lt;"&amp;Table3[[#This Row],[Start]])</f>
        <v>0</v>
      </c>
      <c r="AD144" s="41">
        <f>Table3[[#This Row],[Planned]]-Table3[[#This Row],[Spent]]</f>
        <v>1200</v>
      </c>
      <c r="AE144" s="44"/>
    </row>
    <row r="145" spans="1:31" x14ac:dyDescent="0.25">
      <c r="A145" s="3">
        <v>144</v>
      </c>
      <c r="B145" t="s">
        <v>58</v>
      </c>
      <c r="C145" s="1">
        <v>8</v>
      </c>
      <c r="D145" s="1">
        <v>2019</v>
      </c>
      <c r="E145" s="166">
        <v>123.69</v>
      </c>
      <c r="F145" s="1" t="s">
        <v>21</v>
      </c>
      <c r="G145" s="1" t="str">
        <f>IF(Table2[[#This Row],[Description]]="","",VLOOKUP(Table2[[#This Row],[Description]],$Q$1:$S$101,2,FALSE))</f>
        <v>Food</v>
      </c>
      <c r="H145" s="1" t="str">
        <f>IF(Table2[[#This Row],[Description]]="","",VLOOKUP(Table2[[#This Row],[Description]],$Q$1:$S$101,3,FALSE))</f>
        <v>Short</v>
      </c>
      <c r="I145" s="1">
        <f>IF(Table2[[#This Row],[Description]]="","",IF(Table2[[#This Row],[Currency]]=$O$2,$P$2,HLOOKUP(Table2[[#This Row],[Date]],Funds!$C$10:$GV$11,2,FALSE)))</f>
        <v>1</v>
      </c>
      <c r="J145" s="215">
        <f>IF(Table2[[#This Row],[Description]]="","",Table2[[#This Row],[Value]]/Table2[[#This Row],[Conversion]])</f>
        <v>123.69</v>
      </c>
      <c r="K145" s="45">
        <f>IF(Table2[[#This Row],[Description]]="","",DATE(Table2[[#This Row],[Year]],Table2[[#This Row],[Month]],1))</f>
        <v>43678</v>
      </c>
      <c r="U145" t="s">
        <v>67</v>
      </c>
      <c r="V145" s="10">
        <v>12</v>
      </c>
      <c r="W145" s="12">
        <v>2029</v>
      </c>
      <c r="X145" s="49">
        <f>DATE(Table3[[#This Row],[Year]],Table3[[#This Row],[Month]],1)</f>
        <v>47453</v>
      </c>
      <c r="Y145" s="228">
        <v>1</v>
      </c>
      <c r="Z145" s="228">
        <v>2029</v>
      </c>
      <c r="AA145" s="49">
        <f>DATE(Table3[[#This Row],[S Yr]],Table3[[#This Row],[S mth]],1)</f>
        <v>47119</v>
      </c>
      <c r="AB145" s="40">
        <v>1200</v>
      </c>
      <c r="AC145" s="40">
        <f>SUMIFS(J:J,G:G,Table3[[#This Row],[Mid bgt]],K:K,"&lt;"&amp;Table3[[#This Row],[End Date]]+1)-SUMIFS(J:J,G:G,Table3[[#This Row],[Mid bgt]],K:K,"&lt;"&amp;Table3[[#This Row],[Start]])</f>
        <v>0</v>
      </c>
      <c r="AD145" s="41">
        <f>Table3[[#This Row],[Planned]]-Table3[[#This Row],[Spent]]</f>
        <v>1200</v>
      </c>
      <c r="AE145" s="44"/>
    </row>
    <row r="146" spans="1:31" x14ac:dyDescent="0.25">
      <c r="A146" s="3">
        <v>145</v>
      </c>
      <c r="B146" t="s">
        <v>59</v>
      </c>
      <c r="C146" s="1">
        <v>8</v>
      </c>
      <c r="D146" s="1">
        <v>2019</v>
      </c>
      <c r="E146" s="166">
        <v>110</v>
      </c>
      <c r="F146" s="1" t="s">
        <v>21</v>
      </c>
      <c r="G146" s="1" t="str">
        <f>IF(Table2[[#This Row],[Description]]="","",VLOOKUP(Table2[[#This Row],[Description]],$Q$1:$S$101,2,FALSE))</f>
        <v>Transportation</v>
      </c>
      <c r="H146" s="1" t="str">
        <f>IF(Table2[[#This Row],[Description]]="","",VLOOKUP(Table2[[#This Row],[Description]],$Q$1:$S$101,3,FALSE))</f>
        <v>Short</v>
      </c>
      <c r="I146" s="1">
        <f>IF(Table2[[#This Row],[Description]]="","",IF(Table2[[#This Row],[Currency]]=$O$2,$P$2,HLOOKUP(Table2[[#This Row],[Date]],Funds!$C$10:$GV$11,2,FALSE)))</f>
        <v>1</v>
      </c>
      <c r="J146" s="215">
        <f>IF(Table2[[#This Row],[Description]]="","",Table2[[#This Row],[Value]]/Table2[[#This Row],[Conversion]])</f>
        <v>110</v>
      </c>
      <c r="K146" s="45">
        <f>IF(Table2[[#This Row],[Description]]="","",DATE(Table2[[#This Row],[Year]],Table2[[#This Row],[Month]],1))</f>
        <v>43678</v>
      </c>
      <c r="S146">
        <f>S143/S144</f>
        <v>37188.75</v>
      </c>
      <c r="U146" t="s">
        <v>67</v>
      </c>
      <c r="V146" s="10">
        <v>12</v>
      </c>
      <c r="W146" s="12">
        <v>2030</v>
      </c>
      <c r="X146" s="49">
        <f>DATE(Table3[[#This Row],[Year]],Table3[[#This Row],[Month]],1)</f>
        <v>47818</v>
      </c>
      <c r="Y146" s="228">
        <v>1</v>
      </c>
      <c r="Z146" s="228">
        <v>2030</v>
      </c>
      <c r="AA146" s="49">
        <f>DATE(Table3[[#This Row],[S Yr]],Table3[[#This Row],[S mth]],1)</f>
        <v>47484</v>
      </c>
      <c r="AB146" s="40">
        <v>1200</v>
      </c>
      <c r="AC146" s="40">
        <f>SUMIFS(J:J,G:G,Table3[[#This Row],[Mid bgt]],K:K,"&lt;"&amp;Table3[[#This Row],[End Date]]+1)-SUMIFS(J:J,G:G,Table3[[#This Row],[Mid bgt]],K:K,"&lt;"&amp;Table3[[#This Row],[Start]])</f>
        <v>0</v>
      </c>
      <c r="AD146" s="41">
        <f>Table3[[#This Row],[Planned]]-Table3[[#This Row],[Spent]]</f>
        <v>1200</v>
      </c>
      <c r="AE146" s="44"/>
    </row>
    <row r="147" spans="1:31" x14ac:dyDescent="0.25">
      <c r="B147" t="s">
        <v>392</v>
      </c>
      <c r="C147" s="1">
        <v>8</v>
      </c>
      <c r="D147" s="1">
        <v>2019</v>
      </c>
      <c r="E147" s="166">
        <v>915.06</v>
      </c>
      <c r="F147" s="1" t="s">
        <v>21</v>
      </c>
      <c r="G147" s="1" t="str">
        <f>IF(Table2[[#This Row],[Description]]="","",VLOOKUP(Table2[[#This Row],[Description]],$Q$1:$S$101,2,FALSE))</f>
        <v>PC</v>
      </c>
      <c r="H147" s="1" t="str">
        <f>IF(Table2[[#This Row],[Description]]="","",VLOOKUP(Table2[[#This Row],[Description]],$Q$1:$S$101,3,FALSE))</f>
        <v>Mid</v>
      </c>
      <c r="I147" s="1">
        <f>IF(Table2[[#This Row],[Description]]="","",IF(Table2[[#This Row],[Currency]]=$O$2,$P$2,HLOOKUP(Table2[[#This Row],[Date]],Funds!$C$10:$GV$11,2,FALSE)))</f>
        <v>1</v>
      </c>
      <c r="J147" s="215">
        <f>IF(Table2[[#This Row],[Description]]="","",Table2[[#This Row],[Value]]/Table2[[#This Row],[Conversion]])</f>
        <v>915.06</v>
      </c>
      <c r="K147" s="45">
        <f>IF(Table2[[#This Row],[Description]]="","",DATE(Table2[[#This Row],[Year]],Table2[[#This Row],[Month]],1))</f>
        <v>43678</v>
      </c>
      <c r="U147" s="9" t="s">
        <v>392</v>
      </c>
      <c r="V147" s="10">
        <v>8</v>
      </c>
      <c r="W147" s="10">
        <v>2019</v>
      </c>
      <c r="X147" s="49">
        <f>DATE(Table3[[#This Row],[Year]],Table3[[#This Row],[Month]],1)</f>
        <v>43678</v>
      </c>
      <c r="Y147" s="228">
        <v>8</v>
      </c>
      <c r="Z147" s="228">
        <v>2019</v>
      </c>
      <c r="AA147" s="49">
        <f>DATE(Table3[[#This Row],[S Yr]],Table3[[#This Row],[S mth]],1)</f>
        <v>43678</v>
      </c>
      <c r="AB147" s="40">
        <v>1000</v>
      </c>
      <c r="AC147" s="40">
        <f>SUMIFS(J:J,G:G,Table3[[#This Row],[Mid bgt]],K:K,"&lt;"&amp;Table3[[#This Row],[End Date]]+1)-SUMIFS(J:J,G:G,Table3[[#This Row],[Mid bgt]],K:K,"&lt;"&amp;Table3[[#This Row],[Start]])</f>
        <v>915.06</v>
      </c>
      <c r="AD147" s="41">
        <f>Table3[[#This Row],[Planned]]-Table3[[#This Row],[Spent]]</f>
        <v>84.940000000000055</v>
      </c>
      <c r="AE147" s="44"/>
    </row>
    <row r="148" spans="1:31" x14ac:dyDescent="0.25">
      <c r="G148" s="1" t="str">
        <f>IF(Table2[[#This Row],[Description]]="","",VLOOKUP(Table2[[#This Row],[Description]],$Q$1:$S$101,2,FALSE))</f>
        <v/>
      </c>
      <c r="H148" s="1" t="str">
        <f>IF(Table2[[#This Row],[Description]]="","",VLOOKUP(Table2[[#This Row],[Description]],$Q$1:$S$101,3,FALSE))</f>
        <v/>
      </c>
      <c r="I148" s="1" t="str">
        <f>IF(Table2[[#This Row],[Description]]="","",IF(Table2[[#This Row],[Currency]]=$O$2,$P$2,HLOOKUP(Table2[[#This Row],[Date]],Funds!$C$10:$GV$11,2,FALSE)))</f>
        <v/>
      </c>
      <c r="J148" s="215" t="str">
        <f>IF(Table2[[#This Row],[Description]]="","",Table2[[#This Row],[Value]]/Table2[[#This Row],[Conversion]])</f>
        <v/>
      </c>
      <c r="K148" s="45" t="str">
        <f>IF(Table2[[#This Row],[Description]]="","",DATE(Table2[[#This Row],[Year]],Table2[[#This Row],[Month]],1))</f>
        <v/>
      </c>
      <c r="U148" s="9" t="s">
        <v>392</v>
      </c>
      <c r="V148" s="10">
        <v>8</v>
      </c>
      <c r="W148" s="10">
        <v>2024</v>
      </c>
      <c r="X148" s="49">
        <f>DATE(Table3[[#This Row],[Year]],Table3[[#This Row],[Month]],1)</f>
        <v>45505</v>
      </c>
      <c r="Y148" s="229">
        <v>8</v>
      </c>
      <c r="Z148" s="229">
        <v>2024</v>
      </c>
      <c r="AA148" s="48">
        <f>DATE(Table3[[#This Row],[S Yr]],Table3[[#This Row],[S mth]],1)</f>
        <v>45505</v>
      </c>
      <c r="AB148" s="40">
        <v>1000</v>
      </c>
      <c r="AC148" s="40">
        <f>SUMIFS(J:J,B:B,Table3[[#This Row],[Mid bgt]],K:K,"&lt;"&amp;Table3[[#This Row],[End Date]]+1)-SUMIFS(J:J,B:B,Table3[[#This Row],[Mid bgt]],K:K,"&lt;"&amp;Table3[[#This Row],[Start]])</f>
        <v>0</v>
      </c>
      <c r="AD148" s="41">
        <f>Table3[[#This Row],[Planned]]-Table3[[#This Row],[Spent]]</f>
        <v>1000</v>
      </c>
      <c r="AE148" s="44"/>
    </row>
    <row r="149" spans="1:31" x14ac:dyDescent="0.25">
      <c r="B149" t="s">
        <v>288</v>
      </c>
      <c r="C149" s="1">
        <v>8</v>
      </c>
      <c r="D149" s="1">
        <v>2019</v>
      </c>
      <c r="E149" s="166">
        <v>796.79</v>
      </c>
      <c r="F149" s="1" t="s">
        <v>21</v>
      </c>
      <c r="G149" s="1" t="str">
        <f>IF(Table2[[#This Row],[Description]]="","",VLOOKUP(Table2[[#This Row],[Description]],$Q$1:$S$101,2,FALSE))</f>
        <v xml:space="preserve">US Furniture </v>
      </c>
      <c r="H149" s="1" t="str">
        <f>IF(Table2[[#This Row],[Description]]="","",VLOOKUP(Table2[[#This Row],[Description]],$Q$1:$S$101,3,FALSE))</f>
        <v>Mid</v>
      </c>
      <c r="I149" s="1">
        <f>IF(Table2[[#This Row],[Description]]="","",IF(Table2[[#This Row],[Currency]]=$O$2,$P$2,HLOOKUP(Table2[[#This Row],[Date]],Funds!$C$10:$GV$11,2,FALSE)))</f>
        <v>1</v>
      </c>
      <c r="J149" s="215">
        <f>IF(Table2[[#This Row],[Description]]="","",Table2[[#This Row],[Value]]/Table2[[#This Row],[Conversion]])</f>
        <v>796.79</v>
      </c>
      <c r="K149" s="45">
        <f>IF(Table2[[#This Row],[Description]]="","",DATE(Table2[[#This Row],[Year]],Table2[[#This Row],[Month]],1))</f>
        <v>43678</v>
      </c>
      <c r="U149" t="s">
        <v>592</v>
      </c>
      <c r="V149" s="12">
        <v>12</v>
      </c>
      <c r="W149" s="12">
        <v>2020</v>
      </c>
      <c r="X149" s="49">
        <f>DATE(Table3[[#This Row],[Year]],Table3[[#This Row],[Month]],1)</f>
        <v>44166</v>
      </c>
      <c r="Y149" s="228">
        <v>1</v>
      </c>
      <c r="Z149" s="228">
        <v>2020</v>
      </c>
      <c r="AA149" s="49">
        <f>DATE(Table3[[#This Row],[S Yr]],Table3[[#This Row],[S mth]],1)</f>
        <v>43831</v>
      </c>
      <c r="AB149" s="44">
        <v>1600</v>
      </c>
      <c r="AC149" s="40">
        <f>SUMIFS(J:J,G:G,Table3[[#This Row],[Mid bgt]],K:K,"&lt;"&amp;Table3[[#This Row],[End Date]]+1)-SUMIFS(J:J,G:G,Table3[[#This Row],[Mid bgt]],K:K,"&lt;"&amp;Table3[[#This Row],[Start]])</f>
        <v>222.24966045190766</v>
      </c>
      <c r="AD149" s="41">
        <f>Table3[[#This Row],[Planned]]-Table3[[#This Row],[Spent]]</f>
        <v>1377.7503395480924</v>
      </c>
      <c r="AE149" s="44"/>
    </row>
    <row r="150" spans="1:31" x14ac:dyDescent="0.25">
      <c r="B150" t="s">
        <v>269</v>
      </c>
      <c r="C150" s="1">
        <v>8</v>
      </c>
      <c r="D150" s="1">
        <v>2019</v>
      </c>
      <c r="E150" s="166">
        <v>152.41</v>
      </c>
      <c r="F150" s="1" t="s">
        <v>21</v>
      </c>
      <c r="G150" s="1" t="str">
        <f>IF(Table2[[#This Row],[Description]]="","",VLOOKUP(Table2[[#This Row],[Description]],$Q$1:$S$101,2,FALSE))</f>
        <v>Other Mid</v>
      </c>
      <c r="H150" s="1" t="str">
        <f>IF(Table2[[#This Row],[Description]]="","",VLOOKUP(Table2[[#This Row],[Description]],$Q$1:$S$101,3,FALSE))</f>
        <v>Mid</v>
      </c>
      <c r="I150" s="1">
        <f>IF(Table2[[#This Row],[Description]]="","",IF(Table2[[#This Row],[Currency]]=$O$2,$P$2,HLOOKUP(Table2[[#This Row],[Date]],Funds!$C$10:$GV$11,2,FALSE)))</f>
        <v>1</v>
      </c>
      <c r="J150" s="215">
        <f>IF(Table2[[#This Row],[Description]]="","",Table2[[#This Row],[Value]]/Table2[[#This Row],[Conversion]])</f>
        <v>152.41</v>
      </c>
      <c r="K150" s="45">
        <f>IF(Table2[[#This Row],[Description]]="","",DATE(Table2[[#This Row],[Year]],Table2[[#This Row],[Month]],1))</f>
        <v>43678</v>
      </c>
      <c r="U150" t="s">
        <v>592</v>
      </c>
      <c r="V150" s="12">
        <v>12</v>
      </c>
      <c r="W150" s="12">
        <v>2021</v>
      </c>
      <c r="X150" s="49">
        <f>DATE(Table3[[#This Row],[Year]],Table3[[#This Row],[Month]],1)</f>
        <v>44531</v>
      </c>
      <c r="Y150" s="228">
        <v>1</v>
      </c>
      <c r="Z150" s="228">
        <v>2021</v>
      </c>
      <c r="AA150" s="49">
        <f>DATE(Table3[[#This Row],[S Yr]],Table3[[#This Row],[S mth]],1)</f>
        <v>44197</v>
      </c>
      <c r="AB150" s="44">
        <v>1600</v>
      </c>
      <c r="AC150" s="40">
        <f>SUMIFS(J:J,G:G,Table3[[#This Row],[Mid bgt]],K:K,"&lt;"&amp;Table3[[#This Row],[End Date]]+1)-SUMIFS(J:J,G:G,Table3[[#This Row],[Mid bgt]],K:K,"&lt;"&amp;Table3[[#This Row],[Start]])</f>
        <v>0</v>
      </c>
      <c r="AD150" s="41">
        <f>Table3[[#This Row],[Planned]]-Table3[[#This Row],[Spent]]</f>
        <v>1600</v>
      </c>
      <c r="AE150" s="44"/>
    </row>
    <row r="151" spans="1:31" x14ac:dyDescent="0.25">
      <c r="B151" t="s">
        <v>57</v>
      </c>
      <c r="C151" s="1">
        <v>8</v>
      </c>
      <c r="D151" s="1">
        <v>2019</v>
      </c>
      <c r="E151" s="166">
        <v>346.8</v>
      </c>
      <c r="F151" s="1" t="s">
        <v>21</v>
      </c>
      <c r="G151" s="1" t="str">
        <f>IF(Table2[[#This Row],[Description]]="","",VLOOKUP(Table2[[#This Row],[Description]],$Q$1:$S$101,2,FALSE))</f>
        <v>Food</v>
      </c>
      <c r="H151" s="1" t="str">
        <f>IF(Table2[[#This Row],[Description]]="","",VLOOKUP(Table2[[#This Row],[Description]],$Q$1:$S$101,3,FALSE))</f>
        <v>Short</v>
      </c>
      <c r="I151" s="1">
        <f>IF(Table2[[#This Row],[Description]]="","",IF(Table2[[#This Row],[Currency]]=$O$2,$P$2,HLOOKUP(Table2[[#This Row],[Date]],Funds!$C$10:$GV$11,2,FALSE)))</f>
        <v>1</v>
      </c>
      <c r="J151" s="215">
        <f>IF(Table2[[#This Row],[Description]]="","",Table2[[#This Row],[Value]]/Table2[[#This Row],[Conversion]])</f>
        <v>346.8</v>
      </c>
      <c r="K151" s="45">
        <f>IF(Table2[[#This Row],[Description]]="","",DATE(Table2[[#This Row],[Year]],Table2[[#This Row],[Month]],1))</f>
        <v>43678</v>
      </c>
      <c r="U151" t="s">
        <v>592</v>
      </c>
      <c r="V151" s="12">
        <v>12</v>
      </c>
      <c r="W151" s="12">
        <v>2022</v>
      </c>
      <c r="X151" s="49">
        <f>DATE(Table3[[#This Row],[Year]],Table3[[#This Row],[Month]],1)</f>
        <v>44896</v>
      </c>
      <c r="Y151" s="228">
        <v>1</v>
      </c>
      <c r="Z151" s="228">
        <v>2022</v>
      </c>
      <c r="AA151" s="49">
        <f>DATE(Table3[[#This Row],[S Yr]],Table3[[#This Row],[S mth]],1)</f>
        <v>44562</v>
      </c>
      <c r="AB151" s="44">
        <v>1600</v>
      </c>
      <c r="AC151" s="40">
        <f>SUMIFS(J:J,G:G,Table3[[#This Row],[Mid bgt]],K:K,"&lt;"&amp;Table3[[#This Row],[End Date]]+1)-SUMIFS(J:J,G:G,Table3[[#This Row],[Mid bgt]],K:K,"&lt;"&amp;Table3[[#This Row],[Start]])</f>
        <v>0</v>
      </c>
      <c r="AD151" s="41">
        <f>Table3[[#This Row],[Planned]]-Table3[[#This Row],[Spent]]</f>
        <v>1600</v>
      </c>
      <c r="AE151" s="44"/>
    </row>
    <row r="152" spans="1:31" x14ac:dyDescent="0.25">
      <c r="B152" t="s">
        <v>471</v>
      </c>
      <c r="C152" s="1">
        <v>8</v>
      </c>
      <c r="D152" s="1">
        <v>2019</v>
      </c>
      <c r="E152" s="166">
        <v>-132</v>
      </c>
      <c r="F152" s="1" t="s">
        <v>21</v>
      </c>
      <c r="G152" s="1" t="str">
        <f>IF(Table2[[#This Row],[Description]]="","",VLOOKUP(Table2[[#This Row],[Description]],$Q$1:$S$101,2,FALSE))</f>
        <v>Mid</v>
      </c>
      <c r="H152" s="1" t="str">
        <f>IF(Table2[[#This Row],[Description]]="","",VLOOKUP(Table2[[#This Row],[Description]],$Q$1:$S$101,3,FALSE))</f>
        <v>Mid</v>
      </c>
      <c r="I152" s="1">
        <f>IF(Table2[[#This Row],[Description]]="","",IF(Table2[[#This Row],[Currency]]=$O$2,$P$2,HLOOKUP(Table2[[#This Row],[Date]],Funds!$C$10:$GV$11,2,FALSE)))</f>
        <v>1</v>
      </c>
      <c r="J152" s="215">
        <f>IF(Table2[[#This Row],[Description]]="","",Table2[[#This Row],[Value]]/Table2[[#This Row],[Conversion]])</f>
        <v>-132</v>
      </c>
      <c r="K152" s="45">
        <f>IF(Table2[[#This Row],[Description]]="","",DATE(Table2[[#This Row],[Year]],Table2[[#This Row],[Month]],1))</f>
        <v>43678</v>
      </c>
      <c r="U152" t="s">
        <v>592</v>
      </c>
      <c r="V152" s="12">
        <v>12</v>
      </c>
      <c r="W152" s="12">
        <v>2023</v>
      </c>
      <c r="X152" s="49">
        <f>DATE(Table3[[#This Row],[Year]],Table3[[#This Row],[Month]],1)</f>
        <v>45261</v>
      </c>
      <c r="Y152" s="228">
        <v>1</v>
      </c>
      <c r="Z152" s="228">
        <v>2023</v>
      </c>
      <c r="AA152" s="49">
        <f>DATE(Table3[[#This Row],[S Yr]],Table3[[#This Row],[S mth]],1)</f>
        <v>44927</v>
      </c>
      <c r="AB152" s="44">
        <v>1600</v>
      </c>
      <c r="AC152" s="40">
        <f>SUMIFS(J:J,G:G,Table3[[#This Row],[Mid bgt]],K:K,"&lt;"&amp;Table3[[#This Row],[End Date]]+1)-SUMIFS(J:J,G:G,Table3[[#This Row],[Mid bgt]],K:K,"&lt;"&amp;Table3[[#This Row],[Start]])</f>
        <v>0</v>
      </c>
      <c r="AD152" s="41">
        <f>Table3[[#This Row],[Planned]]-Table3[[#This Row],[Spent]]</f>
        <v>1600</v>
      </c>
      <c r="AE152" s="44"/>
    </row>
    <row r="153" spans="1:31" x14ac:dyDescent="0.25">
      <c r="B153" t="s">
        <v>267</v>
      </c>
      <c r="C153" s="1">
        <v>8</v>
      </c>
      <c r="D153" s="1">
        <v>2019</v>
      </c>
      <c r="E153" s="166">
        <v>58.07</v>
      </c>
      <c r="F153" s="1" t="s">
        <v>21</v>
      </c>
      <c r="G153" s="1" t="str">
        <f>IF(Table2[[#This Row],[Description]]="","",VLOOKUP(Table2[[#This Row],[Description]],$Q$1:$S$101,2,FALSE))</f>
        <v>Leisure</v>
      </c>
      <c r="H153" s="1" t="str">
        <f>IF(Table2[[#This Row],[Description]]="","",VLOOKUP(Table2[[#This Row],[Description]],$Q$1:$S$101,3,FALSE))</f>
        <v>Short</v>
      </c>
      <c r="I153" s="1">
        <f>IF(Table2[[#This Row],[Description]]="","",IF(Table2[[#This Row],[Currency]]=$O$2,$P$2,HLOOKUP(Table2[[#This Row],[Date]],Funds!$C$10:$GV$11,2,FALSE)))</f>
        <v>1</v>
      </c>
      <c r="J153" s="215">
        <f>IF(Table2[[#This Row],[Description]]="","",Table2[[#This Row],[Value]]/Table2[[#This Row],[Conversion]])</f>
        <v>58.07</v>
      </c>
      <c r="K153" s="45">
        <f>IF(Table2[[#This Row],[Description]]="","",DATE(Table2[[#This Row],[Year]],Table2[[#This Row],[Month]],1))</f>
        <v>43678</v>
      </c>
      <c r="U153" t="s">
        <v>592</v>
      </c>
      <c r="V153" s="12">
        <v>12</v>
      </c>
      <c r="W153" s="12">
        <v>2024</v>
      </c>
      <c r="X153" s="49">
        <f>DATE(Table3[[#This Row],[Year]],Table3[[#This Row],[Month]],1)</f>
        <v>45627</v>
      </c>
      <c r="Y153" s="228">
        <v>1</v>
      </c>
      <c r="Z153" s="228">
        <v>2024</v>
      </c>
      <c r="AA153" s="49">
        <f>DATE(Table3[[#This Row],[S Yr]],Table3[[#This Row],[S mth]],1)</f>
        <v>45292</v>
      </c>
      <c r="AB153" s="44">
        <v>1600</v>
      </c>
      <c r="AC153" s="40">
        <f>SUMIFS(J:J,G:G,Table3[[#This Row],[Mid bgt]],K:K,"&lt;"&amp;Table3[[#This Row],[End Date]]+1)-SUMIFS(J:J,G:G,Table3[[#This Row],[Mid bgt]],K:K,"&lt;"&amp;Table3[[#This Row],[Start]])</f>
        <v>0</v>
      </c>
      <c r="AD153" s="41">
        <f>Table3[[#This Row],[Planned]]-Table3[[#This Row],[Spent]]</f>
        <v>1600</v>
      </c>
      <c r="AE153" s="44"/>
    </row>
    <row r="154" spans="1:31" x14ac:dyDescent="0.25">
      <c r="G154" s="1" t="str">
        <f>IF(Table2[[#This Row],[Description]]="","",VLOOKUP(Table2[[#This Row],[Description]],$Q$1:$S$101,2,FALSE))</f>
        <v/>
      </c>
      <c r="H154" s="1" t="str">
        <f>IF(Table2[[#This Row],[Description]]="","",VLOOKUP(Table2[[#This Row],[Description]],$Q$1:$S$101,3,FALSE))</f>
        <v/>
      </c>
      <c r="I154" s="1" t="str">
        <f>IF(Table2[[#This Row],[Description]]="","",IF(Table2[[#This Row],[Currency]]=$O$2,$P$2,HLOOKUP(Table2[[#This Row],[Date]],Funds!$C$10:$GV$11,2,FALSE)))</f>
        <v/>
      </c>
      <c r="J154" s="215" t="str">
        <f>IF(Table2[[#This Row],[Description]]="","",Table2[[#This Row],[Value]]/Table2[[#This Row],[Conversion]])</f>
        <v/>
      </c>
      <c r="K154" s="45" t="str">
        <f>IF(Table2[[#This Row],[Description]]="","",DATE(Table2[[#This Row],[Year]],Table2[[#This Row],[Month]],1))</f>
        <v/>
      </c>
      <c r="U154" t="s">
        <v>592</v>
      </c>
      <c r="V154" s="12">
        <v>12</v>
      </c>
      <c r="W154" s="12">
        <v>2025</v>
      </c>
      <c r="X154" s="49">
        <f>DATE(Table3[[#This Row],[Year]],Table3[[#This Row],[Month]],1)</f>
        <v>45992</v>
      </c>
      <c r="Y154" s="228">
        <v>1</v>
      </c>
      <c r="Z154" s="228">
        <v>2025</v>
      </c>
      <c r="AA154" s="49">
        <f>DATE(Table3[[#This Row],[S Yr]],Table3[[#This Row],[S mth]],1)</f>
        <v>45658</v>
      </c>
      <c r="AB154" s="44">
        <v>1600</v>
      </c>
      <c r="AC154" s="40">
        <f>SUMIFS(J:J,G:G,Table3[[#This Row],[Mid bgt]],K:K,"&lt;"&amp;Table3[[#This Row],[End Date]]+1)-SUMIFS(J:J,G:G,Table3[[#This Row],[Mid bgt]],K:K,"&lt;"&amp;Table3[[#This Row],[Start]])</f>
        <v>0</v>
      </c>
      <c r="AD154" s="41">
        <f>Table3[[#This Row],[Planned]]-Table3[[#This Row],[Spent]]</f>
        <v>1600</v>
      </c>
      <c r="AE154" s="44"/>
    </row>
    <row r="155" spans="1:31" x14ac:dyDescent="0.25">
      <c r="B155" t="s">
        <v>52</v>
      </c>
      <c r="C155" s="1">
        <v>8</v>
      </c>
      <c r="D155" s="1">
        <v>2019</v>
      </c>
      <c r="E155" s="166">
        <v>24.94</v>
      </c>
      <c r="F155" s="1" t="s">
        <v>21</v>
      </c>
      <c r="G155" s="1" t="str">
        <f>IF(Table2[[#This Row],[Description]]="","",VLOOKUP(Table2[[#This Row],[Description]],$Q$1:$S$101,2,FALSE))</f>
        <v>Utilities</v>
      </c>
      <c r="H155" s="1" t="str">
        <f>IF(Table2[[#This Row],[Description]]="","",VLOOKUP(Table2[[#This Row],[Description]],$Q$1:$S$101,3,FALSE))</f>
        <v>Short</v>
      </c>
      <c r="I155" s="1">
        <f>IF(Table2[[#This Row],[Description]]="","",IF(Table2[[#This Row],[Currency]]=$O$2,$P$2,HLOOKUP(Table2[[#This Row],[Date]],Funds!$C$10:$GV$11,2,FALSE)))</f>
        <v>1</v>
      </c>
      <c r="J155" s="215">
        <f>IF(Table2[[#This Row],[Description]]="","",Table2[[#This Row],[Value]]/Table2[[#This Row],[Conversion]])</f>
        <v>24.94</v>
      </c>
      <c r="K155" s="45">
        <f>IF(Table2[[#This Row],[Description]]="","",DATE(Table2[[#This Row],[Year]],Table2[[#This Row],[Month]],1))</f>
        <v>43678</v>
      </c>
      <c r="U155" t="s">
        <v>592</v>
      </c>
      <c r="V155" s="12">
        <v>12</v>
      </c>
      <c r="W155" s="12">
        <v>2026</v>
      </c>
      <c r="X155" s="49">
        <f>DATE(Table3[[#This Row],[Year]],Table3[[#This Row],[Month]],1)</f>
        <v>46357</v>
      </c>
      <c r="Y155" s="228">
        <v>1</v>
      </c>
      <c r="Z155" s="228">
        <v>2026</v>
      </c>
      <c r="AA155" s="49">
        <f>DATE(Table3[[#This Row],[S Yr]],Table3[[#This Row],[S mth]],1)</f>
        <v>46023</v>
      </c>
      <c r="AB155" s="44">
        <v>1600</v>
      </c>
      <c r="AC155" s="40">
        <f>SUMIFS(J:J,G:G,Table3[[#This Row],[Mid bgt]],K:K,"&lt;"&amp;Table3[[#This Row],[End Date]]+1)-SUMIFS(J:J,G:G,Table3[[#This Row],[Mid bgt]],K:K,"&lt;"&amp;Table3[[#This Row],[Start]])</f>
        <v>0</v>
      </c>
      <c r="AD155" s="41">
        <f>Table3[[#This Row],[Planned]]-Table3[[#This Row],[Spent]]</f>
        <v>1600</v>
      </c>
      <c r="AE155" s="44"/>
    </row>
    <row r="156" spans="1:31" x14ac:dyDescent="0.25">
      <c r="B156" t="s">
        <v>63</v>
      </c>
      <c r="C156" s="1">
        <v>8</v>
      </c>
      <c r="D156" s="1">
        <v>2019</v>
      </c>
      <c r="E156" s="166">
        <v>23.7</v>
      </c>
      <c r="F156" s="1" t="s">
        <v>21</v>
      </c>
      <c r="G156" s="1" t="str">
        <f>IF(Table2[[#This Row],[Description]]="","",VLOOKUP(Table2[[#This Row],[Description]],$Q$1:$S$101,2,FALSE))</f>
        <v>Leisure</v>
      </c>
      <c r="H156" s="1" t="str">
        <f>IF(Table2[[#This Row],[Description]]="","",VLOOKUP(Table2[[#This Row],[Description]],$Q$1:$S$101,3,FALSE))</f>
        <v>Short</v>
      </c>
      <c r="I156" s="1">
        <f>IF(Table2[[#This Row],[Description]]="","",IF(Table2[[#This Row],[Currency]]=$O$2,$P$2,HLOOKUP(Table2[[#This Row],[Date]],Funds!$C$10:$GV$11,2,FALSE)))</f>
        <v>1</v>
      </c>
      <c r="J156" s="215">
        <f>IF(Table2[[#This Row],[Description]]="","",Table2[[#This Row],[Value]]/Table2[[#This Row],[Conversion]])</f>
        <v>23.7</v>
      </c>
      <c r="K156" s="45">
        <f>IF(Table2[[#This Row],[Description]]="","",DATE(Table2[[#This Row],[Year]],Table2[[#This Row],[Month]],1))</f>
        <v>43678</v>
      </c>
      <c r="U156" t="s">
        <v>592</v>
      </c>
      <c r="V156" s="12">
        <v>12</v>
      </c>
      <c r="W156" s="12">
        <v>2027</v>
      </c>
      <c r="X156" s="49">
        <f>DATE(Table3[[#This Row],[Year]],Table3[[#This Row],[Month]],1)</f>
        <v>46722</v>
      </c>
      <c r="Y156" s="228">
        <v>1</v>
      </c>
      <c r="Z156" s="228">
        <v>2027</v>
      </c>
      <c r="AA156" s="49">
        <f>DATE(Table3[[#This Row],[S Yr]],Table3[[#This Row],[S mth]],1)</f>
        <v>46388</v>
      </c>
      <c r="AB156" s="44">
        <v>1600</v>
      </c>
      <c r="AC156" s="40">
        <f>SUMIFS(J:J,G:G,Table3[[#This Row],[Mid bgt]],K:K,"&lt;"&amp;Table3[[#This Row],[End Date]]+1)-SUMIFS(J:J,G:G,Table3[[#This Row],[Mid bgt]],K:K,"&lt;"&amp;Table3[[#This Row],[Start]])</f>
        <v>0</v>
      </c>
      <c r="AD156" s="41">
        <f>Table3[[#This Row],[Planned]]-Table3[[#This Row],[Spent]]</f>
        <v>1600</v>
      </c>
      <c r="AE156" s="44"/>
    </row>
    <row r="157" spans="1:31" x14ac:dyDescent="0.25">
      <c r="B157" t="s">
        <v>249</v>
      </c>
      <c r="C157" s="1">
        <v>8</v>
      </c>
      <c r="D157" s="1">
        <v>2019</v>
      </c>
      <c r="E157" s="166">
        <v>125.35</v>
      </c>
      <c r="F157" s="1" t="s">
        <v>21</v>
      </c>
      <c r="G157" s="1" t="str">
        <f>IF(Table2[[#This Row],[Description]]="","",VLOOKUP(Table2[[#This Row],[Description]],$Q$1:$S$101,2,FALSE))</f>
        <v>Leisure</v>
      </c>
      <c r="H157" s="1" t="str">
        <f>IF(Table2[[#This Row],[Description]]="","",VLOOKUP(Table2[[#This Row],[Description]],$Q$1:$S$101,3,FALSE))</f>
        <v>Short</v>
      </c>
      <c r="I157" s="1">
        <f>IF(Table2[[#This Row],[Description]]="","",IF(Table2[[#This Row],[Currency]]=$O$2,$P$2,HLOOKUP(Table2[[#This Row],[Date]],Funds!$C$10:$GV$11,2,FALSE)))</f>
        <v>1</v>
      </c>
      <c r="J157" s="215">
        <f>IF(Table2[[#This Row],[Description]]="","",Table2[[#This Row],[Value]]/Table2[[#This Row],[Conversion]])</f>
        <v>125.35</v>
      </c>
      <c r="K157" s="45">
        <f>IF(Table2[[#This Row],[Description]]="","",DATE(Table2[[#This Row],[Year]],Table2[[#This Row],[Month]],1))</f>
        <v>43678</v>
      </c>
      <c r="U157" t="s">
        <v>592</v>
      </c>
      <c r="V157" s="12">
        <v>12</v>
      </c>
      <c r="W157" s="12">
        <v>2028</v>
      </c>
      <c r="X157" s="49">
        <f>DATE(Table3[[#This Row],[Year]],Table3[[#This Row],[Month]],1)</f>
        <v>47088</v>
      </c>
      <c r="Y157" s="228">
        <v>1</v>
      </c>
      <c r="Z157" s="228">
        <v>2028</v>
      </c>
      <c r="AA157" s="49">
        <f>DATE(Table3[[#This Row],[S Yr]],Table3[[#This Row],[S mth]],1)</f>
        <v>46753</v>
      </c>
      <c r="AB157" s="44">
        <v>1600</v>
      </c>
      <c r="AC157" s="40">
        <f>SUMIFS(J:J,G:G,Table3[[#This Row],[Mid bgt]],K:K,"&lt;"&amp;Table3[[#This Row],[End Date]]+1)-SUMIFS(J:J,G:G,Table3[[#This Row],[Mid bgt]],K:K,"&lt;"&amp;Table3[[#This Row],[Start]])</f>
        <v>0</v>
      </c>
      <c r="AD157" s="41">
        <f>Table3[[#This Row],[Planned]]-Table3[[#This Row],[Spent]]</f>
        <v>1600</v>
      </c>
      <c r="AE157" s="44"/>
    </row>
    <row r="158" spans="1:31" x14ac:dyDescent="0.25">
      <c r="B158" t="s">
        <v>256</v>
      </c>
      <c r="C158" s="1">
        <v>8</v>
      </c>
      <c r="D158" s="1">
        <v>2019</v>
      </c>
      <c r="E158" s="166">
        <v>55.69</v>
      </c>
      <c r="F158" s="1" t="s">
        <v>21</v>
      </c>
      <c r="G158" s="1" t="str">
        <f>IF(Table2[[#This Row],[Description]]="","",VLOOKUP(Table2[[#This Row],[Description]],$Q$1:$S$101,2,FALSE))</f>
        <v>MN free</v>
      </c>
      <c r="H158" s="1" t="str">
        <f>IF(Table2[[#This Row],[Description]]="","",VLOOKUP(Table2[[#This Row],[Description]],$Q$1:$S$101,3,FALSE))</f>
        <v>Mid</v>
      </c>
      <c r="I158" s="1">
        <f>IF(Table2[[#This Row],[Description]]="","",IF(Table2[[#This Row],[Currency]]=$O$2,$P$2,HLOOKUP(Table2[[#This Row],[Date]],Funds!$C$10:$GV$11,2,FALSE)))</f>
        <v>1</v>
      </c>
      <c r="J158" s="215">
        <f>IF(Table2[[#This Row],[Description]]="","",Table2[[#This Row],[Value]]/Table2[[#This Row],[Conversion]])</f>
        <v>55.69</v>
      </c>
      <c r="K158" s="45">
        <f>IF(Table2[[#This Row],[Description]]="","",DATE(Table2[[#This Row],[Year]],Table2[[#This Row],[Month]],1))</f>
        <v>43678</v>
      </c>
      <c r="U158" t="s">
        <v>592</v>
      </c>
      <c r="V158" s="12">
        <v>12</v>
      </c>
      <c r="W158" s="12">
        <v>2029</v>
      </c>
      <c r="X158" s="49">
        <f>DATE(Table3[[#This Row],[Year]],Table3[[#This Row],[Month]],1)</f>
        <v>47453</v>
      </c>
      <c r="Y158" s="228">
        <v>1</v>
      </c>
      <c r="Z158" s="228">
        <v>2029</v>
      </c>
      <c r="AA158" s="49">
        <f>DATE(Table3[[#This Row],[S Yr]],Table3[[#This Row],[S mth]],1)</f>
        <v>47119</v>
      </c>
      <c r="AB158" s="44">
        <v>1600</v>
      </c>
      <c r="AC158" s="40">
        <f>SUMIFS(J:J,G:G,Table3[[#This Row],[Mid bgt]],K:K,"&lt;"&amp;Table3[[#This Row],[End Date]]+1)-SUMIFS(J:J,G:G,Table3[[#This Row],[Mid bgt]],K:K,"&lt;"&amp;Table3[[#This Row],[Start]])</f>
        <v>0</v>
      </c>
      <c r="AD158" s="41">
        <f>Table3[[#This Row],[Planned]]-Table3[[#This Row],[Spent]]</f>
        <v>1600</v>
      </c>
      <c r="AE158" s="44"/>
    </row>
    <row r="159" spans="1:31" x14ac:dyDescent="0.25">
      <c r="B159" t="s">
        <v>35</v>
      </c>
      <c r="C159" s="1">
        <v>8</v>
      </c>
      <c r="D159" s="1">
        <v>2019</v>
      </c>
      <c r="E159" s="166">
        <v>85.36</v>
      </c>
      <c r="F159" s="1" t="s">
        <v>21</v>
      </c>
      <c r="G159" s="1" t="str">
        <f>IF(Table2[[#This Row],[Description]]="","",VLOOKUP(Table2[[#This Row],[Description]],$Q$1:$S$101,2,FALSE))</f>
        <v>Cellphone</v>
      </c>
      <c r="H159" s="1" t="str">
        <f>IF(Table2[[#This Row],[Description]]="","",VLOOKUP(Table2[[#This Row],[Description]],$Q$1:$S$101,3,FALSE))</f>
        <v>Short</v>
      </c>
      <c r="I159" s="1">
        <f>IF(Table2[[#This Row],[Description]]="","",IF(Table2[[#This Row],[Currency]]=$O$2,$P$2,HLOOKUP(Table2[[#This Row],[Date]],Funds!$C$10:$GV$11,2,FALSE)))</f>
        <v>1</v>
      </c>
      <c r="J159" s="215">
        <f>IF(Table2[[#This Row],[Description]]="","",Table2[[#This Row],[Value]]/Table2[[#This Row],[Conversion]])</f>
        <v>85.36</v>
      </c>
      <c r="K159" s="45">
        <f>IF(Table2[[#This Row],[Description]]="","",DATE(Table2[[#This Row],[Year]],Table2[[#This Row],[Month]],1))</f>
        <v>43678</v>
      </c>
      <c r="U159" t="s">
        <v>592</v>
      </c>
      <c r="V159" s="12">
        <v>12</v>
      </c>
      <c r="W159" s="12">
        <v>2030</v>
      </c>
      <c r="X159" s="49">
        <f>DATE(Table3[[#This Row],[Year]],Table3[[#This Row],[Month]],1)</f>
        <v>47818</v>
      </c>
      <c r="Y159" s="228">
        <v>1</v>
      </c>
      <c r="Z159" s="228">
        <v>2030</v>
      </c>
      <c r="AA159" s="49">
        <f>DATE(Table3[[#This Row],[S Yr]],Table3[[#This Row],[S mth]],1)</f>
        <v>47484</v>
      </c>
      <c r="AB159" s="44">
        <v>1600</v>
      </c>
      <c r="AC159" s="40">
        <f>SUMIFS(J:J,G:G,Table3[[#This Row],[Mid bgt]],K:K,"&lt;"&amp;Table3[[#This Row],[End Date]]+1)-SUMIFS(J:J,G:G,Table3[[#This Row],[Mid bgt]],K:K,"&lt;"&amp;Table3[[#This Row],[Start]])</f>
        <v>0</v>
      </c>
      <c r="AD159" s="41">
        <f>Table3[[#This Row],[Planned]]-Table3[[#This Row],[Spent]]</f>
        <v>1600</v>
      </c>
      <c r="AE159" s="44"/>
    </row>
    <row r="160" spans="1:31" x14ac:dyDescent="0.25">
      <c r="B160" t="s">
        <v>29</v>
      </c>
      <c r="C160" s="1">
        <v>8</v>
      </c>
      <c r="D160" s="1">
        <v>2019</v>
      </c>
      <c r="E160" s="166">
        <v>24.3</v>
      </c>
      <c r="F160" s="1" t="s">
        <v>21</v>
      </c>
      <c r="G160" s="1" t="str">
        <f>IF(Table2[[#This Row],[Description]]="","",VLOOKUP(Table2[[#This Row],[Description]],$Q$1:$S$101,2,FALSE))</f>
        <v>Health</v>
      </c>
      <c r="H160" s="1" t="str">
        <f>IF(Table2[[#This Row],[Description]]="","",VLOOKUP(Table2[[#This Row],[Description]],$Q$1:$S$101,3,FALSE))</f>
        <v>Mid</v>
      </c>
      <c r="I160" s="1">
        <f>IF(Table2[[#This Row],[Description]]="","",IF(Table2[[#This Row],[Currency]]=$O$2,$P$2,HLOOKUP(Table2[[#This Row],[Date]],Funds!$C$10:$GV$11,2,FALSE)))</f>
        <v>1</v>
      </c>
      <c r="J160" s="215">
        <f>IF(Table2[[#This Row],[Description]]="","",Table2[[#This Row],[Value]]/Table2[[#This Row],[Conversion]])</f>
        <v>24.3</v>
      </c>
      <c r="K160" s="45">
        <f>IF(Table2[[#This Row],[Description]]="","",DATE(Table2[[#This Row],[Year]],Table2[[#This Row],[Month]],1))</f>
        <v>43678</v>
      </c>
      <c r="U160" s="9" t="s">
        <v>288</v>
      </c>
      <c r="V160" s="10">
        <v>8</v>
      </c>
      <c r="W160" s="10">
        <v>2019</v>
      </c>
      <c r="X160" s="49">
        <f>DATE(Table3[[#This Row],[Year]],Table3[[#This Row],[Month]],1)</f>
        <v>43678</v>
      </c>
      <c r="Y160" s="228">
        <v>6</v>
      </c>
      <c r="Z160" s="228">
        <v>2019</v>
      </c>
      <c r="AA160" s="49">
        <f>DATE(Table3[[#This Row],[S Yr]],Table3[[#This Row],[S mth]],1)</f>
        <v>43617</v>
      </c>
      <c r="AB160" s="40">
        <f>5795+1090</f>
        <v>6885</v>
      </c>
      <c r="AC160" s="40">
        <f>SUMIFS(J:J,G:G,Table3[[#This Row],[Mid bgt]],K:K,"&lt;"&amp;Table3[[#This Row],[End Date]]+1)-SUMIFS(J:J,G:G,Table3[[#This Row],[Mid bgt]],K:K,"&lt;"&amp;Table3[[#This Row],[Start]])</f>
        <v>6607.2099999999991</v>
      </c>
      <c r="AD160" s="41">
        <f>Table3[[#This Row],[Planned]]-Table3[[#This Row],[Spent]]</f>
        <v>277.79000000000087</v>
      </c>
      <c r="AE160" s="44"/>
    </row>
    <row r="161" spans="2:31" x14ac:dyDescent="0.25">
      <c r="B161" t="s">
        <v>541</v>
      </c>
      <c r="C161" s="1">
        <v>8</v>
      </c>
      <c r="D161" s="1">
        <v>2019</v>
      </c>
      <c r="E161" s="166">
        <v>201.58000000000004</v>
      </c>
      <c r="F161" s="1" t="s">
        <v>21</v>
      </c>
      <c r="G161" s="1" t="str">
        <f>IF(Table2[[#This Row],[Description]]="","",VLOOKUP(Table2[[#This Row],[Description]],$Q$1:$S$101,2,FALSE))</f>
        <v>Turism</v>
      </c>
      <c r="H161" s="1" t="str">
        <f>IF(Table2[[#This Row],[Description]]="","",VLOOKUP(Table2[[#This Row],[Description]],$Q$1:$S$101,3,FALSE))</f>
        <v>Trip</v>
      </c>
      <c r="I161" s="1">
        <f>IF(Table2[[#This Row],[Description]]="","",IF(Table2[[#This Row],[Currency]]=$O$2,$P$2,HLOOKUP(Table2[[#This Row],[Date]],Funds!$C$10:$GV$11,2,FALSE)))</f>
        <v>1</v>
      </c>
      <c r="J161" s="215">
        <f>IF(Table2[[#This Row],[Description]]="","",Table2[[#This Row],[Value]]/Table2[[#This Row],[Conversion]])</f>
        <v>201.58000000000004</v>
      </c>
      <c r="K161" s="45">
        <f>IF(Table2[[#This Row],[Description]]="","",DATE(Table2[[#This Row],[Year]],Table2[[#This Row],[Month]],1))</f>
        <v>43678</v>
      </c>
      <c r="AA161" s="47"/>
      <c r="AC161" s="40"/>
      <c r="AD161" s="41"/>
      <c r="AE161" s="44"/>
    </row>
    <row r="162" spans="2:31" x14ac:dyDescent="0.25">
      <c r="B162" t="s">
        <v>31</v>
      </c>
      <c r="C162" s="1">
        <v>8</v>
      </c>
      <c r="D162" s="1">
        <v>2019</v>
      </c>
      <c r="E162" s="166">
        <v>1710.58</v>
      </c>
      <c r="F162" s="1" t="s">
        <v>21</v>
      </c>
      <c r="G162" s="1" t="str">
        <f>IF(Table2[[#This Row],[Description]]="","",VLOOKUP(Table2[[#This Row],[Description]],$Q$1:$S$101,2,FALSE))</f>
        <v>Rent</v>
      </c>
      <c r="H162" s="1" t="str">
        <f>IF(Table2[[#This Row],[Description]]="","",VLOOKUP(Table2[[#This Row],[Description]],$Q$1:$S$101,3,FALSE))</f>
        <v>Short</v>
      </c>
      <c r="I162" s="1">
        <f>IF(Table2[[#This Row],[Description]]="","",IF(Table2[[#This Row],[Currency]]=$O$2,$P$2,HLOOKUP(Table2[[#This Row],[Date]],Funds!$C$10:$GV$11,2,FALSE)))</f>
        <v>1</v>
      </c>
      <c r="J162" s="215">
        <f>IF(Table2[[#This Row],[Description]]="","",Table2[[#This Row],[Value]]/Table2[[#This Row],[Conversion]])</f>
        <v>1710.58</v>
      </c>
      <c r="K162" s="45">
        <f>IF(Table2[[#This Row],[Description]]="","",DATE(Table2[[#This Row],[Year]],Table2[[#This Row],[Month]],1))</f>
        <v>43678</v>
      </c>
      <c r="AA162" s="47"/>
      <c r="AC162" s="40"/>
      <c r="AD162" s="41"/>
      <c r="AE162" s="44"/>
    </row>
    <row r="163" spans="2:31" x14ac:dyDescent="0.25">
      <c r="B163" t="s">
        <v>255</v>
      </c>
      <c r="C163" s="1">
        <v>8</v>
      </c>
      <c r="D163" s="1">
        <v>2019</v>
      </c>
      <c r="E163" s="166">
        <v>24.96</v>
      </c>
      <c r="F163" s="1" t="s">
        <v>21</v>
      </c>
      <c r="G163" s="1" t="str">
        <f>IF(Table2[[#This Row],[Description]]="","",VLOOKUP(Table2[[#This Row],[Description]],$Q$1:$S$101,2,FALSE))</f>
        <v>EK free</v>
      </c>
      <c r="H163" s="1" t="str">
        <f>IF(Table2[[#This Row],[Description]]="","",VLOOKUP(Table2[[#This Row],[Description]],$Q$1:$S$101,3,FALSE))</f>
        <v>Mid</v>
      </c>
      <c r="I163" s="1">
        <f>IF(Table2[[#This Row],[Description]]="","",IF(Table2[[#This Row],[Currency]]=$O$2,$P$2,HLOOKUP(Table2[[#This Row],[Date]],Funds!$C$10:$GV$11,2,FALSE)))</f>
        <v>1</v>
      </c>
      <c r="J163" s="215">
        <f>IF(Table2[[#This Row],[Description]]="","",Table2[[#This Row],[Value]]/Table2[[#This Row],[Conversion]])</f>
        <v>24.96</v>
      </c>
      <c r="K163" s="45">
        <f>IF(Table2[[#This Row],[Description]]="","",DATE(Table2[[#This Row],[Year]],Table2[[#This Row],[Month]],1))</f>
        <v>43678</v>
      </c>
      <c r="AA163" s="47"/>
      <c r="AC163" s="40"/>
      <c r="AD163" s="41"/>
      <c r="AE163" s="44"/>
    </row>
    <row r="164" spans="2:31" x14ac:dyDescent="0.25">
      <c r="B164" t="s">
        <v>61</v>
      </c>
      <c r="C164" s="1">
        <v>8</v>
      </c>
      <c r="D164" s="1">
        <v>2019</v>
      </c>
      <c r="E164" s="166">
        <v>11.12</v>
      </c>
      <c r="F164" s="1" t="s">
        <v>21</v>
      </c>
      <c r="G164" s="1" t="str">
        <f>IF(Table2[[#This Row],[Description]]="","",VLOOKUP(Table2[[#This Row],[Description]],$Q$1:$S$101,2,FALSE))</f>
        <v>Transportation</v>
      </c>
      <c r="H164" s="1" t="str">
        <f>IF(Table2[[#This Row],[Description]]="","",VLOOKUP(Table2[[#This Row],[Description]],$Q$1:$S$101,3,FALSE))</f>
        <v>Short</v>
      </c>
      <c r="I164" s="1">
        <f>IF(Table2[[#This Row],[Description]]="","",IF(Table2[[#This Row],[Currency]]=$O$2,$P$2,HLOOKUP(Table2[[#This Row],[Date]],Funds!$C$10:$GV$11,2,FALSE)))</f>
        <v>1</v>
      </c>
      <c r="J164" s="215">
        <f>IF(Table2[[#This Row],[Description]]="","",Table2[[#This Row],[Value]]/Table2[[#This Row],[Conversion]])</f>
        <v>11.12</v>
      </c>
      <c r="K164" s="45">
        <f>IF(Table2[[#This Row],[Description]]="","",DATE(Table2[[#This Row],[Year]],Table2[[#This Row],[Month]],1))</f>
        <v>43678</v>
      </c>
      <c r="AA164" s="47"/>
      <c r="AC164" s="40"/>
      <c r="AD164" s="41"/>
      <c r="AE164" s="44"/>
    </row>
    <row r="165" spans="2:31" x14ac:dyDescent="0.25">
      <c r="B165" t="s">
        <v>320</v>
      </c>
      <c r="C165" s="1">
        <v>8</v>
      </c>
      <c r="D165" s="1">
        <v>2019</v>
      </c>
      <c r="E165" s="166">
        <v>419.2112661994372</v>
      </c>
      <c r="F165" s="1" t="s">
        <v>21</v>
      </c>
      <c r="G165" s="1" t="str">
        <f>IF(Table2[[#This Row],[Description]]="","",VLOOKUP(Table2[[#This Row],[Description]],$Q$1:$S$101,2,FALSE))</f>
        <v>Long</v>
      </c>
      <c r="H165" s="1" t="str">
        <f>IF(Table2[[#This Row],[Description]]="","",VLOOKUP(Table2[[#This Row],[Description]],$Q$1:$S$101,3,FALSE))</f>
        <v>Long</v>
      </c>
      <c r="I165" s="1">
        <f>IF(Table2[[#This Row],[Description]]="","",IF(Table2[[#This Row],[Currency]]=$O$2,$P$2,HLOOKUP(Table2[[#This Row],[Date]],Funds!$C$10:$GV$11,2,FALSE)))</f>
        <v>1</v>
      </c>
      <c r="J165" s="215">
        <f>IF(Table2[[#This Row],[Description]]="","",Table2[[#This Row],[Value]]/Table2[[#This Row],[Conversion]])</f>
        <v>419.2112661994372</v>
      </c>
      <c r="K165" s="45">
        <f>IF(Table2[[#This Row],[Description]]="","",DATE(Table2[[#This Row],[Year]],Table2[[#This Row],[Month]],1))</f>
        <v>43678</v>
      </c>
      <c r="AA165" s="47"/>
      <c r="AC165" s="40"/>
      <c r="AD165" s="41"/>
      <c r="AE165" s="44"/>
    </row>
    <row r="166" spans="2:31" x14ac:dyDescent="0.25">
      <c r="B166" t="s">
        <v>46</v>
      </c>
      <c r="C166" s="1">
        <v>8</v>
      </c>
      <c r="D166" s="1">
        <v>2019</v>
      </c>
      <c r="E166" s="166">
        <v>159.85638761938327</v>
      </c>
      <c r="F166" s="1" t="s">
        <v>21</v>
      </c>
      <c r="G166" s="1" t="str">
        <f>IF(Table2[[#This Row],[Description]]="","",VLOOKUP(Table2[[#This Row],[Description]],$Q$1:$S$101,2,FALSE))</f>
        <v>Health care</v>
      </c>
      <c r="H166" s="1" t="str">
        <f>IF(Table2[[#This Row],[Description]]="","",VLOOKUP(Table2[[#This Row],[Description]],$Q$1:$S$101,3,FALSE))</f>
        <v>Short</v>
      </c>
      <c r="I166" s="1">
        <f>IF(Table2[[#This Row],[Description]]="","",IF(Table2[[#This Row],[Currency]]=$O$2,$P$2,HLOOKUP(Table2[[#This Row],[Date]],Funds!$C$10:$GV$11,2,FALSE)))</f>
        <v>1</v>
      </c>
      <c r="J166" s="215">
        <f>IF(Table2[[#This Row],[Description]]="","",Table2[[#This Row],[Value]]/Table2[[#This Row],[Conversion]])</f>
        <v>159.85638761938327</v>
      </c>
      <c r="K166" s="45">
        <f>IF(Table2[[#This Row],[Description]]="","",DATE(Table2[[#This Row],[Year]],Table2[[#This Row],[Month]],1))</f>
        <v>43678</v>
      </c>
      <c r="AA166" s="47"/>
      <c r="AC166" s="40"/>
      <c r="AD166" s="41"/>
      <c r="AE166" s="44"/>
    </row>
    <row r="167" spans="2:31" x14ac:dyDescent="0.25">
      <c r="B167" t="s">
        <v>324</v>
      </c>
      <c r="C167" s="1">
        <v>8</v>
      </c>
      <c r="D167" s="1">
        <v>2019</v>
      </c>
      <c r="E167" s="166">
        <v>20.636006401774932</v>
      </c>
      <c r="F167" s="1" t="s">
        <v>21</v>
      </c>
      <c r="G167" s="1" t="str">
        <f>IF(Table2[[#This Row],[Description]]="","",VLOOKUP(Table2[[#This Row],[Description]],$Q$1:$S$101,2,FALSE))</f>
        <v>Health care</v>
      </c>
      <c r="H167" s="1" t="str">
        <f>IF(Table2[[#This Row],[Description]]="","",VLOOKUP(Table2[[#This Row],[Description]],$Q$1:$S$101,3,FALSE))</f>
        <v>Short</v>
      </c>
      <c r="I167" s="1">
        <f>IF(Table2[[#This Row],[Description]]="","",IF(Table2[[#This Row],[Currency]]=$O$2,$P$2,HLOOKUP(Table2[[#This Row],[Date]],Funds!$C$10:$GV$11,2,FALSE)))</f>
        <v>1</v>
      </c>
      <c r="J167" s="215">
        <f>IF(Table2[[#This Row],[Description]]="","",Table2[[#This Row],[Value]]/Table2[[#This Row],[Conversion]])</f>
        <v>20.636006401774932</v>
      </c>
      <c r="K167" s="45">
        <f>IF(Table2[[#This Row],[Description]]="","",DATE(Table2[[#This Row],[Year]],Table2[[#This Row],[Month]],1))</f>
        <v>43678</v>
      </c>
      <c r="AA167" s="47"/>
      <c r="AC167" s="40"/>
      <c r="AD167" s="41"/>
      <c r="AE167" s="44"/>
    </row>
    <row r="168" spans="2:31" x14ac:dyDescent="0.25">
      <c r="B168" t="s">
        <v>59</v>
      </c>
      <c r="C168" s="1">
        <v>8</v>
      </c>
      <c r="D168" s="1">
        <v>2019</v>
      </c>
      <c r="E168" s="166">
        <v>84.772326767854764</v>
      </c>
      <c r="F168" s="1" t="s">
        <v>21</v>
      </c>
      <c r="G168" s="1" t="str">
        <f>IF(Table2[[#This Row],[Description]]="","",VLOOKUP(Table2[[#This Row],[Description]],$Q$1:$S$101,2,FALSE))</f>
        <v>Transportation</v>
      </c>
      <c r="H168" s="1" t="str">
        <f>IF(Table2[[#This Row],[Description]]="","",VLOOKUP(Table2[[#This Row],[Description]],$Q$1:$S$101,3,FALSE))</f>
        <v>Short</v>
      </c>
      <c r="I168" s="1">
        <f>IF(Table2[[#This Row],[Description]]="","",IF(Table2[[#This Row],[Currency]]=$O$2,$P$2,HLOOKUP(Table2[[#This Row],[Date]],Funds!$C$10:$GV$11,2,FALSE)))</f>
        <v>1</v>
      </c>
      <c r="J168" s="215">
        <f>IF(Table2[[#This Row],[Description]]="","",Table2[[#This Row],[Value]]/Table2[[#This Row],[Conversion]])</f>
        <v>84.772326767854764</v>
      </c>
      <c r="K168" s="45">
        <f>IF(Table2[[#This Row],[Description]]="","",DATE(Table2[[#This Row],[Year]],Table2[[#This Row],[Month]],1))</f>
        <v>43678</v>
      </c>
      <c r="AA168" s="47"/>
      <c r="AC168" s="40"/>
      <c r="AD168" s="41"/>
      <c r="AE168" s="44"/>
    </row>
    <row r="169" spans="2:31" x14ac:dyDescent="0.25">
      <c r="B169" t="s">
        <v>541</v>
      </c>
      <c r="C169" s="1">
        <v>8</v>
      </c>
      <c r="D169" s="1">
        <v>2019</v>
      </c>
      <c r="E169" s="166">
        <v>94.24</v>
      </c>
      <c r="F169" s="1" t="s">
        <v>21</v>
      </c>
      <c r="G169" s="1" t="str">
        <f>IF(Table2[[#This Row],[Description]]="","",VLOOKUP(Table2[[#This Row],[Description]],$Q$1:$S$101,2,FALSE))</f>
        <v>Turism</v>
      </c>
      <c r="H169" s="1" t="str">
        <f>IF(Table2[[#This Row],[Description]]="","",VLOOKUP(Table2[[#This Row],[Description]],$Q$1:$S$101,3,FALSE))</f>
        <v>Trip</v>
      </c>
      <c r="I169" s="1">
        <f>IF(Table2[[#This Row],[Description]]="","",IF(Table2[[#This Row],[Currency]]=$O$2,$P$2,HLOOKUP(Table2[[#This Row],[Date]],Funds!$C$10:$GV$11,2,FALSE)))</f>
        <v>1</v>
      </c>
      <c r="J169" s="215">
        <f>IF(Table2[[#This Row],[Description]]="","",Table2[[#This Row],[Value]]/Table2[[#This Row],[Conversion]])</f>
        <v>94.24</v>
      </c>
      <c r="K169" s="45">
        <f>IF(Table2[[#This Row],[Description]]="","",DATE(Table2[[#This Row],[Year]],Table2[[#This Row],[Month]],1))</f>
        <v>43678</v>
      </c>
      <c r="AA169" s="47"/>
      <c r="AC169" s="40"/>
      <c r="AD169" s="41"/>
      <c r="AE169" s="44"/>
    </row>
    <row r="170" spans="2:31" x14ac:dyDescent="0.25">
      <c r="B170" t="s">
        <v>255</v>
      </c>
      <c r="C170" s="1">
        <v>8</v>
      </c>
      <c r="D170" s="1">
        <v>2019</v>
      </c>
      <c r="E170" s="166">
        <f>154.95/2</f>
        <v>77.474999999999994</v>
      </c>
      <c r="F170" s="1" t="s">
        <v>21</v>
      </c>
      <c r="G170" s="1" t="str">
        <f>IF(Table2[[#This Row],[Description]]="","",VLOOKUP(Table2[[#This Row],[Description]],$Q$1:$S$101,2,FALSE))</f>
        <v>EK free</v>
      </c>
      <c r="H170" s="1" t="str">
        <f>IF(Table2[[#This Row],[Description]]="","",VLOOKUP(Table2[[#This Row],[Description]],$Q$1:$S$101,3,FALSE))</f>
        <v>Mid</v>
      </c>
      <c r="I170" s="1">
        <f>IF(Table2[[#This Row],[Description]]="","",IF(Table2[[#This Row],[Currency]]=$O$2,$P$2,HLOOKUP(Table2[[#This Row],[Date]],Funds!$C$10:$GV$11,2,FALSE)))</f>
        <v>1</v>
      </c>
      <c r="J170" s="215">
        <f>IF(Table2[[#This Row],[Description]]="","",Table2[[#This Row],[Value]]/Table2[[#This Row],[Conversion]])</f>
        <v>77.474999999999994</v>
      </c>
      <c r="K170" s="45">
        <f>IF(Table2[[#This Row],[Description]]="","",DATE(Table2[[#This Row],[Year]],Table2[[#This Row],[Month]],1))</f>
        <v>43678</v>
      </c>
      <c r="AA170" s="47"/>
      <c r="AC170" s="40"/>
      <c r="AD170" s="41"/>
      <c r="AE170" s="44"/>
    </row>
    <row r="171" spans="2:31" x14ac:dyDescent="0.25">
      <c r="B171" t="s">
        <v>256</v>
      </c>
      <c r="C171" s="1">
        <v>8</v>
      </c>
      <c r="D171" s="1">
        <v>2019</v>
      </c>
      <c r="E171" s="166">
        <f>154.95/2</f>
        <v>77.474999999999994</v>
      </c>
      <c r="F171" s="1" t="s">
        <v>21</v>
      </c>
      <c r="G171" s="1" t="str">
        <f>IF(Table2[[#This Row],[Description]]="","",VLOOKUP(Table2[[#This Row],[Description]],$Q$1:$S$101,2,FALSE))</f>
        <v>MN free</v>
      </c>
      <c r="H171" s="1" t="str">
        <f>IF(Table2[[#This Row],[Description]]="","",VLOOKUP(Table2[[#This Row],[Description]],$Q$1:$S$101,3,FALSE))</f>
        <v>Mid</v>
      </c>
      <c r="I171" s="1">
        <f>IF(Table2[[#This Row],[Description]]="","",IF(Table2[[#This Row],[Currency]]=$O$2,$P$2,HLOOKUP(Table2[[#This Row],[Date]],Funds!$C$10:$GV$11,2,FALSE)))</f>
        <v>1</v>
      </c>
      <c r="J171" s="215">
        <f>IF(Table2[[#This Row],[Description]]="","",Table2[[#This Row],[Value]]/Table2[[#This Row],[Conversion]])</f>
        <v>77.474999999999994</v>
      </c>
      <c r="K171" s="45">
        <f>IF(Table2[[#This Row],[Description]]="","",DATE(Table2[[#This Row],[Year]],Table2[[#This Row],[Month]],1))</f>
        <v>43678</v>
      </c>
      <c r="AA171" s="47"/>
      <c r="AC171" s="40"/>
      <c r="AD171" s="41"/>
      <c r="AE171" s="44"/>
    </row>
    <row r="172" spans="2:31" x14ac:dyDescent="0.25">
      <c r="B172" t="s">
        <v>267</v>
      </c>
      <c r="C172" s="1">
        <v>8</v>
      </c>
      <c r="D172" s="1">
        <v>2019</v>
      </c>
      <c r="E172" s="166">
        <v>13.9</v>
      </c>
      <c r="F172" s="1" t="s">
        <v>21</v>
      </c>
      <c r="G172" s="1" t="str">
        <f>IF(Table2[[#This Row],[Description]]="","",VLOOKUP(Table2[[#This Row],[Description]],$Q$1:$S$101,2,FALSE))</f>
        <v>Leisure</v>
      </c>
      <c r="H172" s="1" t="str">
        <f>IF(Table2[[#This Row],[Description]]="","",VLOOKUP(Table2[[#This Row],[Description]],$Q$1:$S$101,3,FALSE))</f>
        <v>Short</v>
      </c>
      <c r="I172" s="1">
        <f>IF(Table2[[#This Row],[Description]]="","",IF(Table2[[#This Row],[Currency]]=$O$2,$P$2,HLOOKUP(Table2[[#This Row],[Date]],Funds!$C$10:$GV$11,2,FALSE)))</f>
        <v>1</v>
      </c>
      <c r="J172" s="215">
        <f>IF(Table2[[#This Row],[Description]]="","",Table2[[#This Row],[Value]]/Table2[[#This Row],[Conversion]])</f>
        <v>13.9</v>
      </c>
      <c r="K172" s="45">
        <f>IF(Table2[[#This Row],[Description]]="","",DATE(Table2[[#This Row],[Year]],Table2[[#This Row],[Month]],1))</f>
        <v>43678</v>
      </c>
      <c r="AA172" s="47"/>
      <c r="AC172" s="40"/>
      <c r="AD172" s="41"/>
      <c r="AE172" s="44"/>
    </row>
    <row r="173" spans="2:31" x14ac:dyDescent="0.25">
      <c r="B173" t="s">
        <v>29</v>
      </c>
      <c r="C173" s="1">
        <v>8</v>
      </c>
      <c r="D173" s="1">
        <v>2019</v>
      </c>
      <c r="E173" s="166">
        <v>7.99</v>
      </c>
      <c r="F173" s="1" t="s">
        <v>21</v>
      </c>
      <c r="G173" s="1" t="str">
        <f>IF(Table2[[#This Row],[Description]]="","",VLOOKUP(Table2[[#This Row],[Description]],$Q$1:$S$101,2,FALSE))</f>
        <v>Health</v>
      </c>
      <c r="H173" s="1" t="str">
        <f>IF(Table2[[#This Row],[Description]]="","",VLOOKUP(Table2[[#This Row],[Description]],$Q$1:$S$101,3,FALSE))</f>
        <v>Mid</v>
      </c>
      <c r="I173" s="1">
        <f>IF(Table2[[#This Row],[Description]]="","",IF(Table2[[#This Row],[Currency]]=$O$2,$P$2,HLOOKUP(Table2[[#This Row],[Date]],Funds!$C$10:$GV$11,2,FALSE)))</f>
        <v>1</v>
      </c>
      <c r="J173" s="215">
        <f>IF(Table2[[#This Row],[Description]]="","",Table2[[#This Row],[Value]]/Table2[[#This Row],[Conversion]])</f>
        <v>7.99</v>
      </c>
      <c r="K173" s="45">
        <f>IF(Table2[[#This Row],[Description]]="","",DATE(Table2[[#This Row],[Year]],Table2[[#This Row],[Month]],1))</f>
        <v>43678</v>
      </c>
      <c r="AA173" s="47"/>
      <c r="AC173" s="40"/>
      <c r="AD173" s="41"/>
      <c r="AE173" s="44"/>
    </row>
    <row r="174" spans="2:31" x14ac:dyDescent="0.25">
      <c r="B174" t="s">
        <v>58</v>
      </c>
      <c r="C174" s="1">
        <v>8</v>
      </c>
      <c r="D174" s="1">
        <v>2019</v>
      </c>
      <c r="E174" s="166">
        <v>24.55</v>
      </c>
      <c r="F174" s="1" t="s">
        <v>21</v>
      </c>
      <c r="G174" s="1" t="str">
        <f>IF(Table2[[#This Row],[Description]]="","",VLOOKUP(Table2[[#This Row],[Description]],$Q$1:$S$101,2,FALSE))</f>
        <v>Food</v>
      </c>
      <c r="H174" s="1" t="str">
        <f>IF(Table2[[#This Row],[Description]]="","",VLOOKUP(Table2[[#This Row],[Description]],$Q$1:$S$101,3,FALSE))</f>
        <v>Short</v>
      </c>
      <c r="I174" s="1">
        <f>IF(Table2[[#This Row],[Description]]="","",IF(Table2[[#This Row],[Currency]]=$O$2,$P$2,HLOOKUP(Table2[[#This Row],[Date]],Funds!$C$10:$GV$11,2,FALSE)))</f>
        <v>1</v>
      </c>
      <c r="J174" s="215">
        <f>IF(Table2[[#This Row],[Description]]="","",Table2[[#This Row],[Value]]/Table2[[#This Row],[Conversion]])</f>
        <v>24.55</v>
      </c>
      <c r="K174" s="45">
        <f>IF(Table2[[#This Row],[Description]]="","",DATE(Table2[[#This Row],[Year]],Table2[[#This Row],[Month]],1))</f>
        <v>43678</v>
      </c>
      <c r="AA174" s="47"/>
      <c r="AC174" s="40"/>
      <c r="AD174" s="41"/>
      <c r="AE174" s="44"/>
    </row>
    <row r="175" spans="2:31" x14ac:dyDescent="0.25">
      <c r="B175" t="s">
        <v>250</v>
      </c>
      <c r="C175" s="1">
        <v>8</v>
      </c>
      <c r="D175" s="1">
        <v>2019</v>
      </c>
      <c r="E175" s="166">
        <v>100</v>
      </c>
      <c r="F175" s="1" t="s">
        <v>21</v>
      </c>
      <c r="G175" s="1" t="str">
        <f>IF(Table2[[#This Row],[Description]]="","",VLOOKUP(Table2[[#This Row],[Description]],$Q$1:$S$101,2,FALSE))</f>
        <v>EK Loan termination</v>
      </c>
      <c r="H175" s="1" t="str">
        <f>IF(Table2[[#This Row],[Description]]="","",VLOOKUP(Table2[[#This Row],[Description]],$Q$1:$S$101,3,FALSE))</f>
        <v>Mid</v>
      </c>
      <c r="I175" s="1">
        <f>IF(Table2[[#This Row],[Description]]="","",IF(Table2[[#This Row],[Currency]]=$O$2,$P$2,HLOOKUP(Table2[[#This Row],[Date]],Funds!$C$10:$GV$11,2,FALSE)))</f>
        <v>1</v>
      </c>
      <c r="J175" s="215">
        <f>IF(Table2[[#This Row],[Description]]="","",Table2[[#This Row],[Value]]/Table2[[#This Row],[Conversion]])</f>
        <v>100</v>
      </c>
      <c r="K175" s="45">
        <f>IF(Table2[[#This Row],[Description]]="","",DATE(Table2[[#This Row],[Year]],Table2[[#This Row],[Month]],1))</f>
        <v>43678</v>
      </c>
      <c r="AA175" s="47"/>
      <c r="AC175" s="40"/>
      <c r="AD175" s="41"/>
      <c r="AE175" s="44"/>
    </row>
    <row r="176" spans="2:31" x14ac:dyDescent="0.25">
      <c r="B176" t="s">
        <v>120</v>
      </c>
      <c r="C176" s="1">
        <v>8</v>
      </c>
      <c r="D176" s="1">
        <v>2019</v>
      </c>
      <c r="E176" s="166">
        <v>6342</v>
      </c>
      <c r="F176" s="1" t="s">
        <v>22</v>
      </c>
      <c r="G176" s="1" t="str">
        <f>IF(Table2[[#This Row],[Description]]="","",VLOOKUP(Table2[[#This Row],[Description]],$Q$1:$S$101,2,FALSE))</f>
        <v>Investment</v>
      </c>
      <c r="H176" s="1" t="str">
        <f>IF(Table2[[#This Row],[Description]]="","",VLOOKUP(Table2[[#This Row],[Description]],$Q$1:$S$101,3,FALSE))</f>
        <v>Long</v>
      </c>
      <c r="I176" s="1">
        <f>IF(Table2[[#This Row],[Description]]="","",IF(Table2[[#This Row],[Currency]]=$O$2,$P$2,HLOOKUP(Table2[[#This Row],[Date]],Funds!$C$10:$GV$11,2,FALSE)))</f>
        <v>4.1399999999999997</v>
      </c>
      <c r="J176" s="215">
        <f>IF(Table2[[#This Row],[Description]]="","",Table2[[#This Row],[Value]]/Table2[[#This Row],[Conversion]])</f>
        <v>1531.8840579710145</v>
      </c>
      <c r="K176" s="45">
        <f>IF(Table2[[#This Row],[Description]]="","",DATE(Table2[[#This Row],[Year]],Table2[[#This Row],[Month]],1))</f>
        <v>43678</v>
      </c>
      <c r="AA176" s="47"/>
      <c r="AC176" s="40"/>
      <c r="AD176" s="41"/>
      <c r="AE176" s="44"/>
    </row>
    <row r="177" spans="2:31" x14ac:dyDescent="0.25">
      <c r="B177" t="s">
        <v>262</v>
      </c>
      <c r="C177" s="1">
        <v>8</v>
      </c>
      <c r="D177" s="1">
        <v>2019</v>
      </c>
      <c r="E177" s="166">
        <v>182.75</v>
      </c>
      <c r="F177" s="1" t="s">
        <v>22</v>
      </c>
      <c r="G177" s="1" t="str">
        <f>IF(Table2[[#This Row],[Description]]="","",VLOOKUP(Table2[[#This Row],[Description]],$Q$1:$S$101,2,FALSE))</f>
        <v>Mid</v>
      </c>
      <c r="H177" s="1" t="str">
        <f>IF(Table2[[#This Row],[Description]]="","",VLOOKUP(Table2[[#This Row],[Description]],$Q$1:$S$101,3,FALSE))</f>
        <v>Mid</v>
      </c>
      <c r="I177" s="1">
        <f>IF(Table2[[#This Row],[Description]]="","",IF(Table2[[#This Row],[Currency]]=$O$2,$P$2,HLOOKUP(Table2[[#This Row],[Date]],Funds!$C$10:$GV$11,2,FALSE)))</f>
        <v>4.1399999999999997</v>
      </c>
      <c r="J177" s="215">
        <f>IF(Table2[[#This Row],[Description]]="","",Table2[[#This Row],[Value]]/Table2[[#This Row],[Conversion]])</f>
        <v>44.14251207729469</v>
      </c>
      <c r="K177" s="45">
        <f>IF(Table2[[#This Row],[Description]]="","",DATE(Table2[[#This Row],[Year]],Table2[[#This Row],[Month]],1))</f>
        <v>43678</v>
      </c>
      <c r="AA177" s="47"/>
      <c r="AC177" s="40"/>
      <c r="AD177" s="41"/>
      <c r="AE177" s="44"/>
    </row>
    <row r="178" spans="2:31" x14ac:dyDescent="0.25">
      <c r="B178" t="s">
        <v>264</v>
      </c>
      <c r="C178" s="1">
        <v>8</v>
      </c>
      <c r="D178" s="1">
        <v>2019</v>
      </c>
      <c r="E178" s="166">
        <v>19.899999999999999</v>
      </c>
      <c r="F178" s="1" t="s">
        <v>22</v>
      </c>
      <c r="G178" s="1" t="str">
        <f>IF(Table2[[#This Row],[Description]]="","",VLOOKUP(Table2[[#This Row],[Description]],$Q$1:$S$101,2,FALSE))</f>
        <v>MN free</v>
      </c>
      <c r="H178" s="1" t="str">
        <f>IF(Table2[[#This Row],[Description]]="","",VLOOKUP(Table2[[#This Row],[Description]],$Q$1:$S$101,3,FALSE))</f>
        <v>Mid</v>
      </c>
      <c r="I178" s="1">
        <f>IF(Table2[[#This Row],[Description]]="","",IF(Table2[[#This Row],[Currency]]=$O$2,$P$2,HLOOKUP(Table2[[#This Row],[Date]],Funds!$C$10:$GV$11,2,FALSE)))</f>
        <v>4.1399999999999997</v>
      </c>
      <c r="J178" s="215">
        <f>IF(Table2[[#This Row],[Description]]="","",Table2[[#This Row],[Value]]/Table2[[#This Row],[Conversion]])</f>
        <v>4.8067632850241546</v>
      </c>
      <c r="K178" s="45">
        <f>IF(Table2[[#This Row],[Description]]="","",DATE(Table2[[#This Row],[Year]],Table2[[#This Row],[Month]],1))</f>
        <v>43678</v>
      </c>
      <c r="AA178" s="47"/>
      <c r="AC178" s="40"/>
      <c r="AD178" s="41"/>
      <c r="AE178" s="44"/>
    </row>
    <row r="179" spans="2:31" x14ac:dyDescent="0.25">
      <c r="B179" t="s">
        <v>264</v>
      </c>
      <c r="C179" s="1">
        <v>8</v>
      </c>
      <c r="D179" s="1">
        <v>2019</v>
      </c>
      <c r="E179" s="166">
        <v>59.9</v>
      </c>
      <c r="F179" s="1" t="s">
        <v>22</v>
      </c>
      <c r="G179" s="1" t="str">
        <f>IF(Table2[[#This Row],[Description]]="","",VLOOKUP(Table2[[#This Row],[Description]],$Q$1:$S$101,2,FALSE))</f>
        <v>MN free</v>
      </c>
      <c r="H179" s="1" t="str">
        <f>IF(Table2[[#This Row],[Description]]="","",VLOOKUP(Table2[[#This Row],[Description]],$Q$1:$S$101,3,FALSE))</f>
        <v>Mid</v>
      </c>
      <c r="I179" s="1">
        <f>IF(Table2[[#This Row],[Description]]="","",IF(Table2[[#This Row],[Currency]]=$O$2,$P$2,HLOOKUP(Table2[[#This Row],[Date]],Funds!$C$10:$GV$11,2,FALSE)))</f>
        <v>4.1399999999999997</v>
      </c>
      <c r="J179" s="215">
        <f>IF(Table2[[#This Row],[Description]]="","",Table2[[#This Row],[Value]]/Table2[[#This Row],[Conversion]])</f>
        <v>14.468599033816426</v>
      </c>
      <c r="K179" s="45">
        <f>IF(Table2[[#This Row],[Description]]="","",DATE(Table2[[#This Row],[Year]],Table2[[#This Row],[Month]],1))</f>
        <v>43678</v>
      </c>
      <c r="AA179" s="47"/>
      <c r="AC179" s="40"/>
      <c r="AD179" s="41"/>
      <c r="AE179" s="44"/>
    </row>
    <row r="180" spans="2:31" x14ac:dyDescent="0.25">
      <c r="B180" t="s">
        <v>280</v>
      </c>
      <c r="C180" s="1">
        <v>8</v>
      </c>
      <c r="D180" s="1">
        <v>2019</v>
      </c>
      <c r="E180" s="166">
        <v>-79.8</v>
      </c>
      <c r="F180" s="1" t="s">
        <v>22</v>
      </c>
      <c r="G180" s="1" t="str">
        <f>IF(Table2[[#This Row],[Description]]="","",VLOOKUP(Table2[[#This Row],[Description]],$Q$1:$S$101,2,FALSE))</f>
        <v>Mid</v>
      </c>
      <c r="H180" s="1" t="str">
        <f>IF(Table2[[#This Row],[Description]]="","",VLOOKUP(Table2[[#This Row],[Description]],$Q$1:$S$101,3,FALSE))</f>
        <v>Mid</v>
      </c>
      <c r="I180" s="1">
        <f>IF(Table2[[#This Row],[Description]]="","",IF(Table2[[#This Row],[Currency]]=$O$2,$P$2,HLOOKUP(Table2[[#This Row],[Date]],Funds!$C$10:$GV$11,2,FALSE)))</f>
        <v>4.1399999999999997</v>
      </c>
      <c r="J180" s="215">
        <f>IF(Table2[[#This Row],[Description]]="","",Table2[[#This Row],[Value]]/Table2[[#This Row],[Conversion]])</f>
        <v>-19.275362318840582</v>
      </c>
      <c r="K180" s="45">
        <f>IF(Table2[[#This Row],[Description]]="","",DATE(Table2[[#This Row],[Year]],Table2[[#This Row],[Month]],1))</f>
        <v>43678</v>
      </c>
      <c r="AA180" s="47"/>
      <c r="AC180" s="40"/>
      <c r="AD180" s="41"/>
      <c r="AE180" s="44"/>
    </row>
    <row r="181" spans="2:31" x14ac:dyDescent="0.25">
      <c r="B181" t="s">
        <v>252</v>
      </c>
      <c r="C181" s="1">
        <v>7</v>
      </c>
      <c r="D181" s="1">
        <v>2019</v>
      </c>
      <c r="E181" s="166">
        <v>18.73</v>
      </c>
      <c r="F181" s="1" t="s">
        <v>21</v>
      </c>
      <c r="G181" s="1" t="str">
        <f>IF(Table2[[#This Row],[Description]]="","",VLOOKUP(Table2[[#This Row],[Description]],$Q$1:$S$101,2,FALSE))</f>
        <v>Other Mid</v>
      </c>
      <c r="H181" s="1" t="str">
        <f>IF(Table2[[#This Row],[Description]]="","",VLOOKUP(Table2[[#This Row],[Description]],$Q$1:$S$101,3,FALSE))</f>
        <v>Mid</v>
      </c>
      <c r="I181" s="1">
        <f>IF(Table2[[#This Row],[Description]]="","",IF(Table2[[#This Row],[Currency]]=$O$2,$P$2,HLOOKUP(Table2[[#This Row],[Date]],Funds!$C$10:$GV$11,2,FALSE)))</f>
        <v>1</v>
      </c>
      <c r="J181" s="215">
        <f>IF(Table2[[#This Row],[Description]]="","",Table2[[#This Row],[Value]]/Table2[[#This Row],[Conversion]])</f>
        <v>18.73</v>
      </c>
      <c r="K181" s="45">
        <f>IF(Table2[[#This Row],[Description]]="","",DATE(Table2[[#This Row],[Year]],Table2[[#This Row],[Month]],1))</f>
        <v>43647</v>
      </c>
      <c r="AA181" s="47"/>
      <c r="AC181" s="40"/>
      <c r="AD181" s="41"/>
      <c r="AE181" s="44"/>
    </row>
    <row r="182" spans="2:31" x14ac:dyDescent="0.25">
      <c r="B182" t="s">
        <v>67</v>
      </c>
      <c r="C182" s="1">
        <v>7</v>
      </c>
      <c r="D182" s="1">
        <v>2019</v>
      </c>
      <c r="E182" s="166">
        <v>287.60000000000002</v>
      </c>
      <c r="F182" s="1" t="s">
        <v>21</v>
      </c>
      <c r="G182" s="1" t="str">
        <f>IF(Table2[[#This Row],[Description]]="","",VLOOKUP(Table2[[#This Row],[Description]],$Q$1:$S$101,2,FALSE))</f>
        <v>NE trips</v>
      </c>
      <c r="H182" s="1" t="str">
        <f>IF(Table2[[#This Row],[Description]]="","",VLOOKUP(Table2[[#This Row],[Description]],$Q$1:$S$101,3,FALSE))</f>
        <v>Mid</v>
      </c>
      <c r="I182" s="1">
        <f>IF(Table2[[#This Row],[Description]]="","",IF(Table2[[#This Row],[Currency]]=$O$2,$P$2,HLOOKUP(Table2[[#This Row],[Date]],Funds!$C$10:$GV$11,2,FALSE)))</f>
        <v>1</v>
      </c>
      <c r="J182" s="215">
        <f>IF(Table2[[#This Row],[Description]]="","",Table2[[#This Row],[Value]]/Table2[[#This Row],[Conversion]])</f>
        <v>287.60000000000002</v>
      </c>
      <c r="K182" s="45">
        <f>IF(Table2[[#This Row],[Description]]="","",DATE(Table2[[#This Row],[Year]],Table2[[#This Row],[Month]],1))</f>
        <v>43647</v>
      </c>
      <c r="AA182" s="47"/>
      <c r="AC182" s="40"/>
      <c r="AD182" s="41"/>
      <c r="AE182" s="44"/>
    </row>
    <row r="183" spans="2:31" x14ac:dyDescent="0.25">
      <c r="B183" t="s">
        <v>255</v>
      </c>
      <c r="C183" s="1">
        <v>7</v>
      </c>
      <c r="D183" s="1">
        <v>2019</v>
      </c>
      <c r="E183" s="166">
        <v>150</v>
      </c>
      <c r="F183" s="1" t="s">
        <v>21</v>
      </c>
      <c r="G183" s="1" t="str">
        <f>IF(Table2[[#This Row],[Description]]="","",VLOOKUP(Table2[[#This Row],[Description]],$Q$1:$S$101,2,FALSE))</f>
        <v>EK free</v>
      </c>
      <c r="H183" s="1" t="str">
        <f>IF(Table2[[#This Row],[Description]]="","",VLOOKUP(Table2[[#This Row],[Description]],$Q$1:$S$101,3,FALSE))</f>
        <v>Mid</v>
      </c>
      <c r="I183" s="1">
        <f>IF(Table2[[#This Row],[Description]]="","",IF(Table2[[#This Row],[Currency]]=$O$2,$P$2,HLOOKUP(Table2[[#This Row],[Date]],Funds!$C$10:$GV$11,2,FALSE)))</f>
        <v>1</v>
      </c>
      <c r="J183" s="215">
        <f>IF(Table2[[#This Row],[Description]]="","",Table2[[#This Row],[Value]]/Table2[[#This Row],[Conversion]])</f>
        <v>150</v>
      </c>
      <c r="K183" s="45">
        <f>IF(Table2[[#This Row],[Description]]="","",DATE(Table2[[#This Row],[Year]],Table2[[#This Row],[Month]],1))</f>
        <v>43647</v>
      </c>
      <c r="AA183" s="47"/>
      <c r="AC183" s="40"/>
      <c r="AD183" s="41"/>
      <c r="AE183" s="44"/>
    </row>
    <row r="184" spans="2:31" x14ac:dyDescent="0.25">
      <c r="B184" t="s">
        <v>541</v>
      </c>
      <c r="C184" s="1">
        <v>8</v>
      </c>
      <c r="D184" s="1">
        <v>2019</v>
      </c>
      <c r="E184" s="166">
        <v>247.19</v>
      </c>
      <c r="F184" s="1" t="s">
        <v>21</v>
      </c>
      <c r="G184" s="1" t="str">
        <f>IF(Table2[[#This Row],[Description]]="","",VLOOKUP(Table2[[#This Row],[Description]],$Q$1:$S$101,2,FALSE))</f>
        <v>Turism</v>
      </c>
      <c r="H184" s="1" t="str">
        <f>IF(Table2[[#This Row],[Description]]="","",VLOOKUP(Table2[[#This Row],[Description]],$Q$1:$S$101,3,FALSE))</f>
        <v>Trip</v>
      </c>
      <c r="I184" s="1">
        <f>IF(Table2[[#This Row],[Description]]="","",IF(Table2[[#This Row],[Currency]]=$O$2,$P$2,HLOOKUP(Table2[[#This Row],[Date]],Funds!$C$10:$GV$11,2,FALSE)))</f>
        <v>1</v>
      </c>
      <c r="J184" s="215">
        <f>IF(Table2[[#This Row],[Description]]="","",Table2[[#This Row],[Value]]/Table2[[#This Row],[Conversion]])</f>
        <v>247.19</v>
      </c>
      <c r="K184" s="45">
        <f>IF(Table2[[#This Row],[Description]]="","",DATE(Table2[[#This Row],[Year]],Table2[[#This Row],[Month]],1))</f>
        <v>43678</v>
      </c>
      <c r="AA184" s="47"/>
      <c r="AC184" s="40"/>
      <c r="AD184" s="41"/>
      <c r="AE184" s="44"/>
    </row>
    <row r="185" spans="2:31" x14ac:dyDescent="0.25">
      <c r="B185" t="s">
        <v>252</v>
      </c>
      <c r="C185" s="1">
        <v>7</v>
      </c>
      <c r="D185" s="1">
        <v>2019</v>
      </c>
      <c r="E185" s="166">
        <v>-456.33</v>
      </c>
      <c r="F185" s="1" t="s">
        <v>21</v>
      </c>
      <c r="G185" s="1" t="str">
        <f>IF(Table2[[#This Row],[Description]]="","",VLOOKUP(Table2[[#This Row],[Description]],$Q$1:$S$101,2,FALSE))</f>
        <v>Other Mid</v>
      </c>
      <c r="H185" s="1" t="str">
        <f>IF(Table2[[#This Row],[Description]]="","",VLOOKUP(Table2[[#This Row],[Description]],$Q$1:$S$101,3,FALSE))</f>
        <v>Mid</v>
      </c>
      <c r="I185" s="1">
        <f>IF(Table2[[#This Row],[Description]]="","",IF(Table2[[#This Row],[Currency]]=$O$2,$P$2,HLOOKUP(Table2[[#This Row],[Date]],Funds!$C$10:$GV$11,2,FALSE)))</f>
        <v>1</v>
      </c>
      <c r="J185" s="215">
        <f>IF(Table2[[#This Row],[Description]]="","",Table2[[#This Row],[Value]]/Table2[[#This Row],[Conversion]])</f>
        <v>-456.33</v>
      </c>
      <c r="K185" s="45">
        <f>IF(Table2[[#This Row],[Description]]="","",DATE(Table2[[#This Row],[Year]],Table2[[#This Row],[Month]],1))</f>
        <v>43647</v>
      </c>
      <c r="AA185" s="47"/>
      <c r="AC185" s="40"/>
      <c r="AD185" s="41"/>
      <c r="AE185" s="44"/>
    </row>
    <row r="186" spans="2:31" x14ac:dyDescent="0.25">
      <c r="B186" t="s">
        <v>252</v>
      </c>
      <c r="C186" s="1">
        <v>8</v>
      </c>
      <c r="D186" s="1">
        <v>2019</v>
      </c>
      <c r="E186" s="166">
        <v>-247.19</v>
      </c>
      <c r="F186" s="1" t="s">
        <v>21</v>
      </c>
      <c r="G186" s="1" t="str">
        <f>IF(Table2[[#This Row],[Description]]="","",VLOOKUP(Table2[[#This Row],[Description]],$Q$1:$S$101,2,FALSE))</f>
        <v>Other Mid</v>
      </c>
      <c r="H186" s="1" t="str">
        <f>IF(Table2[[#This Row],[Description]]="","",VLOOKUP(Table2[[#This Row],[Description]],$Q$1:$S$101,3,FALSE))</f>
        <v>Mid</v>
      </c>
      <c r="I186" s="1">
        <f>IF(Table2[[#This Row],[Description]]="","",IF(Table2[[#This Row],[Currency]]=$O$2,$P$2,HLOOKUP(Table2[[#This Row],[Date]],Funds!$C$10:$GV$11,2,FALSE)))</f>
        <v>1</v>
      </c>
      <c r="J186" s="215">
        <f>IF(Table2[[#This Row],[Description]]="","",Table2[[#This Row],[Value]]/Table2[[#This Row],[Conversion]])</f>
        <v>-247.19</v>
      </c>
      <c r="K186" s="45">
        <f>IF(Table2[[#This Row],[Description]]="","",DATE(Table2[[#This Row],[Year]],Table2[[#This Row],[Month]],1))</f>
        <v>43678</v>
      </c>
      <c r="AA186" s="47"/>
      <c r="AC186" s="40"/>
      <c r="AD186" s="41"/>
      <c r="AE186" s="44"/>
    </row>
    <row r="187" spans="2:31" x14ac:dyDescent="0.25">
      <c r="B187" t="s">
        <v>280</v>
      </c>
      <c r="C187" s="1">
        <v>8</v>
      </c>
      <c r="D187" s="1">
        <v>2019</v>
      </c>
      <c r="E187" s="166">
        <v>348.93</v>
      </c>
      <c r="F187" s="1" t="s">
        <v>21</v>
      </c>
      <c r="G187" s="1" t="str">
        <f>IF(Table2[[#This Row],[Description]]="","",VLOOKUP(Table2[[#This Row],[Description]],$Q$1:$S$101,2,FALSE))</f>
        <v>Mid</v>
      </c>
      <c r="H187" s="1" t="str">
        <f>IF(Table2[[#This Row],[Description]]="","",VLOOKUP(Table2[[#This Row],[Description]],$Q$1:$S$101,3,FALSE))</f>
        <v>Mid</v>
      </c>
      <c r="I187" s="1">
        <f>IF(Table2[[#This Row],[Description]]="","",IF(Table2[[#This Row],[Currency]]=$O$2,$P$2,HLOOKUP(Table2[[#This Row],[Date]],Funds!$C$10:$GV$11,2,FALSE)))</f>
        <v>1</v>
      </c>
      <c r="J187" s="215">
        <f>IF(Table2[[#This Row],[Description]]="","",Table2[[#This Row],[Value]]/Table2[[#This Row],[Conversion]])</f>
        <v>348.93</v>
      </c>
      <c r="K187" s="45">
        <f>IF(Table2[[#This Row],[Description]]="","",DATE(Table2[[#This Row],[Year]],Table2[[#This Row],[Month]],1))</f>
        <v>43678</v>
      </c>
      <c r="AA187" s="47"/>
      <c r="AC187" s="40"/>
      <c r="AD187" s="41"/>
      <c r="AE187" s="44"/>
    </row>
    <row r="188" spans="2:31" x14ac:dyDescent="0.25">
      <c r="B188" t="s">
        <v>72</v>
      </c>
      <c r="C188" s="1">
        <v>9</v>
      </c>
      <c r="D188" s="1">
        <v>2019</v>
      </c>
      <c r="E188" s="166">
        <f>19+13+15</f>
        <v>47</v>
      </c>
      <c r="F188" s="1" t="s">
        <v>21</v>
      </c>
      <c r="G188" s="1" t="str">
        <f>IF(Table2[[#This Row],[Description]]="","",VLOOKUP(Table2[[#This Row],[Description]],$Q$1:$S$101,2,FALSE))</f>
        <v>EK free</v>
      </c>
      <c r="H188" s="1" t="str">
        <f>IF(Table2[[#This Row],[Description]]="","",VLOOKUP(Table2[[#This Row],[Description]],$Q$1:$S$101,3,FALSE))</f>
        <v>Mid</v>
      </c>
      <c r="I188" s="1">
        <f>IF(Table2[[#This Row],[Description]]="","",IF(Table2[[#This Row],[Currency]]=$O$2,$P$2,HLOOKUP(Table2[[#This Row],[Date]],Funds!$C$10:$GV$11,2,FALSE)))</f>
        <v>1</v>
      </c>
      <c r="J188" s="215">
        <f>IF(Table2[[#This Row],[Description]]="","",Table2[[#This Row],[Value]]/Table2[[#This Row],[Conversion]])</f>
        <v>47</v>
      </c>
      <c r="K188" s="45">
        <f>IF(Table2[[#This Row],[Description]]="","",DATE(Table2[[#This Row],[Year]],Table2[[#This Row],[Month]],1))</f>
        <v>43709</v>
      </c>
      <c r="AA188" s="47"/>
      <c r="AC188" s="40"/>
      <c r="AD188" s="41"/>
      <c r="AE188" s="44"/>
    </row>
    <row r="189" spans="2:31" x14ac:dyDescent="0.25">
      <c r="B189" t="s">
        <v>57</v>
      </c>
      <c r="C189" s="1">
        <v>9</v>
      </c>
      <c r="D189" s="1">
        <v>2019</v>
      </c>
      <c r="E189" s="166">
        <v>69.55</v>
      </c>
      <c r="F189" s="1" t="s">
        <v>21</v>
      </c>
      <c r="G189" s="1" t="str">
        <f>IF(Table2[[#This Row],[Description]]="","",VLOOKUP(Table2[[#This Row],[Description]],$Q$1:$S$101,2,FALSE))</f>
        <v>Food</v>
      </c>
      <c r="H189" s="1" t="str">
        <f>IF(Table2[[#This Row],[Description]]="","",VLOOKUP(Table2[[#This Row],[Description]],$Q$1:$S$101,3,FALSE))</f>
        <v>Short</v>
      </c>
      <c r="I189" s="1">
        <f>IF(Table2[[#This Row],[Description]]="","",IF(Table2[[#This Row],[Currency]]=$O$2,$P$2,HLOOKUP(Table2[[#This Row],[Date]],Funds!$C$10:$GV$11,2,FALSE)))</f>
        <v>1</v>
      </c>
      <c r="J189" s="215">
        <f>IF(Table2[[#This Row],[Description]]="","",Table2[[#This Row],[Value]]/Table2[[#This Row],[Conversion]])</f>
        <v>69.55</v>
      </c>
      <c r="K189" s="45">
        <f>IF(Table2[[#This Row],[Description]]="","",DATE(Table2[[#This Row],[Year]],Table2[[#This Row],[Month]],1))</f>
        <v>43709</v>
      </c>
      <c r="AA189" s="47"/>
      <c r="AC189" s="40"/>
      <c r="AD189" s="41"/>
      <c r="AE189" s="44"/>
    </row>
    <row r="190" spans="2:31" x14ac:dyDescent="0.25">
      <c r="B190" t="s">
        <v>29</v>
      </c>
      <c r="C190" s="1">
        <v>9</v>
      </c>
      <c r="D190" s="1">
        <v>2019</v>
      </c>
      <c r="E190" s="166">
        <v>72.210000000000008</v>
      </c>
      <c r="F190" s="1" t="s">
        <v>21</v>
      </c>
      <c r="G190" s="1" t="str">
        <f>IF(Table2[[#This Row],[Description]]="","",VLOOKUP(Table2[[#This Row],[Description]],$Q$1:$S$101,2,FALSE))</f>
        <v>Health</v>
      </c>
      <c r="H190" s="1" t="str">
        <f>IF(Table2[[#This Row],[Description]]="","",VLOOKUP(Table2[[#This Row],[Description]],$Q$1:$S$101,3,FALSE))</f>
        <v>Mid</v>
      </c>
      <c r="I190" s="1">
        <f>IF(Table2[[#This Row],[Description]]="","",IF(Table2[[#This Row],[Currency]]=$O$2,$P$2,HLOOKUP(Table2[[#This Row],[Date]],Funds!$C$10:$GV$11,2,FALSE)))</f>
        <v>1</v>
      </c>
      <c r="J190" s="215">
        <f>IF(Table2[[#This Row],[Description]]="","",Table2[[#This Row],[Value]]/Table2[[#This Row],[Conversion]])</f>
        <v>72.210000000000008</v>
      </c>
      <c r="K190" s="45">
        <f>IF(Table2[[#This Row],[Description]]="","",DATE(Table2[[#This Row],[Year]],Table2[[#This Row],[Month]],1))</f>
        <v>43709</v>
      </c>
      <c r="AA190" s="47"/>
      <c r="AC190" s="40"/>
      <c r="AD190" s="41"/>
      <c r="AE190" s="44"/>
    </row>
    <row r="191" spans="2:31" x14ac:dyDescent="0.25">
      <c r="B191" t="s">
        <v>57</v>
      </c>
      <c r="C191" s="1">
        <v>9</v>
      </c>
      <c r="D191" s="1">
        <v>2019</v>
      </c>
      <c r="E191" s="166">
        <v>285</v>
      </c>
      <c r="F191" s="1" t="s">
        <v>21</v>
      </c>
      <c r="G191" s="1" t="str">
        <f>IF(Table2[[#This Row],[Description]]="","",VLOOKUP(Table2[[#This Row],[Description]],$Q$1:$S$101,2,FALSE))</f>
        <v>Food</v>
      </c>
      <c r="H191" s="1" t="str">
        <f>IF(Table2[[#This Row],[Description]]="","",VLOOKUP(Table2[[#This Row],[Description]],$Q$1:$S$101,3,FALSE))</f>
        <v>Short</v>
      </c>
      <c r="I191" s="1">
        <f>IF(Table2[[#This Row],[Description]]="","",IF(Table2[[#This Row],[Currency]]=$O$2,$P$2,HLOOKUP(Table2[[#This Row],[Date]],Funds!$C$10:$GV$11,2,FALSE)))</f>
        <v>1</v>
      </c>
      <c r="J191" s="215">
        <f>IF(Table2[[#This Row],[Description]]="","",Table2[[#This Row],[Value]]/Table2[[#This Row],[Conversion]])</f>
        <v>285</v>
      </c>
      <c r="K191" s="45">
        <f>IF(Table2[[#This Row],[Description]]="","",DATE(Table2[[#This Row],[Year]],Table2[[#This Row],[Month]],1))</f>
        <v>43709</v>
      </c>
      <c r="AA191" s="47"/>
      <c r="AC191" s="40"/>
      <c r="AD191" s="41"/>
      <c r="AE191" s="44"/>
    </row>
    <row r="192" spans="2:31" x14ac:dyDescent="0.25">
      <c r="B192" t="s">
        <v>289</v>
      </c>
      <c r="C192" s="1">
        <v>9</v>
      </c>
      <c r="D192" s="1">
        <v>2019</v>
      </c>
      <c r="E192" s="166">
        <v>20.259999999999998</v>
      </c>
      <c r="F192" s="1" t="s">
        <v>21</v>
      </c>
      <c r="G192" s="1" t="str">
        <f>IF(Table2[[#This Row],[Description]]="","",VLOOKUP(Table2[[#This Row],[Description]],$Q$1:$S$101,2,FALSE))</f>
        <v>BR trips</v>
      </c>
      <c r="H192" s="1" t="str">
        <f>IF(Table2[[#This Row],[Description]]="","",VLOOKUP(Table2[[#This Row],[Description]],$Q$1:$S$101,3,FALSE))</f>
        <v>Mid</v>
      </c>
      <c r="I192" s="1">
        <f>IF(Table2[[#This Row],[Description]]="","",IF(Table2[[#This Row],[Currency]]=$O$2,$P$2,HLOOKUP(Table2[[#This Row],[Date]],Funds!$C$10:$GV$11,2,FALSE)))</f>
        <v>1</v>
      </c>
      <c r="J192" s="215">
        <f>IF(Table2[[#This Row],[Description]]="","",Table2[[#This Row],[Value]]/Table2[[#This Row],[Conversion]])</f>
        <v>20.259999999999998</v>
      </c>
      <c r="K192" s="45">
        <f>IF(Table2[[#This Row],[Description]]="","",DATE(Table2[[#This Row],[Year]],Table2[[#This Row],[Month]],1))</f>
        <v>43709</v>
      </c>
      <c r="AA192" s="47"/>
      <c r="AC192" s="40"/>
      <c r="AD192" s="41"/>
      <c r="AE192" s="44"/>
    </row>
    <row r="193" spans="2:31" x14ac:dyDescent="0.25">
      <c r="B193" t="s">
        <v>58</v>
      </c>
      <c r="C193" s="1">
        <v>9</v>
      </c>
      <c r="D193" s="1">
        <v>2019</v>
      </c>
      <c r="E193" s="166">
        <v>158.05999999999997</v>
      </c>
      <c r="F193" s="1" t="s">
        <v>21</v>
      </c>
      <c r="G193" s="1" t="str">
        <f>IF(Table2[[#This Row],[Description]]="","",VLOOKUP(Table2[[#This Row],[Description]],$Q$1:$S$101,2,FALSE))</f>
        <v>Food</v>
      </c>
      <c r="H193" s="1" t="str">
        <f>IF(Table2[[#This Row],[Description]]="","",VLOOKUP(Table2[[#This Row],[Description]],$Q$1:$S$101,3,FALSE))</f>
        <v>Short</v>
      </c>
      <c r="I193" s="1">
        <f>IF(Table2[[#This Row],[Description]]="","",IF(Table2[[#This Row],[Currency]]=$O$2,$P$2,HLOOKUP(Table2[[#This Row],[Date]],Funds!$C$10:$GV$11,2,FALSE)))</f>
        <v>1</v>
      </c>
      <c r="J193" s="215">
        <f>IF(Table2[[#This Row],[Description]]="","",Table2[[#This Row],[Value]]/Table2[[#This Row],[Conversion]])</f>
        <v>158.05999999999997</v>
      </c>
      <c r="K193" s="45">
        <f>IF(Table2[[#This Row],[Description]]="","",DATE(Table2[[#This Row],[Year]],Table2[[#This Row],[Month]],1))</f>
        <v>43709</v>
      </c>
      <c r="AA193" s="47"/>
      <c r="AC193" s="40"/>
      <c r="AD193" s="41"/>
      <c r="AE193" s="44"/>
    </row>
    <row r="194" spans="2:31" x14ac:dyDescent="0.25">
      <c r="B194" t="s">
        <v>264</v>
      </c>
      <c r="C194" s="1">
        <v>9</v>
      </c>
      <c r="D194" s="1">
        <v>2019</v>
      </c>
      <c r="E194" s="166">
        <v>38.14</v>
      </c>
      <c r="F194" s="1" t="s">
        <v>21</v>
      </c>
      <c r="G194" s="1" t="str">
        <f>IF(Table2[[#This Row],[Description]]="","",VLOOKUP(Table2[[#This Row],[Description]],$Q$1:$S$101,2,FALSE))</f>
        <v>MN free</v>
      </c>
      <c r="H194" s="1" t="str">
        <f>IF(Table2[[#This Row],[Description]]="","",VLOOKUP(Table2[[#This Row],[Description]],$Q$1:$S$101,3,FALSE))</f>
        <v>Mid</v>
      </c>
      <c r="I194" s="1">
        <f>IF(Table2[[#This Row],[Description]]="","",IF(Table2[[#This Row],[Currency]]=$O$2,$P$2,HLOOKUP(Table2[[#This Row],[Date]],Funds!$C$10:$GV$11,2,FALSE)))</f>
        <v>1</v>
      </c>
      <c r="J194" s="215">
        <f>IF(Table2[[#This Row],[Description]]="","",Table2[[#This Row],[Value]]/Table2[[#This Row],[Conversion]])</f>
        <v>38.14</v>
      </c>
      <c r="K194" s="45">
        <f>IF(Table2[[#This Row],[Description]]="","",DATE(Table2[[#This Row],[Year]],Table2[[#This Row],[Month]],1))</f>
        <v>43709</v>
      </c>
      <c r="AA194" s="47"/>
      <c r="AC194" s="40"/>
      <c r="AD194" s="41"/>
      <c r="AE194" s="44"/>
    </row>
    <row r="195" spans="2:31" x14ac:dyDescent="0.25">
      <c r="B195" t="s">
        <v>267</v>
      </c>
      <c r="C195" s="1">
        <v>9</v>
      </c>
      <c r="D195" s="1">
        <v>2019</v>
      </c>
      <c r="E195" s="166">
        <v>63.78</v>
      </c>
      <c r="F195" s="1" t="s">
        <v>21</v>
      </c>
      <c r="G195" s="1" t="str">
        <f>IF(Table2[[#This Row],[Description]]="","",VLOOKUP(Table2[[#This Row],[Description]],$Q$1:$S$101,2,FALSE))</f>
        <v>Leisure</v>
      </c>
      <c r="H195" s="1" t="str">
        <f>IF(Table2[[#This Row],[Description]]="","",VLOOKUP(Table2[[#This Row],[Description]],$Q$1:$S$101,3,FALSE))</f>
        <v>Short</v>
      </c>
      <c r="I195" s="1">
        <f>IF(Table2[[#This Row],[Description]]="","",IF(Table2[[#This Row],[Currency]]=$O$2,$P$2,HLOOKUP(Table2[[#This Row],[Date]],Funds!$C$10:$GV$11,2,FALSE)))</f>
        <v>1</v>
      </c>
      <c r="J195" s="215">
        <f>IF(Table2[[#This Row],[Description]]="","",Table2[[#This Row],[Value]]/Table2[[#This Row],[Conversion]])</f>
        <v>63.78</v>
      </c>
      <c r="K195" s="45">
        <f>IF(Table2[[#This Row],[Description]]="","",DATE(Table2[[#This Row],[Year]],Table2[[#This Row],[Month]],1))</f>
        <v>43709</v>
      </c>
      <c r="AA195" s="47"/>
      <c r="AC195" s="40"/>
      <c r="AD195" s="41"/>
      <c r="AE195" s="44"/>
    </row>
    <row r="196" spans="2:31" x14ac:dyDescent="0.25">
      <c r="B196" t="s">
        <v>250</v>
      </c>
      <c r="C196" s="1">
        <v>9</v>
      </c>
      <c r="D196" s="1">
        <v>2019</v>
      </c>
      <c r="E196" s="166">
        <v>100</v>
      </c>
      <c r="F196" s="1" t="s">
        <v>21</v>
      </c>
      <c r="G196" s="1" t="str">
        <f>IF(Table2[[#This Row],[Description]]="","",VLOOKUP(Table2[[#This Row],[Description]],$Q$1:$S$101,2,FALSE))</f>
        <v>EK Loan termination</v>
      </c>
      <c r="H196" s="1" t="str">
        <f>IF(Table2[[#This Row],[Description]]="","",VLOOKUP(Table2[[#This Row],[Description]],$Q$1:$S$101,3,FALSE))</f>
        <v>Mid</v>
      </c>
      <c r="I196" s="1">
        <f>IF(Table2[[#This Row],[Description]]="","",IF(Table2[[#This Row],[Currency]]=$O$2,$P$2,HLOOKUP(Table2[[#This Row],[Date]],Funds!$C$10:$GV$11,2,FALSE)))</f>
        <v>1</v>
      </c>
      <c r="J196" s="215">
        <f>IF(Table2[[#This Row],[Description]]="","",Table2[[#This Row],[Value]]/Table2[[#This Row],[Conversion]])</f>
        <v>100</v>
      </c>
      <c r="K196" s="45">
        <f>IF(Table2[[#This Row],[Description]]="","",DATE(Table2[[#This Row],[Year]],Table2[[#This Row],[Month]],1))</f>
        <v>43709</v>
      </c>
      <c r="AA196" s="47"/>
      <c r="AC196" s="40"/>
      <c r="AD196" s="41"/>
      <c r="AE196" s="44"/>
    </row>
    <row r="197" spans="2:31" x14ac:dyDescent="0.25">
      <c r="B197" t="s">
        <v>68</v>
      </c>
      <c r="C197" s="1">
        <v>9</v>
      </c>
      <c r="D197" s="1">
        <v>2019</v>
      </c>
      <c r="E197" s="166">
        <v>61.8</v>
      </c>
      <c r="F197" s="1" t="s">
        <v>21</v>
      </c>
      <c r="G197" s="1" t="str">
        <f>IF(Table2[[#This Row],[Description]]="","",VLOOKUP(Table2[[#This Row],[Description]],$Q$1:$S$101,2,FALSE))</f>
        <v>EK free</v>
      </c>
      <c r="H197" s="1" t="str">
        <f>IF(Table2[[#This Row],[Description]]="","",VLOOKUP(Table2[[#This Row],[Description]],$Q$1:$S$101,3,FALSE))</f>
        <v>Mid</v>
      </c>
      <c r="I197" s="1">
        <f>IF(Table2[[#This Row],[Description]]="","",IF(Table2[[#This Row],[Currency]]=$O$2,$P$2,HLOOKUP(Table2[[#This Row],[Date]],Funds!$C$10:$GV$11,2,FALSE)))</f>
        <v>1</v>
      </c>
      <c r="J197" s="215">
        <f>IF(Table2[[#This Row],[Description]]="","",Table2[[#This Row],[Value]]/Table2[[#This Row],[Conversion]])</f>
        <v>61.8</v>
      </c>
      <c r="K197" s="45">
        <f>IF(Table2[[#This Row],[Description]]="","",DATE(Table2[[#This Row],[Year]],Table2[[#This Row],[Month]],1))</f>
        <v>43709</v>
      </c>
      <c r="AA197" s="47"/>
      <c r="AC197" s="40"/>
      <c r="AD197" s="41"/>
      <c r="AE197" s="44"/>
    </row>
    <row r="198" spans="2:31" x14ac:dyDescent="0.25">
      <c r="B198" t="s">
        <v>472</v>
      </c>
      <c r="C198" s="1">
        <v>9</v>
      </c>
      <c r="D198" s="1">
        <v>2019</v>
      </c>
      <c r="E198" s="166">
        <v>1600</v>
      </c>
      <c r="F198" s="1" t="s">
        <v>21</v>
      </c>
      <c r="G198" s="1" t="str">
        <f>IF(Table2[[#This Row],[Description]]="","",VLOOKUP(Table2[[#This Row],[Description]],$Q$1:$S$101,2,FALSE))</f>
        <v xml:space="preserve">EK studies </v>
      </c>
      <c r="H198" s="1" t="str">
        <f>IF(Table2[[#This Row],[Description]]="","",VLOOKUP(Table2[[#This Row],[Description]],$Q$1:$S$101,3,FALSE))</f>
        <v>Mid</v>
      </c>
      <c r="I198" s="1">
        <f>IF(Table2[[#This Row],[Description]]="","",IF(Table2[[#This Row],[Currency]]=$O$2,$P$2,HLOOKUP(Table2[[#This Row],[Date]],Funds!$C$10:$GV$11,2,FALSE)))</f>
        <v>1</v>
      </c>
      <c r="J198" s="215">
        <f>IF(Table2[[#This Row],[Description]]="","",Table2[[#This Row],[Value]]/Table2[[#This Row],[Conversion]])</f>
        <v>1600</v>
      </c>
      <c r="K198" s="45">
        <f>IF(Table2[[#This Row],[Description]]="","",DATE(Table2[[#This Row],[Year]],Table2[[#This Row],[Month]],1))</f>
        <v>43709</v>
      </c>
      <c r="AA198" s="47"/>
      <c r="AC198" s="40"/>
      <c r="AD198" s="41"/>
      <c r="AE198" s="44"/>
    </row>
    <row r="199" spans="2:31" x14ac:dyDescent="0.25">
      <c r="B199" t="s">
        <v>35</v>
      </c>
      <c r="C199" s="1">
        <v>9</v>
      </c>
      <c r="D199" s="1">
        <v>2019</v>
      </c>
      <c r="E199" s="166">
        <v>135.73000000000002</v>
      </c>
      <c r="F199" s="1" t="s">
        <v>21</v>
      </c>
      <c r="G199" s="1" t="str">
        <f>IF(Table2[[#This Row],[Description]]="","",VLOOKUP(Table2[[#This Row],[Description]],$Q$1:$S$101,2,FALSE))</f>
        <v>Cellphone</v>
      </c>
      <c r="H199" s="1" t="str">
        <f>IF(Table2[[#This Row],[Description]]="","",VLOOKUP(Table2[[#This Row],[Description]],$Q$1:$S$101,3,FALSE))</f>
        <v>Short</v>
      </c>
      <c r="I199" s="1">
        <f>IF(Table2[[#This Row],[Description]]="","",IF(Table2[[#This Row],[Currency]]=$O$2,$P$2,HLOOKUP(Table2[[#This Row],[Date]],Funds!$C$10:$GV$11,2,FALSE)))</f>
        <v>1</v>
      </c>
      <c r="J199" s="215">
        <f>IF(Table2[[#This Row],[Description]]="","",Table2[[#This Row],[Value]]/Table2[[#This Row],[Conversion]])</f>
        <v>135.73000000000002</v>
      </c>
      <c r="K199" s="45">
        <f>IF(Table2[[#This Row],[Description]]="","",DATE(Table2[[#This Row],[Year]],Table2[[#This Row],[Month]],1))</f>
        <v>43709</v>
      </c>
      <c r="AA199" s="47"/>
      <c r="AC199" s="40"/>
      <c r="AD199" s="41"/>
      <c r="AE199" s="44"/>
    </row>
    <row r="200" spans="2:31" x14ac:dyDescent="0.25">
      <c r="B200" t="s">
        <v>471</v>
      </c>
      <c r="C200" s="1">
        <v>9</v>
      </c>
      <c r="D200" s="1">
        <v>2019</v>
      </c>
      <c r="E200" s="166">
        <v>-19.98</v>
      </c>
      <c r="F200" s="1" t="s">
        <v>21</v>
      </c>
      <c r="G200" s="1" t="str">
        <f>IF(Table2[[#This Row],[Description]]="","",VLOOKUP(Table2[[#This Row],[Description]],$Q$1:$S$101,2,FALSE))</f>
        <v>Mid</v>
      </c>
      <c r="H200" s="1" t="str">
        <f>IF(Table2[[#This Row],[Description]]="","",VLOOKUP(Table2[[#This Row],[Description]],$Q$1:$S$101,3,FALSE))</f>
        <v>Mid</v>
      </c>
      <c r="I200" s="1">
        <f>IF(Table2[[#This Row],[Description]]="","",IF(Table2[[#This Row],[Currency]]=$O$2,$P$2,HLOOKUP(Table2[[#This Row],[Date]],Funds!$C$10:$GV$11,2,FALSE)))</f>
        <v>1</v>
      </c>
      <c r="J200" s="215">
        <f>IF(Table2[[#This Row],[Description]]="","",Table2[[#This Row],[Value]]/Table2[[#This Row],[Conversion]])</f>
        <v>-19.98</v>
      </c>
      <c r="K200" s="45">
        <f>IF(Table2[[#This Row],[Description]]="","",DATE(Table2[[#This Row],[Year]],Table2[[#This Row],[Month]],1))</f>
        <v>43709</v>
      </c>
      <c r="AA200" s="47"/>
      <c r="AC200" s="40"/>
      <c r="AD200" s="41"/>
      <c r="AE200" s="44"/>
    </row>
    <row r="201" spans="2:31" x14ac:dyDescent="0.25">
      <c r="B201" t="s">
        <v>269</v>
      </c>
      <c r="C201" s="1">
        <v>9</v>
      </c>
      <c r="D201" s="1">
        <v>2019</v>
      </c>
      <c r="E201" s="166">
        <v>73.05</v>
      </c>
      <c r="F201" s="1" t="s">
        <v>21</v>
      </c>
      <c r="G201" s="1" t="str">
        <f>IF(Table2[[#This Row],[Description]]="","",VLOOKUP(Table2[[#This Row],[Description]],$Q$1:$S$101,2,FALSE))</f>
        <v>Other Mid</v>
      </c>
      <c r="H201" s="1" t="str">
        <f>IF(Table2[[#This Row],[Description]]="","",VLOOKUP(Table2[[#This Row],[Description]],$Q$1:$S$101,3,FALSE))</f>
        <v>Mid</v>
      </c>
      <c r="I201" s="1">
        <f>IF(Table2[[#This Row],[Description]]="","",IF(Table2[[#This Row],[Currency]]=$O$2,$P$2,HLOOKUP(Table2[[#This Row],[Date]],Funds!$C$10:$GV$11,2,FALSE)))</f>
        <v>1</v>
      </c>
      <c r="J201" s="215">
        <f>IF(Table2[[#This Row],[Description]]="","",Table2[[#This Row],[Value]]/Table2[[#This Row],[Conversion]])</f>
        <v>73.05</v>
      </c>
      <c r="K201" s="45">
        <f>IF(Table2[[#This Row],[Description]]="","",DATE(Table2[[#This Row],[Year]],Table2[[#This Row],[Month]],1))</f>
        <v>43709</v>
      </c>
      <c r="AA201" s="47"/>
      <c r="AC201" s="40"/>
      <c r="AD201" s="41"/>
      <c r="AE201" s="44"/>
    </row>
    <row r="202" spans="2:31" x14ac:dyDescent="0.25">
      <c r="B202" t="s">
        <v>31</v>
      </c>
      <c r="C202" s="1">
        <v>9</v>
      </c>
      <c r="D202" s="1">
        <v>2019</v>
      </c>
      <c r="E202" s="166">
        <v>1710.58</v>
      </c>
      <c r="F202" s="1" t="s">
        <v>21</v>
      </c>
      <c r="G202" s="1" t="str">
        <f>IF(Table2[[#This Row],[Description]]="","",VLOOKUP(Table2[[#This Row],[Description]],$Q$1:$S$101,2,FALSE))</f>
        <v>Rent</v>
      </c>
      <c r="H202" s="1" t="str">
        <f>IF(Table2[[#This Row],[Description]]="","",VLOOKUP(Table2[[#This Row],[Description]],$Q$1:$S$101,3,FALSE))</f>
        <v>Short</v>
      </c>
      <c r="I202" s="1">
        <f>IF(Table2[[#This Row],[Description]]="","",IF(Table2[[#This Row],[Currency]]=$O$2,$P$2,HLOOKUP(Table2[[#This Row],[Date]],Funds!$C$10:$GV$11,2,FALSE)))</f>
        <v>1</v>
      </c>
      <c r="J202" s="215">
        <f>IF(Table2[[#This Row],[Description]]="","",Table2[[#This Row],[Value]]/Table2[[#This Row],[Conversion]])</f>
        <v>1710.58</v>
      </c>
      <c r="K202" s="45">
        <f>IF(Table2[[#This Row],[Description]]="","",DATE(Table2[[#This Row],[Year]],Table2[[#This Row],[Month]],1))</f>
        <v>43709</v>
      </c>
      <c r="AA202" s="47"/>
      <c r="AC202" s="40"/>
      <c r="AD202" s="41"/>
      <c r="AE202" s="44"/>
    </row>
    <row r="203" spans="2:31" x14ac:dyDescent="0.25">
      <c r="B203" t="s">
        <v>72</v>
      </c>
      <c r="C203" s="1">
        <v>9</v>
      </c>
      <c r="D203" s="1">
        <v>2019</v>
      </c>
      <c r="E203" s="166">
        <v>46.01</v>
      </c>
      <c r="F203" s="1" t="s">
        <v>21</v>
      </c>
      <c r="G203" s="1" t="str">
        <f>IF(Table2[[#This Row],[Description]]="","",VLOOKUP(Table2[[#This Row],[Description]],$Q$1:$S$101,2,FALSE))</f>
        <v>EK free</v>
      </c>
      <c r="H203" s="1" t="str">
        <f>IF(Table2[[#This Row],[Description]]="","",VLOOKUP(Table2[[#This Row],[Description]],$Q$1:$S$101,3,FALSE))</f>
        <v>Mid</v>
      </c>
      <c r="I203" s="1">
        <f>IF(Table2[[#This Row],[Description]]="","",IF(Table2[[#This Row],[Currency]]=$O$2,$P$2,HLOOKUP(Table2[[#This Row],[Date]],Funds!$C$10:$GV$11,2,FALSE)))</f>
        <v>1</v>
      </c>
      <c r="J203" s="215">
        <f>IF(Table2[[#This Row],[Description]]="","",Table2[[#This Row],[Value]]/Table2[[#This Row],[Conversion]])</f>
        <v>46.01</v>
      </c>
      <c r="K203" s="45">
        <f>IF(Table2[[#This Row],[Description]]="","",DATE(Table2[[#This Row],[Year]],Table2[[#This Row],[Month]],1))</f>
        <v>43709</v>
      </c>
      <c r="AA203" s="47"/>
      <c r="AC203" s="40"/>
      <c r="AD203" s="41"/>
      <c r="AE203" s="44"/>
    </row>
    <row r="204" spans="2:31" x14ac:dyDescent="0.25">
      <c r="B204" t="s">
        <v>255</v>
      </c>
      <c r="C204" s="1">
        <v>9</v>
      </c>
      <c r="D204" s="1">
        <v>2019</v>
      </c>
      <c r="E204" s="166">
        <v>17.670000000000002</v>
      </c>
      <c r="F204" s="1" t="s">
        <v>21</v>
      </c>
      <c r="G204" s="1" t="str">
        <f>IF(Table2[[#This Row],[Description]]="","",VLOOKUP(Table2[[#This Row],[Description]],$Q$1:$S$101,2,FALSE))</f>
        <v>EK free</v>
      </c>
      <c r="H204" s="1" t="str">
        <f>IF(Table2[[#This Row],[Description]]="","",VLOOKUP(Table2[[#This Row],[Description]],$Q$1:$S$101,3,FALSE))</f>
        <v>Mid</v>
      </c>
      <c r="I204" s="1">
        <f>IF(Table2[[#This Row],[Description]]="","",IF(Table2[[#This Row],[Currency]]=$O$2,$P$2,HLOOKUP(Table2[[#This Row],[Date]],Funds!$C$10:$GV$11,2,FALSE)))</f>
        <v>1</v>
      </c>
      <c r="J204" s="215">
        <f>IF(Table2[[#This Row],[Description]]="","",Table2[[#This Row],[Value]]/Table2[[#This Row],[Conversion]])</f>
        <v>17.670000000000002</v>
      </c>
      <c r="K204" s="45">
        <f>IF(Table2[[#This Row],[Description]]="","",DATE(Table2[[#This Row],[Year]],Table2[[#This Row],[Month]],1))</f>
        <v>43709</v>
      </c>
      <c r="AA204" s="47"/>
      <c r="AC204" s="40"/>
      <c r="AD204" s="41"/>
      <c r="AE204" s="44"/>
    </row>
    <row r="205" spans="2:31" x14ac:dyDescent="0.25">
      <c r="B205" t="s">
        <v>262</v>
      </c>
      <c r="C205" s="1">
        <v>9</v>
      </c>
      <c r="D205" s="1">
        <v>2019</v>
      </c>
      <c r="E205" s="166">
        <v>703.52</v>
      </c>
      <c r="F205" s="1" t="s">
        <v>21</v>
      </c>
      <c r="G205" s="1" t="str">
        <f>IF(Table2[[#This Row],[Description]]="","",VLOOKUP(Table2[[#This Row],[Description]],$Q$1:$S$101,2,FALSE))</f>
        <v>Mid</v>
      </c>
      <c r="H205" s="1" t="str">
        <f>IF(Table2[[#This Row],[Description]]="","",VLOOKUP(Table2[[#This Row],[Description]],$Q$1:$S$101,3,FALSE))</f>
        <v>Mid</v>
      </c>
      <c r="I205" s="1">
        <f>IF(Table2[[#This Row],[Description]]="","",IF(Table2[[#This Row],[Currency]]=$O$2,$P$2,HLOOKUP(Table2[[#This Row],[Date]],Funds!$C$10:$GV$11,2,FALSE)))</f>
        <v>1</v>
      </c>
      <c r="J205" s="215">
        <f>IF(Table2[[#This Row],[Description]]="","",Table2[[#This Row],[Value]]/Table2[[#This Row],[Conversion]])</f>
        <v>703.52</v>
      </c>
      <c r="K205" s="45">
        <f>IF(Table2[[#This Row],[Description]]="","",DATE(Table2[[#This Row],[Year]],Table2[[#This Row],[Month]],1))</f>
        <v>43709</v>
      </c>
      <c r="AA205" s="47"/>
      <c r="AC205" s="40"/>
      <c r="AD205" s="41"/>
      <c r="AE205" s="44"/>
    </row>
    <row r="206" spans="2:31" x14ac:dyDescent="0.25">
      <c r="B206" t="s">
        <v>252</v>
      </c>
      <c r="C206" s="1">
        <v>9</v>
      </c>
      <c r="D206" s="1">
        <v>2019</v>
      </c>
      <c r="E206" s="166">
        <v>29.76</v>
      </c>
      <c r="F206" s="1" t="s">
        <v>21</v>
      </c>
      <c r="G206" s="1" t="str">
        <f>IF(Table2[[#This Row],[Description]]="","",VLOOKUP(Table2[[#This Row],[Description]],$Q$1:$S$101,2,FALSE))</f>
        <v>Other Mid</v>
      </c>
      <c r="H206" s="1" t="str">
        <f>IF(Table2[[#This Row],[Description]]="","",VLOOKUP(Table2[[#This Row],[Description]],$Q$1:$S$101,3,FALSE))</f>
        <v>Mid</v>
      </c>
      <c r="I206" s="1">
        <f>IF(Table2[[#This Row],[Description]]="","",IF(Table2[[#This Row],[Currency]]=$O$2,$P$2,HLOOKUP(Table2[[#This Row],[Date]],Funds!$C$10:$GV$11,2,FALSE)))</f>
        <v>1</v>
      </c>
      <c r="J206" s="215">
        <f>IF(Table2[[#This Row],[Description]]="","",Table2[[#This Row],[Value]]/Table2[[#This Row],[Conversion]])</f>
        <v>29.76</v>
      </c>
      <c r="K206" s="45">
        <f>IF(Table2[[#This Row],[Description]]="","",DATE(Table2[[#This Row],[Year]],Table2[[#This Row],[Month]],1))</f>
        <v>43709</v>
      </c>
      <c r="AA206" s="47"/>
      <c r="AC206" s="40"/>
      <c r="AD206" s="41"/>
      <c r="AE206" s="44"/>
    </row>
    <row r="207" spans="2:31" x14ac:dyDescent="0.25">
      <c r="B207" t="s">
        <v>62</v>
      </c>
      <c r="C207" s="1">
        <v>9</v>
      </c>
      <c r="D207" s="1">
        <v>2019</v>
      </c>
      <c r="E207" s="166">
        <v>184.48000000000002</v>
      </c>
      <c r="F207" s="1" t="s">
        <v>21</v>
      </c>
      <c r="G207" s="1" t="str">
        <f>IF(Table2[[#This Row],[Description]]="","",VLOOKUP(Table2[[#This Row],[Description]],$Q$1:$S$101,2,FALSE))</f>
        <v>Leisure</v>
      </c>
      <c r="H207" s="1" t="str">
        <f>IF(Table2[[#This Row],[Description]]="","",VLOOKUP(Table2[[#This Row],[Description]],$Q$1:$S$101,3,FALSE))</f>
        <v>Short</v>
      </c>
      <c r="I207" s="1">
        <f>IF(Table2[[#This Row],[Description]]="","",IF(Table2[[#This Row],[Currency]]=$O$2,$P$2,HLOOKUP(Table2[[#This Row],[Date]],Funds!$C$10:$GV$11,2,FALSE)))</f>
        <v>1</v>
      </c>
      <c r="J207" s="215">
        <f>IF(Table2[[#This Row],[Description]]="","",Table2[[#This Row],[Value]]/Table2[[#This Row],[Conversion]])</f>
        <v>184.48000000000002</v>
      </c>
      <c r="K207" s="45">
        <f>IF(Table2[[#This Row],[Description]]="","",DATE(Table2[[#This Row],[Year]],Table2[[#This Row],[Month]],1))</f>
        <v>43709</v>
      </c>
      <c r="AA207" s="47"/>
      <c r="AC207" s="40"/>
      <c r="AD207" s="41"/>
      <c r="AE207" s="44"/>
    </row>
    <row r="208" spans="2:31" x14ac:dyDescent="0.25">
      <c r="B208" t="s">
        <v>52</v>
      </c>
      <c r="C208" s="1">
        <v>9</v>
      </c>
      <c r="D208" s="1">
        <v>2019</v>
      </c>
      <c r="E208" s="166">
        <v>25.78</v>
      </c>
      <c r="F208" s="1" t="s">
        <v>21</v>
      </c>
      <c r="G208" s="1" t="str">
        <f>IF(Table2[[#This Row],[Description]]="","",VLOOKUP(Table2[[#This Row],[Description]],$Q$1:$S$101,2,FALSE))</f>
        <v>Utilities</v>
      </c>
      <c r="H208" s="1" t="str">
        <f>IF(Table2[[#This Row],[Description]]="","",VLOOKUP(Table2[[#This Row],[Description]],$Q$1:$S$101,3,FALSE))</f>
        <v>Short</v>
      </c>
      <c r="I208" s="1">
        <f>IF(Table2[[#This Row],[Description]]="","",IF(Table2[[#This Row],[Currency]]=$O$2,$P$2,HLOOKUP(Table2[[#This Row],[Date]],Funds!$C$10:$GV$11,2,FALSE)))</f>
        <v>1</v>
      </c>
      <c r="J208" s="215">
        <f>IF(Table2[[#This Row],[Description]]="","",Table2[[#This Row],[Value]]/Table2[[#This Row],[Conversion]])</f>
        <v>25.78</v>
      </c>
      <c r="K208" s="45">
        <f>IF(Table2[[#This Row],[Description]]="","",DATE(Table2[[#This Row],[Year]],Table2[[#This Row],[Month]],1))</f>
        <v>43709</v>
      </c>
      <c r="AA208" s="47"/>
      <c r="AC208" s="40"/>
      <c r="AD208" s="41"/>
      <c r="AE208" s="44"/>
    </row>
    <row r="209" spans="2:31" x14ac:dyDescent="0.25">
      <c r="B209" t="s">
        <v>289</v>
      </c>
      <c r="C209" s="1">
        <v>9</v>
      </c>
      <c r="D209" s="1">
        <v>2019</v>
      </c>
      <c r="E209" s="166">
        <v>54.5</v>
      </c>
      <c r="F209" s="1" t="s">
        <v>22</v>
      </c>
      <c r="G209" s="1" t="str">
        <f>IF(Table2[[#This Row],[Description]]="","",VLOOKUP(Table2[[#This Row],[Description]],$Q$1:$S$101,2,FALSE))</f>
        <v>BR trips</v>
      </c>
      <c r="H209" s="1" t="str">
        <f>IF(Table2[[#This Row],[Description]]="","",VLOOKUP(Table2[[#This Row],[Description]],$Q$1:$S$101,3,FALSE))</f>
        <v>Mid</v>
      </c>
      <c r="I209" s="1">
        <f>IF(Table2[[#This Row],[Description]]="","",IF(Table2[[#This Row],[Currency]]=$O$2,$P$2,HLOOKUP(Table2[[#This Row],[Date]],Funds!$C$10:$GV$11,2,FALSE)))</f>
        <v>4.1399999999999997</v>
      </c>
      <c r="J209" s="215">
        <f>IF(Table2[[#This Row],[Description]]="","",Table2[[#This Row],[Value]]/Table2[[#This Row],[Conversion]])</f>
        <v>13.164251207729469</v>
      </c>
      <c r="K209" s="45">
        <f>IF(Table2[[#This Row],[Description]]="","",DATE(Table2[[#This Row],[Year]],Table2[[#This Row],[Month]],1))</f>
        <v>43709</v>
      </c>
      <c r="AA209" s="47"/>
      <c r="AC209" s="40"/>
      <c r="AD209" s="41"/>
      <c r="AE209" s="44"/>
    </row>
    <row r="210" spans="2:31" x14ac:dyDescent="0.25">
      <c r="B210" t="s">
        <v>58</v>
      </c>
      <c r="C210" s="1">
        <v>9</v>
      </c>
      <c r="D210" s="1">
        <v>2019</v>
      </c>
      <c r="E210" s="166">
        <v>134.68</v>
      </c>
      <c r="F210" s="1" t="s">
        <v>22</v>
      </c>
      <c r="G210" s="1" t="str">
        <f>IF(Table2[[#This Row],[Description]]="","",VLOOKUP(Table2[[#This Row],[Description]],$Q$1:$S$101,2,FALSE))</f>
        <v>Food</v>
      </c>
      <c r="H210" s="1" t="str">
        <f>IF(Table2[[#This Row],[Description]]="","",VLOOKUP(Table2[[#This Row],[Description]],$Q$1:$S$101,3,FALSE))</f>
        <v>Short</v>
      </c>
      <c r="I210" s="1">
        <f>IF(Table2[[#This Row],[Description]]="","",IF(Table2[[#This Row],[Currency]]=$O$2,$P$2,HLOOKUP(Table2[[#This Row],[Date]],Funds!$C$10:$GV$11,2,FALSE)))</f>
        <v>4.1399999999999997</v>
      </c>
      <c r="J210" s="215">
        <f>IF(Table2[[#This Row],[Description]]="","",Table2[[#This Row],[Value]]/Table2[[#This Row],[Conversion]])</f>
        <v>32.531400966183583</v>
      </c>
      <c r="K210" s="45">
        <f>IF(Table2[[#This Row],[Description]]="","",DATE(Table2[[#This Row],[Year]],Table2[[#This Row],[Month]],1))</f>
        <v>43709</v>
      </c>
      <c r="AA210" s="47"/>
      <c r="AC210" s="40"/>
      <c r="AD210" s="41"/>
      <c r="AE210" s="44"/>
    </row>
    <row r="211" spans="2:31" x14ac:dyDescent="0.25">
      <c r="B211" t="s">
        <v>62</v>
      </c>
      <c r="C211" s="1">
        <v>9</v>
      </c>
      <c r="D211" s="1">
        <v>2019</v>
      </c>
      <c r="E211" s="166">
        <v>79.400000000000006</v>
      </c>
      <c r="F211" s="1" t="s">
        <v>22</v>
      </c>
      <c r="G211" s="1" t="str">
        <f>IF(Table2[[#This Row],[Description]]="","",VLOOKUP(Table2[[#This Row],[Description]],$Q$1:$S$101,2,FALSE))</f>
        <v>Leisure</v>
      </c>
      <c r="H211" s="1" t="str">
        <f>IF(Table2[[#This Row],[Description]]="","",VLOOKUP(Table2[[#This Row],[Description]],$Q$1:$S$101,3,FALSE))</f>
        <v>Short</v>
      </c>
      <c r="I211" s="1">
        <f>IF(Table2[[#This Row],[Description]]="","",IF(Table2[[#This Row],[Currency]]=$O$2,$P$2,HLOOKUP(Table2[[#This Row],[Date]],Funds!$C$10:$GV$11,2,FALSE)))</f>
        <v>4.1399999999999997</v>
      </c>
      <c r="J211" s="215">
        <f>IF(Table2[[#This Row],[Description]]="","",Table2[[#This Row],[Value]]/Table2[[#This Row],[Conversion]])</f>
        <v>19.178743961352659</v>
      </c>
      <c r="K211" s="45">
        <f>IF(Table2[[#This Row],[Description]]="","",DATE(Table2[[#This Row],[Year]],Table2[[#This Row],[Month]],1))</f>
        <v>43709</v>
      </c>
      <c r="AA211" s="47"/>
      <c r="AC211" s="40"/>
      <c r="AD211" s="41"/>
      <c r="AE211" s="44"/>
    </row>
    <row r="212" spans="2:31" x14ac:dyDescent="0.25">
      <c r="B212" t="s">
        <v>252</v>
      </c>
      <c r="C212" s="1">
        <v>9</v>
      </c>
      <c r="D212" s="1">
        <v>2019</v>
      </c>
      <c r="E212" s="166">
        <v>316.67</v>
      </c>
      <c r="F212" s="1" t="s">
        <v>22</v>
      </c>
      <c r="G212" s="1" t="str">
        <f>IF(Table2[[#This Row],[Description]]="","",VLOOKUP(Table2[[#This Row],[Description]],$Q$1:$S$101,2,FALSE))</f>
        <v>Other Mid</v>
      </c>
      <c r="H212" s="1" t="str">
        <f>IF(Table2[[#This Row],[Description]]="","",VLOOKUP(Table2[[#This Row],[Description]],$Q$1:$S$101,3,FALSE))</f>
        <v>Mid</v>
      </c>
      <c r="I212" s="1">
        <f>IF(Table2[[#This Row],[Description]]="","",IF(Table2[[#This Row],[Currency]]=$O$2,$P$2,HLOOKUP(Table2[[#This Row],[Date]],Funds!$C$10:$GV$11,2,FALSE)))</f>
        <v>4.1399999999999997</v>
      </c>
      <c r="J212" s="215">
        <f>IF(Table2[[#This Row],[Description]]="","",Table2[[#This Row],[Value]]/Table2[[#This Row],[Conversion]])</f>
        <v>76.490338164251213</v>
      </c>
      <c r="K212" s="45">
        <f>IF(Table2[[#This Row],[Description]]="","",DATE(Table2[[#This Row],[Year]],Table2[[#This Row],[Month]],1))</f>
        <v>43709</v>
      </c>
      <c r="AA212" s="47"/>
      <c r="AC212" s="40"/>
      <c r="AD212" s="41"/>
      <c r="AE212" s="44"/>
    </row>
    <row r="213" spans="2:31" x14ac:dyDescent="0.25">
      <c r="B213" t="s">
        <v>57</v>
      </c>
      <c r="C213" s="1">
        <v>9</v>
      </c>
      <c r="D213" s="1">
        <v>2019</v>
      </c>
      <c r="E213" s="166">
        <v>7</v>
      </c>
      <c r="F213" s="1" t="s">
        <v>22</v>
      </c>
      <c r="G213" s="1" t="str">
        <f>IF(Table2[[#This Row],[Description]]="","",VLOOKUP(Table2[[#This Row],[Description]],$Q$1:$S$101,2,FALSE))</f>
        <v>Food</v>
      </c>
      <c r="H213" s="1" t="str">
        <f>IF(Table2[[#This Row],[Description]]="","",VLOOKUP(Table2[[#This Row],[Description]],$Q$1:$S$101,3,FALSE))</f>
        <v>Short</v>
      </c>
      <c r="I213" s="1">
        <f>IF(Table2[[#This Row],[Description]]="","",IF(Table2[[#This Row],[Currency]]=$O$2,$P$2,HLOOKUP(Table2[[#This Row],[Date]],Funds!$C$10:$GV$11,2,FALSE)))</f>
        <v>4.1399999999999997</v>
      </c>
      <c r="J213" s="215">
        <f>IF(Table2[[#This Row],[Description]]="","",Table2[[#This Row],[Value]]/Table2[[#This Row],[Conversion]])</f>
        <v>1.6908212560386475</v>
      </c>
      <c r="K213" s="45">
        <f>IF(Table2[[#This Row],[Description]]="","",DATE(Table2[[#This Row],[Year]],Table2[[#This Row],[Month]],1))</f>
        <v>43709</v>
      </c>
      <c r="AA213" s="47"/>
      <c r="AC213" s="40"/>
      <c r="AD213" s="41"/>
      <c r="AE213" s="44"/>
    </row>
    <row r="214" spans="2:31" x14ac:dyDescent="0.25">
      <c r="B214" t="s">
        <v>289</v>
      </c>
      <c r="C214" s="1">
        <v>9</v>
      </c>
      <c r="D214" s="1">
        <v>2019</v>
      </c>
      <c r="E214" s="166">
        <v>37.17</v>
      </c>
      <c r="F214" s="1" t="s">
        <v>21</v>
      </c>
      <c r="G214" s="1" t="str">
        <f>IF(Table2[[#This Row],[Description]]="","",VLOOKUP(Table2[[#This Row],[Description]],$Q$1:$S$101,2,FALSE))</f>
        <v>BR trips</v>
      </c>
      <c r="H214" s="1" t="str">
        <f>IF(Table2[[#This Row],[Description]]="","",VLOOKUP(Table2[[#This Row],[Description]],$Q$1:$S$101,3,FALSE))</f>
        <v>Mid</v>
      </c>
      <c r="I214" s="1">
        <f>IF(Table2[[#This Row],[Description]]="","",IF(Table2[[#This Row],[Currency]]=$O$2,$P$2,HLOOKUP(Table2[[#This Row],[Date]],Funds!$C$10:$GV$11,2,FALSE)))</f>
        <v>1</v>
      </c>
      <c r="J214" s="215">
        <f>IF(Table2[[#This Row],[Description]]="","",Table2[[#This Row],[Value]]/Table2[[#This Row],[Conversion]])</f>
        <v>37.17</v>
      </c>
      <c r="K214" s="45">
        <f>IF(Table2[[#This Row],[Description]]="","",DATE(Table2[[#This Row],[Year]],Table2[[#This Row],[Month]],1))</f>
        <v>43709</v>
      </c>
      <c r="AA214" s="47"/>
      <c r="AC214" s="40"/>
      <c r="AD214" s="41"/>
      <c r="AE214" s="44"/>
    </row>
    <row r="215" spans="2:31" x14ac:dyDescent="0.25">
      <c r="B215" t="s">
        <v>58</v>
      </c>
      <c r="C215" s="1">
        <v>9</v>
      </c>
      <c r="D215" s="1">
        <v>2019</v>
      </c>
      <c r="E215" s="166">
        <v>71.526666666666671</v>
      </c>
      <c r="F215" s="1" t="s">
        <v>21</v>
      </c>
      <c r="G215" s="1" t="str">
        <f>IF(Table2[[#This Row],[Description]]="","",VLOOKUP(Table2[[#This Row],[Description]],$Q$1:$S$101,2,FALSE))</f>
        <v>Food</v>
      </c>
      <c r="H215" s="1" t="str">
        <f>IF(Table2[[#This Row],[Description]]="","",VLOOKUP(Table2[[#This Row],[Description]],$Q$1:$S$101,3,FALSE))</f>
        <v>Short</v>
      </c>
      <c r="I215" s="1">
        <f>IF(Table2[[#This Row],[Description]]="","",IF(Table2[[#This Row],[Currency]]=$O$2,$P$2,HLOOKUP(Table2[[#This Row],[Date]],Funds!$C$10:$GV$11,2,FALSE)))</f>
        <v>1</v>
      </c>
      <c r="J215" s="215">
        <f>IF(Table2[[#This Row],[Description]]="","",Table2[[#This Row],[Value]]/Table2[[#This Row],[Conversion]])</f>
        <v>71.526666666666671</v>
      </c>
      <c r="K215" s="45">
        <f>IF(Table2[[#This Row],[Description]]="","",DATE(Table2[[#This Row],[Year]],Table2[[#This Row],[Month]],1))</f>
        <v>43709</v>
      </c>
      <c r="AA215" s="47"/>
      <c r="AC215" s="40"/>
      <c r="AD215" s="41"/>
      <c r="AE215" s="44"/>
    </row>
    <row r="216" spans="2:31" x14ac:dyDescent="0.25">
      <c r="B216" t="s">
        <v>57</v>
      </c>
      <c r="C216" s="1">
        <v>9</v>
      </c>
      <c r="D216" s="1">
        <v>2019</v>
      </c>
      <c r="E216" s="166">
        <v>1.2</v>
      </c>
      <c r="F216" s="1" t="s">
        <v>21</v>
      </c>
      <c r="G216" s="1" t="str">
        <f>IF(Table2[[#This Row],[Description]]="","",VLOOKUP(Table2[[#This Row],[Description]],$Q$1:$S$101,2,FALSE))</f>
        <v>Food</v>
      </c>
      <c r="H216" s="1" t="str">
        <f>IF(Table2[[#This Row],[Description]]="","",VLOOKUP(Table2[[#This Row],[Description]],$Q$1:$S$101,3,FALSE))</f>
        <v>Short</v>
      </c>
      <c r="I216" s="1">
        <f>IF(Table2[[#This Row],[Description]]="","",IF(Table2[[#This Row],[Currency]]=$O$2,$P$2,HLOOKUP(Table2[[#This Row],[Date]],Funds!$C$10:$GV$11,2,FALSE)))</f>
        <v>1</v>
      </c>
      <c r="J216" s="215">
        <f>IF(Table2[[#This Row],[Description]]="","",Table2[[#This Row],[Value]]/Table2[[#This Row],[Conversion]])</f>
        <v>1.2</v>
      </c>
      <c r="K216" s="45">
        <f>IF(Table2[[#This Row],[Description]]="","",DATE(Table2[[#This Row],[Year]],Table2[[#This Row],[Month]],1))</f>
        <v>43709</v>
      </c>
      <c r="AA216" s="47"/>
      <c r="AC216" s="40"/>
      <c r="AD216" s="41"/>
      <c r="AE216" s="44"/>
    </row>
    <row r="217" spans="2:31" x14ac:dyDescent="0.25">
      <c r="B217" t="s">
        <v>249</v>
      </c>
      <c r="C217" s="1">
        <v>9</v>
      </c>
      <c r="D217" s="1">
        <v>2019</v>
      </c>
      <c r="E217" s="166">
        <v>43.333333333333336</v>
      </c>
      <c r="F217" s="1" t="s">
        <v>21</v>
      </c>
      <c r="G217" s="1" t="str">
        <f>IF(Table2[[#This Row],[Description]]="","",VLOOKUP(Table2[[#This Row],[Description]],$Q$1:$S$101,2,FALSE))</f>
        <v>Leisure</v>
      </c>
      <c r="H217" s="1" t="str">
        <f>IF(Table2[[#This Row],[Description]]="","",VLOOKUP(Table2[[#This Row],[Description]],$Q$1:$S$101,3,FALSE))</f>
        <v>Short</v>
      </c>
      <c r="I217" s="1">
        <f>IF(Table2[[#This Row],[Description]]="","",IF(Table2[[#This Row],[Currency]]=$O$2,$P$2,HLOOKUP(Table2[[#This Row],[Date]],Funds!$C$10:$GV$11,2,FALSE)))</f>
        <v>1</v>
      </c>
      <c r="J217" s="215">
        <f>IF(Table2[[#This Row],[Description]]="","",Table2[[#This Row],[Value]]/Table2[[#This Row],[Conversion]])</f>
        <v>43.333333333333336</v>
      </c>
      <c r="K217" s="45">
        <f>IF(Table2[[#This Row],[Description]]="","",DATE(Table2[[#This Row],[Year]],Table2[[#This Row],[Month]],1))</f>
        <v>43709</v>
      </c>
      <c r="AA217" s="47"/>
      <c r="AC217" s="40"/>
      <c r="AD217" s="41"/>
      <c r="AE217" s="44"/>
    </row>
    <row r="218" spans="2:31" x14ac:dyDescent="0.25">
      <c r="B218" t="s">
        <v>255</v>
      </c>
      <c r="C218" s="1">
        <v>9</v>
      </c>
      <c r="D218" s="1">
        <v>2019</v>
      </c>
      <c r="E218" s="166">
        <v>22</v>
      </c>
      <c r="F218" s="1" t="s">
        <v>21</v>
      </c>
      <c r="G218" s="1" t="str">
        <f>IF(Table2[[#This Row],[Description]]="","",VLOOKUP(Table2[[#This Row],[Description]],$Q$1:$S$101,2,FALSE))</f>
        <v>EK free</v>
      </c>
      <c r="H218" s="1" t="str">
        <f>IF(Table2[[#This Row],[Description]]="","",VLOOKUP(Table2[[#This Row],[Description]],$Q$1:$S$101,3,FALSE))</f>
        <v>Mid</v>
      </c>
      <c r="I218" s="1">
        <f>IF(Table2[[#This Row],[Description]]="","",IF(Table2[[#This Row],[Currency]]=$O$2,$P$2,HLOOKUP(Table2[[#This Row],[Date]],Funds!$C$10:$GV$11,2,FALSE)))</f>
        <v>1</v>
      </c>
      <c r="J218" s="215">
        <f>IF(Table2[[#This Row],[Description]]="","",Table2[[#This Row],[Value]]/Table2[[#This Row],[Conversion]])</f>
        <v>22</v>
      </c>
      <c r="K218" s="45">
        <f>IF(Table2[[#This Row],[Description]]="","",DATE(Table2[[#This Row],[Year]],Table2[[#This Row],[Month]],1))</f>
        <v>43709</v>
      </c>
      <c r="AA218" s="47"/>
      <c r="AC218" s="40"/>
      <c r="AD218" s="41"/>
      <c r="AE218" s="44"/>
    </row>
    <row r="219" spans="2:31" x14ac:dyDescent="0.25">
      <c r="B219" t="s">
        <v>73</v>
      </c>
      <c r="C219" s="1">
        <v>9</v>
      </c>
      <c r="D219" s="1">
        <v>2019</v>
      </c>
      <c r="E219" s="166">
        <f>15.94+10.95+119.95</f>
        <v>146.84</v>
      </c>
      <c r="F219" s="1" t="s">
        <v>21</v>
      </c>
      <c r="G219" s="1" t="str">
        <f>IF(Table2[[#This Row],[Description]]="","",VLOOKUP(Table2[[#This Row],[Description]],$Q$1:$S$101,2,FALSE))</f>
        <v>MN free</v>
      </c>
      <c r="H219" s="1" t="str">
        <f>IF(Table2[[#This Row],[Description]]="","",VLOOKUP(Table2[[#This Row],[Description]],$Q$1:$S$101,3,FALSE))</f>
        <v>Mid</v>
      </c>
      <c r="I219" s="1">
        <f>IF(Table2[[#This Row],[Description]]="","",IF(Table2[[#This Row],[Currency]]=$O$2,$P$2,HLOOKUP(Table2[[#This Row],[Date]],Funds!$C$10:$GV$11,2,FALSE)))</f>
        <v>1</v>
      </c>
      <c r="J219" s="215">
        <f>IF(Table2[[#This Row],[Description]]="","",Table2[[#This Row],[Value]]/Table2[[#This Row],[Conversion]])</f>
        <v>146.84</v>
      </c>
      <c r="K219" s="45">
        <f>IF(Table2[[#This Row],[Description]]="","",DATE(Table2[[#This Row],[Year]],Table2[[#This Row],[Month]],1))</f>
        <v>43709</v>
      </c>
      <c r="AA219" s="47"/>
      <c r="AC219" s="40"/>
      <c r="AD219" s="41"/>
      <c r="AE219" s="44"/>
    </row>
    <row r="220" spans="2:31" x14ac:dyDescent="0.25">
      <c r="B220" t="s">
        <v>72</v>
      </c>
      <c r="C220" s="1">
        <v>9</v>
      </c>
      <c r="D220" s="1">
        <v>2019</v>
      </c>
      <c r="E220" s="166">
        <f>17.99+59.99+14.99+13.9</f>
        <v>106.87</v>
      </c>
      <c r="F220" s="1" t="s">
        <v>21</v>
      </c>
      <c r="G220" s="1" t="str">
        <f>IF(Table2[[#This Row],[Description]]="","",VLOOKUP(Table2[[#This Row],[Description]],$Q$1:$S$101,2,FALSE))</f>
        <v>EK free</v>
      </c>
      <c r="H220" s="1" t="str">
        <f>IF(Table2[[#This Row],[Description]]="","",VLOOKUP(Table2[[#This Row],[Description]],$Q$1:$S$101,3,FALSE))</f>
        <v>Mid</v>
      </c>
      <c r="I220" s="1">
        <f>IF(Table2[[#This Row],[Description]]="","",IF(Table2[[#This Row],[Currency]]=$O$2,$P$2,HLOOKUP(Table2[[#This Row],[Date]],Funds!$C$10:$GV$11,2,FALSE)))</f>
        <v>1</v>
      </c>
      <c r="J220" s="215">
        <f>IF(Table2[[#This Row],[Description]]="","",Table2[[#This Row],[Value]]/Table2[[#This Row],[Conversion]])</f>
        <v>106.87</v>
      </c>
      <c r="K220" s="45">
        <f>IF(Table2[[#This Row],[Description]]="","",DATE(Table2[[#This Row],[Year]],Table2[[#This Row],[Month]],1))</f>
        <v>43709</v>
      </c>
      <c r="AA220" s="47"/>
      <c r="AC220" s="40"/>
      <c r="AD220" s="41"/>
      <c r="AE220" s="44"/>
    </row>
    <row r="221" spans="2:31" x14ac:dyDescent="0.25">
      <c r="B221" t="s">
        <v>316</v>
      </c>
      <c r="C221" s="1">
        <v>9</v>
      </c>
      <c r="D221" s="1">
        <v>2019</v>
      </c>
      <c r="E221" s="166">
        <v>50.75</v>
      </c>
      <c r="F221" s="1" t="s">
        <v>21</v>
      </c>
      <c r="G221" s="1" t="str">
        <f>IF(Table2[[#This Row],[Description]]="","",VLOOKUP(Table2[[#This Row],[Description]],$Q$1:$S$101,2,FALSE))</f>
        <v>Gifts</v>
      </c>
      <c r="H221" s="1" t="str">
        <f>IF(Table2[[#This Row],[Description]]="","",VLOOKUP(Table2[[#This Row],[Description]],$Q$1:$S$101,3,FALSE))</f>
        <v>Mid</v>
      </c>
      <c r="I221" s="1">
        <f>IF(Table2[[#This Row],[Description]]="","",IF(Table2[[#This Row],[Currency]]=$O$2,$P$2,HLOOKUP(Table2[[#This Row],[Date]],Funds!$C$10:$GV$11,2,FALSE)))</f>
        <v>1</v>
      </c>
      <c r="J221" s="215">
        <f>IF(Table2[[#This Row],[Description]]="","",Table2[[#This Row],[Value]]/Table2[[#This Row],[Conversion]])</f>
        <v>50.75</v>
      </c>
      <c r="K221" s="45">
        <f>IF(Table2[[#This Row],[Description]]="","",DATE(Table2[[#This Row],[Year]],Table2[[#This Row],[Month]],1))</f>
        <v>43709</v>
      </c>
      <c r="AA221" s="47"/>
      <c r="AC221" s="40"/>
      <c r="AD221" s="41"/>
      <c r="AE221" s="44"/>
    </row>
    <row r="222" spans="2:31" x14ac:dyDescent="0.25">
      <c r="B222" t="s">
        <v>120</v>
      </c>
      <c r="C222" s="1">
        <v>9</v>
      </c>
      <c r="D222" s="1">
        <v>2019</v>
      </c>
      <c r="E222" s="166">
        <v>2000</v>
      </c>
      <c r="F222" s="1" t="s">
        <v>22</v>
      </c>
      <c r="G222" s="1" t="str">
        <f>IF(Table2[[#This Row],[Description]]="","",VLOOKUP(Table2[[#This Row],[Description]],$Q$1:$S$101,2,FALSE))</f>
        <v>Investment</v>
      </c>
      <c r="H222" s="1" t="str">
        <f>IF(Table2[[#This Row],[Description]]="","",VLOOKUP(Table2[[#This Row],[Description]],$Q$1:$S$101,3,FALSE))</f>
        <v>Long</v>
      </c>
      <c r="I222" s="1">
        <f>IF(Table2[[#This Row],[Description]]="","",IF(Table2[[#This Row],[Currency]]=$O$2,$P$2,HLOOKUP(Table2[[#This Row],[Date]],Funds!$C$10:$GV$11,2,FALSE)))</f>
        <v>4.1399999999999997</v>
      </c>
      <c r="J222" s="215">
        <f>IF(Table2[[#This Row],[Description]]="","",Table2[[#This Row],[Value]]/Table2[[#This Row],[Conversion]])</f>
        <v>483.09178743961354</v>
      </c>
      <c r="K222" s="45">
        <f>IF(Table2[[#This Row],[Description]]="","",DATE(Table2[[#This Row],[Year]],Table2[[#This Row],[Month]],1))</f>
        <v>43709</v>
      </c>
      <c r="AA222" s="47"/>
      <c r="AC222" s="40"/>
      <c r="AD222" s="41"/>
      <c r="AE222" s="44"/>
    </row>
    <row r="223" spans="2:31" x14ac:dyDescent="0.25">
      <c r="B223" t="s">
        <v>73</v>
      </c>
      <c r="C223" s="1">
        <v>9</v>
      </c>
      <c r="D223" s="1">
        <v>2019</v>
      </c>
      <c r="E223" s="166">
        <v>200</v>
      </c>
      <c r="F223" s="1" t="s">
        <v>22</v>
      </c>
      <c r="G223" s="1" t="str">
        <f>IF(Table2[[#This Row],[Description]]="","",VLOOKUP(Table2[[#This Row],[Description]],$Q$1:$S$101,2,FALSE))</f>
        <v>MN free</v>
      </c>
      <c r="H223" s="1" t="str">
        <f>IF(Table2[[#This Row],[Description]]="","",VLOOKUP(Table2[[#This Row],[Description]],$Q$1:$S$101,3,FALSE))</f>
        <v>Mid</v>
      </c>
      <c r="I223" s="1">
        <f>IF(Table2[[#This Row],[Description]]="","",IF(Table2[[#This Row],[Currency]]=$O$2,$P$2,HLOOKUP(Table2[[#This Row],[Date]],Funds!$C$10:$GV$11,2,FALSE)))</f>
        <v>4.1399999999999997</v>
      </c>
      <c r="J223" s="215">
        <f>IF(Table2[[#This Row],[Description]]="","",Table2[[#This Row],[Value]]/Table2[[#This Row],[Conversion]])</f>
        <v>48.309178743961354</v>
      </c>
      <c r="K223" s="45">
        <f>IF(Table2[[#This Row],[Description]]="","",DATE(Table2[[#This Row],[Year]],Table2[[#This Row],[Month]],1))</f>
        <v>43709</v>
      </c>
      <c r="AA223" s="47"/>
      <c r="AC223" s="40"/>
      <c r="AD223" s="41"/>
      <c r="AE223" s="44"/>
    </row>
    <row r="224" spans="2:31" x14ac:dyDescent="0.25">
      <c r="B224" t="s">
        <v>316</v>
      </c>
      <c r="C224" s="1">
        <v>9</v>
      </c>
      <c r="D224" s="1">
        <v>2019</v>
      </c>
      <c r="E224" s="166">
        <v>300</v>
      </c>
      <c r="F224" s="1" t="s">
        <v>22</v>
      </c>
      <c r="G224" s="1" t="str">
        <f>IF(Table2[[#This Row],[Description]]="","",VLOOKUP(Table2[[#This Row],[Description]],$Q$1:$S$101,2,FALSE))</f>
        <v>Gifts</v>
      </c>
      <c r="H224" s="1" t="str">
        <f>IF(Table2[[#This Row],[Description]]="","",VLOOKUP(Table2[[#This Row],[Description]],$Q$1:$S$101,3,FALSE))</f>
        <v>Mid</v>
      </c>
      <c r="I224" s="1">
        <f>IF(Table2[[#This Row],[Description]]="","",IF(Table2[[#This Row],[Currency]]=$O$2,$P$2,HLOOKUP(Table2[[#This Row],[Date]],Funds!$C$10:$GV$11,2,FALSE)))</f>
        <v>4.1399999999999997</v>
      </c>
      <c r="J224" s="215">
        <f>IF(Table2[[#This Row],[Description]]="","",Table2[[#This Row],[Value]]/Table2[[#This Row],[Conversion]])</f>
        <v>72.463768115942031</v>
      </c>
      <c r="K224" s="45">
        <f>IF(Table2[[#This Row],[Description]]="","",DATE(Table2[[#This Row],[Year]],Table2[[#This Row],[Month]],1))</f>
        <v>43709</v>
      </c>
      <c r="AA224" s="47"/>
      <c r="AC224" s="40"/>
      <c r="AD224" s="41"/>
      <c r="AE224" s="44"/>
    </row>
    <row r="225" spans="2:31" x14ac:dyDescent="0.25">
      <c r="B225" t="s">
        <v>316</v>
      </c>
      <c r="C225" s="1">
        <v>9</v>
      </c>
      <c r="D225" s="1">
        <v>2019</v>
      </c>
      <c r="E225" s="166">
        <f>201.5/2</f>
        <v>100.75</v>
      </c>
      <c r="F225" s="1" t="s">
        <v>22</v>
      </c>
      <c r="G225" s="1" t="str">
        <f>IF(Table2[[#This Row],[Description]]="","",VLOOKUP(Table2[[#This Row],[Description]],$Q$1:$S$101,2,FALSE))</f>
        <v>Gifts</v>
      </c>
      <c r="H225" s="1" t="str">
        <f>IF(Table2[[#This Row],[Description]]="","",VLOOKUP(Table2[[#This Row],[Description]],$Q$1:$S$101,3,FALSE))</f>
        <v>Mid</v>
      </c>
      <c r="I225" s="1">
        <f>IF(Table2[[#This Row],[Description]]="","",IF(Table2[[#This Row],[Currency]]=$O$2,$P$2,HLOOKUP(Table2[[#This Row],[Date]],Funds!$C$10:$GV$11,2,FALSE)))</f>
        <v>4.1399999999999997</v>
      </c>
      <c r="J225" s="215">
        <f>IF(Table2[[#This Row],[Description]]="","",Table2[[#This Row],[Value]]/Table2[[#This Row],[Conversion]])</f>
        <v>24.335748792270532</v>
      </c>
      <c r="K225" s="45">
        <f>IF(Table2[[#This Row],[Description]]="","",DATE(Table2[[#This Row],[Year]],Table2[[#This Row],[Month]],1))</f>
        <v>43709</v>
      </c>
      <c r="AA225" s="47"/>
      <c r="AC225" s="40"/>
      <c r="AD225" s="41"/>
      <c r="AE225" s="44"/>
    </row>
    <row r="226" spans="2:31" x14ac:dyDescent="0.25">
      <c r="B226" t="s">
        <v>255</v>
      </c>
      <c r="C226" s="1">
        <v>9</v>
      </c>
      <c r="D226" s="1">
        <v>2019</v>
      </c>
      <c r="E226" s="166">
        <f>201.5/2</f>
        <v>100.75</v>
      </c>
      <c r="F226" s="1" t="s">
        <v>22</v>
      </c>
      <c r="G226" s="1" t="str">
        <f>IF(Table2[[#This Row],[Description]]="","",VLOOKUP(Table2[[#This Row],[Description]],$Q$1:$S$101,2,FALSE))</f>
        <v>EK free</v>
      </c>
      <c r="H226" s="1" t="str">
        <f>IF(Table2[[#This Row],[Description]]="","",VLOOKUP(Table2[[#This Row],[Description]],$Q$1:$S$101,3,FALSE))</f>
        <v>Mid</v>
      </c>
      <c r="I226" s="1">
        <f>IF(Table2[[#This Row],[Description]]="","",IF(Table2[[#This Row],[Currency]]=$O$2,$P$2,HLOOKUP(Table2[[#This Row],[Date]],Funds!$C$10:$GV$11,2,FALSE)))</f>
        <v>4.1399999999999997</v>
      </c>
      <c r="J226" s="215">
        <f>IF(Table2[[#This Row],[Description]]="","",Table2[[#This Row],[Value]]/Table2[[#This Row],[Conversion]])</f>
        <v>24.335748792270532</v>
      </c>
      <c r="K226" s="45">
        <f>IF(Table2[[#This Row],[Description]]="","",DATE(Table2[[#This Row],[Year]],Table2[[#This Row],[Month]],1))</f>
        <v>43709</v>
      </c>
      <c r="AA226" s="47"/>
      <c r="AC226" s="40"/>
      <c r="AD226" s="41"/>
      <c r="AE226" s="44"/>
    </row>
    <row r="227" spans="2:31" x14ac:dyDescent="0.25">
      <c r="B227" t="s">
        <v>249</v>
      </c>
      <c r="C227" s="1">
        <v>9</v>
      </c>
      <c r="D227" s="1">
        <v>2019</v>
      </c>
      <c r="E227" s="166">
        <v>48.42</v>
      </c>
      <c r="F227" s="1" t="s">
        <v>22</v>
      </c>
      <c r="G227" s="1" t="str">
        <f>IF(Table2[[#This Row],[Description]]="","",VLOOKUP(Table2[[#This Row],[Description]],$Q$1:$S$101,2,FALSE))</f>
        <v>Leisure</v>
      </c>
      <c r="H227" s="1" t="str">
        <f>IF(Table2[[#This Row],[Description]]="","",VLOOKUP(Table2[[#This Row],[Description]],$Q$1:$S$101,3,FALSE))</f>
        <v>Short</v>
      </c>
      <c r="I227" s="1">
        <f>IF(Table2[[#This Row],[Description]]="","",IF(Table2[[#This Row],[Currency]]=$O$2,$P$2,HLOOKUP(Table2[[#This Row],[Date]],Funds!$C$10:$GV$11,2,FALSE)))</f>
        <v>4.1399999999999997</v>
      </c>
      <c r="J227" s="215">
        <f>IF(Table2[[#This Row],[Description]]="","",Table2[[#This Row],[Value]]/Table2[[#This Row],[Conversion]])</f>
        <v>11.695652173913045</v>
      </c>
      <c r="K227" s="45">
        <f>IF(Table2[[#This Row],[Description]]="","",DATE(Table2[[#This Row],[Year]],Table2[[#This Row],[Month]],1))</f>
        <v>43709</v>
      </c>
      <c r="AA227" s="47"/>
      <c r="AC227" s="40"/>
      <c r="AD227" s="41"/>
      <c r="AE227" s="44"/>
    </row>
    <row r="228" spans="2:31" x14ac:dyDescent="0.25">
      <c r="B228" t="s">
        <v>249</v>
      </c>
      <c r="C228" s="1">
        <v>9</v>
      </c>
      <c r="D228" s="1">
        <v>2019</v>
      </c>
      <c r="E228" s="166">
        <v>82.3</v>
      </c>
      <c r="F228" s="1" t="s">
        <v>22</v>
      </c>
      <c r="G228" s="1" t="str">
        <f>IF(Table2[[#This Row],[Description]]="","",VLOOKUP(Table2[[#This Row],[Description]],$Q$1:$S$101,2,FALSE))</f>
        <v>Leisure</v>
      </c>
      <c r="H228" s="1" t="str">
        <f>IF(Table2[[#This Row],[Description]]="","",VLOOKUP(Table2[[#This Row],[Description]],$Q$1:$S$101,3,FALSE))</f>
        <v>Short</v>
      </c>
      <c r="I228" s="1">
        <f>IF(Table2[[#This Row],[Description]]="","",IF(Table2[[#This Row],[Currency]]=$O$2,$P$2,HLOOKUP(Table2[[#This Row],[Date]],Funds!$C$10:$GV$11,2,FALSE)))</f>
        <v>4.1399999999999997</v>
      </c>
      <c r="J228" s="215">
        <f>IF(Table2[[#This Row],[Description]]="","",Table2[[#This Row],[Value]]/Table2[[#This Row],[Conversion]])</f>
        <v>19.879227053140099</v>
      </c>
      <c r="K228" s="45">
        <f>IF(Table2[[#This Row],[Description]]="","",DATE(Table2[[#This Row],[Year]],Table2[[#This Row],[Month]],1))</f>
        <v>43709</v>
      </c>
      <c r="AA228" s="47"/>
      <c r="AC228" s="40"/>
      <c r="AD228" s="41"/>
      <c r="AE228" s="44"/>
    </row>
    <row r="229" spans="2:31" x14ac:dyDescent="0.25">
      <c r="B229" t="s">
        <v>249</v>
      </c>
      <c r="C229" s="1">
        <v>9</v>
      </c>
      <c r="D229" s="1">
        <v>2019</v>
      </c>
      <c r="E229" s="166">
        <v>15</v>
      </c>
      <c r="F229" s="1" t="s">
        <v>22</v>
      </c>
      <c r="G229" s="1" t="str">
        <f>IF(Table2[[#This Row],[Description]]="","",VLOOKUP(Table2[[#This Row],[Description]],$Q$1:$S$101,2,FALSE))</f>
        <v>Leisure</v>
      </c>
      <c r="H229" s="1" t="str">
        <f>IF(Table2[[#This Row],[Description]]="","",VLOOKUP(Table2[[#This Row],[Description]],$Q$1:$S$101,3,FALSE))</f>
        <v>Short</v>
      </c>
      <c r="I229" s="1">
        <f>IF(Table2[[#This Row],[Description]]="","",IF(Table2[[#This Row],[Currency]]=$O$2,$P$2,HLOOKUP(Table2[[#This Row],[Date]],Funds!$C$10:$GV$11,2,FALSE)))</f>
        <v>4.1399999999999997</v>
      </c>
      <c r="J229" s="215">
        <f>IF(Table2[[#This Row],[Description]]="","",Table2[[#This Row],[Value]]/Table2[[#This Row],[Conversion]])</f>
        <v>3.6231884057971016</v>
      </c>
      <c r="K229" s="45">
        <f>IF(Table2[[#This Row],[Description]]="","",DATE(Table2[[#This Row],[Year]],Table2[[#This Row],[Month]],1))</f>
        <v>43709</v>
      </c>
      <c r="AA229" s="47"/>
      <c r="AC229" s="40"/>
      <c r="AD229" s="41"/>
      <c r="AE229" s="44"/>
    </row>
    <row r="230" spans="2:31" x14ac:dyDescent="0.25">
      <c r="B230" t="s">
        <v>249</v>
      </c>
      <c r="C230" s="1">
        <v>9</v>
      </c>
      <c r="D230" s="1">
        <v>2019</v>
      </c>
      <c r="E230" s="166">
        <v>146</v>
      </c>
      <c r="F230" s="1" t="s">
        <v>22</v>
      </c>
      <c r="G230" s="1" t="str">
        <f>IF(Table2[[#This Row],[Description]]="","",VLOOKUP(Table2[[#This Row],[Description]],$Q$1:$S$101,2,FALSE))</f>
        <v>Leisure</v>
      </c>
      <c r="H230" s="1" t="str">
        <f>IF(Table2[[#This Row],[Description]]="","",VLOOKUP(Table2[[#This Row],[Description]],$Q$1:$S$101,3,FALSE))</f>
        <v>Short</v>
      </c>
      <c r="I230" s="1">
        <f>IF(Table2[[#This Row],[Description]]="","",IF(Table2[[#This Row],[Currency]]=$O$2,$P$2,HLOOKUP(Table2[[#This Row],[Date]],Funds!$C$10:$GV$11,2,FALSE)))</f>
        <v>4.1399999999999997</v>
      </c>
      <c r="J230" s="215">
        <f>IF(Table2[[#This Row],[Description]]="","",Table2[[#This Row],[Value]]/Table2[[#This Row],[Conversion]])</f>
        <v>35.265700483091791</v>
      </c>
      <c r="K230" s="45">
        <f>IF(Table2[[#This Row],[Description]]="","",DATE(Table2[[#This Row],[Year]],Table2[[#This Row],[Month]],1))</f>
        <v>43709</v>
      </c>
      <c r="AA230" s="47"/>
      <c r="AC230" s="40"/>
      <c r="AD230" s="41"/>
      <c r="AE230" s="44"/>
    </row>
    <row r="231" spans="2:31" x14ac:dyDescent="0.25">
      <c r="B231" t="s">
        <v>289</v>
      </c>
      <c r="C231" s="1">
        <v>9</v>
      </c>
      <c r="D231" s="1">
        <v>2019</v>
      </c>
      <c r="E231" s="166">
        <v>39.880000000000003</v>
      </c>
      <c r="F231" s="1" t="s">
        <v>22</v>
      </c>
      <c r="G231" s="1" t="str">
        <f>IF(Table2[[#This Row],[Description]]="","",VLOOKUP(Table2[[#This Row],[Description]],$Q$1:$S$101,2,FALSE))</f>
        <v>BR trips</v>
      </c>
      <c r="H231" s="1" t="str">
        <f>IF(Table2[[#This Row],[Description]]="","",VLOOKUP(Table2[[#This Row],[Description]],$Q$1:$S$101,3,FALSE))</f>
        <v>Mid</v>
      </c>
      <c r="I231" s="1">
        <f>IF(Table2[[#This Row],[Description]]="","",IF(Table2[[#This Row],[Currency]]=$O$2,$P$2,HLOOKUP(Table2[[#This Row],[Date]],Funds!$C$10:$GV$11,2,FALSE)))</f>
        <v>4.1399999999999997</v>
      </c>
      <c r="J231" s="215">
        <f>IF(Table2[[#This Row],[Description]]="","",Table2[[#This Row],[Value]]/Table2[[#This Row],[Conversion]])</f>
        <v>9.6328502415458956</v>
      </c>
      <c r="K231" s="45">
        <f>IF(Table2[[#This Row],[Description]]="","",DATE(Table2[[#This Row],[Year]],Table2[[#This Row],[Month]],1))</f>
        <v>43709</v>
      </c>
      <c r="AA231" s="47"/>
      <c r="AC231" s="40"/>
      <c r="AD231" s="41"/>
      <c r="AE231" s="44"/>
    </row>
    <row r="232" spans="2:31" x14ac:dyDescent="0.25">
      <c r="B232" t="s">
        <v>58</v>
      </c>
      <c r="C232" s="1">
        <v>9</v>
      </c>
      <c r="D232" s="1">
        <v>2019</v>
      </c>
      <c r="E232" s="166">
        <v>15</v>
      </c>
      <c r="F232" s="1" t="s">
        <v>22</v>
      </c>
      <c r="G232" s="1" t="str">
        <f>IF(Table2[[#This Row],[Description]]="","",VLOOKUP(Table2[[#This Row],[Description]],$Q$1:$S$101,2,FALSE))</f>
        <v>Food</v>
      </c>
      <c r="H232" s="1" t="str">
        <f>IF(Table2[[#This Row],[Description]]="","",VLOOKUP(Table2[[#This Row],[Description]],$Q$1:$S$101,3,FALSE))</f>
        <v>Short</v>
      </c>
      <c r="I232" s="1">
        <f>IF(Table2[[#This Row],[Description]]="","",IF(Table2[[#This Row],[Currency]]=$O$2,$P$2,HLOOKUP(Table2[[#This Row],[Date]],Funds!$C$10:$GV$11,2,FALSE)))</f>
        <v>4.1399999999999997</v>
      </c>
      <c r="J232" s="215">
        <f>IF(Table2[[#This Row],[Description]]="","",Table2[[#This Row],[Value]]/Table2[[#This Row],[Conversion]])</f>
        <v>3.6231884057971016</v>
      </c>
      <c r="K232" s="45">
        <f>IF(Table2[[#This Row],[Description]]="","",DATE(Table2[[#This Row],[Year]],Table2[[#This Row],[Month]],1))</f>
        <v>43709</v>
      </c>
      <c r="AA232" s="47"/>
      <c r="AC232" s="40"/>
      <c r="AD232" s="41"/>
      <c r="AE232" s="44"/>
    </row>
    <row r="233" spans="2:31" x14ac:dyDescent="0.25">
      <c r="B233" t="s">
        <v>58</v>
      </c>
      <c r="C233" s="1">
        <v>9</v>
      </c>
      <c r="D233" s="1">
        <v>2019</v>
      </c>
      <c r="E233" s="166">
        <v>29.5</v>
      </c>
      <c r="F233" s="1" t="s">
        <v>22</v>
      </c>
      <c r="G233" s="1" t="str">
        <f>IF(Table2[[#This Row],[Description]]="","",VLOOKUP(Table2[[#This Row],[Description]],$Q$1:$S$101,2,FALSE))</f>
        <v>Food</v>
      </c>
      <c r="H233" s="1" t="str">
        <f>IF(Table2[[#This Row],[Description]]="","",VLOOKUP(Table2[[#This Row],[Description]],$Q$1:$S$101,3,FALSE))</f>
        <v>Short</v>
      </c>
      <c r="I233" s="1">
        <f>IF(Table2[[#This Row],[Description]]="","",IF(Table2[[#This Row],[Currency]]=$O$2,$P$2,HLOOKUP(Table2[[#This Row],[Date]],Funds!$C$10:$GV$11,2,FALSE)))</f>
        <v>4.1399999999999997</v>
      </c>
      <c r="J233" s="215">
        <f>IF(Table2[[#This Row],[Description]]="","",Table2[[#This Row],[Value]]/Table2[[#This Row],[Conversion]])</f>
        <v>7.1256038647343001</v>
      </c>
      <c r="K233" s="45">
        <f>IF(Table2[[#This Row],[Description]]="","",DATE(Table2[[#This Row],[Year]],Table2[[#This Row],[Month]],1))</f>
        <v>43709</v>
      </c>
      <c r="AA233" s="47"/>
      <c r="AC233" s="40"/>
      <c r="AD233" s="41"/>
      <c r="AE233" s="44"/>
    </row>
    <row r="234" spans="2:31" x14ac:dyDescent="0.25">
      <c r="B234" t="s">
        <v>57</v>
      </c>
      <c r="C234" s="1">
        <v>9</v>
      </c>
      <c r="D234" s="1">
        <v>2019</v>
      </c>
      <c r="E234" s="166">
        <v>15.98</v>
      </c>
      <c r="F234" s="1" t="s">
        <v>22</v>
      </c>
      <c r="G234" s="1" t="str">
        <f>IF(Table2[[#This Row],[Description]]="","",VLOOKUP(Table2[[#This Row],[Description]],$Q$1:$S$101,2,FALSE))</f>
        <v>Food</v>
      </c>
      <c r="H234" s="1" t="str">
        <f>IF(Table2[[#This Row],[Description]]="","",VLOOKUP(Table2[[#This Row],[Description]],$Q$1:$S$101,3,FALSE))</f>
        <v>Short</v>
      </c>
      <c r="I234" s="1">
        <f>IF(Table2[[#This Row],[Description]]="","",IF(Table2[[#This Row],[Currency]]=$O$2,$P$2,HLOOKUP(Table2[[#This Row],[Date]],Funds!$C$10:$GV$11,2,FALSE)))</f>
        <v>4.1399999999999997</v>
      </c>
      <c r="J234" s="215">
        <f>IF(Table2[[#This Row],[Description]]="","",Table2[[#This Row],[Value]]/Table2[[#This Row],[Conversion]])</f>
        <v>3.8599033816425123</v>
      </c>
      <c r="K234" s="45">
        <f>IF(Table2[[#This Row],[Description]]="","",DATE(Table2[[#This Row],[Year]],Table2[[#This Row],[Month]],1))</f>
        <v>43709</v>
      </c>
      <c r="AA234" s="47"/>
      <c r="AC234" s="40"/>
      <c r="AD234" s="41"/>
      <c r="AE234" s="44"/>
    </row>
    <row r="235" spans="2:31" x14ac:dyDescent="0.25">
      <c r="B235" t="s">
        <v>57</v>
      </c>
      <c r="C235" s="1">
        <v>9</v>
      </c>
      <c r="D235" s="1">
        <v>2019</v>
      </c>
      <c r="E235" s="166">
        <v>19.170000000000002</v>
      </c>
      <c r="F235" s="1" t="s">
        <v>22</v>
      </c>
      <c r="G235" s="1" t="str">
        <f>IF(Table2[[#This Row],[Description]]="","",VLOOKUP(Table2[[#This Row],[Description]],$Q$1:$S$101,2,FALSE))</f>
        <v>Food</v>
      </c>
      <c r="H235" s="1" t="str">
        <f>IF(Table2[[#This Row],[Description]]="","",VLOOKUP(Table2[[#This Row],[Description]],$Q$1:$S$101,3,FALSE))</f>
        <v>Short</v>
      </c>
      <c r="I235" s="1">
        <f>IF(Table2[[#This Row],[Description]]="","",IF(Table2[[#This Row],[Currency]]=$O$2,$P$2,HLOOKUP(Table2[[#This Row],[Date]],Funds!$C$10:$GV$11,2,FALSE)))</f>
        <v>4.1399999999999997</v>
      </c>
      <c r="J235" s="215">
        <f>IF(Table2[[#This Row],[Description]]="","",Table2[[#This Row],[Value]]/Table2[[#This Row],[Conversion]])</f>
        <v>4.6304347826086962</v>
      </c>
      <c r="K235" s="45">
        <f>IF(Table2[[#This Row],[Description]]="","",DATE(Table2[[#This Row],[Year]],Table2[[#This Row],[Month]],1))</f>
        <v>43709</v>
      </c>
      <c r="AA235" s="47"/>
      <c r="AC235" s="40"/>
      <c r="AD235" s="41"/>
      <c r="AE235" s="44"/>
    </row>
    <row r="236" spans="2:31" x14ac:dyDescent="0.25">
      <c r="B236" t="s">
        <v>57</v>
      </c>
      <c r="C236" s="1">
        <v>9</v>
      </c>
      <c r="D236" s="1">
        <v>2019</v>
      </c>
      <c r="E236" s="166">
        <v>6.65</v>
      </c>
      <c r="F236" s="1" t="s">
        <v>22</v>
      </c>
      <c r="G236" s="1" t="str">
        <f>IF(Table2[[#This Row],[Description]]="","",VLOOKUP(Table2[[#This Row],[Description]],$Q$1:$S$101,2,FALSE))</f>
        <v>Food</v>
      </c>
      <c r="H236" s="1" t="str">
        <f>IF(Table2[[#This Row],[Description]]="","",VLOOKUP(Table2[[#This Row],[Description]],$Q$1:$S$101,3,FALSE))</f>
        <v>Short</v>
      </c>
      <c r="I236" s="1">
        <f>IF(Table2[[#This Row],[Description]]="","",IF(Table2[[#This Row],[Currency]]=$O$2,$P$2,HLOOKUP(Table2[[#This Row],[Date]],Funds!$C$10:$GV$11,2,FALSE)))</f>
        <v>4.1399999999999997</v>
      </c>
      <c r="J236" s="215">
        <f>IF(Table2[[#This Row],[Description]]="","",Table2[[#This Row],[Value]]/Table2[[#This Row],[Conversion]])</f>
        <v>1.6062801932367152</v>
      </c>
      <c r="K236" s="45">
        <f>IF(Table2[[#This Row],[Description]]="","",DATE(Table2[[#This Row],[Year]],Table2[[#This Row],[Month]],1))</f>
        <v>43709</v>
      </c>
      <c r="AA236" s="47"/>
      <c r="AC236" s="40"/>
      <c r="AD236" s="41"/>
      <c r="AE236" s="44"/>
    </row>
    <row r="237" spans="2:31" x14ac:dyDescent="0.25">
      <c r="B237" t="s">
        <v>57</v>
      </c>
      <c r="C237" s="1">
        <v>9</v>
      </c>
      <c r="D237" s="1">
        <v>2019</v>
      </c>
      <c r="E237" s="166">
        <v>54</v>
      </c>
      <c r="F237" s="1" t="s">
        <v>22</v>
      </c>
      <c r="G237" s="1" t="str">
        <f>IF(Table2[[#This Row],[Description]]="","",VLOOKUP(Table2[[#This Row],[Description]],$Q$1:$S$101,2,FALSE))</f>
        <v>Food</v>
      </c>
      <c r="H237" s="1" t="str">
        <f>IF(Table2[[#This Row],[Description]]="","",VLOOKUP(Table2[[#This Row],[Description]],$Q$1:$S$101,3,FALSE))</f>
        <v>Short</v>
      </c>
      <c r="I237" s="1">
        <f>IF(Table2[[#This Row],[Description]]="","",IF(Table2[[#This Row],[Currency]]=$O$2,$P$2,HLOOKUP(Table2[[#This Row],[Date]],Funds!$C$10:$GV$11,2,FALSE)))</f>
        <v>4.1399999999999997</v>
      </c>
      <c r="J237" s="215">
        <f>IF(Table2[[#This Row],[Description]]="","",Table2[[#This Row],[Value]]/Table2[[#This Row],[Conversion]])</f>
        <v>13.043478260869566</v>
      </c>
      <c r="K237" s="45">
        <f>IF(Table2[[#This Row],[Description]]="","",DATE(Table2[[#This Row],[Year]],Table2[[#This Row],[Month]],1))</f>
        <v>43709</v>
      </c>
      <c r="AA237" s="47"/>
      <c r="AC237" s="40"/>
      <c r="AD237" s="41"/>
      <c r="AE237" s="44"/>
    </row>
    <row r="238" spans="2:31" x14ac:dyDescent="0.25">
      <c r="B238" t="s">
        <v>62</v>
      </c>
      <c r="C238" s="1">
        <v>9</v>
      </c>
      <c r="D238" s="1">
        <v>2019</v>
      </c>
      <c r="E238" s="166">
        <v>37</v>
      </c>
      <c r="F238" s="1" t="s">
        <v>22</v>
      </c>
      <c r="G238" s="1" t="str">
        <f>IF(Table2[[#This Row],[Description]]="","",VLOOKUP(Table2[[#This Row],[Description]],$Q$1:$S$101,2,FALSE))</f>
        <v>Leisure</v>
      </c>
      <c r="H238" s="1" t="str">
        <f>IF(Table2[[#This Row],[Description]]="","",VLOOKUP(Table2[[#This Row],[Description]],$Q$1:$S$101,3,FALSE))</f>
        <v>Short</v>
      </c>
      <c r="I238" s="1">
        <f>IF(Table2[[#This Row],[Description]]="","",IF(Table2[[#This Row],[Currency]]=$O$2,$P$2,HLOOKUP(Table2[[#This Row],[Date]],Funds!$C$10:$GV$11,2,FALSE)))</f>
        <v>4.1399999999999997</v>
      </c>
      <c r="J238" s="215">
        <f>IF(Table2[[#This Row],[Description]]="","",Table2[[#This Row],[Value]]/Table2[[#This Row],[Conversion]])</f>
        <v>8.9371980676328509</v>
      </c>
      <c r="K238" s="45">
        <f>IF(Table2[[#This Row],[Description]]="","",DATE(Table2[[#This Row],[Year]],Table2[[#This Row],[Month]],1))</f>
        <v>43709</v>
      </c>
      <c r="AA238" s="47"/>
      <c r="AC238" s="40"/>
      <c r="AD238" s="41"/>
      <c r="AE238" s="44"/>
    </row>
    <row r="239" spans="2:31" x14ac:dyDescent="0.25">
      <c r="B239" t="s">
        <v>62</v>
      </c>
      <c r="C239" s="1">
        <v>9</v>
      </c>
      <c r="D239" s="1">
        <v>2019</v>
      </c>
      <c r="E239" s="166">
        <v>6</v>
      </c>
      <c r="F239" s="1" t="s">
        <v>22</v>
      </c>
      <c r="G239" s="1" t="str">
        <f>IF(Table2[[#This Row],[Description]]="","",VLOOKUP(Table2[[#This Row],[Description]],$Q$1:$S$101,2,FALSE))</f>
        <v>Leisure</v>
      </c>
      <c r="H239" s="1" t="str">
        <f>IF(Table2[[#This Row],[Description]]="","",VLOOKUP(Table2[[#This Row],[Description]],$Q$1:$S$101,3,FALSE))</f>
        <v>Short</v>
      </c>
      <c r="I239" s="1">
        <f>IF(Table2[[#This Row],[Description]]="","",IF(Table2[[#This Row],[Currency]]=$O$2,$P$2,HLOOKUP(Table2[[#This Row],[Date]],Funds!$C$10:$GV$11,2,FALSE)))</f>
        <v>4.1399999999999997</v>
      </c>
      <c r="J239" s="215">
        <f>IF(Table2[[#This Row],[Description]]="","",Table2[[#This Row],[Value]]/Table2[[#This Row],[Conversion]])</f>
        <v>1.4492753623188408</v>
      </c>
      <c r="K239" s="45">
        <f>IF(Table2[[#This Row],[Description]]="","",DATE(Table2[[#This Row],[Year]],Table2[[#This Row],[Month]],1))</f>
        <v>43709</v>
      </c>
      <c r="AA239" s="47"/>
      <c r="AC239" s="40"/>
      <c r="AD239" s="41"/>
      <c r="AE239" s="44"/>
    </row>
    <row r="240" spans="2:31" x14ac:dyDescent="0.25">
      <c r="B240" t="s">
        <v>29</v>
      </c>
      <c r="C240" s="1">
        <v>9</v>
      </c>
      <c r="D240" s="1">
        <v>2019</v>
      </c>
      <c r="E240" s="166">
        <v>220</v>
      </c>
      <c r="F240" s="1" t="s">
        <v>22</v>
      </c>
      <c r="G240" s="1" t="str">
        <f>IF(Table2[[#This Row],[Description]]="","",VLOOKUP(Table2[[#This Row],[Description]],$Q$1:$S$101,2,FALSE))</f>
        <v>Health</v>
      </c>
      <c r="H240" s="1" t="str">
        <f>IF(Table2[[#This Row],[Description]]="","",VLOOKUP(Table2[[#This Row],[Description]],$Q$1:$S$101,3,FALSE))</f>
        <v>Mid</v>
      </c>
      <c r="I240" s="1">
        <f>IF(Table2[[#This Row],[Description]]="","",IF(Table2[[#This Row],[Currency]]=$O$2,$P$2,HLOOKUP(Table2[[#This Row],[Date]],Funds!$C$10:$GV$11,2,FALSE)))</f>
        <v>4.1399999999999997</v>
      </c>
      <c r="J240" s="215">
        <f>IF(Table2[[#This Row],[Description]]="","",Table2[[#This Row],[Value]]/Table2[[#This Row],[Conversion]])</f>
        <v>53.140096618357489</v>
      </c>
      <c r="K240" s="45">
        <f>IF(Table2[[#This Row],[Description]]="","",DATE(Table2[[#This Row],[Year]],Table2[[#This Row],[Month]],1))</f>
        <v>43709</v>
      </c>
      <c r="AA240" s="47"/>
      <c r="AC240" s="40"/>
      <c r="AD240" s="41"/>
      <c r="AE240" s="44"/>
    </row>
    <row r="241" spans="2:31" x14ac:dyDescent="0.25">
      <c r="B241" t="s">
        <v>57</v>
      </c>
      <c r="C241" s="1">
        <v>9</v>
      </c>
      <c r="D241" s="1">
        <v>2019</v>
      </c>
      <c r="E241" s="166">
        <v>20.27</v>
      </c>
      <c r="F241" s="1" t="s">
        <v>22</v>
      </c>
      <c r="G241" s="1" t="str">
        <f>IF(Table2[[#This Row],[Description]]="","",VLOOKUP(Table2[[#This Row],[Description]],$Q$1:$S$101,2,FALSE))</f>
        <v>Food</v>
      </c>
      <c r="H241" s="1" t="str">
        <f>IF(Table2[[#This Row],[Description]]="","",VLOOKUP(Table2[[#This Row],[Description]],$Q$1:$S$101,3,FALSE))</f>
        <v>Short</v>
      </c>
      <c r="I241" s="1">
        <f>IF(Table2[[#This Row],[Description]]="","",IF(Table2[[#This Row],[Currency]]=$O$2,$P$2,HLOOKUP(Table2[[#This Row],[Date]],Funds!$C$10:$GV$11,2,FALSE)))</f>
        <v>4.1399999999999997</v>
      </c>
      <c r="J241" s="215">
        <f>IF(Table2[[#This Row],[Description]]="","",Table2[[#This Row],[Value]]/Table2[[#This Row],[Conversion]])</f>
        <v>4.8961352657004831</v>
      </c>
      <c r="K241" s="45">
        <f>IF(Table2[[#This Row],[Description]]="","",DATE(Table2[[#This Row],[Year]],Table2[[#This Row],[Month]],1))</f>
        <v>43709</v>
      </c>
      <c r="AA241" s="47"/>
      <c r="AC241" s="40"/>
      <c r="AD241" s="41"/>
      <c r="AE241" s="44"/>
    </row>
    <row r="242" spans="2:31" x14ac:dyDescent="0.25">
      <c r="B242" t="s">
        <v>252</v>
      </c>
      <c r="C242" s="1">
        <v>9</v>
      </c>
      <c r="D242" s="1">
        <v>2019</v>
      </c>
      <c r="E242" s="166">
        <v>204.6</v>
      </c>
      <c r="F242" s="1" t="s">
        <v>21</v>
      </c>
      <c r="G242" s="1" t="str">
        <f>IF(Table2[[#This Row],[Description]]="","",VLOOKUP(Table2[[#This Row],[Description]],$Q$1:$S$101,2,FALSE))</f>
        <v>Other Mid</v>
      </c>
      <c r="H242" s="1" t="str">
        <f>IF(Table2[[#This Row],[Description]]="","",VLOOKUP(Table2[[#This Row],[Description]],$Q$1:$S$101,3,FALSE))</f>
        <v>Mid</v>
      </c>
      <c r="I242" s="1">
        <f>IF(Table2[[#This Row],[Description]]="","",IF(Table2[[#This Row],[Currency]]=$O$2,$P$2,HLOOKUP(Table2[[#This Row],[Date]],Funds!$C$10:$GV$11,2,FALSE)))</f>
        <v>1</v>
      </c>
      <c r="J242" s="215">
        <f>IF(Table2[[#This Row],[Description]]="","",Table2[[#This Row],[Value]]/Table2[[#This Row],[Conversion]])</f>
        <v>204.6</v>
      </c>
      <c r="K242" s="45">
        <f>IF(Table2[[#This Row],[Description]]="","",DATE(Table2[[#This Row],[Year]],Table2[[#This Row],[Month]],1))</f>
        <v>43709</v>
      </c>
      <c r="AA242" s="47"/>
      <c r="AC242" s="40"/>
      <c r="AD242" s="41"/>
      <c r="AE242" s="44"/>
    </row>
    <row r="243" spans="2:31" x14ac:dyDescent="0.25">
      <c r="B243" t="s">
        <v>541</v>
      </c>
      <c r="C243" s="1">
        <v>9</v>
      </c>
      <c r="D243" s="1">
        <v>2019</v>
      </c>
      <c r="E243" s="166">
        <v>301.74</v>
      </c>
      <c r="F243" s="1" t="s">
        <v>21</v>
      </c>
      <c r="G243" s="1" t="str">
        <f>IF(Table2[[#This Row],[Description]]="","",VLOOKUP(Table2[[#This Row],[Description]],$Q$1:$S$101,2,FALSE))</f>
        <v>Turism</v>
      </c>
      <c r="H243" s="1" t="str">
        <f>IF(Table2[[#This Row],[Description]]="","",VLOOKUP(Table2[[#This Row],[Description]],$Q$1:$S$101,3,FALSE))</f>
        <v>Trip</v>
      </c>
      <c r="I243" s="1">
        <f>IF(Table2[[#This Row],[Description]]="","",IF(Table2[[#This Row],[Currency]]=$O$2,$P$2,HLOOKUP(Table2[[#This Row],[Date]],Funds!$C$10:$GV$11,2,FALSE)))</f>
        <v>1</v>
      </c>
      <c r="J243" s="215">
        <f>IF(Table2[[#This Row],[Description]]="","",Table2[[#This Row],[Value]]/Table2[[#This Row],[Conversion]])</f>
        <v>301.74</v>
      </c>
      <c r="K243" s="45">
        <f>IF(Table2[[#This Row],[Description]]="","",DATE(Table2[[#This Row],[Year]],Table2[[#This Row],[Month]],1))</f>
        <v>43709</v>
      </c>
      <c r="AA243" s="47"/>
      <c r="AC243" s="40"/>
      <c r="AD243" s="41"/>
      <c r="AE243" s="44"/>
    </row>
    <row r="244" spans="2:31" x14ac:dyDescent="0.25">
      <c r="B244" t="s">
        <v>72</v>
      </c>
      <c r="C244" s="1">
        <v>9</v>
      </c>
      <c r="D244" s="1">
        <v>2019</v>
      </c>
      <c r="E244" s="166">
        <v>242.28</v>
      </c>
      <c r="F244" s="1" t="s">
        <v>21</v>
      </c>
      <c r="G244" s="1" t="str">
        <f>IF(Table2[[#This Row],[Description]]="","",VLOOKUP(Table2[[#This Row],[Description]],$Q$1:$S$101,2,FALSE))</f>
        <v>EK free</v>
      </c>
      <c r="H244" s="1" t="str">
        <f>IF(Table2[[#This Row],[Description]]="","",VLOOKUP(Table2[[#This Row],[Description]],$Q$1:$S$101,3,FALSE))</f>
        <v>Mid</v>
      </c>
      <c r="I244" s="1">
        <f>IF(Table2[[#This Row],[Description]]="","",IF(Table2[[#This Row],[Currency]]=$O$2,$P$2,HLOOKUP(Table2[[#This Row],[Date]],Funds!$C$10:$GV$11,2,FALSE)))</f>
        <v>1</v>
      </c>
      <c r="J244" s="215">
        <f>IF(Table2[[#This Row],[Description]]="","",Table2[[#This Row],[Value]]/Table2[[#This Row],[Conversion]])</f>
        <v>242.28</v>
      </c>
      <c r="K244" s="45">
        <f>IF(Table2[[#This Row],[Description]]="","",DATE(Table2[[#This Row],[Year]],Table2[[#This Row],[Month]],1))</f>
        <v>43709</v>
      </c>
      <c r="AA244" s="47"/>
      <c r="AC244" s="40"/>
      <c r="AD244" s="41"/>
      <c r="AE244" s="44"/>
    </row>
    <row r="245" spans="2:31" x14ac:dyDescent="0.25">
      <c r="B245" t="s">
        <v>57</v>
      </c>
      <c r="C245" s="1">
        <v>9</v>
      </c>
      <c r="D245" s="1">
        <v>2019</v>
      </c>
      <c r="E245" s="166">
        <v>64.17</v>
      </c>
      <c r="F245" s="1" t="s">
        <v>21</v>
      </c>
      <c r="G245" s="1" t="str">
        <f>IF(Table2[[#This Row],[Description]]="","",VLOOKUP(Table2[[#This Row],[Description]],$Q$1:$S$101,2,FALSE))</f>
        <v>Food</v>
      </c>
      <c r="H245" s="1" t="str">
        <f>IF(Table2[[#This Row],[Description]]="","",VLOOKUP(Table2[[#This Row],[Description]],$Q$1:$S$101,3,FALSE))</f>
        <v>Short</v>
      </c>
      <c r="I245" s="1">
        <f>IF(Table2[[#This Row],[Description]]="","",IF(Table2[[#This Row],[Currency]]=$O$2,$P$2,HLOOKUP(Table2[[#This Row],[Date]],Funds!$C$10:$GV$11,2,FALSE)))</f>
        <v>1</v>
      </c>
      <c r="J245" s="215">
        <f>IF(Table2[[#This Row],[Description]]="","",Table2[[#This Row],[Value]]/Table2[[#This Row],[Conversion]])</f>
        <v>64.17</v>
      </c>
      <c r="K245" s="45">
        <f>IF(Table2[[#This Row],[Description]]="","",DATE(Table2[[#This Row],[Year]],Table2[[#This Row],[Month]],1))</f>
        <v>43709</v>
      </c>
      <c r="AA245" s="47"/>
      <c r="AC245" s="40"/>
      <c r="AD245" s="41"/>
      <c r="AE245" s="44"/>
    </row>
    <row r="246" spans="2:31" x14ac:dyDescent="0.25">
      <c r="B246" t="s">
        <v>262</v>
      </c>
      <c r="C246" s="1">
        <v>9</v>
      </c>
      <c r="D246" s="1">
        <v>2019</v>
      </c>
      <c r="E246" s="166">
        <v>-306.45999999999998</v>
      </c>
      <c r="F246" s="1" t="s">
        <v>21</v>
      </c>
      <c r="G246" s="1" t="str">
        <f>IF(Table2[[#This Row],[Description]]="","",VLOOKUP(Table2[[#This Row],[Description]],$Q$1:$S$101,2,FALSE))</f>
        <v>Mid</v>
      </c>
      <c r="H246" s="1" t="str">
        <f>IF(Table2[[#This Row],[Description]]="","",VLOOKUP(Table2[[#This Row],[Description]],$Q$1:$S$101,3,FALSE))</f>
        <v>Mid</v>
      </c>
      <c r="I246" s="1">
        <f>IF(Table2[[#This Row],[Description]]="","",IF(Table2[[#This Row],[Currency]]=$O$2,$P$2,HLOOKUP(Table2[[#This Row],[Date]],Funds!$C$10:$GV$11,2,FALSE)))</f>
        <v>1</v>
      </c>
      <c r="J246" s="215">
        <f>IF(Table2[[#This Row],[Description]]="","",Table2[[#This Row],[Value]]/Table2[[#This Row],[Conversion]])</f>
        <v>-306.45999999999998</v>
      </c>
      <c r="K246" s="45">
        <f>IF(Table2[[#This Row],[Description]]="","",DATE(Table2[[#This Row],[Year]],Table2[[#This Row],[Month]],1))</f>
        <v>43709</v>
      </c>
      <c r="AA246" s="47"/>
      <c r="AC246" s="40"/>
      <c r="AD246" s="41"/>
      <c r="AE246" s="44"/>
    </row>
    <row r="247" spans="2:31" x14ac:dyDescent="0.25">
      <c r="B247" t="s">
        <v>68</v>
      </c>
      <c r="C247" s="1">
        <v>9</v>
      </c>
      <c r="D247" s="1">
        <v>2019</v>
      </c>
      <c r="E247" s="166">
        <f>154/2</f>
        <v>77</v>
      </c>
      <c r="F247" s="1" t="s">
        <v>21</v>
      </c>
      <c r="G247" s="1" t="str">
        <f>IF(Table2[[#This Row],[Description]]="","",VLOOKUP(Table2[[#This Row],[Description]],$Q$1:$S$101,2,FALSE))</f>
        <v>EK free</v>
      </c>
      <c r="H247" s="1" t="str">
        <f>IF(Table2[[#This Row],[Description]]="","",VLOOKUP(Table2[[#This Row],[Description]],$Q$1:$S$101,3,FALSE))</f>
        <v>Mid</v>
      </c>
      <c r="I247" s="1">
        <f>IF(Table2[[#This Row],[Description]]="","",IF(Table2[[#This Row],[Currency]]=$O$2,$P$2,HLOOKUP(Table2[[#This Row],[Date]],Funds!$C$10:$GV$11,2,FALSE)))</f>
        <v>1</v>
      </c>
      <c r="J247" s="215">
        <f>IF(Table2[[#This Row],[Description]]="","",Table2[[#This Row],[Value]]/Table2[[#This Row],[Conversion]])</f>
        <v>77</v>
      </c>
      <c r="K247" s="45">
        <f>IF(Table2[[#This Row],[Description]]="","",DATE(Table2[[#This Row],[Year]],Table2[[#This Row],[Month]],1))</f>
        <v>43709</v>
      </c>
      <c r="AA247" s="47"/>
      <c r="AC247" s="40"/>
      <c r="AD247" s="41"/>
      <c r="AE247" s="44"/>
    </row>
    <row r="248" spans="2:31" x14ac:dyDescent="0.25">
      <c r="B248" t="s">
        <v>69</v>
      </c>
      <c r="C248" s="1">
        <v>9</v>
      </c>
      <c r="D248" s="1">
        <v>2019</v>
      </c>
      <c r="E248" s="166">
        <f>154/2</f>
        <v>77</v>
      </c>
      <c r="F248" s="1" t="s">
        <v>21</v>
      </c>
      <c r="G248" s="1" t="str">
        <f>IF(Table2[[#This Row],[Description]]="","",VLOOKUP(Table2[[#This Row],[Description]],$Q$1:$S$101,2,FALSE))</f>
        <v>MN free</v>
      </c>
      <c r="H248" s="1" t="str">
        <f>IF(Table2[[#This Row],[Description]]="","",VLOOKUP(Table2[[#This Row],[Description]],$Q$1:$S$101,3,FALSE))</f>
        <v>Mid</v>
      </c>
      <c r="I248" s="1">
        <f>IF(Table2[[#This Row],[Description]]="","",IF(Table2[[#This Row],[Currency]]=$O$2,$P$2,HLOOKUP(Table2[[#This Row],[Date]],Funds!$C$10:$GV$11,2,FALSE)))</f>
        <v>1</v>
      </c>
      <c r="J248" s="215">
        <f>IF(Table2[[#This Row],[Description]]="","",Table2[[#This Row],[Value]]/Table2[[#This Row],[Conversion]])</f>
        <v>77</v>
      </c>
      <c r="K248" s="45">
        <f>IF(Table2[[#This Row],[Description]]="","",DATE(Table2[[#This Row],[Year]],Table2[[#This Row],[Month]],1))</f>
        <v>43709</v>
      </c>
      <c r="AA248" s="47"/>
      <c r="AC248" s="40"/>
      <c r="AD248" s="41"/>
      <c r="AE248" s="44"/>
    </row>
    <row r="249" spans="2:31" x14ac:dyDescent="0.25">
      <c r="B249" t="s">
        <v>68</v>
      </c>
      <c r="C249" s="1">
        <v>9</v>
      </c>
      <c r="D249" s="1">
        <v>2019</v>
      </c>
      <c r="E249" s="166">
        <f>77*3</f>
        <v>231</v>
      </c>
      <c r="F249" s="1" t="s">
        <v>21</v>
      </c>
      <c r="G249" s="1" t="str">
        <f>IF(Table2[[#This Row],[Description]]="","",VLOOKUP(Table2[[#This Row],[Description]],$Q$1:$S$101,2,FALSE))</f>
        <v>EK free</v>
      </c>
      <c r="H249" s="1" t="str">
        <f>IF(Table2[[#This Row],[Description]]="","",VLOOKUP(Table2[[#This Row],[Description]],$Q$1:$S$101,3,FALSE))</f>
        <v>Mid</v>
      </c>
      <c r="I249" s="1">
        <f>IF(Table2[[#This Row],[Description]]="","",IF(Table2[[#This Row],[Currency]]=$O$2,$P$2,HLOOKUP(Table2[[#This Row],[Date]],Funds!$C$10:$GV$11,2,FALSE)))</f>
        <v>1</v>
      </c>
      <c r="J249" s="215">
        <f>IF(Table2[[#This Row],[Description]]="","",Table2[[#This Row],[Value]]/Table2[[#This Row],[Conversion]])</f>
        <v>231</v>
      </c>
      <c r="K249" s="45">
        <f>IF(Table2[[#This Row],[Description]]="","",DATE(Table2[[#This Row],[Year]],Table2[[#This Row],[Month]],1))</f>
        <v>43709</v>
      </c>
      <c r="AA249" s="47"/>
      <c r="AC249" s="40"/>
      <c r="AD249" s="41"/>
      <c r="AE249" s="44"/>
    </row>
    <row r="250" spans="2:31" x14ac:dyDescent="0.25">
      <c r="B250" t="s">
        <v>69</v>
      </c>
      <c r="C250" s="1">
        <v>9</v>
      </c>
      <c r="D250" s="1">
        <v>2019</v>
      </c>
      <c r="E250" s="166">
        <f>77*3</f>
        <v>231</v>
      </c>
      <c r="F250" s="1" t="s">
        <v>21</v>
      </c>
      <c r="G250" s="1" t="str">
        <f>IF(Table2[[#This Row],[Description]]="","",VLOOKUP(Table2[[#This Row],[Description]],$Q$1:$S$101,2,FALSE))</f>
        <v>MN free</v>
      </c>
      <c r="H250" s="1" t="str">
        <f>IF(Table2[[#This Row],[Description]]="","",VLOOKUP(Table2[[#This Row],[Description]],$Q$1:$S$101,3,FALSE))</f>
        <v>Mid</v>
      </c>
      <c r="I250" s="1">
        <f>IF(Table2[[#This Row],[Description]]="","",IF(Table2[[#This Row],[Currency]]=$O$2,$P$2,HLOOKUP(Table2[[#This Row],[Date]],Funds!$C$10:$GV$11,2,FALSE)))</f>
        <v>1</v>
      </c>
      <c r="J250" s="215">
        <f>IF(Table2[[#This Row],[Description]]="","",Table2[[#This Row],[Value]]/Table2[[#This Row],[Conversion]])</f>
        <v>231</v>
      </c>
      <c r="K250" s="45">
        <f>IF(Table2[[#This Row],[Description]]="","",DATE(Table2[[#This Row],[Year]],Table2[[#This Row],[Month]],1))</f>
        <v>43709</v>
      </c>
      <c r="AA250" s="47"/>
      <c r="AC250" s="40"/>
      <c r="AD250" s="41"/>
      <c r="AE250" s="44"/>
    </row>
    <row r="251" spans="2:31" x14ac:dyDescent="0.25">
      <c r="B251" t="s">
        <v>252</v>
      </c>
      <c r="C251" s="1">
        <v>9</v>
      </c>
      <c r="D251" s="1">
        <v>2019</v>
      </c>
      <c r="E251" s="166">
        <v>-462</v>
      </c>
      <c r="F251" s="1" t="s">
        <v>21</v>
      </c>
      <c r="G251" s="1" t="str">
        <f>IF(Table2[[#This Row],[Description]]="","",VLOOKUP(Table2[[#This Row],[Description]],$Q$1:$S$101,2,FALSE))</f>
        <v>Other Mid</v>
      </c>
      <c r="H251" s="1" t="str">
        <f>IF(Table2[[#This Row],[Description]]="","",VLOOKUP(Table2[[#This Row],[Description]],$Q$1:$S$101,3,FALSE))</f>
        <v>Mid</v>
      </c>
      <c r="I251" s="1">
        <f>IF(Table2[[#This Row],[Description]]="","",IF(Table2[[#This Row],[Currency]]=$O$2,$P$2,HLOOKUP(Table2[[#This Row],[Date]],Funds!$C$10:$GV$11,2,FALSE)))</f>
        <v>1</v>
      </c>
      <c r="J251" s="215">
        <f>IF(Table2[[#This Row],[Description]]="","",Table2[[#This Row],[Value]]/Table2[[#This Row],[Conversion]])</f>
        <v>-462</v>
      </c>
      <c r="K251" s="45">
        <f>IF(Table2[[#This Row],[Description]]="","",DATE(Table2[[#This Row],[Year]],Table2[[#This Row],[Month]],1))</f>
        <v>43709</v>
      </c>
      <c r="AA251" s="47"/>
      <c r="AC251" s="40"/>
      <c r="AD251" s="41"/>
      <c r="AE251" s="44"/>
    </row>
    <row r="252" spans="2:31" x14ac:dyDescent="0.25">
      <c r="B252" t="s">
        <v>263</v>
      </c>
      <c r="C252" s="1">
        <v>9</v>
      </c>
      <c r="D252" s="1">
        <v>2019</v>
      </c>
      <c r="E252" s="166">
        <v>1.9</v>
      </c>
      <c r="F252" s="1" t="s">
        <v>22</v>
      </c>
      <c r="G252" s="1" t="str">
        <f>IF(Table2[[#This Row],[Description]]="","",VLOOKUP(Table2[[#This Row],[Description]],$Q$1:$S$101,2,FALSE))</f>
        <v>MN free</v>
      </c>
      <c r="H252" s="1" t="str">
        <f>IF(Table2[[#This Row],[Description]]="","",VLOOKUP(Table2[[#This Row],[Description]],$Q$1:$S$101,3,FALSE))</f>
        <v>Mid</v>
      </c>
      <c r="I252" s="1">
        <f>IF(Table2[[#This Row],[Description]]="","",IF(Table2[[#This Row],[Currency]]=$O$2,$P$2,HLOOKUP(Table2[[#This Row],[Date]],Funds!$C$10:$GV$11,2,FALSE)))</f>
        <v>4.1399999999999997</v>
      </c>
      <c r="J252" s="215">
        <f>IF(Table2[[#This Row],[Description]]="","",Table2[[#This Row],[Value]]/Table2[[#This Row],[Conversion]])</f>
        <v>0.45893719806763289</v>
      </c>
      <c r="K252" s="45">
        <f>IF(Table2[[#This Row],[Description]]="","",DATE(Table2[[#This Row],[Year]],Table2[[#This Row],[Month]],1))</f>
        <v>43709</v>
      </c>
      <c r="AA252" s="47"/>
      <c r="AC252" s="40"/>
      <c r="AD252" s="41"/>
      <c r="AE252" s="44"/>
    </row>
    <row r="253" spans="2:31" x14ac:dyDescent="0.25">
      <c r="B253" t="s">
        <v>289</v>
      </c>
      <c r="C253" s="1">
        <v>9</v>
      </c>
      <c r="D253" s="1">
        <v>2019</v>
      </c>
      <c r="E253" s="166">
        <v>10.5</v>
      </c>
      <c r="F253" s="1" t="s">
        <v>22</v>
      </c>
      <c r="G253" s="1" t="str">
        <f>IF(Table2[[#This Row],[Description]]="","",VLOOKUP(Table2[[#This Row],[Description]],$Q$1:$S$101,2,FALSE))</f>
        <v>BR trips</v>
      </c>
      <c r="H253" s="1" t="str">
        <f>IF(Table2[[#This Row],[Description]]="","",VLOOKUP(Table2[[#This Row],[Description]],$Q$1:$S$101,3,FALSE))</f>
        <v>Mid</v>
      </c>
      <c r="I253" s="1">
        <f>IF(Table2[[#This Row],[Description]]="","",IF(Table2[[#This Row],[Currency]]=$O$2,$P$2,HLOOKUP(Table2[[#This Row],[Date]],Funds!$C$10:$GV$11,2,FALSE)))</f>
        <v>4.1399999999999997</v>
      </c>
      <c r="J253" s="215">
        <f>IF(Table2[[#This Row],[Description]]="","",Table2[[#This Row],[Value]]/Table2[[#This Row],[Conversion]])</f>
        <v>2.5362318840579712</v>
      </c>
      <c r="K253" s="45">
        <f>IF(Table2[[#This Row],[Description]]="","",DATE(Table2[[#This Row],[Year]],Table2[[#This Row],[Month]],1))</f>
        <v>43709</v>
      </c>
      <c r="AA253" s="47"/>
      <c r="AC253" s="40"/>
      <c r="AD253" s="41"/>
      <c r="AE253" s="44"/>
    </row>
    <row r="254" spans="2:31" x14ac:dyDescent="0.25">
      <c r="B254" t="s">
        <v>289</v>
      </c>
      <c r="C254" s="1">
        <v>9</v>
      </c>
      <c r="D254" s="1">
        <v>2019</v>
      </c>
      <c r="E254" s="166">
        <v>18.61</v>
      </c>
      <c r="F254" s="1" t="s">
        <v>22</v>
      </c>
      <c r="G254" s="1" t="str">
        <f>IF(Table2[[#This Row],[Description]]="","",VLOOKUP(Table2[[#This Row],[Description]],$Q$1:$S$101,2,FALSE))</f>
        <v>BR trips</v>
      </c>
      <c r="H254" s="1" t="str">
        <f>IF(Table2[[#This Row],[Description]]="","",VLOOKUP(Table2[[#This Row],[Description]],$Q$1:$S$101,3,FALSE))</f>
        <v>Mid</v>
      </c>
      <c r="I254" s="1">
        <f>IF(Table2[[#This Row],[Description]]="","",IF(Table2[[#This Row],[Currency]]=$O$2,$P$2,HLOOKUP(Table2[[#This Row],[Date]],Funds!$C$10:$GV$11,2,FALSE)))</f>
        <v>4.1399999999999997</v>
      </c>
      <c r="J254" s="215">
        <f>IF(Table2[[#This Row],[Description]]="","",Table2[[#This Row],[Value]]/Table2[[#This Row],[Conversion]])</f>
        <v>4.4951690821256038</v>
      </c>
      <c r="K254" s="45">
        <f>IF(Table2[[#This Row],[Description]]="","",DATE(Table2[[#This Row],[Year]],Table2[[#This Row],[Month]],1))</f>
        <v>43709</v>
      </c>
      <c r="AA254" s="47"/>
      <c r="AC254" s="40"/>
      <c r="AD254" s="41"/>
      <c r="AE254" s="44"/>
    </row>
    <row r="255" spans="2:31" x14ac:dyDescent="0.25">
      <c r="B255" t="s">
        <v>264</v>
      </c>
      <c r="C255" s="1">
        <v>9</v>
      </c>
      <c r="D255" s="1">
        <v>2019</v>
      </c>
      <c r="E255" s="166">
        <v>59.9</v>
      </c>
      <c r="F255" s="1" t="s">
        <v>22</v>
      </c>
      <c r="G255" s="1" t="str">
        <f>IF(Table2[[#This Row],[Description]]="","",VLOOKUP(Table2[[#This Row],[Description]],$Q$1:$S$101,2,FALSE))</f>
        <v>MN free</v>
      </c>
      <c r="H255" s="1" t="str">
        <f>IF(Table2[[#This Row],[Description]]="","",VLOOKUP(Table2[[#This Row],[Description]],$Q$1:$S$101,3,FALSE))</f>
        <v>Mid</v>
      </c>
      <c r="I255" s="1">
        <f>IF(Table2[[#This Row],[Description]]="","",IF(Table2[[#This Row],[Currency]]=$O$2,$P$2,HLOOKUP(Table2[[#This Row],[Date]],Funds!$C$10:$GV$11,2,FALSE)))</f>
        <v>4.1399999999999997</v>
      </c>
      <c r="J255" s="215">
        <f>IF(Table2[[#This Row],[Description]]="","",Table2[[#This Row],[Value]]/Table2[[#This Row],[Conversion]])</f>
        <v>14.468599033816426</v>
      </c>
      <c r="K255" s="45">
        <f>IF(Table2[[#This Row],[Description]]="","",DATE(Table2[[#This Row],[Year]],Table2[[#This Row],[Month]],1))</f>
        <v>43709</v>
      </c>
      <c r="AA255" s="47"/>
      <c r="AC255" s="40"/>
      <c r="AD255" s="41"/>
      <c r="AE255" s="44"/>
    </row>
    <row r="256" spans="2:31" x14ac:dyDescent="0.25">
      <c r="B256" t="s">
        <v>120</v>
      </c>
      <c r="C256" s="1">
        <v>9</v>
      </c>
      <c r="D256" s="1">
        <v>2019</v>
      </c>
      <c r="E256" s="166">
        <v>440</v>
      </c>
      <c r="F256" s="1" t="s">
        <v>22</v>
      </c>
      <c r="G256" s="1" t="str">
        <f>IF(Table2[[#This Row],[Description]]="","",VLOOKUP(Table2[[#This Row],[Description]],$Q$1:$S$101,2,FALSE))</f>
        <v>Investment</v>
      </c>
      <c r="H256" s="1" t="str">
        <f>IF(Table2[[#This Row],[Description]]="","",VLOOKUP(Table2[[#This Row],[Description]],$Q$1:$S$101,3,FALSE))</f>
        <v>Long</v>
      </c>
      <c r="I256" s="1">
        <f>IF(Table2[[#This Row],[Description]]="","",IF(Table2[[#This Row],[Currency]]=$O$2,$P$2,HLOOKUP(Table2[[#This Row],[Date]],Funds!$C$10:$GV$11,2,FALSE)))</f>
        <v>4.1399999999999997</v>
      </c>
      <c r="J256" s="215">
        <f>IF(Table2[[#This Row],[Description]]="","",Table2[[#This Row],[Value]]/Table2[[#This Row],[Conversion]])</f>
        <v>106.28019323671498</v>
      </c>
      <c r="K256" s="45">
        <f>IF(Table2[[#This Row],[Description]]="","",DATE(Table2[[#This Row],[Year]],Table2[[#This Row],[Month]],1))</f>
        <v>43709</v>
      </c>
      <c r="AA256" s="47"/>
      <c r="AC256" s="40"/>
      <c r="AD256" s="41"/>
      <c r="AE256" s="44"/>
    </row>
    <row r="257" spans="2:13" x14ac:dyDescent="0.25">
      <c r="B257" t="s">
        <v>120</v>
      </c>
      <c r="C257" s="1">
        <v>9</v>
      </c>
      <c r="D257" s="1">
        <v>2019</v>
      </c>
      <c r="E257" s="166">
        <v>6239</v>
      </c>
      <c r="F257" s="1" t="s">
        <v>22</v>
      </c>
      <c r="G257" s="1" t="str">
        <f>IF(Table2[[#This Row],[Description]]="","",VLOOKUP(Table2[[#This Row],[Description]],$Q$1:$S$101,2,FALSE))</f>
        <v>Investment</v>
      </c>
      <c r="H257" s="1" t="str">
        <f>IF(Table2[[#This Row],[Description]]="","",VLOOKUP(Table2[[#This Row],[Description]],$Q$1:$S$101,3,FALSE))</f>
        <v>Long</v>
      </c>
      <c r="I257" s="1">
        <f>IF(Table2[[#This Row],[Description]]="","",IF(Table2[[#This Row],[Currency]]=$O$2,$P$2,HLOOKUP(Table2[[#This Row],[Date]],Funds!$C$10:$GV$11,2,FALSE)))</f>
        <v>4.1399999999999997</v>
      </c>
      <c r="J257" s="215">
        <f>IF(Table2[[#This Row],[Description]]="","",Table2[[#This Row],[Value]]/Table2[[#This Row],[Conversion]])</f>
        <v>1507.0048309178744</v>
      </c>
      <c r="K257" s="45">
        <f>IF(Table2[[#This Row],[Description]]="","",DATE(Table2[[#This Row],[Year]],Table2[[#This Row],[Month]],1))</f>
        <v>43709</v>
      </c>
    </row>
    <row r="258" spans="2:13" x14ac:dyDescent="0.25">
      <c r="B258" t="s">
        <v>280</v>
      </c>
      <c r="C258" s="1">
        <v>9</v>
      </c>
      <c r="D258" s="1">
        <v>2019</v>
      </c>
      <c r="E258" s="166">
        <v>-295.54000000000002</v>
      </c>
      <c r="F258" s="1" t="s">
        <v>21</v>
      </c>
      <c r="G258" s="1" t="str">
        <f>IF(Table2[[#This Row],[Description]]="","",VLOOKUP(Table2[[#This Row],[Description]],$Q$1:$S$101,2,FALSE))</f>
        <v>Mid</v>
      </c>
      <c r="H258" s="1" t="str">
        <f>IF(Table2[[#This Row],[Description]]="","",VLOOKUP(Table2[[#This Row],[Description]],$Q$1:$S$101,3,FALSE))</f>
        <v>Mid</v>
      </c>
      <c r="I258" s="1">
        <f>IF(Table2[[#This Row],[Description]]="","",IF(Table2[[#This Row],[Currency]]=$O$2,$P$2,HLOOKUP(Table2[[#This Row],[Date]],Funds!$C$10:$GV$11,2,FALSE)))</f>
        <v>1</v>
      </c>
      <c r="J258" s="215">
        <f>IF(Table2[[#This Row],[Description]]="","",Table2[[#This Row],[Value]]/Table2[[#This Row],[Conversion]])</f>
        <v>-295.54000000000002</v>
      </c>
      <c r="K258" s="45">
        <f>IF(Table2[[#This Row],[Description]]="","",DATE(Table2[[#This Row],[Year]],Table2[[#This Row],[Month]],1))</f>
        <v>43709</v>
      </c>
    </row>
    <row r="259" spans="2:13" x14ac:dyDescent="0.25">
      <c r="B259" t="s">
        <v>320</v>
      </c>
      <c r="C259" s="1">
        <v>9</v>
      </c>
      <c r="D259" s="1">
        <v>2019</v>
      </c>
      <c r="E259" s="166">
        <v>140.22293048758647</v>
      </c>
      <c r="F259" s="1" t="s">
        <v>21</v>
      </c>
      <c r="G259" s="1" t="str">
        <f>IF(Table2[[#This Row],[Description]]="","",VLOOKUP(Table2[[#This Row],[Description]],$Q$1:$S$101,2,FALSE))</f>
        <v>Long</v>
      </c>
      <c r="H259" s="1" t="str">
        <f>IF(Table2[[#This Row],[Description]]="","",VLOOKUP(Table2[[#This Row],[Description]],$Q$1:$S$101,3,FALSE))</f>
        <v>Long</v>
      </c>
      <c r="I259" s="1">
        <f>IF(Table2[[#This Row],[Description]]="","",IF(Table2[[#This Row],[Currency]]=$O$2,$P$2,HLOOKUP(Table2[[#This Row],[Date]],Funds!$C$10:$GV$11,2,FALSE)))</f>
        <v>1</v>
      </c>
      <c r="J259" s="215">
        <f>IF(Table2[[#This Row],[Description]]="","",Table2[[#This Row],[Value]]/Table2[[#This Row],[Conversion]])</f>
        <v>140.22293048758647</v>
      </c>
      <c r="K259" s="45">
        <f>IF(Table2[[#This Row],[Description]]="","",DATE(Table2[[#This Row],[Year]],Table2[[#This Row],[Month]],1))</f>
        <v>43709</v>
      </c>
      <c r="M259">
        <f>140.22/2*27</f>
        <v>1892.97</v>
      </c>
    </row>
    <row r="260" spans="2:13" x14ac:dyDescent="0.25">
      <c r="B260" t="s">
        <v>46</v>
      </c>
      <c r="C260" s="1">
        <v>9</v>
      </c>
      <c r="D260" s="1">
        <v>2019</v>
      </c>
      <c r="E260" s="166">
        <v>106.94145380379831</v>
      </c>
      <c r="F260" s="1" t="s">
        <v>21</v>
      </c>
      <c r="G260" s="1" t="str">
        <f>IF(Table2[[#This Row],[Description]]="","",VLOOKUP(Table2[[#This Row],[Description]],$Q$1:$S$101,2,FALSE))</f>
        <v>Health care</v>
      </c>
      <c r="H260" s="1" t="str">
        <f>IF(Table2[[#This Row],[Description]]="","",VLOOKUP(Table2[[#This Row],[Description]],$Q$1:$S$101,3,FALSE))</f>
        <v>Short</v>
      </c>
      <c r="I260" s="1">
        <f>IF(Table2[[#This Row],[Description]]="","",IF(Table2[[#This Row],[Currency]]=$O$2,$P$2,HLOOKUP(Table2[[#This Row],[Date]],Funds!$C$10:$GV$11,2,FALSE)))</f>
        <v>1</v>
      </c>
      <c r="J260" s="215">
        <f>IF(Table2[[#This Row],[Description]]="","",Table2[[#This Row],[Value]]/Table2[[#This Row],[Conversion]])</f>
        <v>106.94145380379831</v>
      </c>
      <c r="K260" s="45">
        <f>IF(Table2[[#This Row],[Description]]="","",DATE(Table2[[#This Row],[Year]],Table2[[#This Row],[Month]],1))</f>
        <v>43709</v>
      </c>
    </row>
    <row r="261" spans="2:13" x14ac:dyDescent="0.25">
      <c r="B261" t="s">
        <v>324</v>
      </c>
      <c r="C261" s="1">
        <v>9</v>
      </c>
      <c r="D261" s="1">
        <v>2019</v>
      </c>
      <c r="E261" s="166">
        <v>13.80516949103578</v>
      </c>
      <c r="F261" s="1" t="s">
        <v>21</v>
      </c>
      <c r="G261" s="1" t="str">
        <f>IF(Table2[[#This Row],[Description]]="","",VLOOKUP(Table2[[#This Row],[Description]],$Q$1:$S$101,2,FALSE))</f>
        <v>Health care</v>
      </c>
      <c r="H261" s="1" t="str">
        <f>IF(Table2[[#This Row],[Description]]="","",VLOOKUP(Table2[[#This Row],[Description]],$Q$1:$S$101,3,FALSE))</f>
        <v>Short</v>
      </c>
      <c r="I261" s="1">
        <f>IF(Table2[[#This Row],[Description]]="","",IF(Table2[[#This Row],[Currency]]=$O$2,$P$2,HLOOKUP(Table2[[#This Row],[Date]],Funds!$C$10:$GV$11,2,FALSE)))</f>
        <v>1</v>
      </c>
      <c r="J261" s="215">
        <f>IF(Table2[[#This Row],[Description]]="","",Table2[[#This Row],[Value]]/Table2[[#This Row],[Conversion]])</f>
        <v>13.80516949103578</v>
      </c>
      <c r="K261" s="45">
        <f>IF(Table2[[#This Row],[Description]]="","",DATE(Table2[[#This Row],[Year]],Table2[[#This Row],[Month]],1))</f>
        <v>43709</v>
      </c>
    </row>
    <row r="262" spans="2:13" x14ac:dyDescent="0.25">
      <c r="B262" t="s">
        <v>59</v>
      </c>
      <c r="C262" s="1">
        <v>9</v>
      </c>
      <c r="D262" s="1">
        <v>2019</v>
      </c>
      <c r="E262" s="166">
        <v>85</v>
      </c>
      <c r="F262" s="1" t="s">
        <v>21</v>
      </c>
      <c r="G262" s="1" t="str">
        <f>IF(Table2[[#This Row],[Description]]="","",VLOOKUP(Table2[[#This Row],[Description]],$Q$1:$S$101,2,FALSE))</f>
        <v>Transportation</v>
      </c>
      <c r="H262" s="1" t="str">
        <f>IF(Table2[[#This Row],[Description]]="","",VLOOKUP(Table2[[#This Row],[Description]],$Q$1:$S$101,3,FALSE))</f>
        <v>Short</v>
      </c>
      <c r="I262" s="1">
        <f>IF(Table2[[#This Row],[Description]]="","",IF(Table2[[#This Row],[Currency]]=$O$2,$P$2,HLOOKUP(Table2[[#This Row],[Date]],Funds!$C$10:$GV$11,2,FALSE)))</f>
        <v>1</v>
      </c>
      <c r="J262" s="215">
        <f>IF(Table2[[#This Row],[Description]]="","",Table2[[#This Row],[Value]]/Table2[[#This Row],[Conversion]])</f>
        <v>85</v>
      </c>
      <c r="K262" s="45">
        <f>IF(Table2[[#This Row],[Description]]="","",DATE(Table2[[#This Row],[Year]],Table2[[#This Row],[Month]],1))</f>
        <v>43709</v>
      </c>
    </row>
    <row r="263" spans="2:13" x14ac:dyDescent="0.25">
      <c r="B263" t="s">
        <v>471</v>
      </c>
      <c r="C263" s="1">
        <v>9</v>
      </c>
      <c r="D263" s="1">
        <v>2019</v>
      </c>
      <c r="E263" s="166">
        <v>48.11</v>
      </c>
      <c r="F263" s="1" t="s">
        <v>21</v>
      </c>
      <c r="G263" s="1" t="str">
        <f>IF(Table2[[#This Row],[Description]]="","",VLOOKUP(Table2[[#This Row],[Description]],$Q$1:$S$101,2,FALSE))</f>
        <v>Mid</v>
      </c>
      <c r="H263" s="1" t="str">
        <f>IF(Table2[[#This Row],[Description]]="","",VLOOKUP(Table2[[#This Row],[Description]],$Q$1:$S$101,3,FALSE))</f>
        <v>Mid</v>
      </c>
      <c r="I263" s="1">
        <f>IF(Table2[[#This Row],[Description]]="","",IF(Table2[[#This Row],[Currency]]=$O$2,$P$2,HLOOKUP(Table2[[#This Row],[Date]],Funds!$C$10:$GV$11,2,FALSE)))</f>
        <v>1</v>
      </c>
      <c r="J263" s="215">
        <f>IF(Table2[[#This Row],[Description]]="","",Table2[[#This Row],[Value]]/Table2[[#This Row],[Conversion]])</f>
        <v>48.11</v>
      </c>
      <c r="K263" s="45">
        <f>IF(Table2[[#This Row],[Description]]="","",DATE(Table2[[#This Row],[Year]],Table2[[#This Row],[Month]],1))</f>
        <v>43709</v>
      </c>
    </row>
    <row r="264" spans="2:13" x14ac:dyDescent="0.25">
      <c r="B264" t="s">
        <v>237</v>
      </c>
      <c r="C264" s="1">
        <v>10</v>
      </c>
      <c r="D264" s="1">
        <v>2019</v>
      </c>
      <c r="E264" s="166">
        <v>-16.5403603116943</v>
      </c>
      <c r="F264" s="1" t="s">
        <v>21</v>
      </c>
      <c r="G264" s="1" t="str">
        <f>IF(Table2[[#This Row],[Description]]="","",VLOOKUP(Table2[[#This Row],[Description]],$Q$1:$S$101,2,FALSE))</f>
        <v>FX adjustment</v>
      </c>
      <c r="H264" s="1" t="s">
        <v>111</v>
      </c>
      <c r="I264" s="1">
        <f>IF(Table2[[#This Row],[Description]]="","",IF(Table2[[#This Row],[Currency]]=$O$2,$P$2,HLOOKUP(Table2[[#This Row],[Date]],Funds!$C$10:$GV$11,2,FALSE)))</f>
        <v>1</v>
      </c>
      <c r="J264" s="215">
        <f>IF(Table2[[#This Row],[Description]]="","",Table2[[#This Row],[Value]]/Table2[[#This Row],[Conversion]])</f>
        <v>-16.5403603116943</v>
      </c>
      <c r="K264" s="45">
        <f>IF(Table2[[#This Row],[Description]]="","",DATE(Table2[[#This Row],[Year]],Table2[[#This Row],[Month]],1))</f>
        <v>43739</v>
      </c>
    </row>
    <row r="265" spans="2:13" x14ac:dyDescent="0.25">
      <c r="B265" t="s">
        <v>237</v>
      </c>
      <c r="C265" s="1">
        <v>10</v>
      </c>
      <c r="D265" s="1">
        <v>2019</v>
      </c>
      <c r="E265" s="166">
        <v>-18.384633331834699</v>
      </c>
      <c r="F265" s="1" t="s">
        <v>21</v>
      </c>
      <c r="G265" s="1" t="str">
        <f>IF(Table2[[#This Row],[Description]]="","",VLOOKUP(Table2[[#This Row],[Description]],$Q$1:$S$101,2,FALSE))</f>
        <v>FX adjustment</v>
      </c>
      <c r="H265" s="1" t="s">
        <v>121</v>
      </c>
      <c r="I265" s="1">
        <f>IF(Table2[[#This Row],[Description]]="","",IF(Table2[[#This Row],[Currency]]=$O$2,$P$2,HLOOKUP(Table2[[#This Row],[Date]],Funds!$C$10:$GV$11,2,FALSE)))</f>
        <v>1</v>
      </c>
      <c r="J265" s="215">
        <f>IF(Table2[[#This Row],[Description]]="","",Table2[[#This Row],[Value]]/Table2[[#This Row],[Conversion]])</f>
        <v>-18.384633331834699</v>
      </c>
      <c r="K265" s="45">
        <f>IF(Table2[[#This Row],[Description]]="","",DATE(Table2[[#This Row],[Year]],Table2[[#This Row],[Month]],1))</f>
        <v>43739</v>
      </c>
    </row>
    <row r="266" spans="2:13" x14ac:dyDescent="0.25">
      <c r="B266" t="s">
        <v>471</v>
      </c>
      <c r="C266" s="1">
        <v>10</v>
      </c>
      <c r="D266" s="1">
        <v>2019</v>
      </c>
      <c r="E266" s="166">
        <v>-80.09</v>
      </c>
      <c r="F266" s="1" t="s">
        <v>21</v>
      </c>
      <c r="G266" s="1" t="str">
        <f>IF(Table2[[#This Row],[Description]]="","",VLOOKUP(Table2[[#This Row],[Description]],$Q$1:$S$101,2,FALSE))</f>
        <v>Mid</v>
      </c>
      <c r="H266" s="1" t="str">
        <f>IF(Table2[[#This Row],[Description]]="","",VLOOKUP(Table2[[#This Row],[Description]],$Q$1:$S$101,3,FALSE))</f>
        <v>Mid</v>
      </c>
      <c r="I266" s="1">
        <f>IF(Table2[[#This Row],[Description]]="","",IF(Table2[[#This Row],[Currency]]=$O$2,$P$2,HLOOKUP(Table2[[#This Row],[Date]],Funds!$C$10:$GV$11,2,FALSE)))</f>
        <v>1</v>
      </c>
      <c r="J266" s="215">
        <f>IF(Table2[[#This Row],[Description]]="","",Table2[[#This Row],[Value]]/Table2[[#This Row],[Conversion]])</f>
        <v>-80.09</v>
      </c>
      <c r="K266" s="45">
        <f>IF(Table2[[#This Row],[Description]]="","",DATE(Table2[[#This Row],[Year]],Table2[[#This Row],[Month]],1))</f>
        <v>43739</v>
      </c>
    </row>
    <row r="267" spans="2:13" x14ac:dyDescent="0.25">
      <c r="B267" t="s">
        <v>264</v>
      </c>
      <c r="C267" s="1">
        <v>10</v>
      </c>
      <c r="D267" s="1">
        <v>2019</v>
      </c>
      <c r="E267" s="166">
        <v>38.14</v>
      </c>
      <c r="F267" s="1" t="s">
        <v>21</v>
      </c>
      <c r="G267" s="1" t="str">
        <f>IF(Table2[[#This Row],[Description]]="","",VLOOKUP(Table2[[#This Row],[Description]],$Q$1:$S$101,2,FALSE))</f>
        <v>MN free</v>
      </c>
      <c r="H267" s="1" t="str">
        <f>IF(Table2[[#This Row],[Description]]="","",VLOOKUP(Table2[[#This Row],[Description]],$Q$1:$S$101,3,FALSE))</f>
        <v>Mid</v>
      </c>
      <c r="I267" s="1">
        <f>IF(Table2[[#This Row],[Description]]="","",IF(Table2[[#This Row],[Currency]]=$O$2,$P$2,HLOOKUP(Table2[[#This Row],[Date]],Funds!$C$10:$GV$11,2,FALSE)))</f>
        <v>1</v>
      </c>
      <c r="J267" s="215">
        <f>IF(Table2[[#This Row],[Description]]="","",Table2[[#This Row],[Value]]/Table2[[#This Row],[Conversion]])</f>
        <v>38.14</v>
      </c>
      <c r="K267" s="45">
        <f>IF(Table2[[#This Row],[Description]]="","",DATE(Table2[[#This Row],[Year]],Table2[[#This Row],[Month]],1))</f>
        <v>43739</v>
      </c>
    </row>
    <row r="268" spans="2:13" x14ac:dyDescent="0.25">
      <c r="B268" t="s">
        <v>29</v>
      </c>
      <c r="C268" s="1">
        <v>10</v>
      </c>
      <c r="D268" s="1">
        <v>2019</v>
      </c>
      <c r="E268" s="166">
        <v>41.449999999999996</v>
      </c>
      <c r="F268" s="1" t="s">
        <v>21</v>
      </c>
      <c r="G268" s="1" t="str">
        <f>IF(Table2[[#This Row],[Description]]="","",VLOOKUP(Table2[[#This Row],[Description]],$Q$1:$S$101,2,FALSE))</f>
        <v>Health</v>
      </c>
      <c r="H268" s="1" t="str">
        <f>IF(Table2[[#This Row],[Description]]="","",VLOOKUP(Table2[[#This Row],[Description]],$Q$1:$S$101,3,FALSE))</f>
        <v>Mid</v>
      </c>
      <c r="I268" s="1">
        <f>IF(Table2[[#This Row],[Description]]="","",IF(Table2[[#This Row],[Currency]]=$O$2,$P$2,HLOOKUP(Table2[[#This Row],[Date]],Funds!$C$10:$GV$11,2,FALSE)))</f>
        <v>1</v>
      </c>
      <c r="J268" s="215">
        <f>IF(Table2[[#This Row],[Description]]="","",Table2[[#This Row],[Value]]/Table2[[#This Row],[Conversion]])</f>
        <v>41.449999999999996</v>
      </c>
      <c r="K268" s="45">
        <f>IF(Table2[[#This Row],[Description]]="","",DATE(Table2[[#This Row],[Year]],Table2[[#This Row],[Month]],1))</f>
        <v>43739</v>
      </c>
    </row>
    <row r="269" spans="2:13" x14ac:dyDescent="0.25">
      <c r="B269" t="s">
        <v>56</v>
      </c>
      <c r="C269" s="1">
        <v>10</v>
      </c>
      <c r="D269" s="1">
        <v>2019</v>
      </c>
      <c r="E269" s="166">
        <v>50</v>
      </c>
      <c r="F269" s="1" t="s">
        <v>21</v>
      </c>
      <c r="G269" s="1" t="str">
        <f>IF(Table2[[#This Row],[Description]]="","",VLOOKUP(Table2[[#This Row],[Description]],$Q$1:$S$101,2,FALSE))</f>
        <v>Utilities</v>
      </c>
      <c r="H269" s="1" t="str">
        <f>IF(Table2[[#This Row],[Description]]="","",VLOOKUP(Table2[[#This Row],[Description]],$Q$1:$S$101,3,FALSE))</f>
        <v>Short</v>
      </c>
      <c r="I269" s="1">
        <f>IF(Table2[[#This Row],[Description]]="","",IF(Table2[[#This Row],[Currency]]=$O$2,$P$2,HLOOKUP(Table2[[#This Row],[Date]],Funds!$C$10:$GV$11,2,FALSE)))</f>
        <v>1</v>
      </c>
      <c r="J269" s="215">
        <f>IF(Table2[[#This Row],[Description]]="","",Table2[[#This Row],[Value]]/Table2[[#This Row],[Conversion]])</f>
        <v>50</v>
      </c>
      <c r="K269" s="45">
        <f>IF(Table2[[#This Row],[Description]]="","",DATE(Table2[[#This Row],[Year]],Table2[[#This Row],[Month]],1))</f>
        <v>43739</v>
      </c>
    </row>
    <row r="270" spans="2:13" x14ac:dyDescent="0.25">
      <c r="B270" t="s">
        <v>52</v>
      </c>
      <c r="C270" s="1">
        <v>10</v>
      </c>
      <c r="D270" s="1">
        <v>2019</v>
      </c>
      <c r="E270" s="166">
        <v>54.41</v>
      </c>
      <c r="F270" s="1" t="s">
        <v>21</v>
      </c>
      <c r="G270" s="1" t="str">
        <f>IF(Table2[[#This Row],[Description]]="","",VLOOKUP(Table2[[#This Row],[Description]],$Q$1:$S$101,2,FALSE))</f>
        <v>Utilities</v>
      </c>
      <c r="H270" s="1" t="str">
        <f>IF(Table2[[#This Row],[Description]]="","",VLOOKUP(Table2[[#This Row],[Description]],$Q$1:$S$101,3,FALSE))</f>
        <v>Short</v>
      </c>
      <c r="I270" s="1">
        <f>IF(Table2[[#This Row],[Description]]="","",IF(Table2[[#This Row],[Currency]]=$O$2,$P$2,HLOOKUP(Table2[[#This Row],[Date]],Funds!$C$10:$GV$11,2,FALSE)))</f>
        <v>1</v>
      </c>
      <c r="J270" s="215">
        <f>IF(Table2[[#This Row],[Description]]="","",Table2[[#This Row],[Value]]/Table2[[#This Row],[Conversion]])</f>
        <v>54.41</v>
      </c>
      <c r="K270" s="45">
        <f>IF(Table2[[#This Row],[Description]]="","",DATE(Table2[[#This Row],[Year]],Table2[[#This Row],[Month]],1))</f>
        <v>43739</v>
      </c>
    </row>
    <row r="271" spans="2:13" x14ac:dyDescent="0.25">
      <c r="B271" t="s">
        <v>316</v>
      </c>
      <c r="C271" s="1">
        <v>10</v>
      </c>
      <c r="D271" s="1">
        <v>2019</v>
      </c>
      <c r="E271" s="166">
        <v>54.65</v>
      </c>
      <c r="F271" s="1" t="s">
        <v>21</v>
      </c>
      <c r="G271" s="1" t="str">
        <f>IF(Table2[[#This Row],[Description]]="","",VLOOKUP(Table2[[#This Row],[Description]],$Q$1:$S$101,2,FALSE))</f>
        <v>Gifts</v>
      </c>
      <c r="H271" s="1" t="str">
        <f>IF(Table2[[#This Row],[Description]]="","",VLOOKUP(Table2[[#This Row],[Description]],$Q$1:$S$101,3,FALSE))</f>
        <v>Mid</v>
      </c>
      <c r="I271" s="1">
        <f>IF(Table2[[#This Row],[Description]]="","",IF(Table2[[#This Row],[Currency]]=$O$2,$P$2,HLOOKUP(Table2[[#This Row],[Date]],Funds!$C$10:$GV$11,2,FALSE)))</f>
        <v>1</v>
      </c>
      <c r="J271" s="215">
        <f>IF(Table2[[#This Row],[Description]]="","",Table2[[#This Row],[Value]]/Table2[[#This Row],[Conversion]])</f>
        <v>54.65</v>
      </c>
      <c r="K271" s="45">
        <f>IF(Table2[[#This Row],[Description]]="","",DATE(Table2[[#This Row],[Year]],Table2[[#This Row],[Month]],1))</f>
        <v>43739</v>
      </c>
    </row>
    <row r="272" spans="2:13" x14ac:dyDescent="0.25">
      <c r="B272" t="s">
        <v>35</v>
      </c>
      <c r="C272" s="1">
        <v>10</v>
      </c>
      <c r="D272" s="1">
        <v>2019</v>
      </c>
      <c r="E272" s="166">
        <v>85.92</v>
      </c>
      <c r="F272" s="1" t="s">
        <v>21</v>
      </c>
      <c r="G272" s="1" t="str">
        <f>IF(Table2[[#This Row],[Description]]="","",VLOOKUP(Table2[[#This Row],[Description]],$Q$1:$S$101,2,FALSE))</f>
        <v>Cellphone</v>
      </c>
      <c r="H272" s="1" t="str">
        <f>IF(Table2[[#This Row],[Description]]="","",VLOOKUP(Table2[[#This Row],[Description]],$Q$1:$S$101,3,FALSE))</f>
        <v>Short</v>
      </c>
      <c r="I272" s="1">
        <f>IF(Table2[[#This Row],[Description]]="","",IF(Table2[[#This Row],[Currency]]=$O$2,$P$2,HLOOKUP(Table2[[#This Row],[Date]],Funds!$C$10:$GV$11,2,FALSE)))</f>
        <v>1</v>
      </c>
      <c r="J272" s="215">
        <f>IF(Table2[[#This Row],[Description]]="","",Table2[[#This Row],[Value]]/Table2[[#This Row],[Conversion]])</f>
        <v>85.92</v>
      </c>
      <c r="K272" s="45">
        <f>IF(Table2[[#This Row],[Description]]="","",DATE(Table2[[#This Row],[Year]],Table2[[#This Row],[Month]],1))</f>
        <v>43739</v>
      </c>
    </row>
    <row r="273" spans="2:11" x14ac:dyDescent="0.25">
      <c r="B273" t="s">
        <v>267</v>
      </c>
      <c r="C273" s="1">
        <v>10</v>
      </c>
      <c r="D273" s="1">
        <v>2019</v>
      </c>
      <c r="E273" s="166">
        <v>88.34</v>
      </c>
      <c r="F273" s="1" t="s">
        <v>21</v>
      </c>
      <c r="G273" s="1" t="str">
        <f>IF(Table2[[#This Row],[Description]]="","",VLOOKUP(Table2[[#This Row],[Description]],$Q$1:$S$101,2,FALSE))</f>
        <v>Leisure</v>
      </c>
      <c r="H273" s="1" t="str">
        <f>IF(Table2[[#This Row],[Description]]="","",VLOOKUP(Table2[[#This Row],[Description]],$Q$1:$S$101,3,FALSE))</f>
        <v>Short</v>
      </c>
      <c r="I273" s="1">
        <f>IF(Table2[[#This Row],[Description]]="","",IF(Table2[[#This Row],[Currency]]=$O$2,$P$2,HLOOKUP(Table2[[#This Row],[Date]],Funds!$C$10:$GV$11,2,FALSE)))</f>
        <v>1</v>
      </c>
      <c r="J273" s="215">
        <f>IF(Table2[[#This Row],[Description]]="","",Table2[[#This Row],[Value]]/Table2[[#This Row],[Conversion]])</f>
        <v>88.34</v>
      </c>
      <c r="K273" s="45">
        <f>IF(Table2[[#This Row],[Description]]="","",DATE(Table2[[#This Row],[Year]],Table2[[#This Row],[Month]],1))</f>
        <v>43739</v>
      </c>
    </row>
    <row r="274" spans="2:11" x14ac:dyDescent="0.25">
      <c r="B274" t="s">
        <v>250</v>
      </c>
      <c r="C274" s="1">
        <v>10</v>
      </c>
      <c r="D274" s="1">
        <v>2019</v>
      </c>
      <c r="E274" s="166">
        <v>100</v>
      </c>
      <c r="F274" s="1" t="s">
        <v>21</v>
      </c>
      <c r="G274" s="1" t="str">
        <f>IF(Table2[[#This Row],[Description]]="","",VLOOKUP(Table2[[#This Row],[Description]],$Q$1:$S$101,2,FALSE))</f>
        <v>EK Loan termination</v>
      </c>
      <c r="H274" s="1" t="str">
        <f>IF(Table2[[#This Row],[Description]]="","",VLOOKUP(Table2[[#This Row],[Description]],$Q$1:$S$101,3,FALSE))</f>
        <v>Mid</v>
      </c>
      <c r="I274" s="1">
        <f>IF(Table2[[#This Row],[Description]]="","",IF(Table2[[#This Row],[Currency]]=$O$2,$P$2,HLOOKUP(Table2[[#This Row],[Date]],Funds!$C$10:$GV$11,2,FALSE)))</f>
        <v>1</v>
      </c>
      <c r="J274" s="215">
        <f>IF(Table2[[#This Row],[Description]]="","",Table2[[#This Row],[Value]]/Table2[[#This Row],[Conversion]])</f>
        <v>100</v>
      </c>
      <c r="K274" s="45">
        <f>IF(Table2[[#This Row],[Description]]="","",DATE(Table2[[#This Row],[Year]],Table2[[#This Row],[Month]],1))</f>
        <v>43739</v>
      </c>
    </row>
    <row r="275" spans="2:11" x14ac:dyDescent="0.25">
      <c r="B275" t="s">
        <v>59</v>
      </c>
      <c r="C275" s="1">
        <v>10</v>
      </c>
      <c r="D275" s="1">
        <v>2019</v>
      </c>
      <c r="E275" s="166">
        <v>105</v>
      </c>
      <c r="F275" s="1" t="s">
        <v>21</v>
      </c>
      <c r="G275" s="1" t="str">
        <f>IF(Table2[[#This Row],[Description]]="","",VLOOKUP(Table2[[#This Row],[Description]],$Q$1:$S$101,2,FALSE))</f>
        <v>Transportation</v>
      </c>
      <c r="H275" s="1" t="str">
        <f>IF(Table2[[#This Row],[Description]]="","",VLOOKUP(Table2[[#This Row],[Description]],$Q$1:$S$101,3,FALSE))</f>
        <v>Short</v>
      </c>
      <c r="I275" s="1">
        <f>IF(Table2[[#This Row],[Description]]="","",IF(Table2[[#This Row],[Currency]]=$O$2,$P$2,HLOOKUP(Table2[[#This Row],[Date]],Funds!$C$10:$GV$11,2,FALSE)))</f>
        <v>1</v>
      </c>
      <c r="J275" s="215">
        <f>IF(Table2[[#This Row],[Description]]="","",Table2[[#This Row],[Value]]/Table2[[#This Row],[Conversion]])</f>
        <v>105</v>
      </c>
      <c r="K275" s="45">
        <f>IF(Table2[[#This Row],[Description]]="","",DATE(Table2[[#This Row],[Year]],Table2[[#This Row],[Month]],1))</f>
        <v>43739</v>
      </c>
    </row>
    <row r="276" spans="2:11" x14ac:dyDescent="0.25">
      <c r="B276" t="s">
        <v>63</v>
      </c>
      <c r="C276" s="1">
        <v>10</v>
      </c>
      <c r="D276" s="1">
        <v>2019</v>
      </c>
      <c r="E276" s="166">
        <v>188.54000000000002</v>
      </c>
      <c r="F276" s="1" t="s">
        <v>21</v>
      </c>
      <c r="G276" s="1" t="str">
        <f>IF(Table2[[#This Row],[Description]]="","",VLOOKUP(Table2[[#This Row],[Description]],$Q$1:$S$101,2,FALSE))</f>
        <v>Leisure</v>
      </c>
      <c r="H276" s="1" t="str">
        <f>IF(Table2[[#This Row],[Description]]="","",VLOOKUP(Table2[[#This Row],[Description]],$Q$1:$S$101,3,FALSE))</f>
        <v>Short</v>
      </c>
      <c r="I276" s="1">
        <f>IF(Table2[[#This Row],[Description]]="","",IF(Table2[[#This Row],[Currency]]=$O$2,$P$2,HLOOKUP(Table2[[#This Row],[Date]],Funds!$C$10:$GV$11,2,FALSE)))</f>
        <v>1</v>
      </c>
      <c r="J276" s="215">
        <f>IF(Table2[[#This Row],[Description]]="","",Table2[[#This Row],[Value]]/Table2[[#This Row],[Conversion]])</f>
        <v>188.54000000000002</v>
      </c>
      <c r="K276" s="45">
        <f>IF(Table2[[#This Row],[Description]]="","",DATE(Table2[[#This Row],[Year]],Table2[[#This Row],[Month]],1))</f>
        <v>43739</v>
      </c>
    </row>
    <row r="277" spans="2:11" x14ac:dyDescent="0.25">
      <c r="B277" t="s">
        <v>58</v>
      </c>
      <c r="C277" s="1">
        <v>10</v>
      </c>
      <c r="D277" s="1">
        <v>2019</v>
      </c>
      <c r="E277" s="166">
        <v>277.08999999999997</v>
      </c>
      <c r="F277" s="1" t="s">
        <v>21</v>
      </c>
      <c r="G277" s="1" t="str">
        <f>IF(Table2[[#This Row],[Description]]="","",VLOOKUP(Table2[[#This Row],[Description]],$Q$1:$S$101,2,FALSE))</f>
        <v>Food</v>
      </c>
      <c r="H277" s="1" t="str">
        <f>IF(Table2[[#This Row],[Description]]="","",VLOOKUP(Table2[[#This Row],[Description]],$Q$1:$S$101,3,FALSE))</f>
        <v>Short</v>
      </c>
      <c r="I277" s="1">
        <f>IF(Table2[[#This Row],[Description]]="","",IF(Table2[[#This Row],[Currency]]=$O$2,$P$2,HLOOKUP(Table2[[#This Row],[Date]],Funds!$C$10:$GV$11,2,FALSE)))</f>
        <v>1</v>
      </c>
      <c r="J277" s="215">
        <f>IF(Table2[[#This Row],[Description]]="","",Table2[[#This Row],[Value]]/Table2[[#This Row],[Conversion]])</f>
        <v>277.08999999999997</v>
      </c>
      <c r="K277" s="45">
        <f>IF(Table2[[#This Row],[Description]]="","",DATE(Table2[[#This Row],[Year]],Table2[[#This Row],[Month]],1))</f>
        <v>43739</v>
      </c>
    </row>
    <row r="278" spans="2:11" x14ac:dyDescent="0.25">
      <c r="B278" t="s">
        <v>252</v>
      </c>
      <c r="C278" s="1">
        <v>10</v>
      </c>
      <c r="D278" s="1">
        <v>2019</v>
      </c>
      <c r="E278" s="166">
        <v>380.08000000000004</v>
      </c>
      <c r="F278" s="1" t="s">
        <v>21</v>
      </c>
      <c r="G278" s="1" t="str">
        <f>IF(Table2[[#This Row],[Description]]="","",VLOOKUP(Table2[[#This Row],[Description]],$Q$1:$S$101,2,FALSE))</f>
        <v>Other Mid</v>
      </c>
      <c r="H278" s="1" t="str">
        <f>IF(Table2[[#This Row],[Description]]="","",VLOOKUP(Table2[[#This Row],[Description]],$Q$1:$S$101,3,FALSE))</f>
        <v>Mid</v>
      </c>
      <c r="I278" s="1">
        <f>IF(Table2[[#This Row],[Description]]="","",IF(Table2[[#This Row],[Currency]]=$O$2,$P$2,HLOOKUP(Table2[[#This Row],[Date]],Funds!$C$10:$GV$11,2,FALSE)))</f>
        <v>1</v>
      </c>
      <c r="J278" s="215">
        <f>IF(Table2[[#This Row],[Description]]="","",Table2[[#This Row],[Value]]/Table2[[#This Row],[Conversion]])</f>
        <v>380.08000000000004</v>
      </c>
      <c r="K278" s="45">
        <f>IF(Table2[[#This Row],[Description]]="","",DATE(Table2[[#This Row],[Year]],Table2[[#This Row],[Month]],1))</f>
        <v>43739</v>
      </c>
    </row>
    <row r="279" spans="2:11" x14ac:dyDescent="0.25">
      <c r="B279" t="s">
        <v>57</v>
      </c>
      <c r="C279" s="1">
        <v>10</v>
      </c>
      <c r="D279" s="1">
        <v>2019</v>
      </c>
      <c r="E279" s="166">
        <v>405.81000000000006</v>
      </c>
      <c r="F279" s="1" t="s">
        <v>21</v>
      </c>
      <c r="G279" s="1" t="str">
        <f>IF(Table2[[#This Row],[Description]]="","",VLOOKUP(Table2[[#This Row],[Description]],$Q$1:$S$101,2,FALSE))</f>
        <v>Food</v>
      </c>
      <c r="H279" s="1" t="str">
        <f>IF(Table2[[#This Row],[Description]]="","",VLOOKUP(Table2[[#This Row],[Description]],$Q$1:$S$101,3,FALSE))</f>
        <v>Short</v>
      </c>
      <c r="I279" s="1">
        <f>IF(Table2[[#This Row],[Description]]="","",IF(Table2[[#This Row],[Currency]]=$O$2,$P$2,HLOOKUP(Table2[[#This Row],[Date]],Funds!$C$10:$GV$11,2,FALSE)))</f>
        <v>1</v>
      </c>
      <c r="J279" s="215">
        <f>IF(Table2[[#This Row],[Description]]="","",Table2[[#This Row],[Value]]/Table2[[#This Row],[Conversion]])</f>
        <v>405.81000000000006</v>
      </c>
      <c r="K279" s="45">
        <f>IF(Table2[[#This Row],[Description]]="","",DATE(Table2[[#This Row],[Year]],Table2[[#This Row],[Month]],1))</f>
        <v>43739</v>
      </c>
    </row>
    <row r="280" spans="2:11" x14ac:dyDescent="0.25">
      <c r="B280" t="s">
        <v>31</v>
      </c>
      <c r="C280" s="1">
        <v>10</v>
      </c>
      <c r="D280" s="1">
        <v>2019</v>
      </c>
      <c r="E280" s="166">
        <v>1710.58</v>
      </c>
      <c r="F280" s="1" t="s">
        <v>21</v>
      </c>
      <c r="G280" s="1" t="str">
        <f>IF(Table2[[#This Row],[Description]]="","",VLOOKUP(Table2[[#This Row],[Description]],$Q$1:$S$101,2,FALSE))</f>
        <v>Rent</v>
      </c>
      <c r="H280" s="1" t="str">
        <f>IF(Table2[[#This Row],[Description]]="","",VLOOKUP(Table2[[#This Row],[Description]],$Q$1:$S$101,3,FALSE))</f>
        <v>Short</v>
      </c>
      <c r="I280" s="1">
        <f>IF(Table2[[#This Row],[Description]]="","",IF(Table2[[#This Row],[Currency]]=$O$2,$P$2,HLOOKUP(Table2[[#This Row],[Date]],Funds!$C$10:$GV$11,2,FALSE)))</f>
        <v>1</v>
      </c>
      <c r="J280" s="215">
        <f>IF(Table2[[#This Row],[Description]]="","",Table2[[#This Row],[Value]]/Table2[[#This Row],[Conversion]])</f>
        <v>1710.58</v>
      </c>
      <c r="K280" s="45">
        <f>IF(Table2[[#This Row],[Description]]="","",DATE(Table2[[#This Row],[Year]],Table2[[#This Row],[Month]],1))</f>
        <v>43739</v>
      </c>
    </row>
    <row r="281" spans="2:11" x14ac:dyDescent="0.25">
      <c r="B281" t="s">
        <v>472</v>
      </c>
      <c r="C281" s="1">
        <v>10</v>
      </c>
      <c r="D281" s="1">
        <v>2019</v>
      </c>
      <c r="E281" s="166">
        <f>1861.65+18.58</f>
        <v>1880.23</v>
      </c>
      <c r="F281" s="1" t="s">
        <v>21</v>
      </c>
      <c r="G281" s="1" t="str">
        <f>IF(Table2[[#This Row],[Description]]="","",VLOOKUP(Table2[[#This Row],[Description]],$Q$1:$S$101,2,FALSE))</f>
        <v xml:space="preserve">EK studies </v>
      </c>
      <c r="H281" s="1" t="str">
        <f>IF(Table2[[#This Row],[Description]]="","",VLOOKUP(Table2[[#This Row],[Description]],$Q$1:$S$101,3,FALSE))</f>
        <v>Mid</v>
      </c>
      <c r="I281" s="1">
        <f>IF(Table2[[#This Row],[Description]]="","",IF(Table2[[#This Row],[Currency]]=$O$2,$P$2,HLOOKUP(Table2[[#This Row],[Date]],Funds!$C$10:$GV$11,2,FALSE)))</f>
        <v>1</v>
      </c>
      <c r="J281" s="215">
        <f>IF(Table2[[#This Row],[Description]]="","",Table2[[#This Row],[Value]]/Table2[[#This Row],[Conversion]])</f>
        <v>1880.23</v>
      </c>
      <c r="K281" s="45">
        <f>IF(Table2[[#This Row],[Description]]="","",DATE(Table2[[#This Row],[Year]],Table2[[#This Row],[Month]],1))</f>
        <v>43739</v>
      </c>
    </row>
    <row r="282" spans="2:11" x14ac:dyDescent="0.25">
      <c r="B282" t="s">
        <v>67</v>
      </c>
      <c r="C282" s="1">
        <v>10</v>
      </c>
      <c r="D282" s="1">
        <v>2019</v>
      </c>
      <c r="E282" s="166">
        <v>479.92</v>
      </c>
      <c r="F282" s="1" t="s">
        <v>21</v>
      </c>
      <c r="G282" s="1" t="str">
        <f>IF(Table2[[#This Row],[Description]]="","",VLOOKUP(Table2[[#This Row],[Description]],$Q$1:$S$101,2,FALSE))</f>
        <v>NE trips</v>
      </c>
      <c r="H282" s="1" t="str">
        <f>IF(Table2[[#This Row],[Description]]="","",VLOOKUP(Table2[[#This Row],[Description]],$Q$1:$S$101,3,FALSE))</f>
        <v>Mid</v>
      </c>
      <c r="I282" s="1">
        <f>IF(Table2[[#This Row],[Description]]="","",IF(Table2[[#This Row],[Currency]]=$O$2,$P$2,HLOOKUP(Table2[[#This Row],[Date]],Funds!$C$10:$GV$11,2,FALSE)))</f>
        <v>1</v>
      </c>
      <c r="J282" s="215">
        <f>IF(Table2[[#This Row],[Description]]="","",Table2[[#This Row],[Value]]/Table2[[#This Row],[Conversion]])</f>
        <v>479.92</v>
      </c>
      <c r="K282" s="45">
        <f>IF(Table2[[#This Row],[Description]]="","",DATE(Table2[[#This Row],[Year]],Table2[[#This Row],[Month]],1))</f>
        <v>43739</v>
      </c>
    </row>
    <row r="283" spans="2:11" x14ac:dyDescent="0.25">
      <c r="B283" t="s">
        <v>516</v>
      </c>
      <c r="C283" s="1">
        <v>10</v>
      </c>
      <c r="D283" s="1">
        <v>2019</v>
      </c>
      <c r="E283" s="166">
        <v>-400</v>
      </c>
      <c r="F283" s="1" t="s">
        <v>22</v>
      </c>
      <c r="G283" s="1" t="s">
        <v>66</v>
      </c>
      <c r="H283" s="1" t="s">
        <v>66</v>
      </c>
      <c r="I283" s="1">
        <f>IF(Table2[[#This Row],[Description]]="","",IF(Table2[[#This Row],[Currency]]=$O$2,$P$2,HLOOKUP(Table2[[#This Row],[Date]],Funds!$C$10:$GV$11,2,FALSE)))</f>
        <v>3.99</v>
      </c>
      <c r="J283" s="215">
        <f>IF(Table2[[#This Row],[Description]]="","",Table2[[#This Row],[Value]]/Table2[[#This Row],[Conversion]])</f>
        <v>-100.25062656641603</v>
      </c>
      <c r="K283" s="45">
        <f>IF(Table2[[#This Row],[Description]]="","",DATE(Table2[[#This Row],[Year]],Table2[[#This Row],[Month]],1))</f>
        <v>43739</v>
      </c>
    </row>
    <row r="284" spans="2:11" x14ac:dyDescent="0.25">
      <c r="B284" t="s">
        <v>517</v>
      </c>
      <c r="C284" s="1">
        <v>10</v>
      </c>
      <c r="D284" s="1">
        <v>2019</v>
      </c>
      <c r="E284" s="166">
        <v>-536</v>
      </c>
      <c r="F284" s="1" t="s">
        <v>22</v>
      </c>
      <c r="G284" s="1" t="s">
        <v>66</v>
      </c>
      <c r="H284" s="1" t="s">
        <v>66</v>
      </c>
      <c r="I284" s="1">
        <f>IF(Table2[[#This Row],[Description]]="","",IF(Table2[[#This Row],[Currency]]=$O$2,$P$2,HLOOKUP(Table2[[#This Row],[Date]],Funds!$C$10:$GV$11,2,FALSE)))</f>
        <v>3.99</v>
      </c>
      <c r="J284" s="215">
        <f>IF(Table2[[#This Row],[Description]]="","",Table2[[#This Row],[Value]]/Table2[[#This Row],[Conversion]])</f>
        <v>-134.3358395989975</v>
      </c>
      <c r="K284" s="45">
        <f>IF(Table2[[#This Row],[Description]]="","",DATE(Table2[[#This Row],[Year]],Table2[[#This Row],[Month]],1))</f>
        <v>43739</v>
      </c>
    </row>
    <row r="285" spans="2:11" x14ac:dyDescent="0.25">
      <c r="B285" t="s">
        <v>263</v>
      </c>
      <c r="C285" s="1">
        <v>10</v>
      </c>
      <c r="D285" s="1">
        <v>2019</v>
      </c>
      <c r="E285" s="166">
        <v>19.899999999999999</v>
      </c>
      <c r="F285" s="1" t="s">
        <v>22</v>
      </c>
      <c r="G285" s="1" t="str">
        <f>IF(Table2[[#This Row],[Description]]="","",VLOOKUP(Table2[[#This Row],[Description]],$Q$1:$S$101,2,FALSE))</f>
        <v>MN free</v>
      </c>
      <c r="H285" s="1" t="str">
        <f>IF(Table2[[#This Row],[Description]]="","",VLOOKUP(Table2[[#This Row],[Description]],$Q$1:$S$101,3,FALSE))</f>
        <v>Mid</v>
      </c>
      <c r="I285" s="1">
        <f>IF(Table2[[#This Row],[Description]]="","",IF(Table2[[#This Row],[Currency]]=$O$2,$P$2,HLOOKUP(Table2[[#This Row],[Date]],Funds!$C$10:$GV$11,2,FALSE)))</f>
        <v>3.99</v>
      </c>
      <c r="J285" s="215">
        <f>IF(Table2[[#This Row],[Description]]="","",Table2[[#This Row],[Value]]/Table2[[#This Row],[Conversion]])</f>
        <v>4.9874686716791974</v>
      </c>
      <c r="K285" s="45">
        <f>IF(Table2[[#This Row],[Description]]="","",DATE(Table2[[#This Row],[Year]],Table2[[#This Row],[Month]],1))</f>
        <v>43739</v>
      </c>
    </row>
    <row r="286" spans="2:11" x14ac:dyDescent="0.25">
      <c r="B286" t="s">
        <v>264</v>
      </c>
      <c r="C286" s="1">
        <v>10</v>
      </c>
      <c r="D286" s="1">
        <v>2019</v>
      </c>
      <c r="E286" s="166">
        <v>59.9</v>
      </c>
      <c r="F286" s="1" t="s">
        <v>22</v>
      </c>
      <c r="G286" s="1" t="str">
        <f>IF(Table2[[#This Row],[Description]]="","",VLOOKUP(Table2[[#This Row],[Description]],$Q$1:$S$101,2,FALSE))</f>
        <v>MN free</v>
      </c>
      <c r="H286" s="1" t="str">
        <f>IF(Table2[[#This Row],[Description]]="","",VLOOKUP(Table2[[#This Row],[Description]],$Q$1:$S$101,3,FALSE))</f>
        <v>Mid</v>
      </c>
      <c r="I286" s="1">
        <f>IF(Table2[[#This Row],[Description]]="","",IF(Table2[[#This Row],[Currency]]=$O$2,$P$2,HLOOKUP(Table2[[#This Row],[Date]],Funds!$C$10:$GV$11,2,FALSE)))</f>
        <v>3.99</v>
      </c>
      <c r="J286" s="215">
        <f>IF(Table2[[#This Row],[Description]]="","",Table2[[#This Row],[Value]]/Table2[[#This Row],[Conversion]])</f>
        <v>15.012531328320801</v>
      </c>
      <c r="K286" s="45">
        <f>IF(Table2[[#This Row],[Description]]="","",DATE(Table2[[#This Row],[Year]],Table2[[#This Row],[Month]],1))</f>
        <v>43739</v>
      </c>
    </row>
    <row r="287" spans="2:11" x14ac:dyDescent="0.25">
      <c r="B287" t="s">
        <v>256</v>
      </c>
      <c r="C287" s="1">
        <v>10</v>
      </c>
      <c r="D287" s="1">
        <v>2019</v>
      </c>
      <c r="E287" s="166">
        <v>13.86</v>
      </c>
      <c r="F287" s="1" t="s">
        <v>21</v>
      </c>
      <c r="G287" s="1" t="str">
        <f>IF(Table2[[#This Row],[Description]]="","",VLOOKUP(Table2[[#This Row],[Description]],$Q$1:$S$101,2,FALSE))</f>
        <v>MN free</v>
      </c>
      <c r="H287" s="1" t="str">
        <f>IF(Table2[[#This Row],[Description]]="","",VLOOKUP(Table2[[#This Row],[Description]],$Q$1:$S$101,3,FALSE))</f>
        <v>Mid</v>
      </c>
      <c r="I287" s="1">
        <f>IF(Table2[[#This Row],[Description]]="","",IF(Table2[[#This Row],[Currency]]=$O$2,$P$2,HLOOKUP(Table2[[#This Row],[Date]],Funds!$C$10:$GV$11,2,FALSE)))</f>
        <v>1</v>
      </c>
      <c r="J287" s="215">
        <f>IF(Table2[[#This Row],[Description]]="","",Table2[[#This Row],[Value]]/Table2[[#This Row],[Conversion]])</f>
        <v>13.86</v>
      </c>
      <c r="K287" s="45">
        <f>IF(Table2[[#This Row],[Description]]="","",DATE(Table2[[#This Row],[Year]],Table2[[#This Row],[Month]],1))</f>
        <v>43739</v>
      </c>
    </row>
    <row r="288" spans="2:11" x14ac:dyDescent="0.25">
      <c r="B288" t="s">
        <v>72</v>
      </c>
      <c r="C288" s="1">
        <v>10</v>
      </c>
      <c r="D288" s="1">
        <v>2019</v>
      </c>
      <c r="E288" s="166">
        <v>12.99</v>
      </c>
      <c r="F288" s="1" t="s">
        <v>21</v>
      </c>
      <c r="G288" s="1" t="str">
        <f>IF(Table2[[#This Row],[Description]]="","",VLOOKUP(Table2[[#This Row],[Description]],$Q$1:$S$101,2,FALSE))</f>
        <v>EK free</v>
      </c>
      <c r="H288" s="1" t="str">
        <f>IF(Table2[[#This Row],[Description]]="","",VLOOKUP(Table2[[#This Row],[Description]],$Q$1:$S$101,3,FALSE))</f>
        <v>Mid</v>
      </c>
      <c r="I288" s="1">
        <f>IF(Table2[[#This Row],[Description]]="","",IF(Table2[[#This Row],[Currency]]=$O$2,$P$2,HLOOKUP(Table2[[#This Row],[Date]],Funds!$C$10:$GV$11,2,FALSE)))</f>
        <v>1</v>
      </c>
      <c r="J288" s="215">
        <f>IF(Table2[[#This Row],[Description]]="","",Table2[[#This Row],[Value]]/Table2[[#This Row],[Conversion]])</f>
        <v>12.99</v>
      </c>
      <c r="K288" s="45">
        <f>IF(Table2[[#This Row],[Description]]="","",DATE(Table2[[#This Row],[Year]],Table2[[#This Row],[Month]],1))</f>
        <v>43739</v>
      </c>
    </row>
    <row r="289" spans="2:11" x14ac:dyDescent="0.25">
      <c r="B289" t="s">
        <v>73</v>
      </c>
      <c r="C289" s="1">
        <v>10</v>
      </c>
      <c r="D289" s="1">
        <v>2019</v>
      </c>
      <c r="E289" s="166">
        <f>9.99+21.91</f>
        <v>31.9</v>
      </c>
      <c r="F289" s="1" t="s">
        <v>21</v>
      </c>
      <c r="G289" s="1" t="str">
        <f>IF(Table2[[#This Row],[Description]]="","",VLOOKUP(Table2[[#This Row],[Description]],$Q$1:$S$101,2,FALSE))</f>
        <v>MN free</v>
      </c>
      <c r="H289" s="1" t="str">
        <f>IF(Table2[[#This Row],[Description]]="","",VLOOKUP(Table2[[#This Row],[Description]],$Q$1:$S$101,3,FALSE))</f>
        <v>Mid</v>
      </c>
      <c r="I289" s="1">
        <f>IF(Table2[[#This Row],[Description]]="","",IF(Table2[[#This Row],[Currency]]=$O$2,$P$2,HLOOKUP(Table2[[#This Row],[Date]],Funds!$C$10:$GV$11,2,FALSE)))</f>
        <v>1</v>
      </c>
      <c r="J289" s="215">
        <f>IF(Table2[[#This Row],[Description]]="","",Table2[[#This Row],[Value]]/Table2[[#This Row],[Conversion]])</f>
        <v>31.9</v>
      </c>
      <c r="K289" s="45">
        <f>IF(Table2[[#This Row],[Description]]="","",DATE(Table2[[#This Row],[Year]],Table2[[#This Row],[Month]],1))</f>
        <v>43739</v>
      </c>
    </row>
    <row r="290" spans="2:11" x14ac:dyDescent="0.25">
      <c r="B290" t="s">
        <v>252</v>
      </c>
      <c r="C290" s="1">
        <v>10</v>
      </c>
      <c r="D290" s="1">
        <v>2019</v>
      </c>
      <c r="E290" s="166">
        <f>18.89+15.97+9.99+8.99</f>
        <v>53.84</v>
      </c>
      <c r="F290" s="1" t="s">
        <v>21</v>
      </c>
      <c r="G290" s="1" t="str">
        <f>IF(Table2[[#This Row],[Description]]="","",VLOOKUP(Table2[[#This Row],[Description]],$Q$1:$S$101,2,FALSE))</f>
        <v>Other Mid</v>
      </c>
      <c r="H290" s="1" t="str">
        <f>IF(Table2[[#This Row],[Description]]="","",VLOOKUP(Table2[[#This Row],[Description]],$Q$1:$S$101,3,FALSE))</f>
        <v>Mid</v>
      </c>
      <c r="I290" s="1">
        <f>IF(Table2[[#This Row],[Description]]="","",IF(Table2[[#This Row],[Currency]]=$O$2,$P$2,HLOOKUP(Table2[[#This Row],[Date]],Funds!$C$10:$GV$11,2,FALSE)))</f>
        <v>1</v>
      </c>
      <c r="J290" s="215">
        <f>IF(Table2[[#This Row],[Description]]="","",Table2[[#This Row],[Value]]/Table2[[#This Row],[Conversion]])</f>
        <v>53.84</v>
      </c>
      <c r="K290" s="45">
        <f>IF(Table2[[#This Row],[Description]]="","",DATE(Table2[[#This Row],[Year]],Table2[[#This Row],[Month]],1))</f>
        <v>43739</v>
      </c>
    </row>
    <row r="291" spans="2:11" x14ac:dyDescent="0.25">
      <c r="B291" t="s">
        <v>255</v>
      </c>
      <c r="C291" s="1">
        <v>10</v>
      </c>
      <c r="D291" s="1">
        <v>2019</v>
      </c>
      <c r="E291" s="166">
        <f>9.79+6.6+19.99</f>
        <v>36.379999999999995</v>
      </c>
      <c r="F291" s="1" t="s">
        <v>21</v>
      </c>
      <c r="G291" s="1" t="str">
        <f>IF(Table2[[#This Row],[Description]]="","",VLOOKUP(Table2[[#This Row],[Description]],$Q$1:$S$101,2,FALSE))</f>
        <v>EK free</v>
      </c>
      <c r="H291" s="1" t="str">
        <f>IF(Table2[[#This Row],[Description]]="","",VLOOKUP(Table2[[#This Row],[Description]],$Q$1:$S$101,3,FALSE))</f>
        <v>Mid</v>
      </c>
      <c r="I291" s="1">
        <f>IF(Table2[[#This Row],[Description]]="","",IF(Table2[[#This Row],[Currency]]=$O$2,$P$2,HLOOKUP(Table2[[#This Row],[Date]],Funds!$C$10:$GV$11,2,FALSE)))</f>
        <v>1</v>
      </c>
      <c r="J291" s="215">
        <f>IF(Table2[[#This Row],[Description]]="","",Table2[[#This Row],[Value]]/Table2[[#This Row],[Conversion]])</f>
        <v>36.379999999999995</v>
      </c>
      <c r="K291" s="45">
        <f>IF(Table2[[#This Row],[Description]]="","",DATE(Table2[[#This Row],[Year]],Table2[[#This Row],[Month]],1))</f>
        <v>43739</v>
      </c>
    </row>
    <row r="292" spans="2:11" x14ac:dyDescent="0.25">
      <c r="B292" t="s">
        <v>252</v>
      </c>
      <c r="C292" s="1">
        <v>10</v>
      </c>
      <c r="D292" s="1">
        <v>2019</v>
      </c>
      <c r="E292" s="166">
        <f>24.97+34.98</f>
        <v>59.949999999999996</v>
      </c>
      <c r="F292" s="1" t="s">
        <v>21</v>
      </c>
      <c r="G292" s="1" t="str">
        <f>IF(Table2[[#This Row],[Description]]="","",VLOOKUP(Table2[[#This Row],[Description]],$Q$1:$S$101,2,FALSE))</f>
        <v>Other Mid</v>
      </c>
      <c r="H292" s="1" t="str">
        <f>IF(Table2[[#This Row],[Description]]="","",VLOOKUP(Table2[[#This Row],[Description]],$Q$1:$S$101,3,FALSE))</f>
        <v>Mid</v>
      </c>
      <c r="I292" s="1">
        <f>IF(Table2[[#This Row],[Description]]="","",IF(Table2[[#This Row],[Currency]]=$O$2,$P$2,HLOOKUP(Table2[[#This Row],[Date]],Funds!$C$10:$GV$11,2,FALSE)))</f>
        <v>1</v>
      </c>
      <c r="J292" s="215">
        <f>IF(Table2[[#This Row],[Description]]="","",Table2[[#This Row],[Value]]/Table2[[#This Row],[Conversion]])</f>
        <v>59.949999999999996</v>
      </c>
      <c r="K292" s="45">
        <f>IF(Table2[[#This Row],[Description]]="","",DATE(Table2[[#This Row],[Year]],Table2[[#This Row],[Month]],1))</f>
        <v>43739</v>
      </c>
    </row>
    <row r="293" spans="2:11" x14ac:dyDescent="0.25">
      <c r="B293" t="s">
        <v>320</v>
      </c>
      <c r="C293" s="1">
        <v>10</v>
      </c>
      <c r="D293" s="1">
        <v>2019</v>
      </c>
      <c r="E293" s="166">
        <v>278.61282920318706</v>
      </c>
      <c r="F293" s="1" t="s">
        <v>21</v>
      </c>
      <c r="G293" s="1" t="str">
        <f>IF(Table2[[#This Row],[Description]]="","",VLOOKUP(Table2[[#This Row],[Description]],$Q$1:$S$101,2,FALSE))</f>
        <v>Long</v>
      </c>
      <c r="H293" s="1" t="str">
        <f>IF(Table2[[#This Row],[Description]]="","",VLOOKUP(Table2[[#This Row],[Description]],$Q$1:$S$101,3,FALSE))</f>
        <v>Long</v>
      </c>
      <c r="I293" s="1">
        <f>IF(Table2[[#This Row],[Description]]="","",IF(Table2[[#This Row],[Currency]]=$O$2,$P$2,HLOOKUP(Table2[[#This Row],[Date]],Funds!$C$10:$GV$11,2,FALSE)))</f>
        <v>1</v>
      </c>
      <c r="J293" s="215">
        <f>IF(Table2[[#This Row],[Description]]="","",Table2[[#This Row],[Value]]/Table2[[#This Row],[Conversion]])</f>
        <v>278.61282920318706</v>
      </c>
      <c r="K293" s="45">
        <f>IF(Table2[[#This Row],[Description]]="","",DATE(Table2[[#This Row],[Year]],Table2[[#This Row],[Month]],1))</f>
        <v>43739</v>
      </c>
    </row>
    <row r="294" spans="2:11" x14ac:dyDescent="0.25">
      <c r="B294" t="s">
        <v>46</v>
      </c>
      <c r="C294" s="1">
        <v>10</v>
      </c>
      <c r="D294" s="1">
        <v>2019</v>
      </c>
      <c r="E294" s="166">
        <v>106.24247011445772</v>
      </c>
      <c r="F294" s="1" t="s">
        <v>21</v>
      </c>
      <c r="G294" s="1" t="str">
        <f>IF(Table2[[#This Row],[Description]]="","",VLOOKUP(Table2[[#This Row],[Description]],$Q$1:$S$101,2,FALSE))</f>
        <v>Health care</v>
      </c>
      <c r="H294" s="1" t="str">
        <f>IF(Table2[[#This Row],[Description]]="","",VLOOKUP(Table2[[#This Row],[Description]],$Q$1:$S$101,3,FALSE))</f>
        <v>Short</v>
      </c>
      <c r="I294" s="1">
        <f>IF(Table2[[#This Row],[Description]]="","",IF(Table2[[#This Row],[Currency]]=$O$2,$P$2,HLOOKUP(Table2[[#This Row],[Date]],Funds!$C$10:$GV$11,2,FALSE)))</f>
        <v>1</v>
      </c>
      <c r="J294" s="215">
        <f>IF(Table2[[#This Row],[Description]]="","",Table2[[#This Row],[Value]]/Table2[[#This Row],[Conversion]])</f>
        <v>106.24247011445772</v>
      </c>
      <c r="K294" s="45">
        <f>IF(Table2[[#This Row],[Description]]="","",DATE(Table2[[#This Row],[Year]],Table2[[#This Row],[Month]],1))</f>
        <v>43739</v>
      </c>
    </row>
    <row r="295" spans="2:11" x14ac:dyDescent="0.25">
      <c r="B295" t="s">
        <v>324</v>
      </c>
      <c r="C295" s="1">
        <v>10</v>
      </c>
      <c r="D295" s="1">
        <v>2019</v>
      </c>
      <c r="E295" s="166">
        <v>13.714937051139087</v>
      </c>
      <c r="F295" s="1" t="s">
        <v>21</v>
      </c>
      <c r="G295" s="1" t="str">
        <f>IF(Table2[[#This Row],[Description]]="","",VLOOKUP(Table2[[#This Row],[Description]],$Q$1:$S$101,2,FALSE))</f>
        <v>Health care</v>
      </c>
      <c r="H295" s="1" t="str">
        <f>IF(Table2[[#This Row],[Description]]="","",VLOOKUP(Table2[[#This Row],[Description]],$Q$1:$S$101,3,FALSE))</f>
        <v>Short</v>
      </c>
      <c r="I295" s="1">
        <f>IF(Table2[[#This Row],[Description]]="","",IF(Table2[[#This Row],[Currency]]=$O$2,$P$2,HLOOKUP(Table2[[#This Row],[Date]],Funds!$C$10:$GV$11,2,FALSE)))</f>
        <v>1</v>
      </c>
      <c r="J295" s="215">
        <f>IF(Table2[[#This Row],[Description]]="","",Table2[[#This Row],[Value]]/Table2[[#This Row],[Conversion]])</f>
        <v>13.714937051139087</v>
      </c>
      <c r="K295" s="45">
        <f>IF(Table2[[#This Row],[Description]]="","",DATE(Table2[[#This Row],[Year]],Table2[[#This Row],[Month]],1))</f>
        <v>43739</v>
      </c>
    </row>
    <row r="296" spans="2:11" x14ac:dyDescent="0.25">
      <c r="B296" t="s">
        <v>59</v>
      </c>
      <c r="C296" s="1">
        <v>10</v>
      </c>
      <c r="D296" s="1">
        <v>2019</v>
      </c>
      <c r="E296" s="166">
        <v>84.511055772864097</v>
      </c>
      <c r="F296" s="1" t="s">
        <v>21</v>
      </c>
      <c r="G296" s="1" t="str">
        <f>IF(Table2[[#This Row],[Description]]="","",VLOOKUP(Table2[[#This Row],[Description]],$Q$1:$S$101,2,FALSE))</f>
        <v>Transportation</v>
      </c>
      <c r="H296" s="1" t="str">
        <f>IF(Table2[[#This Row],[Description]]="","",VLOOKUP(Table2[[#This Row],[Description]],$Q$1:$S$101,3,FALSE))</f>
        <v>Short</v>
      </c>
      <c r="I296" s="1">
        <f>IF(Table2[[#This Row],[Description]]="","",IF(Table2[[#This Row],[Currency]]=$O$2,$P$2,HLOOKUP(Table2[[#This Row],[Date]],Funds!$C$10:$GV$11,2,FALSE)))</f>
        <v>1</v>
      </c>
      <c r="J296" s="215">
        <f>IF(Table2[[#This Row],[Description]]="","",Table2[[#This Row],[Value]]/Table2[[#This Row],[Conversion]])</f>
        <v>84.511055772864097</v>
      </c>
      <c r="K296" s="45">
        <f>IF(Table2[[#This Row],[Description]]="","",DATE(Table2[[#This Row],[Year]],Table2[[#This Row],[Month]],1))</f>
        <v>43739</v>
      </c>
    </row>
    <row r="297" spans="2:11" x14ac:dyDescent="0.25">
      <c r="B297" t="s">
        <v>252</v>
      </c>
      <c r="C297" s="1">
        <v>10</v>
      </c>
      <c r="D297" s="1">
        <v>2019</v>
      </c>
      <c r="E297" s="166">
        <f>-479.92-13.69</f>
        <v>-493.61</v>
      </c>
      <c r="F297" s="1" t="s">
        <v>21</v>
      </c>
      <c r="G297" s="1" t="str">
        <f>IF(Table2[[#This Row],[Description]]="","",VLOOKUP(Table2[[#This Row],[Description]],$Q$1:$S$101,2,FALSE))</f>
        <v>Other Mid</v>
      </c>
      <c r="H297" s="1" t="str">
        <f>IF(Table2[[#This Row],[Description]]="","",VLOOKUP(Table2[[#This Row],[Description]],$Q$1:$S$101,3,FALSE))</f>
        <v>Mid</v>
      </c>
      <c r="I297" s="1">
        <f>IF(Table2[[#This Row],[Description]]="","",IF(Table2[[#This Row],[Currency]]=$O$2,$P$2,HLOOKUP(Table2[[#This Row],[Date]],Funds!$C$10:$GV$11,2,FALSE)))</f>
        <v>1</v>
      </c>
      <c r="J297" s="215">
        <f>IF(Table2[[#This Row],[Description]]="","",Table2[[#This Row],[Value]]/Table2[[#This Row],[Conversion]])</f>
        <v>-493.61</v>
      </c>
      <c r="K297" s="45">
        <f>IF(Table2[[#This Row],[Description]]="","",DATE(Table2[[#This Row],[Year]],Table2[[#This Row],[Month]],1))</f>
        <v>43739</v>
      </c>
    </row>
    <row r="298" spans="2:11" x14ac:dyDescent="0.25">
      <c r="B298" t="s">
        <v>237</v>
      </c>
      <c r="C298" s="1">
        <v>11</v>
      </c>
      <c r="D298" s="1">
        <v>2019</v>
      </c>
      <c r="E298" s="166">
        <v>54.357764777101799</v>
      </c>
      <c r="F298" s="1" t="s">
        <v>21</v>
      </c>
      <c r="G298" s="1" t="str">
        <f>IF(Table2[[#This Row],[Description]]="","",VLOOKUP(Table2[[#This Row],[Description]],$Q$1:$S$101,2,FALSE))</f>
        <v>FX adjustment</v>
      </c>
      <c r="H298" s="1" t="s">
        <v>111</v>
      </c>
      <c r="I298" s="1">
        <f>IF(Table2[[#This Row],[Description]]="","",IF(Table2[[#This Row],[Currency]]=$O$2,$P$2,HLOOKUP(Table2[[#This Row],[Date]],Funds!$C$10:$GV$11,2,FALSE)))</f>
        <v>1</v>
      </c>
      <c r="J298" s="215">
        <f>IF(Table2[[#This Row],[Description]]="","",Table2[[#This Row],[Value]]/Table2[[#This Row],[Conversion]])</f>
        <v>54.357764777101799</v>
      </c>
      <c r="K298" s="45">
        <f>IF(Table2[[#This Row],[Description]]="","",DATE(Table2[[#This Row],[Year]],Table2[[#This Row],[Month]],1))</f>
        <v>43770</v>
      </c>
    </row>
    <row r="299" spans="2:11" x14ac:dyDescent="0.25">
      <c r="B299" t="s">
        <v>237</v>
      </c>
      <c r="C299" s="1">
        <v>11</v>
      </c>
      <c r="D299" s="1">
        <v>2019</v>
      </c>
      <c r="E299" s="166">
        <v>36.664454686651901</v>
      </c>
      <c r="F299" s="1" t="s">
        <v>21</v>
      </c>
      <c r="G299" s="1" t="str">
        <f>IF(Table2[[#This Row],[Description]]="","",VLOOKUP(Table2[[#This Row],[Description]],$Q$1:$S$101,2,FALSE))</f>
        <v>FX adjustment</v>
      </c>
      <c r="H299" s="1" t="s">
        <v>121</v>
      </c>
      <c r="I299" s="1">
        <f>IF(Table2[[#This Row],[Description]]="","",IF(Table2[[#This Row],[Currency]]=$O$2,$P$2,HLOOKUP(Table2[[#This Row],[Date]],Funds!$C$10:$GV$11,2,FALSE)))</f>
        <v>1</v>
      </c>
      <c r="J299" s="215">
        <f>IF(Table2[[#This Row],[Description]]="","",Table2[[#This Row],[Value]]/Table2[[#This Row],[Conversion]])</f>
        <v>36.664454686651901</v>
      </c>
      <c r="K299" s="45">
        <f>IF(Table2[[#This Row],[Description]]="","",DATE(Table2[[#This Row],[Year]],Table2[[#This Row],[Month]],1))</f>
        <v>43770</v>
      </c>
    </row>
    <row r="300" spans="2:11" x14ac:dyDescent="0.25">
      <c r="B300" t="s">
        <v>68</v>
      </c>
      <c r="C300" s="1">
        <v>11</v>
      </c>
      <c r="D300" s="1">
        <v>2019</v>
      </c>
      <c r="E300" s="166">
        <v>23</v>
      </c>
      <c r="F300" s="1" t="s">
        <v>21</v>
      </c>
      <c r="G300" s="1" t="str">
        <f>IF(Table2[[#This Row],[Description]]="","",VLOOKUP(Table2[[#This Row],[Description]],$Q$1:$S$101,2,FALSE))</f>
        <v>EK free</v>
      </c>
      <c r="H300" s="1" t="str">
        <f>IF(Table2[[#This Row],[Description]]="","",VLOOKUP(Table2[[#This Row],[Description]],$Q$1:$S$101,3,FALSE))</f>
        <v>Mid</v>
      </c>
      <c r="I300" s="1">
        <f>IF(Table2[[#This Row],[Description]]="","",IF(Table2[[#This Row],[Currency]]=$O$2,$P$2,HLOOKUP(Table2[[#This Row],[Date]],Funds!$C$10:$GV$11,2,FALSE)))</f>
        <v>1</v>
      </c>
      <c r="J300" s="215">
        <f>IF(Table2[[#This Row],[Description]]="","",Table2[[#This Row],[Value]]/Table2[[#This Row],[Conversion]])</f>
        <v>23</v>
      </c>
      <c r="K300" s="45">
        <f>IF(Table2[[#This Row],[Description]]="","",DATE(Table2[[#This Row],[Year]],Table2[[#This Row],[Month]],1))</f>
        <v>43770</v>
      </c>
    </row>
    <row r="301" spans="2:11" x14ac:dyDescent="0.25">
      <c r="B301" t="s">
        <v>69</v>
      </c>
      <c r="C301" s="1">
        <v>11</v>
      </c>
      <c r="D301" s="1">
        <v>2019</v>
      </c>
      <c r="E301" s="166">
        <v>60</v>
      </c>
      <c r="F301" s="1" t="s">
        <v>21</v>
      </c>
      <c r="G301" s="1" t="str">
        <f>IF(Table2[[#This Row],[Description]]="","",VLOOKUP(Table2[[#This Row],[Description]],$Q$1:$S$101,2,FALSE))</f>
        <v>MN free</v>
      </c>
      <c r="H301" s="1" t="str">
        <f>IF(Table2[[#This Row],[Description]]="","",VLOOKUP(Table2[[#This Row],[Description]],$Q$1:$S$101,3,FALSE))</f>
        <v>Mid</v>
      </c>
      <c r="I301" s="1">
        <f>IF(Table2[[#This Row],[Description]]="","",IF(Table2[[#This Row],[Currency]]=$O$2,$P$2,HLOOKUP(Table2[[#This Row],[Date]],Funds!$C$10:$GV$11,2,FALSE)))</f>
        <v>1</v>
      </c>
      <c r="J301" s="215">
        <f>IF(Table2[[#This Row],[Description]]="","",Table2[[#This Row],[Value]]/Table2[[#This Row],[Conversion]])</f>
        <v>60</v>
      </c>
      <c r="K301" s="45">
        <f>IF(Table2[[#This Row],[Description]]="","",DATE(Table2[[#This Row],[Year]],Table2[[#This Row],[Month]],1))</f>
        <v>43770</v>
      </c>
    </row>
    <row r="302" spans="2:11" x14ac:dyDescent="0.25">
      <c r="B302" t="s">
        <v>269</v>
      </c>
      <c r="C302" s="1">
        <v>11</v>
      </c>
      <c r="D302" s="1">
        <v>2019</v>
      </c>
      <c r="E302" s="166">
        <v>150</v>
      </c>
      <c r="F302" s="1" t="s">
        <v>21</v>
      </c>
      <c r="G302" s="1" t="str">
        <f>IF(Table2[[#This Row],[Description]]="","",VLOOKUP(Table2[[#This Row],[Description]],$Q$1:$S$101,2,FALSE))</f>
        <v>Other Mid</v>
      </c>
      <c r="H302" s="1" t="str">
        <f>IF(Table2[[#This Row],[Description]]="","",VLOOKUP(Table2[[#This Row],[Description]],$Q$1:$S$101,3,FALSE))</f>
        <v>Mid</v>
      </c>
      <c r="I302" s="1">
        <f>IF(Table2[[#This Row],[Description]]="","",IF(Table2[[#This Row],[Currency]]=$O$2,$P$2,HLOOKUP(Table2[[#This Row],[Date]],Funds!$C$10:$GV$11,2,FALSE)))</f>
        <v>1</v>
      </c>
      <c r="J302" s="215">
        <f>IF(Table2[[#This Row],[Description]]="","",Table2[[#This Row],[Value]]/Table2[[#This Row],[Conversion]])</f>
        <v>150</v>
      </c>
      <c r="K302" s="45">
        <f>IF(Table2[[#This Row],[Description]]="","",DATE(Table2[[#This Row],[Year]],Table2[[#This Row],[Month]],1))</f>
        <v>43770</v>
      </c>
    </row>
    <row r="303" spans="2:11" x14ac:dyDescent="0.25">
      <c r="B303" t="s">
        <v>255</v>
      </c>
      <c r="C303" s="1">
        <v>11</v>
      </c>
      <c r="D303" s="1">
        <v>2019</v>
      </c>
      <c r="E303" s="166">
        <f>68.9/2</f>
        <v>34.450000000000003</v>
      </c>
      <c r="F303" s="1" t="s">
        <v>21</v>
      </c>
      <c r="G303" s="1" t="str">
        <f>IF(Table2[[#This Row],[Description]]="","",VLOOKUP(Table2[[#This Row],[Description]],$Q$1:$S$101,2,FALSE))</f>
        <v>EK free</v>
      </c>
      <c r="H303" s="1" t="str">
        <f>IF(Table2[[#This Row],[Description]]="","",VLOOKUP(Table2[[#This Row],[Description]],$Q$1:$S$101,3,FALSE))</f>
        <v>Mid</v>
      </c>
      <c r="I303" s="1">
        <f>IF(Table2[[#This Row],[Description]]="","",IF(Table2[[#This Row],[Currency]]=$O$2,$P$2,HLOOKUP(Table2[[#This Row],[Date]],Funds!$C$10:$GV$11,2,FALSE)))</f>
        <v>1</v>
      </c>
      <c r="J303" s="215">
        <f>IF(Table2[[#This Row],[Description]]="","",Table2[[#This Row],[Value]]/Table2[[#This Row],[Conversion]])</f>
        <v>34.450000000000003</v>
      </c>
      <c r="K303" s="45">
        <f>IF(Table2[[#This Row],[Description]]="","",DATE(Table2[[#This Row],[Year]],Table2[[#This Row],[Month]],1))</f>
        <v>43770</v>
      </c>
    </row>
    <row r="304" spans="2:11" x14ac:dyDescent="0.25">
      <c r="B304" t="s">
        <v>256</v>
      </c>
      <c r="C304" s="1">
        <v>11</v>
      </c>
      <c r="D304" s="1">
        <v>2019</v>
      </c>
      <c r="E304" s="166">
        <f>68.9/2</f>
        <v>34.450000000000003</v>
      </c>
      <c r="F304" s="1" t="s">
        <v>21</v>
      </c>
      <c r="G304" s="1" t="str">
        <f>IF(Table2[[#This Row],[Description]]="","",VLOOKUP(Table2[[#This Row],[Description]],$Q$1:$S$101,2,FALSE))</f>
        <v>MN free</v>
      </c>
      <c r="H304" s="1" t="str">
        <f>IF(Table2[[#This Row],[Description]]="","",VLOOKUP(Table2[[#This Row],[Description]],$Q$1:$S$101,3,FALSE))</f>
        <v>Mid</v>
      </c>
      <c r="I304" s="1">
        <f>IF(Table2[[#This Row],[Description]]="","",IF(Table2[[#This Row],[Currency]]=$O$2,$P$2,HLOOKUP(Table2[[#This Row],[Date]],Funds!$C$10:$GV$11,2,FALSE)))</f>
        <v>1</v>
      </c>
      <c r="J304" s="215">
        <f>IF(Table2[[#This Row],[Description]]="","",Table2[[#This Row],[Value]]/Table2[[#This Row],[Conversion]])</f>
        <v>34.450000000000003</v>
      </c>
      <c r="K304" s="45">
        <f>IF(Table2[[#This Row],[Description]]="","",DATE(Table2[[#This Row],[Year]],Table2[[#This Row],[Month]],1))</f>
        <v>43770</v>
      </c>
    </row>
    <row r="305" spans="2:11" x14ac:dyDescent="0.25">
      <c r="B305" t="s">
        <v>57</v>
      </c>
      <c r="C305" s="1">
        <v>11</v>
      </c>
      <c r="D305" s="1">
        <v>2019</v>
      </c>
      <c r="E305" s="166">
        <v>472.56999999999994</v>
      </c>
      <c r="F305" s="1" t="s">
        <v>21</v>
      </c>
      <c r="G305" s="1" t="str">
        <f>IF(Table2[[#This Row],[Description]]="","",VLOOKUP(Table2[[#This Row],[Description]],$Q$1:$S$101,2,FALSE))</f>
        <v>Food</v>
      </c>
      <c r="H305" s="1" t="str">
        <f>IF(Table2[[#This Row],[Description]]="","",VLOOKUP(Table2[[#This Row],[Description]],$Q$1:$S$101,3,FALSE))</f>
        <v>Short</v>
      </c>
      <c r="I305" s="1">
        <f>IF(Table2[[#This Row],[Description]]="","",IF(Table2[[#This Row],[Currency]]=$O$2,$P$2,HLOOKUP(Table2[[#This Row],[Date]],Funds!$C$10:$GV$11,2,FALSE)))</f>
        <v>1</v>
      </c>
      <c r="J305" s="215">
        <f>IF(Table2[[#This Row],[Description]]="","",Table2[[#This Row],[Value]]/Table2[[#This Row],[Conversion]])</f>
        <v>472.56999999999994</v>
      </c>
      <c r="K305" s="45">
        <f>IF(Table2[[#This Row],[Description]]="","",DATE(Table2[[#This Row],[Year]],Table2[[#This Row],[Month]],1))</f>
        <v>43770</v>
      </c>
    </row>
    <row r="306" spans="2:11" x14ac:dyDescent="0.25">
      <c r="B306" t="s">
        <v>58</v>
      </c>
      <c r="C306" s="1">
        <v>11</v>
      </c>
      <c r="D306" s="1">
        <v>2019</v>
      </c>
      <c r="E306" s="166">
        <v>298.96000000000004</v>
      </c>
      <c r="F306" s="1" t="s">
        <v>21</v>
      </c>
      <c r="G306" s="1" t="str">
        <f>IF(Table2[[#This Row],[Description]]="","",VLOOKUP(Table2[[#This Row],[Description]],$Q$1:$S$101,2,FALSE))</f>
        <v>Food</v>
      </c>
      <c r="H306" s="1" t="str">
        <f>IF(Table2[[#This Row],[Description]]="","",VLOOKUP(Table2[[#This Row],[Description]],$Q$1:$S$101,3,FALSE))</f>
        <v>Short</v>
      </c>
      <c r="I306" s="1">
        <f>IF(Table2[[#This Row],[Description]]="","",IF(Table2[[#This Row],[Currency]]=$O$2,$P$2,HLOOKUP(Table2[[#This Row],[Date]],Funds!$C$10:$GV$11,2,FALSE)))</f>
        <v>1</v>
      </c>
      <c r="J306" s="215">
        <f>IF(Table2[[#This Row],[Description]]="","",Table2[[#This Row],[Value]]/Table2[[#This Row],[Conversion]])</f>
        <v>298.96000000000004</v>
      </c>
      <c r="K306" s="45">
        <f>IF(Table2[[#This Row],[Description]]="","",DATE(Table2[[#This Row],[Year]],Table2[[#This Row],[Month]],1))</f>
        <v>43770</v>
      </c>
    </row>
    <row r="307" spans="2:11" x14ac:dyDescent="0.25">
      <c r="B307" t="s">
        <v>471</v>
      </c>
      <c r="C307" s="1">
        <v>11</v>
      </c>
      <c r="D307" s="1">
        <v>2019</v>
      </c>
      <c r="E307" s="166">
        <v>-31.760000000000005</v>
      </c>
      <c r="F307" s="1" t="s">
        <v>21</v>
      </c>
      <c r="G307" s="1" t="str">
        <f>IF(Table2[[#This Row],[Description]]="","",VLOOKUP(Table2[[#This Row],[Description]],$Q$1:$S$101,2,FALSE))</f>
        <v>Mid</v>
      </c>
      <c r="H307" s="1" t="str">
        <f>IF(Table2[[#This Row],[Description]]="","",VLOOKUP(Table2[[#This Row],[Description]],$Q$1:$S$101,3,FALSE))</f>
        <v>Mid</v>
      </c>
      <c r="I307" s="1">
        <f>IF(Table2[[#This Row],[Description]]="","",IF(Table2[[#This Row],[Currency]]=$O$2,$P$2,HLOOKUP(Table2[[#This Row],[Date]],Funds!$C$10:$GV$11,2,FALSE)))</f>
        <v>1</v>
      </c>
      <c r="J307" s="215">
        <f>IF(Table2[[#This Row],[Description]]="","",Table2[[#This Row],[Value]]/Table2[[#This Row],[Conversion]])</f>
        <v>-31.760000000000005</v>
      </c>
      <c r="K307" s="45">
        <f>IF(Table2[[#This Row],[Description]]="","",DATE(Table2[[#This Row],[Year]],Table2[[#This Row],[Month]],1))</f>
        <v>43770</v>
      </c>
    </row>
    <row r="308" spans="2:11" x14ac:dyDescent="0.25">
      <c r="B308" t="s">
        <v>472</v>
      </c>
      <c r="C308" s="1">
        <v>11</v>
      </c>
      <c r="D308" s="1">
        <v>2019</v>
      </c>
      <c r="E308" s="166">
        <v>1314</v>
      </c>
      <c r="F308" s="1" t="s">
        <v>21</v>
      </c>
      <c r="G308" s="1" t="str">
        <f>IF(Table2[[#This Row],[Description]]="","",VLOOKUP(Table2[[#This Row],[Description]],$Q$1:$S$101,2,FALSE))</f>
        <v xml:space="preserve">EK studies </v>
      </c>
      <c r="H308" s="1" t="str">
        <f>IF(Table2[[#This Row],[Description]]="","",VLOOKUP(Table2[[#This Row],[Description]],$Q$1:$S$101,3,FALSE))</f>
        <v>Mid</v>
      </c>
      <c r="I308" s="1">
        <f>IF(Table2[[#This Row],[Description]]="","",IF(Table2[[#This Row],[Currency]]=$O$2,$P$2,HLOOKUP(Table2[[#This Row],[Date]],Funds!$C$10:$GV$11,2,FALSE)))</f>
        <v>1</v>
      </c>
      <c r="J308" s="215">
        <f>IF(Table2[[#This Row],[Description]]="","",Table2[[#This Row],[Value]]/Table2[[#This Row],[Conversion]])</f>
        <v>1314</v>
      </c>
      <c r="K308" s="45">
        <f>IF(Table2[[#This Row],[Description]]="","",DATE(Table2[[#This Row],[Year]],Table2[[#This Row],[Month]],1))</f>
        <v>43770</v>
      </c>
    </row>
    <row r="309" spans="2:11" x14ac:dyDescent="0.25">
      <c r="B309" t="s">
        <v>63</v>
      </c>
      <c r="C309" s="1">
        <v>11</v>
      </c>
      <c r="D309" s="1">
        <v>2019</v>
      </c>
      <c r="E309" s="166">
        <v>156.41999999999999</v>
      </c>
      <c r="F309" s="1" t="s">
        <v>21</v>
      </c>
      <c r="G309" s="1" t="str">
        <f>IF(Table2[[#This Row],[Description]]="","",VLOOKUP(Table2[[#This Row],[Description]],$Q$1:$S$101,2,FALSE))</f>
        <v>Leisure</v>
      </c>
      <c r="H309" s="1" t="str">
        <f>IF(Table2[[#This Row],[Description]]="","",VLOOKUP(Table2[[#This Row],[Description]],$Q$1:$S$101,3,FALSE))</f>
        <v>Short</v>
      </c>
      <c r="I309" s="1">
        <f>IF(Table2[[#This Row],[Description]]="","",IF(Table2[[#This Row],[Currency]]=$O$2,$P$2,HLOOKUP(Table2[[#This Row],[Date]],Funds!$C$10:$GV$11,2,FALSE)))</f>
        <v>1</v>
      </c>
      <c r="J309" s="215">
        <f>IF(Table2[[#This Row],[Description]]="","",Table2[[#This Row],[Value]]/Table2[[#This Row],[Conversion]])</f>
        <v>156.41999999999999</v>
      </c>
      <c r="K309" s="45">
        <f>IF(Table2[[#This Row],[Description]]="","",DATE(Table2[[#This Row],[Year]],Table2[[#This Row],[Month]],1))</f>
        <v>43770</v>
      </c>
    </row>
    <row r="310" spans="2:11" x14ac:dyDescent="0.25">
      <c r="B310" t="s">
        <v>29</v>
      </c>
      <c r="C310" s="1">
        <v>11</v>
      </c>
      <c r="D310" s="1">
        <v>2019</v>
      </c>
      <c r="E310" s="166">
        <v>34.44</v>
      </c>
      <c r="F310" s="1" t="s">
        <v>21</v>
      </c>
      <c r="G310" s="1" t="str">
        <f>IF(Table2[[#This Row],[Description]]="","",VLOOKUP(Table2[[#This Row],[Description]],$Q$1:$S$101,2,FALSE))</f>
        <v>Health</v>
      </c>
      <c r="H310" s="1" t="str">
        <f>IF(Table2[[#This Row],[Description]]="","",VLOOKUP(Table2[[#This Row],[Description]],$Q$1:$S$101,3,FALSE))</f>
        <v>Mid</v>
      </c>
      <c r="I310" s="1">
        <f>IF(Table2[[#This Row],[Description]]="","",IF(Table2[[#This Row],[Currency]]=$O$2,$P$2,HLOOKUP(Table2[[#This Row],[Date]],Funds!$C$10:$GV$11,2,FALSE)))</f>
        <v>1</v>
      </c>
      <c r="J310" s="215">
        <f>IF(Table2[[#This Row],[Description]]="","",Table2[[#This Row],[Value]]/Table2[[#This Row],[Conversion]])</f>
        <v>34.44</v>
      </c>
      <c r="K310" s="45">
        <f>IF(Table2[[#This Row],[Description]]="","",DATE(Table2[[#This Row],[Year]],Table2[[#This Row],[Month]],1))</f>
        <v>43770</v>
      </c>
    </row>
    <row r="311" spans="2:11" x14ac:dyDescent="0.25">
      <c r="B311" t="s">
        <v>264</v>
      </c>
      <c r="C311" s="1">
        <v>11</v>
      </c>
      <c r="D311" s="1">
        <v>2019</v>
      </c>
      <c r="E311" s="166">
        <v>38.14</v>
      </c>
      <c r="F311" s="1" t="s">
        <v>21</v>
      </c>
      <c r="G311" s="1" t="str">
        <f>IF(Table2[[#This Row],[Description]]="","",VLOOKUP(Table2[[#This Row],[Description]],$Q$1:$S$101,2,FALSE))</f>
        <v>MN free</v>
      </c>
      <c r="H311" s="1" t="str">
        <f>IF(Table2[[#This Row],[Description]]="","",VLOOKUP(Table2[[#This Row],[Description]],$Q$1:$S$101,3,FALSE))</f>
        <v>Mid</v>
      </c>
      <c r="I311" s="1">
        <f>IF(Table2[[#This Row],[Description]]="","",IF(Table2[[#This Row],[Currency]]=$O$2,$P$2,HLOOKUP(Table2[[#This Row],[Date]],Funds!$C$10:$GV$11,2,FALSE)))</f>
        <v>1</v>
      </c>
      <c r="J311" s="215">
        <f>IF(Table2[[#This Row],[Description]]="","",Table2[[#This Row],[Value]]/Table2[[#This Row],[Conversion]])</f>
        <v>38.14</v>
      </c>
      <c r="K311" s="45">
        <f>IF(Table2[[#This Row],[Description]]="","",DATE(Table2[[#This Row],[Year]],Table2[[#This Row],[Month]],1))</f>
        <v>43770</v>
      </c>
    </row>
    <row r="312" spans="2:11" x14ac:dyDescent="0.25">
      <c r="B312" t="s">
        <v>267</v>
      </c>
      <c r="C312" s="1">
        <v>11</v>
      </c>
      <c r="D312" s="1">
        <v>2019</v>
      </c>
      <c r="E312" s="166">
        <v>23.759999999999998</v>
      </c>
      <c r="F312" s="1" t="s">
        <v>21</v>
      </c>
      <c r="G312" s="1" t="str">
        <f>IF(Table2[[#This Row],[Description]]="","",VLOOKUP(Table2[[#This Row],[Description]],$Q$1:$S$101,2,FALSE))</f>
        <v>Leisure</v>
      </c>
      <c r="H312" s="1" t="str">
        <f>IF(Table2[[#This Row],[Description]]="","",VLOOKUP(Table2[[#This Row],[Description]],$Q$1:$S$101,3,FALSE))</f>
        <v>Short</v>
      </c>
      <c r="I312" s="1">
        <f>IF(Table2[[#This Row],[Description]]="","",IF(Table2[[#This Row],[Currency]]=$O$2,$P$2,HLOOKUP(Table2[[#This Row],[Date]],Funds!$C$10:$GV$11,2,FALSE)))</f>
        <v>1</v>
      </c>
      <c r="J312" s="215">
        <f>IF(Table2[[#This Row],[Description]]="","",Table2[[#This Row],[Value]]/Table2[[#This Row],[Conversion]])</f>
        <v>23.759999999999998</v>
      </c>
      <c r="K312" s="45">
        <f>IF(Table2[[#This Row],[Description]]="","",DATE(Table2[[#This Row],[Year]],Table2[[#This Row],[Month]],1))</f>
        <v>43770</v>
      </c>
    </row>
    <row r="313" spans="2:11" x14ac:dyDescent="0.25">
      <c r="B313" t="s">
        <v>520</v>
      </c>
      <c r="C313" s="1">
        <v>11</v>
      </c>
      <c r="D313" s="1">
        <v>2019</v>
      </c>
      <c r="E313" s="166">
        <v>49.03</v>
      </c>
      <c r="F313" s="1" t="s">
        <v>21</v>
      </c>
      <c r="G313" s="1" t="str">
        <f>IF(Table2[[#This Row],[Description]]="","",VLOOKUP(Table2[[#This Row],[Description]],$Q$1:$S$101,2,FALSE))</f>
        <v>Leisure</v>
      </c>
      <c r="H313" s="1" t="str">
        <f>IF(Table2[[#This Row],[Description]]="","",VLOOKUP(Table2[[#This Row],[Description]],$Q$1:$S$101,3,FALSE))</f>
        <v>Short</v>
      </c>
      <c r="I313" s="1">
        <f>IF(Table2[[#This Row],[Description]]="","",IF(Table2[[#This Row],[Currency]]=$O$2,$P$2,HLOOKUP(Table2[[#This Row],[Date]],Funds!$C$10:$GV$11,2,FALSE)))</f>
        <v>1</v>
      </c>
      <c r="J313" s="215">
        <f>IF(Table2[[#This Row],[Description]]="","",Table2[[#This Row],[Value]]/Table2[[#This Row],[Conversion]])</f>
        <v>49.03</v>
      </c>
      <c r="K313" s="45">
        <f>IF(Table2[[#This Row],[Description]]="","",DATE(Table2[[#This Row],[Year]],Table2[[#This Row],[Month]],1))</f>
        <v>43770</v>
      </c>
    </row>
    <row r="314" spans="2:11" x14ac:dyDescent="0.25">
      <c r="B314" t="s">
        <v>59</v>
      </c>
      <c r="C314" s="1">
        <v>11</v>
      </c>
      <c r="D314" s="1">
        <v>2019</v>
      </c>
      <c r="E314" s="166">
        <v>136.49</v>
      </c>
      <c r="F314" s="1" t="s">
        <v>21</v>
      </c>
      <c r="G314" s="1" t="str">
        <f>IF(Table2[[#This Row],[Description]]="","",VLOOKUP(Table2[[#This Row],[Description]],$Q$1:$S$101,2,FALSE))</f>
        <v>Transportation</v>
      </c>
      <c r="H314" s="1" t="str">
        <f>IF(Table2[[#This Row],[Description]]="","",VLOOKUP(Table2[[#This Row],[Description]],$Q$1:$S$101,3,FALSE))</f>
        <v>Short</v>
      </c>
      <c r="I314" s="1">
        <f>IF(Table2[[#This Row],[Description]]="","",IF(Table2[[#This Row],[Currency]]=$O$2,$P$2,HLOOKUP(Table2[[#This Row],[Date]],Funds!$C$10:$GV$11,2,FALSE)))</f>
        <v>1</v>
      </c>
      <c r="J314" s="215">
        <f>IF(Table2[[#This Row],[Description]]="","",Table2[[#This Row],[Value]]/Table2[[#This Row],[Conversion]])</f>
        <v>136.49</v>
      </c>
      <c r="K314" s="45">
        <f>IF(Table2[[#This Row],[Description]]="","",DATE(Table2[[#This Row],[Year]],Table2[[#This Row],[Month]],1))</f>
        <v>43770</v>
      </c>
    </row>
    <row r="315" spans="2:11" x14ac:dyDescent="0.25">
      <c r="B315" t="s">
        <v>250</v>
      </c>
      <c r="C315" s="1">
        <v>11</v>
      </c>
      <c r="D315" s="1">
        <v>2019</v>
      </c>
      <c r="E315" s="166">
        <v>100</v>
      </c>
      <c r="F315" s="1" t="s">
        <v>21</v>
      </c>
      <c r="G315" s="1" t="str">
        <f>IF(Table2[[#This Row],[Description]]="","",VLOOKUP(Table2[[#This Row],[Description]],$Q$1:$S$101,2,FALSE))</f>
        <v>EK Loan termination</v>
      </c>
      <c r="H315" s="1" t="str">
        <f>IF(Table2[[#This Row],[Description]]="","",VLOOKUP(Table2[[#This Row],[Description]],$Q$1:$S$101,3,FALSE))</f>
        <v>Mid</v>
      </c>
      <c r="I315" s="1">
        <f>IF(Table2[[#This Row],[Description]]="","",IF(Table2[[#This Row],[Currency]]=$O$2,$P$2,HLOOKUP(Table2[[#This Row],[Date]],Funds!$C$10:$GV$11,2,FALSE)))</f>
        <v>1</v>
      </c>
      <c r="J315" s="215">
        <f>IF(Table2[[#This Row],[Description]]="","",Table2[[#This Row],[Value]]/Table2[[#This Row],[Conversion]])</f>
        <v>100</v>
      </c>
      <c r="K315" s="45">
        <f>IF(Table2[[#This Row],[Description]]="","",DATE(Table2[[#This Row],[Year]],Table2[[#This Row],[Month]],1))</f>
        <v>43770</v>
      </c>
    </row>
    <row r="316" spans="2:11" x14ac:dyDescent="0.25">
      <c r="B316" t="s">
        <v>52</v>
      </c>
      <c r="C316" s="1">
        <v>11</v>
      </c>
      <c r="D316" s="1">
        <v>2019</v>
      </c>
      <c r="E316" s="166">
        <v>28.12</v>
      </c>
      <c r="F316" s="1" t="s">
        <v>21</v>
      </c>
      <c r="G316" s="1" t="str">
        <f>IF(Table2[[#This Row],[Description]]="","",VLOOKUP(Table2[[#This Row],[Description]],$Q$1:$S$101,2,FALSE))</f>
        <v>Utilities</v>
      </c>
      <c r="H316" s="1" t="str">
        <f>IF(Table2[[#This Row],[Description]]="","",VLOOKUP(Table2[[#This Row],[Description]],$Q$1:$S$101,3,FALSE))</f>
        <v>Short</v>
      </c>
      <c r="I316" s="1">
        <f>IF(Table2[[#This Row],[Description]]="","",IF(Table2[[#This Row],[Currency]]=$O$2,$P$2,HLOOKUP(Table2[[#This Row],[Date]],Funds!$C$10:$GV$11,2,FALSE)))</f>
        <v>1</v>
      </c>
      <c r="J316" s="215">
        <f>IF(Table2[[#This Row],[Description]]="","",Table2[[#This Row],[Value]]/Table2[[#This Row],[Conversion]])</f>
        <v>28.12</v>
      </c>
      <c r="K316" s="45">
        <f>IF(Table2[[#This Row],[Description]]="","",DATE(Table2[[#This Row],[Year]],Table2[[#This Row],[Month]],1))</f>
        <v>43770</v>
      </c>
    </row>
    <row r="317" spans="2:11" x14ac:dyDescent="0.25">
      <c r="B317" t="s">
        <v>31</v>
      </c>
      <c r="C317" s="1">
        <v>11</v>
      </c>
      <c r="D317" s="1">
        <v>2019</v>
      </c>
      <c r="E317" s="166">
        <f>1710.58+3.5*2.5*4.5</f>
        <v>1749.9549999999999</v>
      </c>
      <c r="F317" s="1" t="s">
        <v>21</v>
      </c>
      <c r="G317" s="1" t="str">
        <f>IF(Table2[[#This Row],[Description]]="","",VLOOKUP(Table2[[#This Row],[Description]],$Q$1:$S$101,2,FALSE))</f>
        <v>Rent</v>
      </c>
      <c r="H317" s="1" t="str">
        <f>IF(Table2[[#This Row],[Description]]="","",VLOOKUP(Table2[[#This Row],[Description]],$Q$1:$S$101,3,FALSE))</f>
        <v>Short</v>
      </c>
      <c r="I317" s="1">
        <f>IF(Table2[[#This Row],[Description]]="","",IF(Table2[[#This Row],[Currency]]=$O$2,$P$2,HLOOKUP(Table2[[#This Row],[Date]],Funds!$C$10:$GV$11,2,FALSE)))</f>
        <v>1</v>
      </c>
      <c r="J317" s="215">
        <f>IF(Table2[[#This Row],[Description]]="","",Table2[[#This Row],[Value]]/Table2[[#This Row],[Conversion]])</f>
        <v>1749.9549999999999</v>
      </c>
      <c r="K317" s="45">
        <f>IF(Table2[[#This Row],[Description]]="","",DATE(Table2[[#This Row],[Year]],Table2[[#This Row],[Month]],1))</f>
        <v>43770</v>
      </c>
    </row>
    <row r="318" spans="2:11" x14ac:dyDescent="0.25">
      <c r="B318" t="s">
        <v>56</v>
      </c>
      <c r="C318" s="1">
        <v>11</v>
      </c>
      <c r="D318" s="1">
        <v>2019</v>
      </c>
      <c r="E318" s="166">
        <v>50</v>
      </c>
      <c r="F318" s="1" t="s">
        <v>21</v>
      </c>
      <c r="G318" s="1" t="str">
        <f>IF(Table2[[#This Row],[Description]]="","",VLOOKUP(Table2[[#This Row],[Description]],$Q$1:$S$101,2,FALSE))</f>
        <v>Utilities</v>
      </c>
      <c r="H318" s="1" t="str">
        <f>IF(Table2[[#This Row],[Description]]="","",VLOOKUP(Table2[[#This Row],[Description]],$Q$1:$S$101,3,FALSE))</f>
        <v>Short</v>
      </c>
      <c r="I318" s="1">
        <f>IF(Table2[[#This Row],[Description]]="","",IF(Table2[[#This Row],[Currency]]=$O$2,$P$2,HLOOKUP(Table2[[#This Row],[Date]],Funds!$C$10:$GV$11,2,FALSE)))</f>
        <v>1</v>
      </c>
      <c r="J318" s="215">
        <f>IF(Table2[[#This Row],[Description]]="","",Table2[[#This Row],[Value]]/Table2[[#This Row],[Conversion]])</f>
        <v>50</v>
      </c>
      <c r="K318" s="45">
        <f>IF(Table2[[#This Row],[Description]]="","",DATE(Table2[[#This Row],[Year]],Table2[[#This Row],[Month]],1))</f>
        <v>43770</v>
      </c>
    </row>
    <row r="319" spans="2:11" x14ac:dyDescent="0.25">
      <c r="B319" t="s">
        <v>35</v>
      </c>
      <c r="C319" s="1">
        <v>11</v>
      </c>
      <c r="D319" s="1">
        <v>2019</v>
      </c>
      <c r="E319" s="166">
        <v>85.92</v>
      </c>
      <c r="F319" s="1" t="s">
        <v>21</v>
      </c>
      <c r="G319" s="1" t="str">
        <f>IF(Table2[[#This Row],[Description]]="","",VLOOKUP(Table2[[#This Row],[Description]],$Q$1:$S$101,2,FALSE))</f>
        <v>Cellphone</v>
      </c>
      <c r="H319" s="1" t="str">
        <f>IF(Table2[[#This Row],[Description]]="","",VLOOKUP(Table2[[#This Row],[Description]],$Q$1:$S$101,3,FALSE))</f>
        <v>Short</v>
      </c>
      <c r="I319" s="1">
        <f>IF(Table2[[#This Row],[Description]]="","",IF(Table2[[#This Row],[Currency]]=$O$2,$P$2,HLOOKUP(Table2[[#This Row],[Date]],Funds!$C$10:$GV$11,2,FALSE)))</f>
        <v>1</v>
      </c>
      <c r="J319" s="215">
        <f>IF(Table2[[#This Row],[Description]]="","",Table2[[#This Row],[Value]]/Table2[[#This Row],[Conversion]])</f>
        <v>85.92</v>
      </c>
      <c r="K319" s="45">
        <f>IF(Table2[[#This Row],[Description]]="","",DATE(Table2[[#This Row],[Year]],Table2[[#This Row],[Month]],1))</f>
        <v>43770</v>
      </c>
    </row>
    <row r="320" spans="2:11" x14ac:dyDescent="0.25">
      <c r="B320" t="s">
        <v>262</v>
      </c>
      <c r="C320" s="1">
        <v>11</v>
      </c>
      <c r="D320" s="1">
        <v>2019</v>
      </c>
      <c r="E320" s="166">
        <v>792.06</v>
      </c>
      <c r="F320" s="1" t="s">
        <v>21</v>
      </c>
      <c r="G320" s="1" t="str">
        <f>IF(Table2[[#This Row],[Description]]="","",VLOOKUP(Table2[[#This Row],[Description]],$Q$1:$S$101,2,FALSE))</f>
        <v>Mid</v>
      </c>
      <c r="H320" s="1" t="str">
        <f>IF(Table2[[#This Row],[Description]]="","",VLOOKUP(Table2[[#This Row],[Description]],$Q$1:$S$101,3,FALSE))</f>
        <v>Mid</v>
      </c>
      <c r="I320" s="1">
        <f>IF(Table2[[#This Row],[Description]]="","",IF(Table2[[#This Row],[Currency]]=$O$2,$P$2,HLOOKUP(Table2[[#This Row],[Date]],Funds!$C$10:$GV$11,2,FALSE)))</f>
        <v>1</v>
      </c>
      <c r="J320" s="215">
        <f>IF(Table2[[#This Row],[Description]]="","",Table2[[#This Row],[Value]]/Table2[[#This Row],[Conversion]])</f>
        <v>792.06</v>
      </c>
      <c r="K320" s="45">
        <f>IF(Table2[[#This Row],[Description]]="","",DATE(Table2[[#This Row],[Year]],Table2[[#This Row],[Month]],1))</f>
        <v>43770</v>
      </c>
    </row>
    <row r="321" spans="2:11" x14ac:dyDescent="0.25">
      <c r="B321" t="s">
        <v>62</v>
      </c>
      <c r="C321" s="1">
        <v>11</v>
      </c>
      <c r="D321" s="1">
        <v>2019</v>
      </c>
      <c r="E321" s="166">
        <v>20</v>
      </c>
      <c r="F321" s="1" t="s">
        <v>21</v>
      </c>
      <c r="G321" s="1" t="str">
        <f>IF(Table2[[#This Row],[Description]]="","",VLOOKUP(Table2[[#This Row],[Description]],$Q$1:$S$101,2,FALSE))</f>
        <v>Leisure</v>
      </c>
      <c r="H321" s="1" t="str">
        <f>IF(Table2[[#This Row],[Description]]="","",VLOOKUP(Table2[[#This Row],[Description]],$Q$1:$S$101,3,FALSE))</f>
        <v>Short</v>
      </c>
      <c r="I321" s="1">
        <f>IF(Table2[[#This Row],[Description]]="","",IF(Table2[[#This Row],[Currency]]=$O$2,$P$2,HLOOKUP(Table2[[#This Row],[Date]],Funds!$C$10:$GV$11,2,FALSE)))</f>
        <v>1</v>
      </c>
      <c r="J321" s="215">
        <f>IF(Table2[[#This Row],[Description]]="","",Table2[[#This Row],[Value]]/Table2[[#This Row],[Conversion]])</f>
        <v>20</v>
      </c>
      <c r="K321" s="45">
        <f>IF(Table2[[#This Row],[Description]]="","",DATE(Table2[[#This Row],[Year]],Table2[[#This Row],[Month]],1))</f>
        <v>43770</v>
      </c>
    </row>
    <row r="322" spans="2:11" x14ac:dyDescent="0.25">
      <c r="B322" t="s">
        <v>262</v>
      </c>
      <c r="C322" s="1">
        <v>11</v>
      </c>
      <c r="D322" s="1">
        <v>2019</v>
      </c>
      <c r="E322" s="166">
        <v>79.8</v>
      </c>
      <c r="F322" s="1" t="s">
        <v>22</v>
      </c>
      <c r="G322" s="1" t="str">
        <f>IF(Table2[[#This Row],[Description]]="","",VLOOKUP(Table2[[#This Row],[Description]],$Q$1:$S$101,2,FALSE))</f>
        <v>Mid</v>
      </c>
      <c r="H322" s="1" t="str">
        <f>IF(Table2[[#This Row],[Description]]="","",VLOOKUP(Table2[[#This Row],[Description]],$Q$1:$S$101,3,FALSE))</f>
        <v>Mid</v>
      </c>
      <c r="I322" s="1">
        <f>IF(Table2[[#This Row],[Description]]="","",IF(Table2[[#This Row],[Currency]]=$O$2,$P$2,HLOOKUP(Table2[[#This Row],[Date]],Funds!$C$10:$GV$11,2,FALSE)))</f>
        <v>4.24</v>
      </c>
      <c r="J322" s="215">
        <f>IF(Table2[[#This Row],[Description]]="","",Table2[[#This Row],[Value]]/Table2[[#This Row],[Conversion]])</f>
        <v>18.820754716981131</v>
      </c>
      <c r="K322" s="45">
        <f>IF(Table2[[#This Row],[Description]]="","",DATE(Table2[[#This Row],[Year]],Table2[[#This Row],[Month]],1))</f>
        <v>43770</v>
      </c>
    </row>
    <row r="323" spans="2:11" x14ac:dyDescent="0.25">
      <c r="B323" t="s">
        <v>120</v>
      </c>
      <c r="C323" s="1">
        <v>11</v>
      </c>
      <c r="D323" s="1">
        <v>2019</v>
      </c>
      <c r="E323" s="166">
        <v>4000</v>
      </c>
      <c r="F323" s="1" t="s">
        <v>22</v>
      </c>
      <c r="G323" s="1" t="str">
        <f>IF(Table2[[#This Row],[Description]]="","",VLOOKUP(Table2[[#This Row],[Description]],$Q$1:$S$101,2,FALSE))</f>
        <v>Investment</v>
      </c>
      <c r="H323" s="1" t="str">
        <f>IF(Table2[[#This Row],[Description]]="","",VLOOKUP(Table2[[#This Row],[Description]],$Q$1:$S$101,3,FALSE))</f>
        <v>Long</v>
      </c>
      <c r="I323" s="1">
        <f>IF(Table2[[#This Row],[Description]]="","",IF(Table2[[#This Row],[Currency]]=$O$2,$P$2,HLOOKUP(Table2[[#This Row],[Date]],Funds!$C$10:$GV$11,2,FALSE)))</f>
        <v>4.24</v>
      </c>
      <c r="J323" s="215">
        <f>IF(Table2[[#This Row],[Description]]="","",Table2[[#This Row],[Value]]/Table2[[#This Row],[Conversion]])</f>
        <v>943.39622641509425</v>
      </c>
      <c r="K323" s="45">
        <f>IF(Table2[[#This Row],[Description]]="","",DATE(Table2[[#This Row],[Year]],Table2[[#This Row],[Month]],1))</f>
        <v>43770</v>
      </c>
    </row>
    <row r="324" spans="2:11" x14ac:dyDescent="0.25">
      <c r="B324" t="s">
        <v>57</v>
      </c>
      <c r="C324" s="1">
        <v>11</v>
      </c>
      <c r="D324" s="1">
        <v>2019</v>
      </c>
      <c r="E324" s="166">
        <v>23.98</v>
      </c>
      <c r="F324" s="1" t="s">
        <v>21</v>
      </c>
      <c r="G324" s="1" t="str">
        <f>IF(Table2[[#This Row],[Description]]="","",VLOOKUP(Table2[[#This Row],[Description]],$Q$1:$S$101,2,FALSE))</f>
        <v>Food</v>
      </c>
      <c r="H324" s="1" t="str">
        <f>IF(Table2[[#This Row],[Description]]="","",VLOOKUP(Table2[[#This Row],[Description]],$Q$1:$S$101,3,FALSE))</f>
        <v>Short</v>
      </c>
      <c r="I324" s="1">
        <f>IF(Table2[[#This Row],[Description]]="","",IF(Table2[[#This Row],[Currency]]=$O$2,$P$2,HLOOKUP(Table2[[#This Row],[Date]],Funds!$C$10:$GV$11,2,FALSE)))</f>
        <v>1</v>
      </c>
      <c r="J324" s="215">
        <f>IF(Table2[[#This Row],[Description]]="","",Table2[[#This Row],[Value]]/Table2[[#This Row],[Conversion]])</f>
        <v>23.98</v>
      </c>
      <c r="K324" s="45">
        <f>IF(Table2[[#This Row],[Description]]="","",DATE(Table2[[#This Row],[Year]],Table2[[#This Row],[Month]],1))</f>
        <v>43770</v>
      </c>
    </row>
    <row r="325" spans="2:11" x14ac:dyDescent="0.25">
      <c r="B325" t="s">
        <v>269</v>
      </c>
      <c r="C325" s="1">
        <v>11</v>
      </c>
      <c r="D325" s="1">
        <v>2019</v>
      </c>
      <c r="E325" s="166">
        <v>410.25</v>
      </c>
      <c r="F325" s="1" t="s">
        <v>21</v>
      </c>
      <c r="G325" s="1" t="str">
        <f>IF(Table2[[#This Row],[Description]]="","",VLOOKUP(Table2[[#This Row],[Description]],$Q$1:$S$101,2,FALSE))</f>
        <v>Other Mid</v>
      </c>
      <c r="H325" s="1" t="str">
        <f>IF(Table2[[#This Row],[Description]]="","",VLOOKUP(Table2[[#This Row],[Description]],$Q$1:$S$101,3,FALSE))</f>
        <v>Mid</v>
      </c>
      <c r="I325" s="1">
        <f>IF(Table2[[#This Row],[Description]]="","",IF(Table2[[#This Row],[Currency]]=$O$2,$P$2,HLOOKUP(Table2[[#This Row],[Date]],Funds!$C$10:$GV$11,2,FALSE)))</f>
        <v>1</v>
      </c>
      <c r="J325" s="215">
        <f>IF(Table2[[#This Row],[Description]]="","",Table2[[#This Row],[Value]]/Table2[[#This Row],[Conversion]])</f>
        <v>410.25</v>
      </c>
      <c r="K325" s="45">
        <f>IF(Table2[[#This Row],[Description]]="","",DATE(Table2[[#This Row],[Year]],Table2[[#This Row],[Month]],1))</f>
        <v>43770</v>
      </c>
    </row>
    <row r="326" spans="2:11" x14ac:dyDescent="0.25">
      <c r="B326" t="s">
        <v>320</v>
      </c>
      <c r="C326" s="1">
        <v>11</v>
      </c>
      <c r="D326" s="1">
        <v>2019</v>
      </c>
      <c r="E326" s="166">
        <v>279.90435158917711</v>
      </c>
      <c r="F326" s="1" t="s">
        <v>21</v>
      </c>
      <c r="G326" s="1" t="str">
        <f>IF(Table2[[#This Row],[Description]]="","",VLOOKUP(Table2[[#This Row],[Description]],$Q$1:$S$101,2,FALSE))</f>
        <v>Long</v>
      </c>
      <c r="H326" s="1" t="str">
        <f>IF(Table2[[#This Row],[Description]]="","",VLOOKUP(Table2[[#This Row],[Description]],$Q$1:$S$101,3,FALSE))</f>
        <v>Long</v>
      </c>
      <c r="I326" s="1">
        <f>IF(Table2[[#This Row],[Description]]="","",IF(Table2[[#This Row],[Currency]]=$O$2,$P$2,HLOOKUP(Table2[[#This Row],[Date]],Funds!$C$10:$GV$11,2,FALSE)))</f>
        <v>1</v>
      </c>
      <c r="J326" s="215">
        <f>IF(Table2[[#This Row],[Description]]="","",Table2[[#This Row],[Value]]/Table2[[#This Row],[Conversion]])</f>
        <v>279.90435158917711</v>
      </c>
      <c r="K326" s="45">
        <f>IF(Table2[[#This Row],[Description]]="","",DATE(Table2[[#This Row],[Year]],Table2[[#This Row],[Month]],1))</f>
        <v>43770</v>
      </c>
    </row>
    <row r="327" spans="2:11" x14ac:dyDescent="0.25">
      <c r="B327" t="s">
        <v>46</v>
      </c>
      <c r="C327" s="1">
        <v>11</v>
      </c>
      <c r="D327" s="1">
        <v>2019</v>
      </c>
      <c r="E327" s="166">
        <v>106.7349618955725</v>
      </c>
      <c r="F327" s="1" t="s">
        <v>21</v>
      </c>
      <c r="G327" s="1" t="str">
        <f>IF(Table2[[#This Row],[Description]]="","",VLOOKUP(Table2[[#This Row],[Description]],$Q$1:$S$101,2,FALSE))</f>
        <v>Health care</v>
      </c>
      <c r="H327" s="1" t="str">
        <f>IF(Table2[[#This Row],[Description]]="","",VLOOKUP(Table2[[#This Row],[Description]],$Q$1:$S$101,3,FALSE))</f>
        <v>Short</v>
      </c>
      <c r="I327" s="1">
        <f>IF(Table2[[#This Row],[Description]]="","",IF(Table2[[#This Row],[Currency]]=$O$2,$P$2,HLOOKUP(Table2[[#This Row],[Date]],Funds!$C$10:$GV$11,2,FALSE)))</f>
        <v>1</v>
      </c>
      <c r="J327" s="215">
        <f>IF(Table2[[#This Row],[Description]]="","",Table2[[#This Row],[Value]]/Table2[[#This Row],[Conversion]])</f>
        <v>106.7349618955725</v>
      </c>
      <c r="K327" s="45">
        <f>IF(Table2[[#This Row],[Description]]="","",DATE(Table2[[#This Row],[Year]],Table2[[#This Row],[Month]],1))</f>
        <v>43770</v>
      </c>
    </row>
    <row r="328" spans="2:11" x14ac:dyDescent="0.25">
      <c r="B328" t="s">
        <v>324</v>
      </c>
      <c r="C328" s="1">
        <v>11</v>
      </c>
      <c r="D328" s="1">
        <v>2019</v>
      </c>
      <c r="E328" s="166">
        <v>13.778513262882994</v>
      </c>
      <c r="F328" s="1" t="s">
        <v>21</v>
      </c>
      <c r="G328" s="1" t="str">
        <f>IF(Table2[[#This Row],[Description]]="","",VLOOKUP(Table2[[#This Row],[Description]],$Q$1:$S$101,2,FALSE))</f>
        <v>Health care</v>
      </c>
      <c r="H328" s="1" t="str">
        <f>IF(Table2[[#This Row],[Description]]="","",VLOOKUP(Table2[[#This Row],[Description]],$Q$1:$S$101,3,FALSE))</f>
        <v>Short</v>
      </c>
      <c r="I328" s="1">
        <f>IF(Table2[[#This Row],[Description]]="","",IF(Table2[[#This Row],[Currency]]=$O$2,$P$2,HLOOKUP(Table2[[#This Row],[Date]],Funds!$C$10:$GV$11,2,FALSE)))</f>
        <v>1</v>
      </c>
      <c r="J328" s="215">
        <f>IF(Table2[[#This Row],[Description]]="","",Table2[[#This Row],[Value]]/Table2[[#This Row],[Conversion]])</f>
        <v>13.778513262882994</v>
      </c>
      <c r="K328" s="45">
        <f>IF(Table2[[#This Row],[Description]]="","",DATE(Table2[[#This Row],[Year]],Table2[[#This Row],[Month]],1))</f>
        <v>43770</v>
      </c>
    </row>
    <row r="329" spans="2:11" x14ac:dyDescent="0.25">
      <c r="B329" t="s">
        <v>59</v>
      </c>
      <c r="C329" s="1">
        <v>11</v>
      </c>
      <c r="D329" s="1">
        <v>2019</v>
      </c>
      <c r="E329" s="166">
        <v>84.902810598750847</v>
      </c>
      <c r="F329" s="1" t="s">
        <v>21</v>
      </c>
      <c r="G329" s="1" t="str">
        <f>IF(Table2[[#This Row],[Description]]="","",VLOOKUP(Table2[[#This Row],[Description]],$Q$1:$S$101,2,FALSE))</f>
        <v>Transportation</v>
      </c>
      <c r="H329" s="1" t="str">
        <f>IF(Table2[[#This Row],[Description]]="","",VLOOKUP(Table2[[#This Row],[Description]],$Q$1:$S$101,3,FALSE))</f>
        <v>Short</v>
      </c>
      <c r="I329" s="1">
        <f>IF(Table2[[#This Row],[Description]]="","",IF(Table2[[#This Row],[Currency]]=$O$2,$P$2,HLOOKUP(Table2[[#This Row],[Date]],Funds!$C$10:$GV$11,2,FALSE)))</f>
        <v>1</v>
      </c>
      <c r="J329" s="215">
        <f>IF(Table2[[#This Row],[Description]]="","",Table2[[#This Row],[Value]]/Table2[[#This Row],[Conversion]])</f>
        <v>84.902810598750847</v>
      </c>
      <c r="K329" s="45">
        <f>IF(Table2[[#This Row],[Description]]="","",DATE(Table2[[#This Row],[Year]],Table2[[#This Row],[Month]],1))</f>
        <v>43770</v>
      </c>
    </row>
    <row r="330" spans="2:11" x14ac:dyDescent="0.25">
      <c r="B330" t="s">
        <v>269</v>
      </c>
      <c r="C330" s="1">
        <v>11</v>
      </c>
      <c r="D330" s="1">
        <v>2019</v>
      </c>
      <c r="E330" s="166">
        <v>135.16</v>
      </c>
      <c r="F330" s="1" t="s">
        <v>21</v>
      </c>
      <c r="G330" s="1" t="str">
        <f>IF(Table2[[#This Row],[Description]]="","",VLOOKUP(Table2[[#This Row],[Description]],$Q$1:$S$101,2,FALSE))</f>
        <v>Other Mid</v>
      </c>
      <c r="H330" s="1" t="str">
        <f>IF(Table2[[#This Row],[Description]]="","",VLOOKUP(Table2[[#This Row],[Description]],$Q$1:$S$101,3,FALSE))</f>
        <v>Mid</v>
      </c>
      <c r="I330" s="1">
        <f>IF(Table2[[#This Row],[Description]]="","",IF(Table2[[#This Row],[Currency]]=$O$2,$P$2,HLOOKUP(Table2[[#This Row],[Date]],Funds!$C$10:$GV$11,2,FALSE)))</f>
        <v>1</v>
      </c>
      <c r="J330" s="215">
        <f>IF(Table2[[#This Row],[Description]]="","",Table2[[#This Row],[Value]]/Table2[[#This Row],[Conversion]])</f>
        <v>135.16</v>
      </c>
      <c r="K330" s="45">
        <f>IF(Table2[[#This Row],[Description]]="","",DATE(Table2[[#This Row],[Year]],Table2[[#This Row],[Month]],1))</f>
        <v>43770</v>
      </c>
    </row>
    <row r="331" spans="2:11" x14ac:dyDescent="0.25">
      <c r="B331" t="s">
        <v>237</v>
      </c>
      <c r="C331" s="1">
        <v>12</v>
      </c>
      <c r="D331" s="1">
        <v>2019</v>
      </c>
      <c r="E331" s="166">
        <v>-29.2280619206701</v>
      </c>
      <c r="F331" s="1" t="s">
        <v>21</v>
      </c>
      <c r="G331" s="1" t="str">
        <f>IF(Table2[[#This Row],[Description]]="","",VLOOKUP(Table2[[#This Row],[Description]],$Q$1:$S$101,2,FALSE))</f>
        <v>FX adjustment</v>
      </c>
      <c r="H331" s="1" t="s">
        <v>111</v>
      </c>
      <c r="I331" s="1">
        <f>IF(Table2[[#This Row],[Description]]="","",IF(Table2[[#This Row],[Currency]]=$O$2,$P$2,HLOOKUP(Table2[[#This Row],[Date]],Funds!$C$10:$GV$11,2,FALSE)))</f>
        <v>1</v>
      </c>
      <c r="J331" s="215">
        <f>IF(Table2[[#This Row],[Description]]="","",Table2[[#This Row],[Value]]/Table2[[#This Row],[Conversion]])</f>
        <v>-29.2280619206701</v>
      </c>
      <c r="K331" s="45">
        <f>IF(Table2[[#This Row],[Description]]="","",DATE(Table2[[#This Row],[Year]],Table2[[#This Row],[Month]],1))</f>
        <v>43800</v>
      </c>
    </row>
    <row r="332" spans="2:11" x14ac:dyDescent="0.25">
      <c r="B332" t="s">
        <v>68</v>
      </c>
      <c r="C332" s="1">
        <v>12</v>
      </c>
      <c r="D332" s="1">
        <v>2019</v>
      </c>
      <c r="E332" s="166">
        <f>164.8/2</f>
        <v>82.4</v>
      </c>
      <c r="F332" s="1" t="s">
        <v>21</v>
      </c>
      <c r="G332" s="1" t="str">
        <f>IF(Table2[[#This Row],[Description]]="","",VLOOKUP(Table2[[#This Row],[Description]],$Q$1:$S$101,2,FALSE))</f>
        <v>EK free</v>
      </c>
      <c r="H332" s="1" t="s">
        <v>111</v>
      </c>
      <c r="I332" s="1">
        <f>IF(Table2[[#This Row],[Description]]="","",IF(Table2[[#This Row],[Currency]]=$O$2,$P$2,HLOOKUP(Table2[[#This Row],[Date]],Funds!$C$10:$GV$11,2,FALSE)))</f>
        <v>1</v>
      </c>
      <c r="J332" s="215">
        <f>IF(Table2[[#This Row],[Description]]="","",Table2[[#This Row],[Value]]/Table2[[#This Row],[Conversion]])</f>
        <v>82.4</v>
      </c>
      <c r="K332" s="45">
        <f>IF(Table2[[#This Row],[Description]]="","",DATE(Table2[[#This Row],[Year]],Table2[[#This Row],[Month]],1))</f>
        <v>43800</v>
      </c>
    </row>
    <row r="333" spans="2:11" x14ac:dyDescent="0.25">
      <c r="B333" t="s">
        <v>69</v>
      </c>
      <c r="C333" s="1">
        <v>12</v>
      </c>
      <c r="D333" s="1">
        <v>2019</v>
      </c>
      <c r="E333" s="166">
        <f>164.8/2</f>
        <v>82.4</v>
      </c>
      <c r="F333" s="1" t="s">
        <v>21</v>
      </c>
      <c r="G333" s="1" t="str">
        <f>IF(Table2[[#This Row],[Description]]="","",VLOOKUP(Table2[[#This Row],[Description]],$Q$1:$S$101,2,FALSE))</f>
        <v>MN free</v>
      </c>
      <c r="H333" s="1" t="s">
        <v>111</v>
      </c>
      <c r="I333" s="1">
        <f>IF(Table2[[#This Row],[Description]]="","",IF(Table2[[#This Row],[Currency]]=$O$2,$P$2,HLOOKUP(Table2[[#This Row],[Date]],Funds!$C$10:$GV$11,2,FALSE)))</f>
        <v>1</v>
      </c>
      <c r="J333" s="215">
        <f>IF(Table2[[#This Row],[Description]]="","",Table2[[#This Row],[Value]]/Table2[[#This Row],[Conversion]])</f>
        <v>82.4</v>
      </c>
      <c r="K333" s="45">
        <f>IF(Table2[[#This Row],[Description]]="","",DATE(Table2[[#This Row],[Year]],Table2[[#This Row],[Month]],1))</f>
        <v>43800</v>
      </c>
    </row>
    <row r="334" spans="2:11" x14ac:dyDescent="0.25">
      <c r="B334" t="s">
        <v>46</v>
      </c>
      <c r="C334" s="1">
        <v>12</v>
      </c>
      <c r="D334" s="1">
        <v>2019</v>
      </c>
      <c r="E334" s="166">
        <v>27.93</v>
      </c>
      <c r="F334" s="1" t="s">
        <v>21</v>
      </c>
      <c r="G334" s="1" t="str">
        <f>IF(Table2[[#This Row],[Description]]="","",VLOOKUP(Table2[[#This Row],[Description]],$Q$1:$S$101,2,FALSE))</f>
        <v>Health care</v>
      </c>
      <c r="H334" s="1" t="str">
        <f>IF(Table2[[#This Row],[Description]]="","",VLOOKUP(Table2[[#This Row],[Description]],$Q$1:$S$101,3,FALSE))</f>
        <v>Short</v>
      </c>
      <c r="I334" s="1">
        <f>IF(Table2[[#This Row],[Description]]="","",IF(Table2[[#This Row],[Currency]]=$O$2,$P$2,HLOOKUP(Table2[[#This Row],[Date]],Funds!$C$10:$GV$11,2,FALSE)))</f>
        <v>1</v>
      </c>
      <c r="J334" s="215">
        <f>IF(Table2[[#This Row],[Description]]="","",Table2[[#This Row],[Value]]/Table2[[#This Row],[Conversion]])</f>
        <v>27.93</v>
      </c>
      <c r="K334" s="45">
        <f>IF(Table2[[#This Row],[Description]]="","",DATE(Table2[[#This Row],[Year]],Table2[[#This Row],[Month]],1))</f>
        <v>43800</v>
      </c>
    </row>
    <row r="335" spans="2:11" x14ac:dyDescent="0.25">
      <c r="B335" t="s">
        <v>57</v>
      </c>
      <c r="C335" s="1">
        <v>12</v>
      </c>
      <c r="D335" s="1">
        <v>2019</v>
      </c>
      <c r="E335" s="166">
        <v>283.45</v>
      </c>
      <c r="F335" s="1" t="s">
        <v>21</v>
      </c>
      <c r="G335" s="1" t="str">
        <f>IF(Table2[[#This Row],[Description]]="","",VLOOKUP(Table2[[#This Row],[Description]],$Q$1:$S$101,2,FALSE))</f>
        <v>Food</v>
      </c>
      <c r="H335" s="1" t="str">
        <f>IF(Table2[[#This Row],[Description]]="","",VLOOKUP(Table2[[#This Row],[Description]],$Q$1:$S$101,3,FALSE))</f>
        <v>Short</v>
      </c>
      <c r="I335" s="1">
        <f>IF(Table2[[#This Row],[Description]]="","",IF(Table2[[#This Row],[Currency]]=$O$2,$P$2,HLOOKUP(Table2[[#This Row],[Date]],Funds!$C$10:$GV$11,2,FALSE)))</f>
        <v>1</v>
      </c>
      <c r="J335" s="215">
        <f>IF(Table2[[#This Row],[Description]]="","",Table2[[#This Row],[Value]]/Table2[[#This Row],[Conversion]])</f>
        <v>283.45</v>
      </c>
      <c r="K335" s="45">
        <f>IF(Table2[[#This Row],[Description]]="","",DATE(Table2[[#This Row],[Year]],Table2[[#This Row],[Month]],1))</f>
        <v>43800</v>
      </c>
    </row>
    <row r="336" spans="2:11" x14ac:dyDescent="0.25">
      <c r="B336" t="s">
        <v>59</v>
      </c>
      <c r="C336" s="1">
        <v>12</v>
      </c>
      <c r="D336" s="1">
        <v>2019</v>
      </c>
      <c r="E336" s="166">
        <v>105</v>
      </c>
      <c r="F336" s="1" t="s">
        <v>21</v>
      </c>
      <c r="G336" s="1" t="str">
        <f>IF(Table2[[#This Row],[Description]]="","",VLOOKUP(Table2[[#This Row],[Description]],$Q$1:$S$101,2,FALSE))</f>
        <v>Transportation</v>
      </c>
      <c r="H336" s="1" t="str">
        <f>IF(Table2[[#This Row],[Description]]="","",VLOOKUP(Table2[[#This Row],[Description]],$Q$1:$S$101,3,FALSE))</f>
        <v>Short</v>
      </c>
      <c r="I336" s="1">
        <f>IF(Table2[[#This Row],[Description]]="","",IF(Table2[[#This Row],[Currency]]=$O$2,$P$2,HLOOKUP(Table2[[#This Row],[Date]],Funds!$C$10:$GV$11,2,FALSE)))</f>
        <v>1</v>
      </c>
      <c r="J336" s="215">
        <f>IF(Table2[[#This Row],[Description]]="","",Table2[[#This Row],[Value]]/Table2[[#This Row],[Conversion]])</f>
        <v>105</v>
      </c>
      <c r="K336" s="45">
        <f>IF(Table2[[#This Row],[Description]]="","",DATE(Table2[[#This Row],[Year]],Table2[[#This Row],[Month]],1))</f>
        <v>43800</v>
      </c>
    </row>
    <row r="337" spans="2:11" x14ac:dyDescent="0.25">
      <c r="B337" t="s">
        <v>58</v>
      </c>
      <c r="C337" s="1">
        <v>12</v>
      </c>
      <c r="D337" s="1">
        <v>2019</v>
      </c>
      <c r="E337" s="166">
        <v>453.90999999999997</v>
      </c>
      <c r="F337" s="1" t="s">
        <v>21</v>
      </c>
      <c r="G337" s="1" t="str">
        <f>IF(Table2[[#This Row],[Description]]="","",VLOOKUP(Table2[[#This Row],[Description]],$Q$1:$S$101,2,FALSE))</f>
        <v>Food</v>
      </c>
      <c r="H337" s="1" t="str">
        <f>IF(Table2[[#This Row],[Description]]="","",VLOOKUP(Table2[[#This Row],[Description]],$Q$1:$S$101,3,FALSE))</f>
        <v>Short</v>
      </c>
      <c r="I337" s="1">
        <f>IF(Table2[[#This Row],[Description]]="","",IF(Table2[[#This Row],[Currency]]=$O$2,$P$2,HLOOKUP(Table2[[#This Row],[Date]],Funds!$C$10:$GV$11,2,FALSE)))</f>
        <v>1</v>
      </c>
      <c r="J337" s="215">
        <f>IF(Table2[[#This Row],[Description]]="","",Table2[[#This Row],[Value]]/Table2[[#This Row],[Conversion]])</f>
        <v>453.90999999999997</v>
      </c>
      <c r="K337" s="45">
        <f>IF(Table2[[#This Row],[Description]]="","",DATE(Table2[[#This Row],[Year]],Table2[[#This Row],[Month]],1))</f>
        <v>43800</v>
      </c>
    </row>
    <row r="338" spans="2:11" x14ac:dyDescent="0.25">
      <c r="B338" t="s">
        <v>29</v>
      </c>
      <c r="C338" s="1">
        <v>12</v>
      </c>
      <c r="D338" s="1">
        <v>2019</v>
      </c>
      <c r="E338" s="166">
        <v>79.779999999999987</v>
      </c>
      <c r="F338" s="1" t="s">
        <v>21</v>
      </c>
      <c r="G338" s="1" t="str">
        <f>IF(Table2[[#This Row],[Description]]="","",VLOOKUP(Table2[[#This Row],[Description]],$Q$1:$S$101,2,FALSE))</f>
        <v>Health</v>
      </c>
      <c r="H338" s="1" t="str">
        <f>IF(Table2[[#This Row],[Description]]="","",VLOOKUP(Table2[[#This Row],[Description]],$Q$1:$S$101,3,FALSE))</f>
        <v>Mid</v>
      </c>
      <c r="I338" s="1">
        <f>IF(Table2[[#This Row],[Description]]="","",IF(Table2[[#This Row],[Currency]]=$O$2,$P$2,HLOOKUP(Table2[[#This Row],[Date]],Funds!$C$10:$GV$11,2,FALSE)))</f>
        <v>1</v>
      </c>
      <c r="J338" s="215">
        <f>IF(Table2[[#This Row],[Description]]="","",Table2[[#This Row],[Value]]/Table2[[#This Row],[Conversion]])</f>
        <v>79.779999999999987</v>
      </c>
      <c r="K338" s="45">
        <f>IF(Table2[[#This Row],[Description]]="","",DATE(Table2[[#This Row],[Year]],Table2[[#This Row],[Month]],1))</f>
        <v>43800</v>
      </c>
    </row>
    <row r="339" spans="2:11" x14ac:dyDescent="0.25">
      <c r="B339" t="s">
        <v>316</v>
      </c>
      <c r="C339" s="1">
        <v>12</v>
      </c>
      <c r="D339" s="1">
        <v>2019</v>
      </c>
      <c r="E339" s="166">
        <v>144.94999999999999</v>
      </c>
      <c r="F339" s="1" t="s">
        <v>21</v>
      </c>
      <c r="G339" s="1" t="str">
        <f>IF(Table2[[#This Row],[Description]]="","",VLOOKUP(Table2[[#This Row],[Description]],$Q$1:$S$101,2,FALSE))</f>
        <v>Gifts</v>
      </c>
      <c r="H339" s="1" t="str">
        <f>IF(Table2[[#This Row],[Description]]="","",VLOOKUP(Table2[[#This Row],[Description]],$Q$1:$S$101,3,FALSE))</f>
        <v>Mid</v>
      </c>
      <c r="I339" s="1">
        <f>IF(Table2[[#This Row],[Description]]="","",IF(Table2[[#This Row],[Currency]]=$O$2,$P$2,HLOOKUP(Table2[[#This Row],[Date]],Funds!$C$10:$GV$11,2,FALSE)))</f>
        <v>1</v>
      </c>
      <c r="J339" s="215">
        <f>IF(Table2[[#This Row],[Description]]="","",Table2[[#This Row],[Value]]/Table2[[#This Row],[Conversion]])</f>
        <v>144.94999999999999</v>
      </c>
      <c r="K339" s="45">
        <f>IF(Table2[[#This Row],[Description]]="","",DATE(Table2[[#This Row],[Year]],Table2[[#This Row],[Month]],1))</f>
        <v>43800</v>
      </c>
    </row>
    <row r="340" spans="2:11" x14ac:dyDescent="0.25">
      <c r="B340" t="s">
        <v>52</v>
      </c>
      <c r="C340" s="1">
        <v>12</v>
      </c>
      <c r="D340" s="1">
        <v>2019</v>
      </c>
      <c r="E340" s="166">
        <v>26.95</v>
      </c>
      <c r="F340" s="1" t="s">
        <v>21</v>
      </c>
      <c r="G340" s="1" t="str">
        <f>IF(Table2[[#This Row],[Description]]="","",VLOOKUP(Table2[[#This Row],[Description]],$Q$1:$S$101,2,FALSE))</f>
        <v>Utilities</v>
      </c>
      <c r="H340" s="1" t="str">
        <f>IF(Table2[[#This Row],[Description]]="","",VLOOKUP(Table2[[#This Row],[Description]],$Q$1:$S$101,3,FALSE))</f>
        <v>Short</v>
      </c>
      <c r="I340" s="1">
        <f>IF(Table2[[#This Row],[Description]]="","",IF(Table2[[#This Row],[Currency]]=$O$2,$P$2,HLOOKUP(Table2[[#This Row],[Date]],Funds!$C$10:$GV$11,2,FALSE)))</f>
        <v>1</v>
      </c>
      <c r="J340" s="215">
        <f>IF(Table2[[#This Row],[Description]]="","",Table2[[#This Row],[Value]]/Table2[[#This Row],[Conversion]])</f>
        <v>26.95</v>
      </c>
      <c r="K340" s="45">
        <f>IF(Table2[[#This Row],[Description]]="","",DATE(Table2[[#This Row],[Year]],Table2[[#This Row],[Month]],1))</f>
        <v>43800</v>
      </c>
    </row>
    <row r="341" spans="2:11" x14ac:dyDescent="0.25">
      <c r="B341" t="s">
        <v>520</v>
      </c>
      <c r="C341" s="1">
        <v>12</v>
      </c>
      <c r="D341" s="1">
        <v>2019</v>
      </c>
      <c r="E341" s="166">
        <v>59.93</v>
      </c>
      <c r="F341" s="1" t="s">
        <v>21</v>
      </c>
      <c r="G341" s="1" t="str">
        <f>IF(Table2[[#This Row],[Description]]="","",VLOOKUP(Table2[[#This Row],[Description]],$Q$1:$S$101,2,FALSE))</f>
        <v>Leisure</v>
      </c>
      <c r="H341" s="1" t="str">
        <f>IF(Table2[[#This Row],[Description]]="","",VLOOKUP(Table2[[#This Row],[Description]],$Q$1:$S$101,3,FALSE))</f>
        <v>Short</v>
      </c>
      <c r="I341" s="1">
        <f>IF(Table2[[#This Row],[Description]]="","",IF(Table2[[#This Row],[Currency]]=$O$2,$P$2,HLOOKUP(Table2[[#This Row],[Date]],Funds!$C$10:$GV$11,2,FALSE)))</f>
        <v>1</v>
      </c>
      <c r="J341" s="215">
        <f>IF(Table2[[#This Row],[Description]]="","",Table2[[#This Row],[Value]]/Table2[[#This Row],[Conversion]])</f>
        <v>59.93</v>
      </c>
      <c r="K341" s="45">
        <f>IF(Table2[[#This Row],[Description]]="","",DATE(Table2[[#This Row],[Year]],Table2[[#This Row],[Month]],1))</f>
        <v>43800</v>
      </c>
    </row>
    <row r="342" spans="2:11" x14ac:dyDescent="0.25">
      <c r="B342" t="s">
        <v>250</v>
      </c>
      <c r="C342" s="1">
        <v>12</v>
      </c>
      <c r="D342" s="1">
        <v>2019</v>
      </c>
      <c r="E342" s="166">
        <v>100</v>
      </c>
      <c r="F342" s="1" t="s">
        <v>21</v>
      </c>
      <c r="G342" s="1" t="str">
        <f>IF(Table2[[#This Row],[Description]]="","",VLOOKUP(Table2[[#This Row],[Description]],$Q$1:$S$101,2,FALSE))</f>
        <v>EK Loan termination</v>
      </c>
      <c r="H342" s="1" t="str">
        <f>IF(Table2[[#This Row],[Description]]="","",VLOOKUP(Table2[[#This Row],[Description]],$Q$1:$S$101,3,FALSE))</f>
        <v>Mid</v>
      </c>
      <c r="I342" s="1">
        <f>IF(Table2[[#This Row],[Description]]="","",IF(Table2[[#This Row],[Currency]]=$O$2,$P$2,HLOOKUP(Table2[[#This Row],[Date]],Funds!$C$10:$GV$11,2,FALSE)))</f>
        <v>1</v>
      </c>
      <c r="J342" s="215">
        <f>IF(Table2[[#This Row],[Description]]="","",Table2[[#This Row],[Value]]/Table2[[#This Row],[Conversion]])</f>
        <v>100</v>
      </c>
      <c r="K342" s="45">
        <f>IF(Table2[[#This Row],[Description]]="","",DATE(Table2[[#This Row],[Year]],Table2[[#This Row],[Month]],1))</f>
        <v>43800</v>
      </c>
    </row>
    <row r="343" spans="2:11" x14ac:dyDescent="0.25">
      <c r="B343" t="s">
        <v>256</v>
      </c>
      <c r="C343" s="1">
        <v>12</v>
      </c>
      <c r="D343" s="1">
        <v>2019</v>
      </c>
      <c r="E343" s="166">
        <v>32.979999999999997</v>
      </c>
      <c r="F343" s="1" t="s">
        <v>21</v>
      </c>
      <c r="G343" s="1" t="str">
        <f>IF(Table2[[#This Row],[Description]]="","",VLOOKUP(Table2[[#This Row],[Description]],$Q$1:$S$101,2,FALSE))</f>
        <v>MN free</v>
      </c>
      <c r="H343" s="1" t="str">
        <f>IF(Table2[[#This Row],[Description]]="","",VLOOKUP(Table2[[#This Row],[Description]],$Q$1:$S$101,3,FALSE))</f>
        <v>Mid</v>
      </c>
      <c r="I343" s="1">
        <f>IF(Table2[[#This Row],[Description]]="","",IF(Table2[[#This Row],[Currency]]=$O$2,$P$2,HLOOKUP(Table2[[#This Row],[Date]],Funds!$C$10:$GV$11,2,FALSE)))</f>
        <v>1</v>
      </c>
      <c r="J343" s="215">
        <f>IF(Table2[[#This Row],[Description]]="","",Table2[[#This Row],[Value]]/Table2[[#This Row],[Conversion]])</f>
        <v>32.979999999999997</v>
      </c>
      <c r="K343" s="45">
        <f>IF(Table2[[#This Row],[Description]]="","",DATE(Table2[[#This Row],[Year]],Table2[[#This Row],[Month]],1))</f>
        <v>43800</v>
      </c>
    </row>
    <row r="344" spans="2:11" x14ac:dyDescent="0.25">
      <c r="B344" t="s">
        <v>73</v>
      </c>
      <c r="C344" s="1">
        <v>12</v>
      </c>
      <c r="D344" s="1">
        <v>2019</v>
      </c>
      <c r="E344" s="166">
        <v>51.46</v>
      </c>
      <c r="F344" s="1" t="s">
        <v>21</v>
      </c>
      <c r="G344" s="1" t="str">
        <f>IF(Table2[[#This Row],[Description]]="","",VLOOKUP(Table2[[#This Row],[Description]],$Q$1:$S$101,2,FALSE))</f>
        <v>MN free</v>
      </c>
      <c r="H344" s="1" t="str">
        <f>IF(Table2[[#This Row],[Description]]="","",VLOOKUP(Table2[[#This Row],[Description]],$Q$1:$S$101,3,FALSE))</f>
        <v>Mid</v>
      </c>
      <c r="I344" s="1">
        <f>IF(Table2[[#This Row],[Description]]="","",IF(Table2[[#This Row],[Currency]]=$O$2,$P$2,HLOOKUP(Table2[[#This Row],[Date]],Funds!$C$10:$GV$11,2,FALSE)))</f>
        <v>1</v>
      </c>
      <c r="J344" s="215">
        <f>IF(Table2[[#This Row],[Description]]="","",Table2[[#This Row],[Value]]/Table2[[#This Row],[Conversion]])</f>
        <v>51.46</v>
      </c>
      <c r="K344" s="45">
        <f>IF(Table2[[#This Row],[Description]]="","",DATE(Table2[[#This Row],[Year]],Table2[[#This Row],[Month]],1))</f>
        <v>43800</v>
      </c>
    </row>
    <row r="345" spans="2:11" x14ac:dyDescent="0.25">
      <c r="B345" t="s">
        <v>67</v>
      </c>
      <c r="C345" s="1">
        <v>12</v>
      </c>
      <c r="D345" s="1">
        <v>2019</v>
      </c>
      <c r="E345" s="166">
        <v>45.53</v>
      </c>
      <c r="F345" s="1" t="s">
        <v>21</v>
      </c>
      <c r="G345" s="1" t="str">
        <f>IF(Table2[[#This Row],[Description]]="","",VLOOKUP(Table2[[#This Row],[Description]],$Q$1:$S$101,2,FALSE))</f>
        <v>NE trips</v>
      </c>
      <c r="H345" s="1" t="str">
        <f>IF(Table2[[#This Row],[Description]]="","",VLOOKUP(Table2[[#This Row],[Description]],$Q$1:$S$101,3,FALSE))</f>
        <v>Mid</v>
      </c>
      <c r="I345" s="1">
        <f>IF(Table2[[#This Row],[Description]]="","",IF(Table2[[#This Row],[Currency]]=$O$2,$P$2,HLOOKUP(Table2[[#This Row],[Date]],Funds!$C$10:$GV$11,2,FALSE)))</f>
        <v>1</v>
      </c>
      <c r="J345" s="215">
        <f>IF(Table2[[#This Row],[Description]]="","",Table2[[#This Row],[Value]]/Table2[[#This Row],[Conversion]])</f>
        <v>45.53</v>
      </c>
      <c r="K345" s="45">
        <f>IF(Table2[[#This Row],[Description]]="","",DATE(Table2[[#This Row],[Year]],Table2[[#This Row],[Month]],1))</f>
        <v>43800</v>
      </c>
    </row>
    <row r="346" spans="2:11" x14ac:dyDescent="0.25">
      <c r="B346" t="s">
        <v>266</v>
      </c>
      <c r="C346" s="1">
        <v>12</v>
      </c>
      <c r="D346" s="1">
        <v>2019</v>
      </c>
      <c r="E346" s="166">
        <v>5.44</v>
      </c>
      <c r="F346" s="1" t="s">
        <v>21</v>
      </c>
      <c r="G346" s="1" t="str">
        <f>IF(Table2[[#This Row],[Description]]="","",VLOOKUP(Table2[[#This Row],[Description]],$Q$1:$S$101,2,FALSE))</f>
        <v>Leisure</v>
      </c>
      <c r="H346" s="1" t="str">
        <f>IF(Table2[[#This Row],[Description]]="","",VLOOKUP(Table2[[#This Row],[Description]],$Q$1:$S$101,3,FALSE))</f>
        <v>Short</v>
      </c>
      <c r="I346" s="1">
        <f>IF(Table2[[#This Row],[Description]]="","",IF(Table2[[#This Row],[Currency]]=$O$2,$P$2,HLOOKUP(Table2[[#This Row],[Date]],Funds!$C$10:$GV$11,2,FALSE)))</f>
        <v>1</v>
      </c>
      <c r="J346" s="215">
        <f>IF(Table2[[#This Row],[Description]]="","",Table2[[#This Row],[Value]]/Table2[[#This Row],[Conversion]])</f>
        <v>5.44</v>
      </c>
      <c r="K346" s="45">
        <f>IF(Table2[[#This Row],[Description]]="","",DATE(Table2[[#This Row],[Year]],Table2[[#This Row],[Month]],1))</f>
        <v>43800</v>
      </c>
    </row>
    <row r="347" spans="2:11" x14ac:dyDescent="0.25">
      <c r="B347" t="s">
        <v>62</v>
      </c>
      <c r="C347" s="1">
        <v>12</v>
      </c>
      <c r="D347" s="1">
        <v>2019</v>
      </c>
      <c r="E347" s="166">
        <v>182.23000000000002</v>
      </c>
      <c r="F347" s="1" t="s">
        <v>21</v>
      </c>
      <c r="G347" s="1" t="str">
        <f>IF(Table2[[#This Row],[Description]]="","",VLOOKUP(Table2[[#This Row],[Description]],$Q$1:$S$101,2,FALSE))</f>
        <v>Leisure</v>
      </c>
      <c r="H347" s="1" t="str">
        <f>IF(Table2[[#This Row],[Description]]="","",VLOOKUP(Table2[[#This Row],[Description]],$Q$1:$S$101,3,FALSE))</f>
        <v>Short</v>
      </c>
      <c r="I347" s="1">
        <f>IF(Table2[[#This Row],[Description]]="","",IF(Table2[[#This Row],[Currency]]=$O$2,$P$2,HLOOKUP(Table2[[#This Row],[Date]],Funds!$C$10:$GV$11,2,FALSE)))</f>
        <v>1</v>
      </c>
      <c r="J347" s="215">
        <f>IF(Table2[[#This Row],[Description]]="","",Table2[[#This Row],[Value]]/Table2[[#This Row],[Conversion]])</f>
        <v>182.23000000000002</v>
      </c>
      <c r="K347" s="45">
        <f>IF(Table2[[#This Row],[Description]]="","",DATE(Table2[[#This Row],[Year]],Table2[[#This Row],[Month]],1))</f>
        <v>43800</v>
      </c>
    </row>
    <row r="348" spans="2:11" x14ac:dyDescent="0.25">
      <c r="B348" t="s">
        <v>62</v>
      </c>
      <c r="C348" s="1">
        <v>12</v>
      </c>
      <c r="D348" s="1">
        <v>2019</v>
      </c>
      <c r="E348" s="166">
        <v>-53</v>
      </c>
      <c r="F348" s="1" t="s">
        <v>21</v>
      </c>
      <c r="G348" s="1" t="str">
        <f>IF(Table2[[#This Row],[Description]]="","",VLOOKUP(Table2[[#This Row],[Description]],$Q$1:$S$101,2,FALSE))</f>
        <v>Leisure</v>
      </c>
      <c r="H348" s="1" t="str">
        <f>IF(Table2[[#This Row],[Description]]="","",VLOOKUP(Table2[[#This Row],[Description]],$Q$1:$S$101,3,FALSE))</f>
        <v>Short</v>
      </c>
      <c r="I348" s="1">
        <f>IF(Table2[[#This Row],[Description]]="","",IF(Table2[[#This Row],[Currency]]=$O$2,$P$2,HLOOKUP(Table2[[#This Row],[Date]],Funds!$C$10:$GV$11,2,FALSE)))</f>
        <v>1</v>
      </c>
      <c r="J348" s="215">
        <f>IF(Table2[[#This Row],[Description]]="","",Table2[[#This Row],[Value]]/Table2[[#This Row],[Conversion]])</f>
        <v>-53</v>
      </c>
      <c r="K348" s="45">
        <f>IF(Table2[[#This Row],[Description]]="","",DATE(Table2[[#This Row],[Year]],Table2[[#This Row],[Month]],1))</f>
        <v>43800</v>
      </c>
    </row>
    <row r="349" spans="2:11" x14ac:dyDescent="0.25">
      <c r="B349" t="s">
        <v>35</v>
      </c>
      <c r="C349" s="1">
        <v>12</v>
      </c>
      <c r="D349" s="1">
        <v>2019</v>
      </c>
      <c r="E349" s="166">
        <v>85.92</v>
      </c>
      <c r="F349" s="1" t="s">
        <v>21</v>
      </c>
      <c r="G349" s="1" t="str">
        <f>IF(Table2[[#This Row],[Description]]="","",VLOOKUP(Table2[[#This Row],[Description]],$Q$1:$S$101,2,FALSE))</f>
        <v>Cellphone</v>
      </c>
      <c r="H349" s="1" t="str">
        <f>IF(Table2[[#This Row],[Description]]="","",VLOOKUP(Table2[[#This Row],[Description]],$Q$1:$S$101,3,FALSE))</f>
        <v>Short</v>
      </c>
      <c r="I349" s="1">
        <f>IF(Table2[[#This Row],[Description]]="","",IF(Table2[[#This Row],[Currency]]=$O$2,$P$2,HLOOKUP(Table2[[#This Row],[Date]],Funds!$C$10:$GV$11,2,FALSE)))</f>
        <v>1</v>
      </c>
      <c r="J349" s="215">
        <f>IF(Table2[[#This Row],[Description]]="","",Table2[[#This Row],[Value]]/Table2[[#This Row],[Conversion]])</f>
        <v>85.92</v>
      </c>
      <c r="K349" s="45">
        <f>IF(Table2[[#This Row],[Description]]="","",DATE(Table2[[#This Row],[Year]],Table2[[#This Row],[Month]],1))</f>
        <v>43800</v>
      </c>
    </row>
    <row r="350" spans="2:11" x14ac:dyDescent="0.25">
      <c r="B350" t="s">
        <v>31</v>
      </c>
      <c r="C350" s="1">
        <v>12</v>
      </c>
      <c r="D350" s="1">
        <v>2019</v>
      </c>
      <c r="E350" s="166">
        <v>1709.58</v>
      </c>
      <c r="F350" s="1" t="s">
        <v>21</v>
      </c>
      <c r="G350" s="1" t="str">
        <f>IF(Table2[[#This Row],[Description]]="","",VLOOKUP(Table2[[#This Row],[Description]],$Q$1:$S$101,2,FALSE))</f>
        <v>Rent</v>
      </c>
      <c r="H350" s="1" t="str">
        <f>IF(Table2[[#This Row],[Description]]="","",VLOOKUP(Table2[[#This Row],[Description]],$Q$1:$S$101,3,FALSE))</f>
        <v>Short</v>
      </c>
      <c r="I350" s="1">
        <f>IF(Table2[[#This Row],[Description]]="","",IF(Table2[[#This Row],[Currency]]=$O$2,$P$2,HLOOKUP(Table2[[#This Row],[Date]],Funds!$C$10:$GV$11,2,FALSE)))</f>
        <v>1</v>
      </c>
      <c r="J350" s="215">
        <f>IF(Table2[[#This Row],[Description]]="","",Table2[[#This Row],[Value]]/Table2[[#This Row],[Conversion]])</f>
        <v>1709.58</v>
      </c>
      <c r="K350" s="45">
        <f>IF(Table2[[#This Row],[Description]]="","",DATE(Table2[[#This Row],[Year]],Table2[[#This Row],[Month]],1))</f>
        <v>43800</v>
      </c>
    </row>
    <row r="351" spans="2:11" x14ac:dyDescent="0.25">
      <c r="B351" t="s">
        <v>56</v>
      </c>
      <c r="C351" s="1">
        <v>12</v>
      </c>
      <c r="D351" s="1">
        <v>2019</v>
      </c>
      <c r="E351" s="166">
        <v>50</v>
      </c>
      <c r="F351" s="1" t="s">
        <v>21</v>
      </c>
      <c r="G351" s="1" t="str">
        <f>IF(Table2[[#This Row],[Description]]="","",VLOOKUP(Table2[[#This Row],[Description]],$Q$1:$S$101,2,FALSE))</f>
        <v>Utilities</v>
      </c>
      <c r="H351" s="1" t="str">
        <f>IF(Table2[[#This Row],[Description]]="","",VLOOKUP(Table2[[#This Row],[Description]],$Q$1:$S$101,3,FALSE))</f>
        <v>Short</v>
      </c>
      <c r="I351" s="1">
        <f>IF(Table2[[#This Row],[Description]]="","",IF(Table2[[#This Row],[Currency]]=$O$2,$P$2,HLOOKUP(Table2[[#This Row],[Date]],Funds!$C$10:$GV$11,2,FALSE)))</f>
        <v>1</v>
      </c>
      <c r="J351" s="215">
        <f>IF(Table2[[#This Row],[Description]]="","",Table2[[#This Row],[Value]]/Table2[[#This Row],[Conversion]])</f>
        <v>50</v>
      </c>
      <c r="K351" s="45">
        <f>IF(Table2[[#This Row],[Description]]="","",DATE(Table2[[#This Row],[Year]],Table2[[#This Row],[Month]],1))</f>
        <v>43800</v>
      </c>
    </row>
    <row r="352" spans="2:11" x14ac:dyDescent="0.25">
      <c r="B352" t="s">
        <v>541</v>
      </c>
      <c r="C352" s="1">
        <v>12</v>
      </c>
      <c r="D352" s="1">
        <v>2019</v>
      </c>
      <c r="E352" s="166">
        <v>67.73</v>
      </c>
      <c r="F352" s="1" t="s">
        <v>21</v>
      </c>
      <c r="G352" s="1" t="str">
        <f>IF(Table2[[#This Row],[Description]]="","",VLOOKUP(Table2[[#This Row],[Description]],$Q$1:$S$101,2,FALSE))</f>
        <v>Turism</v>
      </c>
      <c r="H352" s="1" t="str">
        <f>IF(Table2[[#This Row],[Description]]="","",VLOOKUP(Table2[[#This Row],[Description]],$Q$1:$S$101,3,FALSE))</f>
        <v>Trip</v>
      </c>
      <c r="I352" s="1">
        <f>IF(Table2[[#This Row],[Description]]="","",IF(Table2[[#This Row],[Currency]]=$O$2,$P$2,HLOOKUP(Table2[[#This Row],[Date]],Funds!$C$10:$GV$11,2,FALSE)))</f>
        <v>1</v>
      </c>
      <c r="J352" s="215">
        <f>IF(Table2[[#This Row],[Description]]="","",Table2[[#This Row],[Value]]/Table2[[#This Row],[Conversion]])</f>
        <v>67.73</v>
      </c>
      <c r="K352" s="45">
        <f>IF(Table2[[#This Row],[Description]]="","",DATE(Table2[[#This Row],[Year]],Table2[[#This Row],[Month]],1))</f>
        <v>43800</v>
      </c>
    </row>
    <row r="353" spans="2:11" x14ac:dyDescent="0.25">
      <c r="B353" t="s">
        <v>471</v>
      </c>
      <c r="C353" s="1">
        <v>12</v>
      </c>
      <c r="D353" s="1">
        <v>2019</v>
      </c>
      <c r="E353" s="166">
        <v>-172.22</v>
      </c>
      <c r="F353" s="1" t="s">
        <v>21</v>
      </c>
      <c r="G353" s="1" t="str">
        <f>IF(Table2[[#This Row],[Description]]="","",VLOOKUP(Table2[[#This Row],[Description]],$Q$1:$S$101,2,FALSE))</f>
        <v>Mid</v>
      </c>
      <c r="H353" s="1" t="str">
        <f>IF(Table2[[#This Row],[Description]]="","",VLOOKUP(Table2[[#This Row],[Description]],$Q$1:$S$101,3,FALSE))</f>
        <v>Mid</v>
      </c>
      <c r="I353" s="1">
        <f>IF(Table2[[#This Row],[Description]]="","",IF(Table2[[#This Row],[Currency]]=$O$2,$P$2,HLOOKUP(Table2[[#This Row],[Date]],Funds!$C$10:$GV$11,2,FALSE)))</f>
        <v>1</v>
      </c>
      <c r="J353" s="215">
        <f>IF(Table2[[#This Row],[Description]]="","",Table2[[#This Row],[Value]]/Table2[[#This Row],[Conversion]])</f>
        <v>-172.22</v>
      </c>
      <c r="K353" s="45">
        <f>IF(Table2[[#This Row],[Description]]="","",DATE(Table2[[#This Row],[Year]],Table2[[#This Row],[Month]],1))</f>
        <v>43800</v>
      </c>
    </row>
    <row r="354" spans="2:11" x14ac:dyDescent="0.25">
      <c r="B354" t="s">
        <v>255</v>
      </c>
      <c r="C354" s="1">
        <v>12</v>
      </c>
      <c r="D354" s="1">
        <v>2019</v>
      </c>
      <c r="E354" s="166">
        <v>38</v>
      </c>
      <c r="F354" s="1" t="s">
        <v>21</v>
      </c>
      <c r="G354" s="1" t="str">
        <f>IF(Table2[[#This Row],[Description]]="","",VLOOKUP(Table2[[#This Row],[Description]],$Q$1:$S$101,2,FALSE))</f>
        <v>EK free</v>
      </c>
      <c r="H354" s="1" t="str">
        <f>IF(Table2[[#This Row],[Description]]="","",VLOOKUP(Table2[[#This Row],[Description]],$Q$1:$S$101,3,FALSE))</f>
        <v>Mid</v>
      </c>
      <c r="I354" s="1">
        <f>IF(Table2[[#This Row],[Description]]="","",IF(Table2[[#This Row],[Currency]]=$O$2,$P$2,HLOOKUP(Table2[[#This Row],[Date]],Funds!$C$10:$GV$11,2,FALSE)))</f>
        <v>1</v>
      </c>
      <c r="J354" s="215">
        <f>IF(Table2[[#This Row],[Description]]="","",Table2[[#This Row],[Value]]/Table2[[#This Row],[Conversion]])</f>
        <v>38</v>
      </c>
      <c r="K354" s="45">
        <f>IF(Table2[[#This Row],[Description]]="","",DATE(Table2[[#This Row],[Year]],Table2[[#This Row],[Month]],1))</f>
        <v>43800</v>
      </c>
    </row>
    <row r="355" spans="2:11" x14ac:dyDescent="0.25">
      <c r="B355" t="s">
        <v>267</v>
      </c>
      <c r="C355" s="1">
        <v>12</v>
      </c>
      <c r="D355" s="1">
        <v>2019</v>
      </c>
      <c r="E355" s="166">
        <v>8.0500000000000007</v>
      </c>
      <c r="F355" s="1" t="s">
        <v>21</v>
      </c>
      <c r="G355" s="1" t="str">
        <f>IF(Table2[[#This Row],[Description]]="","",VLOOKUP(Table2[[#This Row],[Description]],$Q$1:$S$101,2,FALSE))</f>
        <v>Leisure</v>
      </c>
      <c r="H355" s="1" t="str">
        <f>IF(Table2[[#This Row],[Description]]="","",VLOOKUP(Table2[[#This Row],[Description]],$Q$1:$S$101,3,FALSE))</f>
        <v>Short</v>
      </c>
      <c r="I355" s="1">
        <f>IF(Table2[[#This Row],[Description]]="","",IF(Table2[[#This Row],[Currency]]=$O$2,$P$2,HLOOKUP(Table2[[#This Row],[Date]],Funds!$C$10:$GV$11,2,FALSE)))</f>
        <v>1</v>
      </c>
      <c r="J355" s="215">
        <f>IF(Table2[[#This Row],[Description]]="","",Table2[[#This Row],[Value]]/Table2[[#This Row],[Conversion]])</f>
        <v>8.0500000000000007</v>
      </c>
      <c r="K355" s="45">
        <f>IF(Table2[[#This Row],[Description]]="","",DATE(Table2[[#This Row],[Year]],Table2[[#This Row],[Month]],1))</f>
        <v>43800</v>
      </c>
    </row>
    <row r="356" spans="2:11" x14ac:dyDescent="0.25">
      <c r="B356" t="s">
        <v>289</v>
      </c>
      <c r="C356" s="1">
        <v>12</v>
      </c>
      <c r="D356" s="1">
        <v>2019</v>
      </c>
      <c r="E356" s="166">
        <v>817.8</v>
      </c>
      <c r="F356" s="1" t="s">
        <v>21</v>
      </c>
      <c r="G356" s="1" t="str">
        <f>IF(Table2[[#This Row],[Description]]="","",VLOOKUP(Table2[[#This Row],[Description]],$Q$1:$S$101,2,FALSE))</f>
        <v>BR trips</v>
      </c>
      <c r="H356" s="1" t="str">
        <f>IF(Table2[[#This Row],[Description]]="","",VLOOKUP(Table2[[#This Row],[Description]],$Q$1:$S$101,3,FALSE))</f>
        <v>Mid</v>
      </c>
      <c r="I356" s="1">
        <f>IF(Table2[[#This Row],[Description]]="","",IF(Table2[[#This Row],[Currency]]=$O$2,$P$2,HLOOKUP(Table2[[#This Row],[Date]],Funds!$C$10:$GV$11,2,FALSE)))</f>
        <v>1</v>
      </c>
      <c r="J356" s="215">
        <f>IF(Table2[[#This Row],[Description]]="","",Table2[[#This Row],[Value]]/Table2[[#This Row],[Conversion]])</f>
        <v>817.8</v>
      </c>
      <c r="K356" s="45">
        <f>IF(Table2[[#This Row],[Description]]="","",DATE(Table2[[#This Row],[Year]],Table2[[#This Row],[Month]],1))</f>
        <v>43800</v>
      </c>
    </row>
    <row r="357" spans="2:11" x14ac:dyDescent="0.25">
      <c r="B357" t="s">
        <v>289</v>
      </c>
      <c r="C357" s="1">
        <v>12</v>
      </c>
      <c r="D357" s="1">
        <v>2019</v>
      </c>
      <c r="E357" s="166">
        <v>817.8</v>
      </c>
      <c r="F357" s="1" t="s">
        <v>21</v>
      </c>
      <c r="G357" s="1" t="str">
        <f>IF(Table2[[#This Row],[Description]]="","",VLOOKUP(Table2[[#This Row],[Description]],$Q$1:$S$101,2,FALSE))</f>
        <v>BR trips</v>
      </c>
      <c r="H357" s="1" t="str">
        <f>IF(Table2[[#This Row],[Description]]="","",VLOOKUP(Table2[[#This Row],[Description]],$Q$1:$S$101,3,FALSE))</f>
        <v>Mid</v>
      </c>
      <c r="I357" s="1">
        <f>IF(Table2[[#This Row],[Description]]="","",IF(Table2[[#This Row],[Currency]]=$O$2,$P$2,HLOOKUP(Table2[[#This Row],[Date]],Funds!$C$10:$GV$11,2,FALSE)))</f>
        <v>1</v>
      </c>
      <c r="J357" s="215">
        <f>IF(Table2[[#This Row],[Description]]="","",Table2[[#This Row],[Value]]/Table2[[#This Row],[Conversion]])</f>
        <v>817.8</v>
      </c>
      <c r="K357" s="45">
        <f>IF(Table2[[#This Row],[Description]]="","",DATE(Table2[[#This Row],[Year]],Table2[[#This Row],[Month]],1))</f>
        <v>43800</v>
      </c>
    </row>
    <row r="358" spans="2:11" x14ac:dyDescent="0.25">
      <c r="B358" t="s">
        <v>67</v>
      </c>
      <c r="C358" s="1">
        <v>12</v>
      </c>
      <c r="D358" s="1">
        <v>2019</v>
      </c>
      <c r="E358" s="166">
        <v>32.869999999999997</v>
      </c>
      <c r="F358" s="1" t="s">
        <v>21</v>
      </c>
      <c r="G358" s="1" t="str">
        <f>IF(Table2[[#This Row],[Description]]="","",VLOOKUP(Table2[[#This Row],[Description]],$Q$1:$S$101,2,FALSE))</f>
        <v>NE trips</v>
      </c>
      <c r="H358" s="1" t="str">
        <f>IF(Table2[[#This Row],[Description]]="","",VLOOKUP(Table2[[#This Row],[Description]],$Q$1:$S$101,3,FALSE))</f>
        <v>Mid</v>
      </c>
      <c r="I358" s="1">
        <f>IF(Table2[[#This Row],[Description]]="","",IF(Table2[[#This Row],[Currency]]=$O$2,$P$2,HLOOKUP(Table2[[#This Row],[Date]],Funds!$C$10:$GV$11,2,FALSE)))</f>
        <v>1</v>
      </c>
      <c r="J358" s="215">
        <f>IF(Table2[[#This Row],[Description]]="","",Table2[[#This Row],[Value]]/Table2[[#This Row],[Conversion]])</f>
        <v>32.869999999999997</v>
      </c>
      <c r="K358" s="45">
        <f>IF(Table2[[#This Row],[Description]]="","",DATE(Table2[[#This Row],[Year]],Table2[[#This Row],[Month]],1))</f>
        <v>43800</v>
      </c>
    </row>
    <row r="359" spans="2:11" x14ac:dyDescent="0.25">
      <c r="B359" t="s">
        <v>252</v>
      </c>
      <c r="C359" s="1">
        <v>12</v>
      </c>
      <c r="D359" s="1">
        <v>2019</v>
      </c>
      <c r="E359" s="166">
        <v>50</v>
      </c>
      <c r="F359" s="1" t="s">
        <v>22</v>
      </c>
      <c r="G359" s="1" t="str">
        <f>IF(Table2[[#This Row],[Description]]="","",VLOOKUP(Table2[[#This Row],[Description]],$Q$1:$S$101,2,FALSE))</f>
        <v>Other Mid</v>
      </c>
      <c r="H359" s="1" t="str">
        <f>IF(Table2[[#This Row],[Description]]="","",VLOOKUP(Table2[[#This Row],[Description]],$Q$1:$S$101,3,FALSE))</f>
        <v>Mid</v>
      </c>
      <c r="I359" s="1">
        <f>IF(Table2[[#This Row],[Description]]="","",IF(Table2[[#This Row],[Currency]]=$O$2,$P$2,HLOOKUP(Table2[[#This Row],[Date]],Funds!$C$10:$GV$11,2,FALSE)))</f>
        <v>4.01</v>
      </c>
      <c r="J359" s="215">
        <f>IF(Table2[[#This Row],[Description]]="","",Table2[[#This Row],[Value]]/Table2[[#This Row],[Conversion]])</f>
        <v>12.468827930174564</v>
      </c>
      <c r="K359" s="45">
        <f>IF(Table2[[#This Row],[Description]]="","",DATE(Table2[[#This Row],[Year]],Table2[[#This Row],[Month]],1))</f>
        <v>43800</v>
      </c>
    </row>
    <row r="360" spans="2:11" x14ac:dyDescent="0.25">
      <c r="B360" t="s">
        <v>264</v>
      </c>
      <c r="C360" s="1">
        <v>12</v>
      </c>
      <c r="D360" s="1">
        <v>2019</v>
      </c>
      <c r="E360" s="166">
        <v>59.9</v>
      </c>
      <c r="F360" s="1" t="s">
        <v>22</v>
      </c>
      <c r="G360" s="1" t="str">
        <f>IF(Table2[[#This Row],[Description]]="","",VLOOKUP(Table2[[#This Row],[Description]],$Q$1:$S$101,2,FALSE))</f>
        <v>MN free</v>
      </c>
      <c r="H360" s="1" t="str">
        <f>IF(Table2[[#This Row],[Description]]="","",VLOOKUP(Table2[[#This Row],[Description]],$Q$1:$S$101,3,FALSE))</f>
        <v>Mid</v>
      </c>
      <c r="I360" s="1">
        <f>IF(Table2[[#This Row],[Description]]="","",IF(Table2[[#This Row],[Currency]]=$O$2,$P$2,HLOOKUP(Table2[[#This Row],[Date]],Funds!$C$10:$GV$11,2,FALSE)))</f>
        <v>4.01</v>
      </c>
      <c r="J360" s="215">
        <f>IF(Table2[[#This Row],[Description]]="","",Table2[[#This Row],[Value]]/Table2[[#This Row],[Conversion]])</f>
        <v>14.937655860349128</v>
      </c>
      <c r="K360" s="45">
        <f>IF(Table2[[#This Row],[Description]]="","",DATE(Table2[[#This Row],[Year]],Table2[[#This Row],[Month]],1))</f>
        <v>43800</v>
      </c>
    </row>
    <row r="361" spans="2:11" x14ac:dyDescent="0.25">
      <c r="B361" t="s">
        <v>263</v>
      </c>
      <c r="C361" s="1">
        <v>12</v>
      </c>
      <c r="D361" s="1">
        <v>2019</v>
      </c>
      <c r="E361" s="166">
        <v>19.899999999999999</v>
      </c>
      <c r="F361" s="1" t="s">
        <v>22</v>
      </c>
      <c r="G361" s="1" t="str">
        <f>IF(Table2[[#This Row],[Description]]="","",VLOOKUP(Table2[[#This Row],[Description]],$Q$1:$S$101,2,FALSE))</f>
        <v>MN free</v>
      </c>
      <c r="H361" s="1" t="str">
        <f>IF(Table2[[#This Row],[Description]]="","",VLOOKUP(Table2[[#This Row],[Description]],$Q$1:$S$101,3,FALSE))</f>
        <v>Mid</v>
      </c>
      <c r="I361" s="1">
        <f>IF(Table2[[#This Row],[Description]]="","",IF(Table2[[#This Row],[Currency]]=$O$2,$P$2,HLOOKUP(Table2[[#This Row],[Date]],Funds!$C$10:$GV$11,2,FALSE)))</f>
        <v>4.01</v>
      </c>
      <c r="J361" s="215">
        <f>IF(Table2[[#This Row],[Description]]="","",Table2[[#This Row],[Value]]/Table2[[#This Row],[Conversion]])</f>
        <v>4.9625935162094761</v>
      </c>
      <c r="K361" s="45">
        <f>IF(Table2[[#This Row],[Description]]="","",DATE(Table2[[#This Row],[Year]],Table2[[#This Row],[Month]],1))</f>
        <v>43800</v>
      </c>
    </row>
    <row r="362" spans="2:11" x14ac:dyDescent="0.25">
      <c r="B362" t="s">
        <v>289</v>
      </c>
      <c r="C362" s="1">
        <v>12</v>
      </c>
      <c r="D362" s="1">
        <v>2019</v>
      </c>
      <c r="E362" s="166">
        <v>143.79</v>
      </c>
      <c r="F362" s="1" t="s">
        <v>22</v>
      </c>
      <c r="G362" s="1" t="str">
        <f>IF(Table2[[#This Row],[Description]]="","",VLOOKUP(Table2[[#This Row],[Description]],$Q$1:$S$101,2,FALSE))</f>
        <v>BR trips</v>
      </c>
      <c r="H362" s="1" t="str">
        <f>IF(Table2[[#This Row],[Description]]="","",VLOOKUP(Table2[[#This Row],[Description]],$Q$1:$S$101,3,FALSE))</f>
        <v>Mid</v>
      </c>
      <c r="I362" s="1">
        <f>IF(Table2[[#This Row],[Description]]="","",IF(Table2[[#This Row],[Currency]]=$O$2,$P$2,HLOOKUP(Table2[[#This Row],[Date]],Funds!$C$10:$GV$11,2,FALSE)))</f>
        <v>4.01</v>
      </c>
      <c r="J362" s="215">
        <f>IF(Table2[[#This Row],[Description]]="","",Table2[[#This Row],[Value]]/Table2[[#This Row],[Conversion]])</f>
        <v>35.857855361596009</v>
      </c>
      <c r="K362" s="45">
        <f>IF(Table2[[#This Row],[Description]]="","",DATE(Table2[[#This Row],[Year]],Table2[[#This Row],[Month]],1))</f>
        <v>43800</v>
      </c>
    </row>
    <row r="363" spans="2:11" x14ac:dyDescent="0.25">
      <c r="B363" t="s">
        <v>289</v>
      </c>
      <c r="C363" s="1">
        <v>12</v>
      </c>
      <c r="D363" s="1">
        <v>2019</v>
      </c>
      <c r="E363" s="166">
        <v>210.24</v>
      </c>
      <c r="F363" s="1" t="s">
        <v>22</v>
      </c>
      <c r="G363" s="1" t="str">
        <f>IF(Table2[[#This Row],[Description]]="","",VLOOKUP(Table2[[#This Row],[Description]],$Q$1:$S$101,2,FALSE))</f>
        <v>BR trips</v>
      </c>
      <c r="H363" s="1" t="str">
        <f>IF(Table2[[#This Row],[Description]]="","",VLOOKUP(Table2[[#This Row],[Description]],$Q$1:$S$101,3,FALSE))</f>
        <v>Mid</v>
      </c>
      <c r="I363" s="1">
        <f>IF(Table2[[#This Row],[Description]]="","",IF(Table2[[#This Row],[Currency]]=$O$2,$P$2,HLOOKUP(Table2[[#This Row],[Date]],Funds!$C$10:$GV$11,2,FALSE)))</f>
        <v>4.01</v>
      </c>
      <c r="J363" s="215">
        <f>IF(Table2[[#This Row],[Description]]="","",Table2[[#This Row],[Value]]/Table2[[#This Row],[Conversion]])</f>
        <v>52.428927680798012</v>
      </c>
      <c r="K363" s="45">
        <f>IF(Table2[[#This Row],[Description]]="","",DATE(Table2[[#This Row],[Year]],Table2[[#This Row],[Month]],1))</f>
        <v>43800</v>
      </c>
    </row>
    <row r="364" spans="2:11" x14ac:dyDescent="0.25">
      <c r="B364" t="s">
        <v>541</v>
      </c>
      <c r="C364" s="1">
        <v>12</v>
      </c>
      <c r="D364" s="1">
        <v>2019</v>
      </c>
      <c r="E364" s="166">
        <v>1033.7</v>
      </c>
      <c r="F364" s="1" t="s">
        <v>22</v>
      </c>
      <c r="G364" s="1" t="str">
        <f>IF(Table2[[#This Row],[Description]]="","",VLOOKUP(Table2[[#This Row],[Description]],$Q$1:$S$101,2,FALSE))</f>
        <v>Turism</v>
      </c>
      <c r="H364" s="1" t="str">
        <f>IF(Table2[[#This Row],[Description]]="","",VLOOKUP(Table2[[#This Row],[Description]],$Q$1:$S$101,3,FALSE))</f>
        <v>Trip</v>
      </c>
      <c r="I364" s="1">
        <f>IF(Table2[[#This Row],[Description]]="","",IF(Table2[[#This Row],[Currency]]=$O$2,$P$2,HLOOKUP(Table2[[#This Row],[Date]],Funds!$C$10:$GV$11,2,FALSE)))</f>
        <v>4.01</v>
      </c>
      <c r="J364" s="215">
        <f>IF(Table2[[#This Row],[Description]]="","",Table2[[#This Row],[Value]]/Table2[[#This Row],[Conversion]])</f>
        <v>257.78054862842896</v>
      </c>
      <c r="K364" s="45">
        <f>IF(Table2[[#This Row],[Description]]="","",DATE(Table2[[#This Row],[Year]],Table2[[#This Row],[Month]],1))</f>
        <v>43800</v>
      </c>
    </row>
    <row r="365" spans="2:11" x14ac:dyDescent="0.25">
      <c r="B365" t="s">
        <v>252</v>
      </c>
      <c r="C365" s="1">
        <v>12</v>
      </c>
      <c r="D365" s="1">
        <v>2019</v>
      </c>
      <c r="E365" s="166">
        <f>-1467.53</f>
        <v>-1467.53</v>
      </c>
      <c r="F365" s="1" t="s">
        <v>22</v>
      </c>
      <c r="G365" s="1" t="str">
        <f>IF(Table2[[#This Row],[Description]]="","",VLOOKUP(Table2[[#This Row],[Description]],$Q$1:$S$101,2,FALSE))</f>
        <v>Other Mid</v>
      </c>
      <c r="H365" s="1" t="str">
        <f>IF(Table2[[#This Row],[Description]]="","",VLOOKUP(Table2[[#This Row],[Description]],$Q$1:$S$101,3,FALSE))</f>
        <v>Mid</v>
      </c>
      <c r="I365" s="1">
        <f>IF(Table2[[#This Row],[Description]]="","",IF(Table2[[#This Row],[Currency]]=$O$2,$P$2,HLOOKUP(Table2[[#This Row],[Date]],Funds!$C$10:$GV$11,2,FALSE)))</f>
        <v>4.01</v>
      </c>
      <c r="J365" s="215">
        <f>IF(Table2[[#This Row],[Description]]="","",Table2[[#This Row],[Value]]/Table2[[#This Row],[Conversion]])</f>
        <v>-365.96758104738154</v>
      </c>
      <c r="K365" s="45">
        <f>IF(Table2[[#This Row],[Description]]="","",DATE(Table2[[#This Row],[Year]],Table2[[#This Row],[Month]],1))</f>
        <v>43800</v>
      </c>
    </row>
    <row r="366" spans="2:11" x14ac:dyDescent="0.25">
      <c r="B366" t="s">
        <v>262</v>
      </c>
      <c r="C366" s="1">
        <v>12</v>
      </c>
      <c r="D366" s="1">
        <v>2019</v>
      </c>
      <c r="E366" s="166">
        <v>243.7</v>
      </c>
      <c r="F366" s="1" t="s">
        <v>22</v>
      </c>
      <c r="G366" s="1" t="str">
        <f>IF(Table2[[#This Row],[Description]]="","",VLOOKUP(Table2[[#This Row],[Description]],$Q$1:$S$101,2,FALSE))</f>
        <v>Mid</v>
      </c>
      <c r="H366" s="1" t="str">
        <f>IF(Table2[[#This Row],[Description]]="","",VLOOKUP(Table2[[#This Row],[Description]],$Q$1:$S$101,3,FALSE))</f>
        <v>Mid</v>
      </c>
      <c r="I366" s="1">
        <f>IF(Table2[[#This Row],[Description]]="","",IF(Table2[[#This Row],[Currency]]=$O$2,$P$2,HLOOKUP(Table2[[#This Row],[Date]],Funds!$C$10:$GV$11,2,FALSE)))</f>
        <v>4.01</v>
      </c>
      <c r="J366" s="215">
        <f>IF(Table2[[#This Row],[Description]]="","",Table2[[#This Row],[Value]]/Table2[[#This Row],[Conversion]])</f>
        <v>60.773067331670823</v>
      </c>
      <c r="K366" s="45">
        <f>IF(Table2[[#This Row],[Description]]="","",DATE(Table2[[#This Row],[Year]],Table2[[#This Row],[Month]],1))</f>
        <v>43800</v>
      </c>
    </row>
    <row r="367" spans="2:11" x14ac:dyDescent="0.25">
      <c r="B367" t="s">
        <v>316</v>
      </c>
      <c r="C367" s="1">
        <v>12</v>
      </c>
      <c r="D367" s="1">
        <v>2019</v>
      </c>
      <c r="E367" s="166">
        <v>352.44</v>
      </c>
      <c r="F367" s="1" t="s">
        <v>21</v>
      </c>
      <c r="G367" s="1" t="str">
        <f>IF(Table2[[#This Row],[Description]]="","",VLOOKUP(Table2[[#This Row],[Description]],$Q$1:$S$101,2,FALSE))</f>
        <v>Gifts</v>
      </c>
      <c r="H367" s="1" t="str">
        <f>IF(Table2[[#This Row],[Description]]="","",VLOOKUP(Table2[[#This Row],[Description]],$Q$1:$S$101,3,FALSE))</f>
        <v>Mid</v>
      </c>
      <c r="I367" s="1">
        <f>IF(Table2[[#This Row],[Description]]="","",IF(Table2[[#This Row],[Currency]]=$O$2,$P$2,HLOOKUP(Table2[[#This Row],[Date]],Funds!$C$10:$GV$11,2,FALSE)))</f>
        <v>1</v>
      </c>
      <c r="J367" s="215">
        <f>IF(Table2[[#This Row],[Description]]="","",Table2[[#This Row],[Value]]/Table2[[#This Row],[Conversion]])</f>
        <v>352.44</v>
      </c>
      <c r="K367" s="45">
        <f>IF(Table2[[#This Row],[Description]]="","",DATE(Table2[[#This Row],[Year]],Table2[[#This Row],[Month]],1))</f>
        <v>43800</v>
      </c>
    </row>
    <row r="368" spans="2:11" x14ac:dyDescent="0.25">
      <c r="B368" t="s">
        <v>320</v>
      </c>
      <c r="C368" s="1">
        <v>12</v>
      </c>
      <c r="D368" s="1">
        <v>2019</v>
      </c>
      <c r="E368" s="166">
        <v>274.79126296388318</v>
      </c>
      <c r="F368" s="1" t="s">
        <v>21</v>
      </c>
      <c r="G368" s="1" t="str">
        <f>IF(Table2[[#This Row],[Description]]="","",VLOOKUP(Table2[[#This Row],[Description]],$Q$1:$S$101,2,FALSE))</f>
        <v>Long</v>
      </c>
      <c r="H368" s="1" t="str">
        <f>IF(Table2[[#This Row],[Description]]="","",VLOOKUP(Table2[[#This Row],[Description]],$Q$1:$S$101,3,FALSE))</f>
        <v>Long</v>
      </c>
      <c r="I368" s="1">
        <f>IF(Table2[[#This Row],[Description]]="","",IF(Table2[[#This Row],[Currency]]=$O$2,$P$2,HLOOKUP(Table2[[#This Row],[Date]],Funds!$C$10:$GV$11,2,FALSE)))</f>
        <v>1</v>
      </c>
      <c r="J368" s="215">
        <f>IF(Table2[[#This Row],[Description]]="","",Table2[[#This Row],[Value]]/Table2[[#This Row],[Conversion]])</f>
        <v>274.79126296388318</v>
      </c>
      <c r="K368" s="45">
        <f>IF(Table2[[#This Row],[Description]]="","",DATE(Table2[[#This Row],[Year]],Table2[[#This Row],[Month]],1))</f>
        <v>43800</v>
      </c>
    </row>
    <row r="369" spans="2:11" x14ac:dyDescent="0.25">
      <c r="B369" t="s">
        <v>46</v>
      </c>
      <c r="C369" s="1">
        <v>12</v>
      </c>
      <c r="D369" s="1">
        <v>2019</v>
      </c>
      <c r="E369" s="166">
        <v>104.7852054287976</v>
      </c>
      <c r="F369" s="1" t="s">
        <v>21</v>
      </c>
      <c r="G369" s="1" t="str">
        <f>IF(Table2[[#This Row],[Description]]="","",VLOOKUP(Table2[[#This Row],[Description]],$Q$1:$S$101,2,FALSE))</f>
        <v>Health care</v>
      </c>
      <c r="H369" s="1" t="str">
        <f>IF(Table2[[#This Row],[Description]]="","",VLOOKUP(Table2[[#This Row],[Description]],$Q$1:$S$101,3,FALSE))</f>
        <v>Short</v>
      </c>
      <c r="I369" s="1">
        <f>IF(Table2[[#This Row],[Description]]="","",IF(Table2[[#This Row],[Currency]]=$O$2,$P$2,HLOOKUP(Table2[[#This Row],[Date]],Funds!$C$10:$GV$11,2,FALSE)))</f>
        <v>1</v>
      </c>
      <c r="J369" s="215">
        <f>IF(Table2[[#This Row],[Description]]="","",Table2[[#This Row],[Value]]/Table2[[#This Row],[Conversion]])</f>
        <v>104.7852054287976</v>
      </c>
      <c r="K369" s="45">
        <f>IF(Table2[[#This Row],[Description]]="","",DATE(Table2[[#This Row],[Year]],Table2[[#This Row],[Month]],1))</f>
        <v>43800</v>
      </c>
    </row>
    <row r="370" spans="2:11" x14ac:dyDescent="0.25">
      <c r="B370" t="s">
        <v>324</v>
      </c>
      <c r="C370" s="1">
        <v>12</v>
      </c>
      <c r="D370" s="1">
        <v>2019</v>
      </c>
      <c r="E370" s="166">
        <v>13.526817428081143</v>
      </c>
      <c r="F370" s="1" t="s">
        <v>21</v>
      </c>
      <c r="G370" s="1" t="str">
        <f>IF(Table2[[#This Row],[Description]]="","",VLOOKUP(Table2[[#This Row],[Description]],$Q$1:$S$101,2,FALSE))</f>
        <v>Health care</v>
      </c>
      <c r="H370" s="1" t="str">
        <f>IF(Table2[[#This Row],[Description]]="","",VLOOKUP(Table2[[#This Row],[Description]],$Q$1:$S$101,3,FALSE))</f>
        <v>Short</v>
      </c>
      <c r="I370" s="1">
        <f>IF(Table2[[#This Row],[Description]]="","",IF(Table2[[#This Row],[Currency]]=$O$2,$P$2,HLOOKUP(Table2[[#This Row],[Date]],Funds!$C$10:$GV$11,2,FALSE)))</f>
        <v>1</v>
      </c>
      <c r="J370" s="215">
        <f>IF(Table2[[#This Row],[Description]]="","",Table2[[#This Row],[Value]]/Table2[[#This Row],[Conversion]])</f>
        <v>13.526817428081143</v>
      </c>
      <c r="K370" s="45">
        <f>IF(Table2[[#This Row],[Description]]="","",DATE(Table2[[#This Row],[Year]],Table2[[#This Row],[Month]],1))</f>
        <v>43800</v>
      </c>
    </row>
    <row r="371" spans="2:11" x14ac:dyDescent="0.25">
      <c r="B371" t="s">
        <v>59</v>
      </c>
      <c r="C371" s="1">
        <v>12</v>
      </c>
      <c r="D371" s="1">
        <v>2019</v>
      </c>
      <c r="E371" s="166">
        <v>83.35186795472535</v>
      </c>
      <c r="F371" s="1" t="s">
        <v>21</v>
      </c>
      <c r="G371" s="1" t="str">
        <f>IF(Table2[[#This Row],[Description]]="","",VLOOKUP(Table2[[#This Row],[Description]],$Q$1:$S$101,2,FALSE))</f>
        <v>Transportation</v>
      </c>
      <c r="H371" s="1" t="str">
        <f>IF(Table2[[#This Row],[Description]]="","",VLOOKUP(Table2[[#This Row],[Description]],$Q$1:$S$101,3,FALSE))</f>
        <v>Short</v>
      </c>
      <c r="I371" s="1">
        <f>IF(Table2[[#This Row],[Description]]="","",IF(Table2[[#This Row],[Currency]]=$O$2,$P$2,HLOOKUP(Table2[[#This Row],[Date]],Funds!$C$10:$GV$11,2,FALSE)))</f>
        <v>1</v>
      </c>
      <c r="J371" s="215">
        <f>IF(Table2[[#This Row],[Description]]="","",Table2[[#This Row],[Value]]/Table2[[#This Row],[Conversion]])</f>
        <v>83.35186795472535</v>
      </c>
      <c r="K371" s="45">
        <f>IF(Table2[[#This Row],[Description]]="","",DATE(Table2[[#This Row],[Year]],Table2[[#This Row],[Month]],1))</f>
        <v>43800</v>
      </c>
    </row>
    <row r="372" spans="2:11" x14ac:dyDescent="0.25">
      <c r="B372" t="s">
        <v>252</v>
      </c>
      <c r="C372" s="1">
        <v>12</v>
      </c>
      <c r="D372" s="1">
        <v>2019</v>
      </c>
      <c r="E372" s="166">
        <v>-817.8</v>
      </c>
      <c r="F372" s="1" t="s">
        <v>21</v>
      </c>
      <c r="G372" s="1" t="str">
        <f>IF(Table2[[#This Row],[Description]]="","",VLOOKUP(Table2[[#This Row],[Description]],$Q$1:$S$101,2,FALSE))</f>
        <v>Other Mid</v>
      </c>
      <c r="H372" s="1" t="str">
        <f>IF(Table2[[#This Row],[Description]]="","",VLOOKUP(Table2[[#This Row],[Description]],$Q$1:$S$101,3,FALSE))</f>
        <v>Mid</v>
      </c>
      <c r="I372" s="1">
        <f>IF(Table2[[#This Row],[Description]]="","",IF(Table2[[#This Row],[Currency]]=$O$2,$P$2,HLOOKUP(Table2[[#This Row],[Date]],Funds!$C$10:$GV$11,2,FALSE)))</f>
        <v>1</v>
      </c>
      <c r="J372" s="215">
        <f>IF(Table2[[#This Row],[Description]]="","",Table2[[#This Row],[Value]]/Table2[[#This Row],[Conversion]])</f>
        <v>-817.8</v>
      </c>
      <c r="K372" s="45">
        <f>IF(Table2[[#This Row],[Description]]="","",DATE(Table2[[#This Row],[Year]],Table2[[#This Row],[Month]],1))</f>
        <v>43800</v>
      </c>
    </row>
    <row r="373" spans="2:11" x14ac:dyDescent="0.25">
      <c r="B373" t="s">
        <v>252</v>
      </c>
      <c r="C373" s="1">
        <v>12</v>
      </c>
      <c r="D373" s="1">
        <v>2019</v>
      </c>
      <c r="E373" s="166">
        <v>-740</v>
      </c>
      <c r="F373" s="1" t="s">
        <v>21</v>
      </c>
      <c r="G373" s="1" t="str">
        <f>IF(Table2[[#This Row],[Description]]="","",VLOOKUP(Table2[[#This Row],[Description]],$Q$1:$S$101,2,FALSE))</f>
        <v>Other Mid</v>
      </c>
      <c r="H373" s="1" t="str">
        <f>IF(Table2[[#This Row],[Description]]="","",VLOOKUP(Table2[[#This Row],[Description]],$Q$1:$S$101,3,FALSE))</f>
        <v>Mid</v>
      </c>
      <c r="I373" s="1">
        <f>IF(Table2[[#This Row],[Description]]="","",IF(Table2[[#This Row],[Currency]]=$O$2,$P$2,HLOOKUP(Table2[[#This Row],[Date]],Funds!$C$10:$GV$11,2,FALSE)))</f>
        <v>1</v>
      </c>
      <c r="J373" s="215">
        <f>IF(Table2[[#This Row],[Description]]="","",Table2[[#This Row],[Value]]/Table2[[#This Row],[Conversion]])</f>
        <v>-740</v>
      </c>
      <c r="K373" s="45">
        <f>IF(Table2[[#This Row],[Description]]="","",DATE(Table2[[#This Row],[Year]],Table2[[#This Row],[Month]],1))</f>
        <v>43800</v>
      </c>
    </row>
    <row r="374" spans="2:11" x14ac:dyDescent="0.25">
      <c r="B374" t="s">
        <v>237</v>
      </c>
      <c r="C374" s="1">
        <v>1</v>
      </c>
      <c r="D374" s="1">
        <v>2020</v>
      </c>
      <c r="E374" s="166">
        <v>0</v>
      </c>
      <c r="F374" s="1" t="s">
        <v>21</v>
      </c>
      <c r="G374" s="1" t="str">
        <f>IF(Table2[[#This Row],[Description]]="","",VLOOKUP(Table2[[#This Row],[Description]],$Q$1:$S$101,2,FALSE))</f>
        <v>FX adjustment</v>
      </c>
      <c r="H374" s="1" t="s">
        <v>66</v>
      </c>
      <c r="I374" s="1">
        <f>IF(Table2[[#This Row],[Description]]="","",IF(Table2[[#This Row],[Currency]]=$O$2,$P$2,HLOOKUP(Table2[[#This Row],[Date]],Funds!$C$10:$GV$11,2,FALSE)))</f>
        <v>1</v>
      </c>
      <c r="J374" s="215">
        <f>IF(Table2[[#This Row],[Description]]="","",Table2[[#This Row],[Value]]/Table2[[#This Row],[Conversion]])</f>
        <v>0</v>
      </c>
      <c r="K374" s="45">
        <f>IF(Table2[[#This Row],[Description]]="","",DATE(Table2[[#This Row],[Year]],Table2[[#This Row],[Month]],1))</f>
        <v>43831</v>
      </c>
    </row>
    <row r="375" spans="2:11" x14ac:dyDescent="0.25">
      <c r="B375" t="s">
        <v>237</v>
      </c>
      <c r="C375" s="1">
        <v>1</v>
      </c>
      <c r="D375" s="1">
        <v>2020</v>
      </c>
      <c r="E375" s="166">
        <v>73.186089794413604</v>
      </c>
      <c r="F375" s="1" t="s">
        <v>21</v>
      </c>
      <c r="G375" s="1" t="str">
        <f>IF(Table2[[#This Row],[Description]]="","",VLOOKUP(Table2[[#This Row],[Description]],$Q$1:$S$101,2,FALSE))</f>
        <v>FX adjustment</v>
      </c>
      <c r="H375" s="1" t="s">
        <v>111</v>
      </c>
      <c r="I375" s="1">
        <f>IF(Table2[[#This Row],[Description]]="","",IF(Table2[[#This Row],[Currency]]=$O$2,$P$2,HLOOKUP(Table2[[#This Row],[Date]],Funds!$C$10:$GV$11,2,FALSE)))</f>
        <v>1</v>
      </c>
      <c r="J375" s="215">
        <f>IF(Table2[[#This Row],[Description]]="","",Table2[[#This Row],[Value]]/Table2[[#This Row],[Conversion]])</f>
        <v>73.186089794413604</v>
      </c>
      <c r="K375" s="45">
        <f>IF(Table2[[#This Row],[Description]]="","",DATE(Table2[[#This Row],[Year]],Table2[[#This Row],[Month]],1))</f>
        <v>43831</v>
      </c>
    </row>
    <row r="376" spans="2:11" x14ac:dyDescent="0.25">
      <c r="B376" t="s">
        <v>68</v>
      </c>
      <c r="C376" s="1">
        <v>1</v>
      </c>
      <c r="D376" s="1">
        <v>2020</v>
      </c>
      <c r="E376" s="166">
        <v>83.4</v>
      </c>
      <c r="F376" s="1" t="s">
        <v>21</v>
      </c>
      <c r="G376" s="1" t="str">
        <f>IF(Table2[[#This Row],[Description]]="","",VLOOKUP(Table2[[#This Row],[Description]],$Q$1:$S$101,2,FALSE))</f>
        <v>EK free</v>
      </c>
      <c r="H376" s="1" t="str">
        <f>IF(Table2[[#This Row],[Description]]="","",VLOOKUP(Table2[[#This Row],[Description]],$Q$1:$S$101,3,FALSE))</f>
        <v>Mid</v>
      </c>
      <c r="I376" s="1">
        <f>IF(Table2[[#This Row],[Description]]="","",IF(Table2[[#This Row],[Currency]]=$O$2,$P$2,HLOOKUP(Table2[[#This Row],[Date]],Funds!$C$10:$GV$11,2,FALSE)))</f>
        <v>1</v>
      </c>
      <c r="J376" s="215">
        <f>IF(Table2[[#This Row],[Description]]="","",Table2[[#This Row],[Value]]/Table2[[#This Row],[Conversion]])</f>
        <v>83.4</v>
      </c>
      <c r="K376" s="45">
        <f>IF(Table2[[#This Row],[Description]]="","",DATE(Table2[[#This Row],[Year]],Table2[[#This Row],[Month]],1))</f>
        <v>43831</v>
      </c>
    </row>
    <row r="377" spans="2:11" x14ac:dyDescent="0.25">
      <c r="B377" t="s">
        <v>69</v>
      </c>
      <c r="C377" s="1">
        <v>1</v>
      </c>
      <c r="D377" s="1">
        <v>2020</v>
      </c>
      <c r="E377" s="166">
        <v>83.4</v>
      </c>
      <c r="F377" s="1" t="s">
        <v>21</v>
      </c>
      <c r="G377" s="1" t="str">
        <f>IF(Table2[[#This Row],[Description]]="","",VLOOKUP(Table2[[#This Row],[Description]],$Q$1:$S$101,2,FALSE))</f>
        <v>MN free</v>
      </c>
      <c r="H377" s="1" t="str">
        <f>IF(Table2[[#This Row],[Description]]="","",VLOOKUP(Table2[[#This Row],[Description]],$Q$1:$S$101,3,FALSE))</f>
        <v>Mid</v>
      </c>
      <c r="I377" s="1">
        <f>IF(Table2[[#This Row],[Description]]="","",IF(Table2[[#This Row],[Currency]]=$O$2,$P$2,HLOOKUP(Table2[[#This Row],[Date]],Funds!$C$10:$GV$11,2,FALSE)))</f>
        <v>1</v>
      </c>
      <c r="J377" s="215">
        <f>IF(Table2[[#This Row],[Description]]="","",Table2[[#This Row],[Value]]/Table2[[#This Row],[Conversion]])</f>
        <v>83.4</v>
      </c>
      <c r="K377" s="45">
        <f>IF(Table2[[#This Row],[Description]]="","",DATE(Table2[[#This Row],[Year]],Table2[[#This Row],[Month]],1))</f>
        <v>43831</v>
      </c>
    </row>
    <row r="378" spans="2:11" x14ac:dyDescent="0.25">
      <c r="B378" t="s">
        <v>72</v>
      </c>
      <c r="C378" s="1">
        <v>1</v>
      </c>
      <c r="D378" s="1">
        <v>2020</v>
      </c>
      <c r="E378" s="166">
        <v>12.99</v>
      </c>
      <c r="F378" s="1" t="s">
        <v>21</v>
      </c>
      <c r="G378" s="1" t="str">
        <f>IF(Table2[[#This Row],[Description]]="","",VLOOKUP(Table2[[#This Row],[Description]],$Q$1:$S$101,2,FALSE))</f>
        <v>EK free</v>
      </c>
      <c r="H378" s="1" t="str">
        <f>IF(Table2[[#This Row],[Description]]="","",VLOOKUP(Table2[[#This Row],[Description]],$Q$1:$S$101,3,FALSE))</f>
        <v>Mid</v>
      </c>
      <c r="I378" s="1">
        <f>IF(Table2[[#This Row],[Description]]="","",IF(Table2[[#This Row],[Currency]]=$O$2,$P$2,HLOOKUP(Table2[[#This Row],[Date]],Funds!$C$10:$GV$11,2,FALSE)))</f>
        <v>1</v>
      </c>
      <c r="J378" s="215">
        <f>IF(Table2[[#This Row],[Description]]="","",Table2[[#This Row],[Value]]/Table2[[#This Row],[Conversion]])</f>
        <v>12.99</v>
      </c>
      <c r="K378" s="45">
        <f>IF(Table2[[#This Row],[Description]]="","",DATE(Table2[[#This Row],[Year]],Table2[[#This Row],[Month]],1))</f>
        <v>43831</v>
      </c>
    </row>
    <row r="379" spans="2:11" x14ac:dyDescent="0.25">
      <c r="B379" t="s">
        <v>73</v>
      </c>
      <c r="C379" s="1">
        <v>1</v>
      </c>
      <c r="D379" s="1">
        <v>2020</v>
      </c>
      <c r="E379" s="166">
        <v>24.99</v>
      </c>
      <c r="F379" s="1" t="s">
        <v>21</v>
      </c>
      <c r="G379" s="1" t="str">
        <f>IF(Table2[[#This Row],[Description]]="","",VLOOKUP(Table2[[#This Row],[Description]],$Q$1:$S$101,2,FALSE))</f>
        <v>MN free</v>
      </c>
      <c r="H379" s="1" t="str">
        <f>IF(Table2[[#This Row],[Description]]="","",VLOOKUP(Table2[[#This Row],[Description]],$Q$1:$S$101,3,FALSE))</f>
        <v>Mid</v>
      </c>
      <c r="I379" s="1">
        <f>IF(Table2[[#This Row],[Description]]="","",IF(Table2[[#This Row],[Currency]]=$O$2,$P$2,HLOOKUP(Table2[[#This Row],[Date]],Funds!$C$10:$GV$11,2,FALSE)))</f>
        <v>1</v>
      </c>
      <c r="J379" s="215">
        <f>IF(Table2[[#This Row],[Description]]="","",Table2[[#This Row],[Value]]/Table2[[#This Row],[Conversion]])</f>
        <v>24.99</v>
      </c>
      <c r="K379" s="45">
        <f>IF(Table2[[#This Row],[Description]]="","",DATE(Table2[[#This Row],[Year]],Table2[[#This Row],[Month]],1))</f>
        <v>43831</v>
      </c>
    </row>
    <row r="380" spans="2:11" x14ac:dyDescent="0.25">
      <c r="B380" t="s">
        <v>57</v>
      </c>
      <c r="C380" s="1">
        <v>1</v>
      </c>
      <c r="D380" s="1">
        <v>2020</v>
      </c>
      <c r="E380" s="166">
        <f>136.31-12.99-24.99</f>
        <v>98.330000000000013</v>
      </c>
      <c r="F380" s="1" t="s">
        <v>21</v>
      </c>
      <c r="G380" s="1" t="str">
        <f>IF(Table2[[#This Row],[Description]]="","",VLOOKUP(Table2[[#This Row],[Description]],$Q$1:$S$101,2,FALSE))</f>
        <v>Food</v>
      </c>
      <c r="H380" s="1" t="str">
        <f>IF(Table2[[#This Row],[Description]]="","",VLOOKUP(Table2[[#This Row],[Description]],$Q$1:$S$101,3,FALSE))</f>
        <v>Short</v>
      </c>
      <c r="I380" s="1">
        <f>IF(Table2[[#This Row],[Description]]="","",IF(Table2[[#This Row],[Currency]]=$O$2,$P$2,HLOOKUP(Table2[[#This Row],[Date]],Funds!$C$10:$GV$11,2,FALSE)))</f>
        <v>1</v>
      </c>
      <c r="J380" s="215">
        <f>IF(Table2[[#This Row],[Description]]="","",Table2[[#This Row],[Value]]/Table2[[#This Row],[Conversion]])</f>
        <v>98.330000000000013</v>
      </c>
      <c r="K380" s="45">
        <f>IF(Table2[[#This Row],[Description]]="","",DATE(Table2[[#This Row],[Year]],Table2[[#This Row],[Month]],1))</f>
        <v>43831</v>
      </c>
    </row>
    <row r="381" spans="2:11" x14ac:dyDescent="0.25">
      <c r="B381" t="s">
        <v>256</v>
      </c>
      <c r="C381" s="1">
        <v>2</v>
      </c>
      <c r="D381" s="1">
        <v>2020</v>
      </c>
      <c r="E381" s="166">
        <f>121.15</f>
        <v>121.15</v>
      </c>
      <c r="F381" s="1" t="s">
        <v>21</v>
      </c>
      <c r="G381" s="1" t="str">
        <f>IF(Table2[[#This Row],[Description]]="","",VLOOKUP(Table2[[#This Row],[Description]],$Q$1:$S$101,2,FALSE))</f>
        <v>MN free</v>
      </c>
      <c r="H381" s="1" t="str">
        <f>IF(Table2[[#This Row],[Description]]="","",VLOOKUP(Table2[[#This Row],[Description]],$Q$1:$S$101,3,FALSE))</f>
        <v>Mid</v>
      </c>
      <c r="I381" s="1">
        <f>IF(Table2[[#This Row],[Description]]="","",IF(Table2[[#This Row],[Currency]]=$O$2,$P$2,HLOOKUP(Table2[[#This Row],[Date]],Funds!$C$10:$GV$11,2,FALSE)))</f>
        <v>1</v>
      </c>
      <c r="J381" s="215">
        <f>IF(Table2[[#This Row],[Description]]="","",Table2[[#This Row],[Value]]/Table2[[#This Row],[Conversion]])</f>
        <v>121.15</v>
      </c>
      <c r="K381" s="45">
        <f>IF(Table2[[#This Row],[Description]]="","",DATE(Table2[[#This Row],[Year]],Table2[[#This Row],[Month]],1))</f>
        <v>43862</v>
      </c>
    </row>
    <row r="382" spans="2:11" x14ac:dyDescent="0.25">
      <c r="B382" t="s">
        <v>255</v>
      </c>
      <c r="C382" s="1">
        <v>2</v>
      </c>
      <c r="D382" s="1">
        <v>2020</v>
      </c>
      <c r="E382" s="166">
        <f>121.15</f>
        <v>121.15</v>
      </c>
      <c r="F382" s="1" t="s">
        <v>21</v>
      </c>
      <c r="G382" s="1" t="str">
        <f>IF(Table2[[#This Row],[Description]]="","",VLOOKUP(Table2[[#This Row],[Description]],$Q$1:$S$101,2,FALSE))</f>
        <v>EK free</v>
      </c>
      <c r="H382" s="1" t="str">
        <f>IF(Table2[[#This Row],[Description]]="","",VLOOKUP(Table2[[#This Row],[Description]],$Q$1:$S$101,3,FALSE))</f>
        <v>Mid</v>
      </c>
      <c r="I382" s="1">
        <f>IF(Table2[[#This Row],[Description]]="","",IF(Table2[[#This Row],[Currency]]=$O$2,$P$2,HLOOKUP(Table2[[#This Row],[Date]],Funds!$C$10:$GV$11,2,FALSE)))</f>
        <v>1</v>
      </c>
      <c r="J382" s="215">
        <f>IF(Table2[[#This Row],[Description]]="","",Table2[[#This Row],[Value]]/Table2[[#This Row],[Conversion]])</f>
        <v>121.15</v>
      </c>
      <c r="K382" s="45">
        <f>IF(Table2[[#This Row],[Description]]="","",DATE(Table2[[#This Row],[Year]],Table2[[#This Row],[Month]],1))</f>
        <v>43862</v>
      </c>
    </row>
    <row r="383" spans="2:11" x14ac:dyDescent="0.25">
      <c r="B383" t="s">
        <v>68</v>
      </c>
      <c r="C383" s="1">
        <v>2</v>
      </c>
      <c r="D383" s="1">
        <v>2020</v>
      </c>
      <c r="E383" s="166">
        <v>85</v>
      </c>
      <c r="F383" s="1" t="s">
        <v>21</v>
      </c>
      <c r="G383" s="1" t="str">
        <f>IF(Table2[[#This Row],[Description]]="","",VLOOKUP(Table2[[#This Row],[Description]],$Q$1:$S$101,2,FALSE))</f>
        <v>EK free</v>
      </c>
      <c r="H383" s="1" t="str">
        <f>IF(Table2[[#This Row],[Description]]="","",VLOOKUP(Table2[[#This Row],[Description]],$Q$1:$S$101,3,FALSE))</f>
        <v>Mid</v>
      </c>
      <c r="I383" s="1">
        <f>IF(Table2[[#This Row],[Description]]="","",IF(Table2[[#This Row],[Currency]]=$O$2,$P$2,HLOOKUP(Table2[[#This Row],[Date]],Funds!$C$10:$GV$11,2,FALSE)))</f>
        <v>1</v>
      </c>
      <c r="J383" s="215">
        <f>IF(Table2[[#This Row],[Description]]="","",Table2[[#This Row],[Value]]/Table2[[#This Row],[Conversion]])</f>
        <v>85</v>
      </c>
      <c r="K383" s="45">
        <f>IF(Table2[[#This Row],[Description]]="","",DATE(Table2[[#This Row],[Year]],Table2[[#This Row],[Month]],1))</f>
        <v>43862</v>
      </c>
    </row>
    <row r="384" spans="2:11" x14ac:dyDescent="0.25">
      <c r="B384" t="s">
        <v>69</v>
      </c>
      <c r="C384" s="1">
        <v>2</v>
      </c>
      <c r="D384" s="1">
        <v>2020</v>
      </c>
      <c r="E384" s="166">
        <v>85</v>
      </c>
      <c r="F384" s="1" t="s">
        <v>21</v>
      </c>
      <c r="G384" s="1" t="str">
        <f>IF(Table2[[#This Row],[Description]]="","",VLOOKUP(Table2[[#This Row],[Description]],$Q$1:$S$101,2,FALSE))</f>
        <v>MN free</v>
      </c>
      <c r="H384" s="1" t="str">
        <f>IF(Table2[[#This Row],[Description]]="","",VLOOKUP(Table2[[#This Row],[Description]],$Q$1:$S$101,3,FALSE))</f>
        <v>Mid</v>
      </c>
      <c r="I384" s="1">
        <f>IF(Table2[[#This Row],[Description]]="","",IF(Table2[[#This Row],[Currency]]=$O$2,$P$2,HLOOKUP(Table2[[#This Row],[Date]],Funds!$C$10:$GV$11,2,FALSE)))</f>
        <v>1</v>
      </c>
      <c r="J384" s="215">
        <f>IF(Table2[[#This Row],[Description]]="","",Table2[[#This Row],[Value]]/Table2[[#This Row],[Conversion]])</f>
        <v>85</v>
      </c>
      <c r="K384" s="45">
        <f>IF(Table2[[#This Row],[Description]]="","",DATE(Table2[[#This Row],[Year]],Table2[[#This Row],[Month]],1))</f>
        <v>43862</v>
      </c>
    </row>
    <row r="385" spans="2:11" x14ac:dyDescent="0.25">
      <c r="B385" t="s">
        <v>289</v>
      </c>
      <c r="C385" s="1">
        <v>1</v>
      </c>
      <c r="D385" s="1">
        <v>2020</v>
      </c>
      <c r="E385" s="166">
        <v>0</v>
      </c>
      <c r="F385" s="1" t="s">
        <v>21</v>
      </c>
      <c r="G385" s="1" t="str">
        <f>IF(Table2[[#This Row],[Description]]="","",VLOOKUP(Table2[[#This Row],[Description]],$Q$1:$S$101,2,FALSE))</f>
        <v>BR trips</v>
      </c>
      <c r="H385" s="1" t="str">
        <f>IF(Table2[[#This Row],[Description]]="","",VLOOKUP(Table2[[#This Row],[Description]],$Q$1:$S$101,3,FALSE))</f>
        <v>Mid</v>
      </c>
      <c r="I385" s="1">
        <f>IF(Table2[[#This Row],[Description]]="","",IF(Table2[[#This Row],[Currency]]=$O$2,$P$2,HLOOKUP(Table2[[#This Row],[Date]],Funds!$C$10:$GV$11,2,FALSE)))</f>
        <v>1</v>
      </c>
      <c r="J385" s="215">
        <f>IF(Table2[[#This Row],[Description]]="","",Table2[[#This Row],[Value]]/Table2[[#This Row],[Conversion]])</f>
        <v>0</v>
      </c>
      <c r="K385" s="45">
        <f>IF(Table2[[#This Row],[Description]]="","",DATE(Table2[[#This Row],[Year]],Table2[[#This Row],[Month]],1))</f>
        <v>43831</v>
      </c>
    </row>
    <row r="386" spans="2:11" x14ac:dyDescent="0.25">
      <c r="B386" t="s">
        <v>471</v>
      </c>
      <c r="C386" s="1">
        <v>1</v>
      </c>
      <c r="D386" s="1">
        <v>2020</v>
      </c>
      <c r="E386" s="166">
        <v>-147</v>
      </c>
      <c r="F386" s="1" t="s">
        <v>21</v>
      </c>
      <c r="G386" s="1" t="str">
        <f>IF(Table2[[#This Row],[Description]]="","",VLOOKUP(Table2[[#This Row],[Description]],$Q$1:$S$101,2,FALSE))</f>
        <v>Mid</v>
      </c>
      <c r="H386" s="1" t="str">
        <f>IF(Table2[[#This Row],[Description]]="","",VLOOKUP(Table2[[#This Row],[Description]],$Q$1:$S$101,3,FALSE))</f>
        <v>Mid</v>
      </c>
      <c r="I386" s="1">
        <f>IF(Table2[[#This Row],[Description]]="","",IF(Table2[[#This Row],[Currency]]=$O$2,$P$2,HLOOKUP(Table2[[#This Row],[Date]],Funds!$C$10:$GV$11,2,FALSE)))</f>
        <v>1</v>
      </c>
      <c r="J386" s="215">
        <f>IF(Table2[[#This Row],[Description]]="","",Table2[[#This Row],[Value]]/Table2[[#This Row],[Conversion]])</f>
        <v>-147</v>
      </c>
      <c r="K386" s="45">
        <f>IF(Table2[[#This Row],[Description]]="","",DATE(Table2[[#This Row],[Year]],Table2[[#This Row],[Month]],1))</f>
        <v>43831</v>
      </c>
    </row>
    <row r="387" spans="2:11" x14ac:dyDescent="0.25">
      <c r="B387" t="s">
        <v>264</v>
      </c>
      <c r="C387" s="1">
        <v>1</v>
      </c>
      <c r="D387" s="1">
        <v>2020</v>
      </c>
      <c r="E387" s="166">
        <v>0</v>
      </c>
      <c r="F387" s="1" t="s">
        <v>21</v>
      </c>
      <c r="G387" s="1" t="str">
        <f>IF(Table2[[#This Row],[Description]]="","",VLOOKUP(Table2[[#This Row],[Description]],$Q$1:$S$101,2,FALSE))</f>
        <v>MN free</v>
      </c>
      <c r="H387" s="1" t="str">
        <f>IF(Table2[[#This Row],[Description]]="","",VLOOKUP(Table2[[#This Row],[Description]],$Q$1:$S$101,3,FALSE))</f>
        <v>Mid</v>
      </c>
      <c r="I387" s="1">
        <f>IF(Table2[[#This Row],[Description]]="","",IF(Table2[[#This Row],[Currency]]=$O$2,$P$2,HLOOKUP(Table2[[#This Row],[Date]],Funds!$C$10:$GV$11,2,FALSE)))</f>
        <v>1</v>
      </c>
      <c r="J387" s="215">
        <f>IF(Table2[[#This Row],[Description]]="","",Table2[[#This Row],[Value]]/Table2[[#This Row],[Conversion]])</f>
        <v>0</v>
      </c>
      <c r="K387" s="45">
        <f>IF(Table2[[#This Row],[Description]]="","",DATE(Table2[[#This Row],[Year]],Table2[[#This Row],[Month]],1))</f>
        <v>43831</v>
      </c>
    </row>
    <row r="388" spans="2:11" x14ac:dyDescent="0.25">
      <c r="B388" t="s">
        <v>520</v>
      </c>
      <c r="C388" s="1">
        <v>1</v>
      </c>
      <c r="D388" s="1">
        <v>2020</v>
      </c>
      <c r="E388" s="166">
        <v>59.94</v>
      </c>
      <c r="F388" s="1" t="s">
        <v>21</v>
      </c>
      <c r="G388" s="1" t="str">
        <f>IF(Table2[[#This Row],[Description]]="","",VLOOKUP(Table2[[#This Row],[Description]],$Q$1:$S$101,2,FALSE))</f>
        <v>Leisure</v>
      </c>
      <c r="H388" s="1" t="str">
        <f>IF(Table2[[#This Row],[Description]]="","",VLOOKUP(Table2[[#This Row],[Description]],$Q$1:$S$101,3,FALSE))</f>
        <v>Short</v>
      </c>
      <c r="I388" s="1">
        <f>IF(Table2[[#This Row],[Description]]="","",IF(Table2[[#This Row],[Currency]]=$O$2,$P$2,HLOOKUP(Table2[[#This Row],[Date]],Funds!$C$10:$GV$11,2,FALSE)))</f>
        <v>1</v>
      </c>
      <c r="J388" s="215">
        <f>IF(Table2[[#This Row],[Description]]="","",Table2[[#This Row],[Value]]/Table2[[#This Row],[Conversion]])</f>
        <v>59.94</v>
      </c>
      <c r="K388" s="45">
        <f>IF(Table2[[#This Row],[Description]]="","",DATE(Table2[[#This Row],[Year]],Table2[[#This Row],[Month]],1))</f>
        <v>43831</v>
      </c>
    </row>
    <row r="389" spans="2:11" x14ac:dyDescent="0.25">
      <c r="B389" t="s">
        <v>289</v>
      </c>
      <c r="C389" s="1">
        <v>2</v>
      </c>
      <c r="D389" s="1">
        <v>2020</v>
      </c>
      <c r="E389" s="166">
        <v>147.72</v>
      </c>
      <c r="F389" s="1" t="s">
        <v>21</v>
      </c>
      <c r="G389" s="1" t="str">
        <f>IF(Table2[[#This Row],[Description]]="","",VLOOKUP(Table2[[#This Row],[Description]],$Q$1:$S$101,2,FALSE))</f>
        <v>BR trips</v>
      </c>
      <c r="H389" s="1" t="str">
        <f>IF(Table2[[#This Row],[Description]]="","",VLOOKUP(Table2[[#This Row],[Description]],$Q$1:$S$101,3,FALSE))</f>
        <v>Mid</v>
      </c>
      <c r="I389" s="1">
        <f>IF(Table2[[#This Row],[Description]]="","",IF(Table2[[#This Row],[Currency]]=$O$2,$P$2,HLOOKUP(Table2[[#This Row],[Date]],Funds!$C$10:$GV$11,2,FALSE)))</f>
        <v>1</v>
      </c>
      <c r="J389" s="215">
        <f>IF(Table2[[#This Row],[Description]]="","",Table2[[#This Row],[Value]]/Table2[[#This Row],[Conversion]])</f>
        <v>147.72</v>
      </c>
      <c r="K389" s="45">
        <f>IF(Table2[[#This Row],[Description]]="","",DATE(Table2[[#This Row],[Year]],Table2[[#This Row],[Month]],1))</f>
        <v>43862</v>
      </c>
    </row>
    <row r="390" spans="2:11" x14ac:dyDescent="0.25">
      <c r="B390" t="s">
        <v>471</v>
      </c>
      <c r="C390" s="1">
        <v>2</v>
      </c>
      <c r="D390" s="1">
        <v>2020</v>
      </c>
      <c r="E390" s="166">
        <v>-129.65000000000003</v>
      </c>
      <c r="F390" s="1" t="s">
        <v>21</v>
      </c>
      <c r="G390" s="1" t="str">
        <f>IF(Table2[[#This Row],[Description]]="","",VLOOKUP(Table2[[#This Row],[Description]],$Q$1:$S$101,2,FALSE))</f>
        <v>Mid</v>
      </c>
      <c r="H390" s="1" t="str">
        <f>IF(Table2[[#This Row],[Description]]="","",VLOOKUP(Table2[[#This Row],[Description]],$Q$1:$S$101,3,FALSE))</f>
        <v>Mid</v>
      </c>
      <c r="I390" s="1">
        <f>IF(Table2[[#This Row],[Description]]="","",IF(Table2[[#This Row],[Currency]]=$O$2,$P$2,HLOOKUP(Table2[[#This Row],[Date]],Funds!$C$10:$GV$11,2,FALSE)))</f>
        <v>1</v>
      </c>
      <c r="J390" s="215">
        <f>IF(Table2[[#This Row],[Description]]="","",Table2[[#This Row],[Value]]/Table2[[#This Row],[Conversion]])</f>
        <v>-129.65000000000003</v>
      </c>
      <c r="K390" s="45">
        <f>IF(Table2[[#This Row],[Description]]="","",DATE(Table2[[#This Row],[Year]],Table2[[#This Row],[Month]],1))</f>
        <v>43862</v>
      </c>
    </row>
    <row r="391" spans="2:11" x14ac:dyDescent="0.25">
      <c r="B391" t="s">
        <v>264</v>
      </c>
      <c r="C391" s="1">
        <v>2</v>
      </c>
      <c r="D391" s="1">
        <v>2020</v>
      </c>
      <c r="E391" s="166">
        <v>22.85</v>
      </c>
      <c r="F391" s="1" t="s">
        <v>21</v>
      </c>
      <c r="G391" s="1" t="str">
        <f>IF(Table2[[#This Row],[Description]]="","",VLOOKUP(Table2[[#This Row],[Description]],$Q$1:$S$101,2,FALSE))</f>
        <v>MN free</v>
      </c>
      <c r="H391" s="1" t="str">
        <f>IF(Table2[[#This Row],[Description]]="","",VLOOKUP(Table2[[#This Row],[Description]],$Q$1:$S$101,3,FALSE))</f>
        <v>Mid</v>
      </c>
      <c r="I391" s="1">
        <f>IF(Table2[[#This Row],[Description]]="","",IF(Table2[[#This Row],[Currency]]=$O$2,$P$2,HLOOKUP(Table2[[#This Row],[Date]],Funds!$C$10:$GV$11,2,FALSE)))</f>
        <v>1</v>
      </c>
      <c r="J391" s="215">
        <f>IF(Table2[[#This Row],[Description]]="","",Table2[[#This Row],[Value]]/Table2[[#This Row],[Conversion]])</f>
        <v>22.85</v>
      </c>
      <c r="K391" s="45">
        <f>IF(Table2[[#This Row],[Description]]="","",DATE(Table2[[#This Row],[Year]],Table2[[#This Row],[Month]],1))</f>
        <v>43862</v>
      </c>
    </row>
    <row r="392" spans="2:11" x14ac:dyDescent="0.25">
      <c r="B392" t="s">
        <v>520</v>
      </c>
      <c r="C392" s="1">
        <v>2</v>
      </c>
      <c r="D392" s="1">
        <v>2020</v>
      </c>
      <c r="E392" s="166">
        <v>59.94</v>
      </c>
      <c r="F392" s="1" t="s">
        <v>21</v>
      </c>
      <c r="G392" s="1" t="str">
        <f>IF(Table2[[#This Row],[Description]]="","",VLOOKUP(Table2[[#This Row],[Description]],$Q$1:$S$101,2,FALSE))</f>
        <v>Leisure</v>
      </c>
      <c r="H392" s="1" t="str">
        <f>IF(Table2[[#This Row],[Description]]="","",VLOOKUP(Table2[[#This Row],[Description]],$Q$1:$S$101,3,FALSE))</f>
        <v>Short</v>
      </c>
      <c r="I392" s="1">
        <f>IF(Table2[[#This Row],[Description]]="","",IF(Table2[[#This Row],[Currency]]=$O$2,$P$2,HLOOKUP(Table2[[#This Row],[Date]],Funds!$C$10:$GV$11,2,FALSE)))</f>
        <v>1</v>
      </c>
      <c r="J392" s="215">
        <f>IF(Table2[[#This Row],[Description]]="","",Table2[[#This Row],[Value]]/Table2[[#This Row],[Conversion]])</f>
        <v>59.94</v>
      </c>
      <c r="K392" s="45">
        <f>IF(Table2[[#This Row],[Description]]="","",DATE(Table2[[#This Row],[Year]],Table2[[#This Row],[Month]],1))</f>
        <v>43862</v>
      </c>
    </row>
    <row r="393" spans="2:11" x14ac:dyDescent="0.25">
      <c r="B393" t="s">
        <v>58</v>
      </c>
      <c r="C393" s="1">
        <v>1</v>
      </c>
      <c r="D393" s="1">
        <v>2020</v>
      </c>
      <c r="E393" s="166">
        <v>297.86999999999995</v>
      </c>
      <c r="F393" s="1" t="s">
        <v>21</v>
      </c>
      <c r="G393" s="1" t="str">
        <f>IF(Table2[[#This Row],[Description]]="","",VLOOKUP(Table2[[#This Row],[Description]],$Q$1:$S$101,2,FALSE))</f>
        <v>Food</v>
      </c>
      <c r="H393" s="1" t="str">
        <f>IF(Table2[[#This Row],[Description]]="","",VLOOKUP(Table2[[#This Row],[Description]],$Q$1:$S$101,3,FALSE))</f>
        <v>Short</v>
      </c>
      <c r="I393" s="1">
        <f>IF(Table2[[#This Row],[Description]]="","",IF(Table2[[#This Row],[Currency]]=$O$2,$P$2,HLOOKUP(Table2[[#This Row],[Date]],Funds!$C$10:$GV$11,2,FALSE)))</f>
        <v>1</v>
      </c>
      <c r="J393" s="215">
        <f>IF(Table2[[#This Row],[Description]]="","",Table2[[#This Row],[Value]]/Table2[[#This Row],[Conversion]])</f>
        <v>297.86999999999995</v>
      </c>
      <c r="K393" s="45">
        <f>IF(Table2[[#This Row],[Description]]="","",DATE(Table2[[#This Row],[Year]],Table2[[#This Row],[Month]],1))</f>
        <v>43831</v>
      </c>
    </row>
    <row r="394" spans="2:11" x14ac:dyDescent="0.25">
      <c r="B394" t="s">
        <v>52</v>
      </c>
      <c r="C394" s="1">
        <v>1</v>
      </c>
      <c r="D394" s="1">
        <v>2020</v>
      </c>
      <c r="E394" s="166">
        <v>23.83</v>
      </c>
      <c r="F394" s="1" t="s">
        <v>21</v>
      </c>
      <c r="G394" s="1" t="str">
        <f>IF(Table2[[#This Row],[Description]]="","",VLOOKUP(Table2[[#This Row],[Description]],$Q$1:$S$101,2,FALSE))</f>
        <v>Utilities</v>
      </c>
      <c r="H394" s="1" t="str">
        <f>IF(Table2[[#This Row],[Description]]="","",VLOOKUP(Table2[[#This Row],[Description]],$Q$1:$S$101,3,FALSE))</f>
        <v>Short</v>
      </c>
      <c r="I394" s="1">
        <f>IF(Table2[[#This Row],[Description]]="","",IF(Table2[[#This Row],[Currency]]=$O$2,$P$2,HLOOKUP(Table2[[#This Row],[Date]],Funds!$C$10:$GV$11,2,FALSE)))</f>
        <v>1</v>
      </c>
      <c r="J394" s="215">
        <f>IF(Table2[[#This Row],[Description]]="","",Table2[[#This Row],[Value]]/Table2[[#This Row],[Conversion]])</f>
        <v>23.83</v>
      </c>
      <c r="K394" s="45">
        <f>IF(Table2[[#This Row],[Description]]="","",DATE(Table2[[#This Row],[Year]],Table2[[#This Row],[Month]],1))</f>
        <v>43831</v>
      </c>
    </row>
    <row r="395" spans="2:11" x14ac:dyDescent="0.25">
      <c r="B395" t="s">
        <v>57</v>
      </c>
      <c r="C395" s="1">
        <v>1</v>
      </c>
      <c r="D395" s="1">
        <v>2020</v>
      </c>
      <c r="E395" s="166">
        <v>413.66</v>
      </c>
      <c r="F395" s="1" t="s">
        <v>21</v>
      </c>
      <c r="G395" s="1" t="str">
        <f>IF(Table2[[#This Row],[Description]]="","",VLOOKUP(Table2[[#This Row],[Description]],$Q$1:$S$101,2,FALSE))</f>
        <v>Food</v>
      </c>
      <c r="H395" s="1" t="str">
        <f>IF(Table2[[#This Row],[Description]]="","",VLOOKUP(Table2[[#This Row],[Description]],$Q$1:$S$101,3,FALSE))</f>
        <v>Short</v>
      </c>
      <c r="I395" s="1">
        <f>IF(Table2[[#This Row],[Description]]="","",IF(Table2[[#This Row],[Currency]]=$O$2,$P$2,HLOOKUP(Table2[[#This Row],[Date]],Funds!$C$10:$GV$11,2,FALSE)))</f>
        <v>1</v>
      </c>
      <c r="J395" s="215">
        <f>IF(Table2[[#This Row],[Description]]="","",Table2[[#This Row],[Value]]/Table2[[#This Row],[Conversion]])</f>
        <v>413.66</v>
      </c>
      <c r="K395" s="45">
        <f>IF(Table2[[#This Row],[Description]]="","",DATE(Table2[[#This Row],[Year]],Table2[[#This Row],[Month]],1))</f>
        <v>43831</v>
      </c>
    </row>
    <row r="396" spans="2:11" x14ac:dyDescent="0.25">
      <c r="B396" t="s">
        <v>266</v>
      </c>
      <c r="C396" s="1">
        <v>1</v>
      </c>
      <c r="D396" s="1">
        <v>2020</v>
      </c>
      <c r="E396" s="166">
        <v>5.44</v>
      </c>
      <c r="F396" s="1" t="s">
        <v>21</v>
      </c>
      <c r="G396" s="1" t="str">
        <f>IF(Table2[[#This Row],[Description]]="","",VLOOKUP(Table2[[#This Row],[Description]],$Q$1:$S$101,2,FALSE))</f>
        <v>Leisure</v>
      </c>
      <c r="H396" s="1" t="str">
        <f>IF(Table2[[#This Row],[Description]]="","",VLOOKUP(Table2[[#This Row],[Description]],$Q$1:$S$101,3,FALSE))</f>
        <v>Short</v>
      </c>
      <c r="I396" s="1">
        <f>IF(Table2[[#This Row],[Description]]="","",IF(Table2[[#This Row],[Currency]]=$O$2,$P$2,HLOOKUP(Table2[[#This Row],[Date]],Funds!$C$10:$GV$11,2,FALSE)))</f>
        <v>1</v>
      </c>
      <c r="J396" s="215">
        <f>IF(Table2[[#This Row],[Description]]="","",Table2[[#This Row],[Value]]/Table2[[#This Row],[Conversion]])</f>
        <v>5.44</v>
      </c>
      <c r="K396" s="45">
        <f>IF(Table2[[#This Row],[Description]]="","",DATE(Table2[[#This Row],[Year]],Table2[[#This Row],[Month]],1))</f>
        <v>43831</v>
      </c>
    </row>
    <row r="397" spans="2:11" x14ac:dyDescent="0.25">
      <c r="B397" t="s">
        <v>256</v>
      </c>
      <c r="C397" s="1">
        <v>1</v>
      </c>
      <c r="D397" s="1">
        <v>2020</v>
      </c>
      <c r="E397" s="166">
        <v>285.7</v>
      </c>
      <c r="F397" s="1" t="s">
        <v>21</v>
      </c>
      <c r="G397" s="1" t="str">
        <f>IF(Table2[[#This Row],[Description]]="","",VLOOKUP(Table2[[#This Row],[Description]],$Q$1:$S$101,2,FALSE))</f>
        <v>MN free</v>
      </c>
      <c r="H397" s="1" t="str">
        <f>IF(Table2[[#This Row],[Description]]="","",VLOOKUP(Table2[[#This Row],[Description]],$Q$1:$S$101,3,FALSE))</f>
        <v>Mid</v>
      </c>
      <c r="I397" s="1">
        <f>IF(Table2[[#This Row],[Description]]="","",IF(Table2[[#This Row],[Currency]]=$O$2,$P$2,HLOOKUP(Table2[[#This Row],[Date]],Funds!$C$10:$GV$11,2,FALSE)))</f>
        <v>1</v>
      </c>
      <c r="J397" s="215">
        <f>IF(Table2[[#This Row],[Description]]="","",Table2[[#This Row],[Value]]/Table2[[#This Row],[Conversion]])</f>
        <v>285.7</v>
      </c>
      <c r="K397" s="45">
        <f>IF(Table2[[#This Row],[Description]]="","",DATE(Table2[[#This Row],[Year]],Table2[[#This Row],[Month]],1))</f>
        <v>43831</v>
      </c>
    </row>
    <row r="398" spans="2:11" x14ac:dyDescent="0.25">
      <c r="B398" t="s">
        <v>29</v>
      </c>
      <c r="C398" s="1">
        <v>1</v>
      </c>
      <c r="D398" s="1">
        <v>2020</v>
      </c>
      <c r="E398" s="166">
        <v>78.78</v>
      </c>
      <c r="F398" s="1" t="s">
        <v>21</v>
      </c>
      <c r="G398" s="1" t="str">
        <f>IF(Table2[[#This Row],[Description]]="","",VLOOKUP(Table2[[#This Row],[Description]],$Q$1:$S$101,2,FALSE))</f>
        <v>Health</v>
      </c>
      <c r="H398" s="1" t="str">
        <f>IF(Table2[[#This Row],[Description]]="","",VLOOKUP(Table2[[#This Row],[Description]],$Q$1:$S$101,3,FALSE))</f>
        <v>Mid</v>
      </c>
      <c r="I398" s="1">
        <f>IF(Table2[[#This Row],[Description]]="","",IF(Table2[[#This Row],[Currency]]=$O$2,$P$2,HLOOKUP(Table2[[#This Row],[Date]],Funds!$C$10:$GV$11,2,FALSE)))</f>
        <v>1</v>
      </c>
      <c r="J398" s="215">
        <f>IF(Table2[[#This Row],[Description]]="","",Table2[[#This Row],[Value]]/Table2[[#This Row],[Conversion]])</f>
        <v>78.78</v>
      </c>
      <c r="K398" s="45">
        <f>IF(Table2[[#This Row],[Description]]="","",DATE(Table2[[#This Row],[Year]],Table2[[#This Row],[Month]],1))</f>
        <v>43831</v>
      </c>
    </row>
    <row r="399" spans="2:11" x14ac:dyDescent="0.25">
      <c r="B399" t="s">
        <v>249</v>
      </c>
      <c r="C399" s="1">
        <v>1</v>
      </c>
      <c r="D399" s="1">
        <v>2020</v>
      </c>
      <c r="E399" s="166">
        <v>221.59000000000003</v>
      </c>
      <c r="F399" s="1" t="s">
        <v>21</v>
      </c>
      <c r="G399" s="1" t="str">
        <f>IF(Table2[[#This Row],[Description]]="","",VLOOKUP(Table2[[#This Row],[Description]],$Q$1:$S$101,2,FALSE))</f>
        <v>Leisure</v>
      </c>
      <c r="H399" s="1" t="str">
        <f>IF(Table2[[#This Row],[Description]]="","",VLOOKUP(Table2[[#This Row],[Description]],$Q$1:$S$101,3,FALSE))</f>
        <v>Short</v>
      </c>
      <c r="I399" s="1">
        <f>IF(Table2[[#This Row],[Description]]="","",IF(Table2[[#This Row],[Currency]]=$O$2,$P$2,HLOOKUP(Table2[[#This Row],[Date]],Funds!$C$10:$GV$11,2,FALSE)))</f>
        <v>1</v>
      </c>
      <c r="J399" s="215">
        <f>IF(Table2[[#This Row],[Description]]="","",Table2[[#This Row],[Value]]/Table2[[#This Row],[Conversion]])</f>
        <v>221.59000000000003</v>
      </c>
      <c r="K399" s="45">
        <f>IF(Table2[[#This Row],[Description]]="","",DATE(Table2[[#This Row],[Year]],Table2[[#This Row],[Month]],1))</f>
        <v>43831</v>
      </c>
    </row>
    <row r="400" spans="2:11" x14ac:dyDescent="0.25">
      <c r="B400" t="s">
        <v>255</v>
      </c>
      <c r="C400" s="1">
        <v>1</v>
      </c>
      <c r="D400" s="1">
        <v>2020</v>
      </c>
      <c r="E400" s="166">
        <v>0</v>
      </c>
      <c r="F400" s="1" t="s">
        <v>21</v>
      </c>
      <c r="G400" s="1" t="str">
        <f>IF(Table2[[#This Row],[Description]]="","",VLOOKUP(Table2[[#This Row],[Description]],$Q$1:$S$101,2,FALSE))</f>
        <v>EK free</v>
      </c>
      <c r="H400" s="1" t="str">
        <f>IF(Table2[[#This Row],[Description]]="","",VLOOKUP(Table2[[#This Row],[Description]],$Q$1:$S$101,3,FALSE))</f>
        <v>Mid</v>
      </c>
      <c r="I400" s="1">
        <f>IF(Table2[[#This Row],[Description]]="","",IF(Table2[[#This Row],[Currency]]=$O$2,$P$2,HLOOKUP(Table2[[#This Row],[Date]],Funds!$C$10:$GV$11,2,FALSE)))</f>
        <v>1</v>
      </c>
      <c r="J400" s="215">
        <f>IF(Table2[[#This Row],[Description]]="","",Table2[[#This Row],[Value]]/Table2[[#This Row],[Conversion]])</f>
        <v>0</v>
      </c>
      <c r="K400" s="45">
        <f>IF(Table2[[#This Row],[Description]]="","",DATE(Table2[[#This Row],[Year]],Table2[[#This Row],[Month]],1))</f>
        <v>43831</v>
      </c>
    </row>
    <row r="401" spans="2:11" x14ac:dyDescent="0.25">
      <c r="B401" t="s">
        <v>267</v>
      </c>
      <c r="C401" s="1">
        <v>1</v>
      </c>
      <c r="D401" s="1">
        <v>2020</v>
      </c>
      <c r="E401" s="166">
        <v>19.34</v>
      </c>
      <c r="F401" s="1" t="s">
        <v>21</v>
      </c>
      <c r="G401" s="1" t="str">
        <f>IF(Table2[[#This Row],[Description]]="","",VLOOKUP(Table2[[#This Row],[Description]],$Q$1:$S$101,2,FALSE))</f>
        <v>Leisure</v>
      </c>
      <c r="H401" s="1" t="str">
        <f>IF(Table2[[#This Row],[Description]]="","",VLOOKUP(Table2[[#This Row],[Description]],$Q$1:$S$101,3,FALSE))</f>
        <v>Short</v>
      </c>
      <c r="I401" s="1">
        <f>IF(Table2[[#This Row],[Description]]="","",IF(Table2[[#This Row],[Currency]]=$O$2,$P$2,HLOOKUP(Table2[[#This Row],[Date]],Funds!$C$10:$GV$11,2,FALSE)))</f>
        <v>1</v>
      </c>
      <c r="J401" s="215">
        <f>IF(Table2[[#This Row],[Description]]="","",Table2[[#This Row],[Value]]/Table2[[#This Row],[Conversion]])</f>
        <v>19.34</v>
      </c>
      <c r="K401" s="45">
        <f>IF(Table2[[#This Row],[Description]]="","",DATE(Table2[[#This Row],[Year]],Table2[[#This Row],[Month]],1))</f>
        <v>43831</v>
      </c>
    </row>
    <row r="402" spans="2:11" x14ac:dyDescent="0.25">
      <c r="B402" t="s">
        <v>56</v>
      </c>
      <c r="C402" s="1">
        <v>1</v>
      </c>
      <c r="D402" s="1">
        <v>2020</v>
      </c>
      <c r="E402" s="166">
        <v>50</v>
      </c>
      <c r="F402" s="1" t="s">
        <v>21</v>
      </c>
      <c r="G402" s="1" t="str">
        <f>IF(Table2[[#This Row],[Description]]="","",VLOOKUP(Table2[[#This Row],[Description]],$Q$1:$S$101,2,FALSE))</f>
        <v>Utilities</v>
      </c>
      <c r="H402" s="1" t="str">
        <f>IF(Table2[[#This Row],[Description]]="","",VLOOKUP(Table2[[#This Row],[Description]],$Q$1:$S$101,3,FALSE))</f>
        <v>Short</v>
      </c>
      <c r="I402" s="1">
        <f>IF(Table2[[#This Row],[Description]]="","",IF(Table2[[#This Row],[Currency]]=$O$2,$P$2,HLOOKUP(Table2[[#This Row],[Date]],Funds!$C$10:$GV$11,2,FALSE)))</f>
        <v>1</v>
      </c>
      <c r="J402" s="215">
        <f>IF(Table2[[#This Row],[Description]]="","",Table2[[#This Row],[Value]]/Table2[[#This Row],[Conversion]])</f>
        <v>50</v>
      </c>
      <c r="K402" s="45">
        <f>IF(Table2[[#This Row],[Description]]="","",DATE(Table2[[#This Row],[Year]],Table2[[#This Row],[Month]],1))</f>
        <v>43831</v>
      </c>
    </row>
    <row r="403" spans="2:11" x14ac:dyDescent="0.25">
      <c r="B403" t="s">
        <v>31</v>
      </c>
      <c r="C403" s="1">
        <v>1</v>
      </c>
      <c r="D403" s="1">
        <v>2020</v>
      </c>
      <c r="E403" s="166">
        <v>1709.58</v>
      </c>
      <c r="F403" s="1" t="s">
        <v>21</v>
      </c>
      <c r="G403" s="1" t="str">
        <f>IF(Table2[[#This Row],[Description]]="","",VLOOKUP(Table2[[#This Row],[Description]],$Q$1:$S$101,2,FALSE))</f>
        <v>Rent</v>
      </c>
      <c r="H403" s="1" t="str">
        <f>IF(Table2[[#This Row],[Description]]="","",VLOOKUP(Table2[[#This Row],[Description]],$Q$1:$S$101,3,FALSE))</f>
        <v>Short</v>
      </c>
      <c r="I403" s="1">
        <f>IF(Table2[[#This Row],[Description]]="","",IF(Table2[[#This Row],[Currency]]=$O$2,$P$2,HLOOKUP(Table2[[#This Row],[Date]],Funds!$C$10:$GV$11,2,FALSE)))</f>
        <v>1</v>
      </c>
      <c r="J403" s="215">
        <f>IF(Table2[[#This Row],[Description]]="","",Table2[[#This Row],[Value]]/Table2[[#This Row],[Conversion]])</f>
        <v>1709.58</v>
      </c>
      <c r="K403" s="45">
        <f>IF(Table2[[#This Row],[Description]]="","",DATE(Table2[[#This Row],[Year]],Table2[[#This Row],[Month]],1))</f>
        <v>43831</v>
      </c>
    </row>
    <row r="404" spans="2:11" x14ac:dyDescent="0.25">
      <c r="B404" t="s">
        <v>35</v>
      </c>
      <c r="C404" s="1">
        <v>1</v>
      </c>
      <c r="D404" s="1">
        <v>2020</v>
      </c>
      <c r="E404" s="166">
        <v>85.32</v>
      </c>
      <c r="F404" s="1" t="s">
        <v>21</v>
      </c>
      <c r="G404" s="1" t="str">
        <f>IF(Table2[[#This Row],[Description]]="","",VLOOKUP(Table2[[#This Row],[Description]],$Q$1:$S$101,2,FALSE))</f>
        <v>Cellphone</v>
      </c>
      <c r="H404" s="1" t="str">
        <f>IF(Table2[[#This Row],[Description]]="","",VLOOKUP(Table2[[#This Row],[Description]],$Q$1:$S$101,3,FALSE))</f>
        <v>Short</v>
      </c>
      <c r="I404" s="1">
        <f>IF(Table2[[#This Row],[Description]]="","",IF(Table2[[#This Row],[Currency]]=$O$2,$P$2,HLOOKUP(Table2[[#This Row],[Date]],Funds!$C$10:$GV$11,2,FALSE)))</f>
        <v>1</v>
      </c>
      <c r="J404" s="215">
        <f>IF(Table2[[#This Row],[Description]]="","",Table2[[#This Row],[Value]]/Table2[[#This Row],[Conversion]])</f>
        <v>85.32</v>
      </c>
      <c r="K404" s="45">
        <f>IF(Table2[[#This Row],[Description]]="","",DATE(Table2[[#This Row],[Year]],Table2[[#This Row],[Month]],1))</f>
        <v>43831</v>
      </c>
    </row>
    <row r="405" spans="2:11" x14ac:dyDescent="0.25">
      <c r="B405" t="s">
        <v>63</v>
      </c>
      <c r="C405" s="1">
        <v>1</v>
      </c>
      <c r="D405" s="1">
        <v>2020</v>
      </c>
      <c r="E405" s="166">
        <v>69.28</v>
      </c>
      <c r="F405" s="1" t="s">
        <v>21</v>
      </c>
      <c r="G405" s="1" t="str">
        <f>IF(Table2[[#This Row],[Description]]="","",VLOOKUP(Table2[[#This Row],[Description]],$Q$1:$S$101,2,FALSE))</f>
        <v>Leisure</v>
      </c>
      <c r="H405" s="1" t="str">
        <f>IF(Table2[[#This Row],[Description]]="","",VLOOKUP(Table2[[#This Row],[Description]],$Q$1:$S$101,3,FALSE))</f>
        <v>Short</v>
      </c>
      <c r="I405" s="1">
        <f>IF(Table2[[#This Row],[Description]]="","",IF(Table2[[#This Row],[Currency]]=$O$2,$P$2,HLOOKUP(Table2[[#This Row],[Date]],Funds!$C$10:$GV$11,2,FALSE)))</f>
        <v>1</v>
      </c>
      <c r="J405" s="215">
        <f>IF(Table2[[#This Row],[Description]]="","",Table2[[#This Row],[Value]]/Table2[[#This Row],[Conversion]])</f>
        <v>69.28</v>
      </c>
      <c r="K405" s="45">
        <f>IF(Table2[[#This Row],[Description]]="","",DATE(Table2[[#This Row],[Year]],Table2[[#This Row],[Month]],1))</f>
        <v>43831</v>
      </c>
    </row>
    <row r="406" spans="2:11" x14ac:dyDescent="0.25">
      <c r="B406" t="s">
        <v>69</v>
      </c>
      <c r="C406" s="1">
        <v>1</v>
      </c>
      <c r="D406" s="1">
        <v>2020</v>
      </c>
      <c r="E406" s="166">
        <v>88.8</v>
      </c>
      <c r="F406" s="1" t="s">
        <v>21</v>
      </c>
      <c r="G406" s="1" t="str">
        <f>IF(Table2[[#This Row],[Description]]="","",VLOOKUP(Table2[[#This Row],[Description]],$Q$1:$S$101,2,FALSE))</f>
        <v>MN free</v>
      </c>
      <c r="H406" s="1" t="str">
        <f>IF(Table2[[#This Row],[Description]]="","",VLOOKUP(Table2[[#This Row],[Description]],$Q$1:$S$101,3,FALSE))</f>
        <v>Mid</v>
      </c>
      <c r="I406" s="1">
        <f>IF(Table2[[#This Row],[Description]]="","",IF(Table2[[#This Row],[Currency]]=$O$2,$P$2,HLOOKUP(Table2[[#This Row],[Date]],Funds!$C$10:$GV$11,2,FALSE)))</f>
        <v>1</v>
      </c>
      <c r="J406" s="215">
        <f>IF(Table2[[#This Row],[Description]]="","",Table2[[#This Row],[Value]]/Table2[[#This Row],[Conversion]])</f>
        <v>88.8</v>
      </c>
      <c r="K406" s="45">
        <f>IF(Table2[[#This Row],[Description]]="","",DATE(Table2[[#This Row],[Year]],Table2[[#This Row],[Month]],1))</f>
        <v>43831</v>
      </c>
    </row>
    <row r="407" spans="2:11" x14ac:dyDescent="0.25">
      <c r="B407" t="s">
        <v>59</v>
      </c>
      <c r="C407" s="1">
        <v>1</v>
      </c>
      <c r="D407" s="1">
        <v>2020</v>
      </c>
      <c r="E407" s="166">
        <v>105</v>
      </c>
      <c r="F407" s="1" t="s">
        <v>21</v>
      </c>
      <c r="G407" s="1" t="str">
        <f>IF(Table2[[#This Row],[Description]]="","",VLOOKUP(Table2[[#This Row],[Description]],$Q$1:$S$101,2,FALSE))</f>
        <v>Transportation</v>
      </c>
      <c r="H407" s="1" t="str">
        <f>IF(Table2[[#This Row],[Description]]="","",VLOOKUP(Table2[[#This Row],[Description]],$Q$1:$S$101,3,FALSE))</f>
        <v>Short</v>
      </c>
      <c r="I407" s="1">
        <f>IF(Table2[[#This Row],[Description]]="","",IF(Table2[[#This Row],[Currency]]=$O$2,$P$2,HLOOKUP(Table2[[#This Row],[Date]],Funds!$C$10:$GV$11,2,FALSE)))</f>
        <v>1</v>
      </c>
      <c r="J407" s="215">
        <f>IF(Table2[[#This Row],[Description]]="","",Table2[[#This Row],[Value]]/Table2[[#This Row],[Conversion]])</f>
        <v>105</v>
      </c>
      <c r="K407" s="45">
        <f>IF(Table2[[#This Row],[Description]]="","",DATE(Table2[[#This Row],[Year]],Table2[[#This Row],[Month]],1))</f>
        <v>43831</v>
      </c>
    </row>
    <row r="408" spans="2:11" x14ac:dyDescent="0.25">
      <c r="B408" t="s">
        <v>472</v>
      </c>
      <c r="C408" s="1">
        <v>1</v>
      </c>
      <c r="D408" s="1">
        <v>2020</v>
      </c>
      <c r="E408" s="166">
        <v>2191.35</v>
      </c>
      <c r="F408" s="1" t="s">
        <v>21</v>
      </c>
      <c r="G408" s="1" t="str">
        <f>IF(Table2[[#This Row],[Description]]="","",VLOOKUP(Table2[[#This Row],[Description]],$Q$1:$S$101,2,FALSE))</f>
        <v xml:space="preserve">EK studies </v>
      </c>
      <c r="H408" s="1" t="str">
        <f>IF(Table2[[#This Row],[Description]]="","",VLOOKUP(Table2[[#This Row],[Description]],$Q$1:$S$101,3,FALSE))</f>
        <v>Mid</v>
      </c>
      <c r="I408" s="1">
        <f>IF(Table2[[#This Row],[Description]]="","",IF(Table2[[#This Row],[Currency]]=$O$2,$P$2,HLOOKUP(Table2[[#This Row],[Date]],Funds!$C$10:$GV$11,2,FALSE)))</f>
        <v>1</v>
      </c>
      <c r="J408" s="215">
        <f>IF(Table2[[#This Row],[Description]]="","",Table2[[#This Row],[Value]]/Table2[[#This Row],[Conversion]])</f>
        <v>2191.35</v>
      </c>
      <c r="K408" s="45">
        <f>IF(Table2[[#This Row],[Description]]="","",DATE(Table2[[#This Row],[Year]],Table2[[#This Row],[Month]],1))</f>
        <v>43831</v>
      </c>
    </row>
    <row r="409" spans="2:11" x14ac:dyDescent="0.25">
      <c r="B409" t="s">
        <v>262</v>
      </c>
      <c r="C409" s="1">
        <v>1</v>
      </c>
      <c r="D409" s="1">
        <v>2020</v>
      </c>
      <c r="E409" s="166">
        <v>817.8</v>
      </c>
      <c r="F409" s="1" t="s">
        <v>21</v>
      </c>
      <c r="G409" s="1" t="str">
        <f>IF(Table2[[#This Row],[Description]]="","",VLOOKUP(Table2[[#This Row],[Description]],$Q$1:$S$101,2,FALSE))</f>
        <v>Mid</v>
      </c>
      <c r="H409" s="1" t="str">
        <f>IF(Table2[[#This Row],[Description]]="","",VLOOKUP(Table2[[#This Row],[Description]],$Q$1:$S$101,3,FALSE))</f>
        <v>Mid</v>
      </c>
      <c r="I409" s="1">
        <f>IF(Table2[[#This Row],[Description]]="","",IF(Table2[[#This Row],[Currency]]=$O$2,$P$2,HLOOKUP(Table2[[#This Row],[Date]],Funds!$C$10:$GV$11,2,FALSE)))</f>
        <v>1</v>
      </c>
      <c r="J409" s="215">
        <f>IF(Table2[[#This Row],[Description]]="","",Table2[[#This Row],[Value]]/Table2[[#This Row],[Conversion]])</f>
        <v>817.8</v>
      </c>
      <c r="K409" s="45">
        <f>IF(Table2[[#This Row],[Description]]="","",DATE(Table2[[#This Row],[Year]],Table2[[#This Row],[Month]],1))</f>
        <v>43831</v>
      </c>
    </row>
    <row r="410" spans="2:11" x14ac:dyDescent="0.25">
      <c r="B410" t="s">
        <v>29</v>
      </c>
      <c r="C410" s="1">
        <v>1</v>
      </c>
      <c r="D410" s="1">
        <v>2020</v>
      </c>
      <c r="E410" s="166">
        <v>11.95</v>
      </c>
      <c r="F410" s="1" t="s">
        <v>21</v>
      </c>
      <c r="G410" s="1" t="str">
        <f>IF(Table2[[#This Row],[Description]]="","",VLOOKUP(Table2[[#This Row],[Description]],$Q$1:$S$101,2,FALSE))</f>
        <v>Health</v>
      </c>
      <c r="H410" s="1" t="str">
        <f>IF(Table2[[#This Row],[Description]]="","",VLOOKUP(Table2[[#This Row],[Description]],$Q$1:$S$101,3,FALSE))</f>
        <v>Mid</v>
      </c>
      <c r="I410" s="1">
        <f>IF(Table2[[#This Row],[Description]]="","",IF(Table2[[#This Row],[Currency]]=$O$2,$P$2,HLOOKUP(Table2[[#This Row],[Date]],Funds!$C$10:$GV$11,2,FALSE)))</f>
        <v>1</v>
      </c>
      <c r="J410" s="215">
        <f>IF(Table2[[#This Row],[Description]]="","",Table2[[#This Row],[Value]]/Table2[[#This Row],[Conversion]])</f>
        <v>11.95</v>
      </c>
      <c r="K410" s="45">
        <f>IF(Table2[[#This Row],[Description]]="","",DATE(Table2[[#This Row],[Year]],Table2[[#This Row],[Month]],1))</f>
        <v>43831</v>
      </c>
    </row>
    <row r="411" spans="2:11" x14ac:dyDescent="0.25">
      <c r="B411" t="s">
        <v>62</v>
      </c>
      <c r="C411" s="1">
        <v>1</v>
      </c>
      <c r="D411" s="1">
        <v>2020</v>
      </c>
      <c r="E411" s="166">
        <v>123.46000000000001</v>
      </c>
      <c r="F411" s="1" t="s">
        <v>21</v>
      </c>
      <c r="G411" s="1" t="str">
        <f>IF(Table2[[#This Row],[Description]]="","",VLOOKUP(Table2[[#This Row],[Description]],$Q$1:$S$101,2,FALSE))</f>
        <v>Leisure</v>
      </c>
      <c r="H411" s="1" t="str">
        <f>IF(Table2[[#This Row],[Description]]="","",VLOOKUP(Table2[[#This Row],[Description]],$Q$1:$S$101,3,FALSE))</f>
        <v>Short</v>
      </c>
      <c r="I411" s="1">
        <f>IF(Table2[[#This Row],[Description]]="","",IF(Table2[[#This Row],[Currency]]=$O$2,$P$2,HLOOKUP(Table2[[#This Row],[Date]],Funds!$C$10:$GV$11,2,FALSE)))</f>
        <v>1</v>
      </c>
      <c r="J411" s="215">
        <f>IF(Table2[[#This Row],[Description]]="","",Table2[[#This Row],[Value]]/Table2[[#This Row],[Conversion]])</f>
        <v>123.46000000000001</v>
      </c>
      <c r="K411" s="45">
        <f>IF(Table2[[#This Row],[Description]]="","",DATE(Table2[[#This Row],[Year]],Table2[[#This Row],[Month]],1))</f>
        <v>43831</v>
      </c>
    </row>
    <row r="412" spans="2:11" x14ac:dyDescent="0.25">
      <c r="B412" t="s">
        <v>58</v>
      </c>
      <c r="C412" s="1">
        <v>2</v>
      </c>
      <c r="D412" s="1">
        <v>2020</v>
      </c>
      <c r="E412" s="166">
        <v>207.95</v>
      </c>
      <c r="F412" s="1" t="s">
        <v>21</v>
      </c>
      <c r="G412" s="1" t="str">
        <f>IF(Table2[[#This Row],[Description]]="","",VLOOKUP(Table2[[#This Row],[Description]],$Q$1:$S$101,2,FALSE))</f>
        <v>Food</v>
      </c>
      <c r="H412" s="1" t="str">
        <f>IF(Table2[[#This Row],[Description]]="","",VLOOKUP(Table2[[#This Row],[Description]],$Q$1:$S$101,3,FALSE))</f>
        <v>Short</v>
      </c>
      <c r="I412" s="1">
        <f>IF(Table2[[#This Row],[Description]]="","",IF(Table2[[#This Row],[Currency]]=$O$2,$P$2,HLOOKUP(Table2[[#This Row],[Date]],Funds!$C$10:$GV$11,2,FALSE)))</f>
        <v>1</v>
      </c>
      <c r="J412" s="215">
        <f>IF(Table2[[#This Row],[Description]]="","",Table2[[#This Row],[Value]]/Table2[[#This Row],[Conversion]])</f>
        <v>207.95</v>
      </c>
      <c r="K412" s="45">
        <f>IF(Table2[[#This Row],[Description]]="","",DATE(Table2[[#This Row],[Year]],Table2[[#This Row],[Month]],1))</f>
        <v>43862</v>
      </c>
    </row>
    <row r="413" spans="2:11" x14ac:dyDescent="0.25">
      <c r="B413" t="s">
        <v>52</v>
      </c>
      <c r="C413" s="1">
        <v>2</v>
      </c>
      <c r="D413" s="1">
        <v>2020</v>
      </c>
      <c r="E413" s="166">
        <v>29.45</v>
      </c>
      <c r="F413" s="1" t="s">
        <v>21</v>
      </c>
      <c r="G413" s="1" t="str">
        <f>IF(Table2[[#This Row],[Description]]="","",VLOOKUP(Table2[[#This Row],[Description]],$Q$1:$S$101,2,FALSE))</f>
        <v>Utilities</v>
      </c>
      <c r="H413" s="1" t="str">
        <f>IF(Table2[[#This Row],[Description]]="","",VLOOKUP(Table2[[#This Row],[Description]],$Q$1:$S$101,3,FALSE))</f>
        <v>Short</v>
      </c>
      <c r="I413" s="1">
        <f>IF(Table2[[#This Row],[Description]]="","",IF(Table2[[#This Row],[Currency]]=$O$2,$P$2,HLOOKUP(Table2[[#This Row],[Date]],Funds!$C$10:$GV$11,2,FALSE)))</f>
        <v>1</v>
      </c>
      <c r="J413" s="215">
        <f>IF(Table2[[#This Row],[Description]]="","",Table2[[#This Row],[Value]]/Table2[[#This Row],[Conversion]])</f>
        <v>29.45</v>
      </c>
      <c r="K413" s="45">
        <f>IF(Table2[[#This Row],[Description]]="","",DATE(Table2[[#This Row],[Year]],Table2[[#This Row],[Month]],1))</f>
        <v>43862</v>
      </c>
    </row>
    <row r="414" spans="2:11" x14ac:dyDescent="0.25">
      <c r="B414" t="s">
        <v>57</v>
      </c>
      <c r="C414" s="1">
        <v>2</v>
      </c>
      <c r="D414" s="1">
        <v>2020</v>
      </c>
      <c r="E414" s="166">
        <v>193.64</v>
      </c>
      <c r="F414" s="1" t="s">
        <v>21</v>
      </c>
      <c r="G414" s="1" t="str">
        <f>IF(Table2[[#This Row],[Description]]="","",VLOOKUP(Table2[[#This Row],[Description]],$Q$1:$S$101,2,FALSE))</f>
        <v>Food</v>
      </c>
      <c r="H414" s="1" t="str">
        <f>IF(Table2[[#This Row],[Description]]="","",VLOOKUP(Table2[[#This Row],[Description]],$Q$1:$S$101,3,FALSE))</f>
        <v>Short</v>
      </c>
      <c r="I414" s="1">
        <f>IF(Table2[[#This Row],[Description]]="","",IF(Table2[[#This Row],[Currency]]=$O$2,$P$2,HLOOKUP(Table2[[#This Row],[Date]],Funds!$C$10:$GV$11,2,FALSE)))</f>
        <v>1</v>
      </c>
      <c r="J414" s="215">
        <f>IF(Table2[[#This Row],[Description]]="","",Table2[[#This Row],[Value]]/Table2[[#This Row],[Conversion]])</f>
        <v>193.64</v>
      </c>
      <c r="K414" s="45">
        <f>IF(Table2[[#This Row],[Description]]="","",DATE(Table2[[#This Row],[Year]],Table2[[#This Row],[Month]],1))</f>
        <v>43862</v>
      </c>
    </row>
    <row r="415" spans="2:11" x14ac:dyDescent="0.25">
      <c r="B415" t="s">
        <v>266</v>
      </c>
      <c r="C415" s="1">
        <v>2</v>
      </c>
      <c r="D415" s="1">
        <v>2020</v>
      </c>
      <c r="E415" s="166">
        <v>5.44</v>
      </c>
      <c r="F415" s="1" t="s">
        <v>21</v>
      </c>
      <c r="G415" s="1" t="str">
        <f>IF(Table2[[#This Row],[Description]]="","",VLOOKUP(Table2[[#This Row],[Description]],$Q$1:$S$101,2,FALSE))</f>
        <v>Leisure</v>
      </c>
      <c r="H415" s="1" t="str">
        <f>IF(Table2[[#This Row],[Description]]="","",VLOOKUP(Table2[[#This Row],[Description]],$Q$1:$S$101,3,FALSE))</f>
        <v>Short</v>
      </c>
      <c r="I415" s="1">
        <f>IF(Table2[[#This Row],[Description]]="","",IF(Table2[[#This Row],[Currency]]=$O$2,$P$2,HLOOKUP(Table2[[#This Row],[Date]],Funds!$C$10:$GV$11,2,FALSE)))</f>
        <v>1</v>
      </c>
      <c r="J415" s="215">
        <f>IF(Table2[[#This Row],[Description]]="","",Table2[[#This Row],[Value]]/Table2[[#This Row],[Conversion]])</f>
        <v>5.44</v>
      </c>
      <c r="K415" s="45">
        <f>IF(Table2[[#This Row],[Description]]="","",DATE(Table2[[#This Row],[Year]],Table2[[#This Row],[Month]],1))</f>
        <v>43862</v>
      </c>
    </row>
    <row r="416" spans="2:11" x14ac:dyDescent="0.25">
      <c r="B416" t="s">
        <v>256</v>
      </c>
      <c r="C416" s="1">
        <v>2</v>
      </c>
      <c r="D416" s="1">
        <v>2020</v>
      </c>
      <c r="E416" s="166">
        <v>81.329999999999984</v>
      </c>
      <c r="F416" s="1" t="s">
        <v>21</v>
      </c>
      <c r="G416" s="1" t="str">
        <f>IF(Table2[[#This Row],[Description]]="","",VLOOKUP(Table2[[#This Row],[Description]],$Q$1:$S$101,2,FALSE))</f>
        <v>MN free</v>
      </c>
      <c r="H416" s="1" t="str">
        <f>IF(Table2[[#This Row],[Description]]="","",VLOOKUP(Table2[[#This Row],[Description]],$Q$1:$S$101,3,FALSE))</f>
        <v>Mid</v>
      </c>
      <c r="I416" s="1">
        <f>IF(Table2[[#This Row],[Description]]="","",IF(Table2[[#This Row],[Currency]]=$O$2,$P$2,HLOOKUP(Table2[[#This Row],[Date]],Funds!$C$10:$GV$11,2,FALSE)))</f>
        <v>1</v>
      </c>
      <c r="J416" s="215">
        <f>IF(Table2[[#This Row],[Description]]="","",Table2[[#This Row],[Value]]/Table2[[#This Row],[Conversion]])</f>
        <v>81.329999999999984</v>
      </c>
      <c r="K416" s="45">
        <f>IF(Table2[[#This Row],[Description]]="","",DATE(Table2[[#This Row],[Year]],Table2[[#This Row],[Month]],1))</f>
        <v>43862</v>
      </c>
    </row>
    <row r="417" spans="2:11" x14ac:dyDescent="0.25">
      <c r="B417" t="s">
        <v>29</v>
      </c>
      <c r="C417" s="1">
        <v>2</v>
      </c>
      <c r="D417" s="1">
        <v>2020</v>
      </c>
      <c r="E417" s="166">
        <v>152.34</v>
      </c>
      <c r="F417" s="1" t="s">
        <v>21</v>
      </c>
      <c r="G417" s="1" t="str">
        <f>IF(Table2[[#This Row],[Description]]="","",VLOOKUP(Table2[[#This Row],[Description]],$Q$1:$S$101,2,FALSE))</f>
        <v>Health</v>
      </c>
      <c r="H417" s="1" t="str">
        <f>IF(Table2[[#This Row],[Description]]="","",VLOOKUP(Table2[[#This Row],[Description]],$Q$1:$S$101,3,FALSE))</f>
        <v>Mid</v>
      </c>
      <c r="I417" s="1">
        <f>IF(Table2[[#This Row],[Description]]="","",IF(Table2[[#This Row],[Currency]]=$O$2,$P$2,HLOOKUP(Table2[[#This Row],[Date]],Funds!$C$10:$GV$11,2,FALSE)))</f>
        <v>1</v>
      </c>
      <c r="J417" s="215">
        <f>IF(Table2[[#This Row],[Description]]="","",Table2[[#This Row],[Value]]/Table2[[#This Row],[Conversion]])</f>
        <v>152.34</v>
      </c>
      <c r="K417" s="45">
        <f>IF(Table2[[#This Row],[Description]]="","",DATE(Table2[[#This Row],[Year]],Table2[[#This Row],[Month]],1))</f>
        <v>43862</v>
      </c>
    </row>
    <row r="418" spans="2:11" x14ac:dyDescent="0.25">
      <c r="B418" t="s">
        <v>249</v>
      </c>
      <c r="C418" s="1">
        <v>2</v>
      </c>
      <c r="D418" s="1">
        <v>2020</v>
      </c>
      <c r="E418" s="166">
        <v>97.009999999999991</v>
      </c>
      <c r="F418" s="1" t="s">
        <v>21</v>
      </c>
      <c r="G418" s="1" t="str">
        <f>IF(Table2[[#This Row],[Description]]="","",VLOOKUP(Table2[[#This Row],[Description]],$Q$1:$S$101,2,FALSE))</f>
        <v>Leisure</v>
      </c>
      <c r="H418" s="1" t="str">
        <f>IF(Table2[[#This Row],[Description]]="","",VLOOKUP(Table2[[#This Row],[Description]],$Q$1:$S$101,3,FALSE))</f>
        <v>Short</v>
      </c>
      <c r="I418" s="1">
        <f>IF(Table2[[#This Row],[Description]]="","",IF(Table2[[#This Row],[Currency]]=$O$2,$P$2,HLOOKUP(Table2[[#This Row],[Date]],Funds!$C$10:$GV$11,2,FALSE)))</f>
        <v>1</v>
      </c>
      <c r="J418" s="215">
        <f>IF(Table2[[#This Row],[Description]]="","",Table2[[#This Row],[Value]]/Table2[[#This Row],[Conversion]])</f>
        <v>97.009999999999991</v>
      </c>
      <c r="K418" s="45">
        <f>IF(Table2[[#This Row],[Description]]="","",DATE(Table2[[#This Row],[Year]],Table2[[#This Row],[Month]],1))</f>
        <v>43862</v>
      </c>
    </row>
    <row r="419" spans="2:11" x14ac:dyDescent="0.25">
      <c r="B419" t="s">
        <v>255</v>
      </c>
      <c r="C419" s="1">
        <v>2</v>
      </c>
      <c r="D419" s="1">
        <v>2020</v>
      </c>
      <c r="E419" s="166">
        <v>190</v>
      </c>
      <c r="F419" s="1" t="s">
        <v>21</v>
      </c>
      <c r="G419" s="1" t="str">
        <f>IF(Table2[[#This Row],[Description]]="","",VLOOKUP(Table2[[#This Row],[Description]],$Q$1:$S$101,2,FALSE))</f>
        <v>EK free</v>
      </c>
      <c r="H419" s="1" t="str">
        <f>IF(Table2[[#This Row],[Description]]="","",VLOOKUP(Table2[[#This Row],[Description]],$Q$1:$S$101,3,FALSE))</f>
        <v>Mid</v>
      </c>
      <c r="I419" s="1">
        <f>IF(Table2[[#This Row],[Description]]="","",IF(Table2[[#This Row],[Currency]]=$O$2,$P$2,HLOOKUP(Table2[[#This Row],[Date]],Funds!$C$10:$GV$11,2,FALSE)))</f>
        <v>1</v>
      </c>
      <c r="J419" s="215">
        <f>IF(Table2[[#This Row],[Description]]="","",Table2[[#This Row],[Value]]/Table2[[#This Row],[Conversion]])</f>
        <v>190</v>
      </c>
      <c r="K419" s="45">
        <f>IF(Table2[[#This Row],[Description]]="","",DATE(Table2[[#This Row],[Year]],Table2[[#This Row],[Month]],1))</f>
        <v>43862</v>
      </c>
    </row>
    <row r="420" spans="2:11" x14ac:dyDescent="0.25">
      <c r="B420" t="s">
        <v>267</v>
      </c>
      <c r="C420" s="1">
        <v>2</v>
      </c>
      <c r="D420" s="1">
        <v>2020</v>
      </c>
      <c r="E420" s="166">
        <v>12.370000000000001</v>
      </c>
      <c r="F420" s="1" t="s">
        <v>21</v>
      </c>
      <c r="G420" s="1" t="str">
        <f>IF(Table2[[#This Row],[Description]]="","",VLOOKUP(Table2[[#This Row],[Description]],$Q$1:$S$101,2,FALSE))</f>
        <v>Leisure</v>
      </c>
      <c r="H420" s="1" t="str">
        <f>IF(Table2[[#This Row],[Description]]="","",VLOOKUP(Table2[[#This Row],[Description]],$Q$1:$S$101,3,FALSE))</f>
        <v>Short</v>
      </c>
      <c r="I420" s="1">
        <f>IF(Table2[[#This Row],[Description]]="","",IF(Table2[[#This Row],[Currency]]=$O$2,$P$2,HLOOKUP(Table2[[#This Row],[Date]],Funds!$C$10:$GV$11,2,FALSE)))</f>
        <v>1</v>
      </c>
      <c r="J420" s="215">
        <f>IF(Table2[[#This Row],[Description]]="","",Table2[[#This Row],[Value]]/Table2[[#This Row],[Conversion]])</f>
        <v>12.370000000000001</v>
      </c>
      <c r="K420" s="45">
        <f>IF(Table2[[#This Row],[Description]]="","",DATE(Table2[[#This Row],[Year]],Table2[[#This Row],[Month]],1))</f>
        <v>43862</v>
      </c>
    </row>
    <row r="421" spans="2:11" x14ac:dyDescent="0.25">
      <c r="B421" t="s">
        <v>56</v>
      </c>
      <c r="C421" s="1">
        <v>2</v>
      </c>
      <c r="D421" s="1">
        <v>2020</v>
      </c>
      <c r="E421" s="166">
        <v>50</v>
      </c>
      <c r="F421" s="1" t="s">
        <v>21</v>
      </c>
      <c r="G421" s="1" t="str">
        <f>IF(Table2[[#This Row],[Description]]="","",VLOOKUP(Table2[[#This Row],[Description]],$Q$1:$S$101,2,FALSE))</f>
        <v>Utilities</v>
      </c>
      <c r="H421" s="1" t="str">
        <f>IF(Table2[[#This Row],[Description]]="","",VLOOKUP(Table2[[#This Row],[Description]],$Q$1:$S$101,3,FALSE))</f>
        <v>Short</v>
      </c>
      <c r="I421" s="1">
        <f>IF(Table2[[#This Row],[Description]]="","",IF(Table2[[#This Row],[Currency]]=$O$2,$P$2,HLOOKUP(Table2[[#This Row],[Date]],Funds!$C$10:$GV$11,2,FALSE)))</f>
        <v>1</v>
      </c>
      <c r="J421" s="215">
        <f>IF(Table2[[#This Row],[Description]]="","",Table2[[#This Row],[Value]]/Table2[[#This Row],[Conversion]])</f>
        <v>50</v>
      </c>
      <c r="K421" s="45">
        <f>IF(Table2[[#This Row],[Description]]="","",DATE(Table2[[#This Row],[Year]],Table2[[#This Row],[Month]],1))</f>
        <v>43862</v>
      </c>
    </row>
    <row r="422" spans="2:11" x14ac:dyDescent="0.25">
      <c r="B422" t="s">
        <v>31</v>
      </c>
      <c r="C422" s="1">
        <v>2</v>
      </c>
      <c r="D422" s="1">
        <v>2020</v>
      </c>
      <c r="E422" s="166">
        <v>1709.58</v>
      </c>
      <c r="F422" s="1" t="s">
        <v>21</v>
      </c>
      <c r="G422" s="1" t="str">
        <f>IF(Table2[[#This Row],[Description]]="","",VLOOKUP(Table2[[#This Row],[Description]],$Q$1:$S$101,2,FALSE))</f>
        <v>Rent</v>
      </c>
      <c r="H422" s="1" t="str">
        <f>IF(Table2[[#This Row],[Description]]="","",VLOOKUP(Table2[[#This Row],[Description]],$Q$1:$S$101,3,FALSE))</f>
        <v>Short</v>
      </c>
      <c r="I422" s="1">
        <f>IF(Table2[[#This Row],[Description]]="","",IF(Table2[[#This Row],[Currency]]=$O$2,$P$2,HLOOKUP(Table2[[#This Row],[Date]],Funds!$C$10:$GV$11,2,FALSE)))</f>
        <v>1</v>
      </c>
      <c r="J422" s="215">
        <f>IF(Table2[[#This Row],[Description]]="","",Table2[[#This Row],[Value]]/Table2[[#This Row],[Conversion]])</f>
        <v>1709.58</v>
      </c>
      <c r="K422" s="45">
        <f>IF(Table2[[#This Row],[Description]]="","",DATE(Table2[[#This Row],[Year]],Table2[[#This Row],[Month]],1))</f>
        <v>43862</v>
      </c>
    </row>
    <row r="423" spans="2:11" x14ac:dyDescent="0.25">
      <c r="B423" t="s">
        <v>35</v>
      </c>
      <c r="C423" s="1">
        <v>2</v>
      </c>
      <c r="D423" s="1">
        <v>2020</v>
      </c>
      <c r="E423" s="166">
        <v>85.32</v>
      </c>
      <c r="F423" s="1" t="s">
        <v>21</v>
      </c>
      <c r="G423" s="1" t="str">
        <f>IF(Table2[[#This Row],[Description]]="","",VLOOKUP(Table2[[#This Row],[Description]],$Q$1:$S$101,2,FALSE))</f>
        <v>Cellphone</v>
      </c>
      <c r="H423" s="1" t="str">
        <f>IF(Table2[[#This Row],[Description]]="","",VLOOKUP(Table2[[#This Row],[Description]],$Q$1:$S$101,3,FALSE))</f>
        <v>Short</v>
      </c>
      <c r="I423" s="1">
        <f>IF(Table2[[#This Row],[Description]]="","",IF(Table2[[#This Row],[Currency]]=$O$2,$P$2,HLOOKUP(Table2[[#This Row],[Date]],Funds!$C$10:$GV$11,2,FALSE)))</f>
        <v>1</v>
      </c>
      <c r="J423" s="215">
        <f>IF(Table2[[#This Row],[Description]]="","",Table2[[#This Row],[Value]]/Table2[[#This Row],[Conversion]])</f>
        <v>85.32</v>
      </c>
      <c r="K423" s="45">
        <f>IF(Table2[[#This Row],[Description]]="","",DATE(Table2[[#This Row],[Year]],Table2[[#This Row],[Month]],1))</f>
        <v>43862</v>
      </c>
    </row>
    <row r="424" spans="2:11" x14ac:dyDescent="0.25">
      <c r="B424" t="s">
        <v>63</v>
      </c>
      <c r="C424" s="1">
        <v>2</v>
      </c>
      <c r="D424" s="1">
        <v>2020</v>
      </c>
      <c r="E424" s="166">
        <v>93.990000000000009</v>
      </c>
      <c r="F424" s="1" t="s">
        <v>21</v>
      </c>
      <c r="G424" s="1" t="str">
        <f>IF(Table2[[#This Row],[Description]]="","",VLOOKUP(Table2[[#This Row],[Description]],$Q$1:$S$101,2,FALSE))</f>
        <v>Leisure</v>
      </c>
      <c r="H424" s="1" t="str">
        <f>IF(Table2[[#This Row],[Description]]="","",VLOOKUP(Table2[[#This Row],[Description]],$Q$1:$S$101,3,FALSE))</f>
        <v>Short</v>
      </c>
      <c r="I424" s="1">
        <f>IF(Table2[[#This Row],[Description]]="","",IF(Table2[[#This Row],[Currency]]=$O$2,$P$2,HLOOKUP(Table2[[#This Row],[Date]],Funds!$C$10:$GV$11,2,FALSE)))</f>
        <v>1</v>
      </c>
      <c r="J424" s="215">
        <f>IF(Table2[[#This Row],[Description]]="","",Table2[[#This Row],[Value]]/Table2[[#This Row],[Conversion]])</f>
        <v>93.990000000000009</v>
      </c>
      <c r="K424" s="45">
        <f>IF(Table2[[#This Row],[Description]]="","",DATE(Table2[[#This Row],[Year]],Table2[[#This Row],[Month]],1))</f>
        <v>43862</v>
      </c>
    </row>
    <row r="425" spans="2:11" x14ac:dyDescent="0.25">
      <c r="B425" t="s">
        <v>69</v>
      </c>
      <c r="C425" s="1">
        <v>2</v>
      </c>
      <c r="D425" s="1">
        <v>2020</v>
      </c>
      <c r="E425" s="166">
        <v>62</v>
      </c>
      <c r="F425" s="1" t="s">
        <v>21</v>
      </c>
      <c r="G425" s="1" t="str">
        <f>IF(Table2[[#This Row],[Description]]="","",VLOOKUP(Table2[[#This Row],[Description]],$Q$1:$S$101,2,FALSE))</f>
        <v>MN free</v>
      </c>
      <c r="H425" s="1" t="str">
        <f>IF(Table2[[#This Row],[Description]]="","",VLOOKUP(Table2[[#This Row],[Description]],$Q$1:$S$101,3,FALSE))</f>
        <v>Mid</v>
      </c>
      <c r="I425" s="1">
        <f>IF(Table2[[#This Row],[Description]]="","",IF(Table2[[#This Row],[Currency]]=$O$2,$P$2,HLOOKUP(Table2[[#This Row],[Date]],Funds!$C$10:$GV$11,2,FALSE)))</f>
        <v>1</v>
      </c>
      <c r="J425" s="215">
        <f>IF(Table2[[#This Row],[Description]]="","",Table2[[#This Row],[Value]]/Table2[[#This Row],[Conversion]])</f>
        <v>62</v>
      </c>
      <c r="K425" s="45">
        <f>IF(Table2[[#This Row],[Description]]="","",DATE(Table2[[#This Row],[Year]],Table2[[#This Row],[Month]],1))</f>
        <v>43862</v>
      </c>
    </row>
    <row r="426" spans="2:11" x14ac:dyDescent="0.25">
      <c r="B426" t="s">
        <v>59</v>
      </c>
      <c r="C426" s="1">
        <v>2</v>
      </c>
      <c r="D426" s="1">
        <v>2020</v>
      </c>
      <c r="E426" s="166">
        <v>0</v>
      </c>
      <c r="F426" s="1" t="s">
        <v>21</v>
      </c>
      <c r="G426" s="1" t="str">
        <f>IF(Table2[[#This Row],[Description]]="","",VLOOKUP(Table2[[#This Row],[Description]],$Q$1:$S$101,2,FALSE))</f>
        <v>Transportation</v>
      </c>
      <c r="H426" s="1" t="str">
        <f>IF(Table2[[#This Row],[Description]]="","",VLOOKUP(Table2[[#This Row],[Description]],$Q$1:$S$101,3,FALSE))</f>
        <v>Short</v>
      </c>
      <c r="I426" s="1">
        <f>IF(Table2[[#This Row],[Description]]="","",IF(Table2[[#This Row],[Currency]]=$O$2,$P$2,HLOOKUP(Table2[[#This Row],[Date]],Funds!$C$10:$GV$11,2,FALSE)))</f>
        <v>1</v>
      </c>
      <c r="J426" s="215">
        <f>IF(Table2[[#This Row],[Description]]="","",Table2[[#This Row],[Value]]/Table2[[#This Row],[Conversion]])</f>
        <v>0</v>
      </c>
      <c r="K426" s="45">
        <f>IF(Table2[[#This Row],[Description]]="","",DATE(Table2[[#This Row],[Year]],Table2[[#This Row],[Month]],1))</f>
        <v>43862</v>
      </c>
    </row>
    <row r="427" spans="2:11" x14ac:dyDescent="0.25">
      <c r="B427" t="s">
        <v>472</v>
      </c>
      <c r="C427" s="1">
        <v>2</v>
      </c>
      <c r="D427" s="1">
        <v>2020</v>
      </c>
      <c r="E427" s="166">
        <v>0</v>
      </c>
      <c r="F427" s="1" t="s">
        <v>21</v>
      </c>
      <c r="G427" s="1" t="str">
        <f>IF(Table2[[#This Row],[Description]]="","",VLOOKUP(Table2[[#This Row],[Description]],$Q$1:$S$101,2,FALSE))</f>
        <v xml:space="preserve">EK studies </v>
      </c>
      <c r="H427" s="1" t="str">
        <f>IF(Table2[[#This Row],[Description]]="","",VLOOKUP(Table2[[#This Row],[Description]],$Q$1:$S$101,3,FALSE))</f>
        <v>Mid</v>
      </c>
      <c r="I427" s="1">
        <f>IF(Table2[[#This Row],[Description]]="","",IF(Table2[[#This Row],[Currency]]=$O$2,$P$2,HLOOKUP(Table2[[#This Row],[Date]],Funds!$C$10:$GV$11,2,FALSE)))</f>
        <v>1</v>
      </c>
      <c r="J427" s="215">
        <f>IF(Table2[[#This Row],[Description]]="","",Table2[[#This Row],[Value]]/Table2[[#This Row],[Conversion]])</f>
        <v>0</v>
      </c>
      <c r="K427" s="45">
        <f>IF(Table2[[#This Row],[Description]]="","",DATE(Table2[[#This Row],[Year]],Table2[[#This Row],[Month]],1))</f>
        <v>43862</v>
      </c>
    </row>
    <row r="428" spans="2:11" x14ac:dyDescent="0.25">
      <c r="B428" t="s">
        <v>262</v>
      </c>
      <c r="C428" s="1">
        <v>2</v>
      </c>
      <c r="D428" s="1">
        <v>2020</v>
      </c>
      <c r="E428" s="166">
        <v>0</v>
      </c>
      <c r="F428" s="1" t="s">
        <v>21</v>
      </c>
      <c r="G428" s="1" t="str">
        <f>IF(Table2[[#This Row],[Description]]="","",VLOOKUP(Table2[[#This Row],[Description]],$Q$1:$S$101,2,FALSE))</f>
        <v>Mid</v>
      </c>
      <c r="H428" s="1" t="str">
        <f>IF(Table2[[#This Row],[Description]]="","",VLOOKUP(Table2[[#This Row],[Description]],$Q$1:$S$101,3,FALSE))</f>
        <v>Mid</v>
      </c>
      <c r="I428" s="1">
        <f>IF(Table2[[#This Row],[Description]]="","",IF(Table2[[#This Row],[Currency]]=$O$2,$P$2,HLOOKUP(Table2[[#This Row],[Date]],Funds!$C$10:$GV$11,2,FALSE)))</f>
        <v>1</v>
      </c>
      <c r="J428" s="215">
        <f>IF(Table2[[#This Row],[Description]]="","",Table2[[#This Row],[Value]]/Table2[[#This Row],[Conversion]])</f>
        <v>0</v>
      </c>
      <c r="K428" s="45">
        <f>IF(Table2[[#This Row],[Description]]="","",DATE(Table2[[#This Row],[Year]],Table2[[#This Row],[Month]],1))</f>
        <v>43862</v>
      </c>
    </row>
    <row r="429" spans="2:11" x14ac:dyDescent="0.25">
      <c r="B429" t="s">
        <v>29</v>
      </c>
      <c r="C429" s="1">
        <v>2</v>
      </c>
      <c r="D429" s="1">
        <v>2020</v>
      </c>
      <c r="E429" s="166">
        <v>0</v>
      </c>
      <c r="F429" s="1" t="s">
        <v>21</v>
      </c>
      <c r="G429" s="1" t="str">
        <f>IF(Table2[[#This Row],[Description]]="","",VLOOKUP(Table2[[#This Row],[Description]],$Q$1:$S$101,2,FALSE))</f>
        <v>Health</v>
      </c>
      <c r="H429" s="1" t="str">
        <f>IF(Table2[[#This Row],[Description]]="","",VLOOKUP(Table2[[#This Row],[Description]],$Q$1:$S$101,3,FALSE))</f>
        <v>Mid</v>
      </c>
      <c r="I429" s="1">
        <f>IF(Table2[[#This Row],[Description]]="","",IF(Table2[[#This Row],[Currency]]=$O$2,$P$2,HLOOKUP(Table2[[#This Row],[Date]],Funds!$C$10:$GV$11,2,FALSE)))</f>
        <v>1</v>
      </c>
      <c r="J429" s="215">
        <f>IF(Table2[[#This Row],[Description]]="","",Table2[[#This Row],[Value]]/Table2[[#This Row],[Conversion]])</f>
        <v>0</v>
      </c>
      <c r="K429" s="45">
        <f>IF(Table2[[#This Row],[Description]]="","",DATE(Table2[[#This Row],[Year]],Table2[[#This Row],[Month]],1))</f>
        <v>43862</v>
      </c>
    </row>
    <row r="430" spans="2:11" x14ac:dyDescent="0.25">
      <c r="B430" t="s">
        <v>62</v>
      </c>
      <c r="C430" s="1">
        <v>2</v>
      </c>
      <c r="D430" s="1">
        <v>2020</v>
      </c>
      <c r="E430" s="166">
        <v>0</v>
      </c>
      <c r="F430" s="1" t="s">
        <v>21</v>
      </c>
      <c r="G430" s="1" t="str">
        <f>IF(Table2[[#This Row],[Description]]="","",VLOOKUP(Table2[[#This Row],[Description]],$Q$1:$S$101,2,FALSE))</f>
        <v>Leisure</v>
      </c>
      <c r="H430" s="1" t="str">
        <f>IF(Table2[[#This Row],[Description]]="","",VLOOKUP(Table2[[#This Row],[Description]],$Q$1:$S$101,3,FALSE))</f>
        <v>Short</v>
      </c>
      <c r="I430" s="1">
        <f>IF(Table2[[#This Row],[Description]]="","",IF(Table2[[#This Row],[Currency]]=$O$2,$P$2,HLOOKUP(Table2[[#This Row],[Date]],Funds!$C$10:$GV$11,2,FALSE)))</f>
        <v>1</v>
      </c>
      <c r="J430" s="215">
        <f>IF(Table2[[#This Row],[Description]]="","",Table2[[#This Row],[Value]]/Table2[[#This Row],[Conversion]])</f>
        <v>0</v>
      </c>
      <c r="K430" s="45">
        <f>IF(Table2[[#This Row],[Description]]="","",DATE(Table2[[#This Row],[Year]],Table2[[#This Row],[Month]],1))</f>
        <v>43862</v>
      </c>
    </row>
    <row r="431" spans="2:11" x14ac:dyDescent="0.25">
      <c r="B431" t="s">
        <v>58</v>
      </c>
      <c r="C431" s="1">
        <v>2</v>
      </c>
      <c r="D431" s="1">
        <v>2020</v>
      </c>
      <c r="E431" s="166">
        <v>3.09</v>
      </c>
      <c r="F431" s="1" t="s">
        <v>21</v>
      </c>
      <c r="G431" s="1" t="str">
        <f>IF(Table2[[#This Row],[Description]]="","",VLOOKUP(Table2[[#This Row],[Description]],$Q$1:$S$101,2,FALSE))</f>
        <v>Food</v>
      </c>
      <c r="H431" s="1" t="str">
        <f>IF(Table2[[#This Row],[Description]]="","",VLOOKUP(Table2[[#This Row],[Description]],$Q$1:$S$101,3,FALSE))</f>
        <v>Short</v>
      </c>
      <c r="I431" s="1">
        <f>IF(Table2[[#This Row],[Description]]="","",IF(Table2[[#This Row],[Currency]]=$O$2,$P$2,HLOOKUP(Table2[[#This Row],[Date]],Funds!$C$10:$GV$11,2,FALSE)))</f>
        <v>1</v>
      </c>
      <c r="J431" s="215">
        <f>IF(Table2[[#This Row],[Description]]="","",Table2[[#This Row],[Value]]/Table2[[#This Row],[Conversion]])</f>
        <v>3.09</v>
      </c>
      <c r="K431" s="45">
        <f>IF(Table2[[#This Row],[Description]]="","",DATE(Table2[[#This Row],[Year]],Table2[[#This Row],[Month]],1))</f>
        <v>43862</v>
      </c>
    </row>
    <row r="432" spans="2:11" x14ac:dyDescent="0.25">
      <c r="B432" t="s">
        <v>472</v>
      </c>
      <c r="C432" s="1">
        <v>1</v>
      </c>
      <c r="D432" s="1">
        <v>2020</v>
      </c>
      <c r="E432" s="166">
        <v>91.88</v>
      </c>
      <c r="F432" s="1" t="s">
        <v>21</v>
      </c>
      <c r="G432" s="1" t="str">
        <f>IF(Table2[[#This Row],[Description]]="","",VLOOKUP(Table2[[#This Row],[Description]],$Q$1:$S$101,2,FALSE))</f>
        <v xml:space="preserve">EK studies </v>
      </c>
      <c r="H432" s="1" t="str">
        <f>IF(Table2[[#This Row],[Description]]="","",VLOOKUP(Table2[[#This Row],[Description]],$Q$1:$S$101,3,FALSE))</f>
        <v>Mid</v>
      </c>
      <c r="I432" s="1">
        <f>IF(Table2[[#This Row],[Description]]="","",IF(Table2[[#This Row],[Currency]]=$O$2,$P$2,HLOOKUP(Table2[[#This Row],[Date]],Funds!$C$10:$GV$11,2,FALSE)))</f>
        <v>1</v>
      </c>
      <c r="J432" s="215">
        <f>IF(Table2[[#This Row],[Description]]="","",Table2[[#This Row],[Value]]/Table2[[#This Row],[Conversion]])</f>
        <v>91.88</v>
      </c>
      <c r="K432" s="45">
        <f>IF(Table2[[#This Row],[Description]]="","",DATE(Table2[[#This Row],[Year]],Table2[[#This Row],[Month]],1))</f>
        <v>43831</v>
      </c>
    </row>
    <row r="433" spans="2:11" x14ac:dyDescent="0.25">
      <c r="B433" t="s">
        <v>58</v>
      </c>
      <c r="C433" s="1">
        <v>1</v>
      </c>
      <c r="D433" s="1">
        <v>2020</v>
      </c>
      <c r="E433" s="166">
        <v>4.05</v>
      </c>
      <c r="F433" s="1" t="s">
        <v>21</v>
      </c>
      <c r="G433" s="1" t="str">
        <f>IF(Table2[[#This Row],[Description]]="","",VLOOKUP(Table2[[#This Row],[Description]],$Q$1:$S$101,2,FALSE))</f>
        <v>Food</v>
      </c>
      <c r="H433" s="1" t="str">
        <f>IF(Table2[[#This Row],[Description]]="","",VLOOKUP(Table2[[#This Row],[Description]],$Q$1:$S$101,3,FALSE))</f>
        <v>Short</v>
      </c>
      <c r="I433" s="1">
        <f>IF(Table2[[#This Row],[Description]]="","",IF(Table2[[#This Row],[Currency]]=$O$2,$P$2,HLOOKUP(Table2[[#This Row],[Date]],Funds!$C$10:$GV$11,2,FALSE)))</f>
        <v>1</v>
      </c>
      <c r="J433" s="215">
        <f>IF(Table2[[#This Row],[Description]]="","",Table2[[#This Row],[Value]]/Table2[[#This Row],[Conversion]])</f>
        <v>4.05</v>
      </c>
      <c r="K433" s="45">
        <f>IF(Table2[[#This Row],[Description]]="","",DATE(Table2[[#This Row],[Year]],Table2[[#This Row],[Month]],1))</f>
        <v>43831</v>
      </c>
    </row>
    <row r="434" spans="2:11" x14ac:dyDescent="0.25">
      <c r="B434" t="s">
        <v>61</v>
      </c>
      <c r="C434" s="1">
        <v>2</v>
      </c>
      <c r="D434" s="1">
        <v>2020</v>
      </c>
      <c r="E434" s="166">
        <v>10.97</v>
      </c>
      <c r="F434" s="1" t="s">
        <v>21</v>
      </c>
      <c r="G434" s="1" t="str">
        <f>IF(Table2[[#This Row],[Description]]="","",VLOOKUP(Table2[[#This Row],[Description]],$Q$1:$S$101,2,FALSE))</f>
        <v>Transportation</v>
      </c>
      <c r="H434" s="1" t="str">
        <f>IF(Table2[[#This Row],[Description]]="","",VLOOKUP(Table2[[#This Row],[Description]],$Q$1:$S$101,3,FALSE))</f>
        <v>Short</v>
      </c>
      <c r="I434" s="1">
        <f>IF(Table2[[#This Row],[Description]]="","",IF(Table2[[#This Row],[Currency]]=$O$2,$P$2,HLOOKUP(Table2[[#This Row],[Date]],Funds!$C$10:$GV$11,2,FALSE)))</f>
        <v>1</v>
      </c>
      <c r="J434" s="215">
        <f>IF(Table2[[#This Row],[Description]]="","",Table2[[#This Row],[Value]]/Table2[[#This Row],[Conversion]])</f>
        <v>10.97</v>
      </c>
      <c r="K434" s="45">
        <f>IF(Table2[[#This Row],[Description]]="","",DATE(Table2[[#This Row],[Year]],Table2[[#This Row],[Month]],1))</f>
        <v>43862</v>
      </c>
    </row>
    <row r="435" spans="2:11" x14ac:dyDescent="0.25">
      <c r="B435" t="s">
        <v>61</v>
      </c>
      <c r="C435" s="1">
        <v>2</v>
      </c>
      <c r="D435" s="1">
        <v>2020</v>
      </c>
      <c r="E435" s="166">
        <v>9.11</v>
      </c>
      <c r="F435" s="1" t="s">
        <v>21</v>
      </c>
      <c r="G435" s="1" t="str">
        <f>IF(Table2[[#This Row],[Description]]="","",VLOOKUP(Table2[[#This Row],[Description]],$Q$1:$S$101,2,FALSE))</f>
        <v>Transportation</v>
      </c>
      <c r="H435" s="1" t="str">
        <f>IF(Table2[[#This Row],[Description]]="","",VLOOKUP(Table2[[#This Row],[Description]],$Q$1:$S$101,3,FALSE))</f>
        <v>Short</v>
      </c>
      <c r="I435" s="1">
        <f>IF(Table2[[#This Row],[Description]]="","",IF(Table2[[#This Row],[Currency]]=$O$2,$P$2,HLOOKUP(Table2[[#This Row],[Date]],Funds!$C$10:$GV$11,2,FALSE)))</f>
        <v>1</v>
      </c>
      <c r="J435" s="215">
        <f>IF(Table2[[#This Row],[Description]]="","",Table2[[#This Row],[Value]]/Table2[[#This Row],[Conversion]])</f>
        <v>9.11</v>
      </c>
      <c r="K435" s="45">
        <f>IF(Table2[[#This Row],[Description]]="","",DATE(Table2[[#This Row],[Year]],Table2[[#This Row],[Month]],1))</f>
        <v>43862</v>
      </c>
    </row>
    <row r="436" spans="2:11" x14ac:dyDescent="0.25">
      <c r="B436" t="s">
        <v>252</v>
      </c>
      <c r="C436" s="1">
        <v>2</v>
      </c>
      <c r="D436" s="1">
        <v>2020</v>
      </c>
      <c r="E436" s="166">
        <v>69.900000000000006</v>
      </c>
      <c r="F436" s="1" t="s">
        <v>22</v>
      </c>
      <c r="G436" s="1" t="str">
        <f>IF(Table2[[#This Row],[Description]]="","",VLOOKUP(Table2[[#This Row],[Description]],$Q$1:$S$101,2,FALSE))</f>
        <v>Other Mid</v>
      </c>
      <c r="H436" s="1" t="str">
        <f>IF(Table2[[#This Row],[Description]]="","",VLOOKUP(Table2[[#This Row],[Description]],$Q$1:$S$101,3,FALSE))</f>
        <v>Mid</v>
      </c>
      <c r="I436" s="1">
        <f>IF(Table2[[#This Row],[Description]]="","",IF(Table2[[#This Row],[Currency]]=$O$2,$P$2,HLOOKUP(Table2[[#This Row],[Date]],Funds!$C$10:$GV$11,2,FALSE)))</f>
        <v>4.29</v>
      </c>
      <c r="J436" s="215">
        <f>IF(Table2[[#This Row],[Description]]="","",Table2[[#This Row],[Value]]/Table2[[#This Row],[Conversion]])</f>
        <v>16.293706293706293</v>
      </c>
      <c r="K436" s="45">
        <f>IF(Table2[[#This Row],[Description]]="","",DATE(Table2[[#This Row],[Year]],Table2[[#This Row],[Month]],1))</f>
        <v>43862</v>
      </c>
    </row>
    <row r="437" spans="2:11" x14ac:dyDescent="0.25">
      <c r="B437" t="s">
        <v>58</v>
      </c>
      <c r="C437" s="1">
        <v>2</v>
      </c>
      <c r="D437" s="1">
        <v>2020</v>
      </c>
      <c r="E437" s="166">
        <v>29.9</v>
      </c>
      <c r="F437" s="1" t="s">
        <v>22</v>
      </c>
      <c r="G437" s="1" t="str">
        <f>IF(Table2[[#This Row],[Description]]="","",VLOOKUP(Table2[[#This Row],[Description]],$Q$1:$S$101,2,FALSE))</f>
        <v>Food</v>
      </c>
      <c r="H437" s="1" t="str">
        <f>IF(Table2[[#This Row],[Description]]="","",VLOOKUP(Table2[[#This Row],[Description]],$Q$1:$S$101,3,FALSE))</f>
        <v>Short</v>
      </c>
      <c r="I437" s="1">
        <f>IF(Table2[[#This Row],[Description]]="","",IF(Table2[[#This Row],[Currency]]=$O$2,$P$2,HLOOKUP(Table2[[#This Row],[Date]],Funds!$C$10:$GV$11,2,FALSE)))</f>
        <v>4.29</v>
      </c>
      <c r="J437" s="215">
        <f>IF(Table2[[#This Row],[Description]]="","",Table2[[#This Row],[Value]]/Table2[[#This Row],[Conversion]])</f>
        <v>6.9696969696969697</v>
      </c>
      <c r="K437" s="45">
        <f>IF(Table2[[#This Row],[Description]]="","",DATE(Table2[[#This Row],[Year]],Table2[[#This Row],[Month]],1))</f>
        <v>43862</v>
      </c>
    </row>
    <row r="438" spans="2:11" x14ac:dyDescent="0.25">
      <c r="B438" t="s">
        <v>58</v>
      </c>
      <c r="C438" s="1">
        <v>2</v>
      </c>
      <c r="D438" s="1">
        <v>2020</v>
      </c>
      <c r="E438" s="166">
        <v>77.7</v>
      </c>
      <c r="F438" s="1" t="s">
        <v>22</v>
      </c>
      <c r="G438" s="1" t="str">
        <f>IF(Table2[[#This Row],[Description]]="","",VLOOKUP(Table2[[#This Row],[Description]],$Q$1:$S$101,2,FALSE))</f>
        <v>Food</v>
      </c>
      <c r="H438" s="1" t="str">
        <f>IF(Table2[[#This Row],[Description]]="","",VLOOKUP(Table2[[#This Row],[Description]],$Q$1:$S$101,3,FALSE))</f>
        <v>Short</v>
      </c>
      <c r="I438" s="1">
        <f>IF(Table2[[#This Row],[Description]]="","",IF(Table2[[#This Row],[Currency]]=$O$2,$P$2,HLOOKUP(Table2[[#This Row],[Date]],Funds!$C$10:$GV$11,2,FALSE)))</f>
        <v>4.29</v>
      </c>
      <c r="J438" s="215">
        <f>IF(Table2[[#This Row],[Description]]="","",Table2[[#This Row],[Value]]/Table2[[#This Row],[Conversion]])</f>
        <v>18.111888111888113</v>
      </c>
      <c r="K438" s="45">
        <f>IF(Table2[[#This Row],[Description]]="","",DATE(Table2[[#This Row],[Year]],Table2[[#This Row],[Month]],1))</f>
        <v>43862</v>
      </c>
    </row>
    <row r="439" spans="2:11" x14ac:dyDescent="0.25">
      <c r="B439" t="s">
        <v>58</v>
      </c>
      <c r="C439" s="1">
        <v>2</v>
      </c>
      <c r="D439" s="1">
        <v>2020</v>
      </c>
      <c r="E439" s="166">
        <v>25</v>
      </c>
      <c r="F439" s="1" t="s">
        <v>22</v>
      </c>
      <c r="G439" s="1" t="str">
        <f>IF(Table2[[#This Row],[Description]]="","",VLOOKUP(Table2[[#This Row],[Description]],$Q$1:$S$101,2,FALSE))</f>
        <v>Food</v>
      </c>
      <c r="H439" s="1" t="str">
        <f>IF(Table2[[#This Row],[Description]]="","",VLOOKUP(Table2[[#This Row],[Description]],$Q$1:$S$101,3,FALSE))</f>
        <v>Short</v>
      </c>
      <c r="I439" s="1">
        <f>IF(Table2[[#This Row],[Description]]="","",IF(Table2[[#This Row],[Currency]]=$O$2,$P$2,HLOOKUP(Table2[[#This Row],[Date]],Funds!$C$10:$GV$11,2,FALSE)))</f>
        <v>4.29</v>
      </c>
      <c r="J439" s="215">
        <f>IF(Table2[[#This Row],[Description]]="","",Table2[[#This Row],[Value]]/Table2[[#This Row],[Conversion]])</f>
        <v>5.8275058275058278</v>
      </c>
      <c r="K439" s="45">
        <f>IF(Table2[[#This Row],[Description]]="","",DATE(Table2[[#This Row],[Year]],Table2[[#This Row],[Month]],1))</f>
        <v>43862</v>
      </c>
    </row>
    <row r="440" spans="2:11" x14ac:dyDescent="0.25">
      <c r="B440" t="s">
        <v>63</v>
      </c>
      <c r="C440" s="1">
        <v>2</v>
      </c>
      <c r="D440" s="1">
        <v>2020</v>
      </c>
      <c r="E440" s="166">
        <v>28</v>
      </c>
      <c r="F440" s="1" t="s">
        <v>22</v>
      </c>
      <c r="G440" s="1" t="str">
        <f>IF(Table2[[#This Row],[Description]]="","",VLOOKUP(Table2[[#This Row],[Description]],$Q$1:$S$101,2,FALSE))</f>
        <v>Leisure</v>
      </c>
      <c r="H440" s="1" t="str">
        <f>IF(Table2[[#This Row],[Description]]="","",VLOOKUP(Table2[[#This Row],[Description]],$Q$1:$S$101,3,FALSE))</f>
        <v>Short</v>
      </c>
      <c r="I440" s="1">
        <f>IF(Table2[[#This Row],[Description]]="","",IF(Table2[[#This Row],[Currency]]=$O$2,$P$2,HLOOKUP(Table2[[#This Row],[Date]],Funds!$C$10:$GV$11,2,FALSE)))</f>
        <v>4.29</v>
      </c>
      <c r="J440" s="215">
        <f>IF(Table2[[#This Row],[Description]]="","",Table2[[#This Row],[Value]]/Table2[[#This Row],[Conversion]])</f>
        <v>6.526806526806527</v>
      </c>
      <c r="K440" s="45">
        <f>IF(Table2[[#This Row],[Description]]="","",DATE(Table2[[#This Row],[Year]],Table2[[#This Row],[Month]],1))</f>
        <v>43862</v>
      </c>
    </row>
    <row r="441" spans="2:11" x14ac:dyDescent="0.25">
      <c r="B441" t="s">
        <v>63</v>
      </c>
      <c r="C441" s="1">
        <v>2</v>
      </c>
      <c r="D441" s="1">
        <v>2020</v>
      </c>
      <c r="E441" s="166">
        <v>116</v>
      </c>
      <c r="F441" s="1" t="s">
        <v>22</v>
      </c>
      <c r="G441" s="1" t="str">
        <f>IF(Table2[[#This Row],[Description]]="","",VLOOKUP(Table2[[#This Row],[Description]],$Q$1:$S$101,2,FALSE))</f>
        <v>Leisure</v>
      </c>
      <c r="H441" s="1" t="str">
        <f>IF(Table2[[#This Row],[Description]]="","",VLOOKUP(Table2[[#This Row],[Description]],$Q$1:$S$101,3,FALSE))</f>
        <v>Short</v>
      </c>
      <c r="I441" s="1">
        <f>IF(Table2[[#This Row],[Description]]="","",IF(Table2[[#This Row],[Currency]]=$O$2,$P$2,HLOOKUP(Table2[[#This Row],[Date]],Funds!$C$10:$GV$11,2,FALSE)))</f>
        <v>4.29</v>
      </c>
      <c r="J441" s="215">
        <f>IF(Table2[[#This Row],[Description]]="","",Table2[[#This Row],[Value]]/Table2[[#This Row],[Conversion]])</f>
        <v>27.039627039627039</v>
      </c>
      <c r="K441" s="45">
        <f>IF(Table2[[#This Row],[Description]]="","",DATE(Table2[[#This Row],[Year]],Table2[[#This Row],[Month]],1))</f>
        <v>43862</v>
      </c>
    </row>
    <row r="442" spans="2:11" x14ac:dyDescent="0.25">
      <c r="B442" t="s">
        <v>541</v>
      </c>
      <c r="C442" s="1">
        <v>2</v>
      </c>
      <c r="D442" s="1">
        <v>2020</v>
      </c>
      <c r="E442" s="166">
        <v>50</v>
      </c>
      <c r="F442" s="1" t="s">
        <v>22</v>
      </c>
      <c r="G442" s="1" t="str">
        <f>IF(Table2[[#This Row],[Description]]="","",VLOOKUP(Table2[[#This Row],[Description]],$Q$1:$S$101,2,FALSE))</f>
        <v>Turism</v>
      </c>
      <c r="H442" s="1" t="str">
        <f>IF(Table2[[#This Row],[Description]]="","",VLOOKUP(Table2[[#This Row],[Description]],$Q$1:$S$101,3,FALSE))</f>
        <v>Trip</v>
      </c>
      <c r="I442" s="1">
        <f>IF(Table2[[#This Row],[Description]]="","",IF(Table2[[#This Row],[Currency]]=$O$2,$P$2,HLOOKUP(Table2[[#This Row],[Date]],Funds!$C$10:$GV$11,2,FALSE)))</f>
        <v>4.29</v>
      </c>
      <c r="J442" s="215">
        <f>IF(Table2[[#This Row],[Description]]="","",Table2[[#This Row],[Value]]/Table2[[#This Row],[Conversion]])</f>
        <v>11.655011655011656</v>
      </c>
      <c r="K442" s="45">
        <f>IF(Table2[[#This Row],[Description]]="","",DATE(Table2[[#This Row],[Year]],Table2[[#This Row],[Month]],1))</f>
        <v>43862</v>
      </c>
    </row>
    <row r="443" spans="2:11" x14ac:dyDescent="0.25">
      <c r="B443" t="s">
        <v>58</v>
      </c>
      <c r="C443" s="1">
        <v>2</v>
      </c>
      <c r="D443" s="1">
        <v>2020</v>
      </c>
      <c r="E443" s="166">
        <v>36</v>
      </c>
      <c r="F443" s="1" t="s">
        <v>22</v>
      </c>
      <c r="G443" s="1" t="str">
        <f>IF(Table2[[#This Row],[Description]]="","",VLOOKUP(Table2[[#This Row],[Description]],$Q$1:$S$101,2,FALSE))</f>
        <v>Food</v>
      </c>
      <c r="H443" s="1" t="str">
        <f>IF(Table2[[#This Row],[Description]]="","",VLOOKUP(Table2[[#This Row],[Description]],$Q$1:$S$101,3,FALSE))</f>
        <v>Short</v>
      </c>
      <c r="I443" s="1">
        <f>IF(Table2[[#This Row],[Description]]="","",IF(Table2[[#This Row],[Currency]]=$O$2,$P$2,HLOOKUP(Table2[[#This Row],[Date]],Funds!$C$10:$GV$11,2,FALSE)))</f>
        <v>4.29</v>
      </c>
      <c r="J443" s="215">
        <f>IF(Table2[[#This Row],[Description]]="","",Table2[[#This Row],[Value]]/Table2[[#This Row],[Conversion]])</f>
        <v>8.3916083916083917</v>
      </c>
      <c r="K443" s="45">
        <f>IF(Table2[[#This Row],[Description]]="","",DATE(Table2[[#This Row],[Year]],Table2[[#This Row],[Month]],1))</f>
        <v>43862</v>
      </c>
    </row>
    <row r="444" spans="2:11" x14ac:dyDescent="0.25">
      <c r="B444" t="s">
        <v>58</v>
      </c>
      <c r="C444" s="1">
        <v>2</v>
      </c>
      <c r="D444" s="1">
        <v>2020</v>
      </c>
      <c r="E444" s="166">
        <v>32.9</v>
      </c>
      <c r="F444" s="1" t="s">
        <v>22</v>
      </c>
      <c r="G444" s="1" t="str">
        <f>IF(Table2[[#This Row],[Description]]="","",VLOOKUP(Table2[[#This Row],[Description]],$Q$1:$S$101,2,FALSE))</f>
        <v>Food</v>
      </c>
      <c r="H444" s="1" t="str">
        <f>IF(Table2[[#This Row],[Description]]="","",VLOOKUP(Table2[[#This Row],[Description]],$Q$1:$S$101,3,FALSE))</f>
        <v>Short</v>
      </c>
      <c r="I444" s="1">
        <f>IF(Table2[[#This Row],[Description]]="","",IF(Table2[[#This Row],[Currency]]=$O$2,$P$2,HLOOKUP(Table2[[#This Row],[Date]],Funds!$C$10:$GV$11,2,FALSE)))</f>
        <v>4.29</v>
      </c>
      <c r="J444" s="215">
        <f>IF(Table2[[#This Row],[Description]]="","",Table2[[#This Row],[Value]]/Table2[[#This Row],[Conversion]])</f>
        <v>7.6689976689976689</v>
      </c>
      <c r="K444" s="45">
        <f>IF(Table2[[#This Row],[Description]]="","",DATE(Table2[[#This Row],[Year]],Table2[[#This Row],[Month]],1))</f>
        <v>43862</v>
      </c>
    </row>
    <row r="445" spans="2:11" x14ac:dyDescent="0.25">
      <c r="B445" t="s">
        <v>58</v>
      </c>
      <c r="C445" s="1">
        <v>2</v>
      </c>
      <c r="D445" s="1">
        <v>2020</v>
      </c>
      <c r="E445" s="166">
        <v>7</v>
      </c>
      <c r="F445" s="1" t="s">
        <v>22</v>
      </c>
      <c r="G445" s="1" t="str">
        <f>IF(Table2[[#This Row],[Description]]="","",VLOOKUP(Table2[[#This Row],[Description]],$Q$1:$S$101,2,FALSE))</f>
        <v>Food</v>
      </c>
      <c r="H445" s="1" t="str">
        <f>IF(Table2[[#This Row],[Description]]="","",VLOOKUP(Table2[[#This Row],[Description]],$Q$1:$S$101,3,FALSE))</f>
        <v>Short</v>
      </c>
      <c r="I445" s="1">
        <f>IF(Table2[[#This Row],[Description]]="","",IF(Table2[[#This Row],[Currency]]=$O$2,$P$2,HLOOKUP(Table2[[#This Row],[Date]],Funds!$C$10:$GV$11,2,FALSE)))</f>
        <v>4.29</v>
      </c>
      <c r="J445" s="215">
        <f>IF(Table2[[#This Row],[Description]]="","",Table2[[#This Row],[Value]]/Table2[[#This Row],[Conversion]])</f>
        <v>1.6317016317016317</v>
      </c>
      <c r="K445" s="45">
        <f>IF(Table2[[#This Row],[Description]]="","",DATE(Table2[[#This Row],[Year]],Table2[[#This Row],[Month]],1))</f>
        <v>43862</v>
      </c>
    </row>
    <row r="446" spans="2:11" x14ac:dyDescent="0.25">
      <c r="B446" t="s">
        <v>58</v>
      </c>
      <c r="C446" s="1">
        <v>2</v>
      </c>
      <c r="D446" s="1">
        <v>2020</v>
      </c>
      <c r="E446" s="166">
        <v>24.2</v>
      </c>
      <c r="F446" s="1" t="s">
        <v>22</v>
      </c>
      <c r="G446" s="1" t="str">
        <f>IF(Table2[[#This Row],[Description]]="","",VLOOKUP(Table2[[#This Row],[Description]],$Q$1:$S$101,2,FALSE))</f>
        <v>Food</v>
      </c>
      <c r="H446" s="1" t="str">
        <f>IF(Table2[[#This Row],[Description]]="","",VLOOKUP(Table2[[#This Row],[Description]],$Q$1:$S$101,3,FALSE))</f>
        <v>Short</v>
      </c>
      <c r="I446" s="1">
        <f>IF(Table2[[#This Row],[Description]]="","",IF(Table2[[#This Row],[Currency]]=$O$2,$P$2,HLOOKUP(Table2[[#This Row],[Date]],Funds!$C$10:$GV$11,2,FALSE)))</f>
        <v>4.29</v>
      </c>
      <c r="J446" s="215">
        <f>IF(Table2[[#This Row],[Description]]="","",Table2[[#This Row],[Value]]/Table2[[#This Row],[Conversion]])</f>
        <v>5.6410256410256405</v>
      </c>
      <c r="K446" s="45">
        <f>IF(Table2[[#This Row],[Description]]="","",DATE(Table2[[#This Row],[Year]],Table2[[#This Row],[Month]],1))</f>
        <v>43862</v>
      </c>
    </row>
    <row r="447" spans="2:11" x14ac:dyDescent="0.25">
      <c r="B447" t="s">
        <v>73</v>
      </c>
      <c r="C447" s="1">
        <v>2</v>
      </c>
      <c r="D447" s="1">
        <v>2020</v>
      </c>
      <c r="E447" s="166">
        <v>55.98</v>
      </c>
      <c r="F447" s="1" t="s">
        <v>22</v>
      </c>
      <c r="G447" s="1" t="str">
        <f>IF(Table2[[#This Row],[Description]]="","",VLOOKUP(Table2[[#This Row],[Description]],$Q$1:$S$101,2,FALSE))</f>
        <v>MN free</v>
      </c>
      <c r="H447" s="1" t="str">
        <f>IF(Table2[[#This Row],[Description]]="","",VLOOKUP(Table2[[#This Row],[Description]],$Q$1:$S$101,3,FALSE))</f>
        <v>Mid</v>
      </c>
      <c r="I447" s="1">
        <f>IF(Table2[[#This Row],[Description]]="","",IF(Table2[[#This Row],[Currency]]=$O$2,$P$2,HLOOKUP(Table2[[#This Row],[Date]],Funds!$C$10:$GV$11,2,FALSE)))</f>
        <v>4.29</v>
      </c>
      <c r="J447" s="215">
        <f>IF(Table2[[#This Row],[Description]]="","",Table2[[#This Row],[Value]]/Table2[[#This Row],[Conversion]])</f>
        <v>13.048951048951048</v>
      </c>
      <c r="K447" s="45">
        <f>IF(Table2[[#This Row],[Description]]="","",DATE(Table2[[#This Row],[Year]],Table2[[#This Row],[Month]],1))</f>
        <v>43862</v>
      </c>
    </row>
    <row r="448" spans="2:11" x14ac:dyDescent="0.25">
      <c r="B448" t="s">
        <v>541</v>
      </c>
      <c r="C448" s="1">
        <v>2</v>
      </c>
      <c r="D448" s="1">
        <v>2020</v>
      </c>
      <c r="E448" s="166">
        <v>70.599999999999994</v>
      </c>
      <c r="F448" s="1" t="s">
        <v>22</v>
      </c>
      <c r="G448" s="1" t="str">
        <f>IF(Table2[[#This Row],[Description]]="","",VLOOKUP(Table2[[#This Row],[Description]],$Q$1:$S$101,2,FALSE))</f>
        <v>Turism</v>
      </c>
      <c r="H448" s="1" t="str">
        <f>IF(Table2[[#This Row],[Description]]="","",VLOOKUP(Table2[[#This Row],[Description]],$Q$1:$S$101,3,FALSE))</f>
        <v>Trip</v>
      </c>
      <c r="I448" s="1">
        <f>IF(Table2[[#This Row],[Description]]="","",IF(Table2[[#This Row],[Currency]]=$O$2,$P$2,HLOOKUP(Table2[[#This Row],[Date]],Funds!$C$10:$GV$11,2,FALSE)))</f>
        <v>4.29</v>
      </c>
      <c r="J448" s="215">
        <f>IF(Table2[[#This Row],[Description]]="","",Table2[[#This Row],[Value]]/Table2[[#This Row],[Conversion]])</f>
        <v>16.456876456876454</v>
      </c>
      <c r="K448" s="45">
        <f>IF(Table2[[#This Row],[Description]]="","",DATE(Table2[[#This Row],[Year]],Table2[[#This Row],[Month]],1))</f>
        <v>43862</v>
      </c>
    </row>
    <row r="449" spans="2:11" x14ac:dyDescent="0.25">
      <c r="B449" t="s">
        <v>541</v>
      </c>
      <c r="C449" s="1">
        <v>2</v>
      </c>
      <c r="D449" s="1">
        <v>2020</v>
      </c>
      <c r="E449" s="166">
        <v>58.5</v>
      </c>
      <c r="F449" s="1" t="s">
        <v>22</v>
      </c>
      <c r="G449" s="1" t="str">
        <f>IF(Table2[[#This Row],[Description]]="","",VLOOKUP(Table2[[#This Row],[Description]],$Q$1:$S$101,2,FALSE))</f>
        <v>Turism</v>
      </c>
      <c r="H449" s="1" t="str">
        <f>IF(Table2[[#This Row],[Description]]="","",VLOOKUP(Table2[[#This Row],[Description]],$Q$1:$S$101,3,FALSE))</f>
        <v>Trip</v>
      </c>
      <c r="I449" s="1">
        <f>IF(Table2[[#This Row],[Description]]="","",IF(Table2[[#This Row],[Currency]]=$O$2,$P$2,HLOOKUP(Table2[[#This Row],[Date]],Funds!$C$10:$GV$11,2,FALSE)))</f>
        <v>4.29</v>
      </c>
      <c r="J449" s="215">
        <f>IF(Table2[[#This Row],[Description]]="","",Table2[[#This Row],[Value]]/Table2[[#This Row],[Conversion]])</f>
        <v>13.636363636363637</v>
      </c>
      <c r="K449" s="45">
        <f>IF(Table2[[#This Row],[Description]]="","",DATE(Table2[[#This Row],[Year]],Table2[[#This Row],[Month]],1))</f>
        <v>43862</v>
      </c>
    </row>
    <row r="450" spans="2:11" x14ac:dyDescent="0.25">
      <c r="B450" t="s">
        <v>541</v>
      </c>
      <c r="C450" s="1">
        <v>2</v>
      </c>
      <c r="D450" s="1">
        <v>2020</v>
      </c>
      <c r="E450" s="166">
        <v>16</v>
      </c>
      <c r="F450" s="1" t="s">
        <v>22</v>
      </c>
      <c r="G450" s="1" t="str">
        <f>IF(Table2[[#This Row],[Description]]="","",VLOOKUP(Table2[[#This Row],[Description]],$Q$1:$S$101,2,FALSE))</f>
        <v>Turism</v>
      </c>
      <c r="H450" s="1" t="str">
        <f>IF(Table2[[#This Row],[Description]]="","",VLOOKUP(Table2[[#This Row],[Description]],$Q$1:$S$101,3,FALSE))</f>
        <v>Trip</v>
      </c>
      <c r="I450" s="1">
        <f>IF(Table2[[#This Row],[Description]]="","",IF(Table2[[#This Row],[Currency]]=$O$2,$P$2,HLOOKUP(Table2[[#This Row],[Date]],Funds!$C$10:$GV$11,2,FALSE)))</f>
        <v>4.29</v>
      </c>
      <c r="J450" s="215">
        <f>IF(Table2[[#This Row],[Description]]="","",Table2[[#This Row],[Value]]/Table2[[#This Row],[Conversion]])</f>
        <v>3.7296037296037294</v>
      </c>
      <c r="K450" s="45">
        <f>IF(Table2[[#This Row],[Description]]="","",DATE(Table2[[#This Row],[Year]],Table2[[#This Row],[Month]],1))</f>
        <v>43862</v>
      </c>
    </row>
    <row r="451" spans="2:11" x14ac:dyDescent="0.25">
      <c r="B451" t="s">
        <v>541</v>
      </c>
      <c r="C451" s="1">
        <v>2</v>
      </c>
      <c r="D451" s="1">
        <v>2020</v>
      </c>
      <c r="E451" s="166">
        <v>8</v>
      </c>
      <c r="F451" s="1" t="s">
        <v>22</v>
      </c>
      <c r="G451" s="1" t="str">
        <f>IF(Table2[[#This Row],[Description]]="","",VLOOKUP(Table2[[#This Row],[Description]],$Q$1:$S$101,2,FALSE))</f>
        <v>Turism</v>
      </c>
      <c r="H451" s="1" t="str">
        <f>IF(Table2[[#This Row],[Description]]="","",VLOOKUP(Table2[[#This Row],[Description]],$Q$1:$S$101,3,FALSE))</f>
        <v>Trip</v>
      </c>
      <c r="I451" s="1">
        <f>IF(Table2[[#This Row],[Description]]="","",IF(Table2[[#This Row],[Currency]]=$O$2,$P$2,HLOOKUP(Table2[[#This Row],[Date]],Funds!$C$10:$GV$11,2,FALSE)))</f>
        <v>4.29</v>
      </c>
      <c r="J451" s="215">
        <f>IF(Table2[[#This Row],[Description]]="","",Table2[[#This Row],[Value]]/Table2[[#This Row],[Conversion]])</f>
        <v>1.8648018648018647</v>
      </c>
      <c r="K451" s="45">
        <f>IF(Table2[[#This Row],[Description]]="","",DATE(Table2[[#This Row],[Year]],Table2[[#This Row],[Month]],1))</f>
        <v>43862</v>
      </c>
    </row>
    <row r="452" spans="2:11" x14ac:dyDescent="0.25">
      <c r="B452" t="s">
        <v>541</v>
      </c>
      <c r="C452" s="1">
        <v>2</v>
      </c>
      <c r="D452" s="1">
        <v>2020</v>
      </c>
      <c r="E452" s="166">
        <v>72.599999999999994</v>
      </c>
      <c r="F452" s="1" t="s">
        <v>22</v>
      </c>
      <c r="G452" s="1" t="str">
        <f>IF(Table2[[#This Row],[Description]]="","",VLOOKUP(Table2[[#This Row],[Description]],$Q$1:$S$101,2,FALSE))</f>
        <v>Turism</v>
      </c>
      <c r="H452" s="1" t="str">
        <f>IF(Table2[[#This Row],[Description]]="","",VLOOKUP(Table2[[#This Row],[Description]],$Q$1:$S$101,3,FALSE))</f>
        <v>Trip</v>
      </c>
      <c r="I452" s="1">
        <f>IF(Table2[[#This Row],[Description]]="","",IF(Table2[[#This Row],[Currency]]=$O$2,$P$2,HLOOKUP(Table2[[#This Row],[Date]],Funds!$C$10:$GV$11,2,FALSE)))</f>
        <v>4.29</v>
      </c>
      <c r="J452" s="215">
        <f>IF(Table2[[#This Row],[Description]]="","",Table2[[#This Row],[Value]]/Table2[[#This Row],[Conversion]])</f>
        <v>16.923076923076923</v>
      </c>
      <c r="K452" s="45">
        <f>IF(Table2[[#This Row],[Description]]="","",DATE(Table2[[#This Row],[Year]],Table2[[#This Row],[Month]],1))</f>
        <v>43862</v>
      </c>
    </row>
    <row r="453" spans="2:11" x14ac:dyDescent="0.25">
      <c r="B453" t="s">
        <v>541</v>
      </c>
      <c r="C453" s="1">
        <v>2</v>
      </c>
      <c r="D453" s="1">
        <v>2020</v>
      </c>
      <c r="E453" s="166">
        <v>54.94</v>
      </c>
      <c r="F453" s="1" t="s">
        <v>22</v>
      </c>
      <c r="G453" s="1" t="str">
        <f>IF(Table2[[#This Row],[Description]]="","",VLOOKUP(Table2[[#This Row],[Description]],$Q$1:$S$101,2,FALSE))</f>
        <v>Turism</v>
      </c>
      <c r="H453" s="1" t="str">
        <f>IF(Table2[[#This Row],[Description]]="","",VLOOKUP(Table2[[#This Row],[Description]],$Q$1:$S$101,3,FALSE))</f>
        <v>Trip</v>
      </c>
      <c r="I453" s="1">
        <f>IF(Table2[[#This Row],[Description]]="","",IF(Table2[[#This Row],[Currency]]=$O$2,$P$2,HLOOKUP(Table2[[#This Row],[Date]],Funds!$C$10:$GV$11,2,FALSE)))</f>
        <v>4.29</v>
      </c>
      <c r="J453" s="215">
        <f>IF(Table2[[#This Row],[Description]]="","",Table2[[#This Row],[Value]]/Table2[[#This Row],[Conversion]])</f>
        <v>12.806526806526806</v>
      </c>
      <c r="K453" s="45">
        <f>IF(Table2[[#This Row],[Description]]="","",DATE(Table2[[#This Row],[Year]],Table2[[#This Row],[Month]],1))</f>
        <v>43862</v>
      </c>
    </row>
    <row r="454" spans="2:11" x14ac:dyDescent="0.25">
      <c r="B454" t="s">
        <v>541</v>
      </c>
      <c r="C454" s="1">
        <v>2</v>
      </c>
      <c r="D454" s="1">
        <v>2020</v>
      </c>
      <c r="E454" s="166">
        <v>8</v>
      </c>
      <c r="F454" s="1" t="s">
        <v>22</v>
      </c>
      <c r="G454" s="1" t="str">
        <f>IF(Table2[[#This Row],[Description]]="","",VLOOKUP(Table2[[#This Row],[Description]],$Q$1:$S$101,2,FALSE))</f>
        <v>Turism</v>
      </c>
      <c r="H454" s="1" t="str">
        <f>IF(Table2[[#This Row],[Description]]="","",VLOOKUP(Table2[[#This Row],[Description]],$Q$1:$S$101,3,FALSE))</f>
        <v>Trip</v>
      </c>
      <c r="I454" s="1">
        <f>IF(Table2[[#This Row],[Description]]="","",IF(Table2[[#This Row],[Currency]]=$O$2,$P$2,HLOOKUP(Table2[[#This Row],[Date]],Funds!$C$10:$GV$11,2,FALSE)))</f>
        <v>4.29</v>
      </c>
      <c r="J454" s="215">
        <f>IF(Table2[[#This Row],[Description]]="","",Table2[[#This Row],[Value]]/Table2[[#This Row],[Conversion]])</f>
        <v>1.8648018648018647</v>
      </c>
      <c r="K454" s="45">
        <f>IF(Table2[[#This Row],[Description]]="","",DATE(Table2[[#This Row],[Year]],Table2[[#This Row],[Month]],1))</f>
        <v>43862</v>
      </c>
    </row>
    <row r="455" spans="2:11" x14ac:dyDescent="0.25">
      <c r="B455" t="s">
        <v>541</v>
      </c>
      <c r="C455" s="1">
        <v>2</v>
      </c>
      <c r="D455" s="1">
        <v>2020</v>
      </c>
      <c r="E455" s="166">
        <v>40</v>
      </c>
      <c r="F455" s="1" t="s">
        <v>22</v>
      </c>
      <c r="G455" s="1" t="str">
        <f>IF(Table2[[#This Row],[Description]]="","",VLOOKUP(Table2[[#This Row],[Description]],$Q$1:$S$101,2,FALSE))</f>
        <v>Turism</v>
      </c>
      <c r="H455" s="1" t="str">
        <f>IF(Table2[[#This Row],[Description]]="","",VLOOKUP(Table2[[#This Row],[Description]],$Q$1:$S$101,3,FALSE))</f>
        <v>Trip</v>
      </c>
      <c r="I455" s="1">
        <f>IF(Table2[[#This Row],[Description]]="","",IF(Table2[[#This Row],[Currency]]=$O$2,$P$2,HLOOKUP(Table2[[#This Row],[Date]],Funds!$C$10:$GV$11,2,FALSE)))</f>
        <v>4.29</v>
      </c>
      <c r="J455" s="215">
        <f>IF(Table2[[#This Row],[Description]]="","",Table2[[#This Row],[Value]]/Table2[[#This Row],[Conversion]])</f>
        <v>9.3240093240093245</v>
      </c>
      <c r="K455" s="45">
        <f>IF(Table2[[#This Row],[Description]]="","",DATE(Table2[[#This Row],[Year]],Table2[[#This Row],[Month]],1))</f>
        <v>43862</v>
      </c>
    </row>
    <row r="456" spans="2:11" x14ac:dyDescent="0.25">
      <c r="B456" t="s">
        <v>541</v>
      </c>
      <c r="C456" s="1">
        <v>2</v>
      </c>
      <c r="D456" s="1">
        <v>2020</v>
      </c>
      <c r="E456" s="166">
        <v>24</v>
      </c>
      <c r="F456" s="1" t="s">
        <v>22</v>
      </c>
      <c r="G456" s="1" t="str">
        <f>IF(Table2[[#This Row],[Description]]="","",VLOOKUP(Table2[[#This Row],[Description]],$Q$1:$S$101,2,FALSE))</f>
        <v>Turism</v>
      </c>
      <c r="H456" s="1" t="str">
        <f>IF(Table2[[#This Row],[Description]]="","",VLOOKUP(Table2[[#This Row],[Description]],$Q$1:$S$101,3,FALSE))</f>
        <v>Trip</v>
      </c>
      <c r="I456" s="1">
        <f>IF(Table2[[#This Row],[Description]]="","",IF(Table2[[#This Row],[Currency]]=$O$2,$P$2,HLOOKUP(Table2[[#This Row],[Date]],Funds!$C$10:$GV$11,2,FALSE)))</f>
        <v>4.29</v>
      </c>
      <c r="J456" s="215">
        <f>IF(Table2[[#This Row],[Description]]="","",Table2[[#This Row],[Value]]/Table2[[#This Row],[Conversion]])</f>
        <v>5.5944055944055942</v>
      </c>
      <c r="K456" s="45">
        <f>IF(Table2[[#This Row],[Description]]="","",DATE(Table2[[#This Row],[Year]],Table2[[#This Row],[Month]],1))</f>
        <v>43862</v>
      </c>
    </row>
    <row r="457" spans="2:11" x14ac:dyDescent="0.25">
      <c r="B457" t="s">
        <v>541</v>
      </c>
      <c r="C457" s="1">
        <v>2</v>
      </c>
      <c r="D457" s="1">
        <v>2020</v>
      </c>
      <c r="E457" s="166">
        <v>89.93</v>
      </c>
      <c r="F457" s="1" t="s">
        <v>22</v>
      </c>
      <c r="G457" s="1" t="str">
        <f>IF(Table2[[#This Row],[Description]]="","",VLOOKUP(Table2[[#This Row],[Description]],$Q$1:$S$101,2,FALSE))</f>
        <v>Turism</v>
      </c>
      <c r="H457" s="1" t="str">
        <f>IF(Table2[[#This Row],[Description]]="","",VLOOKUP(Table2[[#This Row],[Description]],$Q$1:$S$101,3,FALSE))</f>
        <v>Trip</v>
      </c>
      <c r="I457" s="1">
        <f>IF(Table2[[#This Row],[Description]]="","",IF(Table2[[#This Row],[Currency]]=$O$2,$P$2,HLOOKUP(Table2[[#This Row],[Date]],Funds!$C$10:$GV$11,2,FALSE)))</f>
        <v>4.29</v>
      </c>
      <c r="J457" s="215">
        <f>IF(Table2[[#This Row],[Description]]="","",Table2[[#This Row],[Value]]/Table2[[#This Row],[Conversion]])</f>
        <v>20.962703962703966</v>
      </c>
      <c r="K457" s="45">
        <f>IF(Table2[[#This Row],[Description]]="","",DATE(Table2[[#This Row],[Year]],Table2[[#This Row],[Month]],1))</f>
        <v>43862</v>
      </c>
    </row>
    <row r="458" spans="2:11" x14ac:dyDescent="0.25">
      <c r="B458" t="s">
        <v>541</v>
      </c>
      <c r="C458" s="1">
        <v>2</v>
      </c>
      <c r="D458" s="1">
        <v>2020</v>
      </c>
      <c r="E458" s="166">
        <v>24</v>
      </c>
      <c r="F458" s="1" t="s">
        <v>22</v>
      </c>
      <c r="G458" s="1" t="str">
        <f>IF(Table2[[#This Row],[Description]]="","",VLOOKUP(Table2[[#This Row],[Description]],$Q$1:$S$101,2,FALSE))</f>
        <v>Turism</v>
      </c>
      <c r="H458" s="1" t="str">
        <f>IF(Table2[[#This Row],[Description]]="","",VLOOKUP(Table2[[#This Row],[Description]],$Q$1:$S$101,3,FALSE))</f>
        <v>Trip</v>
      </c>
      <c r="I458" s="1">
        <f>IF(Table2[[#This Row],[Description]]="","",IF(Table2[[#This Row],[Currency]]=$O$2,$P$2,HLOOKUP(Table2[[#This Row],[Date]],Funds!$C$10:$GV$11,2,FALSE)))</f>
        <v>4.29</v>
      </c>
      <c r="J458" s="215">
        <f>IF(Table2[[#This Row],[Description]]="","",Table2[[#This Row],[Value]]/Table2[[#This Row],[Conversion]])</f>
        <v>5.5944055944055942</v>
      </c>
      <c r="K458" s="45">
        <f>IF(Table2[[#This Row],[Description]]="","",DATE(Table2[[#This Row],[Year]],Table2[[#This Row],[Month]],1))</f>
        <v>43862</v>
      </c>
    </row>
    <row r="459" spans="2:11" x14ac:dyDescent="0.25">
      <c r="B459" t="s">
        <v>541</v>
      </c>
      <c r="C459" s="1">
        <v>2</v>
      </c>
      <c r="D459" s="1">
        <v>2020</v>
      </c>
      <c r="E459" s="166">
        <v>18.88</v>
      </c>
      <c r="F459" s="1" t="s">
        <v>22</v>
      </c>
      <c r="G459" s="1" t="str">
        <f>IF(Table2[[#This Row],[Description]]="","",VLOOKUP(Table2[[#This Row],[Description]],$Q$1:$S$101,2,FALSE))</f>
        <v>Turism</v>
      </c>
      <c r="H459" s="1" t="str">
        <f>IF(Table2[[#This Row],[Description]]="","",VLOOKUP(Table2[[#This Row],[Description]],$Q$1:$S$101,3,FALSE))</f>
        <v>Trip</v>
      </c>
      <c r="I459" s="1">
        <f>IF(Table2[[#This Row],[Description]]="","",IF(Table2[[#This Row],[Currency]]=$O$2,$P$2,HLOOKUP(Table2[[#This Row],[Date]],Funds!$C$10:$GV$11,2,FALSE)))</f>
        <v>4.29</v>
      </c>
      <c r="J459" s="215">
        <f>IF(Table2[[#This Row],[Description]]="","",Table2[[#This Row],[Value]]/Table2[[#This Row],[Conversion]])</f>
        <v>4.4009324009324002</v>
      </c>
      <c r="K459" s="45">
        <f>IF(Table2[[#This Row],[Description]]="","",DATE(Table2[[#This Row],[Year]],Table2[[#This Row],[Month]],1))</f>
        <v>43862</v>
      </c>
    </row>
    <row r="460" spans="2:11" x14ac:dyDescent="0.25">
      <c r="B460" t="s">
        <v>541</v>
      </c>
      <c r="C460" s="1">
        <v>2</v>
      </c>
      <c r="D460" s="1">
        <v>2020</v>
      </c>
      <c r="E460" s="166">
        <v>16.5</v>
      </c>
      <c r="F460" s="1" t="s">
        <v>22</v>
      </c>
      <c r="G460" s="1" t="str">
        <f>IF(Table2[[#This Row],[Description]]="","",VLOOKUP(Table2[[#This Row],[Description]],$Q$1:$S$101,2,FALSE))</f>
        <v>Turism</v>
      </c>
      <c r="H460" s="1" t="str">
        <f>IF(Table2[[#This Row],[Description]]="","",VLOOKUP(Table2[[#This Row],[Description]],$Q$1:$S$101,3,FALSE))</f>
        <v>Trip</v>
      </c>
      <c r="I460" s="1">
        <f>IF(Table2[[#This Row],[Description]]="","",IF(Table2[[#This Row],[Currency]]=$O$2,$P$2,HLOOKUP(Table2[[#This Row],[Date]],Funds!$C$10:$GV$11,2,FALSE)))</f>
        <v>4.29</v>
      </c>
      <c r="J460" s="215">
        <f>IF(Table2[[#This Row],[Description]]="","",Table2[[#This Row],[Value]]/Table2[[#This Row],[Conversion]])</f>
        <v>3.8461538461538463</v>
      </c>
      <c r="K460" s="45">
        <f>IF(Table2[[#This Row],[Description]]="","",DATE(Table2[[#This Row],[Year]],Table2[[#This Row],[Month]],1))</f>
        <v>43862</v>
      </c>
    </row>
    <row r="461" spans="2:11" x14ac:dyDescent="0.25">
      <c r="B461" t="s">
        <v>541</v>
      </c>
      <c r="C461" s="1">
        <v>2</v>
      </c>
      <c r="D461" s="1">
        <v>2020</v>
      </c>
      <c r="E461" s="166">
        <v>40</v>
      </c>
      <c r="F461" s="1" t="s">
        <v>22</v>
      </c>
      <c r="G461" s="1" t="str">
        <f>IF(Table2[[#This Row],[Description]]="","",VLOOKUP(Table2[[#This Row],[Description]],$Q$1:$S$101,2,FALSE))</f>
        <v>Turism</v>
      </c>
      <c r="H461" s="1" t="str">
        <f>IF(Table2[[#This Row],[Description]]="","",VLOOKUP(Table2[[#This Row],[Description]],$Q$1:$S$101,3,FALSE))</f>
        <v>Trip</v>
      </c>
      <c r="I461" s="1">
        <f>IF(Table2[[#This Row],[Description]]="","",IF(Table2[[#This Row],[Currency]]=$O$2,$P$2,HLOOKUP(Table2[[#This Row],[Date]],Funds!$C$10:$GV$11,2,FALSE)))</f>
        <v>4.29</v>
      </c>
      <c r="J461" s="215">
        <f>IF(Table2[[#This Row],[Description]]="","",Table2[[#This Row],[Value]]/Table2[[#This Row],[Conversion]])</f>
        <v>9.3240093240093245</v>
      </c>
      <c r="K461" s="45">
        <f>IF(Table2[[#This Row],[Description]]="","",DATE(Table2[[#This Row],[Year]],Table2[[#This Row],[Month]],1))</f>
        <v>43862</v>
      </c>
    </row>
    <row r="462" spans="2:11" x14ac:dyDescent="0.25">
      <c r="B462" t="s">
        <v>541</v>
      </c>
      <c r="C462" s="1">
        <v>2</v>
      </c>
      <c r="D462" s="1">
        <v>2020</v>
      </c>
      <c r="E462" s="166">
        <v>81.28</v>
      </c>
      <c r="F462" s="1" t="s">
        <v>22</v>
      </c>
      <c r="G462" s="1" t="str">
        <f>IF(Table2[[#This Row],[Description]]="","",VLOOKUP(Table2[[#This Row],[Description]],$Q$1:$S$101,2,FALSE))</f>
        <v>Turism</v>
      </c>
      <c r="H462" s="1" t="str">
        <f>IF(Table2[[#This Row],[Description]]="","",VLOOKUP(Table2[[#This Row],[Description]],$Q$1:$S$101,3,FALSE))</f>
        <v>Trip</v>
      </c>
      <c r="I462" s="1">
        <f>IF(Table2[[#This Row],[Description]]="","",IF(Table2[[#This Row],[Currency]]=$O$2,$P$2,HLOOKUP(Table2[[#This Row],[Date]],Funds!$C$10:$GV$11,2,FALSE)))</f>
        <v>4.29</v>
      </c>
      <c r="J462" s="215">
        <f>IF(Table2[[#This Row],[Description]]="","",Table2[[#This Row],[Value]]/Table2[[#This Row],[Conversion]])</f>
        <v>18.946386946386948</v>
      </c>
      <c r="K462" s="45">
        <f>IF(Table2[[#This Row],[Description]]="","",DATE(Table2[[#This Row],[Year]],Table2[[#This Row],[Month]],1))</f>
        <v>43862</v>
      </c>
    </row>
    <row r="463" spans="2:11" x14ac:dyDescent="0.25">
      <c r="B463" t="s">
        <v>541</v>
      </c>
      <c r="C463" s="1">
        <v>2</v>
      </c>
      <c r="D463" s="1">
        <v>2020</v>
      </c>
      <c r="E463" s="166">
        <v>11.11</v>
      </c>
      <c r="F463" s="1" t="s">
        <v>22</v>
      </c>
      <c r="G463" s="1" t="str">
        <f>IF(Table2[[#This Row],[Description]]="","",VLOOKUP(Table2[[#This Row],[Description]],$Q$1:$S$101,2,FALSE))</f>
        <v>Turism</v>
      </c>
      <c r="H463" s="1" t="str">
        <f>IF(Table2[[#This Row],[Description]]="","",VLOOKUP(Table2[[#This Row],[Description]],$Q$1:$S$101,3,FALSE))</f>
        <v>Trip</v>
      </c>
      <c r="I463" s="1">
        <f>IF(Table2[[#This Row],[Description]]="","",IF(Table2[[#This Row],[Currency]]=$O$2,$P$2,HLOOKUP(Table2[[#This Row],[Date]],Funds!$C$10:$GV$11,2,FALSE)))</f>
        <v>4.29</v>
      </c>
      <c r="J463" s="215">
        <f>IF(Table2[[#This Row],[Description]]="","",Table2[[#This Row],[Value]]/Table2[[#This Row],[Conversion]])</f>
        <v>2.5897435897435894</v>
      </c>
      <c r="K463" s="45">
        <f>IF(Table2[[#This Row],[Description]]="","",DATE(Table2[[#This Row],[Year]],Table2[[#This Row],[Month]],1))</f>
        <v>43862</v>
      </c>
    </row>
    <row r="464" spans="2:11" x14ac:dyDescent="0.25">
      <c r="B464" t="s">
        <v>541</v>
      </c>
      <c r="C464" s="1">
        <v>2</v>
      </c>
      <c r="D464" s="1">
        <v>2020</v>
      </c>
      <c r="E464" s="166">
        <v>50.06</v>
      </c>
      <c r="F464" s="1" t="s">
        <v>22</v>
      </c>
      <c r="G464" s="1" t="str">
        <f>IF(Table2[[#This Row],[Description]]="","",VLOOKUP(Table2[[#This Row],[Description]],$Q$1:$S$101,2,FALSE))</f>
        <v>Turism</v>
      </c>
      <c r="H464" s="1" t="str">
        <f>IF(Table2[[#This Row],[Description]]="","",VLOOKUP(Table2[[#This Row],[Description]],$Q$1:$S$101,3,FALSE))</f>
        <v>Trip</v>
      </c>
      <c r="I464" s="1">
        <f>IF(Table2[[#This Row],[Description]]="","",IF(Table2[[#This Row],[Currency]]=$O$2,$P$2,HLOOKUP(Table2[[#This Row],[Date]],Funds!$C$10:$GV$11,2,FALSE)))</f>
        <v>4.29</v>
      </c>
      <c r="J464" s="215">
        <f>IF(Table2[[#This Row],[Description]]="","",Table2[[#This Row],[Value]]/Table2[[#This Row],[Conversion]])</f>
        <v>11.668997668997669</v>
      </c>
      <c r="K464" s="45">
        <f>IF(Table2[[#This Row],[Description]]="","",DATE(Table2[[#This Row],[Year]],Table2[[#This Row],[Month]],1))</f>
        <v>43862</v>
      </c>
    </row>
    <row r="465" spans="2:11" x14ac:dyDescent="0.25">
      <c r="B465" t="s">
        <v>262</v>
      </c>
      <c r="C465" s="1">
        <v>2</v>
      </c>
      <c r="D465" s="1">
        <v>2020</v>
      </c>
      <c r="E465" s="166">
        <v>192.5</v>
      </c>
      <c r="F465" s="1" t="s">
        <v>22</v>
      </c>
      <c r="G465" s="1" t="str">
        <f>IF(Table2[[#This Row],[Description]]="","",VLOOKUP(Table2[[#This Row],[Description]],$Q$1:$S$101,2,FALSE))</f>
        <v>Mid</v>
      </c>
      <c r="H465" s="1" t="str">
        <f>IF(Table2[[#This Row],[Description]]="","",VLOOKUP(Table2[[#This Row],[Description]],$Q$1:$S$101,3,FALSE))</f>
        <v>Mid</v>
      </c>
      <c r="I465" s="1">
        <f>IF(Table2[[#This Row],[Description]]="","",IF(Table2[[#This Row],[Currency]]=$O$2,$P$2,HLOOKUP(Table2[[#This Row],[Date]],Funds!$C$10:$GV$11,2,FALSE)))</f>
        <v>4.29</v>
      </c>
      <c r="J465" s="215">
        <f>IF(Table2[[#This Row],[Description]]="","",Table2[[#This Row],[Value]]/Table2[[#This Row],[Conversion]])</f>
        <v>44.871794871794869</v>
      </c>
      <c r="K465" s="45">
        <f>IF(Table2[[#This Row],[Description]]="","",DATE(Table2[[#This Row],[Year]],Table2[[#This Row],[Month]],1))</f>
        <v>43862</v>
      </c>
    </row>
    <row r="466" spans="2:11" x14ac:dyDescent="0.25">
      <c r="B466" t="s">
        <v>269</v>
      </c>
      <c r="C466" s="1">
        <v>2</v>
      </c>
      <c r="D466" s="1">
        <v>2020</v>
      </c>
      <c r="E466" s="166">
        <v>-50</v>
      </c>
      <c r="F466" s="1" t="s">
        <v>22</v>
      </c>
      <c r="G466" s="1" t="str">
        <f>IF(Table2[[#This Row],[Description]]="","",VLOOKUP(Table2[[#This Row],[Description]],$Q$1:$S$101,2,FALSE))</f>
        <v>Other Mid</v>
      </c>
      <c r="H466" s="1" t="str">
        <f>IF(Table2[[#This Row],[Description]]="","",VLOOKUP(Table2[[#This Row],[Description]],$Q$1:$S$101,3,FALSE))</f>
        <v>Mid</v>
      </c>
      <c r="I466" s="1">
        <f>IF(Table2[[#This Row],[Description]]="","",IF(Table2[[#This Row],[Currency]]=$O$2,$P$2,HLOOKUP(Table2[[#This Row],[Date]],Funds!$C$10:$GV$11,2,FALSE)))</f>
        <v>4.29</v>
      </c>
      <c r="J466" s="215">
        <f>IF(Table2[[#This Row],[Description]]="","",Table2[[#This Row],[Value]]/Table2[[#This Row],[Conversion]])</f>
        <v>-11.655011655011656</v>
      </c>
      <c r="K466" s="45">
        <f>IF(Table2[[#This Row],[Description]]="","",DATE(Table2[[#This Row],[Year]],Table2[[#This Row],[Month]],1))</f>
        <v>43862</v>
      </c>
    </row>
    <row r="467" spans="2:11" x14ac:dyDescent="0.25">
      <c r="B467" t="s">
        <v>269</v>
      </c>
      <c r="C467" s="1">
        <v>2</v>
      </c>
      <c r="D467" s="1">
        <v>2020</v>
      </c>
      <c r="E467" s="166">
        <v>-23.89</v>
      </c>
      <c r="F467" s="1" t="s">
        <v>22</v>
      </c>
      <c r="G467" s="1" t="str">
        <f>IF(Table2[[#This Row],[Description]]="","",VLOOKUP(Table2[[#This Row],[Description]],$Q$1:$S$101,2,FALSE))</f>
        <v>Other Mid</v>
      </c>
      <c r="H467" s="1" t="str">
        <f>IF(Table2[[#This Row],[Description]]="","",VLOOKUP(Table2[[#This Row],[Description]],$Q$1:$S$101,3,FALSE))</f>
        <v>Mid</v>
      </c>
      <c r="I467" s="1">
        <f>IF(Table2[[#This Row],[Description]]="","",IF(Table2[[#This Row],[Currency]]=$O$2,$P$2,HLOOKUP(Table2[[#This Row],[Date]],Funds!$C$10:$GV$11,2,FALSE)))</f>
        <v>4.29</v>
      </c>
      <c r="J467" s="215">
        <f>IF(Table2[[#This Row],[Description]]="","",Table2[[#This Row],[Value]]/Table2[[#This Row],[Conversion]])</f>
        <v>-5.5687645687645686</v>
      </c>
      <c r="K467" s="45">
        <f>IF(Table2[[#This Row],[Description]]="","",DATE(Table2[[#This Row],[Year]],Table2[[#This Row],[Month]],1))</f>
        <v>43862</v>
      </c>
    </row>
    <row r="468" spans="2:11" x14ac:dyDescent="0.25">
      <c r="B468" t="s">
        <v>269</v>
      </c>
      <c r="C468" s="1">
        <v>2</v>
      </c>
      <c r="D468" s="1">
        <v>2020</v>
      </c>
      <c r="E468" s="166">
        <v>-194</v>
      </c>
      <c r="F468" s="1" t="s">
        <v>22</v>
      </c>
      <c r="G468" s="1" t="str">
        <f>IF(Table2[[#This Row],[Description]]="","",VLOOKUP(Table2[[#This Row],[Description]],$Q$1:$S$101,2,FALSE))</f>
        <v>Other Mid</v>
      </c>
      <c r="H468" s="1" t="str">
        <f>IF(Table2[[#This Row],[Description]]="","",VLOOKUP(Table2[[#This Row],[Description]],$Q$1:$S$101,3,FALSE))</f>
        <v>Mid</v>
      </c>
      <c r="I468" s="1">
        <f>IF(Table2[[#This Row],[Description]]="","",IF(Table2[[#This Row],[Currency]]=$O$2,$P$2,HLOOKUP(Table2[[#This Row],[Date]],Funds!$C$10:$GV$11,2,FALSE)))</f>
        <v>4.29</v>
      </c>
      <c r="J468" s="215">
        <f>IF(Table2[[#This Row],[Description]]="","",Table2[[#This Row],[Value]]/Table2[[#This Row],[Conversion]])</f>
        <v>-45.221445221445222</v>
      </c>
      <c r="K468" s="45">
        <f>IF(Table2[[#This Row],[Description]]="","",DATE(Table2[[#This Row],[Year]],Table2[[#This Row],[Month]],1))</f>
        <v>43862</v>
      </c>
    </row>
    <row r="469" spans="2:11" x14ac:dyDescent="0.25">
      <c r="B469" t="s">
        <v>269</v>
      </c>
      <c r="C469" s="1">
        <v>2</v>
      </c>
      <c r="D469" s="1">
        <v>2020</v>
      </c>
      <c r="E469" s="166">
        <v>-146</v>
      </c>
      <c r="F469" s="1" t="s">
        <v>22</v>
      </c>
      <c r="G469" s="1" t="str">
        <f>IF(Table2[[#This Row],[Description]]="","",VLOOKUP(Table2[[#This Row],[Description]],$Q$1:$S$101,2,FALSE))</f>
        <v>Other Mid</v>
      </c>
      <c r="H469" s="1" t="str">
        <f>IF(Table2[[#This Row],[Description]]="","",VLOOKUP(Table2[[#This Row],[Description]],$Q$1:$S$101,3,FALSE))</f>
        <v>Mid</v>
      </c>
      <c r="I469" s="1">
        <f>IF(Table2[[#This Row],[Description]]="","",IF(Table2[[#This Row],[Currency]]=$O$2,$P$2,HLOOKUP(Table2[[#This Row],[Date]],Funds!$C$10:$GV$11,2,FALSE)))</f>
        <v>4.29</v>
      </c>
      <c r="J469" s="215">
        <f>IF(Table2[[#This Row],[Description]]="","",Table2[[#This Row],[Value]]/Table2[[#This Row],[Conversion]])</f>
        <v>-34.032634032634036</v>
      </c>
      <c r="K469" s="45">
        <f>IF(Table2[[#This Row],[Description]]="","",DATE(Table2[[#This Row],[Year]],Table2[[#This Row],[Month]],1))</f>
        <v>43862</v>
      </c>
    </row>
    <row r="470" spans="2:11" x14ac:dyDescent="0.25">
      <c r="B470" t="s">
        <v>262</v>
      </c>
      <c r="C470" s="1">
        <v>2</v>
      </c>
      <c r="D470" s="1">
        <v>2020</v>
      </c>
      <c r="E470" s="166">
        <v>520.67999999999995</v>
      </c>
      <c r="F470" s="1" t="s">
        <v>22</v>
      </c>
      <c r="G470" s="1" t="str">
        <f>IF(Table2[[#This Row],[Description]]="","",VLOOKUP(Table2[[#This Row],[Description]],$Q$1:$S$101,2,FALSE))</f>
        <v>Mid</v>
      </c>
      <c r="H470" s="1" t="str">
        <f>IF(Table2[[#This Row],[Description]]="","",VLOOKUP(Table2[[#This Row],[Description]],$Q$1:$S$101,3,FALSE))</f>
        <v>Mid</v>
      </c>
      <c r="I470" s="1">
        <f>IF(Table2[[#This Row],[Description]]="","",IF(Table2[[#This Row],[Currency]]=$O$2,$P$2,HLOOKUP(Table2[[#This Row],[Date]],Funds!$C$10:$GV$11,2,FALSE)))</f>
        <v>4.29</v>
      </c>
      <c r="J470" s="215">
        <f>IF(Table2[[#This Row],[Description]]="","",Table2[[#This Row],[Value]]/Table2[[#This Row],[Conversion]])</f>
        <v>121.37062937062936</v>
      </c>
      <c r="K470" s="45">
        <f>IF(Table2[[#This Row],[Description]]="","",DATE(Table2[[#This Row],[Year]],Table2[[#This Row],[Month]],1))</f>
        <v>43862</v>
      </c>
    </row>
    <row r="471" spans="2:11" x14ac:dyDescent="0.25">
      <c r="B471" t="s">
        <v>262</v>
      </c>
      <c r="C471" s="1">
        <v>1</v>
      </c>
      <c r="D471" s="1">
        <v>2020</v>
      </c>
      <c r="E471" s="166">
        <v>1467.53</v>
      </c>
      <c r="F471" s="1" t="s">
        <v>22</v>
      </c>
      <c r="G471" s="1" t="str">
        <f>IF(Table2[[#This Row],[Description]]="","",VLOOKUP(Table2[[#This Row],[Description]],$Q$1:$S$101,2,FALSE))</f>
        <v>Mid</v>
      </c>
      <c r="H471" s="1" t="str">
        <f>IF(Table2[[#This Row],[Description]]="","",VLOOKUP(Table2[[#This Row],[Description]],$Q$1:$S$101,3,FALSE))</f>
        <v>Mid</v>
      </c>
      <c r="I471" s="1">
        <f>IF(Table2[[#This Row],[Description]]="","",IF(Table2[[#This Row],[Currency]]=$O$2,$P$2,HLOOKUP(Table2[[#This Row],[Date]],Funds!$C$10:$GV$11,2,FALSE)))</f>
        <v>4.2858000000000001</v>
      </c>
      <c r="J471" s="215">
        <f>IF(Table2[[#This Row],[Description]]="","",Table2[[#This Row],[Value]]/Table2[[#This Row],[Conversion]])</f>
        <v>342.41681833030003</v>
      </c>
      <c r="K471" s="45">
        <f>IF(Table2[[#This Row],[Description]]="","",DATE(Table2[[#This Row],[Year]],Table2[[#This Row],[Month]],1))</f>
        <v>43831</v>
      </c>
    </row>
    <row r="472" spans="2:11" x14ac:dyDescent="0.25">
      <c r="B472" t="s">
        <v>263</v>
      </c>
      <c r="C472" s="1">
        <v>2</v>
      </c>
      <c r="D472" s="1">
        <v>2020</v>
      </c>
      <c r="E472" s="166">
        <v>19.899999999999999</v>
      </c>
      <c r="F472" s="1" t="s">
        <v>22</v>
      </c>
      <c r="G472" s="1" t="str">
        <f>IF(Table2[[#This Row],[Description]]="","",VLOOKUP(Table2[[#This Row],[Description]],$Q$1:$S$101,2,FALSE))</f>
        <v>MN free</v>
      </c>
      <c r="H472" s="1" t="str">
        <f>IF(Table2[[#This Row],[Description]]="","",VLOOKUP(Table2[[#This Row],[Description]],$Q$1:$S$101,3,FALSE))</f>
        <v>Mid</v>
      </c>
      <c r="I472" s="1">
        <f>IF(Table2[[#This Row],[Description]]="","",IF(Table2[[#This Row],[Currency]]=$O$2,$P$2,HLOOKUP(Table2[[#This Row],[Date]],Funds!$C$10:$GV$11,2,FALSE)))</f>
        <v>4.29</v>
      </c>
      <c r="J472" s="215">
        <f>IF(Table2[[#This Row],[Description]]="","",Table2[[#This Row],[Value]]/Table2[[#This Row],[Conversion]])</f>
        <v>4.6386946386946386</v>
      </c>
      <c r="K472" s="45">
        <f>IF(Table2[[#This Row],[Description]]="","",DATE(Table2[[#This Row],[Year]],Table2[[#This Row],[Month]],1))</f>
        <v>43862</v>
      </c>
    </row>
    <row r="473" spans="2:11" x14ac:dyDescent="0.25">
      <c r="B473" t="s">
        <v>264</v>
      </c>
      <c r="C473" s="1">
        <v>2</v>
      </c>
      <c r="D473" s="1">
        <v>2020</v>
      </c>
      <c r="E473" s="166">
        <v>79.900000000000006</v>
      </c>
      <c r="F473" s="1" t="s">
        <v>22</v>
      </c>
      <c r="G473" s="1" t="str">
        <f>IF(Table2[[#This Row],[Description]]="","",VLOOKUP(Table2[[#This Row],[Description]],$Q$1:$S$101,2,FALSE))</f>
        <v>MN free</v>
      </c>
      <c r="H473" s="1" t="str">
        <f>IF(Table2[[#This Row],[Description]]="","",VLOOKUP(Table2[[#This Row],[Description]],$Q$1:$S$101,3,FALSE))</f>
        <v>Mid</v>
      </c>
      <c r="I473" s="1">
        <f>IF(Table2[[#This Row],[Description]]="","",IF(Table2[[#This Row],[Currency]]=$O$2,$P$2,HLOOKUP(Table2[[#This Row],[Date]],Funds!$C$10:$GV$11,2,FALSE)))</f>
        <v>4.29</v>
      </c>
      <c r="J473" s="215">
        <f>IF(Table2[[#This Row],[Description]]="","",Table2[[#This Row],[Value]]/Table2[[#This Row],[Conversion]])</f>
        <v>18.624708624708624</v>
      </c>
      <c r="K473" s="45">
        <f>IF(Table2[[#This Row],[Description]]="","",DATE(Table2[[#This Row],[Year]],Table2[[#This Row],[Month]],1))</f>
        <v>43862</v>
      </c>
    </row>
    <row r="474" spans="2:11" x14ac:dyDescent="0.25">
      <c r="B474" t="s">
        <v>541</v>
      </c>
      <c r="C474" s="1">
        <v>2</v>
      </c>
      <c r="D474" s="1">
        <v>2020</v>
      </c>
      <c r="E474" s="166">
        <v>72.7</v>
      </c>
      <c r="F474" s="1" t="s">
        <v>22</v>
      </c>
      <c r="G474" s="1" t="str">
        <f>IF(Table2[[#This Row],[Description]]="","",VLOOKUP(Table2[[#This Row],[Description]],$Q$1:$S$101,2,FALSE))</f>
        <v>Turism</v>
      </c>
      <c r="H474" s="1" t="str">
        <f>IF(Table2[[#This Row],[Description]]="","",VLOOKUP(Table2[[#This Row],[Description]],$Q$1:$S$101,3,FALSE))</f>
        <v>Trip</v>
      </c>
      <c r="I474" s="1">
        <f>IF(Table2[[#This Row],[Description]]="","",IF(Table2[[#This Row],[Currency]]=$O$2,$P$2,HLOOKUP(Table2[[#This Row],[Date]],Funds!$C$10:$GV$11,2,FALSE)))</f>
        <v>4.29</v>
      </c>
      <c r="J474" s="215">
        <f>IF(Table2[[#This Row],[Description]]="","",Table2[[#This Row],[Value]]/Table2[[#This Row],[Conversion]])</f>
        <v>16.946386946386948</v>
      </c>
      <c r="K474" s="45">
        <f>IF(Table2[[#This Row],[Description]]="","",DATE(Table2[[#This Row],[Year]],Table2[[#This Row],[Month]],1))</f>
        <v>43862</v>
      </c>
    </row>
    <row r="475" spans="2:11" x14ac:dyDescent="0.25">
      <c r="B475" t="s">
        <v>541</v>
      </c>
      <c r="C475" s="1">
        <v>2</v>
      </c>
      <c r="D475" s="1">
        <v>2020</v>
      </c>
      <c r="E475" s="166">
        <v>20</v>
      </c>
      <c r="F475" s="1" t="s">
        <v>22</v>
      </c>
      <c r="G475" s="1" t="str">
        <f>IF(Table2[[#This Row],[Description]]="","",VLOOKUP(Table2[[#This Row],[Description]],$Q$1:$S$101,2,FALSE))</f>
        <v>Turism</v>
      </c>
      <c r="H475" s="1" t="str">
        <f>IF(Table2[[#This Row],[Description]]="","",VLOOKUP(Table2[[#This Row],[Description]],$Q$1:$S$101,3,FALSE))</f>
        <v>Trip</v>
      </c>
      <c r="I475" s="1">
        <f>IF(Table2[[#This Row],[Description]]="","",IF(Table2[[#This Row],[Currency]]=$O$2,$P$2,HLOOKUP(Table2[[#This Row],[Date]],Funds!$C$10:$GV$11,2,FALSE)))</f>
        <v>4.29</v>
      </c>
      <c r="J475" s="215">
        <f>IF(Table2[[#This Row],[Description]]="","",Table2[[#This Row],[Value]]/Table2[[#This Row],[Conversion]])</f>
        <v>4.6620046620046622</v>
      </c>
      <c r="K475" s="45">
        <f>IF(Table2[[#This Row],[Description]]="","",DATE(Table2[[#This Row],[Year]],Table2[[#This Row],[Month]],1))</f>
        <v>43862</v>
      </c>
    </row>
    <row r="476" spans="2:11" x14ac:dyDescent="0.25">
      <c r="B476" t="s">
        <v>263</v>
      </c>
      <c r="C476" s="1">
        <v>1</v>
      </c>
      <c r="D476" s="1">
        <v>2020</v>
      </c>
      <c r="E476" s="166">
        <v>19.899999999999999</v>
      </c>
      <c r="F476" s="1" t="s">
        <v>22</v>
      </c>
      <c r="G476" s="1" t="str">
        <f>IF(Table2[[#This Row],[Description]]="","",VLOOKUP(Table2[[#This Row],[Description]],$Q$1:$S$101,2,FALSE))</f>
        <v>MN free</v>
      </c>
      <c r="H476" s="1" t="str">
        <f>IF(Table2[[#This Row],[Description]]="","",VLOOKUP(Table2[[#This Row],[Description]],$Q$1:$S$101,3,FALSE))</f>
        <v>Mid</v>
      </c>
      <c r="I476" s="1">
        <f>IF(Table2[[#This Row],[Description]]="","",IF(Table2[[#This Row],[Currency]]=$O$2,$P$2,HLOOKUP(Table2[[#This Row],[Date]],Funds!$C$10:$GV$11,2,FALSE)))</f>
        <v>4.2858000000000001</v>
      </c>
      <c r="J476" s="215">
        <f>IF(Table2[[#This Row],[Description]]="","",Table2[[#This Row],[Value]]/Table2[[#This Row],[Conversion]])</f>
        <v>4.6432404685239623</v>
      </c>
      <c r="K476" s="45">
        <f>IF(Table2[[#This Row],[Description]]="","",DATE(Table2[[#This Row],[Year]],Table2[[#This Row],[Month]],1))</f>
        <v>43831</v>
      </c>
    </row>
    <row r="477" spans="2:11" x14ac:dyDescent="0.25">
      <c r="B477" t="s">
        <v>264</v>
      </c>
      <c r="C477" s="1">
        <v>1</v>
      </c>
      <c r="D477" s="1">
        <v>2020</v>
      </c>
      <c r="E477" s="166">
        <v>59.9</v>
      </c>
      <c r="F477" s="1" t="s">
        <v>22</v>
      </c>
      <c r="G477" s="1" t="str">
        <f>IF(Table2[[#This Row],[Description]]="","",VLOOKUP(Table2[[#This Row],[Description]],$Q$1:$S$101,2,FALSE))</f>
        <v>MN free</v>
      </c>
      <c r="H477" s="1" t="str">
        <f>IF(Table2[[#This Row],[Description]]="","",VLOOKUP(Table2[[#This Row],[Description]],$Q$1:$S$101,3,FALSE))</f>
        <v>Mid</v>
      </c>
      <c r="I477" s="1">
        <f>IF(Table2[[#This Row],[Description]]="","",IF(Table2[[#This Row],[Currency]]=$O$2,$P$2,HLOOKUP(Table2[[#This Row],[Date]],Funds!$C$10:$GV$11,2,FALSE)))</f>
        <v>4.2858000000000001</v>
      </c>
      <c r="J477" s="215">
        <f>IF(Table2[[#This Row],[Description]]="","",Table2[[#This Row],[Value]]/Table2[[#This Row],[Conversion]])</f>
        <v>13.976387138923888</v>
      </c>
      <c r="K477" s="45">
        <f>IF(Table2[[#This Row],[Description]]="","",DATE(Table2[[#This Row],[Year]],Table2[[#This Row],[Month]],1))</f>
        <v>43831</v>
      </c>
    </row>
    <row r="478" spans="2:11" x14ac:dyDescent="0.25">
      <c r="B478" t="s">
        <v>541</v>
      </c>
      <c r="C478" s="1">
        <v>1</v>
      </c>
      <c r="D478" s="1">
        <v>2020</v>
      </c>
      <c r="E478" s="166">
        <v>440.88</v>
      </c>
      <c r="F478" s="1" t="s">
        <v>22</v>
      </c>
      <c r="G478" s="1" t="str">
        <f>IF(Table2[[#This Row],[Description]]="","",VLOOKUP(Table2[[#This Row],[Description]],$Q$1:$S$101,2,FALSE))</f>
        <v>Turism</v>
      </c>
      <c r="H478" s="1" t="str">
        <f>IF(Table2[[#This Row],[Description]]="","",VLOOKUP(Table2[[#This Row],[Description]],$Q$1:$S$101,3,FALSE))</f>
        <v>Trip</v>
      </c>
      <c r="I478" s="1">
        <f>IF(Table2[[#This Row],[Description]]="","",IF(Table2[[#This Row],[Currency]]=$O$2,$P$2,HLOOKUP(Table2[[#This Row],[Date]],Funds!$C$10:$GV$11,2,FALSE)))</f>
        <v>4.2858000000000001</v>
      </c>
      <c r="J478" s="215">
        <f>IF(Table2[[#This Row],[Description]]="","",Table2[[#This Row],[Value]]/Table2[[#This Row],[Conversion]])</f>
        <v>102.86994260114797</v>
      </c>
      <c r="K478" s="45">
        <f>IF(Table2[[#This Row],[Description]]="","",DATE(Table2[[#This Row],[Year]],Table2[[#This Row],[Month]],1))</f>
        <v>43831</v>
      </c>
    </row>
    <row r="479" spans="2:11" x14ac:dyDescent="0.25">
      <c r="B479" t="s">
        <v>280</v>
      </c>
      <c r="C479" s="1">
        <v>2</v>
      </c>
      <c r="D479" s="1">
        <v>2020</v>
      </c>
      <c r="E479" s="166">
        <v>-192.5</v>
      </c>
      <c r="F479" s="1" t="s">
        <v>22</v>
      </c>
      <c r="G479" s="1" t="str">
        <f>IF(Table2[[#This Row],[Description]]="","",VLOOKUP(Table2[[#This Row],[Description]],$Q$1:$S$101,2,FALSE))</f>
        <v>Mid</v>
      </c>
      <c r="H479" s="1" t="str">
        <f>IF(Table2[[#This Row],[Description]]="","",VLOOKUP(Table2[[#This Row],[Description]],$Q$1:$S$101,3,FALSE))</f>
        <v>Mid</v>
      </c>
      <c r="I479" s="1">
        <f>IF(Table2[[#This Row],[Description]]="","",IF(Table2[[#This Row],[Currency]]=$O$2,$P$2,HLOOKUP(Table2[[#This Row],[Date]],Funds!$C$10:$GV$11,2,FALSE)))</f>
        <v>4.29</v>
      </c>
      <c r="J479" s="215">
        <f>IF(Table2[[#This Row],[Description]]="","",Table2[[#This Row],[Value]]/Table2[[#This Row],[Conversion]])</f>
        <v>-44.871794871794869</v>
      </c>
      <c r="K479" s="45">
        <f>IF(Table2[[#This Row],[Description]]="","",DATE(Table2[[#This Row],[Year]],Table2[[#This Row],[Month]],1))</f>
        <v>43862</v>
      </c>
    </row>
    <row r="480" spans="2:11" x14ac:dyDescent="0.25">
      <c r="B480" t="s">
        <v>280</v>
      </c>
      <c r="C480" s="1">
        <v>1</v>
      </c>
      <c r="D480" s="1">
        <v>2020</v>
      </c>
      <c r="E480" s="166">
        <v>-520.67999999999995</v>
      </c>
      <c r="F480" s="1" t="s">
        <v>22</v>
      </c>
      <c r="G480" s="1" t="str">
        <f>IF(Table2[[#This Row],[Description]]="","",VLOOKUP(Table2[[#This Row],[Description]],$Q$1:$S$101,2,FALSE))</f>
        <v>Mid</v>
      </c>
      <c r="H480" s="1" t="str">
        <f>IF(Table2[[#This Row],[Description]]="","",VLOOKUP(Table2[[#This Row],[Description]],$Q$1:$S$101,3,FALSE))</f>
        <v>Mid</v>
      </c>
      <c r="I480" s="1">
        <f>IF(Table2[[#This Row],[Description]]="","",IF(Table2[[#This Row],[Currency]]=$O$2,$P$2,HLOOKUP(Table2[[#This Row],[Date]],Funds!$C$10:$GV$11,2,FALSE)))</f>
        <v>4.2858000000000001</v>
      </c>
      <c r="J480" s="215">
        <f>IF(Table2[[#This Row],[Description]]="","",Table2[[#This Row],[Value]]/Table2[[#This Row],[Conversion]])</f>
        <v>-121.48957020859581</v>
      </c>
      <c r="K480" s="45">
        <f>IF(Table2[[#This Row],[Description]]="","",DATE(Table2[[#This Row],[Year]],Table2[[#This Row],[Month]],1))</f>
        <v>43831</v>
      </c>
    </row>
    <row r="481" spans="2:11" x14ac:dyDescent="0.25">
      <c r="B481" t="s">
        <v>252</v>
      </c>
      <c r="C481" s="1">
        <v>1</v>
      </c>
      <c r="D481" s="1">
        <v>2020</v>
      </c>
      <c r="E481" s="166">
        <v>36.67</v>
      </c>
      <c r="F481" s="1" t="s">
        <v>21</v>
      </c>
      <c r="G481" s="1" t="str">
        <f>IF(Table2[[#This Row],[Description]]="","",VLOOKUP(Table2[[#This Row],[Description]],$Q$1:$S$101,2,FALSE))</f>
        <v>Other Mid</v>
      </c>
      <c r="H481" s="1" t="str">
        <f>IF(Table2[[#This Row],[Description]]="","",VLOOKUP(Table2[[#This Row],[Description]],$Q$1:$S$101,3,FALSE))</f>
        <v>Mid</v>
      </c>
      <c r="I481" s="1">
        <f>IF(Table2[[#This Row],[Description]]="","",IF(Table2[[#This Row],[Currency]]=$O$2,$P$2,HLOOKUP(Table2[[#This Row],[Date]],Funds!$C$10:$GV$11,2,FALSE)))</f>
        <v>1</v>
      </c>
      <c r="J481" s="215">
        <f>IF(Table2[[#This Row],[Description]]="","",Table2[[#This Row],[Value]]/Table2[[#This Row],[Conversion]])</f>
        <v>36.67</v>
      </c>
      <c r="K481" s="45">
        <f>IF(Table2[[#This Row],[Description]]="","",DATE(Table2[[#This Row],[Year]],Table2[[#This Row],[Month]],1))</f>
        <v>43831</v>
      </c>
    </row>
    <row r="482" spans="2:11" x14ac:dyDescent="0.25">
      <c r="B482" t="s">
        <v>252</v>
      </c>
      <c r="C482" s="1">
        <v>2</v>
      </c>
      <c r="D482" s="1">
        <v>2020</v>
      </c>
      <c r="E482" s="166">
        <v>50.24</v>
      </c>
      <c r="F482" s="1" t="s">
        <v>21</v>
      </c>
      <c r="G482" s="1" t="str">
        <f>IF(Table2[[#This Row],[Description]]="","",VLOOKUP(Table2[[#This Row],[Description]],$Q$1:$S$101,2,FALSE))</f>
        <v>Other Mid</v>
      </c>
      <c r="H482" s="1" t="str">
        <f>IF(Table2[[#This Row],[Description]]="","",VLOOKUP(Table2[[#This Row],[Description]],$Q$1:$S$101,3,FALSE))</f>
        <v>Mid</v>
      </c>
      <c r="I482" s="1">
        <f>IF(Table2[[#This Row],[Description]]="","",IF(Table2[[#This Row],[Currency]]=$O$2,$P$2,HLOOKUP(Table2[[#This Row],[Date]],Funds!$C$10:$GV$11,2,FALSE)))</f>
        <v>1</v>
      </c>
      <c r="J482" s="215">
        <f>IF(Table2[[#This Row],[Description]]="","",Table2[[#This Row],[Value]]/Table2[[#This Row],[Conversion]])</f>
        <v>50.24</v>
      </c>
      <c r="K482" s="45">
        <f>IF(Table2[[#This Row],[Description]]="","",DATE(Table2[[#This Row],[Year]],Table2[[#This Row],[Month]],1))</f>
        <v>43862</v>
      </c>
    </row>
    <row r="483" spans="2:11" x14ac:dyDescent="0.25">
      <c r="B483" t="s">
        <v>72</v>
      </c>
      <c r="C483" s="1">
        <v>1</v>
      </c>
      <c r="D483" s="1">
        <v>2020</v>
      </c>
      <c r="E483" s="166">
        <v>144.81</v>
      </c>
      <c r="F483" s="1" t="s">
        <v>21</v>
      </c>
      <c r="G483" s="1" t="str">
        <f>IF(Table2[[#This Row],[Description]]="","",VLOOKUP(Table2[[#This Row],[Description]],$Q$1:$S$101,2,FALSE))</f>
        <v>EK free</v>
      </c>
      <c r="H483" s="1" t="str">
        <f>IF(Table2[[#This Row],[Description]]="","",VLOOKUP(Table2[[#This Row],[Description]],$Q$1:$S$101,3,FALSE))</f>
        <v>Mid</v>
      </c>
      <c r="I483" s="1">
        <f>IF(Table2[[#This Row],[Description]]="","",IF(Table2[[#This Row],[Currency]]=$O$2,$P$2,HLOOKUP(Table2[[#This Row],[Date]],Funds!$C$10:$GV$11,2,FALSE)))</f>
        <v>1</v>
      </c>
      <c r="J483" s="215">
        <f>IF(Table2[[#This Row],[Description]]="","",Table2[[#This Row],[Value]]/Table2[[#This Row],[Conversion]])</f>
        <v>144.81</v>
      </c>
      <c r="K483" s="45">
        <f>IF(Table2[[#This Row],[Description]]="","",DATE(Table2[[#This Row],[Year]],Table2[[#This Row],[Month]],1))</f>
        <v>43831</v>
      </c>
    </row>
    <row r="484" spans="2:11" x14ac:dyDescent="0.25">
      <c r="B484" t="s">
        <v>72</v>
      </c>
      <c r="C484" s="1">
        <v>2</v>
      </c>
      <c r="D484" s="1">
        <v>2020</v>
      </c>
      <c r="E484" s="166">
        <v>31.95</v>
      </c>
      <c r="F484" s="1" t="s">
        <v>21</v>
      </c>
      <c r="G484" s="1" t="str">
        <f>IF(Table2[[#This Row],[Description]]="","",VLOOKUP(Table2[[#This Row],[Description]],$Q$1:$S$101,2,FALSE))</f>
        <v>EK free</v>
      </c>
      <c r="H484" s="1" t="str">
        <f>IF(Table2[[#This Row],[Description]]="","",VLOOKUP(Table2[[#This Row],[Description]],$Q$1:$S$101,3,FALSE))</f>
        <v>Mid</v>
      </c>
      <c r="I484" s="1">
        <f>IF(Table2[[#This Row],[Description]]="","",IF(Table2[[#This Row],[Currency]]=$O$2,$P$2,HLOOKUP(Table2[[#This Row],[Date]],Funds!$C$10:$GV$11,2,FALSE)))</f>
        <v>1</v>
      </c>
      <c r="J484" s="215">
        <f>IF(Table2[[#This Row],[Description]]="","",Table2[[#This Row],[Value]]/Table2[[#This Row],[Conversion]])</f>
        <v>31.95</v>
      </c>
      <c r="K484" s="45">
        <f>IF(Table2[[#This Row],[Description]]="","",DATE(Table2[[#This Row],[Year]],Table2[[#This Row],[Month]],1))</f>
        <v>43862</v>
      </c>
    </row>
    <row r="485" spans="2:11" x14ac:dyDescent="0.25">
      <c r="B485" t="s">
        <v>73</v>
      </c>
      <c r="C485" s="1">
        <v>1</v>
      </c>
      <c r="D485" s="1">
        <v>2020</v>
      </c>
      <c r="E485" s="166">
        <v>247.04</v>
      </c>
      <c r="F485" s="1" t="s">
        <v>21</v>
      </c>
      <c r="G485" s="1" t="str">
        <f>IF(Table2[[#This Row],[Description]]="","",VLOOKUP(Table2[[#This Row],[Description]],$Q$1:$S$101,2,FALSE))</f>
        <v>MN free</v>
      </c>
      <c r="H485" s="1" t="str">
        <f>IF(Table2[[#This Row],[Description]]="","",VLOOKUP(Table2[[#This Row],[Description]],$Q$1:$S$101,3,FALSE))</f>
        <v>Mid</v>
      </c>
      <c r="I485" s="1">
        <f>IF(Table2[[#This Row],[Description]]="","",IF(Table2[[#This Row],[Currency]]=$O$2,$P$2,HLOOKUP(Table2[[#This Row],[Date]],Funds!$C$10:$GV$11,2,FALSE)))</f>
        <v>1</v>
      </c>
      <c r="J485" s="215">
        <f>IF(Table2[[#This Row],[Description]]="","",Table2[[#This Row],[Value]]/Table2[[#This Row],[Conversion]])</f>
        <v>247.04</v>
      </c>
      <c r="K485" s="45">
        <f>IF(Table2[[#This Row],[Description]]="","",DATE(Table2[[#This Row],[Year]],Table2[[#This Row],[Month]],1))</f>
        <v>43831</v>
      </c>
    </row>
    <row r="486" spans="2:11" x14ac:dyDescent="0.25">
      <c r="B486" t="s">
        <v>316</v>
      </c>
      <c r="C486" s="1">
        <v>1</v>
      </c>
      <c r="D486" s="1">
        <v>2020</v>
      </c>
      <c r="E486" s="166">
        <v>13.96</v>
      </c>
      <c r="F486" s="1" t="s">
        <v>21</v>
      </c>
      <c r="G486" s="1" t="str">
        <f>IF(Table2[[#This Row],[Description]]="","",VLOOKUP(Table2[[#This Row],[Description]],$Q$1:$S$101,2,FALSE))</f>
        <v>Gifts</v>
      </c>
      <c r="H486" s="1" t="str">
        <f>IF(Table2[[#This Row],[Description]]="","",VLOOKUP(Table2[[#This Row],[Description]],$Q$1:$S$101,3,FALSE))</f>
        <v>Mid</v>
      </c>
      <c r="I486" s="1">
        <f>IF(Table2[[#This Row],[Description]]="","",IF(Table2[[#This Row],[Currency]]=$O$2,$P$2,HLOOKUP(Table2[[#This Row],[Date]],Funds!$C$10:$GV$11,2,FALSE)))</f>
        <v>1</v>
      </c>
      <c r="J486" s="215">
        <f>IF(Table2[[#This Row],[Description]]="","",Table2[[#This Row],[Value]]/Table2[[#This Row],[Conversion]])</f>
        <v>13.96</v>
      </c>
      <c r="K486" s="45">
        <f>IF(Table2[[#This Row],[Description]]="","",DATE(Table2[[#This Row],[Year]],Table2[[#This Row],[Month]],1))</f>
        <v>43831</v>
      </c>
    </row>
    <row r="487" spans="2:11" x14ac:dyDescent="0.25">
      <c r="B487" t="s">
        <v>320</v>
      </c>
      <c r="C487" s="1">
        <v>1</v>
      </c>
      <c r="D487" s="1">
        <v>2020</v>
      </c>
      <c r="E487" s="166">
        <v>422.43882214274572</v>
      </c>
      <c r="F487" s="1" t="s">
        <v>21</v>
      </c>
      <c r="G487" s="1" t="str">
        <f>IF(Table2[[#This Row],[Description]]="","",VLOOKUP(Table2[[#This Row],[Description]],$Q$1:$S$101,2,FALSE))</f>
        <v>Long</v>
      </c>
      <c r="H487" s="1" t="str">
        <f>IF(Table2[[#This Row],[Description]]="","",VLOOKUP(Table2[[#This Row],[Description]],$Q$1:$S$101,3,FALSE))</f>
        <v>Long</v>
      </c>
      <c r="I487" s="1">
        <f>IF(Table2[[#This Row],[Description]]="","",IF(Table2[[#This Row],[Currency]]=$O$2,$P$2,HLOOKUP(Table2[[#This Row],[Date]],Funds!$C$10:$GV$11,2,FALSE)))</f>
        <v>1</v>
      </c>
      <c r="J487" s="215">
        <f>IF(Table2[[#This Row],[Description]]="","",Table2[[#This Row],[Value]]/Table2[[#This Row],[Conversion]])</f>
        <v>422.43882214274572</v>
      </c>
      <c r="K487" s="45">
        <f>IF(Table2[[#This Row],[Description]]="","",DATE(Table2[[#This Row],[Year]],Table2[[#This Row],[Month]],1))</f>
        <v>43831</v>
      </c>
    </row>
    <row r="488" spans="2:11" x14ac:dyDescent="0.25">
      <c r="B488" t="s">
        <v>46</v>
      </c>
      <c r="C488" s="1">
        <v>1</v>
      </c>
      <c r="D488" s="1">
        <v>2020</v>
      </c>
      <c r="E488" s="166">
        <v>164.35769749880109</v>
      </c>
      <c r="F488" s="1" t="s">
        <v>21</v>
      </c>
      <c r="G488" s="1" t="str">
        <f>IF(Table2[[#This Row],[Description]]="","",VLOOKUP(Table2[[#This Row],[Description]],$Q$1:$S$101,2,FALSE))</f>
        <v>Health care</v>
      </c>
      <c r="H488" s="1" t="str">
        <f>IF(Table2[[#This Row],[Description]]="","",VLOOKUP(Table2[[#This Row],[Description]],$Q$1:$S$101,3,FALSE))</f>
        <v>Short</v>
      </c>
      <c r="I488" s="1">
        <f>IF(Table2[[#This Row],[Description]]="","",IF(Table2[[#This Row],[Currency]]=$O$2,$P$2,HLOOKUP(Table2[[#This Row],[Date]],Funds!$C$10:$GV$11,2,FALSE)))</f>
        <v>1</v>
      </c>
      <c r="J488" s="215">
        <f>IF(Table2[[#This Row],[Description]]="","",Table2[[#This Row],[Value]]/Table2[[#This Row],[Conversion]])</f>
        <v>164.35769749880109</v>
      </c>
      <c r="K488" s="45">
        <f>IF(Table2[[#This Row],[Description]]="","",DATE(Table2[[#This Row],[Year]],Table2[[#This Row],[Month]],1))</f>
        <v>43831</v>
      </c>
    </row>
    <row r="489" spans="2:11" x14ac:dyDescent="0.25">
      <c r="B489" t="s">
        <v>324</v>
      </c>
      <c r="C489" s="1">
        <v>1</v>
      </c>
      <c r="D489" s="1">
        <v>2020</v>
      </c>
      <c r="E489" s="166">
        <v>21.950156808819195</v>
      </c>
      <c r="F489" s="1" t="s">
        <v>21</v>
      </c>
      <c r="G489" s="1" t="str">
        <f>IF(Table2[[#This Row],[Description]]="","",VLOOKUP(Table2[[#This Row],[Description]],$Q$1:$S$101,2,FALSE))</f>
        <v>Health care</v>
      </c>
      <c r="H489" s="1" t="str">
        <f>IF(Table2[[#This Row],[Description]]="","",VLOOKUP(Table2[[#This Row],[Description]],$Q$1:$S$101,3,FALSE))</f>
        <v>Short</v>
      </c>
      <c r="I489" s="1">
        <f>IF(Table2[[#This Row],[Description]]="","",IF(Table2[[#This Row],[Currency]]=$O$2,$P$2,HLOOKUP(Table2[[#This Row],[Date]],Funds!$C$10:$GV$11,2,FALSE)))</f>
        <v>1</v>
      </c>
      <c r="J489" s="215">
        <f>IF(Table2[[#This Row],[Description]]="","",Table2[[#This Row],[Value]]/Table2[[#This Row],[Conversion]])</f>
        <v>21.950156808819195</v>
      </c>
      <c r="K489" s="45">
        <f>IF(Table2[[#This Row],[Description]]="","",DATE(Table2[[#This Row],[Year]],Table2[[#This Row],[Month]],1))</f>
        <v>43831</v>
      </c>
    </row>
    <row r="490" spans="2:11" x14ac:dyDescent="0.25">
      <c r="B490" t="s">
        <v>59</v>
      </c>
      <c r="C490" s="1">
        <v>1</v>
      </c>
      <c r="D490" s="1">
        <v>2020</v>
      </c>
      <c r="E490" s="166">
        <v>85.424998700000572</v>
      </c>
      <c r="F490" s="1" t="s">
        <v>21</v>
      </c>
      <c r="G490" s="1" t="str">
        <f>IF(Table2[[#This Row],[Description]]="","",VLOOKUP(Table2[[#This Row],[Description]],$Q$1:$S$101,2,FALSE))</f>
        <v>Transportation</v>
      </c>
      <c r="H490" s="1" t="str">
        <f>IF(Table2[[#This Row],[Description]]="","",VLOOKUP(Table2[[#This Row],[Description]],$Q$1:$S$101,3,FALSE))</f>
        <v>Short</v>
      </c>
      <c r="I490" s="1">
        <f>IF(Table2[[#This Row],[Description]]="","",IF(Table2[[#This Row],[Currency]]=$O$2,$P$2,HLOOKUP(Table2[[#This Row],[Date]],Funds!$C$10:$GV$11,2,FALSE)))</f>
        <v>1</v>
      </c>
      <c r="J490" s="215">
        <f>IF(Table2[[#This Row],[Description]]="","",Table2[[#This Row],[Value]]/Table2[[#This Row],[Conversion]])</f>
        <v>85.424998700000572</v>
      </c>
      <c r="K490" s="45">
        <f>IF(Table2[[#This Row],[Description]]="","",DATE(Table2[[#This Row],[Year]],Table2[[#This Row],[Month]],1))</f>
        <v>43831</v>
      </c>
    </row>
    <row r="491" spans="2:11" x14ac:dyDescent="0.25">
      <c r="B491" t="s">
        <v>514</v>
      </c>
      <c r="C491" s="1">
        <v>1</v>
      </c>
      <c r="D491" s="1">
        <v>2020</v>
      </c>
      <c r="E491" s="166">
        <v>563.80499142000383</v>
      </c>
      <c r="F491" s="1" t="s">
        <v>21</v>
      </c>
      <c r="G491" s="1" t="str">
        <f>IF(Table2[[#This Row],[Description]]="","",VLOOKUP(Table2[[#This Row],[Description]],$Q$1:$S$101,2,FALSE))</f>
        <v>Long</v>
      </c>
      <c r="H491" s="1" t="str">
        <f>IF(Table2[[#This Row],[Description]]="","",VLOOKUP(Table2[[#This Row],[Description]],$Q$1:$S$101,3,FALSE))</f>
        <v>Long</v>
      </c>
      <c r="I491" s="1">
        <f>IF(Table2[[#This Row],[Description]]="","",IF(Table2[[#This Row],[Currency]]=$O$2,$P$2,HLOOKUP(Table2[[#This Row],[Date]],Funds!$C$10:$GV$11,2,FALSE)))</f>
        <v>1</v>
      </c>
      <c r="J491" s="215">
        <f>IF(Table2[[#This Row],[Description]]="","",Table2[[#This Row],[Value]]/Table2[[#This Row],[Conversion]])</f>
        <v>563.80499142000383</v>
      </c>
      <c r="K491" s="45">
        <f>IF(Table2[[#This Row],[Description]]="","",DATE(Table2[[#This Row],[Year]],Table2[[#This Row],[Month]],1))</f>
        <v>43831</v>
      </c>
    </row>
    <row r="492" spans="2:11" x14ac:dyDescent="0.25">
      <c r="B492" t="s">
        <v>320</v>
      </c>
      <c r="C492" s="1">
        <v>2</v>
      </c>
      <c r="D492" s="1">
        <v>2020</v>
      </c>
      <c r="E492" s="166">
        <v>285.84445454913134</v>
      </c>
      <c r="F492" s="1" t="s">
        <v>21</v>
      </c>
      <c r="G492" s="1" t="str">
        <f>IF(Table2[[#This Row],[Description]]="","",VLOOKUP(Table2[[#This Row],[Description]],$Q$1:$S$101,2,FALSE))</f>
        <v>Long</v>
      </c>
      <c r="H492" s="1" t="str">
        <f>IF(Table2[[#This Row],[Description]]="","",VLOOKUP(Table2[[#This Row],[Description]],$Q$1:$S$101,3,FALSE))</f>
        <v>Long</v>
      </c>
      <c r="I492" s="1">
        <f>IF(Table2[[#This Row],[Description]]="","",IF(Table2[[#This Row],[Currency]]=$O$2,$P$2,HLOOKUP(Table2[[#This Row],[Date]],Funds!$C$10:$GV$11,2,FALSE)))</f>
        <v>1</v>
      </c>
      <c r="J492" s="215">
        <f>IF(Table2[[#This Row],[Description]]="","",Table2[[#This Row],[Value]]/Table2[[#This Row],[Conversion]])</f>
        <v>285.84445454913134</v>
      </c>
      <c r="K492" s="45">
        <f>IF(Table2[[#This Row],[Description]]="","",DATE(Table2[[#This Row],[Year]],Table2[[#This Row],[Month]],1))</f>
        <v>43862</v>
      </c>
    </row>
    <row r="493" spans="2:11" x14ac:dyDescent="0.25">
      <c r="B493" t="s">
        <v>46</v>
      </c>
      <c r="C493" s="1">
        <v>2</v>
      </c>
      <c r="D493" s="1">
        <v>2020</v>
      </c>
      <c r="E493" s="166">
        <v>111.18008250662999</v>
      </c>
      <c r="F493" s="1" t="s">
        <v>21</v>
      </c>
      <c r="G493" s="1" t="str">
        <f>IF(Table2[[#This Row],[Description]]="","",VLOOKUP(Table2[[#This Row],[Description]],$Q$1:$S$101,2,FALSE))</f>
        <v>Health care</v>
      </c>
      <c r="H493" s="1" t="str">
        <f>IF(Table2[[#This Row],[Description]]="","",VLOOKUP(Table2[[#This Row],[Description]],$Q$1:$S$101,3,FALSE))</f>
        <v>Short</v>
      </c>
      <c r="I493" s="1">
        <f>IF(Table2[[#This Row],[Description]]="","",IF(Table2[[#This Row],[Currency]]=$O$2,$P$2,HLOOKUP(Table2[[#This Row],[Date]],Funds!$C$10:$GV$11,2,FALSE)))</f>
        <v>1</v>
      </c>
      <c r="J493" s="215">
        <f>IF(Table2[[#This Row],[Description]]="","",Table2[[#This Row],[Value]]/Table2[[#This Row],[Conversion]])</f>
        <v>111.18008250662999</v>
      </c>
      <c r="K493" s="45">
        <f>IF(Table2[[#This Row],[Description]]="","",DATE(Table2[[#This Row],[Year]],Table2[[#This Row],[Month]],1))</f>
        <v>43862</v>
      </c>
    </row>
    <row r="494" spans="2:11" x14ac:dyDescent="0.25">
      <c r="B494" t="s">
        <v>324</v>
      </c>
      <c r="C494" s="1">
        <v>2</v>
      </c>
      <c r="D494" s="1">
        <v>2020</v>
      </c>
      <c r="E494" s="166">
        <v>14.302131825719188</v>
      </c>
      <c r="F494" s="1" t="s">
        <v>21</v>
      </c>
      <c r="G494" s="1" t="str">
        <f>IF(Table2[[#This Row],[Description]]="","",VLOOKUP(Table2[[#This Row],[Description]],$Q$1:$S$101,2,FALSE))</f>
        <v>Health care</v>
      </c>
      <c r="H494" s="1" t="str">
        <f>IF(Table2[[#This Row],[Description]]="","",VLOOKUP(Table2[[#This Row],[Description]],$Q$1:$S$101,3,FALSE))</f>
        <v>Short</v>
      </c>
      <c r="I494" s="1">
        <f>IF(Table2[[#This Row],[Description]]="","",IF(Table2[[#This Row],[Currency]]=$O$2,$P$2,HLOOKUP(Table2[[#This Row],[Date]],Funds!$C$10:$GV$11,2,FALSE)))</f>
        <v>1</v>
      </c>
      <c r="J494" s="215">
        <f>IF(Table2[[#This Row],[Description]]="","",Table2[[#This Row],[Value]]/Table2[[#This Row],[Conversion]])</f>
        <v>14.302131825719188</v>
      </c>
      <c r="K494" s="45">
        <f>IF(Table2[[#This Row],[Description]]="","",DATE(Table2[[#This Row],[Year]],Table2[[#This Row],[Month]],1))</f>
        <v>43862</v>
      </c>
    </row>
    <row r="495" spans="2:11" x14ac:dyDescent="0.25">
      <c r="B495" t="s">
        <v>59</v>
      </c>
      <c r="C495" s="1">
        <v>2</v>
      </c>
      <c r="D495" s="1">
        <v>2020</v>
      </c>
      <c r="E495" s="166">
        <v>86.704609797951193</v>
      </c>
      <c r="F495" s="1" t="s">
        <v>21</v>
      </c>
      <c r="G495" s="1" t="str">
        <f>IF(Table2[[#This Row],[Description]]="","",VLOOKUP(Table2[[#This Row],[Description]],$Q$1:$S$101,2,FALSE))</f>
        <v>Transportation</v>
      </c>
      <c r="H495" s="1" t="str">
        <f>IF(Table2[[#This Row],[Description]]="","",VLOOKUP(Table2[[#This Row],[Description]],$Q$1:$S$101,3,FALSE))</f>
        <v>Short</v>
      </c>
      <c r="I495" s="1">
        <f>IF(Table2[[#This Row],[Description]]="","",IF(Table2[[#This Row],[Currency]]=$O$2,$P$2,HLOOKUP(Table2[[#This Row],[Date]],Funds!$C$10:$GV$11,2,FALSE)))</f>
        <v>1</v>
      </c>
      <c r="J495" s="215">
        <f>IF(Table2[[#This Row],[Description]]="","",Table2[[#This Row],[Value]]/Table2[[#This Row],[Conversion]])</f>
        <v>86.704609797951193</v>
      </c>
      <c r="K495" s="45">
        <f>IF(Table2[[#This Row],[Description]]="","",DATE(Table2[[#This Row],[Year]],Table2[[#This Row],[Month]],1))</f>
        <v>43862</v>
      </c>
    </row>
    <row r="496" spans="2:11" x14ac:dyDescent="0.25">
      <c r="B496" t="s">
        <v>514</v>
      </c>
      <c r="C496" s="1">
        <v>2</v>
      </c>
      <c r="D496" s="1">
        <v>2020</v>
      </c>
      <c r="E496" s="166">
        <v>381.50028311098527</v>
      </c>
      <c r="F496" s="1" t="s">
        <v>21</v>
      </c>
      <c r="G496" s="1" t="str">
        <f>IF(Table2[[#This Row],[Description]]="","",VLOOKUP(Table2[[#This Row],[Description]],$Q$1:$S$101,2,FALSE))</f>
        <v>Long</v>
      </c>
      <c r="H496" s="1" t="str">
        <f>IF(Table2[[#This Row],[Description]]="","",VLOOKUP(Table2[[#This Row],[Description]],$Q$1:$S$101,3,FALSE))</f>
        <v>Long</v>
      </c>
      <c r="I496" s="1">
        <f>IF(Table2[[#This Row],[Description]]="","",IF(Table2[[#This Row],[Currency]]=$O$2,$P$2,HLOOKUP(Table2[[#This Row],[Date]],Funds!$C$10:$GV$11,2,FALSE)))</f>
        <v>1</v>
      </c>
      <c r="J496" s="215">
        <f>IF(Table2[[#This Row],[Description]]="","",Table2[[#This Row],[Value]]/Table2[[#This Row],[Conversion]])</f>
        <v>381.50028311098527</v>
      </c>
      <c r="K496" s="45">
        <f>IF(Table2[[#This Row],[Description]]="","",DATE(Table2[[#This Row],[Year]],Table2[[#This Row],[Month]],1))</f>
        <v>43862</v>
      </c>
    </row>
    <row r="497" spans="2:11" x14ac:dyDescent="0.25">
      <c r="B497" t="s">
        <v>545</v>
      </c>
      <c r="C497" s="1">
        <v>1</v>
      </c>
      <c r="D497" s="1">
        <v>2020</v>
      </c>
      <c r="E497" s="166">
        <f>2.5*4.5*3.5</f>
        <v>39.375</v>
      </c>
      <c r="F497" s="1" t="s">
        <v>21</v>
      </c>
      <c r="G497" s="1" t="str">
        <f>IF(Table2[[#This Row],[Description]]="","",VLOOKUP(Table2[[#This Row],[Description]],$Q$1:$S$101,2,FALSE))</f>
        <v>Utilities</v>
      </c>
      <c r="H497" s="1" t="str">
        <f>IF(Table2[[#This Row],[Description]]="","",VLOOKUP(Table2[[#This Row],[Description]],$Q$1:$S$101,3,FALSE))</f>
        <v>Short</v>
      </c>
      <c r="I497" s="1">
        <f>IF(Table2[[#This Row],[Description]]="","",IF(Table2[[#This Row],[Currency]]=$O$2,$P$2,HLOOKUP(Table2[[#This Row],[Date]],Funds!$C$10:$GV$11,2,FALSE)))</f>
        <v>1</v>
      </c>
      <c r="J497" s="215">
        <f>IF(Table2[[#This Row],[Description]]="","",Table2[[#This Row],[Value]]/Table2[[#This Row],[Conversion]])</f>
        <v>39.375</v>
      </c>
      <c r="K497" s="45">
        <f>IF(Table2[[#This Row],[Description]]="","",DATE(Table2[[#This Row],[Year]],Table2[[#This Row],[Month]],1))</f>
        <v>43831</v>
      </c>
    </row>
    <row r="498" spans="2:11" x14ac:dyDescent="0.25">
      <c r="B498" t="s">
        <v>545</v>
      </c>
      <c r="C498" s="1">
        <v>2</v>
      </c>
      <c r="D498" s="1">
        <v>2020</v>
      </c>
      <c r="E498" s="166">
        <f>2.5*4.5*3.5</f>
        <v>39.375</v>
      </c>
      <c r="F498" s="1" t="s">
        <v>21</v>
      </c>
      <c r="G498" s="1" t="str">
        <f>IF(Table2[[#This Row],[Description]]="","",VLOOKUP(Table2[[#This Row],[Description]],$Q$1:$S$101,2,FALSE))</f>
        <v>Utilities</v>
      </c>
      <c r="H498" s="1" t="str">
        <f>IF(Table2[[#This Row],[Description]]="","",VLOOKUP(Table2[[#This Row],[Description]],$Q$1:$S$101,3,FALSE))</f>
        <v>Short</v>
      </c>
      <c r="I498" s="1">
        <f>IF(Table2[[#This Row],[Description]]="","",IF(Table2[[#This Row],[Currency]]=$O$2,$P$2,HLOOKUP(Table2[[#This Row],[Date]],Funds!$C$10:$GV$11,2,FALSE)))</f>
        <v>1</v>
      </c>
      <c r="J498" s="215">
        <f>IF(Table2[[#This Row],[Description]]="","",Table2[[#This Row],[Value]]/Table2[[#This Row],[Conversion]])</f>
        <v>39.375</v>
      </c>
      <c r="K498" s="45">
        <f>IF(Table2[[#This Row],[Description]]="","",DATE(Table2[[#This Row],[Year]],Table2[[#This Row],[Month]],1))</f>
        <v>43862</v>
      </c>
    </row>
    <row r="499" spans="2:11" x14ac:dyDescent="0.25">
      <c r="B499" t="s">
        <v>541</v>
      </c>
      <c r="C499" s="1">
        <v>2</v>
      </c>
      <c r="D499" s="1">
        <v>2020</v>
      </c>
      <c r="E499" s="166">
        <v>436.08</v>
      </c>
      <c r="F499" s="1" t="s">
        <v>21</v>
      </c>
      <c r="G499" s="1" t="str">
        <f>IF(Table2[[#This Row],[Description]]="","",VLOOKUP(Table2[[#This Row],[Description]],$Q$1:$S$101,2,FALSE))</f>
        <v>Turism</v>
      </c>
      <c r="H499" s="1" t="str">
        <f>IF(Table2[[#This Row],[Description]]="","",VLOOKUP(Table2[[#This Row],[Description]],$Q$1:$S$101,3,FALSE))</f>
        <v>Trip</v>
      </c>
      <c r="I499" s="1">
        <f>IF(Table2[[#This Row],[Description]]="","",IF(Table2[[#This Row],[Currency]]=$O$2,$P$2,HLOOKUP(Table2[[#This Row],[Date]],Funds!$C$10:$GV$11,2,FALSE)))</f>
        <v>1</v>
      </c>
      <c r="J499" s="215">
        <f>IF(Table2[[#This Row],[Description]]="","",Table2[[#This Row],[Value]]/Table2[[#This Row],[Conversion]])</f>
        <v>436.08</v>
      </c>
      <c r="K499" s="45">
        <f>IF(Table2[[#This Row],[Description]]="","",DATE(Table2[[#This Row],[Year]],Table2[[#This Row],[Month]],1))</f>
        <v>43862</v>
      </c>
    </row>
    <row r="500" spans="2:11" x14ac:dyDescent="0.25">
      <c r="B500" t="s">
        <v>237</v>
      </c>
      <c r="C500" s="1">
        <v>3</v>
      </c>
      <c r="D500" s="1">
        <v>2020</v>
      </c>
      <c r="E500" s="166">
        <v>57.21</v>
      </c>
      <c r="F500" s="1" t="s">
        <v>21</v>
      </c>
      <c r="G500" s="1" t="str">
        <f>IF(Table2[[#This Row],[Description]]="","",VLOOKUP(Table2[[#This Row],[Description]],$Q$1:$S$101,2,FALSE))</f>
        <v>FX adjustment</v>
      </c>
      <c r="H500" s="1" t="s">
        <v>111</v>
      </c>
      <c r="I500" s="1">
        <f>IF(Table2[[#This Row],[Description]]="","",IF(Table2[[#This Row],[Currency]]=$O$2,$P$2,HLOOKUP(Table2[[#This Row],[Date]],Funds!$C$10:$GV$11,2,FALSE)))</f>
        <v>1</v>
      </c>
      <c r="J500" s="215">
        <f>IF(Table2[[#This Row],[Description]]="","",Table2[[#This Row],[Value]]/Table2[[#This Row],[Conversion]])</f>
        <v>57.21</v>
      </c>
      <c r="K500" s="45">
        <f>IF(Table2[[#This Row],[Description]]="","",DATE(Table2[[#This Row],[Year]],Table2[[#This Row],[Month]],1))</f>
        <v>43891</v>
      </c>
    </row>
    <row r="501" spans="2:11" x14ac:dyDescent="0.25">
      <c r="B501" t="s">
        <v>472</v>
      </c>
      <c r="C501" s="1">
        <v>3</v>
      </c>
      <c r="D501" s="1">
        <v>2020</v>
      </c>
      <c r="E501" s="166">
        <v>1905</v>
      </c>
      <c r="F501" s="1" t="s">
        <v>21</v>
      </c>
      <c r="G501" s="1" t="str">
        <f>IF(Table2[[#This Row],[Description]]="","",VLOOKUP(Table2[[#This Row],[Description]],$Q$1:$S$101,2,FALSE))</f>
        <v xml:space="preserve">EK studies </v>
      </c>
      <c r="H501" s="1" t="str">
        <f>IF(Table2[[#This Row],[Description]]="","",VLOOKUP(Table2[[#This Row],[Description]],$Q$1:$S$101,3,FALSE))</f>
        <v>Mid</v>
      </c>
      <c r="I501" s="1">
        <f>IF(Table2[[#This Row],[Description]]="","",IF(Table2[[#This Row],[Currency]]=$O$2,$P$2,HLOOKUP(Table2[[#This Row],[Date]],Funds!$C$10:$GV$11,2,FALSE)))</f>
        <v>1</v>
      </c>
      <c r="J501" s="215">
        <f>IF(Table2[[#This Row],[Description]]="","",Table2[[#This Row],[Value]]/Table2[[#This Row],[Conversion]])</f>
        <v>1905</v>
      </c>
      <c r="K501" s="45">
        <f>IF(Table2[[#This Row],[Description]]="","",DATE(Table2[[#This Row],[Year]],Table2[[#This Row],[Month]],1))</f>
        <v>43891</v>
      </c>
    </row>
    <row r="502" spans="2:11" x14ac:dyDescent="0.25">
      <c r="B502" t="s">
        <v>68</v>
      </c>
      <c r="C502" s="1">
        <v>3</v>
      </c>
      <c r="D502" s="1">
        <v>2020</v>
      </c>
      <c r="E502" s="166">
        <f>165/2</f>
        <v>82.5</v>
      </c>
      <c r="F502" s="1" t="s">
        <v>21</v>
      </c>
      <c r="G502" s="1" t="str">
        <f>IF(Table2[[#This Row],[Description]]="","",VLOOKUP(Table2[[#This Row],[Description]],$Q$1:$S$101,2,FALSE))</f>
        <v>EK free</v>
      </c>
      <c r="H502" s="1" t="str">
        <f>IF(Table2[[#This Row],[Description]]="","",VLOOKUP(Table2[[#This Row],[Description]],$Q$1:$S$101,3,FALSE))</f>
        <v>Mid</v>
      </c>
      <c r="I502" s="1">
        <f>IF(Table2[[#This Row],[Description]]="","",IF(Table2[[#This Row],[Currency]]=$O$2,$P$2,HLOOKUP(Table2[[#This Row],[Date]],Funds!$C$10:$GV$11,2,FALSE)))</f>
        <v>1</v>
      </c>
      <c r="J502" s="215">
        <f>IF(Table2[[#This Row],[Description]]="","",Table2[[#This Row],[Value]]/Table2[[#This Row],[Conversion]])</f>
        <v>82.5</v>
      </c>
      <c r="K502" s="45">
        <f>IF(Table2[[#This Row],[Description]]="","",DATE(Table2[[#This Row],[Year]],Table2[[#This Row],[Month]],1))</f>
        <v>43891</v>
      </c>
    </row>
    <row r="503" spans="2:11" x14ac:dyDescent="0.25">
      <c r="B503" t="s">
        <v>69</v>
      </c>
      <c r="C503" s="1">
        <v>3</v>
      </c>
      <c r="D503" s="1">
        <v>2020</v>
      </c>
      <c r="E503" s="166">
        <f>165/2</f>
        <v>82.5</v>
      </c>
      <c r="F503" s="1" t="s">
        <v>21</v>
      </c>
      <c r="G503" s="1" t="str">
        <f>IF(Table2[[#This Row],[Description]]="","",VLOOKUP(Table2[[#This Row],[Description]],$Q$1:$S$101,2,FALSE))</f>
        <v>MN free</v>
      </c>
      <c r="H503" s="1" t="str">
        <f>IF(Table2[[#This Row],[Description]]="","",VLOOKUP(Table2[[#This Row],[Description]],$Q$1:$S$101,3,FALSE))</f>
        <v>Mid</v>
      </c>
      <c r="I503" s="1">
        <f>IF(Table2[[#This Row],[Description]]="","",IF(Table2[[#This Row],[Currency]]=$O$2,$P$2,HLOOKUP(Table2[[#This Row],[Date]],Funds!$C$10:$GV$11,2,FALSE)))</f>
        <v>1</v>
      </c>
      <c r="J503" s="215">
        <f>IF(Table2[[#This Row],[Description]]="","",Table2[[#This Row],[Value]]/Table2[[#This Row],[Conversion]])</f>
        <v>82.5</v>
      </c>
      <c r="K503" s="45">
        <f>IF(Table2[[#This Row],[Description]]="","",DATE(Table2[[#This Row],[Year]],Table2[[#This Row],[Month]],1))</f>
        <v>43891</v>
      </c>
    </row>
    <row r="504" spans="2:11" x14ac:dyDescent="0.25">
      <c r="B504" t="s">
        <v>58</v>
      </c>
      <c r="C504" s="1">
        <v>3</v>
      </c>
      <c r="D504" s="1">
        <v>2020</v>
      </c>
      <c r="E504" s="166">
        <v>578.82000000000005</v>
      </c>
      <c r="F504" s="1" t="s">
        <v>21</v>
      </c>
      <c r="G504" s="1" t="str">
        <f>IF(Table2[[#This Row],[Description]]="","",VLOOKUP(Table2[[#This Row],[Description]],$Q$1:$S$101,2,FALSE))</f>
        <v>Food</v>
      </c>
      <c r="H504" s="1" t="str">
        <f>IF(Table2[[#This Row],[Description]]="","",VLOOKUP(Table2[[#This Row],[Description]],$Q$1:$S$101,3,FALSE))</f>
        <v>Short</v>
      </c>
      <c r="I504" s="1">
        <f>IF(Table2[[#This Row],[Description]]="","",IF(Table2[[#This Row],[Currency]]=$O$2,$P$2,HLOOKUP(Table2[[#This Row],[Date]],Funds!$C$10:$GV$11,2,FALSE)))</f>
        <v>1</v>
      </c>
      <c r="J504" s="215">
        <f>IF(Table2[[#This Row],[Description]]="","",Table2[[#This Row],[Value]]/Table2[[#This Row],[Conversion]])</f>
        <v>578.82000000000005</v>
      </c>
      <c r="K504" s="45">
        <f>IF(Table2[[#This Row],[Description]]="","",DATE(Table2[[#This Row],[Year]],Table2[[#This Row],[Month]],1))</f>
        <v>43891</v>
      </c>
    </row>
    <row r="505" spans="2:11" x14ac:dyDescent="0.25">
      <c r="B505" t="s">
        <v>57</v>
      </c>
      <c r="C505" s="1">
        <v>3</v>
      </c>
      <c r="D505" s="1">
        <v>2020</v>
      </c>
      <c r="E505" s="166">
        <v>567.96</v>
      </c>
      <c r="F505" s="1" t="s">
        <v>21</v>
      </c>
      <c r="G505" s="1" t="str">
        <f>IF(Table2[[#This Row],[Description]]="","",VLOOKUP(Table2[[#This Row],[Description]],$Q$1:$S$101,2,FALSE))</f>
        <v>Food</v>
      </c>
      <c r="H505" s="1" t="str">
        <f>IF(Table2[[#This Row],[Description]]="","",VLOOKUP(Table2[[#This Row],[Description]],$Q$1:$S$101,3,FALSE))</f>
        <v>Short</v>
      </c>
      <c r="I505" s="1">
        <f>IF(Table2[[#This Row],[Description]]="","",IF(Table2[[#This Row],[Currency]]=$O$2,$P$2,HLOOKUP(Table2[[#This Row],[Date]],Funds!$C$10:$GV$11,2,FALSE)))</f>
        <v>1</v>
      </c>
      <c r="J505" s="215">
        <f>IF(Table2[[#This Row],[Description]]="","",Table2[[#This Row],[Value]]/Table2[[#This Row],[Conversion]])</f>
        <v>567.96</v>
      </c>
      <c r="K505" s="45">
        <f>IF(Table2[[#This Row],[Description]]="","",DATE(Table2[[#This Row],[Year]],Table2[[#This Row],[Month]],1))</f>
        <v>43891</v>
      </c>
    </row>
    <row r="506" spans="2:11" x14ac:dyDescent="0.25">
      <c r="B506" t="s">
        <v>256</v>
      </c>
      <c r="C506" s="1">
        <v>3</v>
      </c>
      <c r="D506" s="1">
        <v>2020</v>
      </c>
      <c r="E506" s="166">
        <v>51.089999999999996</v>
      </c>
      <c r="F506" s="1" t="s">
        <v>21</v>
      </c>
      <c r="G506" s="1" t="str">
        <f>IF(Table2[[#This Row],[Description]]="","",VLOOKUP(Table2[[#This Row],[Description]],$Q$1:$S$101,2,FALSE))</f>
        <v>MN free</v>
      </c>
      <c r="H506" s="1" t="str">
        <f>IF(Table2[[#This Row],[Description]]="","",VLOOKUP(Table2[[#This Row],[Description]],$Q$1:$S$101,3,FALSE))</f>
        <v>Mid</v>
      </c>
      <c r="I506" s="1">
        <f>IF(Table2[[#This Row],[Description]]="","",IF(Table2[[#This Row],[Currency]]=$O$2,$P$2,HLOOKUP(Table2[[#This Row],[Date]],Funds!$C$10:$GV$11,2,FALSE)))</f>
        <v>1</v>
      </c>
      <c r="J506" s="215">
        <f>IF(Table2[[#This Row],[Description]]="","",Table2[[#This Row],[Value]]/Table2[[#This Row],[Conversion]])</f>
        <v>51.089999999999996</v>
      </c>
      <c r="K506" s="45">
        <f>IF(Table2[[#This Row],[Description]]="","",DATE(Table2[[#This Row],[Year]],Table2[[#This Row],[Month]],1))</f>
        <v>43891</v>
      </c>
    </row>
    <row r="507" spans="2:11" x14ac:dyDescent="0.25">
      <c r="B507" t="s">
        <v>267</v>
      </c>
      <c r="C507" s="1">
        <v>3</v>
      </c>
      <c r="D507" s="1">
        <v>2020</v>
      </c>
      <c r="E507" s="166">
        <v>71.809999999999988</v>
      </c>
      <c r="F507" s="1" t="s">
        <v>21</v>
      </c>
      <c r="G507" s="1" t="str">
        <f>IF(Table2[[#This Row],[Description]]="","",VLOOKUP(Table2[[#This Row],[Description]],$Q$1:$S$101,2,FALSE))</f>
        <v>Leisure</v>
      </c>
      <c r="H507" s="1" t="str">
        <f>IF(Table2[[#This Row],[Description]]="","",VLOOKUP(Table2[[#This Row],[Description]],$Q$1:$S$101,3,FALSE))</f>
        <v>Short</v>
      </c>
      <c r="I507" s="1">
        <f>IF(Table2[[#This Row],[Description]]="","",IF(Table2[[#This Row],[Currency]]=$O$2,$P$2,HLOOKUP(Table2[[#This Row],[Date]],Funds!$C$10:$GV$11,2,FALSE)))</f>
        <v>1</v>
      </c>
      <c r="J507" s="215">
        <f>IF(Table2[[#This Row],[Description]]="","",Table2[[#This Row],[Value]]/Table2[[#This Row],[Conversion]])</f>
        <v>71.809999999999988</v>
      </c>
      <c r="K507" s="45">
        <f>IF(Table2[[#This Row],[Description]]="","",DATE(Table2[[#This Row],[Year]],Table2[[#This Row],[Month]],1))</f>
        <v>43891</v>
      </c>
    </row>
    <row r="508" spans="2:11" x14ac:dyDescent="0.25">
      <c r="B508" t="s">
        <v>249</v>
      </c>
      <c r="C508" s="1">
        <v>3</v>
      </c>
      <c r="D508" s="1">
        <v>2020</v>
      </c>
      <c r="E508" s="166">
        <v>53.71</v>
      </c>
      <c r="F508" s="1" t="s">
        <v>21</v>
      </c>
      <c r="G508" s="1" t="str">
        <f>IF(Table2[[#This Row],[Description]]="","",VLOOKUP(Table2[[#This Row],[Description]],$Q$1:$S$101,2,FALSE))</f>
        <v>Leisure</v>
      </c>
      <c r="H508" s="1" t="str">
        <f>IF(Table2[[#This Row],[Description]]="","",VLOOKUP(Table2[[#This Row],[Description]],$Q$1:$S$101,3,FALSE))</f>
        <v>Short</v>
      </c>
      <c r="I508" s="1">
        <f>IF(Table2[[#This Row],[Description]]="","",IF(Table2[[#This Row],[Currency]]=$O$2,$P$2,HLOOKUP(Table2[[#This Row],[Date]],Funds!$C$10:$GV$11,2,FALSE)))</f>
        <v>1</v>
      </c>
      <c r="J508" s="215">
        <f>IF(Table2[[#This Row],[Description]]="","",Table2[[#This Row],[Value]]/Table2[[#This Row],[Conversion]])</f>
        <v>53.71</v>
      </c>
      <c r="K508" s="45">
        <f>IF(Table2[[#This Row],[Description]]="","",DATE(Table2[[#This Row],[Year]],Table2[[#This Row],[Month]],1))</f>
        <v>43891</v>
      </c>
    </row>
    <row r="509" spans="2:11" x14ac:dyDescent="0.25">
      <c r="B509" t="s">
        <v>69</v>
      </c>
      <c r="C509" s="1">
        <v>3</v>
      </c>
      <c r="D509" s="1">
        <v>2020</v>
      </c>
      <c r="E509" s="166">
        <v>51.55</v>
      </c>
      <c r="F509" s="1" t="s">
        <v>21</v>
      </c>
      <c r="G509" s="1" t="str">
        <f>IF(Table2[[#This Row],[Description]]="","",VLOOKUP(Table2[[#This Row],[Description]],$Q$1:$S$101,2,FALSE))</f>
        <v>MN free</v>
      </c>
      <c r="H509" s="1" t="str">
        <f>IF(Table2[[#This Row],[Description]]="","",VLOOKUP(Table2[[#This Row],[Description]],$Q$1:$S$101,3,FALSE))</f>
        <v>Mid</v>
      </c>
      <c r="I509" s="1">
        <f>IF(Table2[[#This Row],[Description]]="","",IF(Table2[[#This Row],[Currency]]=$O$2,$P$2,HLOOKUP(Table2[[#This Row],[Date]],Funds!$C$10:$GV$11,2,FALSE)))</f>
        <v>1</v>
      </c>
      <c r="J509" s="215">
        <f>IF(Table2[[#This Row],[Description]]="","",Table2[[#This Row],[Value]]/Table2[[#This Row],[Conversion]])</f>
        <v>51.55</v>
      </c>
      <c r="K509" s="45">
        <f>IF(Table2[[#This Row],[Description]]="","",DATE(Table2[[#This Row],[Year]],Table2[[#This Row],[Month]],1))</f>
        <v>43891</v>
      </c>
    </row>
    <row r="510" spans="2:11" x14ac:dyDescent="0.25">
      <c r="B510" t="s">
        <v>52</v>
      </c>
      <c r="C510" s="1">
        <v>3</v>
      </c>
      <c r="D510" s="1">
        <v>2020</v>
      </c>
      <c r="E510" s="166">
        <v>157.29</v>
      </c>
      <c r="F510" s="1" t="s">
        <v>21</v>
      </c>
      <c r="G510" s="1" t="str">
        <f>IF(Table2[[#This Row],[Description]]="","",VLOOKUP(Table2[[#This Row],[Description]],$Q$1:$S$101,2,FALSE))</f>
        <v>Utilities</v>
      </c>
      <c r="H510" s="1" t="str">
        <f>IF(Table2[[#This Row],[Description]]="","",VLOOKUP(Table2[[#This Row],[Description]],$Q$1:$S$101,3,FALSE))</f>
        <v>Short</v>
      </c>
      <c r="I510" s="1">
        <f>IF(Table2[[#This Row],[Description]]="","",IF(Table2[[#This Row],[Currency]]=$O$2,$P$2,HLOOKUP(Table2[[#This Row],[Date]],Funds!$C$10:$GV$11,2,FALSE)))</f>
        <v>1</v>
      </c>
      <c r="J510" s="215">
        <f>IF(Table2[[#This Row],[Description]]="","",Table2[[#This Row],[Value]]/Table2[[#This Row],[Conversion]])</f>
        <v>157.29</v>
      </c>
      <c r="K510" s="45">
        <f>IF(Table2[[#This Row],[Description]]="","",DATE(Table2[[#This Row],[Year]],Table2[[#This Row],[Month]],1))</f>
        <v>43891</v>
      </c>
    </row>
    <row r="511" spans="2:11" x14ac:dyDescent="0.25">
      <c r="B511" t="s">
        <v>29</v>
      </c>
      <c r="C511" s="1">
        <v>3</v>
      </c>
      <c r="D511" s="1">
        <v>2020</v>
      </c>
      <c r="E511" s="166">
        <v>46.06</v>
      </c>
      <c r="F511" s="1" t="s">
        <v>21</v>
      </c>
      <c r="G511" s="1" t="str">
        <f>IF(Table2[[#This Row],[Description]]="","",VLOOKUP(Table2[[#This Row],[Description]],$Q$1:$S$101,2,FALSE))</f>
        <v>Health</v>
      </c>
      <c r="H511" s="1" t="str">
        <f>IF(Table2[[#This Row],[Description]]="","",VLOOKUP(Table2[[#This Row],[Description]],$Q$1:$S$101,3,FALSE))</f>
        <v>Mid</v>
      </c>
      <c r="I511" s="1">
        <f>IF(Table2[[#This Row],[Description]]="","",IF(Table2[[#This Row],[Currency]]=$O$2,$P$2,HLOOKUP(Table2[[#This Row],[Date]],Funds!$C$10:$GV$11,2,FALSE)))</f>
        <v>1</v>
      </c>
      <c r="J511" s="215">
        <f>IF(Table2[[#This Row],[Description]]="","",Table2[[#This Row],[Value]]/Table2[[#This Row],[Conversion]])</f>
        <v>46.06</v>
      </c>
      <c r="K511" s="45">
        <f>IF(Table2[[#This Row],[Description]]="","",DATE(Table2[[#This Row],[Year]],Table2[[#This Row],[Month]],1))</f>
        <v>43891</v>
      </c>
    </row>
    <row r="512" spans="2:11" x14ac:dyDescent="0.25">
      <c r="B512" t="s">
        <v>266</v>
      </c>
      <c r="C512" s="1">
        <v>3</v>
      </c>
      <c r="D512" s="1">
        <v>2020</v>
      </c>
      <c r="E512" s="166">
        <v>5.44</v>
      </c>
      <c r="F512" s="1" t="s">
        <v>21</v>
      </c>
      <c r="G512" s="1" t="str">
        <f>IF(Table2[[#This Row],[Description]]="","",VLOOKUP(Table2[[#This Row],[Description]],$Q$1:$S$101,2,FALSE))</f>
        <v>Leisure</v>
      </c>
      <c r="H512" s="1" t="str">
        <f>IF(Table2[[#This Row],[Description]]="","",VLOOKUP(Table2[[#This Row],[Description]],$Q$1:$S$101,3,FALSE))</f>
        <v>Short</v>
      </c>
      <c r="I512" s="1">
        <f>IF(Table2[[#This Row],[Description]]="","",IF(Table2[[#This Row],[Currency]]=$O$2,$P$2,HLOOKUP(Table2[[#This Row],[Date]],Funds!$C$10:$GV$11,2,FALSE)))</f>
        <v>1</v>
      </c>
      <c r="J512" s="215">
        <f>IF(Table2[[#This Row],[Description]]="","",Table2[[#This Row],[Value]]/Table2[[#This Row],[Conversion]])</f>
        <v>5.44</v>
      </c>
      <c r="K512" s="45">
        <f>IF(Table2[[#This Row],[Description]]="","",DATE(Table2[[#This Row],[Year]],Table2[[#This Row],[Month]],1))</f>
        <v>43891</v>
      </c>
    </row>
    <row r="513" spans="2:11" x14ac:dyDescent="0.25">
      <c r="B513" t="s">
        <v>31</v>
      </c>
      <c r="C513" s="1">
        <v>3</v>
      </c>
      <c r="D513" s="1">
        <v>2020</v>
      </c>
      <c r="E513" s="166">
        <v>1709.58</v>
      </c>
      <c r="F513" s="1" t="s">
        <v>21</v>
      </c>
      <c r="G513" s="1" t="str">
        <f>IF(Table2[[#This Row],[Description]]="","",VLOOKUP(Table2[[#This Row],[Description]],$Q$1:$S$101,2,FALSE))</f>
        <v>Rent</v>
      </c>
      <c r="H513" s="1" t="str">
        <f>IF(Table2[[#This Row],[Description]]="","",VLOOKUP(Table2[[#This Row],[Description]],$Q$1:$S$101,3,FALSE))</f>
        <v>Short</v>
      </c>
      <c r="I513" s="1">
        <f>IF(Table2[[#This Row],[Description]]="","",IF(Table2[[#This Row],[Currency]]=$O$2,$P$2,HLOOKUP(Table2[[#This Row],[Date]],Funds!$C$10:$GV$11,2,FALSE)))</f>
        <v>1</v>
      </c>
      <c r="J513" s="215">
        <f>IF(Table2[[#This Row],[Description]]="","",Table2[[#This Row],[Value]]/Table2[[#This Row],[Conversion]])</f>
        <v>1709.58</v>
      </c>
      <c r="K513" s="45">
        <f>IF(Table2[[#This Row],[Description]]="","",DATE(Table2[[#This Row],[Year]],Table2[[#This Row],[Month]],1))</f>
        <v>43891</v>
      </c>
    </row>
    <row r="514" spans="2:11" x14ac:dyDescent="0.25">
      <c r="B514" t="s">
        <v>289</v>
      </c>
      <c r="C514" s="1">
        <v>3</v>
      </c>
      <c r="D514" s="1">
        <v>2020</v>
      </c>
      <c r="E514" s="166">
        <v>41.300000000000004</v>
      </c>
      <c r="F514" s="1" t="s">
        <v>21</v>
      </c>
      <c r="G514" s="1" t="str">
        <f>IF(Table2[[#This Row],[Description]]="","",VLOOKUP(Table2[[#This Row],[Description]],$Q$1:$S$101,2,FALSE))</f>
        <v>BR trips</v>
      </c>
      <c r="H514" s="1" t="str">
        <f>IF(Table2[[#This Row],[Description]]="","",VLOOKUP(Table2[[#This Row],[Description]],$Q$1:$S$101,3,FALSE))</f>
        <v>Mid</v>
      </c>
      <c r="I514" s="1">
        <f>IF(Table2[[#This Row],[Description]]="","",IF(Table2[[#This Row],[Currency]]=$O$2,$P$2,HLOOKUP(Table2[[#This Row],[Date]],Funds!$C$10:$GV$11,2,FALSE)))</f>
        <v>1</v>
      </c>
      <c r="J514" s="215">
        <f>IF(Table2[[#This Row],[Description]]="","",Table2[[#This Row],[Value]]/Table2[[#This Row],[Conversion]])</f>
        <v>41.300000000000004</v>
      </c>
      <c r="K514" s="45">
        <f>IF(Table2[[#This Row],[Description]]="","",DATE(Table2[[#This Row],[Year]],Table2[[#This Row],[Month]],1))</f>
        <v>43891</v>
      </c>
    </row>
    <row r="515" spans="2:11" x14ac:dyDescent="0.25">
      <c r="B515" t="s">
        <v>59</v>
      </c>
      <c r="C515" s="1">
        <v>3</v>
      </c>
      <c r="D515" s="1">
        <v>2020</v>
      </c>
      <c r="E515" s="166">
        <v>105</v>
      </c>
      <c r="F515" s="1" t="s">
        <v>21</v>
      </c>
      <c r="G515" s="1" t="str">
        <f>IF(Table2[[#This Row],[Description]]="","",VLOOKUP(Table2[[#This Row],[Description]],$Q$1:$S$101,2,FALSE))</f>
        <v>Transportation</v>
      </c>
      <c r="H515" s="1" t="str">
        <f>IF(Table2[[#This Row],[Description]]="","",VLOOKUP(Table2[[#This Row],[Description]],$Q$1:$S$101,3,FALSE))</f>
        <v>Short</v>
      </c>
      <c r="I515" s="1">
        <f>IF(Table2[[#This Row],[Description]]="","",IF(Table2[[#This Row],[Currency]]=$O$2,$P$2,HLOOKUP(Table2[[#This Row],[Date]],Funds!$C$10:$GV$11,2,FALSE)))</f>
        <v>1</v>
      </c>
      <c r="J515" s="215">
        <f>IF(Table2[[#This Row],[Description]]="","",Table2[[#This Row],[Value]]/Table2[[#This Row],[Conversion]])</f>
        <v>105</v>
      </c>
      <c r="K515" s="45">
        <f>IF(Table2[[#This Row],[Description]]="","",DATE(Table2[[#This Row],[Year]],Table2[[#This Row],[Month]],1))</f>
        <v>43891</v>
      </c>
    </row>
    <row r="516" spans="2:11" x14ac:dyDescent="0.25">
      <c r="B516" t="s">
        <v>262</v>
      </c>
      <c r="C516" s="1">
        <v>3</v>
      </c>
      <c r="D516" s="1">
        <v>2020</v>
      </c>
      <c r="E516" s="166">
        <v>99.02</v>
      </c>
      <c r="F516" s="1" t="s">
        <v>21</v>
      </c>
      <c r="G516" s="1" t="str">
        <f>IF(Table2[[#This Row],[Description]]="","",VLOOKUP(Table2[[#This Row],[Description]],$Q$1:$S$101,2,FALSE))</f>
        <v>Mid</v>
      </c>
      <c r="H516" s="1" t="str">
        <f>IF(Table2[[#This Row],[Description]]="","",VLOOKUP(Table2[[#This Row],[Description]],$Q$1:$S$101,3,FALSE))</f>
        <v>Mid</v>
      </c>
      <c r="I516" s="1">
        <f>IF(Table2[[#This Row],[Description]]="","",IF(Table2[[#This Row],[Currency]]=$O$2,$P$2,HLOOKUP(Table2[[#This Row],[Date]],Funds!$C$10:$GV$11,2,FALSE)))</f>
        <v>1</v>
      </c>
      <c r="J516" s="215">
        <f>IF(Table2[[#This Row],[Description]]="","",Table2[[#This Row],[Value]]/Table2[[#This Row],[Conversion]])</f>
        <v>99.02</v>
      </c>
      <c r="K516" s="45">
        <f>IF(Table2[[#This Row],[Description]]="","",DATE(Table2[[#This Row],[Year]],Table2[[#This Row],[Month]],1))</f>
        <v>43891</v>
      </c>
    </row>
    <row r="517" spans="2:11" x14ac:dyDescent="0.25">
      <c r="B517" t="s">
        <v>250</v>
      </c>
      <c r="C517" s="1">
        <v>3</v>
      </c>
      <c r="D517" s="1">
        <v>2020</v>
      </c>
      <c r="E517" s="166">
        <v>2491.4499999999998</v>
      </c>
      <c r="F517" s="1" t="s">
        <v>21</v>
      </c>
      <c r="G517" s="1" t="str">
        <f>IF(Table2[[#This Row],[Description]]="","",VLOOKUP(Table2[[#This Row],[Description]],$Q$1:$S$101,2,FALSE))</f>
        <v>EK Loan termination</v>
      </c>
      <c r="H517" s="1" t="str">
        <f>IF(Table2[[#This Row],[Description]]="","",VLOOKUP(Table2[[#This Row],[Description]],$Q$1:$S$101,3,FALSE))</f>
        <v>Mid</v>
      </c>
      <c r="I517" s="1">
        <f>IF(Table2[[#This Row],[Description]]="","",IF(Table2[[#This Row],[Currency]]=$O$2,$P$2,HLOOKUP(Table2[[#This Row],[Date]],Funds!$C$10:$GV$11,2,FALSE)))</f>
        <v>1</v>
      </c>
      <c r="J517" s="215">
        <f>IF(Table2[[#This Row],[Description]]="","",Table2[[#This Row],[Value]]/Table2[[#This Row],[Conversion]])</f>
        <v>2491.4499999999998</v>
      </c>
      <c r="K517" s="45">
        <f>IF(Table2[[#This Row],[Description]]="","",DATE(Table2[[#This Row],[Year]],Table2[[#This Row],[Month]],1))</f>
        <v>43891</v>
      </c>
    </row>
    <row r="518" spans="2:11" x14ac:dyDescent="0.25">
      <c r="B518" t="s">
        <v>262</v>
      </c>
      <c r="C518" s="1">
        <v>3</v>
      </c>
      <c r="D518" s="1">
        <v>2020</v>
      </c>
      <c r="E518" s="166">
        <v>192.5</v>
      </c>
      <c r="F518" s="1" t="s">
        <v>22</v>
      </c>
      <c r="G518" s="1" t="str">
        <f>IF(Table2[[#This Row],[Description]]="","",VLOOKUP(Table2[[#This Row],[Description]],$Q$1:$S$101,2,FALSE))</f>
        <v>Mid</v>
      </c>
      <c r="H518" s="1" t="str">
        <f>IF(Table2[[#This Row],[Description]]="","",VLOOKUP(Table2[[#This Row],[Description]],$Q$1:$S$101,3,FALSE))</f>
        <v>Mid</v>
      </c>
      <c r="I518" s="1">
        <f>IF(Table2[[#This Row],[Description]]="","",IF(Table2[[#This Row],[Currency]]=$O$2,$P$2,HLOOKUP(Table2[[#This Row],[Date]],Funds!$C$10:$GV$11,2,FALSE)))</f>
        <v>5.19</v>
      </c>
      <c r="J518" s="215">
        <f>IF(Table2[[#This Row],[Description]]="","",Table2[[#This Row],[Value]]/Table2[[#This Row],[Conversion]])</f>
        <v>37.090558766859345</v>
      </c>
      <c r="K518" s="45">
        <f>IF(Table2[[#This Row],[Description]]="","",DATE(Table2[[#This Row],[Year]],Table2[[#This Row],[Month]],1))</f>
        <v>43891</v>
      </c>
    </row>
    <row r="519" spans="2:11" x14ac:dyDescent="0.25">
      <c r="B519" t="s">
        <v>57</v>
      </c>
      <c r="C519" s="1">
        <v>3</v>
      </c>
      <c r="D519" s="1">
        <v>2020</v>
      </c>
      <c r="E519" s="166">
        <v>64.8</v>
      </c>
      <c r="F519" s="1" t="s">
        <v>22</v>
      </c>
      <c r="G519" s="1" t="str">
        <f>IF(Table2[[#This Row],[Description]]="","",VLOOKUP(Table2[[#This Row],[Description]],$Q$1:$S$101,2,FALSE))</f>
        <v>Food</v>
      </c>
      <c r="H519" s="1" t="str">
        <f>IF(Table2[[#This Row],[Description]]="","",VLOOKUP(Table2[[#This Row],[Description]],$Q$1:$S$101,3,FALSE))</f>
        <v>Short</v>
      </c>
      <c r="I519" s="1">
        <f>IF(Table2[[#This Row],[Description]]="","",IF(Table2[[#This Row],[Currency]]=$O$2,$P$2,HLOOKUP(Table2[[#This Row],[Date]],Funds!$C$10:$GV$11,2,FALSE)))</f>
        <v>5.19</v>
      </c>
      <c r="J519" s="215">
        <f>IF(Table2[[#This Row],[Description]]="","",Table2[[#This Row],[Value]]/Table2[[#This Row],[Conversion]])</f>
        <v>12.485549132947975</v>
      </c>
      <c r="K519" s="45">
        <f>IF(Table2[[#This Row],[Description]]="","",DATE(Table2[[#This Row],[Year]],Table2[[#This Row],[Month]],1))</f>
        <v>43891</v>
      </c>
    </row>
    <row r="520" spans="2:11" x14ac:dyDescent="0.25">
      <c r="B520" t="s">
        <v>58</v>
      </c>
      <c r="C520" s="1">
        <v>3</v>
      </c>
      <c r="D520" s="1">
        <v>2020</v>
      </c>
      <c r="E520" s="166">
        <v>44.68</v>
      </c>
      <c r="F520" s="1" t="s">
        <v>22</v>
      </c>
      <c r="G520" s="1" t="str">
        <f>IF(Table2[[#This Row],[Description]]="","",VLOOKUP(Table2[[#This Row],[Description]],$Q$1:$S$101,2,FALSE))</f>
        <v>Food</v>
      </c>
      <c r="H520" s="1" t="str">
        <f>IF(Table2[[#This Row],[Description]]="","",VLOOKUP(Table2[[#This Row],[Description]],$Q$1:$S$101,3,FALSE))</f>
        <v>Short</v>
      </c>
      <c r="I520" s="1">
        <f>IF(Table2[[#This Row],[Description]]="","",IF(Table2[[#This Row],[Currency]]=$O$2,$P$2,HLOOKUP(Table2[[#This Row],[Date]],Funds!$C$10:$GV$11,2,FALSE)))</f>
        <v>5.19</v>
      </c>
      <c r="J520" s="215">
        <f>IF(Table2[[#This Row],[Description]]="","",Table2[[#This Row],[Value]]/Table2[[#This Row],[Conversion]])</f>
        <v>8.6088631984585735</v>
      </c>
      <c r="K520" s="45">
        <f>IF(Table2[[#This Row],[Description]]="","",DATE(Table2[[#This Row],[Year]],Table2[[#This Row],[Month]],1))</f>
        <v>43891</v>
      </c>
    </row>
    <row r="521" spans="2:11" x14ac:dyDescent="0.25">
      <c r="B521" t="s">
        <v>58</v>
      </c>
      <c r="C521" s="1">
        <v>3</v>
      </c>
      <c r="D521" s="1">
        <v>2020</v>
      </c>
      <c r="E521" s="166">
        <v>12.75</v>
      </c>
      <c r="F521" s="1" t="s">
        <v>22</v>
      </c>
      <c r="G521" s="1" t="str">
        <f>IF(Table2[[#This Row],[Description]]="","",VLOOKUP(Table2[[#This Row],[Description]],$Q$1:$S$101,2,FALSE))</f>
        <v>Food</v>
      </c>
      <c r="H521" s="1" t="str">
        <f>IF(Table2[[#This Row],[Description]]="","",VLOOKUP(Table2[[#This Row],[Description]],$Q$1:$S$101,3,FALSE))</f>
        <v>Short</v>
      </c>
      <c r="I521" s="1">
        <f>IF(Table2[[#This Row],[Description]]="","",IF(Table2[[#This Row],[Currency]]=$O$2,$P$2,HLOOKUP(Table2[[#This Row],[Date]],Funds!$C$10:$GV$11,2,FALSE)))</f>
        <v>5.19</v>
      </c>
      <c r="J521" s="215">
        <f>IF(Table2[[#This Row],[Description]]="","",Table2[[#This Row],[Value]]/Table2[[#This Row],[Conversion]])</f>
        <v>2.4566473988439306</v>
      </c>
      <c r="K521" s="45">
        <f>IF(Table2[[#This Row],[Description]]="","",DATE(Table2[[#This Row],[Year]],Table2[[#This Row],[Month]],1))</f>
        <v>43891</v>
      </c>
    </row>
    <row r="522" spans="2:11" x14ac:dyDescent="0.25">
      <c r="B522" t="s">
        <v>58</v>
      </c>
      <c r="C522" s="1">
        <v>3</v>
      </c>
      <c r="D522" s="1">
        <v>2020</v>
      </c>
      <c r="E522" s="166">
        <v>28.7</v>
      </c>
      <c r="F522" s="1" t="s">
        <v>22</v>
      </c>
      <c r="G522" s="1" t="str">
        <f>IF(Table2[[#This Row],[Description]]="","",VLOOKUP(Table2[[#This Row],[Description]],$Q$1:$S$101,2,FALSE))</f>
        <v>Food</v>
      </c>
      <c r="H522" s="1" t="str">
        <f>IF(Table2[[#This Row],[Description]]="","",VLOOKUP(Table2[[#This Row],[Description]],$Q$1:$S$101,3,FALSE))</f>
        <v>Short</v>
      </c>
      <c r="I522" s="1">
        <f>IF(Table2[[#This Row],[Description]]="","",IF(Table2[[#This Row],[Currency]]=$O$2,$P$2,HLOOKUP(Table2[[#This Row],[Date]],Funds!$C$10:$GV$11,2,FALSE)))</f>
        <v>5.19</v>
      </c>
      <c r="J522" s="215">
        <f>IF(Table2[[#This Row],[Description]]="","",Table2[[#This Row],[Value]]/Table2[[#This Row],[Conversion]])</f>
        <v>5.5298651252408471</v>
      </c>
      <c r="K522" s="45">
        <f>IF(Table2[[#This Row],[Description]]="","",DATE(Table2[[#This Row],[Year]],Table2[[#This Row],[Month]],1))</f>
        <v>43891</v>
      </c>
    </row>
    <row r="523" spans="2:11" x14ac:dyDescent="0.25">
      <c r="B523" t="s">
        <v>289</v>
      </c>
      <c r="C523" s="1">
        <v>3</v>
      </c>
      <c r="D523" s="1">
        <v>2020</v>
      </c>
      <c r="E523" s="166">
        <v>39.03</v>
      </c>
      <c r="F523" s="1" t="s">
        <v>22</v>
      </c>
      <c r="G523" s="1" t="str">
        <f>IF(Table2[[#This Row],[Description]]="","",VLOOKUP(Table2[[#This Row],[Description]],$Q$1:$S$101,2,FALSE))</f>
        <v>BR trips</v>
      </c>
      <c r="H523" s="1" t="str">
        <f>IF(Table2[[#This Row],[Description]]="","",VLOOKUP(Table2[[#This Row],[Description]],$Q$1:$S$101,3,FALSE))</f>
        <v>Mid</v>
      </c>
      <c r="I523" s="1">
        <f>IF(Table2[[#This Row],[Description]]="","",IF(Table2[[#This Row],[Currency]]=$O$2,$P$2,HLOOKUP(Table2[[#This Row],[Date]],Funds!$C$10:$GV$11,2,FALSE)))</f>
        <v>5.19</v>
      </c>
      <c r="J523" s="215">
        <f>IF(Table2[[#This Row],[Description]]="","",Table2[[#This Row],[Value]]/Table2[[#This Row],[Conversion]])</f>
        <v>7.5202312138728322</v>
      </c>
      <c r="K523" s="45">
        <f>IF(Table2[[#This Row],[Description]]="","",DATE(Table2[[#This Row],[Year]],Table2[[#This Row],[Month]],1))</f>
        <v>43891</v>
      </c>
    </row>
    <row r="524" spans="2:11" x14ac:dyDescent="0.25">
      <c r="B524" t="s">
        <v>263</v>
      </c>
      <c r="C524" s="1">
        <v>3</v>
      </c>
      <c r="D524" s="1">
        <v>2020</v>
      </c>
      <c r="E524" s="166">
        <v>29.9</v>
      </c>
      <c r="F524" s="1" t="s">
        <v>22</v>
      </c>
      <c r="G524" s="1" t="str">
        <f>IF(Table2[[#This Row],[Description]]="","",VLOOKUP(Table2[[#This Row],[Description]],$Q$1:$S$101,2,FALSE))</f>
        <v>MN free</v>
      </c>
      <c r="H524" s="1" t="str">
        <f>IF(Table2[[#This Row],[Description]]="","",VLOOKUP(Table2[[#This Row],[Description]],$Q$1:$S$101,3,FALSE))</f>
        <v>Mid</v>
      </c>
      <c r="I524" s="1">
        <f>IF(Table2[[#This Row],[Description]]="","",IF(Table2[[#This Row],[Currency]]=$O$2,$P$2,HLOOKUP(Table2[[#This Row],[Date]],Funds!$C$10:$GV$11,2,FALSE)))</f>
        <v>5.19</v>
      </c>
      <c r="J524" s="215">
        <f>IF(Table2[[#This Row],[Description]]="","",Table2[[#This Row],[Value]]/Table2[[#This Row],[Conversion]])</f>
        <v>5.7610789980732173</v>
      </c>
      <c r="K524" s="45">
        <f>IF(Table2[[#This Row],[Description]]="","",DATE(Table2[[#This Row],[Year]],Table2[[#This Row],[Month]],1))</f>
        <v>43891</v>
      </c>
    </row>
    <row r="525" spans="2:11" x14ac:dyDescent="0.25">
      <c r="B525" t="s">
        <v>289</v>
      </c>
      <c r="C525" s="1">
        <v>3</v>
      </c>
      <c r="D525" s="1">
        <v>2020</v>
      </c>
      <c r="E525" s="166">
        <v>39.03</v>
      </c>
      <c r="F525" s="1" t="s">
        <v>22</v>
      </c>
      <c r="G525" s="1" t="str">
        <f>IF(Table2[[#This Row],[Description]]="","",VLOOKUP(Table2[[#This Row],[Description]],$Q$1:$S$101,2,FALSE))</f>
        <v>BR trips</v>
      </c>
      <c r="H525" s="1" t="str">
        <f>IF(Table2[[#This Row],[Description]]="","",VLOOKUP(Table2[[#This Row],[Description]],$Q$1:$S$101,3,FALSE))</f>
        <v>Mid</v>
      </c>
      <c r="I525" s="1">
        <f>IF(Table2[[#This Row],[Description]]="","",IF(Table2[[#This Row],[Currency]]=$O$2,$P$2,HLOOKUP(Table2[[#This Row],[Date]],Funds!$C$10:$GV$11,2,FALSE)))</f>
        <v>5.19</v>
      </c>
      <c r="J525" s="215">
        <f>IF(Table2[[#This Row],[Description]]="","",Table2[[#This Row],[Value]]/Table2[[#This Row],[Conversion]])</f>
        <v>7.5202312138728322</v>
      </c>
      <c r="K525" s="45">
        <f>IF(Table2[[#This Row],[Description]]="","",DATE(Table2[[#This Row],[Year]],Table2[[#This Row],[Month]],1))</f>
        <v>43891</v>
      </c>
    </row>
    <row r="526" spans="2:11" x14ac:dyDescent="0.25">
      <c r="B526" t="s">
        <v>289</v>
      </c>
      <c r="C526" s="1">
        <v>3</v>
      </c>
      <c r="D526" s="1">
        <v>2020</v>
      </c>
      <c r="E526" s="166">
        <v>96</v>
      </c>
      <c r="F526" s="1" t="s">
        <v>22</v>
      </c>
      <c r="G526" s="1" t="str">
        <f>IF(Table2[[#This Row],[Description]]="","",VLOOKUP(Table2[[#This Row],[Description]],$Q$1:$S$101,2,FALSE))</f>
        <v>BR trips</v>
      </c>
      <c r="H526" s="1" t="str">
        <f>IF(Table2[[#This Row],[Description]]="","",VLOOKUP(Table2[[#This Row],[Description]],$Q$1:$S$101,3,FALSE))</f>
        <v>Mid</v>
      </c>
      <c r="I526" s="1">
        <f>IF(Table2[[#This Row],[Description]]="","",IF(Table2[[#This Row],[Currency]]=$O$2,$P$2,HLOOKUP(Table2[[#This Row],[Date]],Funds!$C$10:$GV$11,2,FALSE)))</f>
        <v>5.19</v>
      </c>
      <c r="J526" s="215">
        <f>IF(Table2[[#This Row],[Description]]="","",Table2[[#This Row],[Value]]/Table2[[#This Row],[Conversion]])</f>
        <v>18.497109826589593</v>
      </c>
      <c r="K526" s="45">
        <f>IF(Table2[[#This Row],[Description]]="","",DATE(Table2[[#This Row],[Year]],Table2[[#This Row],[Month]],1))</f>
        <v>43891</v>
      </c>
    </row>
    <row r="527" spans="2:11" x14ac:dyDescent="0.25">
      <c r="B527" t="s">
        <v>256</v>
      </c>
      <c r="C527" s="1">
        <v>3</v>
      </c>
      <c r="D527" s="1">
        <v>2020</v>
      </c>
      <c r="E527" s="166">
        <v>40.36</v>
      </c>
      <c r="F527" s="1" t="s">
        <v>22</v>
      </c>
      <c r="G527" s="1" t="str">
        <f>IF(Table2[[#This Row],[Description]]="","",VLOOKUP(Table2[[#This Row],[Description]],$Q$1:$S$101,2,FALSE))</f>
        <v>MN free</v>
      </c>
      <c r="H527" s="1" t="str">
        <f>IF(Table2[[#This Row],[Description]]="","",VLOOKUP(Table2[[#This Row],[Description]],$Q$1:$S$101,3,FALSE))</f>
        <v>Mid</v>
      </c>
      <c r="I527" s="1">
        <f>IF(Table2[[#This Row],[Description]]="","",IF(Table2[[#This Row],[Currency]]=$O$2,$P$2,HLOOKUP(Table2[[#This Row],[Date]],Funds!$C$10:$GV$11,2,FALSE)))</f>
        <v>5.19</v>
      </c>
      <c r="J527" s="215">
        <f>IF(Table2[[#This Row],[Description]]="","",Table2[[#This Row],[Value]]/Table2[[#This Row],[Conversion]])</f>
        <v>7.7764932562620421</v>
      </c>
      <c r="K527" s="45">
        <f>IF(Table2[[#This Row],[Description]]="","",DATE(Table2[[#This Row],[Year]],Table2[[#This Row],[Month]],1))</f>
        <v>43891</v>
      </c>
    </row>
    <row r="528" spans="2:11" x14ac:dyDescent="0.25">
      <c r="B528" t="s">
        <v>320</v>
      </c>
      <c r="C528" s="1">
        <v>3</v>
      </c>
      <c r="D528" s="1">
        <v>2020</v>
      </c>
      <c r="E528" s="166">
        <v>465.7726191641965</v>
      </c>
      <c r="F528" s="1" t="s">
        <v>21</v>
      </c>
      <c r="G528" s="1" t="str">
        <f>IF(Table2[[#This Row],[Description]]="","",VLOOKUP(Table2[[#This Row],[Description]],$Q$1:$S$101,2,FALSE))</f>
        <v>Long</v>
      </c>
      <c r="H528" s="1" t="str">
        <f>IF(Table2[[#This Row],[Description]]="","",VLOOKUP(Table2[[#This Row],[Description]],$Q$1:$S$101,3,FALSE))</f>
        <v>Long</v>
      </c>
      <c r="I528" s="1">
        <f>IF(Table2[[#This Row],[Description]]="","",IF(Table2[[#This Row],[Currency]]=$O$2,$P$2,HLOOKUP(Table2[[#This Row],[Date]],Funds!$C$10:$GV$11,2,FALSE)))</f>
        <v>1</v>
      </c>
      <c r="J528" s="215">
        <f>IF(Table2[[#This Row],[Description]]="","",Table2[[#This Row],[Value]]/Table2[[#This Row],[Conversion]])</f>
        <v>465.7726191641965</v>
      </c>
      <c r="K528" s="45">
        <f>IF(Table2[[#This Row],[Description]]="","",DATE(Table2[[#This Row],[Year]],Table2[[#This Row],[Month]],1))</f>
        <v>43891</v>
      </c>
    </row>
    <row r="529" spans="2:12" x14ac:dyDescent="0.25">
      <c r="B529" t="s">
        <v>46</v>
      </c>
      <c r="C529" s="1">
        <v>3</v>
      </c>
      <c r="D529" s="1">
        <v>2020</v>
      </c>
      <c r="E529" s="166">
        <v>100.83713952865753</v>
      </c>
      <c r="F529" s="1" t="s">
        <v>21</v>
      </c>
      <c r="G529" s="1" t="str">
        <f>IF(Table2[[#This Row],[Description]]="","",VLOOKUP(Table2[[#This Row],[Description]],$Q$1:$S$101,2,FALSE))</f>
        <v>Health care</v>
      </c>
      <c r="H529" s="1" t="str">
        <f>IF(Table2[[#This Row],[Description]]="","",VLOOKUP(Table2[[#This Row],[Description]],$Q$1:$S$101,3,FALSE))</f>
        <v>Short</v>
      </c>
      <c r="I529" s="1">
        <f>IF(Table2[[#This Row],[Description]]="","",IF(Table2[[#This Row],[Currency]]=$O$2,$P$2,HLOOKUP(Table2[[#This Row],[Date]],Funds!$C$10:$GV$11,2,FALSE)))</f>
        <v>1</v>
      </c>
      <c r="J529" s="215">
        <f>IF(Table2[[#This Row],[Description]]="","",Table2[[#This Row],[Value]]/Table2[[#This Row],[Conversion]])</f>
        <v>100.83713952865753</v>
      </c>
      <c r="K529" s="45">
        <f>IF(Table2[[#This Row],[Description]]="","",DATE(Table2[[#This Row],[Year]],Table2[[#This Row],[Month]],1))</f>
        <v>43891</v>
      </c>
    </row>
    <row r="530" spans="2:12" x14ac:dyDescent="0.25">
      <c r="B530" t="s">
        <v>324</v>
      </c>
      <c r="C530" s="1">
        <v>3</v>
      </c>
      <c r="D530" s="1">
        <v>2020</v>
      </c>
      <c r="E530" s="166">
        <v>12.97162252403705</v>
      </c>
      <c r="F530" s="1" t="s">
        <v>21</v>
      </c>
      <c r="G530" s="1" t="str">
        <f>IF(Table2[[#This Row],[Description]]="","",VLOOKUP(Table2[[#This Row],[Description]],$Q$1:$S$101,2,FALSE))</f>
        <v>Health care</v>
      </c>
      <c r="H530" s="1" t="str">
        <f>IF(Table2[[#This Row],[Description]]="","",VLOOKUP(Table2[[#This Row],[Description]],$Q$1:$S$101,3,FALSE))</f>
        <v>Short</v>
      </c>
      <c r="I530" s="1">
        <f>IF(Table2[[#This Row],[Description]]="","",IF(Table2[[#This Row],[Currency]]=$O$2,$P$2,HLOOKUP(Table2[[#This Row],[Date]],Funds!$C$10:$GV$11,2,FALSE)))</f>
        <v>1</v>
      </c>
      <c r="J530" s="215">
        <f>IF(Table2[[#This Row],[Description]]="","",Table2[[#This Row],[Value]]/Table2[[#This Row],[Conversion]])</f>
        <v>12.97162252403705</v>
      </c>
      <c r="K530" s="45">
        <f>IF(Table2[[#This Row],[Description]]="","",DATE(Table2[[#This Row],[Year]],Table2[[#This Row],[Month]],1))</f>
        <v>43891</v>
      </c>
    </row>
    <row r="531" spans="2:12" x14ac:dyDescent="0.25">
      <c r="B531" t="s">
        <v>59</v>
      </c>
      <c r="C531" s="1">
        <v>3</v>
      </c>
      <c r="D531" s="1">
        <v>2020</v>
      </c>
      <c r="E531" s="166">
        <v>78.6385892046126</v>
      </c>
      <c r="F531" s="1" t="s">
        <v>21</v>
      </c>
      <c r="G531" s="1" t="str">
        <f>IF(Table2[[#This Row],[Description]]="","",VLOOKUP(Table2[[#This Row],[Description]],$Q$1:$S$101,2,FALSE))</f>
        <v>Transportation</v>
      </c>
      <c r="H531" s="1" t="str">
        <f>IF(Table2[[#This Row],[Description]]="","",VLOOKUP(Table2[[#This Row],[Description]],$Q$1:$S$101,3,FALSE))</f>
        <v>Short</v>
      </c>
      <c r="I531" s="1">
        <f>IF(Table2[[#This Row],[Description]]="","",IF(Table2[[#This Row],[Currency]]=$O$2,$P$2,HLOOKUP(Table2[[#This Row],[Date]],Funds!$C$10:$GV$11,2,FALSE)))</f>
        <v>1</v>
      </c>
      <c r="J531" s="215">
        <f>IF(Table2[[#This Row],[Description]]="","",Table2[[#This Row],[Value]]/Table2[[#This Row],[Conversion]])</f>
        <v>78.6385892046126</v>
      </c>
      <c r="K531" s="45">
        <f>IF(Table2[[#This Row],[Description]]="","",DATE(Table2[[#This Row],[Year]],Table2[[#This Row],[Month]],1))</f>
        <v>43891</v>
      </c>
    </row>
    <row r="532" spans="2:12" x14ac:dyDescent="0.25">
      <c r="B532" t="s">
        <v>514</v>
      </c>
      <c r="C532" s="1">
        <v>3</v>
      </c>
      <c r="D532" s="1">
        <v>2020</v>
      </c>
      <c r="E532" s="166">
        <v>346.00979250029548</v>
      </c>
      <c r="F532" s="1" t="s">
        <v>21</v>
      </c>
      <c r="G532" s="1" t="str">
        <f>IF(Table2[[#This Row],[Description]]="","",VLOOKUP(Table2[[#This Row],[Description]],$Q$1:$S$101,2,FALSE))</f>
        <v>Long</v>
      </c>
      <c r="H532" s="1" t="str">
        <f>IF(Table2[[#This Row],[Description]]="","",VLOOKUP(Table2[[#This Row],[Description]],$Q$1:$S$101,3,FALSE))</f>
        <v>Long</v>
      </c>
      <c r="I532" s="1">
        <f>IF(Table2[[#This Row],[Description]]="","",IF(Table2[[#This Row],[Currency]]=$O$2,$P$2,HLOOKUP(Table2[[#This Row],[Date]],Funds!$C$10:$GV$11,2,FALSE)))</f>
        <v>1</v>
      </c>
      <c r="J532" s="215">
        <f>IF(Table2[[#This Row],[Description]]="","",Table2[[#This Row],[Value]]/Table2[[#This Row],[Conversion]])</f>
        <v>346.00979250029548</v>
      </c>
      <c r="K532" s="45">
        <f>IF(Table2[[#This Row],[Description]]="","",DATE(Table2[[#This Row],[Year]],Table2[[#This Row],[Month]],1))</f>
        <v>43891</v>
      </c>
    </row>
    <row r="533" spans="2:12" x14ac:dyDescent="0.25">
      <c r="B533" t="s">
        <v>280</v>
      </c>
      <c r="C533" s="1">
        <v>3</v>
      </c>
      <c r="D533" s="1">
        <v>2020</v>
      </c>
      <c r="E533" s="166">
        <v>-178</v>
      </c>
      <c r="F533" s="1" t="s">
        <v>21</v>
      </c>
      <c r="G533" s="1" t="str">
        <f>IF(Table2[[#This Row],[Description]]="","",VLOOKUP(Table2[[#This Row],[Description]],$Q$1:$S$101,2,FALSE))</f>
        <v>Mid</v>
      </c>
      <c r="H533" s="1" t="str">
        <f>IF(Table2[[#This Row],[Description]]="","",VLOOKUP(Table2[[#This Row],[Description]],$Q$1:$S$101,3,FALSE))</f>
        <v>Mid</v>
      </c>
      <c r="I533" s="1">
        <f>IF(Table2[[#This Row],[Description]]="","",IF(Table2[[#This Row],[Currency]]=$O$2,$P$2,HLOOKUP(Table2[[#This Row],[Date]],Funds!$C$10:$GV$11,2,FALSE)))</f>
        <v>1</v>
      </c>
      <c r="J533" s="215">
        <f>IF(Table2[[#This Row],[Description]]="","",Table2[[#This Row],[Value]]/Table2[[#This Row],[Conversion]])</f>
        <v>-178</v>
      </c>
      <c r="K533" s="45">
        <f>IF(Table2[[#This Row],[Description]]="","",DATE(Table2[[#This Row],[Year]],Table2[[#This Row],[Month]],1))</f>
        <v>43891</v>
      </c>
    </row>
    <row r="534" spans="2:12" x14ac:dyDescent="0.25">
      <c r="B534" s="14" t="s">
        <v>252</v>
      </c>
      <c r="C534" s="1">
        <v>3</v>
      </c>
      <c r="D534" s="1">
        <v>2020</v>
      </c>
      <c r="E534" s="166">
        <v>65.86</v>
      </c>
      <c r="F534" s="1" t="s">
        <v>21</v>
      </c>
      <c r="G534" s="1" t="str">
        <f>IF(Table2[[#This Row],[Description]]="","",VLOOKUP(Table2[[#This Row],[Description]],$Q$1:$S$101,2,FALSE))</f>
        <v>Other Mid</v>
      </c>
      <c r="H534" s="1" t="str">
        <f>IF(Table2[[#This Row],[Description]]="","",VLOOKUP(Table2[[#This Row],[Description]],$Q$1:$S$101,3,FALSE))</f>
        <v>Mid</v>
      </c>
      <c r="I534" s="1">
        <f>IF(Table2[[#This Row],[Description]]="","",IF(Table2[[#This Row],[Currency]]=$O$2,$P$2,HLOOKUP(Table2[[#This Row],[Date]],Funds!$C$10:$GV$11,2,FALSE)))</f>
        <v>1</v>
      </c>
      <c r="J534" s="215">
        <f>IF(Table2[[#This Row],[Description]]="","",Table2[[#This Row],[Value]]/Table2[[#This Row],[Conversion]])</f>
        <v>65.86</v>
      </c>
      <c r="K534" s="45">
        <f>IF(Table2[[#This Row],[Description]]="","",DATE(Table2[[#This Row],[Year]],Table2[[#This Row],[Month]],1))</f>
        <v>43891</v>
      </c>
    </row>
    <row r="535" spans="2:12" x14ac:dyDescent="0.25">
      <c r="B535" t="s">
        <v>316</v>
      </c>
      <c r="C535" s="1">
        <v>3</v>
      </c>
      <c r="D535" s="1">
        <v>2020</v>
      </c>
      <c r="E535" s="166">
        <v>19.309999999999999</v>
      </c>
      <c r="F535" s="1" t="s">
        <v>21</v>
      </c>
      <c r="G535" s="1" t="str">
        <f>IF(Table2[[#This Row],[Description]]="","",VLOOKUP(Table2[[#This Row],[Description]],$Q$1:$S$101,2,FALSE))</f>
        <v>Gifts</v>
      </c>
      <c r="H535" s="1" t="str">
        <f>IF(Table2[[#This Row],[Description]]="","",VLOOKUP(Table2[[#This Row],[Description]],$Q$1:$S$101,3,FALSE))</f>
        <v>Mid</v>
      </c>
      <c r="I535" s="1">
        <f>IF(Table2[[#This Row],[Description]]="","",IF(Table2[[#This Row],[Currency]]=$O$2,$P$2,HLOOKUP(Table2[[#This Row],[Date]],Funds!$C$10:$GV$11,2,FALSE)))</f>
        <v>1</v>
      </c>
      <c r="J535" s="215">
        <f>IF(Table2[[#This Row],[Description]]="","",Table2[[#This Row],[Value]]/Table2[[#This Row],[Conversion]])</f>
        <v>19.309999999999999</v>
      </c>
      <c r="K535" s="45">
        <f>IF(Table2[[#This Row],[Description]]="","",DATE(Table2[[#This Row],[Year]],Table2[[#This Row],[Month]],1))</f>
        <v>43891</v>
      </c>
    </row>
    <row r="536" spans="2:12" x14ac:dyDescent="0.25">
      <c r="B536" t="s">
        <v>316</v>
      </c>
      <c r="C536" s="1">
        <v>3</v>
      </c>
      <c r="D536" s="1">
        <v>2020</v>
      </c>
      <c r="E536" s="166">
        <v>32.15</v>
      </c>
      <c r="F536" s="1" t="s">
        <v>21</v>
      </c>
      <c r="G536" s="1" t="str">
        <f>IF(Table2[[#This Row],[Description]]="","",VLOOKUP(Table2[[#This Row],[Description]],$Q$1:$S$101,2,FALSE))</f>
        <v>Gifts</v>
      </c>
      <c r="H536" s="1" t="str">
        <f>IF(Table2[[#This Row],[Description]]="","",VLOOKUP(Table2[[#This Row],[Description]],$Q$1:$S$101,3,FALSE))</f>
        <v>Mid</v>
      </c>
      <c r="I536" s="1">
        <f>IF(Table2[[#This Row],[Description]]="","",IF(Table2[[#This Row],[Currency]]=$O$2,$P$2,HLOOKUP(Table2[[#This Row],[Date]],Funds!$C$10:$GV$11,2,FALSE)))</f>
        <v>1</v>
      </c>
      <c r="J536" s="215">
        <f>IF(Table2[[#This Row],[Description]]="","",Table2[[#This Row],[Value]]/Table2[[#This Row],[Conversion]])</f>
        <v>32.15</v>
      </c>
      <c r="K536" s="45">
        <f>IF(Table2[[#This Row],[Description]]="","",DATE(Table2[[#This Row],[Year]],Table2[[#This Row],[Month]],1))</f>
        <v>43891</v>
      </c>
    </row>
    <row r="537" spans="2:12" x14ac:dyDescent="0.25">
      <c r="B537" s="14" t="s">
        <v>255</v>
      </c>
      <c r="C537" s="1">
        <v>3</v>
      </c>
      <c r="D537" s="1">
        <v>2020</v>
      </c>
      <c r="E537" s="166">
        <v>23.38</v>
      </c>
      <c r="F537" s="1" t="s">
        <v>21</v>
      </c>
      <c r="G537" s="1" t="str">
        <f>IF(Table2[[#This Row],[Description]]="","",VLOOKUP(Table2[[#This Row],[Description]],$Q$1:$S$101,2,FALSE))</f>
        <v>EK free</v>
      </c>
      <c r="H537" s="1" t="str">
        <f>IF(Table2[[#This Row],[Description]]="","",VLOOKUP(Table2[[#This Row],[Description]],$Q$1:$S$101,3,FALSE))</f>
        <v>Mid</v>
      </c>
      <c r="I537" s="1">
        <f>IF(Table2[[#This Row],[Description]]="","",IF(Table2[[#This Row],[Currency]]=$O$2,$P$2,HLOOKUP(Table2[[#This Row],[Date]],Funds!$C$10:$GV$11,2,FALSE)))</f>
        <v>1</v>
      </c>
      <c r="J537" s="215">
        <f>IF(Table2[[#This Row],[Description]]="","",Table2[[#This Row],[Value]]/Table2[[#This Row],[Conversion]])</f>
        <v>23.38</v>
      </c>
      <c r="K537" s="45">
        <f>IF(Table2[[#This Row],[Description]]="","",DATE(Table2[[#This Row],[Year]],Table2[[#This Row],[Month]],1))</f>
        <v>43891</v>
      </c>
    </row>
    <row r="538" spans="2:12" x14ac:dyDescent="0.25">
      <c r="B538" s="11" t="s">
        <v>57</v>
      </c>
      <c r="C538" s="1">
        <v>3</v>
      </c>
      <c r="D538" s="1">
        <v>2020</v>
      </c>
      <c r="E538" s="166">
        <v>14.86</v>
      </c>
      <c r="F538" s="1" t="s">
        <v>21</v>
      </c>
      <c r="G538" s="1" t="str">
        <f>IF(Table2[[#This Row],[Description]]="","",VLOOKUP(Table2[[#This Row],[Description]],$Q$1:$S$101,2,FALSE))</f>
        <v>Food</v>
      </c>
      <c r="H538" s="1" t="str">
        <f>IF(Table2[[#This Row],[Description]]="","",VLOOKUP(Table2[[#This Row],[Description]],$Q$1:$S$101,3,FALSE))</f>
        <v>Short</v>
      </c>
      <c r="I538" s="1">
        <f>IF(Table2[[#This Row],[Description]]="","",IF(Table2[[#This Row],[Currency]]=$O$2,$P$2,HLOOKUP(Table2[[#This Row],[Date]],Funds!$C$10:$GV$11,2,FALSE)))</f>
        <v>1</v>
      </c>
      <c r="J538" s="215">
        <f>IF(Table2[[#This Row],[Description]]="","",Table2[[#This Row],[Value]]/Table2[[#This Row],[Conversion]])</f>
        <v>14.86</v>
      </c>
      <c r="K538" s="45">
        <f>IF(Table2[[#This Row],[Description]]="","",DATE(Table2[[#This Row],[Year]],Table2[[#This Row],[Month]],1))</f>
        <v>43891</v>
      </c>
    </row>
    <row r="539" spans="2:12" x14ac:dyDescent="0.25">
      <c r="B539" s="11" t="s">
        <v>472</v>
      </c>
      <c r="C539" s="1">
        <v>3</v>
      </c>
      <c r="D539" s="1">
        <v>2020</v>
      </c>
      <c r="E539" s="166">
        <v>22.64</v>
      </c>
      <c r="F539" s="1" t="s">
        <v>21</v>
      </c>
      <c r="G539" s="1" t="str">
        <f>IF(Table2[[#This Row],[Description]]="","",VLOOKUP(Table2[[#This Row],[Description]],$Q$1:$S$101,2,FALSE))</f>
        <v xml:space="preserve">EK studies </v>
      </c>
      <c r="H539" s="1" t="str">
        <f>IF(Table2[[#This Row],[Description]]="","",VLOOKUP(Table2[[#This Row],[Description]],$Q$1:$S$101,3,FALSE))</f>
        <v>Mid</v>
      </c>
      <c r="I539" s="1">
        <f>IF(Table2[[#This Row],[Description]]="","",IF(Table2[[#This Row],[Currency]]=$O$2,$P$2,HLOOKUP(Table2[[#This Row],[Date]],Funds!$C$10:$GV$11,2,FALSE)))</f>
        <v>1</v>
      </c>
      <c r="J539" s="215">
        <f>IF(Table2[[#This Row],[Description]]="","",Table2[[#This Row],[Value]]/Table2[[#This Row],[Conversion]])</f>
        <v>22.64</v>
      </c>
      <c r="K539" s="45">
        <f>IF(Table2[[#This Row],[Description]]="","",DATE(Table2[[#This Row],[Year]],Table2[[#This Row],[Month]],1))</f>
        <v>43891</v>
      </c>
    </row>
    <row r="540" spans="2:12" x14ac:dyDescent="0.25">
      <c r="B540" t="s">
        <v>237</v>
      </c>
      <c r="C540" s="1">
        <v>4</v>
      </c>
      <c r="D540" s="1">
        <v>2020</v>
      </c>
      <c r="E540" s="166">
        <v>12.71</v>
      </c>
      <c r="F540" s="1" t="s">
        <v>21</v>
      </c>
      <c r="G540" s="1" t="str">
        <f>IF(Table2[[#This Row],[Description]]="","",VLOOKUP(Table2[[#This Row],[Description]],$Q$1:$S$101,2,FALSE))</f>
        <v>FX adjustment</v>
      </c>
      <c r="H540" s="1">
        <f>IF(Table2[[#This Row],[Description]]="","",VLOOKUP(Table2[[#This Row],[Description]],$Q$1:$S$101,3,FALSE))</f>
        <v>0</v>
      </c>
      <c r="I540" s="1">
        <f>IF(Table2[[#This Row],[Description]]="","",IF(Table2[[#This Row],[Currency]]=$O$2,$P$2,HLOOKUP(Table2[[#This Row],[Date]],Funds!$C$10:$GV$11,2,FALSE)))</f>
        <v>1</v>
      </c>
      <c r="J540" s="215">
        <f>IF(Table2[[#This Row],[Description]]="","",Table2[[#This Row],[Value]]/Table2[[#This Row],[Conversion]])</f>
        <v>12.71</v>
      </c>
      <c r="K540" s="45">
        <f>IF(Table2[[#This Row],[Description]]="","",DATE(Table2[[#This Row],[Year]],Table2[[#This Row],[Month]],1))</f>
        <v>43922</v>
      </c>
    </row>
    <row r="541" spans="2:12" x14ac:dyDescent="0.25">
      <c r="B541" t="s">
        <v>72</v>
      </c>
      <c r="C541" s="1">
        <v>4</v>
      </c>
      <c r="D541" s="1">
        <v>2020</v>
      </c>
      <c r="E541" s="166">
        <v>41.55</v>
      </c>
      <c r="F541" s="1" t="s">
        <v>21</v>
      </c>
      <c r="G541" s="1" t="str">
        <f>IF(Table2[[#This Row],[Description]]="","",VLOOKUP(Table2[[#This Row],[Description]],$Q$1:$S$101,2,FALSE))</f>
        <v>EK free</v>
      </c>
      <c r="H541" s="1" t="str">
        <f>IF(Table2[[#This Row],[Description]]="","",VLOOKUP(Table2[[#This Row],[Description]],$Q$1:$S$101,3,FALSE))</f>
        <v>Mid</v>
      </c>
      <c r="I541" s="1">
        <f>IF(Table2[[#This Row],[Description]]="","",IF(Table2[[#This Row],[Currency]]=$O$2,$P$2,HLOOKUP(Table2[[#This Row],[Date]],Funds!$C$10:$GV$11,2,FALSE)))</f>
        <v>1</v>
      </c>
      <c r="J541" s="215">
        <f>IF(Table2[[#This Row],[Description]]="","",Table2[[#This Row],[Value]]/Table2[[#This Row],[Conversion]])</f>
        <v>41.55</v>
      </c>
      <c r="K541" s="45">
        <f>IF(Table2[[#This Row],[Description]]="","",DATE(Table2[[#This Row],[Year]],Table2[[#This Row],[Month]],1))</f>
        <v>43922</v>
      </c>
    </row>
    <row r="542" spans="2:12" x14ac:dyDescent="0.25">
      <c r="B542" t="s">
        <v>73</v>
      </c>
      <c r="C542" s="1">
        <v>4</v>
      </c>
      <c r="D542" s="1">
        <v>2020</v>
      </c>
      <c r="E542" s="166">
        <v>41.55</v>
      </c>
      <c r="F542" s="1" t="s">
        <v>21</v>
      </c>
      <c r="G542" s="1" t="str">
        <f>IF(Table2[[#This Row],[Description]]="","",VLOOKUP(Table2[[#This Row],[Description]],$Q$1:$S$101,2,FALSE))</f>
        <v>MN free</v>
      </c>
      <c r="H542" s="1" t="str">
        <f>IF(Table2[[#This Row],[Description]]="","",VLOOKUP(Table2[[#This Row],[Description]],$Q$1:$S$101,3,FALSE))</f>
        <v>Mid</v>
      </c>
      <c r="I542" s="1">
        <f>IF(Table2[[#This Row],[Description]]="","",IF(Table2[[#This Row],[Currency]]=$O$2,$P$2,HLOOKUP(Table2[[#This Row],[Date]],Funds!$C$10:$GV$11,2,FALSE)))</f>
        <v>1</v>
      </c>
      <c r="J542" s="215">
        <f>IF(Table2[[#This Row],[Description]]="","",Table2[[#This Row],[Value]]/Table2[[#This Row],[Conversion]])</f>
        <v>41.55</v>
      </c>
      <c r="K542" s="45">
        <f>IF(Table2[[#This Row],[Description]]="","",DATE(Table2[[#This Row],[Year]],Table2[[#This Row],[Month]],1))</f>
        <v>43922</v>
      </c>
    </row>
    <row r="543" spans="2:12" x14ac:dyDescent="0.25">
      <c r="B543" t="s">
        <v>269</v>
      </c>
      <c r="C543" s="1">
        <v>4</v>
      </c>
      <c r="D543" s="1">
        <v>2020</v>
      </c>
      <c r="E543" s="166">
        <v>42.99</v>
      </c>
      <c r="F543" s="1" t="s">
        <v>21</v>
      </c>
      <c r="G543" s="1" t="str">
        <f>IF(Table2[[#This Row],[Description]]="","",VLOOKUP(Table2[[#This Row],[Description]],$Q$1:$S$101,2,FALSE))</f>
        <v>Other Mid</v>
      </c>
      <c r="H543" s="1" t="str">
        <f>IF(Table2[[#This Row],[Description]]="","",VLOOKUP(Table2[[#This Row],[Description]],$Q$1:$S$101,3,FALSE))</f>
        <v>Mid</v>
      </c>
      <c r="I543" s="1">
        <f>IF(Table2[[#This Row],[Description]]="","",IF(Table2[[#This Row],[Currency]]=$O$2,$P$2,HLOOKUP(Table2[[#This Row],[Date]],Funds!$C$10:$GV$11,2,FALSE)))</f>
        <v>1</v>
      </c>
      <c r="J543" s="215">
        <f>IF(Table2[[#This Row],[Description]]="","",Table2[[#This Row],[Value]]/Table2[[#This Row],[Conversion]])</f>
        <v>42.99</v>
      </c>
      <c r="K543" s="45">
        <f>IF(Table2[[#This Row],[Description]]="","",DATE(Table2[[#This Row],[Year]],Table2[[#This Row],[Month]],1))</f>
        <v>43922</v>
      </c>
      <c r="L543" t="s">
        <v>559</v>
      </c>
    </row>
    <row r="544" spans="2:12" x14ac:dyDescent="0.25">
      <c r="B544" t="s">
        <v>269</v>
      </c>
      <c r="C544" s="1">
        <v>4</v>
      </c>
      <c r="D544" s="1">
        <v>2020</v>
      </c>
      <c r="E544" s="166">
        <v>26.44</v>
      </c>
      <c r="F544" s="1" t="s">
        <v>21</v>
      </c>
      <c r="G544" s="1" t="str">
        <f>IF(Table2[[#This Row],[Description]]="","",VLOOKUP(Table2[[#This Row],[Description]],$Q$1:$S$101,2,FALSE))</f>
        <v>Other Mid</v>
      </c>
      <c r="H544" s="1" t="str">
        <f>IF(Table2[[#This Row],[Description]]="","",VLOOKUP(Table2[[#This Row],[Description]],$Q$1:$S$101,3,FALSE))</f>
        <v>Mid</v>
      </c>
      <c r="I544" s="1">
        <f>IF(Table2[[#This Row],[Description]]="","",IF(Table2[[#This Row],[Currency]]=$O$2,$P$2,HLOOKUP(Table2[[#This Row],[Date]],Funds!$C$10:$GV$11,2,FALSE)))</f>
        <v>1</v>
      </c>
      <c r="J544" s="215">
        <f>IF(Table2[[#This Row],[Description]]="","",Table2[[#This Row],[Value]]/Table2[[#This Row],[Conversion]])</f>
        <v>26.44</v>
      </c>
      <c r="K544" s="45">
        <f>IF(Table2[[#This Row],[Description]]="","",DATE(Table2[[#This Row],[Year]],Table2[[#This Row],[Month]],1))</f>
        <v>43922</v>
      </c>
      <c r="L544" t="s">
        <v>559</v>
      </c>
    </row>
    <row r="545" spans="2:12" x14ac:dyDescent="0.25">
      <c r="B545" t="s">
        <v>269</v>
      </c>
      <c r="C545" s="1">
        <v>4</v>
      </c>
      <c r="D545" s="1">
        <v>2020</v>
      </c>
      <c r="E545" s="166">
        <v>16.53</v>
      </c>
      <c r="F545" s="1" t="s">
        <v>21</v>
      </c>
      <c r="G545" s="1" t="str">
        <f>IF(Table2[[#This Row],[Description]]="","",VLOOKUP(Table2[[#This Row],[Description]],$Q$1:$S$101,2,FALSE))</f>
        <v>Other Mid</v>
      </c>
      <c r="H545" s="1" t="str">
        <f>IF(Table2[[#This Row],[Description]]="","",VLOOKUP(Table2[[#This Row],[Description]],$Q$1:$S$101,3,FALSE))</f>
        <v>Mid</v>
      </c>
      <c r="I545" s="1">
        <f>IF(Table2[[#This Row],[Description]]="","",IF(Table2[[#This Row],[Currency]]=$O$2,$P$2,HLOOKUP(Table2[[#This Row],[Date]],Funds!$C$10:$GV$11,2,FALSE)))</f>
        <v>1</v>
      </c>
      <c r="J545" s="215">
        <f>IF(Table2[[#This Row],[Description]]="","",Table2[[#This Row],[Value]]/Table2[[#This Row],[Conversion]])</f>
        <v>16.53</v>
      </c>
      <c r="K545" s="45">
        <f>IF(Table2[[#This Row],[Description]]="","",DATE(Table2[[#This Row],[Year]],Table2[[#This Row],[Month]],1))</f>
        <v>43922</v>
      </c>
      <c r="L545" t="s">
        <v>559</v>
      </c>
    </row>
    <row r="546" spans="2:12" x14ac:dyDescent="0.25">
      <c r="B546" t="s">
        <v>269</v>
      </c>
      <c r="C546" s="1">
        <v>4</v>
      </c>
      <c r="D546" s="1">
        <v>2020</v>
      </c>
      <c r="E546" s="166">
        <v>396.88</v>
      </c>
      <c r="F546" s="1" t="s">
        <v>21</v>
      </c>
      <c r="G546" s="1" t="str">
        <f>IF(Table2[[#This Row],[Description]]="","",VLOOKUP(Table2[[#This Row],[Description]],$Q$1:$S$101,2,FALSE))</f>
        <v>Other Mid</v>
      </c>
      <c r="H546" s="1" t="str">
        <f>IF(Table2[[#This Row],[Description]]="","",VLOOKUP(Table2[[#This Row],[Description]],$Q$1:$S$101,3,FALSE))</f>
        <v>Mid</v>
      </c>
      <c r="I546" s="1">
        <f>IF(Table2[[#This Row],[Description]]="","",IF(Table2[[#This Row],[Currency]]=$O$2,$P$2,HLOOKUP(Table2[[#This Row],[Date]],Funds!$C$10:$GV$11,2,FALSE)))</f>
        <v>1</v>
      </c>
      <c r="J546" s="215">
        <f>IF(Table2[[#This Row],[Description]]="","",Table2[[#This Row],[Value]]/Table2[[#This Row],[Conversion]])</f>
        <v>396.88</v>
      </c>
      <c r="K546" s="45">
        <f>IF(Table2[[#This Row],[Description]]="","",DATE(Table2[[#This Row],[Year]],Table2[[#This Row],[Month]],1))</f>
        <v>43922</v>
      </c>
      <c r="L546" t="s">
        <v>559</v>
      </c>
    </row>
    <row r="547" spans="2:12" x14ac:dyDescent="0.25">
      <c r="B547" t="s">
        <v>58</v>
      </c>
      <c r="C547" s="1">
        <v>4</v>
      </c>
      <c r="D547" s="1">
        <v>2020</v>
      </c>
      <c r="E547" s="166">
        <v>320.74999999999994</v>
      </c>
      <c r="F547" s="1" t="s">
        <v>21</v>
      </c>
      <c r="G547" s="1" t="str">
        <f>IF(Table2[[#This Row],[Description]]="","",VLOOKUP(Table2[[#This Row],[Description]],$Q$1:$S$101,2,FALSE))</f>
        <v>Food</v>
      </c>
      <c r="H547" s="1" t="str">
        <f>IF(Table2[[#This Row],[Description]]="","",VLOOKUP(Table2[[#This Row],[Description]],$Q$1:$S$101,3,FALSE))</f>
        <v>Short</v>
      </c>
      <c r="I547" s="1">
        <f>IF(Table2[[#This Row],[Description]]="","",IF(Table2[[#This Row],[Currency]]=$O$2,$P$2,HLOOKUP(Table2[[#This Row],[Date]],Funds!$C$10:$GV$11,2,FALSE)))</f>
        <v>1</v>
      </c>
      <c r="J547" s="215">
        <f>IF(Table2[[#This Row],[Description]]="","",Table2[[#This Row],[Value]]/Table2[[#This Row],[Conversion]])</f>
        <v>320.74999999999994</v>
      </c>
      <c r="K547" s="45">
        <f>IF(Table2[[#This Row],[Description]]="","",DATE(Table2[[#This Row],[Year]],Table2[[#This Row],[Month]],1))</f>
        <v>43922</v>
      </c>
    </row>
    <row r="548" spans="2:12" x14ac:dyDescent="0.25">
      <c r="B548" t="s">
        <v>29</v>
      </c>
      <c r="C548" s="1">
        <v>4</v>
      </c>
      <c r="D548" s="1">
        <v>2020</v>
      </c>
      <c r="E548" s="166">
        <v>73.709999999999994</v>
      </c>
      <c r="F548" s="1" t="s">
        <v>21</v>
      </c>
      <c r="G548" s="1" t="str">
        <f>IF(Table2[[#This Row],[Description]]="","",VLOOKUP(Table2[[#This Row],[Description]],$Q$1:$S$101,2,FALSE))</f>
        <v>Health</v>
      </c>
      <c r="H548" s="1" t="str">
        <f>IF(Table2[[#This Row],[Description]]="","",VLOOKUP(Table2[[#This Row],[Description]],$Q$1:$S$101,3,FALSE))</f>
        <v>Mid</v>
      </c>
      <c r="I548" s="1">
        <f>IF(Table2[[#This Row],[Description]]="","",IF(Table2[[#This Row],[Currency]]=$O$2,$P$2,HLOOKUP(Table2[[#This Row],[Date]],Funds!$C$10:$GV$11,2,FALSE)))</f>
        <v>1</v>
      </c>
      <c r="J548" s="215">
        <f>IF(Table2[[#This Row],[Description]]="","",Table2[[#This Row],[Value]]/Table2[[#This Row],[Conversion]])</f>
        <v>73.709999999999994</v>
      </c>
      <c r="K548" s="45">
        <f>IF(Table2[[#This Row],[Description]]="","",DATE(Table2[[#This Row],[Year]],Table2[[#This Row],[Month]],1))</f>
        <v>43922</v>
      </c>
    </row>
    <row r="549" spans="2:12" x14ac:dyDescent="0.25">
      <c r="B549" t="s">
        <v>57</v>
      </c>
      <c r="C549" s="1">
        <v>4</v>
      </c>
      <c r="D549" s="1">
        <v>2020</v>
      </c>
      <c r="E549" s="166">
        <v>422.05</v>
      </c>
      <c r="F549" s="1" t="s">
        <v>21</v>
      </c>
      <c r="G549" s="1" t="str">
        <f>IF(Table2[[#This Row],[Description]]="","",VLOOKUP(Table2[[#This Row],[Description]],$Q$1:$S$101,2,FALSE))</f>
        <v>Food</v>
      </c>
      <c r="H549" s="1" t="str">
        <f>IF(Table2[[#This Row],[Description]]="","",VLOOKUP(Table2[[#This Row],[Description]],$Q$1:$S$101,3,FALSE))</f>
        <v>Short</v>
      </c>
      <c r="I549" s="1">
        <f>IF(Table2[[#This Row],[Description]]="","",IF(Table2[[#This Row],[Currency]]=$O$2,$P$2,HLOOKUP(Table2[[#This Row],[Date]],Funds!$C$10:$GV$11,2,FALSE)))</f>
        <v>1</v>
      </c>
      <c r="J549" s="215">
        <f>IF(Table2[[#This Row],[Description]]="","",Table2[[#This Row],[Value]]/Table2[[#This Row],[Conversion]])</f>
        <v>422.05</v>
      </c>
      <c r="K549" s="45">
        <f>IF(Table2[[#This Row],[Description]]="","",DATE(Table2[[#This Row],[Year]],Table2[[#This Row],[Month]],1))</f>
        <v>43922</v>
      </c>
    </row>
    <row r="550" spans="2:12" x14ac:dyDescent="0.25">
      <c r="B550" t="s">
        <v>264</v>
      </c>
      <c r="C550" s="1">
        <v>4</v>
      </c>
      <c r="D550" s="1">
        <v>2020</v>
      </c>
      <c r="E550" s="166">
        <v>14.86</v>
      </c>
      <c r="F550" s="1" t="s">
        <v>21</v>
      </c>
      <c r="G550" s="1" t="str">
        <f>IF(Table2[[#This Row],[Description]]="","",VLOOKUP(Table2[[#This Row],[Description]],$Q$1:$S$101,2,FALSE))</f>
        <v>MN free</v>
      </c>
      <c r="H550" s="1" t="str">
        <f>IF(Table2[[#This Row],[Description]]="","",VLOOKUP(Table2[[#This Row],[Description]],$Q$1:$S$101,3,FALSE))</f>
        <v>Mid</v>
      </c>
      <c r="I550" s="1">
        <f>IF(Table2[[#This Row],[Description]]="","",IF(Table2[[#This Row],[Currency]]=$O$2,$P$2,HLOOKUP(Table2[[#This Row],[Date]],Funds!$C$10:$GV$11,2,FALSE)))</f>
        <v>1</v>
      </c>
      <c r="J550" s="215">
        <f>IF(Table2[[#This Row],[Description]]="","",Table2[[#This Row],[Value]]/Table2[[#This Row],[Conversion]])</f>
        <v>14.86</v>
      </c>
      <c r="K550" s="45">
        <f>IF(Table2[[#This Row],[Description]]="","",DATE(Table2[[#This Row],[Year]],Table2[[#This Row],[Month]],1))</f>
        <v>43922</v>
      </c>
    </row>
    <row r="551" spans="2:12" x14ac:dyDescent="0.25">
      <c r="B551" t="s">
        <v>520</v>
      </c>
      <c r="C551" s="1">
        <v>4</v>
      </c>
      <c r="D551" s="1">
        <v>2020</v>
      </c>
      <c r="E551" s="166">
        <v>59.94</v>
      </c>
      <c r="F551" s="1" t="s">
        <v>21</v>
      </c>
      <c r="G551" s="1" t="str">
        <f>IF(Table2[[#This Row],[Description]]="","",VLOOKUP(Table2[[#This Row],[Description]],$Q$1:$S$101,2,FALSE))</f>
        <v>Leisure</v>
      </c>
      <c r="H551" s="1" t="str">
        <f>IF(Table2[[#This Row],[Description]]="","",VLOOKUP(Table2[[#This Row],[Description]],$Q$1:$S$101,3,FALSE))</f>
        <v>Short</v>
      </c>
      <c r="I551" s="1">
        <f>IF(Table2[[#This Row],[Description]]="","",IF(Table2[[#This Row],[Currency]]=$O$2,$P$2,HLOOKUP(Table2[[#This Row],[Date]],Funds!$C$10:$GV$11,2,FALSE)))</f>
        <v>1</v>
      </c>
      <c r="J551" s="215">
        <f>IF(Table2[[#This Row],[Description]]="","",Table2[[#This Row],[Value]]/Table2[[#This Row],[Conversion]])</f>
        <v>59.94</v>
      </c>
      <c r="K551" s="45">
        <f>IF(Table2[[#This Row],[Description]]="","",DATE(Table2[[#This Row],[Year]],Table2[[#This Row],[Month]],1))</f>
        <v>43922</v>
      </c>
    </row>
    <row r="552" spans="2:12" x14ac:dyDescent="0.25">
      <c r="B552" t="s">
        <v>267</v>
      </c>
      <c r="C552" s="1">
        <v>4</v>
      </c>
      <c r="D552" s="1">
        <v>2020</v>
      </c>
      <c r="E552" s="166">
        <v>38.14</v>
      </c>
      <c r="F552" s="1" t="s">
        <v>21</v>
      </c>
      <c r="G552" s="1" t="str">
        <f>IF(Table2[[#This Row],[Description]]="","",VLOOKUP(Table2[[#This Row],[Description]],$Q$1:$S$101,2,FALSE))</f>
        <v>Leisure</v>
      </c>
      <c r="H552" s="1" t="str">
        <f>IF(Table2[[#This Row],[Description]]="","",VLOOKUP(Table2[[#This Row],[Description]],$Q$1:$S$101,3,FALSE))</f>
        <v>Short</v>
      </c>
      <c r="I552" s="1">
        <f>IF(Table2[[#This Row],[Description]]="","",IF(Table2[[#This Row],[Currency]]=$O$2,$P$2,HLOOKUP(Table2[[#This Row],[Date]],Funds!$C$10:$GV$11,2,FALSE)))</f>
        <v>1</v>
      </c>
      <c r="J552" s="215">
        <f>IF(Table2[[#This Row],[Description]]="","",Table2[[#This Row],[Value]]/Table2[[#This Row],[Conversion]])</f>
        <v>38.14</v>
      </c>
      <c r="K552" s="45">
        <f>IF(Table2[[#This Row],[Description]]="","",DATE(Table2[[#This Row],[Year]],Table2[[#This Row],[Month]],1))</f>
        <v>43922</v>
      </c>
    </row>
    <row r="553" spans="2:12" x14ac:dyDescent="0.25">
      <c r="B553" t="s">
        <v>52</v>
      </c>
      <c r="C553" s="1">
        <v>4</v>
      </c>
      <c r="D553" s="1">
        <v>2020</v>
      </c>
      <c r="E553" s="166">
        <v>27.24</v>
      </c>
      <c r="F553" s="1" t="s">
        <v>21</v>
      </c>
      <c r="G553" s="1" t="str">
        <f>IF(Table2[[#This Row],[Description]]="","",VLOOKUP(Table2[[#This Row],[Description]],$Q$1:$S$101,2,FALSE))</f>
        <v>Utilities</v>
      </c>
      <c r="H553" s="1" t="str">
        <f>IF(Table2[[#This Row],[Description]]="","",VLOOKUP(Table2[[#This Row],[Description]],$Q$1:$S$101,3,FALSE))</f>
        <v>Short</v>
      </c>
      <c r="I553" s="1">
        <f>IF(Table2[[#This Row],[Description]]="","",IF(Table2[[#This Row],[Currency]]=$O$2,$P$2,HLOOKUP(Table2[[#This Row],[Date]],Funds!$C$10:$GV$11,2,FALSE)))</f>
        <v>1</v>
      </c>
      <c r="J553" s="215">
        <f>IF(Table2[[#This Row],[Description]]="","",Table2[[#This Row],[Value]]/Table2[[#This Row],[Conversion]])</f>
        <v>27.24</v>
      </c>
      <c r="K553" s="45">
        <f>IF(Table2[[#This Row],[Description]]="","",DATE(Table2[[#This Row],[Year]],Table2[[#This Row],[Month]],1))</f>
        <v>43922</v>
      </c>
    </row>
    <row r="554" spans="2:12" x14ac:dyDescent="0.25">
      <c r="B554" t="s">
        <v>249</v>
      </c>
      <c r="C554" s="1">
        <v>4</v>
      </c>
      <c r="D554" s="1">
        <v>2020</v>
      </c>
      <c r="E554" s="166">
        <v>62.1</v>
      </c>
      <c r="F554" s="1" t="s">
        <v>21</v>
      </c>
      <c r="G554" s="1" t="str">
        <f>IF(Table2[[#This Row],[Description]]="","",VLOOKUP(Table2[[#This Row],[Description]],$Q$1:$S$101,2,FALSE))</f>
        <v>Leisure</v>
      </c>
      <c r="H554" s="1" t="str">
        <f>IF(Table2[[#This Row],[Description]]="","",VLOOKUP(Table2[[#This Row],[Description]],$Q$1:$S$101,3,FALSE))</f>
        <v>Short</v>
      </c>
      <c r="I554" s="1">
        <f>IF(Table2[[#This Row],[Description]]="","",IF(Table2[[#This Row],[Currency]]=$O$2,$P$2,HLOOKUP(Table2[[#This Row],[Date]],Funds!$C$10:$GV$11,2,FALSE)))</f>
        <v>1</v>
      </c>
      <c r="J554" s="215">
        <f>IF(Table2[[#This Row],[Description]]="","",Table2[[#This Row],[Value]]/Table2[[#This Row],[Conversion]])</f>
        <v>62.1</v>
      </c>
      <c r="K554" s="45">
        <f>IF(Table2[[#This Row],[Description]]="","",DATE(Table2[[#This Row],[Year]],Table2[[#This Row],[Month]],1))</f>
        <v>43922</v>
      </c>
    </row>
    <row r="555" spans="2:12" x14ac:dyDescent="0.25">
      <c r="B555" t="s">
        <v>266</v>
      </c>
      <c r="C555" s="1">
        <v>4</v>
      </c>
      <c r="D555" s="1">
        <v>2020</v>
      </c>
      <c r="E555" s="166">
        <v>5.44</v>
      </c>
      <c r="F555" s="1" t="s">
        <v>21</v>
      </c>
      <c r="G555" s="1" t="str">
        <f>IF(Table2[[#This Row],[Description]]="","",VLOOKUP(Table2[[#This Row],[Description]],$Q$1:$S$101,2,FALSE))</f>
        <v>Leisure</v>
      </c>
      <c r="H555" s="1" t="str">
        <f>IF(Table2[[#This Row],[Description]]="","",VLOOKUP(Table2[[#This Row],[Description]],$Q$1:$S$101,3,FALSE))</f>
        <v>Short</v>
      </c>
      <c r="I555" s="1">
        <f>IF(Table2[[#This Row],[Description]]="","",IF(Table2[[#This Row],[Currency]]=$O$2,$P$2,HLOOKUP(Table2[[#This Row],[Date]],Funds!$C$10:$GV$11,2,FALSE)))</f>
        <v>1</v>
      </c>
      <c r="J555" s="215">
        <f>IF(Table2[[#This Row],[Description]]="","",Table2[[#This Row],[Value]]/Table2[[#This Row],[Conversion]])</f>
        <v>5.44</v>
      </c>
      <c r="K555" s="45">
        <f>IF(Table2[[#This Row],[Description]]="","",DATE(Table2[[#This Row],[Year]],Table2[[#This Row],[Month]],1))</f>
        <v>43922</v>
      </c>
    </row>
    <row r="556" spans="2:12" x14ac:dyDescent="0.25">
      <c r="B556" t="s">
        <v>262</v>
      </c>
      <c r="C556" s="1">
        <v>4</v>
      </c>
      <c r="D556" s="1">
        <v>2020</v>
      </c>
      <c r="E556" s="166">
        <v>50</v>
      </c>
      <c r="F556" s="1" t="s">
        <v>21</v>
      </c>
      <c r="G556" s="1" t="str">
        <f>IF(Table2[[#This Row],[Description]]="","",VLOOKUP(Table2[[#This Row],[Description]],$Q$1:$S$101,2,FALSE))</f>
        <v>Mid</v>
      </c>
      <c r="H556" s="1" t="str">
        <f>IF(Table2[[#This Row],[Description]]="","",VLOOKUP(Table2[[#This Row],[Description]],$Q$1:$S$101,3,FALSE))</f>
        <v>Mid</v>
      </c>
      <c r="I556" s="1">
        <f>IF(Table2[[#This Row],[Description]]="","",IF(Table2[[#This Row],[Currency]]=$O$2,$P$2,HLOOKUP(Table2[[#This Row],[Date]],Funds!$C$10:$GV$11,2,FALSE)))</f>
        <v>1</v>
      </c>
      <c r="J556" s="215">
        <f>IF(Table2[[#This Row],[Description]]="","",Table2[[#This Row],[Value]]/Table2[[#This Row],[Conversion]])</f>
        <v>50</v>
      </c>
      <c r="K556" s="45">
        <f>IF(Table2[[#This Row],[Description]]="","",DATE(Table2[[#This Row],[Year]],Table2[[#This Row],[Month]],1))</f>
        <v>43922</v>
      </c>
    </row>
    <row r="557" spans="2:12" x14ac:dyDescent="0.25">
      <c r="B557" t="s">
        <v>63</v>
      </c>
      <c r="C557" s="1">
        <v>4</v>
      </c>
      <c r="D557" s="1">
        <v>2020</v>
      </c>
      <c r="E557" s="166">
        <v>44.57</v>
      </c>
      <c r="F557" s="1" t="s">
        <v>21</v>
      </c>
      <c r="G557" s="1" t="str">
        <f>IF(Table2[[#This Row],[Description]]="","",VLOOKUP(Table2[[#This Row],[Description]],$Q$1:$S$101,2,FALSE))</f>
        <v>Leisure</v>
      </c>
      <c r="H557" s="1" t="str">
        <f>IF(Table2[[#This Row],[Description]]="","",VLOOKUP(Table2[[#This Row],[Description]],$Q$1:$S$101,3,FALSE))</f>
        <v>Short</v>
      </c>
      <c r="I557" s="1">
        <f>IF(Table2[[#This Row],[Description]]="","",IF(Table2[[#This Row],[Currency]]=$O$2,$P$2,HLOOKUP(Table2[[#This Row],[Date]],Funds!$C$10:$GV$11,2,FALSE)))</f>
        <v>1</v>
      </c>
      <c r="J557" s="215">
        <f>IF(Table2[[#This Row],[Description]]="","",Table2[[#This Row],[Value]]/Table2[[#This Row],[Conversion]])</f>
        <v>44.57</v>
      </c>
      <c r="K557" s="45">
        <f>IF(Table2[[#This Row],[Description]]="","",DATE(Table2[[#This Row],[Year]],Table2[[#This Row],[Month]],1))</f>
        <v>43922</v>
      </c>
    </row>
    <row r="558" spans="2:12" x14ac:dyDescent="0.25">
      <c r="B558" t="s">
        <v>35</v>
      </c>
      <c r="C558" s="1">
        <v>4</v>
      </c>
      <c r="D558" s="1">
        <v>2020</v>
      </c>
      <c r="E558" s="166">
        <v>85.29</v>
      </c>
      <c r="F558" s="1" t="s">
        <v>21</v>
      </c>
      <c r="G558" s="1" t="str">
        <f>IF(Table2[[#This Row],[Description]]="","",VLOOKUP(Table2[[#This Row],[Description]],$Q$1:$S$101,2,FALSE))</f>
        <v>Cellphone</v>
      </c>
      <c r="H558" s="1" t="str">
        <f>IF(Table2[[#This Row],[Description]]="","",VLOOKUP(Table2[[#This Row],[Description]],$Q$1:$S$101,3,FALSE))</f>
        <v>Short</v>
      </c>
      <c r="I558" s="1">
        <f>IF(Table2[[#This Row],[Description]]="","",IF(Table2[[#This Row],[Currency]]=$O$2,$P$2,HLOOKUP(Table2[[#This Row],[Date]],Funds!$C$10:$GV$11,2,FALSE)))</f>
        <v>1</v>
      </c>
      <c r="J558" s="215">
        <f>IF(Table2[[#This Row],[Description]]="","",Table2[[#This Row],[Value]]/Table2[[#This Row],[Conversion]])</f>
        <v>85.29</v>
      </c>
      <c r="K558" s="45">
        <f>IF(Table2[[#This Row],[Description]]="","",DATE(Table2[[#This Row],[Year]],Table2[[#This Row],[Month]],1))</f>
        <v>43922</v>
      </c>
    </row>
    <row r="559" spans="2:12" x14ac:dyDescent="0.25">
      <c r="B559" t="s">
        <v>31</v>
      </c>
      <c r="C559" s="1">
        <v>4</v>
      </c>
      <c r="D559" s="1">
        <v>2020</v>
      </c>
      <c r="E559" s="166">
        <v>1709.58</v>
      </c>
      <c r="F559" s="1" t="s">
        <v>21</v>
      </c>
      <c r="G559" s="1" t="str">
        <f>IF(Table2[[#This Row],[Description]]="","",VLOOKUP(Table2[[#This Row],[Description]],$Q$1:$S$101,2,FALSE))</f>
        <v>Rent</v>
      </c>
      <c r="H559" s="1" t="str">
        <f>IF(Table2[[#This Row],[Description]]="","",VLOOKUP(Table2[[#This Row],[Description]],$Q$1:$S$101,3,FALSE))</f>
        <v>Short</v>
      </c>
      <c r="I559" s="1">
        <f>IF(Table2[[#This Row],[Description]]="","",IF(Table2[[#This Row],[Currency]]=$O$2,$P$2,HLOOKUP(Table2[[#This Row],[Date]],Funds!$C$10:$GV$11,2,FALSE)))</f>
        <v>1</v>
      </c>
      <c r="J559" s="215">
        <f>IF(Table2[[#This Row],[Description]]="","",Table2[[#This Row],[Value]]/Table2[[#This Row],[Conversion]])</f>
        <v>1709.58</v>
      </c>
      <c r="K559" s="45">
        <f>IF(Table2[[#This Row],[Description]]="","",DATE(Table2[[#This Row],[Year]],Table2[[#This Row],[Month]],1))</f>
        <v>43922</v>
      </c>
    </row>
    <row r="560" spans="2:12" x14ac:dyDescent="0.25">
      <c r="B560" t="s">
        <v>262</v>
      </c>
      <c r="C560" s="1">
        <v>4</v>
      </c>
      <c r="D560" s="1">
        <v>2020</v>
      </c>
      <c r="E560" s="166">
        <v>489.29</v>
      </c>
      <c r="F560" s="1" t="s">
        <v>22</v>
      </c>
      <c r="G560" s="1" t="str">
        <f>IF(Table2[[#This Row],[Description]]="","",VLOOKUP(Table2[[#This Row],[Description]],$Q$1:$S$101,2,FALSE))</f>
        <v>Mid</v>
      </c>
      <c r="H560" s="1" t="str">
        <f>IF(Table2[[#This Row],[Description]]="","",VLOOKUP(Table2[[#This Row],[Description]],$Q$1:$S$101,3,FALSE))</f>
        <v>Mid</v>
      </c>
      <c r="I560" s="1">
        <f>IF(Table2[[#This Row],[Description]]="","",IF(Table2[[#This Row],[Currency]]=$O$2,$P$2,HLOOKUP(Table2[[#This Row],[Date]],Funds!$C$10:$GV$11,2,FALSE)))</f>
        <v>5.49</v>
      </c>
      <c r="J560" s="215">
        <f>IF(Table2[[#This Row],[Description]]="","",Table2[[#This Row],[Value]]/Table2[[#This Row],[Conversion]])</f>
        <v>89.123861566484521</v>
      </c>
      <c r="K560" s="45">
        <f>IF(Table2[[#This Row],[Description]]="","",DATE(Table2[[#This Row],[Year]],Table2[[#This Row],[Month]],1))</f>
        <v>43922</v>
      </c>
    </row>
    <row r="561" spans="2:11" x14ac:dyDescent="0.25">
      <c r="B561" t="s">
        <v>263</v>
      </c>
      <c r="C561" s="1">
        <v>4</v>
      </c>
      <c r="D561" s="1">
        <v>2020</v>
      </c>
      <c r="E561" s="166">
        <v>29.9</v>
      </c>
      <c r="F561" s="1" t="s">
        <v>22</v>
      </c>
      <c r="G561" s="1" t="str">
        <f>IF(Table2[[#This Row],[Description]]="","",VLOOKUP(Table2[[#This Row],[Description]],$Q$1:$S$101,2,FALSE))</f>
        <v>MN free</v>
      </c>
      <c r="H561" s="1" t="str">
        <f>IF(Table2[[#This Row],[Description]]="","",VLOOKUP(Table2[[#This Row],[Description]],$Q$1:$S$101,3,FALSE))</f>
        <v>Mid</v>
      </c>
      <c r="I561" s="1">
        <f>IF(Table2[[#This Row],[Description]]="","",IF(Table2[[#This Row],[Currency]]=$O$2,$P$2,HLOOKUP(Table2[[#This Row],[Date]],Funds!$C$10:$GV$11,2,FALSE)))</f>
        <v>5.49</v>
      </c>
      <c r="J561" s="215">
        <f>IF(Table2[[#This Row],[Description]]="","",Table2[[#This Row],[Value]]/Table2[[#This Row],[Conversion]])</f>
        <v>5.4462659380692164</v>
      </c>
      <c r="K561" s="45">
        <f>IF(Table2[[#This Row],[Description]]="","",DATE(Table2[[#This Row],[Year]],Table2[[#This Row],[Month]],1))</f>
        <v>43922</v>
      </c>
    </row>
    <row r="562" spans="2:11" x14ac:dyDescent="0.25">
      <c r="B562" t="s">
        <v>320</v>
      </c>
      <c r="C562" s="1">
        <v>4</v>
      </c>
      <c r="D562" s="1">
        <v>2020</v>
      </c>
      <c r="E562" s="166">
        <v>292.52567064167613</v>
      </c>
      <c r="F562" s="1" t="s">
        <v>21</v>
      </c>
      <c r="G562" s="1" t="str">
        <f>IF(Table2[[#This Row],[Description]]="","",VLOOKUP(Table2[[#This Row],[Description]],$Q$1:$S$101,2,FALSE))</f>
        <v>Long</v>
      </c>
      <c r="H562" s="1" t="str">
        <f>IF(Table2[[#This Row],[Description]]="","",VLOOKUP(Table2[[#This Row],[Description]],$Q$1:$S$101,3,FALSE))</f>
        <v>Long</v>
      </c>
      <c r="I562" s="1">
        <f>IF(Table2[[#This Row],[Description]]="","",IF(Table2[[#This Row],[Currency]]=$O$2,$P$2,HLOOKUP(Table2[[#This Row],[Date]],Funds!$C$10:$GV$11,2,FALSE)))</f>
        <v>1</v>
      </c>
      <c r="J562" s="215">
        <f>IF(Table2[[#This Row],[Description]]="","",Table2[[#This Row],[Value]]/Table2[[#This Row],[Conversion]])</f>
        <v>292.52567064167613</v>
      </c>
      <c r="K562" s="45">
        <f>IF(Table2[[#This Row],[Description]]="","",DATE(Table2[[#This Row],[Year]],Table2[[#This Row],[Month]],1))</f>
        <v>43922</v>
      </c>
    </row>
    <row r="563" spans="2:11" x14ac:dyDescent="0.25">
      <c r="B563" t="s">
        <v>46</v>
      </c>
      <c r="C563" s="1">
        <v>4</v>
      </c>
      <c r="D563" s="1">
        <v>2020</v>
      </c>
      <c r="E563" s="166">
        <v>109.82559894929248</v>
      </c>
      <c r="F563" s="1" t="s">
        <v>21</v>
      </c>
      <c r="G563" s="1" t="str">
        <f>IF(Table2[[#This Row],[Description]]="","",VLOOKUP(Table2[[#This Row],[Description]],$Q$1:$S$101,2,FALSE))</f>
        <v>Health care</v>
      </c>
      <c r="H563" s="1" t="str">
        <f>IF(Table2[[#This Row],[Description]]="","",VLOOKUP(Table2[[#This Row],[Description]],$Q$1:$S$101,3,FALSE))</f>
        <v>Short</v>
      </c>
      <c r="I563" s="1">
        <f>IF(Table2[[#This Row],[Description]]="","",IF(Table2[[#This Row],[Currency]]=$O$2,$P$2,HLOOKUP(Table2[[#This Row],[Date]],Funds!$C$10:$GV$11,2,FALSE)))</f>
        <v>1</v>
      </c>
      <c r="J563" s="215">
        <f>IF(Table2[[#This Row],[Description]]="","",Table2[[#This Row],[Value]]/Table2[[#This Row],[Conversion]])</f>
        <v>109.82559894929248</v>
      </c>
      <c r="K563" s="45">
        <f>IF(Table2[[#This Row],[Description]]="","",DATE(Table2[[#This Row],[Year]],Table2[[#This Row],[Month]],1))</f>
        <v>43922</v>
      </c>
    </row>
    <row r="564" spans="2:11" x14ac:dyDescent="0.25">
      <c r="B564" t="s">
        <v>324</v>
      </c>
      <c r="C564" s="1">
        <v>4</v>
      </c>
      <c r="D564" s="1">
        <v>2020</v>
      </c>
      <c r="E564" s="166">
        <v>14.127891962282725</v>
      </c>
      <c r="F564" s="1" t="s">
        <v>21</v>
      </c>
      <c r="G564" s="1" t="str">
        <f>IF(Table2[[#This Row],[Description]]="","",VLOOKUP(Table2[[#This Row],[Description]],$Q$1:$S$101,2,FALSE))</f>
        <v>Health care</v>
      </c>
      <c r="H564" s="1" t="str">
        <f>IF(Table2[[#This Row],[Description]]="","",VLOOKUP(Table2[[#This Row],[Description]],$Q$1:$S$101,3,FALSE))</f>
        <v>Short</v>
      </c>
      <c r="I564" s="1">
        <f>IF(Table2[[#This Row],[Description]]="","",IF(Table2[[#This Row],[Currency]]=$O$2,$P$2,HLOOKUP(Table2[[#This Row],[Date]],Funds!$C$10:$GV$11,2,FALSE)))</f>
        <v>1</v>
      </c>
      <c r="J564" s="215">
        <f>IF(Table2[[#This Row],[Description]]="","",Table2[[#This Row],[Value]]/Table2[[#This Row],[Conversion]])</f>
        <v>14.127891962282725</v>
      </c>
      <c r="K564" s="45">
        <f>IF(Table2[[#This Row],[Description]]="","",DATE(Table2[[#This Row],[Year]],Table2[[#This Row],[Month]],1))</f>
        <v>43922</v>
      </c>
    </row>
    <row r="565" spans="2:11" x14ac:dyDescent="0.25">
      <c r="B565" t="s">
        <v>59</v>
      </c>
      <c r="C565" s="1">
        <v>4</v>
      </c>
      <c r="D565" s="1">
        <v>2020</v>
      </c>
      <c r="E565" s="166">
        <v>85.648305775963394</v>
      </c>
      <c r="F565" s="1" t="s">
        <v>21</v>
      </c>
      <c r="G565" s="1" t="str">
        <f>IF(Table2[[#This Row],[Description]]="","",VLOOKUP(Table2[[#This Row],[Description]],$Q$1:$S$101,2,FALSE))</f>
        <v>Transportation</v>
      </c>
      <c r="H565" s="1" t="str">
        <f>IF(Table2[[#This Row],[Description]]="","",VLOOKUP(Table2[[#This Row],[Description]],$Q$1:$S$101,3,FALSE))</f>
        <v>Short</v>
      </c>
      <c r="I565" s="1">
        <f>IF(Table2[[#This Row],[Description]]="","",IF(Table2[[#This Row],[Currency]]=$O$2,$P$2,HLOOKUP(Table2[[#This Row],[Date]],Funds!$C$10:$GV$11,2,FALSE)))</f>
        <v>1</v>
      </c>
      <c r="J565" s="215">
        <f>IF(Table2[[#This Row],[Description]]="","",Table2[[#This Row],[Value]]/Table2[[#This Row],[Conversion]])</f>
        <v>85.648305775963394</v>
      </c>
      <c r="K565" s="45">
        <f>IF(Table2[[#This Row],[Description]]="","",DATE(Table2[[#This Row],[Year]],Table2[[#This Row],[Month]],1))</f>
        <v>43922</v>
      </c>
    </row>
    <row r="566" spans="2:11" x14ac:dyDescent="0.25">
      <c r="B566" t="s">
        <v>514</v>
      </c>
      <c r="C566" s="1">
        <v>4</v>
      </c>
      <c r="D566" s="1">
        <v>2020</v>
      </c>
      <c r="E566" s="166">
        <v>188.42627270711947</v>
      </c>
      <c r="F566" s="1" t="s">
        <v>21</v>
      </c>
      <c r="G566" s="1" t="str">
        <f>IF(Table2[[#This Row],[Description]]="","",VLOOKUP(Table2[[#This Row],[Description]],$Q$1:$S$101,2,FALSE))</f>
        <v>Long</v>
      </c>
      <c r="H566" s="1" t="str">
        <f>IF(Table2[[#This Row],[Description]]="","",VLOOKUP(Table2[[#This Row],[Description]],$Q$1:$S$101,3,FALSE))</f>
        <v>Long</v>
      </c>
      <c r="I566" s="1">
        <f>IF(Table2[[#This Row],[Description]]="","",IF(Table2[[#This Row],[Currency]]=$O$2,$P$2,HLOOKUP(Table2[[#This Row],[Date]],Funds!$C$10:$GV$11,2,FALSE)))</f>
        <v>1</v>
      </c>
      <c r="J566" s="215">
        <f>IF(Table2[[#This Row],[Description]]="","",Table2[[#This Row],[Value]]/Table2[[#This Row],[Conversion]])</f>
        <v>188.42627270711947</v>
      </c>
      <c r="K566" s="45">
        <f>IF(Table2[[#This Row],[Description]]="","",DATE(Table2[[#This Row],[Year]],Table2[[#This Row],[Month]],1))</f>
        <v>43922</v>
      </c>
    </row>
    <row r="567" spans="2:11" x14ac:dyDescent="0.25">
      <c r="B567" t="s">
        <v>545</v>
      </c>
      <c r="C567" s="1">
        <v>4</v>
      </c>
      <c r="D567" s="1">
        <v>2020</v>
      </c>
      <c r="E567" s="166">
        <f>2.5*3.5*4.5</f>
        <v>39.375</v>
      </c>
      <c r="F567" s="1" t="s">
        <v>21</v>
      </c>
      <c r="G567" s="1" t="str">
        <f>IF(Table2[[#This Row],[Description]]="","",VLOOKUP(Table2[[#This Row],[Description]],$Q$1:$S$101,2,FALSE))</f>
        <v>Utilities</v>
      </c>
      <c r="H567" s="1" t="str">
        <f>IF(Table2[[#This Row],[Description]]="","",VLOOKUP(Table2[[#This Row],[Description]],$Q$1:$S$101,3,FALSE))</f>
        <v>Short</v>
      </c>
      <c r="I567" s="1">
        <f>IF(Table2[[#This Row],[Description]]="","",IF(Table2[[#This Row],[Currency]]=$O$2,$P$2,HLOOKUP(Table2[[#This Row],[Date]],Funds!$C$10:$GV$11,2,FALSE)))</f>
        <v>1</v>
      </c>
      <c r="J567" s="215">
        <f>IF(Table2[[#This Row],[Description]]="","",Table2[[#This Row],[Value]]/Table2[[#This Row],[Conversion]])</f>
        <v>39.375</v>
      </c>
      <c r="K567" s="45">
        <f>IF(Table2[[#This Row],[Description]]="","",DATE(Table2[[#This Row],[Year]],Table2[[#This Row],[Month]],1))</f>
        <v>43922</v>
      </c>
    </row>
    <row r="568" spans="2:11" x14ac:dyDescent="0.25">
      <c r="B568" t="s">
        <v>472</v>
      </c>
      <c r="C568" s="1">
        <v>4</v>
      </c>
      <c r="D568" s="1">
        <v>2020</v>
      </c>
      <c r="E568" s="166">
        <v>28.63</v>
      </c>
      <c r="F568" s="1" t="s">
        <v>21</v>
      </c>
      <c r="G568" s="1" t="str">
        <f>IF(Table2[[#This Row],[Description]]="","",VLOOKUP(Table2[[#This Row],[Description]],$Q$1:$S$101,2,FALSE))</f>
        <v xml:space="preserve">EK studies </v>
      </c>
      <c r="H568" s="1" t="str">
        <f>IF(Table2[[#This Row],[Description]]="","",VLOOKUP(Table2[[#This Row],[Description]],$Q$1:$S$101,3,FALSE))</f>
        <v>Mid</v>
      </c>
      <c r="I568" s="1">
        <f>IF(Table2[[#This Row],[Description]]="","",IF(Table2[[#This Row],[Currency]]=$O$2,$P$2,HLOOKUP(Table2[[#This Row],[Date]],Funds!$C$10:$GV$11,2,FALSE)))</f>
        <v>1</v>
      </c>
      <c r="J568" s="215">
        <f>IF(Table2[[#This Row],[Description]]="","",Table2[[#This Row],[Value]]/Table2[[#This Row],[Conversion]])</f>
        <v>28.63</v>
      </c>
      <c r="K568" s="45">
        <f>IF(Table2[[#This Row],[Description]]="","",DATE(Table2[[#This Row],[Year]],Table2[[#This Row],[Month]],1))</f>
        <v>43922</v>
      </c>
    </row>
    <row r="569" spans="2:11" x14ac:dyDescent="0.25">
      <c r="B569" t="s">
        <v>269</v>
      </c>
      <c r="C569" s="1">
        <v>4</v>
      </c>
      <c r="D569" s="1">
        <v>2020</v>
      </c>
      <c r="E569" s="166">
        <v>62.03</v>
      </c>
      <c r="F569" s="1" t="s">
        <v>21</v>
      </c>
      <c r="G569" s="1" t="str">
        <f>IF(Table2[[#This Row],[Description]]="","",VLOOKUP(Table2[[#This Row],[Description]],$Q$1:$S$101,2,FALSE))</f>
        <v>Other Mid</v>
      </c>
      <c r="H569" s="1" t="str">
        <f>IF(Table2[[#This Row],[Description]]="","",VLOOKUP(Table2[[#This Row],[Description]],$Q$1:$S$101,3,FALSE))</f>
        <v>Mid</v>
      </c>
      <c r="I569" s="1">
        <f>IF(Table2[[#This Row],[Description]]="","",IF(Table2[[#This Row],[Currency]]=$O$2,$P$2,HLOOKUP(Table2[[#This Row],[Date]],Funds!$C$10:$GV$11,2,FALSE)))</f>
        <v>1</v>
      </c>
      <c r="J569" s="215">
        <f>IF(Table2[[#This Row],[Description]]="","",Table2[[#This Row],[Value]]/Table2[[#This Row],[Conversion]])</f>
        <v>62.03</v>
      </c>
      <c r="K569" s="45">
        <f>IF(Table2[[#This Row],[Description]]="","",DATE(Table2[[#This Row],[Year]],Table2[[#This Row],[Month]],1))</f>
        <v>43922</v>
      </c>
    </row>
    <row r="570" spans="2:11" x14ac:dyDescent="0.25">
      <c r="B570" t="s">
        <v>269</v>
      </c>
      <c r="C570" s="1">
        <v>4</v>
      </c>
      <c r="D570" s="1">
        <v>2020</v>
      </c>
      <c r="E570" s="166">
        <v>91.36</v>
      </c>
      <c r="F570" s="1" t="s">
        <v>21</v>
      </c>
      <c r="G570" s="1" t="str">
        <f>IF(Table2[[#This Row],[Description]]="","",VLOOKUP(Table2[[#This Row],[Description]],$Q$1:$S$101,2,FALSE))</f>
        <v>Other Mid</v>
      </c>
      <c r="H570" s="1" t="str">
        <f>IF(Table2[[#This Row],[Description]]="","",VLOOKUP(Table2[[#This Row],[Description]],$Q$1:$S$101,3,FALSE))</f>
        <v>Mid</v>
      </c>
      <c r="I570" s="1">
        <f>IF(Table2[[#This Row],[Description]]="","",IF(Table2[[#This Row],[Currency]]=$O$2,$P$2,HLOOKUP(Table2[[#This Row],[Date]],Funds!$C$10:$GV$11,2,FALSE)))</f>
        <v>1</v>
      </c>
      <c r="J570" s="215">
        <f>IF(Table2[[#This Row],[Description]]="","",Table2[[#This Row],[Value]]/Table2[[#This Row],[Conversion]])</f>
        <v>91.36</v>
      </c>
      <c r="K570" s="45">
        <f>IF(Table2[[#This Row],[Description]]="","",DATE(Table2[[#This Row],[Year]],Table2[[#This Row],[Month]],1))</f>
        <v>43922</v>
      </c>
    </row>
    <row r="571" spans="2:11" x14ac:dyDescent="0.25">
      <c r="B571" t="s">
        <v>269</v>
      </c>
      <c r="C571" s="1">
        <v>4</v>
      </c>
      <c r="D571" s="1">
        <v>2020</v>
      </c>
      <c r="E571" s="166">
        <v>14.86</v>
      </c>
      <c r="F571" s="1" t="s">
        <v>21</v>
      </c>
      <c r="G571" s="1" t="str">
        <f>IF(Table2[[#This Row],[Description]]="","",VLOOKUP(Table2[[#This Row],[Description]],$Q$1:$S$101,2,FALSE))</f>
        <v>Other Mid</v>
      </c>
      <c r="H571" s="1" t="str">
        <f>IF(Table2[[#This Row],[Description]]="","",VLOOKUP(Table2[[#This Row],[Description]],$Q$1:$S$101,3,FALSE))</f>
        <v>Mid</v>
      </c>
      <c r="I571" s="1">
        <f>IF(Table2[[#This Row],[Description]]="","",IF(Table2[[#This Row],[Currency]]=$O$2,$P$2,HLOOKUP(Table2[[#This Row],[Date]],Funds!$C$10:$GV$11,2,FALSE)))</f>
        <v>1</v>
      </c>
      <c r="J571" s="215">
        <f>IF(Table2[[#This Row],[Description]]="","",Table2[[#This Row],[Value]]/Table2[[#This Row],[Conversion]])</f>
        <v>14.86</v>
      </c>
      <c r="K571" s="45">
        <f>IF(Table2[[#This Row],[Description]]="","",DATE(Table2[[#This Row],[Year]],Table2[[#This Row],[Month]],1))</f>
        <v>43922</v>
      </c>
    </row>
    <row r="572" spans="2:11" x14ac:dyDescent="0.25">
      <c r="B572" t="s">
        <v>256</v>
      </c>
      <c r="C572" s="1">
        <v>4</v>
      </c>
      <c r="D572" s="1">
        <v>2020</v>
      </c>
      <c r="E572" s="166">
        <v>70.11</v>
      </c>
      <c r="F572" s="1" t="s">
        <v>21</v>
      </c>
      <c r="G572" s="1" t="str">
        <f>IF(Table2[[#This Row],[Description]]="","",VLOOKUP(Table2[[#This Row],[Description]],$Q$1:$S$101,2,FALSE))</f>
        <v>MN free</v>
      </c>
      <c r="H572" s="1" t="str">
        <f>IF(Table2[[#This Row],[Description]]="","",VLOOKUP(Table2[[#This Row],[Description]],$Q$1:$S$101,3,FALSE))</f>
        <v>Mid</v>
      </c>
      <c r="I572" s="1">
        <f>IF(Table2[[#This Row],[Description]]="","",IF(Table2[[#This Row],[Currency]]=$O$2,$P$2,HLOOKUP(Table2[[#This Row],[Date]],Funds!$C$10:$GV$11,2,FALSE)))</f>
        <v>1</v>
      </c>
      <c r="J572" s="215">
        <f>IF(Table2[[#This Row],[Description]]="","",Table2[[#This Row],[Value]]/Table2[[#This Row],[Conversion]])</f>
        <v>70.11</v>
      </c>
      <c r="K572" s="45">
        <f>IF(Table2[[#This Row],[Description]]="","",DATE(Table2[[#This Row],[Year]],Table2[[#This Row],[Month]],1))</f>
        <v>43922</v>
      </c>
    </row>
    <row r="573" spans="2:11" x14ac:dyDescent="0.25">
      <c r="B573" t="s">
        <v>269</v>
      </c>
      <c r="C573" s="1">
        <v>4</v>
      </c>
      <c r="D573" s="1">
        <v>2020</v>
      </c>
      <c r="E573" s="166">
        <v>28.91</v>
      </c>
      <c r="F573" s="1" t="s">
        <v>21</v>
      </c>
      <c r="G573" s="1" t="str">
        <f>IF(Table2[[#This Row],[Description]]="","",VLOOKUP(Table2[[#This Row],[Description]],$Q$1:$S$101,2,FALSE))</f>
        <v>Other Mid</v>
      </c>
      <c r="H573" s="1" t="str">
        <f>IF(Table2[[#This Row],[Description]]="","",VLOOKUP(Table2[[#This Row],[Description]],$Q$1:$S$101,3,FALSE))</f>
        <v>Mid</v>
      </c>
      <c r="I573" s="1">
        <f>IF(Table2[[#This Row],[Description]]="","",IF(Table2[[#This Row],[Currency]]=$O$2,$P$2,HLOOKUP(Table2[[#This Row],[Date]],Funds!$C$10:$GV$11,2,FALSE)))</f>
        <v>1</v>
      </c>
      <c r="J573" s="215">
        <f>IF(Table2[[#This Row],[Description]]="","",Table2[[#This Row],[Value]]/Table2[[#This Row],[Conversion]])</f>
        <v>28.91</v>
      </c>
      <c r="K573" s="45">
        <f>IF(Table2[[#This Row],[Description]]="","",DATE(Table2[[#This Row],[Year]],Table2[[#This Row],[Month]],1))</f>
        <v>43922</v>
      </c>
    </row>
    <row r="574" spans="2:11" x14ac:dyDescent="0.25">
      <c r="B574" t="s">
        <v>120</v>
      </c>
      <c r="C574" s="1">
        <v>5</v>
      </c>
      <c r="D574" s="1">
        <v>2020</v>
      </c>
      <c r="E574" s="166">
        <v>1000</v>
      </c>
      <c r="F574" s="1" t="s">
        <v>21</v>
      </c>
      <c r="G574" s="1" t="str">
        <f>IF(Table2[[#This Row],[Description]]="","",VLOOKUP(Table2[[#This Row],[Description]],$Q$1:$S$101,2,FALSE))</f>
        <v>Investment</v>
      </c>
      <c r="H574" s="1" t="str">
        <f>IF(Table2[[#This Row],[Description]]="","",VLOOKUP(Table2[[#This Row],[Description]],$Q$1:$S$101,3,FALSE))</f>
        <v>Long</v>
      </c>
      <c r="I574" s="1">
        <f>IF(Table2[[#This Row],[Description]]="","",IF(Table2[[#This Row],[Currency]]=$O$2,$P$2,HLOOKUP(Table2[[#This Row],[Date]],Funds!$C$10:$GV$11,2,FALSE)))</f>
        <v>1</v>
      </c>
      <c r="J574" s="215">
        <f>IF(Table2[[#This Row],[Description]]="","",Table2[[#This Row],[Value]]/Table2[[#This Row],[Conversion]])</f>
        <v>1000</v>
      </c>
      <c r="K574" s="45">
        <f>IF(Table2[[#This Row],[Description]]="","",DATE(Table2[[#This Row],[Year]],Table2[[#This Row],[Month]],1))</f>
        <v>43952</v>
      </c>
    </row>
    <row r="575" spans="2:11" x14ac:dyDescent="0.25">
      <c r="B575" t="s">
        <v>255</v>
      </c>
      <c r="C575" s="1">
        <v>5</v>
      </c>
      <c r="D575" s="1">
        <v>2020</v>
      </c>
      <c r="E575" s="166">
        <v>50</v>
      </c>
      <c r="F575" s="1" t="s">
        <v>21</v>
      </c>
      <c r="G575" s="1" t="str">
        <f>IF(Table2[[#This Row],[Description]]="","",VLOOKUP(Table2[[#This Row],[Description]],$Q$1:$S$101,2,FALSE))</f>
        <v>EK free</v>
      </c>
      <c r="H575" s="1" t="str">
        <f>IF(Table2[[#This Row],[Description]]="","",VLOOKUP(Table2[[#This Row],[Description]],$Q$1:$S$101,3,FALSE))</f>
        <v>Mid</v>
      </c>
      <c r="I575" s="1">
        <f>IF(Table2[[#This Row],[Description]]="","",IF(Table2[[#This Row],[Currency]]=$O$2,$P$2,HLOOKUP(Table2[[#This Row],[Date]],Funds!$C$10:$GV$11,2,FALSE)))</f>
        <v>1</v>
      </c>
      <c r="J575" s="215">
        <f>IF(Table2[[#This Row],[Description]]="","",Table2[[#This Row],[Value]]/Table2[[#This Row],[Conversion]])</f>
        <v>50</v>
      </c>
      <c r="K575" s="45">
        <f>IF(Table2[[#This Row],[Description]]="","",DATE(Table2[[#This Row],[Year]],Table2[[#This Row],[Month]],1))</f>
        <v>43952</v>
      </c>
    </row>
    <row r="576" spans="2:11" x14ac:dyDescent="0.25">
      <c r="B576" t="s">
        <v>256</v>
      </c>
      <c r="C576" s="1">
        <v>5</v>
      </c>
      <c r="D576" s="1">
        <v>2020</v>
      </c>
      <c r="E576" s="166">
        <v>50</v>
      </c>
      <c r="F576" s="1" t="s">
        <v>21</v>
      </c>
      <c r="G576" s="1" t="str">
        <f>IF(Table2[[#This Row],[Description]]="","",VLOOKUP(Table2[[#This Row],[Description]],$Q$1:$S$101,2,FALSE))</f>
        <v>MN free</v>
      </c>
      <c r="H576" s="1" t="str">
        <f>IF(Table2[[#This Row],[Description]]="","",VLOOKUP(Table2[[#This Row],[Description]],$Q$1:$S$101,3,FALSE))</f>
        <v>Mid</v>
      </c>
      <c r="I576" s="1">
        <f>IF(Table2[[#This Row],[Description]]="","",IF(Table2[[#This Row],[Currency]]=$O$2,$P$2,HLOOKUP(Table2[[#This Row],[Date]],Funds!$C$10:$GV$11,2,FALSE)))</f>
        <v>1</v>
      </c>
      <c r="J576" s="215">
        <f>IF(Table2[[#This Row],[Description]]="","",Table2[[#This Row],[Value]]/Table2[[#This Row],[Conversion]])</f>
        <v>50</v>
      </c>
      <c r="K576" s="45">
        <f>IF(Table2[[#This Row],[Description]]="","",DATE(Table2[[#This Row],[Year]],Table2[[#This Row],[Month]],1))</f>
        <v>43952</v>
      </c>
    </row>
    <row r="577" spans="2:11" x14ac:dyDescent="0.25">
      <c r="B577" t="s">
        <v>52</v>
      </c>
      <c r="C577" s="1">
        <v>5</v>
      </c>
      <c r="D577" s="1">
        <v>2020</v>
      </c>
      <c r="E577" s="166">
        <v>30.99</v>
      </c>
      <c r="F577" s="1" t="s">
        <v>21</v>
      </c>
      <c r="G577" s="1" t="str">
        <f>IF(Table2[[#This Row],[Description]]="","",VLOOKUP(Table2[[#This Row],[Description]],$Q$1:$S$101,2,FALSE))</f>
        <v>Utilities</v>
      </c>
      <c r="H577" s="1" t="str">
        <f>IF(Table2[[#This Row],[Description]]="","",VLOOKUP(Table2[[#This Row],[Description]],$Q$1:$S$101,3,FALSE))</f>
        <v>Short</v>
      </c>
      <c r="I577" s="1">
        <f>IF(Table2[[#This Row],[Description]]="","",IF(Table2[[#This Row],[Currency]]=$O$2,$P$2,HLOOKUP(Table2[[#This Row],[Date]],Funds!$C$10:$GV$11,2,FALSE)))</f>
        <v>1</v>
      </c>
      <c r="J577" s="215">
        <f>IF(Table2[[#This Row],[Description]]="","",Table2[[#This Row],[Value]]/Table2[[#This Row],[Conversion]])</f>
        <v>30.99</v>
      </c>
      <c r="K577" s="45">
        <f>IF(Table2[[#This Row],[Description]]="","",DATE(Table2[[#This Row],[Year]],Table2[[#This Row],[Month]],1))</f>
        <v>43952</v>
      </c>
    </row>
    <row r="578" spans="2:11" x14ac:dyDescent="0.25">
      <c r="B578" t="s">
        <v>57</v>
      </c>
      <c r="C578" s="1">
        <v>5</v>
      </c>
      <c r="D578" s="1">
        <v>2020</v>
      </c>
      <c r="E578" s="166">
        <v>426.09999999999997</v>
      </c>
      <c r="F578" s="1" t="s">
        <v>21</v>
      </c>
      <c r="G578" s="1" t="str">
        <f>IF(Table2[[#This Row],[Description]]="","",VLOOKUP(Table2[[#This Row],[Description]],$Q$1:$S$101,2,FALSE))</f>
        <v>Food</v>
      </c>
      <c r="H578" s="1" t="str">
        <f>IF(Table2[[#This Row],[Description]]="","",VLOOKUP(Table2[[#This Row],[Description]],$Q$1:$S$101,3,FALSE))</f>
        <v>Short</v>
      </c>
      <c r="I578" s="1">
        <f>IF(Table2[[#This Row],[Description]]="","",IF(Table2[[#This Row],[Currency]]=$O$2,$P$2,HLOOKUP(Table2[[#This Row],[Date]],Funds!$C$10:$GV$11,2,FALSE)))</f>
        <v>1</v>
      </c>
      <c r="J578" s="215">
        <f>IF(Table2[[#This Row],[Description]]="","",Table2[[#This Row],[Value]]/Table2[[#This Row],[Conversion]])</f>
        <v>426.09999999999997</v>
      </c>
      <c r="K578" s="45">
        <f>IF(Table2[[#This Row],[Description]]="","",DATE(Table2[[#This Row],[Year]],Table2[[#This Row],[Month]],1))</f>
        <v>43952</v>
      </c>
    </row>
    <row r="579" spans="2:11" x14ac:dyDescent="0.25">
      <c r="B579" t="s">
        <v>541</v>
      </c>
      <c r="C579" s="1">
        <v>5</v>
      </c>
      <c r="D579" s="1">
        <v>2020</v>
      </c>
      <c r="E579" s="166">
        <v>60.629999999999995</v>
      </c>
      <c r="F579" s="1" t="s">
        <v>21</v>
      </c>
      <c r="G579" s="1" t="str">
        <f>IF(Table2[[#This Row],[Description]]="","",VLOOKUP(Table2[[#This Row],[Description]],$Q$1:$S$101,2,FALSE))</f>
        <v>Turism</v>
      </c>
      <c r="H579" s="1" t="str">
        <f>IF(Table2[[#This Row],[Description]]="","",VLOOKUP(Table2[[#This Row],[Description]],$Q$1:$S$101,3,FALSE))</f>
        <v>Trip</v>
      </c>
      <c r="I579" s="1">
        <f>IF(Table2[[#This Row],[Description]]="","",IF(Table2[[#This Row],[Currency]]=$O$2,$P$2,HLOOKUP(Table2[[#This Row],[Date]],Funds!$C$10:$GV$11,2,FALSE)))</f>
        <v>1</v>
      </c>
      <c r="J579" s="215">
        <f>IF(Table2[[#This Row],[Description]]="","",Table2[[#This Row],[Value]]/Table2[[#This Row],[Conversion]])</f>
        <v>60.629999999999995</v>
      </c>
      <c r="K579" s="45">
        <f>IF(Table2[[#This Row],[Description]]="","",DATE(Table2[[#This Row],[Year]],Table2[[#This Row],[Month]],1))</f>
        <v>43952</v>
      </c>
    </row>
    <row r="580" spans="2:11" x14ac:dyDescent="0.25">
      <c r="B580" t="s">
        <v>520</v>
      </c>
      <c r="C580" s="1">
        <v>5</v>
      </c>
      <c r="D580" s="1">
        <v>2020</v>
      </c>
      <c r="E580" s="166">
        <v>66.429999999999993</v>
      </c>
      <c r="F580" s="1" t="s">
        <v>21</v>
      </c>
      <c r="G580" s="1" t="str">
        <f>IF(Table2[[#This Row],[Description]]="","",VLOOKUP(Table2[[#This Row],[Description]],$Q$1:$S$101,2,FALSE))</f>
        <v>Leisure</v>
      </c>
      <c r="H580" s="1" t="str">
        <f>IF(Table2[[#This Row],[Description]]="","",VLOOKUP(Table2[[#This Row],[Description]],$Q$1:$S$101,3,FALSE))</f>
        <v>Short</v>
      </c>
      <c r="I580" s="1">
        <f>IF(Table2[[#This Row],[Description]]="","",IF(Table2[[#This Row],[Currency]]=$O$2,$P$2,HLOOKUP(Table2[[#This Row],[Date]],Funds!$C$10:$GV$11,2,FALSE)))</f>
        <v>1</v>
      </c>
      <c r="J580" s="215">
        <f>IF(Table2[[#This Row],[Description]]="","",Table2[[#This Row],[Value]]/Table2[[#This Row],[Conversion]])</f>
        <v>66.429999999999993</v>
      </c>
      <c r="K580" s="45">
        <f>IF(Table2[[#This Row],[Description]]="","",DATE(Table2[[#This Row],[Year]],Table2[[#This Row],[Month]],1))</f>
        <v>43952</v>
      </c>
    </row>
    <row r="581" spans="2:11" x14ac:dyDescent="0.25">
      <c r="B581" t="s">
        <v>255</v>
      </c>
      <c r="C581" s="1">
        <v>5</v>
      </c>
      <c r="D581" s="1">
        <v>2020</v>
      </c>
      <c r="E581" s="166">
        <v>9.99</v>
      </c>
      <c r="F581" s="1" t="s">
        <v>21</v>
      </c>
      <c r="G581" s="1" t="str">
        <f>IF(Table2[[#This Row],[Description]]="","",VLOOKUP(Table2[[#This Row],[Description]],$Q$1:$S$101,2,FALSE))</f>
        <v>EK free</v>
      </c>
      <c r="H581" s="1" t="str">
        <f>IF(Table2[[#This Row],[Description]]="","",VLOOKUP(Table2[[#This Row],[Description]],$Q$1:$S$101,3,FALSE))</f>
        <v>Mid</v>
      </c>
      <c r="I581" s="1">
        <f>IF(Table2[[#This Row],[Description]]="","",IF(Table2[[#This Row],[Currency]]=$O$2,$P$2,HLOOKUP(Table2[[#This Row],[Date]],Funds!$C$10:$GV$11,2,FALSE)))</f>
        <v>1</v>
      </c>
      <c r="J581" s="215">
        <f>IF(Table2[[#This Row],[Description]]="","",Table2[[#This Row],[Value]]/Table2[[#This Row],[Conversion]])</f>
        <v>9.99</v>
      </c>
      <c r="K581" s="45">
        <f>IF(Table2[[#This Row],[Description]]="","",DATE(Table2[[#This Row],[Year]],Table2[[#This Row],[Month]],1))</f>
        <v>43952</v>
      </c>
    </row>
    <row r="582" spans="2:11" x14ac:dyDescent="0.25">
      <c r="B582" t="s">
        <v>58</v>
      </c>
      <c r="C582" s="1">
        <v>5</v>
      </c>
      <c r="D582" s="1">
        <v>2020</v>
      </c>
      <c r="E582" s="166">
        <v>145.79</v>
      </c>
      <c r="F582" s="1" t="s">
        <v>21</v>
      </c>
      <c r="G582" s="1" t="str">
        <f>IF(Table2[[#This Row],[Description]]="","",VLOOKUP(Table2[[#This Row],[Description]],$Q$1:$S$101,2,FALSE))</f>
        <v>Food</v>
      </c>
      <c r="H582" s="1" t="str">
        <f>IF(Table2[[#This Row],[Description]]="","",VLOOKUP(Table2[[#This Row],[Description]],$Q$1:$S$101,3,FALSE))</f>
        <v>Short</v>
      </c>
      <c r="I582" s="1">
        <f>IF(Table2[[#This Row],[Description]]="","",IF(Table2[[#This Row],[Currency]]=$O$2,$P$2,HLOOKUP(Table2[[#This Row],[Date]],Funds!$C$10:$GV$11,2,FALSE)))</f>
        <v>1</v>
      </c>
      <c r="J582" s="215">
        <f>IF(Table2[[#This Row],[Description]]="","",Table2[[#This Row],[Value]]/Table2[[#This Row],[Conversion]])</f>
        <v>145.79</v>
      </c>
      <c r="K582" s="45">
        <f>IF(Table2[[#This Row],[Description]]="","",DATE(Table2[[#This Row],[Year]],Table2[[#This Row],[Month]],1))</f>
        <v>43952</v>
      </c>
    </row>
    <row r="583" spans="2:11" x14ac:dyDescent="0.25">
      <c r="B583" t="s">
        <v>266</v>
      </c>
      <c r="C583" s="1">
        <v>5</v>
      </c>
      <c r="D583" s="1">
        <v>2020</v>
      </c>
      <c r="E583" s="166">
        <v>5.44</v>
      </c>
      <c r="F583" s="1" t="s">
        <v>21</v>
      </c>
      <c r="G583" s="1" t="str">
        <f>IF(Table2[[#This Row],[Description]]="","",VLOOKUP(Table2[[#This Row],[Description]],$Q$1:$S$101,2,FALSE))</f>
        <v>Leisure</v>
      </c>
      <c r="H583" s="1" t="str">
        <f>IF(Table2[[#This Row],[Description]]="","",VLOOKUP(Table2[[#This Row],[Description]],$Q$1:$S$101,3,FALSE))</f>
        <v>Short</v>
      </c>
      <c r="I583" s="1">
        <f>IF(Table2[[#This Row],[Description]]="","",IF(Table2[[#This Row],[Currency]]=$O$2,$P$2,HLOOKUP(Table2[[#This Row],[Date]],Funds!$C$10:$GV$11,2,FALSE)))</f>
        <v>1</v>
      </c>
      <c r="J583" s="215">
        <f>IF(Table2[[#This Row],[Description]]="","",Table2[[#This Row],[Value]]/Table2[[#This Row],[Conversion]])</f>
        <v>5.44</v>
      </c>
      <c r="K583" s="45">
        <f>IF(Table2[[#This Row],[Description]]="","",DATE(Table2[[#This Row],[Year]],Table2[[#This Row],[Month]],1))</f>
        <v>43952</v>
      </c>
    </row>
    <row r="584" spans="2:11" x14ac:dyDescent="0.25">
      <c r="B584" t="s">
        <v>56</v>
      </c>
      <c r="C584" s="1">
        <v>5</v>
      </c>
      <c r="D584" s="1">
        <v>2020</v>
      </c>
      <c r="E584" s="166">
        <v>50</v>
      </c>
      <c r="F584" s="1" t="s">
        <v>21</v>
      </c>
      <c r="G584" s="1" t="str">
        <f>IF(Table2[[#This Row],[Description]]="","",VLOOKUP(Table2[[#This Row],[Description]],$Q$1:$S$101,2,FALSE))</f>
        <v>Utilities</v>
      </c>
      <c r="H584" s="1" t="str">
        <f>IF(Table2[[#This Row],[Description]]="","",VLOOKUP(Table2[[#This Row],[Description]],$Q$1:$S$101,3,FALSE))</f>
        <v>Short</v>
      </c>
      <c r="I584" s="1">
        <f>IF(Table2[[#This Row],[Description]]="","",IF(Table2[[#This Row],[Currency]]=$O$2,$P$2,HLOOKUP(Table2[[#This Row],[Date]],Funds!$C$10:$GV$11,2,FALSE)))</f>
        <v>1</v>
      </c>
      <c r="J584" s="215">
        <f>IF(Table2[[#This Row],[Description]]="","",Table2[[#This Row],[Value]]/Table2[[#This Row],[Conversion]])</f>
        <v>50</v>
      </c>
      <c r="K584" s="45">
        <f>IF(Table2[[#This Row],[Description]]="","",DATE(Table2[[#This Row],[Year]],Table2[[#This Row],[Month]],1))</f>
        <v>43952</v>
      </c>
    </row>
    <row r="585" spans="2:11" x14ac:dyDescent="0.25">
      <c r="B585" t="s">
        <v>31</v>
      </c>
      <c r="C585" s="1">
        <v>5</v>
      </c>
      <c r="D585" s="1">
        <v>2020</v>
      </c>
      <c r="E585" s="166">
        <v>1709.58</v>
      </c>
      <c r="F585" s="1" t="s">
        <v>21</v>
      </c>
      <c r="G585" s="1" t="str">
        <f>IF(Table2[[#This Row],[Description]]="","",VLOOKUP(Table2[[#This Row],[Description]],$Q$1:$S$101,2,FALSE))</f>
        <v>Rent</v>
      </c>
      <c r="H585" s="1" t="str">
        <f>IF(Table2[[#This Row],[Description]]="","",VLOOKUP(Table2[[#This Row],[Description]],$Q$1:$S$101,3,FALSE))</f>
        <v>Short</v>
      </c>
      <c r="I585" s="1">
        <f>IF(Table2[[#This Row],[Description]]="","",IF(Table2[[#This Row],[Currency]]=$O$2,$P$2,HLOOKUP(Table2[[#This Row],[Date]],Funds!$C$10:$GV$11,2,FALSE)))</f>
        <v>1</v>
      </c>
      <c r="J585" s="215">
        <f>IF(Table2[[#This Row],[Description]]="","",Table2[[#This Row],[Value]]/Table2[[#This Row],[Conversion]])</f>
        <v>1709.58</v>
      </c>
      <c r="K585" s="45">
        <f>IF(Table2[[#This Row],[Description]]="","",DATE(Table2[[#This Row],[Year]],Table2[[#This Row],[Month]],1))</f>
        <v>43952</v>
      </c>
    </row>
    <row r="586" spans="2:11" x14ac:dyDescent="0.25">
      <c r="B586" t="s">
        <v>35</v>
      </c>
      <c r="C586" s="1">
        <v>5</v>
      </c>
      <c r="D586" s="1">
        <v>2020</v>
      </c>
      <c r="E586" s="166">
        <v>85.29</v>
      </c>
      <c r="F586" s="1" t="s">
        <v>21</v>
      </c>
      <c r="G586" s="1" t="str">
        <f>IF(Table2[[#This Row],[Description]]="","",VLOOKUP(Table2[[#This Row],[Description]],$Q$1:$S$101,2,FALSE))</f>
        <v>Cellphone</v>
      </c>
      <c r="H586" s="1" t="str">
        <f>IF(Table2[[#This Row],[Description]]="","",VLOOKUP(Table2[[#This Row],[Description]],$Q$1:$S$101,3,FALSE))</f>
        <v>Short</v>
      </c>
      <c r="I586" s="1">
        <f>IF(Table2[[#This Row],[Description]]="","",IF(Table2[[#This Row],[Currency]]=$O$2,$P$2,HLOOKUP(Table2[[#This Row],[Date]],Funds!$C$10:$GV$11,2,FALSE)))</f>
        <v>1</v>
      </c>
      <c r="J586" s="215">
        <f>IF(Table2[[#This Row],[Description]]="","",Table2[[#This Row],[Value]]/Table2[[#This Row],[Conversion]])</f>
        <v>85.29</v>
      </c>
      <c r="K586" s="45">
        <f>IF(Table2[[#This Row],[Description]]="","",DATE(Table2[[#This Row],[Year]],Table2[[#This Row],[Month]],1))</f>
        <v>43952</v>
      </c>
    </row>
    <row r="587" spans="2:11" x14ac:dyDescent="0.25">
      <c r="B587" t="s">
        <v>61</v>
      </c>
      <c r="C587" s="1">
        <v>5</v>
      </c>
      <c r="D587" s="1">
        <v>2020</v>
      </c>
      <c r="E587" s="166">
        <v>18.060000000000002</v>
      </c>
      <c r="F587" s="1" t="s">
        <v>21</v>
      </c>
      <c r="G587" s="1" t="str">
        <f>IF(Table2[[#This Row],[Description]]="","",VLOOKUP(Table2[[#This Row],[Description]],$Q$1:$S$101,2,FALSE))</f>
        <v>Transportation</v>
      </c>
      <c r="H587" s="1" t="str">
        <f>IF(Table2[[#This Row],[Description]]="","",VLOOKUP(Table2[[#This Row],[Description]],$Q$1:$S$101,3,FALSE))</f>
        <v>Short</v>
      </c>
      <c r="I587" s="1">
        <f>IF(Table2[[#This Row],[Description]]="","",IF(Table2[[#This Row],[Currency]]=$O$2,$P$2,HLOOKUP(Table2[[#This Row],[Date]],Funds!$C$10:$GV$11,2,FALSE)))</f>
        <v>1</v>
      </c>
      <c r="J587" s="215">
        <f>IF(Table2[[#This Row],[Description]]="","",Table2[[#This Row],[Value]]/Table2[[#This Row],[Conversion]])</f>
        <v>18.060000000000002</v>
      </c>
      <c r="K587" s="45">
        <f>IF(Table2[[#This Row],[Description]]="","",DATE(Table2[[#This Row],[Year]],Table2[[#This Row],[Month]],1))</f>
        <v>43952</v>
      </c>
    </row>
    <row r="588" spans="2:11" x14ac:dyDescent="0.25">
      <c r="B588" t="s">
        <v>267</v>
      </c>
      <c r="C588" s="1">
        <v>5</v>
      </c>
      <c r="D588" s="1">
        <v>2020</v>
      </c>
      <c r="E588" s="166">
        <v>6.13</v>
      </c>
      <c r="F588" s="1" t="s">
        <v>21</v>
      </c>
      <c r="G588" s="1" t="str">
        <f>IF(Table2[[#This Row],[Description]]="","",VLOOKUP(Table2[[#This Row],[Description]],$Q$1:$S$101,2,FALSE))</f>
        <v>Leisure</v>
      </c>
      <c r="H588" s="1" t="str">
        <f>IF(Table2[[#This Row],[Description]]="","",VLOOKUP(Table2[[#This Row],[Description]],$Q$1:$S$101,3,FALSE))</f>
        <v>Short</v>
      </c>
      <c r="I588" s="1">
        <f>IF(Table2[[#This Row],[Description]]="","",IF(Table2[[#This Row],[Currency]]=$O$2,$P$2,HLOOKUP(Table2[[#This Row],[Date]],Funds!$C$10:$GV$11,2,FALSE)))</f>
        <v>1</v>
      </c>
      <c r="J588" s="215">
        <f>IF(Table2[[#This Row],[Description]]="","",Table2[[#This Row],[Value]]/Table2[[#This Row],[Conversion]])</f>
        <v>6.13</v>
      </c>
      <c r="K588" s="45">
        <f>IF(Table2[[#This Row],[Description]]="","",DATE(Table2[[#This Row],[Year]],Table2[[#This Row],[Month]],1))</f>
        <v>43952</v>
      </c>
    </row>
    <row r="589" spans="2:11" x14ac:dyDescent="0.25">
      <c r="B589" t="s">
        <v>316</v>
      </c>
      <c r="C589" s="1">
        <v>5</v>
      </c>
      <c r="D589" s="1">
        <v>2020</v>
      </c>
      <c r="E589" s="166">
        <v>13.65</v>
      </c>
      <c r="F589" s="1" t="s">
        <v>21</v>
      </c>
      <c r="G589" s="1" t="str">
        <f>IF(Table2[[#This Row],[Description]]="","",VLOOKUP(Table2[[#This Row],[Description]],$Q$1:$S$101,2,FALSE))</f>
        <v>Gifts</v>
      </c>
      <c r="H589" s="1" t="str">
        <f>IF(Table2[[#This Row],[Description]]="","",VLOOKUP(Table2[[#This Row],[Description]],$Q$1:$S$101,3,FALSE))</f>
        <v>Mid</v>
      </c>
      <c r="I589" s="1">
        <f>IF(Table2[[#This Row],[Description]]="","",IF(Table2[[#This Row],[Currency]]=$O$2,$P$2,HLOOKUP(Table2[[#This Row],[Date]],Funds!$C$10:$GV$11,2,FALSE)))</f>
        <v>1</v>
      </c>
      <c r="J589" s="215">
        <f>IF(Table2[[#This Row],[Description]]="","",Table2[[#This Row],[Value]]/Table2[[#This Row],[Conversion]])</f>
        <v>13.65</v>
      </c>
      <c r="K589" s="45">
        <f>IF(Table2[[#This Row],[Description]]="","",DATE(Table2[[#This Row],[Year]],Table2[[#This Row],[Month]],1))</f>
        <v>43952</v>
      </c>
    </row>
    <row r="590" spans="2:11" x14ac:dyDescent="0.25">
      <c r="B590" t="s">
        <v>58</v>
      </c>
      <c r="C590" s="1">
        <v>5</v>
      </c>
      <c r="D590" s="1">
        <v>2020</v>
      </c>
      <c r="E590" s="166">
        <v>7.28</v>
      </c>
      <c r="F590" s="1" t="s">
        <v>21</v>
      </c>
      <c r="G590" s="1" t="str">
        <f>IF(Table2[[#This Row],[Description]]="","",VLOOKUP(Table2[[#This Row],[Description]],$Q$1:$S$101,2,FALSE))</f>
        <v>Food</v>
      </c>
      <c r="H590" s="1" t="str">
        <f>IF(Table2[[#This Row],[Description]]="","",VLOOKUP(Table2[[#This Row],[Description]],$Q$1:$S$101,3,FALSE))</f>
        <v>Short</v>
      </c>
      <c r="I590" s="1">
        <f>IF(Table2[[#This Row],[Description]]="","",IF(Table2[[#This Row],[Currency]]=$O$2,$P$2,HLOOKUP(Table2[[#This Row],[Date]],Funds!$C$10:$GV$11,2,FALSE)))</f>
        <v>1</v>
      </c>
      <c r="J590" s="215">
        <f>IF(Table2[[#This Row],[Description]]="","",Table2[[#This Row],[Value]]/Table2[[#This Row],[Conversion]])</f>
        <v>7.28</v>
      </c>
      <c r="K590" s="45">
        <f>IF(Table2[[#This Row],[Description]]="","",DATE(Table2[[#This Row],[Year]],Table2[[#This Row],[Month]],1))</f>
        <v>43952</v>
      </c>
    </row>
    <row r="591" spans="2:11" x14ac:dyDescent="0.25">
      <c r="B591" t="s">
        <v>63</v>
      </c>
      <c r="C591" s="1">
        <v>5</v>
      </c>
      <c r="D591" s="1">
        <v>2020</v>
      </c>
      <c r="E591" s="166">
        <v>5.76</v>
      </c>
      <c r="F591" s="1" t="s">
        <v>21</v>
      </c>
      <c r="G591" s="1" t="str">
        <f>IF(Table2[[#This Row],[Description]]="","",VLOOKUP(Table2[[#This Row],[Description]],$Q$1:$S$101,2,FALSE))</f>
        <v>Leisure</v>
      </c>
      <c r="H591" s="1" t="str">
        <f>IF(Table2[[#This Row],[Description]]="","",VLOOKUP(Table2[[#This Row],[Description]],$Q$1:$S$101,3,FALSE))</f>
        <v>Short</v>
      </c>
      <c r="I591" s="1">
        <f>IF(Table2[[#This Row],[Description]]="","",IF(Table2[[#This Row],[Currency]]=$O$2,$P$2,HLOOKUP(Table2[[#This Row],[Date]],Funds!$C$10:$GV$11,2,FALSE)))</f>
        <v>1</v>
      </c>
      <c r="J591" s="215">
        <f>IF(Table2[[#This Row],[Description]]="","",Table2[[#This Row],[Value]]/Table2[[#This Row],[Conversion]])</f>
        <v>5.76</v>
      </c>
      <c r="K591" s="45">
        <f>IF(Table2[[#This Row],[Description]]="","",DATE(Table2[[#This Row],[Year]],Table2[[#This Row],[Month]],1))</f>
        <v>43952</v>
      </c>
    </row>
    <row r="592" spans="2:11" x14ac:dyDescent="0.25">
      <c r="B592" t="s">
        <v>58</v>
      </c>
      <c r="C592" s="1">
        <v>5</v>
      </c>
      <c r="D592" s="1">
        <v>2020</v>
      </c>
      <c r="E592" s="166">
        <v>36.049999999999997</v>
      </c>
      <c r="F592" s="1" t="s">
        <v>21</v>
      </c>
      <c r="G592" s="1" t="str">
        <f>IF(Table2[[#This Row],[Description]]="","",VLOOKUP(Table2[[#This Row],[Description]],$Q$1:$S$101,2,FALSE))</f>
        <v>Food</v>
      </c>
      <c r="H592" s="1" t="str">
        <f>IF(Table2[[#This Row],[Description]]="","",VLOOKUP(Table2[[#This Row],[Description]],$Q$1:$S$101,3,FALSE))</f>
        <v>Short</v>
      </c>
      <c r="I592" s="1">
        <f>IF(Table2[[#This Row],[Description]]="","",IF(Table2[[#This Row],[Currency]]=$O$2,$P$2,HLOOKUP(Table2[[#This Row],[Date]],Funds!$C$10:$GV$11,2,FALSE)))</f>
        <v>1</v>
      </c>
      <c r="J592" s="215">
        <f>IF(Table2[[#This Row],[Description]]="","",Table2[[#This Row],[Value]]/Table2[[#This Row],[Conversion]])</f>
        <v>36.049999999999997</v>
      </c>
      <c r="K592" s="45">
        <f>IF(Table2[[#This Row],[Description]]="","",DATE(Table2[[#This Row],[Year]],Table2[[#This Row],[Month]],1))</f>
        <v>43952</v>
      </c>
    </row>
    <row r="593" spans="2:11" x14ac:dyDescent="0.25">
      <c r="B593" t="s">
        <v>269</v>
      </c>
      <c r="C593" s="1">
        <v>5</v>
      </c>
      <c r="D593" s="1">
        <v>2020</v>
      </c>
      <c r="E593" s="166">
        <v>110</v>
      </c>
      <c r="F593" s="1" t="s">
        <v>21</v>
      </c>
      <c r="G593" s="1" t="str">
        <f>IF(Table2[[#This Row],[Description]]="","",VLOOKUP(Table2[[#This Row],[Description]],$Q$1:$S$101,2,FALSE))</f>
        <v>Other Mid</v>
      </c>
      <c r="H593" s="1" t="str">
        <f>IF(Table2[[#This Row],[Description]]="","",VLOOKUP(Table2[[#This Row],[Description]],$Q$1:$S$101,3,FALSE))</f>
        <v>Mid</v>
      </c>
      <c r="I593" s="1">
        <f>IF(Table2[[#This Row],[Description]]="","",IF(Table2[[#This Row],[Currency]]=$O$2,$P$2,HLOOKUP(Table2[[#This Row],[Date]],Funds!$C$10:$GV$11,2,FALSE)))</f>
        <v>1</v>
      </c>
      <c r="J593" s="215">
        <f>IF(Table2[[#This Row],[Description]]="","",Table2[[#This Row],[Value]]/Table2[[#This Row],[Conversion]])</f>
        <v>110</v>
      </c>
      <c r="K593" s="45">
        <f>IF(Table2[[#This Row],[Description]]="","",DATE(Table2[[#This Row],[Year]],Table2[[#This Row],[Month]],1))</f>
        <v>43952</v>
      </c>
    </row>
    <row r="594" spans="2:11" x14ac:dyDescent="0.25">
      <c r="B594" t="s">
        <v>58</v>
      </c>
      <c r="C594" s="1">
        <v>5</v>
      </c>
      <c r="D594" s="1">
        <v>2020</v>
      </c>
      <c r="E594" s="166">
        <v>6.67</v>
      </c>
      <c r="F594" s="1" t="s">
        <v>21</v>
      </c>
      <c r="G594" s="1" t="str">
        <f>IF(Table2[[#This Row],[Description]]="","",VLOOKUP(Table2[[#This Row],[Description]],$Q$1:$S$101,2,FALSE))</f>
        <v>Food</v>
      </c>
      <c r="H594" s="1" t="str">
        <f>IF(Table2[[#This Row],[Description]]="","",VLOOKUP(Table2[[#This Row],[Description]],$Q$1:$S$101,3,FALSE))</f>
        <v>Short</v>
      </c>
      <c r="I594" s="1">
        <f>IF(Table2[[#This Row],[Description]]="","",IF(Table2[[#This Row],[Currency]]=$O$2,$P$2,HLOOKUP(Table2[[#This Row],[Date]],Funds!$C$10:$GV$11,2,FALSE)))</f>
        <v>1</v>
      </c>
      <c r="J594" s="215">
        <f>IF(Table2[[#This Row],[Description]]="","",Table2[[#This Row],[Value]]/Table2[[#This Row],[Conversion]])</f>
        <v>6.67</v>
      </c>
      <c r="K594" s="45">
        <f>IF(Table2[[#This Row],[Description]]="","",DATE(Table2[[#This Row],[Year]],Table2[[#This Row],[Month]],1))</f>
        <v>43952</v>
      </c>
    </row>
    <row r="595" spans="2:11" x14ac:dyDescent="0.25">
      <c r="B595" t="s">
        <v>58</v>
      </c>
      <c r="C595" s="1">
        <v>5</v>
      </c>
      <c r="D595" s="1">
        <v>2020</v>
      </c>
      <c r="E595" s="166">
        <v>19.96</v>
      </c>
      <c r="F595" s="1" t="s">
        <v>21</v>
      </c>
      <c r="G595" s="1" t="str">
        <f>IF(Table2[[#This Row],[Description]]="","",VLOOKUP(Table2[[#This Row],[Description]],$Q$1:$S$101,2,FALSE))</f>
        <v>Food</v>
      </c>
      <c r="H595" s="1" t="str">
        <f>IF(Table2[[#This Row],[Description]]="","",VLOOKUP(Table2[[#This Row],[Description]],$Q$1:$S$101,3,FALSE))</f>
        <v>Short</v>
      </c>
      <c r="I595" s="1">
        <f>IF(Table2[[#This Row],[Description]]="","",IF(Table2[[#This Row],[Currency]]=$O$2,$P$2,HLOOKUP(Table2[[#This Row],[Date]],Funds!$C$10:$GV$11,2,FALSE)))</f>
        <v>1</v>
      </c>
      <c r="J595" s="215">
        <f>IF(Table2[[#This Row],[Description]]="","",Table2[[#This Row],[Value]]/Table2[[#This Row],[Conversion]])</f>
        <v>19.96</v>
      </c>
      <c r="K595" s="45">
        <f>IF(Table2[[#This Row],[Description]]="","",DATE(Table2[[#This Row],[Year]],Table2[[#This Row],[Month]],1))</f>
        <v>43952</v>
      </c>
    </row>
    <row r="596" spans="2:11" x14ac:dyDescent="0.25">
      <c r="B596" t="s">
        <v>57</v>
      </c>
      <c r="C596" s="1">
        <v>5</v>
      </c>
      <c r="D596" s="1">
        <v>2020</v>
      </c>
      <c r="E596" s="166">
        <v>39.299999999999997</v>
      </c>
      <c r="F596" s="1" t="s">
        <v>21</v>
      </c>
      <c r="G596" s="1" t="str">
        <f>IF(Table2[[#This Row],[Description]]="","",VLOOKUP(Table2[[#This Row],[Description]],$Q$1:$S$101,2,FALSE))</f>
        <v>Food</v>
      </c>
      <c r="H596" s="1" t="str">
        <f>IF(Table2[[#This Row],[Description]]="","",VLOOKUP(Table2[[#This Row],[Description]],$Q$1:$S$101,3,FALSE))</f>
        <v>Short</v>
      </c>
      <c r="I596" s="1">
        <f>IF(Table2[[#This Row],[Description]]="","",IF(Table2[[#This Row],[Currency]]=$O$2,$P$2,HLOOKUP(Table2[[#This Row],[Date]],Funds!$C$10:$GV$11,2,FALSE)))</f>
        <v>1</v>
      </c>
      <c r="J596" s="215">
        <f>IF(Table2[[#This Row],[Description]]="","",Table2[[#This Row],[Value]]/Table2[[#This Row],[Conversion]])</f>
        <v>39.299999999999997</v>
      </c>
      <c r="K596" s="45">
        <f>IF(Table2[[#This Row],[Description]]="","",DATE(Table2[[#This Row],[Year]],Table2[[#This Row],[Month]],1))</f>
        <v>43952</v>
      </c>
    </row>
    <row r="597" spans="2:11" x14ac:dyDescent="0.25">
      <c r="B597" t="s">
        <v>57</v>
      </c>
      <c r="C597" s="1">
        <v>5</v>
      </c>
      <c r="D597" s="1">
        <v>2020</v>
      </c>
      <c r="E597" s="166">
        <v>14.33</v>
      </c>
      <c r="F597" s="1" t="s">
        <v>21</v>
      </c>
      <c r="G597" s="1" t="str">
        <f>IF(Table2[[#This Row],[Description]]="","",VLOOKUP(Table2[[#This Row],[Description]],$Q$1:$S$101,2,FALSE))</f>
        <v>Food</v>
      </c>
      <c r="H597" s="1" t="str">
        <f>IF(Table2[[#This Row],[Description]]="","",VLOOKUP(Table2[[#This Row],[Description]],$Q$1:$S$101,3,FALSE))</f>
        <v>Short</v>
      </c>
      <c r="I597" s="1">
        <f>IF(Table2[[#This Row],[Description]]="","",IF(Table2[[#This Row],[Currency]]=$O$2,$P$2,HLOOKUP(Table2[[#This Row],[Date]],Funds!$C$10:$GV$11,2,FALSE)))</f>
        <v>1</v>
      </c>
      <c r="J597" s="215">
        <f>IF(Table2[[#This Row],[Description]]="","",Table2[[#This Row],[Value]]/Table2[[#This Row],[Conversion]])</f>
        <v>14.33</v>
      </c>
      <c r="K597" s="45">
        <f>IF(Table2[[#This Row],[Description]]="","",DATE(Table2[[#This Row],[Year]],Table2[[#This Row],[Month]],1))</f>
        <v>43952</v>
      </c>
    </row>
    <row r="598" spans="2:11" x14ac:dyDescent="0.25">
      <c r="B598" t="s">
        <v>256</v>
      </c>
      <c r="C598" s="1">
        <v>5</v>
      </c>
      <c r="D598" s="1">
        <v>2020</v>
      </c>
      <c r="E598" s="166">
        <f>(60.5+3.86)</f>
        <v>64.36</v>
      </c>
      <c r="F598" s="1" t="s">
        <v>22</v>
      </c>
      <c r="G598" s="1" t="str">
        <f>IF(Table2[[#This Row],[Description]]="","",VLOOKUP(Table2[[#This Row],[Description]],$Q$1:$S$101,2,FALSE))</f>
        <v>MN free</v>
      </c>
      <c r="H598" s="1" t="str">
        <f>IF(Table2[[#This Row],[Description]]="","",VLOOKUP(Table2[[#This Row],[Description]],$Q$1:$S$101,3,FALSE))</f>
        <v>Mid</v>
      </c>
      <c r="I598" s="1">
        <f>IF(Table2[[#This Row],[Description]]="","",IF(Table2[[#This Row],[Currency]]=$O$2,$P$2,HLOOKUP(Table2[[#This Row],[Date]],Funds!$C$10:$GV$11,2,FALSE)))</f>
        <v>5.34</v>
      </c>
      <c r="J598" s="215">
        <f>IF(Table2[[#This Row],[Description]]="","",Table2[[#This Row],[Value]]/Table2[[#This Row],[Conversion]])</f>
        <v>12.05243445692884</v>
      </c>
      <c r="K598" s="45">
        <f>IF(Table2[[#This Row],[Description]]="","",DATE(Table2[[#This Row],[Year]],Table2[[#This Row],[Month]],1))</f>
        <v>43952</v>
      </c>
    </row>
    <row r="599" spans="2:11" x14ac:dyDescent="0.25">
      <c r="B599" t="s">
        <v>263</v>
      </c>
      <c r="C599" s="1">
        <v>5</v>
      </c>
      <c r="D599" s="1">
        <v>2020</v>
      </c>
      <c r="E599" s="166">
        <v>29.9</v>
      </c>
      <c r="F599" s="1" t="s">
        <v>22</v>
      </c>
      <c r="G599" s="1" t="str">
        <f>IF(Table2[[#This Row],[Description]]="","",VLOOKUP(Table2[[#This Row],[Description]],$Q$1:$S$101,2,FALSE))</f>
        <v>MN free</v>
      </c>
      <c r="H599" s="1" t="str">
        <f>IF(Table2[[#This Row],[Description]]="","",VLOOKUP(Table2[[#This Row],[Description]],$Q$1:$S$101,3,FALSE))</f>
        <v>Mid</v>
      </c>
      <c r="I599" s="1">
        <f>IF(Table2[[#This Row],[Description]]="","",IF(Table2[[#This Row],[Currency]]=$O$2,$P$2,HLOOKUP(Table2[[#This Row],[Date]],Funds!$C$10:$GV$11,2,FALSE)))</f>
        <v>5.34</v>
      </c>
      <c r="J599" s="215">
        <f>IF(Table2[[#This Row],[Description]]="","",Table2[[#This Row],[Value]]/Table2[[#This Row],[Conversion]])</f>
        <v>5.5992509363295877</v>
      </c>
      <c r="K599" s="45">
        <f>IF(Table2[[#This Row],[Description]]="","",DATE(Table2[[#This Row],[Year]],Table2[[#This Row],[Month]],1))</f>
        <v>43952</v>
      </c>
    </row>
    <row r="600" spans="2:11" x14ac:dyDescent="0.25">
      <c r="B600" t="s">
        <v>269</v>
      </c>
      <c r="C600" s="1">
        <v>5</v>
      </c>
      <c r="D600" s="1">
        <v>2020</v>
      </c>
      <c r="E600" s="166">
        <v>-94.26</v>
      </c>
      <c r="F600" s="1" t="s">
        <v>22</v>
      </c>
      <c r="G600" s="1" t="str">
        <f>IF(Table2[[#This Row],[Description]]="","",VLOOKUP(Table2[[#This Row],[Description]],$Q$1:$S$101,2,FALSE))</f>
        <v>Other Mid</v>
      </c>
      <c r="H600" s="1" t="str">
        <f>IF(Table2[[#This Row],[Description]]="","",VLOOKUP(Table2[[#This Row],[Description]],$Q$1:$S$101,3,FALSE))</f>
        <v>Mid</v>
      </c>
      <c r="I600" s="1">
        <f>IF(Table2[[#This Row],[Description]]="","",IF(Table2[[#This Row],[Currency]]=$O$2,$P$2,HLOOKUP(Table2[[#This Row],[Date]],Funds!$C$10:$GV$11,2,FALSE)))</f>
        <v>5.34</v>
      </c>
      <c r="J600" s="215">
        <f>IF(Table2[[#This Row],[Description]]="","",Table2[[#This Row],[Value]]/Table2[[#This Row],[Conversion]])</f>
        <v>-17.651685393258429</v>
      </c>
      <c r="K600" s="45">
        <f>IF(Table2[[#This Row],[Description]]="","",DATE(Table2[[#This Row],[Year]],Table2[[#This Row],[Month]],1))</f>
        <v>43952</v>
      </c>
    </row>
    <row r="601" spans="2:11" x14ac:dyDescent="0.25">
      <c r="B601" t="s">
        <v>262</v>
      </c>
      <c r="C601" s="1">
        <v>5</v>
      </c>
      <c r="D601" s="1">
        <v>2020</v>
      </c>
      <c r="E601" s="166">
        <v>29.9</v>
      </c>
      <c r="F601" s="1" t="s">
        <v>22</v>
      </c>
      <c r="G601" s="1" t="str">
        <f>IF(Table2[[#This Row],[Description]]="","",VLOOKUP(Table2[[#This Row],[Description]],$Q$1:$S$101,2,FALSE))</f>
        <v>Mid</v>
      </c>
      <c r="H601" s="1" t="str">
        <f>IF(Table2[[#This Row],[Description]]="","",VLOOKUP(Table2[[#This Row],[Description]],$Q$1:$S$101,3,FALSE))</f>
        <v>Mid</v>
      </c>
      <c r="I601" s="1">
        <f>IF(Table2[[#This Row],[Description]]="","",IF(Table2[[#This Row],[Currency]]=$O$2,$P$2,HLOOKUP(Table2[[#This Row],[Date]],Funds!$C$10:$GV$11,2,FALSE)))</f>
        <v>5.34</v>
      </c>
      <c r="J601" s="215">
        <f>IF(Table2[[#This Row],[Description]]="","",Table2[[#This Row],[Value]]/Table2[[#This Row],[Conversion]])</f>
        <v>5.5992509363295877</v>
      </c>
      <c r="K601" s="45">
        <f>IF(Table2[[#This Row],[Description]]="","",DATE(Table2[[#This Row],[Year]],Table2[[#This Row],[Month]],1))</f>
        <v>43952</v>
      </c>
    </row>
    <row r="602" spans="2:11" x14ac:dyDescent="0.25">
      <c r="B602" t="s">
        <v>269</v>
      </c>
      <c r="C602" s="1">
        <v>5</v>
      </c>
      <c r="D602" s="1">
        <v>2020</v>
      </c>
      <c r="E602" s="166">
        <v>850</v>
      </c>
      <c r="F602" s="1" t="s">
        <v>22</v>
      </c>
      <c r="G602" s="1" t="str">
        <f>IF(Table2[[#This Row],[Description]]="","",VLOOKUP(Table2[[#This Row],[Description]],$Q$1:$S$101,2,FALSE))</f>
        <v>Other Mid</v>
      </c>
      <c r="H602" s="1" t="str">
        <f>IF(Table2[[#This Row],[Description]]="","",VLOOKUP(Table2[[#This Row],[Description]],$Q$1:$S$101,3,FALSE))</f>
        <v>Mid</v>
      </c>
      <c r="I602" s="1">
        <f>IF(Table2[[#This Row],[Description]]="","",IF(Table2[[#This Row],[Currency]]=$O$2,$P$2,HLOOKUP(Table2[[#This Row],[Date]],Funds!$C$10:$GV$11,2,FALSE)))</f>
        <v>5.34</v>
      </c>
      <c r="J602" s="215">
        <f>IF(Table2[[#This Row],[Description]]="","",Table2[[#This Row],[Value]]/Table2[[#This Row],[Conversion]])</f>
        <v>159.17602996254683</v>
      </c>
      <c r="K602" s="45">
        <f>IF(Table2[[#This Row],[Description]]="","",DATE(Table2[[#This Row],[Year]],Table2[[#This Row],[Month]],1))</f>
        <v>43952</v>
      </c>
    </row>
    <row r="603" spans="2:11" x14ac:dyDescent="0.25">
      <c r="B603" t="s">
        <v>592</v>
      </c>
      <c r="C603" s="1">
        <v>5</v>
      </c>
      <c r="D603" s="1">
        <v>2020</v>
      </c>
      <c r="E603" s="166">
        <v>600</v>
      </c>
      <c r="F603" s="1" t="s">
        <v>22</v>
      </c>
      <c r="G603" s="1" t="str">
        <f>IF(Table2[[#This Row],[Description]]="","",VLOOKUP(Table2[[#This Row],[Description]],$Q$1:$S$101,2,FALSE))</f>
        <v>Therapy</v>
      </c>
      <c r="H603" s="1" t="str">
        <f>IF(Table2[[#This Row],[Description]]="","",VLOOKUP(Table2[[#This Row],[Description]],$Q$1:$S$101,3,FALSE))</f>
        <v>Mid</v>
      </c>
      <c r="I603" s="1">
        <f>IF(Table2[[#This Row],[Description]]="","",IF(Table2[[#This Row],[Currency]]=$O$2,$P$2,HLOOKUP(Table2[[#This Row],[Date]],Funds!$C$10:$GV$11,2,FALSE)))</f>
        <v>5.34</v>
      </c>
      <c r="J603" s="215">
        <f>IF(Table2[[#This Row],[Description]]="","",Table2[[#This Row],[Value]]/Table2[[#This Row],[Conversion]])</f>
        <v>112.35955056179776</v>
      </c>
      <c r="K603" s="45">
        <f>IF(Table2[[#This Row],[Description]]="","",DATE(Table2[[#This Row],[Year]],Table2[[#This Row],[Month]],1))</f>
        <v>43952</v>
      </c>
    </row>
    <row r="604" spans="2:11" x14ac:dyDescent="0.25">
      <c r="B604" t="s">
        <v>120</v>
      </c>
      <c r="C604" s="1">
        <v>5</v>
      </c>
      <c r="D604" s="1">
        <v>2020</v>
      </c>
      <c r="E604" s="166">
        <v>-6000</v>
      </c>
      <c r="F604" s="1" t="s">
        <v>22</v>
      </c>
      <c r="G604" s="1" t="str">
        <f>IF(Table2[[#This Row],[Description]]="","",VLOOKUP(Table2[[#This Row],[Description]],$Q$1:$S$101,2,FALSE))</f>
        <v>Investment</v>
      </c>
      <c r="H604" s="1" t="str">
        <f>IF(Table2[[#This Row],[Description]]="","",VLOOKUP(Table2[[#This Row],[Description]],$Q$1:$S$101,3,FALSE))</f>
        <v>Long</v>
      </c>
      <c r="I604" s="1">
        <f>IF(Table2[[#This Row],[Description]]="","",IF(Table2[[#This Row],[Currency]]=$O$2,$P$2,HLOOKUP(Table2[[#This Row],[Date]],Funds!$C$10:$GV$11,2,FALSE)))</f>
        <v>5.34</v>
      </c>
      <c r="J604" s="215">
        <f>IF(Table2[[#This Row],[Description]]="","",Table2[[#This Row],[Value]]/Table2[[#This Row],[Conversion]])</f>
        <v>-1123.5955056179776</v>
      </c>
      <c r="K604" s="45">
        <f>IF(Table2[[#This Row],[Description]]="","",DATE(Table2[[#This Row],[Year]],Table2[[#This Row],[Month]],1))</f>
        <v>43952</v>
      </c>
    </row>
    <row r="605" spans="2:11" x14ac:dyDescent="0.25">
      <c r="B605" t="s">
        <v>593</v>
      </c>
      <c r="C605" s="1">
        <v>5</v>
      </c>
      <c r="D605" s="1">
        <v>2020</v>
      </c>
      <c r="E605" s="166">
        <v>5000</v>
      </c>
      <c r="F605" s="1" t="s">
        <v>22</v>
      </c>
      <c r="G605" s="1" t="str">
        <f>IF(Table2[[#This Row],[Description]]="","",VLOOKUP(Table2[[#This Row],[Description]],$Q$1:$S$101,2,FALSE))</f>
        <v>Mid</v>
      </c>
      <c r="H605" s="1" t="str">
        <f>IF(Table2[[#This Row],[Description]]="","",VLOOKUP(Table2[[#This Row],[Description]],$Q$1:$S$101,3,FALSE))</f>
        <v>Mid</v>
      </c>
      <c r="I605" s="1">
        <f>IF(Table2[[#This Row],[Description]]="","",IF(Table2[[#This Row],[Currency]]=$O$2,$P$2,HLOOKUP(Table2[[#This Row],[Date]],Funds!$C$10:$GV$11,2,FALSE)))</f>
        <v>5.34</v>
      </c>
      <c r="J605" s="215">
        <f>IF(Table2[[#This Row],[Description]]="","",Table2[[#This Row],[Value]]/Table2[[#This Row],[Conversion]])</f>
        <v>936.32958801498125</v>
      </c>
      <c r="K605" s="45">
        <f>IF(Table2[[#This Row],[Description]]="","",DATE(Table2[[#This Row],[Year]],Table2[[#This Row],[Month]],1))</f>
        <v>43952</v>
      </c>
    </row>
    <row r="606" spans="2:11" x14ac:dyDescent="0.25">
      <c r="B606" t="s">
        <v>269</v>
      </c>
      <c r="C606" s="1">
        <v>5</v>
      </c>
      <c r="D606" s="1">
        <v>2020</v>
      </c>
      <c r="E606" s="166">
        <v>14.86</v>
      </c>
      <c r="F606" s="1" t="s">
        <v>21</v>
      </c>
      <c r="G606" s="1" t="str">
        <f>IF(Table2[[#This Row],[Description]]="","",VLOOKUP(Table2[[#This Row],[Description]],$Q$1:$S$101,2,FALSE))</f>
        <v>Other Mid</v>
      </c>
      <c r="H606" s="1" t="str">
        <f>IF(Table2[[#This Row],[Description]]="","",VLOOKUP(Table2[[#This Row],[Description]],$Q$1:$S$101,3,FALSE))</f>
        <v>Mid</v>
      </c>
      <c r="I606" s="1">
        <f>IF(Table2[[#This Row],[Description]]="","",IF(Table2[[#This Row],[Currency]]=$O$2,$P$2,HLOOKUP(Table2[[#This Row],[Date]],Funds!$C$10:$GV$11,2,FALSE)))</f>
        <v>1</v>
      </c>
      <c r="J606" s="215">
        <f>IF(Table2[[#This Row],[Description]]="","",Table2[[#This Row],[Value]]/Table2[[#This Row],[Conversion]])</f>
        <v>14.86</v>
      </c>
      <c r="K606" s="45">
        <f>IF(Table2[[#This Row],[Description]]="","",DATE(Table2[[#This Row],[Year]],Table2[[#This Row],[Month]],1))</f>
        <v>43952</v>
      </c>
    </row>
    <row r="607" spans="2:11" x14ac:dyDescent="0.25">
      <c r="B607" t="s">
        <v>256</v>
      </c>
      <c r="C607" s="1">
        <v>5</v>
      </c>
      <c r="D607" s="1">
        <v>2020</v>
      </c>
      <c r="E607" s="166">
        <v>7.41</v>
      </c>
      <c r="F607" s="1" t="s">
        <v>21</v>
      </c>
      <c r="G607" s="1" t="str">
        <f>IF(Table2[[#This Row],[Description]]="","",VLOOKUP(Table2[[#This Row],[Description]],$Q$1:$S$101,2,FALSE))</f>
        <v>MN free</v>
      </c>
      <c r="H607" s="1" t="str">
        <f>IF(Table2[[#This Row],[Description]]="","",VLOOKUP(Table2[[#This Row],[Description]],$Q$1:$S$101,3,FALSE))</f>
        <v>Mid</v>
      </c>
      <c r="I607" s="1">
        <f>IF(Table2[[#This Row],[Description]]="","",IF(Table2[[#This Row],[Currency]]=$O$2,$P$2,HLOOKUP(Table2[[#This Row],[Date]],Funds!$C$10:$GV$11,2,FALSE)))</f>
        <v>1</v>
      </c>
      <c r="J607" s="215">
        <f>IF(Table2[[#This Row],[Description]]="","",Table2[[#This Row],[Value]]/Table2[[#This Row],[Conversion]])</f>
        <v>7.41</v>
      </c>
      <c r="K607" s="45">
        <f>IF(Table2[[#This Row],[Description]]="","",DATE(Table2[[#This Row],[Year]],Table2[[#This Row],[Month]],1))</f>
        <v>43952</v>
      </c>
    </row>
    <row r="608" spans="2:11" x14ac:dyDescent="0.25">
      <c r="B608" t="s">
        <v>320</v>
      </c>
      <c r="C608" s="1">
        <v>5</v>
      </c>
      <c r="D608" s="1">
        <v>2020</v>
      </c>
      <c r="E608" s="166">
        <v>289.40699999999998</v>
      </c>
      <c r="F608" s="1" t="s">
        <v>21</v>
      </c>
      <c r="G608" s="1" t="str">
        <f>IF(Table2[[#This Row],[Description]]="","",VLOOKUP(Table2[[#This Row],[Description]],$Q$1:$S$101,2,FALSE))</f>
        <v>Long</v>
      </c>
      <c r="H608" s="1" t="str">
        <f>IF(Table2[[#This Row],[Description]]="","",VLOOKUP(Table2[[#This Row],[Description]],$Q$1:$S$101,3,FALSE))</f>
        <v>Long</v>
      </c>
      <c r="I608" s="1">
        <f>IF(Table2[[#This Row],[Description]]="","",IF(Table2[[#This Row],[Currency]]=$O$2,$P$2,HLOOKUP(Table2[[#This Row],[Date]],Funds!$C$10:$GV$11,2,FALSE)))</f>
        <v>1</v>
      </c>
      <c r="J608" s="215">
        <f>IF(Table2[[#This Row],[Description]]="","",Table2[[#This Row],[Value]]/Table2[[#This Row],[Conversion]])</f>
        <v>289.40699999999998</v>
      </c>
      <c r="K608" s="45">
        <f>IF(Table2[[#This Row],[Description]]="","",DATE(Table2[[#This Row],[Year]],Table2[[#This Row],[Month]],1))</f>
        <v>43952</v>
      </c>
    </row>
    <row r="609" spans="2:11" x14ac:dyDescent="0.25">
      <c r="B609" t="s">
        <v>46</v>
      </c>
      <c r="C609" s="1">
        <v>5</v>
      </c>
      <c r="D609" s="1">
        <v>2020</v>
      </c>
      <c r="E609" s="166">
        <v>108.23821799999999</v>
      </c>
      <c r="F609" s="1" t="s">
        <v>21</v>
      </c>
      <c r="G609" s="1" t="str">
        <f>IF(Table2[[#This Row],[Description]]="","",VLOOKUP(Table2[[#This Row],[Description]],$Q$1:$S$101,2,FALSE))</f>
        <v>Health care</v>
      </c>
      <c r="H609" s="1" t="str">
        <f>IF(Table2[[#This Row],[Description]]="","",VLOOKUP(Table2[[#This Row],[Description]],$Q$1:$S$101,3,FALSE))</f>
        <v>Short</v>
      </c>
      <c r="I609" s="1">
        <f>IF(Table2[[#This Row],[Description]]="","",IF(Table2[[#This Row],[Currency]]=$O$2,$P$2,HLOOKUP(Table2[[#This Row],[Date]],Funds!$C$10:$GV$11,2,FALSE)))</f>
        <v>1</v>
      </c>
      <c r="J609" s="215">
        <f>IF(Table2[[#This Row],[Description]]="","",Table2[[#This Row],[Value]]/Table2[[#This Row],[Conversion]])</f>
        <v>108.23821799999999</v>
      </c>
      <c r="K609" s="45">
        <f>IF(Table2[[#This Row],[Description]]="","",DATE(Table2[[#This Row],[Year]],Table2[[#This Row],[Month]],1))</f>
        <v>43952</v>
      </c>
    </row>
    <row r="610" spans="2:11" x14ac:dyDescent="0.25">
      <c r="B610" t="s">
        <v>324</v>
      </c>
      <c r="C610" s="1">
        <v>5</v>
      </c>
      <c r="D610" s="1">
        <v>2020</v>
      </c>
      <c r="E610" s="166">
        <v>13.923692333333333</v>
      </c>
      <c r="F610" s="1" t="s">
        <v>21</v>
      </c>
      <c r="G610" s="1" t="str">
        <f>IF(Table2[[#This Row],[Description]]="","",VLOOKUP(Table2[[#This Row],[Description]],$Q$1:$S$101,2,FALSE))</f>
        <v>Health care</v>
      </c>
      <c r="H610" s="1" t="str">
        <f>IF(Table2[[#This Row],[Description]]="","",VLOOKUP(Table2[[#This Row],[Description]],$Q$1:$S$101,3,FALSE))</f>
        <v>Short</v>
      </c>
      <c r="I610" s="1">
        <f>IF(Table2[[#This Row],[Description]]="","",IF(Table2[[#This Row],[Currency]]=$O$2,$P$2,HLOOKUP(Table2[[#This Row],[Date]],Funds!$C$10:$GV$11,2,FALSE)))</f>
        <v>1</v>
      </c>
      <c r="J610" s="215">
        <f>IF(Table2[[#This Row],[Description]]="","",Table2[[#This Row],[Value]]/Table2[[#This Row],[Conversion]])</f>
        <v>13.923692333333333</v>
      </c>
      <c r="K610" s="45">
        <f>IF(Table2[[#This Row],[Description]]="","",DATE(Table2[[#This Row],[Year]],Table2[[#This Row],[Month]],1))</f>
        <v>43952</v>
      </c>
    </row>
    <row r="611" spans="2:11" x14ac:dyDescent="0.25">
      <c r="B611" t="s">
        <v>280</v>
      </c>
      <c r="C611" s="1">
        <v>5</v>
      </c>
      <c r="D611" s="1">
        <v>2020</v>
      </c>
      <c r="E611" s="166">
        <f>-927.23</f>
        <v>-927.23</v>
      </c>
      <c r="F611" s="1" t="s">
        <v>21</v>
      </c>
      <c r="G611" s="1" t="str">
        <f>IF(Table2[[#This Row],[Description]]="","",VLOOKUP(Table2[[#This Row],[Description]],$Q$1:$S$101,2,FALSE))</f>
        <v>Mid</v>
      </c>
      <c r="H611" s="1" t="str">
        <f>IF(Table2[[#This Row],[Description]]="","",VLOOKUP(Table2[[#This Row],[Description]],$Q$1:$S$101,3,FALSE))</f>
        <v>Mid</v>
      </c>
      <c r="I611" s="1">
        <f>IF(Table2[[#This Row],[Description]]="","",IF(Table2[[#This Row],[Currency]]=$O$2,$P$2,HLOOKUP(Table2[[#This Row],[Date]],Funds!$C$10:$GV$11,2,FALSE)))</f>
        <v>1</v>
      </c>
      <c r="J611" s="215">
        <f>IF(Table2[[#This Row],[Description]]="","",Table2[[#This Row],[Value]]/Table2[[#This Row],[Conversion]])</f>
        <v>-927.23</v>
      </c>
      <c r="K611" s="45">
        <f>IF(Table2[[#This Row],[Description]]="","",DATE(Table2[[#This Row],[Year]],Table2[[#This Row],[Month]],1))</f>
        <v>43952</v>
      </c>
    </row>
    <row r="612" spans="2:11" x14ac:dyDescent="0.25">
      <c r="B612" t="s">
        <v>237</v>
      </c>
      <c r="C612" s="1">
        <v>6</v>
      </c>
      <c r="D612" s="1">
        <v>2020</v>
      </c>
      <c r="E612" s="166">
        <v>25.64</v>
      </c>
      <c r="F612" s="1" t="s">
        <v>21</v>
      </c>
      <c r="G612" s="1" t="str">
        <f>IF(Table2[[#This Row],[Description]]="","",VLOOKUP(Table2[[#This Row],[Description]],$Q$1:$S$101,2,FALSE))</f>
        <v>FX adjustment</v>
      </c>
      <c r="H612" s="1">
        <f>IF(Table2[[#This Row],[Description]]="","",VLOOKUP(Table2[[#This Row],[Description]],$Q$1:$S$101,3,FALSE))</f>
        <v>0</v>
      </c>
      <c r="I612" s="1">
        <f>IF(Table2[[#This Row],[Description]]="","",IF(Table2[[#This Row],[Currency]]=$O$2,$P$2,HLOOKUP(Table2[[#This Row],[Date]],Funds!$C$10:$GV$11,2,FALSE)))</f>
        <v>1</v>
      </c>
      <c r="J612" s="215">
        <f>IF(Table2[[#This Row],[Description]]="","",Table2[[#This Row],[Value]]/Table2[[#This Row],[Conversion]])</f>
        <v>25.64</v>
      </c>
      <c r="K612" s="45">
        <f>IF(Table2[[#This Row],[Description]]="","",DATE(Table2[[#This Row],[Year]],Table2[[#This Row],[Month]],1))</f>
        <v>43983</v>
      </c>
    </row>
    <row r="613" spans="2:11" x14ac:dyDescent="0.25">
      <c r="B613" t="s">
        <v>393</v>
      </c>
      <c r="C613" s="1">
        <v>6</v>
      </c>
      <c r="D613" s="1">
        <v>2020</v>
      </c>
      <c r="E613" s="166">
        <v>469.61</v>
      </c>
      <c r="F613" s="1" t="s">
        <v>21</v>
      </c>
      <c r="G613" s="1" t="s">
        <v>66</v>
      </c>
      <c r="H613" s="1" t="s">
        <v>66</v>
      </c>
      <c r="I613" s="1">
        <f>IF(Table2[[#This Row],[Description]]="","",IF(Table2[[#This Row],[Currency]]=$O$2,$P$2,HLOOKUP(Table2[[#This Row],[Date]],Funds!$C$10:$GV$11,2,FALSE)))</f>
        <v>1</v>
      </c>
      <c r="J613" s="215">
        <f>IF(Table2[[#This Row],[Description]]="","",Table2[[#This Row],[Value]]/Table2[[#This Row],[Conversion]])</f>
        <v>469.61</v>
      </c>
      <c r="K613" s="45">
        <f>IF(Table2[[#This Row],[Description]]="","",DATE(Table2[[#This Row],[Year]],Table2[[#This Row],[Month]],1))</f>
        <v>43983</v>
      </c>
    </row>
    <row r="614" spans="2:11" x14ac:dyDescent="0.25">
      <c r="B614" t="s">
        <v>256</v>
      </c>
      <c r="C614" s="1">
        <v>6</v>
      </c>
      <c r="D614" s="1">
        <v>2020</v>
      </c>
      <c r="E614" s="166">
        <v>91.22999999999999</v>
      </c>
      <c r="F614" s="1" t="s">
        <v>21</v>
      </c>
      <c r="G614" s="1" t="str">
        <f>IF(Table2[[#This Row],[Description]]="","",VLOOKUP(Table2[[#This Row],[Description]],$Q$1:$S$101,2,FALSE))</f>
        <v>MN free</v>
      </c>
      <c r="H614" s="1" t="str">
        <f>IF(Table2[[#This Row],[Description]]="","",VLOOKUP(Table2[[#This Row],[Description]],$Q$1:$S$101,3,FALSE))</f>
        <v>Mid</v>
      </c>
      <c r="I614" s="1">
        <f>IF(Table2[[#This Row],[Description]]="","",IF(Table2[[#This Row],[Currency]]=$O$2,$P$2,HLOOKUP(Table2[[#This Row],[Date]],Funds!$C$10:$GV$11,2,FALSE)))</f>
        <v>1</v>
      </c>
      <c r="J614" s="215">
        <f>IF(Table2[[#This Row],[Description]]="","",Table2[[#This Row],[Value]]/Table2[[#This Row],[Conversion]])</f>
        <v>91.22999999999999</v>
      </c>
      <c r="K614" s="45">
        <f>IF(Table2[[#This Row],[Description]]="","",DATE(Table2[[#This Row],[Year]],Table2[[#This Row],[Month]],1))</f>
        <v>43983</v>
      </c>
    </row>
    <row r="615" spans="2:11" x14ac:dyDescent="0.25">
      <c r="B615" t="s">
        <v>57</v>
      </c>
      <c r="C615" s="1">
        <v>6</v>
      </c>
      <c r="D615" s="1">
        <v>2020</v>
      </c>
      <c r="E615" s="166">
        <v>239.94</v>
      </c>
      <c r="F615" s="1" t="s">
        <v>21</v>
      </c>
      <c r="G615" s="1" t="str">
        <f>IF(Table2[[#This Row],[Description]]="","",VLOOKUP(Table2[[#This Row],[Description]],$Q$1:$S$101,2,FALSE))</f>
        <v>Food</v>
      </c>
      <c r="H615" s="1" t="str">
        <f>IF(Table2[[#This Row],[Description]]="","",VLOOKUP(Table2[[#This Row],[Description]],$Q$1:$S$101,3,FALSE))</f>
        <v>Short</v>
      </c>
      <c r="I615" s="1">
        <f>IF(Table2[[#This Row],[Description]]="","",IF(Table2[[#This Row],[Currency]]=$O$2,$P$2,HLOOKUP(Table2[[#This Row],[Date]],Funds!$C$10:$GV$11,2,FALSE)))</f>
        <v>1</v>
      </c>
      <c r="J615" s="215">
        <f>IF(Table2[[#This Row],[Description]]="","",Table2[[#This Row],[Value]]/Table2[[#This Row],[Conversion]])</f>
        <v>239.94</v>
      </c>
      <c r="K615" s="45">
        <f>IF(Table2[[#This Row],[Description]]="","",DATE(Table2[[#This Row],[Year]],Table2[[#This Row],[Month]],1))</f>
        <v>43983</v>
      </c>
    </row>
    <row r="616" spans="2:11" x14ac:dyDescent="0.25">
      <c r="B616" t="s">
        <v>267</v>
      </c>
      <c r="C616" s="1">
        <v>6</v>
      </c>
      <c r="D616" s="1">
        <v>2020</v>
      </c>
      <c r="E616" s="166">
        <v>49.259999999999991</v>
      </c>
      <c r="F616" s="1" t="s">
        <v>21</v>
      </c>
      <c r="G616" s="1" t="str">
        <f>IF(Table2[[#This Row],[Description]]="","",VLOOKUP(Table2[[#This Row],[Description]],$Q$1:$S$101,2,FALSE))</f>
        <v>Leisure</v>
      </c>
      <c r="H616" s="1" t="str">
        <f>IF(Table2[[#This Row],[Description]]="","",VLOOKUP(Table2[[#This Row],[Description]],$Q$1:$S$101,3,FALSE))</f>
        <v>Short</v>
      </c>
      <c r="I616" s="1">
        <f>IF(Table2[[#This Row],[Description]]="","",IF(Table2[[#This Row],[Currency]]=$O$2,$P$2,HLOOKUP(Table2[[#This Row],[Date]],Funds!$C$10:$GV$11,2,FALSE)))</f>
        <v>1</v>
      </c>
      <c r="J616" s="215">
        <f>IF(Table2[[#This Row],[Description]]="","",Table2[[#This Row],[Value]]/Table2[[#This Row],[Conversion]])</f>
        <v>49.259999999999991</v>
      </c>
      <c r="K616" s="45">
        <f>IF(Table2[[#This Row],[Description]]="","",DATE(Table2[[#This Row],[Year]],Table2[[#This Row],[Month]],1))</f>
        <v>43983</v>
      </c>
    </row>
    <row r="617" spans="2:11" x14ac:dyDescent="0.25">
      <c r="B617" t="s">
        <v>58</v>
      </c>
      <c r="C617" s="1">
        <v>6</v>
      </c>
      <c r="D617" s="1">
        <v>2020</v>
      </c>
      <c r="E617" s="166">
        <v>673.19999999999993</v>
      </c>
      <c r="F617" s="1" t="s">
        <v>21</v>
      </c>
      <c r="G617" s="1" t="str">
        <f>IF(Table2[[#This Row],[Description]]="","",VLOOKUP(Table2[[#This Row],[Description]],$Q$1:$S$101,2,FALSE))</f>
        <v>Food</v>
      </c>
      <c r="H617" s="1" t="str">
        <f>IF(Table2[[#This Row],[Description]]="","",VLOOKUP(Table2[[#This Row],[Description]],$Q$1:$S$101,3,FALSE))</f>
        <v>Short</v>
      </c>
      <c r="I617" s="1">
        <f>IF(Table2[[#This Row],[Description]]="","",IF(Table2[[#This Row],[Currency]]=$O$2,$P$2,HLOOKUP(Table2[[#This Row],[Date]],Funds!$C$10:$GV$11,2,FALSE)))</f>
        <v>1</v>
      </c>
      <c r="J617" s="215">
        <f>IF(Table2[[#This Row],[Description]]="","",Table2[[#This Row],[Value]]/Table2[[#This Row],[Conversion]])</f>
        <v>673.19999999999993</v>
      </c>
      <c r="K617" s="45">
        <f>IF(Table2[[#This Row],[Description]]="","",DATE(Table2[[#This Row],[Year]],Table2[[#This Row],[Month]],1))</f>
        <v>43983</v>
      </c>
    </row>
    <row r="618" spans="2:11" x14ac:dyDescent="0.25">
      <c r="B618" t="s">
        <v>29</v>
      </c>
      <c r="C618" s="1">
        <v>6</v>
      </c>
      <c r="D618" s="1">
        <v>2020</v>
      </c>
      <c r="E618" s="166">
        <v>53.23</v>
      </c>
      <c r="F618" s="1" t="s">
        <v>21</v>
      </c>
      <c r="G618" s="1" t="str">
        <f>IF(Table2[[#This Row],[Description]]="","",VLOOKUP(Table2[[#This Row],[Description]],$Q$1:$S$101,2,FALSE))</f>
        <v>Health</v>
      </c>
      <c r="H618" s="1" t="str">
        <f>IF(Table2[[#This Row],[Description]]="","",VLOOKUP(Table2[[#This Row],[Description]],$Q$1:$S$101,3,FALSE))</f>
        <v>Mid</v>
      </c>
      <c r="I618" s="1">
        <f>IF(Table2[[#This Row],[Description]]="","",IF(Table2[[#This Row],[Currency]]=$O$2,$P$2,HLOOKUP(Table2[[#This Row],[Date]],Funds!$C$10:$GV$11,2,FALSE)))</f>
        <v>1</v>
      </c>
      <c r="J618" s="215">
        <f>IF(Table2[[#This Row],[Description]]="","",Table2[[#This Row],[Value]]/Table2[[#This Row],[Conversion]])</f>
        <v>53.23</v>
      </c>
      <c r="K618" s="45">
        <f>IF(Table2[[#This Row],[Description]]="","",DATE(Table2[[#This Row],[Year]],Table2[[#This Row],[Month]],1))</f>
        <v>43983</v>
      </c>
    </row>
    <row r="619" spans="2:11" x14ac:dyDescent="0.25">
      <c r="B619" t="s">
        <v>472</v>
      </c>
      <c r="C619" s="1">
        <v>6</v>
      </c>
      <c r="D619" s="1">
        <v>2020</v>
      </c>
      <c r="E619" s="166">
        <v>1600</v>
      </c>
      <c r="F619" s="1" t="s">
        <v>21</v>
      </c>
      <c r="G619" s="1" t="str">
        <f>IF(Table2[[#This Row],[Description]]="","",VLOOKUP(Table2[[#This Row],[Description]],$Q$1:$S$101,2,FALSE))</f>
        <v xml:space="preserve">EK studies </v>
      </c>
      <c r="H619" s="1" t="str">
        <f>IF(Table2[[#This Row],[Description]]="","",VLOOKUP(Table2[[#This Row],[Description]],$Q$1:$S$101,3,FALSE))</f>
        <v>Mid</v>
      </c>
      <c r="I619" s="1">
        <f>IF(Table2[[#This Row],[Description]]="","",IF(Table2[[#This Row],[Currency]]=$O$2,$P$2,HLOOKUP(Table2[[#This Row],[Date]],Funds!$C$10:$GV$11,2,FALSE)))</f>
        <v>1</v>
      </c>
      <c r="J619" s="215">
        <f>IF(Table2[[#This Row],[Description]]="","",Table2[[#This Row],[Value]]/Table2[[#This Row],[Conversion]])</f>
        <v>1600</v>
      </c>
      <c r="K619" s="45">
        <f>IF(Table2[[#This Row],[Description]]="","",DATE(Table2[[#This Row],[Year]],Table2[[#This Row],[Month]],1))</f>
        <v>43983</v>
      </c>
    </row>
    <row r="620" spans="2:11" x14ac:dyDescent="0.25">
      <c r="B620" t="s">
        <v>255</v>
      </c>
      <c r="C620" s="1">
        <v>6</v>
      </c>
      <c r="D620" s="1">
        <v>2020</v>
      </c>
      <c r="E620" s="166">
        <v>391.97</v>
      </c>
      <c r="F620" s="1" t="s">
        <v>21</v>
      </c>
      <c r="G620" s="1" t="str">
        <f>IF(Table2[[#This Row],[Description]]="","",VLOOKUP(Table2[[#This Row],[Description]],$Q$1:$S$101,2,FALSE))</f>
        <v>EK free</v>
      </c>
      <c r="H620" s="1" t="str">
        <f>IF(Table2[[#This Row],[Description]]="","",VLOOKUP(Table2[[#This Row],[Description]],$Q$1:$S$101,3,FALSE))</f>
        <v>Mid</v>
      </c>
      <c r="I620" s="1">
        <f>IF(Table2[[#This Row],[Description]]="","",IF(Table2[[#This Row],[Currency]]=$O$2,$P$2,HLOOKUP(Table2[[#This Row],[Date]],Funds!$C$10:$GV$11,2,FALSE)))</f>
        <v>1</v>
      </c>
      <c r="J620" s="215">
        <f>IF(Table2[[#This Row],[Description]]="","",Table2[[#This Row],[Value]]/Table2[[#This Row],[Conversion]])</f>
        <v>391.97</v>
      </c>
      <c r="K620" s="45">
        <f>IF(Table2[[#This Row],[Description]]="","",DATE(Table2[[#This Row],[Year]],Table2[[#This Row],[Month]],1))</f>
        <v>43983</v>
      </c>
    </row>
    <row r="621" spans="2:11" x14ac:dyDescent="0.25">
      <c r="B621" t="s">
        <v>52</v>
      </c>
      <c r="C621" s="1">
        <v>6</v>
      </c>
      <c r="D621" s="1">
        <v>2020</v>
      </c>
      <c r="E621" s="166">
        <v>32.130000000000003</v>
      </c>
      <c r="F621" s="1" t="s">
        <v>21</v>
      </c>
      <c r="G621" s="1" t="str">
        <f>IF(Table2[[#This Row],[Description]]="","",VLOOKUP(Table2[[#This Row],[Description]],$Q$1:$S$101,2,FALSE))</f>
        <v>Utilities</v>
      </c>
      <c r="H621" s="1" t="str">
        <f>IF(Table2[[#This Row],[Description]]="","",VLOOKUP(Table2[[#This Row],[Description]],$Q$1:$S$101,3,FALSE))</f>
        <v>Short</v>
      </c>
      <c r="I621" s="1">
        <f>IF(Table2[[#This Row],[Description]]="","",IF(Table2[[#This Row],[Currency]]=$O$2,$P$2,HLOOKUP(Table2[[#This Row],[Date]],Funds!$C$10:$GV$11,2,FALSE)))</f>
        <v>1</v>
      </c>
      <c r="J621" s="215">
        <f>IF(Table2[[#This Row],[Description]]="","",Table2[[#This Row],[Value]]/Table2[[#This Row],[Conversion]])</f>
        <v>32.130000000000003</v>
      </c>
      <c r="K621" s="45">
        <f>IF(Table2[[#This Row],[Description]]="","",DATE(Table2[[#This Row],[Year]],Table2[[#This Row],[Month]],1))</f>
        <v>43983</v>
      </c>
    </row>
    <row r="622" spans="2:11" x14ac:dyDescent="0.25">
      <c r="B622" t="s">
        <v>31</v>
      </c>
      <c r="C622" s="1">
        <v>6</v>
      </c>
      <c r="D622" s="1">
        <v>2020</v>
      </c>
      <c r="E622" s="166">
        <v>1757.41</v>
      </c>
      <c r="F622" s="1" t="s">
        <v>21</v>
      </c>
      <c r="G622" s="1" t="str">
        <f>IF(Table2[[#This Row],[Description]]="","",VLOOKUP(Table2[[#This Row],[Description]],$Q$1:$S$101,2,FALSE))</f>
        <v>Rent</v>
      </c>
      <c r="H622" s="1" t="str">
        <f>IF(Table2[[#This Row],[Description]]="","",VLOOKUP(Table2[[#This Row],[Description]],$Q$1:$S$101,3,FALSE))</f>
        <v>Short</v>
      </c>
      <c r="I622" s="1">
        <f>IF(Table2[[#This Row],[Description]]="","",IF(Table2[[#This Row],[Currency]]=$O$2,$P$2,HLOOKUP(Table2[[#This Row],[Date]],Funds!$C$10:$GV$11,2,FALSE)))</f>
        <v>1</v>
      </c>
      <c r="J622" s="215">
        <f>IF(Table2[[#This Row],[Description]]="","",Table2[[#This Row],[Value]]/Table2[[#This Row],[Conversion]])</f>
        <v>1757.41</v>
      </c>
      <c r="K622" s="45">
        <f>IF(Table2[[#This Row],[Description]]="","",DATE(Table2[[#This Row],[Year]],Table2[[#This Row],[Month]],1))</f>
        <v>43983</v>
      </c>
    </row>
    <row r="623" spans="2:11" x14ac:dyDescent="0.25">
      <c r="B623" t="s">
        <v>56</v>
      </c>
      <c r="C623" s="1">
        <v>6</v>
      </c>
      <c r="D623" s="1">
        <v>2020</v>
      </c>
      <c r="E623" s="166">
        <v>50</v>
      </c>
      <c r="F623" s="1" t="s">
        <v>21</v>
      </c>
      <c r="G623" s="1" t="str">
        <f>IF(Table2[[#This Row],[Description]]="","",VLOOKUP(Table2[[#This Row],[Description]],$Q$1:$S$101,2,FALSE))</f>
        <v>Utilities</v>
      </c>
      <c r="H623" s="1" t="str">
        <f>IF(Table2[[#This Row],[Description]]="","",VLOOKUP(Table2[[#This Row],[Description]],$Q$1:$S$101,3,FALSE))</f>
        <v>Short</v>
      </c>
      <c r="I623" s="1">
        <f>IF(Table2[[#This Row],[Description]]="","",IF(Table2[[#This Row],[Currency]]=$O$2,$P$2,HLOOKUP(Table2[[#This Row],[Date]],Funds!$C$10:$GV$11,2,FALSE)))</f>
        <v>1</v>
      </c>
      <c r="J623" s="215">
        <f>IF(Table2[[#This Row],[Description]]="","",Table2[[#This Row],[Value]]/Table2[[#This Row],[Conversion]])</f>
        <v>50</v>
      </c>
      <c r="K623" s="45">
        <f>IF(Table2[[#This Row],[Description]]="","",DATE(Table2[[#This Row],[Year]],Table2[[#This Row],[Month]],1))</f>
        <v>43983</v>
      </c>
    </row>
    <row r="624" spans="2:11" x14ac:dyDescent="0.25">
      <c r="B624" t="s">
        <v>35</v>
      </c>
      <c r="C624" s="1">
        <v>6</v>
      </c>
      <c r="D624" s="1">
        <v>2020</v>
      </c>
      <c r="E624" s="166">
        <v>85.29</v>
      </c>
      <c r="F624" s="1" t="s">
        <v>21</v>
      </c>
      <c r="G624" s="1" t="str">
        <f>IF(Table2[[#This Row],[Description]]="","",VLOOKUP(Table2[[#This Row],[Description]],$Q$1:$S$101,2,FALSE))</f>
        <v>Cellphone</v>
      </c>
      <c r="H624" s="1" t="str">
        <f>IF(Table2[[#This Row],[Description]]="","",VLOOKUP(Table2[[#This Row],[Description]],$Q$1:$S$101,3,FALSE))</f>
        <v>Short</v>
      </c>
      <c r="I624" s="1">
        <f>IF(Table2[[#This Row],[Description]]="","",IF(Table2[[#This Row],[Currency]]=$O$2,$P$2,HLOOKUP(Table2[[#This Row],[Date]],Funds!$C$10:$GV$11,2,FALSE)))</f>
        <v>1</v>
      </c>
      <c r="J624" s="215">
        <f>IF(Table2[[#This Row],[Description]]="","",Table2[[#This Row],[Value]]/Table2[[#This Row],[Conversion]])</f>
        <v>85.29</v>
      </c>
      <c r="K624" s="45">
        <f>IF(Table2[[#This Row],[Description]]="","",DATE(Table2[[#This Row],[Year]],Table2[[#This Row],[Month]],1))</f>
        <v>43983</v>
      </c>
    </row>
    <row r="625" spans="2:11" x14ac:dyDescent="0.25">
      <c r="B625" t="s">
        <v>63</v>
      </c>
      <c r="C625" s="1">
        <v>6</v>
      </c>
      <c r="D625" s="1">
        <v>2020</v>
      </c>
      <c r="E625" s="166">
        <v>10.130000000000001</v>
      </c>
      <c r="F625" s="1" t="s">
        <v>21</v>
      </c>
      <c r="G625" s="1" t="str">
        <f>IF(Table2[[#This Row],[Description]]="","",VLOOKUP(Table2[[#This Row],[Description]],$Q$1:$S$101,2,FALSE))</f>
        <v>Leisure</v>
      </c>
      <c r="H625" s="1" t="str">
        <f>IF(Table2[[#This Row],[Description]]="","",VLOOKUP(Table2[[#This Row],[Description]],$Q$1:$S$101,3,FALSE))</f>
        <v>Short</v>
      </c>
      <c r="I625" s="1">
        <f>IF(Table2[[#This Row],[Description]]="","",IF(Table2[[#This Row],[Currency]]=$O$2,$P$2,HLOOKUP(Table2[[#This Row],[Date]],Funds!$C$10:$GV$11,2,FALSE)))</f>
        <v>1</v>
      </c>
      <c r="J625" s="215">
        <f>IF(Table2[[#This Row],[Description]]="","",Table2[[#This Row],[Value]]/Table2[[#This Row],[Conversion]])</f>
        <v>10.130000000000001</v>
      </c>
      <c r="K625" s="45">
        <f>IF(Table2[[#This Row],[Description]]="","",DATE(Table2[[#This Row],[Year]],Table2[[#This Row],[Month]],1))</f>
        <v>43983</v>
      </c>
    </row>
    <row r="626" spans="2:11" x14ac:dyDescent="0.25">
      <c r="B626" t="s">
        <v>262</v>
      </c>
      <c r="C626" s="1">
        <v>6</v>
      </c>
      <c r="D626" s="1">
        <v>2020</v>
      </c>
      <c r="E626" s="166">
        <v>49.09</v>
      </c>
      <c r="F626" s="1" t="s">
        <v>21</v>
      </c>
      <c r="G626" s="1" t="str">
        <f>IF(Table2[[#This Row],[Description]]="","",VLOOKUP(Table2[[#This Row],[Description]],$Q$1:$S$101,2,FALSE))</f>
        <v>Mid</v>
      </c>
      <c r="H626" s="1" t="str">
        <f>IF(Table2[[#This Row],[Description]]="","",VLOOKUP(Table2[[#This Row],[Description]],$Q$1:$S$101,3,FALSE))</f>
        <v>Mid</v>
      </c>
      <c r="I626" s="1">
        <f>IF(Table2[[#This Row],[Description]]="","",IF(Table2[[#This Row],[Currency]]=$O$2,$P$2,HLOOKUP(Table2[[#This Row],[Date]],Funds!$C$10:$GV$11,2,FALSE)))</f>
        <v>1</v>
      </c>
      <c r="J626" s="215">
        <f>IF(Table2[[#This Row],[Description]]="","",Table2[[#This Row],[Value]]/Table2[[#This Row],[Conversion]])</f>
        <v>49.09</v>
      </c>
      <c r="K626" s="45">
        <f>IF(Table2[[#This Row],[Description]]="","",DATE(Table2[[#This Row],[Year]],Table2[[#This Row],[Month]],1))</f>
        <v>43983</v>
      </c>
    </row>
    <row r="627" spans="2:11" x14ac:dyDescent="0.25">
      <c r="B627" t="s">
        <v>316</v>
      </c>
      <c r="C627" s="1">
        <v>6</v>
      </c>
      <c r="D627" s="1">
        <v>2020</v>
      </c>
      <c r="E627" s="166">
        <v>63.75</v>
      </c>
      <c r="F627" s="1" t="s">
        <v>21</v>
      </c>
      <c r="G627" s="1" t="str">
        <f>IF(Table2[[#This Row],[Description]]="","",VLOOKUP(Table2[[#This Row],[Description]],$Q$1:$S$101,2,FALSE))</f>
        <v>Gifts</v>
      </c>
      <c r="H627" s="1" t="str">
        <f>IF(Table2[[#This Row],[Description]]="","",VLOOKUP(Table2[[#This Row],[Description]],$Q$1:$S$101,3,FALSE))</f>
        <v>Mid</v>
      </c>
      <c r="I627" s="1">
        <f>IF(Table2[[#This Row],[Description]]="","",IF(Table2[[#This Row],[Currency]]=$O$2,$P$2,HLOOKUP(Table2[[#This Row],[Date]],Funds!$C$10:$GV$11,2,FALSE)))</f>
        <v>1</v>
      </c>
      <c r="J627" s="215">
        <f>IF(Table2[[#This Row],[Description]]="","",Table2[[#This Row],[Value]]/Table2[[#This Row],[Conversion]])</f>
        <v>63.75</v>
      </c>
      <c r="K627" s="45">
        <f>IF(Table2[[#This Row],[Description]]="","",DATE(Table2[[#This Row],[Year]],Table2[[#This Row],[Month]],1))</f>
        <v>43983</v>
      </c>
    </row>
    <row r="628" spans="2:11" x14ac:dyDescent="0.25">
      <c r="B628" t="s">
        <v>252</v>
      </c>
      <c r="C628" s="1">
        <v>6</v>
      </c>
      <c r="D628" s="1">
        <v>2020</v>
      </c>
      <c r="E628" s="166">
        <v>107.24</v>
      </c>
      <c r="F628" s="1" t="s">
        <v>21</v>
      </c>
      <c r="G628" s="1" t="str">
        <f>IF(Table2[[#This Row],[Description]]="","",VLOOKUP(Table2[[#This Row],[Description]],$Q$1:$S$101,2,FALSE))</f>
        <v>Other Mid</v>
      </c>
      <c r="H628" s="1" t="str">
        <f>IF(Table2[[#This Row],[Description]]="","",VLOOKUP(Table2[[#This Row],[Description]],$Q$1:$S$101,3,FALSE))</f>
        <v>Mid</v>
      </c>
      <c r="I628" s="1">
        <f>IF(Table2[[#This Row],[Description]]="","",IF(Table2[[#This Row],[Currency]]=$O$2,$P$2,HLOOKUP(Table2[[#This Row],[Date]],Funds!$C$10:$GV$11,2,FALSE)))</f>
        <v>1</v>
      </c>
      <c r="J628" s="215">
        <f>IF(Table2[[#This Row],[Description]]="","",Table2[[#This Row],[Value]]/Table2[[#This Row],[Conversion]])</f>
        <v>107.24</v>
      </c>
      <c r="K628" s="45">
        <f>IF(Table2[[#This Row],[Description]]="","",DATE(Table2[[#This Row],[Year]],Table2[[#This Row],[Month]],1))</f>
        <v>43983</v>
      </c>
    </row>
    <row r="629" spans="2:11" x14ac:dyDescent="0.25">
      <c r="B629" t="s">
        <v>57</v>
      </c>
      <c r="C629" s="1">
        <v>6</v>
      </c>
      <c r="D629" s="1">
        <v>2020</v>
      </c>
      <c r="E629" s="166">
        <v>6.51</v>
      </c>
      <c r="F629" s="1" t="s">
        <v>21</v>
      </c>
      <c r="G629" s="1" t="str">
        <f>IF(Table2[[#This Row],[Description]]="","",VLOOKUP(Table2[[#This Row],[Description]],$Q$1:$S$101,2,FALSE))</f>
        <v>Food</v>
      </c>
      <c r="H629" s="1" t="str">
        <f>IF(Table2[[#This Row],[Description]]="","",VLOOKUP(Table2[[#This Row],[Description]],$Q$1:$S$101,3,FALSE))</f>
        <v>Short</v>
      </c>
      <c r="I629" s="1">
        <f>IF(Table2[[#This Row],[Description]]="","",IF(Table2[[#This Row],[Currency]]=$O$2,$P$2,HLOOKUP(Table2[[#This Row],[Date]],Funds!$C$10:$GV$11,2,FALSE)))</f>
        <v>1</v>
      </c>
      <c r="J629" s="215">
        <f>IF(Table2[[#This Row],[Description]]="","",Table2[[#This Row],[Value]]/Table2[[#This Row],[Conversion]])</f>
        <v>6.51</v>
      </c>
      <c r="K629" s="45">
        <f>IF(Table2[[#This Row],[Description]]="","",DATE(Table2[[#This Row],[Year]],Table2[[#This Row],[Month]],1))</f>
        <v>43983</v>
      </c>
    </row>
    <row r="630" spans="2:11" x14ac:dyDescent="0.25">
      <c r="B630" t="s">
        <v>58</v>
      </c>
      <c r="C630" s="1">
        <v>6</v>
      </c>
      <c r="D630" s="1">
        <v>2020</v>
      </c>
      <c r="E630" s="166">
        <v>40.21</v>
      </c>
      <c r="F630" s="1" t="s">
        <v>21</v>
      </c>
      <c r="G630" s="1" t="str">
        <f>IF(Table2[[#This Row],[Description]]="","",VLOOKUP(Table2[[#This Row],[Description]],$Q$1:$S$101,2,FALSE))</f>
        <v>Food</v>
      </c>
      <c r="H630" s="1" t="str">
        <f>IF(Table2[[#This Row],[Description]]="","",VLOOKUP(Table2[[#This Row],[Description]],$Q$1:$S$101,3,FALSE))</f>
        <v>Short</v>
      </c>
      <c r="I630" s="1">
        <f>IF(Table2[[#This Row],[Description]]="","",IF(Table2[[#This Row],[Currency]]=$O$2,$P$2,HLOOKUP(Table2[[#This Row],[Date]],Funds!$C$10:$GV$11,2,FALSE)))</f>
        <v>1</v>
      </c>
      <c r="J630" s="215">
        <f>IF(Table2[[#This Row],[Description]]="","",Table2[[#This Row],[Value]]/Table2[[#This Row],[Conversion]])</f>
        <v>40.21</v>
      </c>
      <c r="K630" s="45">
        <f>IF(Table2[[#This Row],[Description]]="","",DATE(Table2[[#This Row],[Year]],Table2[[#This Row],[Month]],1))</f>
        <v>43983</v>
      </c>
    </row>
    <row r="631" spans="2:11" x14ac:dyDescent="0.25">
      <c r="B631" t="s">
        <v>256</v>
      </c>
      <c r="C631" s="1">
        <v>6</v>
      </c>
      <c r="D631" s="1">
        <v>2020</v>
      </c>
      <c r="E631" s="166">
        <v>14.86</v>
      </c>
      <c r="F631" s="1" t="s">
        <v>21</v>
      </c>
      <c r="G631" s="1" t="str">
        <f>IF(Table2[[#This Row],[Description]]="","",VLOOKUP(Table2[[#This Row],[Description]],$Q$1:$S$101,2,FALSE))</f>
        <v>MN free</v>
      </c>
      <c r="H631" s="1" t="str">
        <f>IF(Table2[[#This Row],[Description]]="","",VLOOKUP(Table2[[#This Row],[Description]],$Q$1:$S$101,3,FALSE))</f>
        <v>Mid</v>
      </c>
      <c r="I631" s="1">
        <f>IF(Table2[[#This Row],[Description]]="","",IF(Table2[[#This Row],[Currency]]=$O$2,$P$2,HLOOKUP(Table2[[#This Row],[Date]],Funds!$C$10:$GV$11,2,FALSE)))</f>
        <v>1</v>
      </c>
      <c r="J631" s="215">
        <f>IF(Table2[[#This Row],[Description]]="","",Table2[[#This Row],[Value]]/Table2[[#This Row],[Conversion]])</f>
        <v>14.86</v>
      </c>
      <c r="K631" s="45">
        <f>IF(Table2[[#This Row],[Description]]="","",DATE(Table2[[#This Row],[Year]],Table2[[#This Row],[Month]],1))</f>
        <v>43983</v>
      </c>
    </row>
    <row r="632" spans="2:11" x14ac:dyDescent="0.25">
      <c r="B632" t="s">
        <v>57</v>
      </c>
      <c r="C632" s="1">
        <v>6</v>
      </c>
      <c r="D632" s="1">
        <v>2020</v>
      </c>
      <c r="E632" s="166">
        <v>8.91</v>
      </c>
      <c r="F632" s="1" t="s">
        <v>21</v>
      </c>
      <c r="G632" s="1" t="str">
        <f>IF(Table2[[#This Row],[Description]]="","",VLOOKUP(Table2[[#This Row],[Description]],$Q$1:$S$101,2,FALSE))</f>
        <v>Food</v>
      </c>
      <c r="H632" s="1" t="str">
        <f>IF(Table2[[#This Row],[Description]]="","",VLOOKUP(Table2[[#This Row],[Description]],$Q$1:$S$101,3,FALSE))</f>
        <v>Short</v>
      </c>
      <c r="I632" s="1">
        <f>IF(Table2[[#This Row],[Description]]="","",IF(Table2[[#This Row],[Currency]]=$O$2,$P$2,HLOOKUP(Table2[[#This Row],[Date]],Funds!$C$10:$GV$11,2,FALSE)))</f>
        <v>1</v>
      </c>
      <c r="J632" s="215">
        <f>IF(Table2[[#This Row],[Description]]="","",Table2[[#This Row],[Value]]/Table2[[#This Row],[Conversion]])</f>
        <v>8.91</v>
      </c>
      <c r="K632" s="45">
        <f>IF(Table2[[#This Row],[Description]]="","",DATE(Table2[[#This Row],[Year]],Table2[[#This Row],[Month]],1))</f>
        <v>43983</v>
      </c>
    </row>
    <row r="633" spans="2:11" x14ac:dyDescent="0.25">
      <c r="B633" t="s">
        <v>256</v>
      </c>
      <c r="C633" s="1">
        <v>6</v>
      </c>
      <c r="D633" s="1">
        <v>2020</v>
      </c>
      <c r="E633" s="166">
        <v>26.5</v>
      </c>
      <c r="F633" s="1" t="s">
        <v>21</v>
      </c>
      <c r="G633" s="1" t="str">
        <f>IF(Table2[[#This Row],[Description]]="","",VLOOKUP(Table2[[#This Row],[Description]],$Q$1:$S$101,2,FALSE))</f>
        <v>MN free</v>
      </c>
      <c r="H633" s="1" t="str">
        <f>IF(Table2[[#This Row],[Description]]="","",VLOOKUP(Table2[[#This Row],[Description]],$Q$1:$S$101,3,FALSE))</f>
        <v>Mid</v>
      </c>
      <c r="I633" s="1">
        <f>IF(Table2[[#This Row],[Description]]="","",IF(Table2[[#This Row],[Currency]]=$O$2,$P$2,HLOOKUP(Table2[[#This Row],[Date]],Funds!$C$10:$GV$11,2,FALSE)))</f>
        <v>1</v>
      </c>
      <c r="J633" s="215">
        <f>IF(Table2[[#This Row],[Description]]="","",Table2[[#This Row],[Value]]/Table2[[#This Row],[Conversion]])</f>
        <v>26.5</v>
      </c>
      <c r="K633" s="45">
        <f>IF(Table2[[#This Row],[Description]]="","",DATE(Table2[[#This Row],[Year]],Table2[[#This Row],[Month]],1))</f>
        <v>43983</v>
      </c>
    </row>
    <row r="634" spans="2:11" x14ac:dyDescent="0.25">
      <c r="B634" t="s">
        <v>316</v>
      </c>
      <c r="C634" s="1">
        <v>6</v>
      </c>
      <c r="D634" s="1">
        <v>2020</v>
      </c>
      <c r="E634" s="166">
        <v>121.18</v>
      </c>
      <c r="F634" s="1" t="s">
        <v>21</v>
      </c>
      <c r="G634" s="1" t="str">
        <f>IF(Table2[[#This Row],[Description]]="","",VLOOKUP(Table2[[#This Row],[Description]],$Q$1:$S$101,2,FALSE))</f>
        <v>Gifts</v>
      </c>
      <c r="H634" s="1" t="str">
        <f>IF(Table2[[#This Row],[Description]]="","",VLOOKUP(Table2[[#This Row],[Description]],$Q$1:$S$101,3,FALSE))</f>
        <v>Mid</v>
      </c>
      <c r="I634" s="1">
        <f>IF(Table2[[#This Row],[Description]]="","",IF(Table2[[#This Row],[Currency]]=$O$2,$P$2,HLOOKUP(Table2[[#This Row],[Date]],Funds!$C$10:$GV$11,2,FALSE)))</f>
        <v>1</v>
      </c>
      <c r="J634" s="215">
        <f>IF(Table2[[#This Row],[Description]]="","",Table2[[#This Row],[Value]]/Table2[[#This Row],[Conversion]])</f>
        <v>121.18</v>
      </c>
      <c r="K634" s="45">
        <f>IF(Table2[[#This Row],[Description]]="","",DATE(Table2[[#This Row],[Year]],Table2[[#This Row],[Month]],1))</f>
        <v>43983</v>
      </c>
    </row>
    <row r="635" spans="2:11" x14ac:dyDescent="0.25">
      <c r="B635" t="s">
        <v>57</v>
      </c>
      <c r="C635" s="1">
        <v>6</v>
      </c>
      <c r="D635" s="1">
        <v>2020</v>
      </c>
      <c r="E635" s="166">
        <v>24.23</v>
      </c>
      <c r="F635" s="1" t="s">
        <v>21</v>
      </c>
      <c r="G635" s="1" t="str">
        <f>IF(Table2[[#This Row],[Description]]="","",VLOOKUP(Table2[[#This Row],[Description]],$Q$1:$S$101,2,FALSE))</f>
        <v>Food</v>
      </c>
      <c r="H635" s="1" t="str">
        <f>IF(Table2[[#This Row],[Description]]="","",VLOOKUP(Table2[[#This Row],[Description]],$Q$1:$S$101,3,FALSE))</f>
        <v>Short</v>
      </c>
      <c r="I635" s="1">
        <f>IF(Table2[[#This Row],[Description]]="","",IF(Table2[[#This Row],[Currency]]=$O$2,$P$2,HLOOKUP(Table2[[#This Row],[Date]],Funds!$C$10:$GV$11,2,FALSE)))</f>
        <v>1</v>
      </c>
      <c r="J635" s="215">
        <f>IF(Table2[[#This Row],[Description]]="","",Table2[[#This Row],[Value]]/Table2[[#This Row],[Conversion]])</f>
        <v>24.23</v>
      </c>
      <c r="K635" s="45">
        <f>IF(Table2[[#This Row],[Description]]="","",DATE(Table2[[#This Row],[Year]],Table2[[#This Row],[Month]],1))</f>
        <v>43983</v>
      </c>
    </row>
    <row r="636" spans="2:11" x14ac:dyDescent="0.25">
      <c r="B636" t="s">
        <v>256</v>
      </c>
      <c r="C636" s="1">
        <v>6</v>
      </c>
      <c r="D636" s="1">
        <v>2020</v>
      </c>
      <c r="E636" s="166">
        <v>9.99</v>
      </c>
      <c r="F636" s="1" t="s">
        <v>21</v>
      </c>
      <c r="G636" s="1" t="str">
        <f>IF(Table2[[#This Row],[Description]]="","",VLOOKUP(Table2[[#This Row],[Description]],$Q$1:$S$101,2,FALSE))</f>
        <v>MN free</v>
      </c>
      <c r="H636" s="1" t="str">
        <f>IF(Table2[[#This Row],[Description]]="","",VLOOKUP(Table2[[#This Row],[Description]],$Q$1:$S$101,3,FALSE))</f>
        <v>Mid</v>
      </c>
      <c r="I636" s="1">
        <f>IF(Table2[[#This Row],[Description]]="","",IF(Table2[[#This Row],[Currency]]=$O$2,$P$2,HLOOKUP(Table2[[#This Row],[Date]],Funds!$C$10:$GV$11,2,FALSE)))</f>
        <v>1</v>
      </c>
      <c r="J636" s="215">
        <f>IF(Table2[[#This Row],[Description]]="","",Table2[[#This Row],[Value]]/Table2[[#This Row],[Conversion]])</f>
        <v>9.99</v>
      </c>
      <c r="K636" s="45">
        <f>IF(Table2[[#This Row],[Description]]="","",DATE(Table2[[#This Row],[Year]],Table2[[#This Row],[Month]],1))</f>
        <v>43983</v>
      </c>
    </row>
    <row r="637" spans="2:11" x14ac:dyDescent="0.25">
      <c r="B637" t="s">
        <v>263</v>
      </c>
      <c r="C637" s="1">
        <v>6</v>
      </c>
      <c r="D637" s="1">
        <v>2020</v>
      </c>
      <c r="E637" s="166">
        <v>29.9</v>
      </c>
      <c r="F637" s="1" t="s">
        <v>22</v>
      </c>
      <c r="G637" s="1" t="str">
        <f>IF(Table2[[#This Row],[Description]]="","",VLOOKUP(Table2[[#This Row],[Description]],$Q$1:$S$101,2,FALSE))</f>
        <v>MN free</v>
      </c>
      <c r="H637" s="1" t="str">
        <f>IF(Table2[[#This Row],[Description]]="","",VLOOKUP(Table2[[#This Row],[Description]],$Q$1:$S$101,3,FALSE))</f>
        <v>Mid</v>
      </c>
      <c r="I637" s="1">
        <f>IF(Table2[[#This Row],[Description]]="","",IF(Table2[[#This Row],[Currency]]=$O$2,$P$2,HLOOKUP(Table2[[#This Row],[Date]],Funds!$C$10:$GV$11,2,FALSE)))</f>
        <v>5.46</v>
      </c>
      <c r="J637" s="215">
        <f>IF(Table2[[#This Row],[Description]]="","",Table2[[#This Row],[Value]]/Table2[[#This Row],[Conversion]])</f>
        <v>5.4761904761904763</v>
      </c>
      <c r="K637" s="45">
        <f>IF(Table2[[#This Row],[Description]]="","",DATE(Table2[[#This Row],[Year]],Table2[[#This Row],[Month]],1))</f>
        <v>43983</v>
      </c>
    </row>
    <row r="638" spans="2:11" x14ac:dyDescent="0.25">
      <c r="B638" t="s">
        <v>262</v>
      </c>
      <c r="C638" s="1">
        <v>6</v>
      </c>
      <c r="D638" s="1">
        <v>2020</v>
      </c>
      <c r="E638" s="166">
        <f>94.26-29.9</f>
        <v>64.360000000000014</v>
      </c>
      <c r="F638" s="1" t="s">
        <v>22</v>
      </c>
      <c r="G638" s="1" t="str">
        <f>IF(Table2[[#This Row],[Description]]="","",VLOOKUP(Table2[[#This Row],[Description]],$Q$1:$S$101,2,FALSE))</f>
        <v>Mid</v>
      </c>
      <c r="H638" s="1" t="str">
        <f>IF(Table2[[#This Row],[Description]]="","",VLOOKUP(Table2[[#This Row],[Description]],$Q$1:$S$101,3,FALSE))</f>
        <v>Mid</v>
      </c>
      <c r="I638" s="1">
        <f>IF(Table2[[#This Row],[Description]]="","",IF(Table2[[#This Row],[Currency]]=$O$2,$P$2,HLOOKUP(Table2[[#This Row],[Date]],Funds!$C$10:$GV$11,2,FALSE)))</f>
        <v>5.46</v>
      </c>
      <c r="J638" s="215">
        <f>IF(Table2[[#This Row],[Description]]="","",Table2[[#This Row],[Value]]/Table2[[#This Row],[Conversion]])</f>
        <v>11.78754578754579</v>
      </c>
      <c r="K638" s="45">
        <f>IF(Table2[[#This Row],[Description]]="","",DATE(Table2[[#This Row],[Year]],Table2[[#This Row],[Month]],1))</f>
        <v>43983</v>
      </c>
    </row>
    <row r="639" spans="2:11" x14ac:dyDescent="0.25">
      <c r="B639" t="s">
        <v>269</v>
      </c>
      <c r="C639" s="1">
        <v>6</v>
      </c>
      <c r="D639" s="1">
        <v>2020</v>
      </c>
      <c r="E639" s="166">
        <v>-5250</v>
      </c>
      <c r="F639" s="1" t="s">
        <v>22</v>
      </c>
      <c r="G639" s="1" t="str">
        <f>IF(Table2[[#This Row],[Description]]="","",VLOOKUP(Table2[[#This Row],[Description]],$Q$1:$S$101,2,FALSE))</f>
        <v>Other Mid</v>
      </c>
      <c r="H639" s="1" t="str">
        <f>IF(Table2[[#This Row],[Description]]="","",VLOOKUP(Table2[[#This Row],[Description]],$Q$1:$S$101,3,FALSE))</f>
        <v>Mid</v>
      </c>
      <c r="I639" s="1">
        <f>IF(Table2[[#This Row],[Description]]="","",IF(Table2[[#This Row],[Currency]]=$O$2,$P$2,HLOOKUP(Table2[[#This Row],[Date]],Funds!$C$10:$GV$11,2,FALSE)))</f>
        <v>5.46</v>
      </c>
      <c r="J639" s="215">
        <f>IF(Table2[[#This Row],[Description]]="","",Table2[[#This Row],[Value]]/Table2[[#This Row],[Conversion]])</f>
        <v>-961.53846153846155</v>
      </c>
      <c r="K639" s="45">
        <f>IF(Table2[[#This Row],[Description]]="","",DATE(Table2[[#This Row],[Year]],Table2[[#This Row],[Month]],1))</f>
        <v>43983</v>
      </c>
    </row>
    <row r="640" spans="2:11" x14ac:dyDescent="0.25">
      <c r="B640" t="s">
        <v>592</v>
      </c>
      <c r="C640" s="1">
        <v>6</v>
      </c>
      <c r="D640" s="1">
        <v>2020</v>
      </c>
      <c r="E640" s="166">
        <v>600</v>
      </c>
      <c r="F640" s="1" t="s">
        <v>22</v>
      </c>
      <c r="G640" s="1" t="str">
        <f>IF(Table2[[#This Row],[Description]]="","",VLOOKUP(Table2[[#This Row],[Description]],$Q$1:$S$101,2,FALSE))</f>
        <v>Therapy</v>
      </c>
      <c r="H640" s="1" t="str">
        <f>IF(Table2[[#This Row],[Description]]="","",VLOOKUP(Table2[[#This Row],[Description]],$Q$1:$S$101,3,FALSE))</f>
        <v>Mid</v>
      </c>
      <c r="I640" s="1">
        <f>IF(Table2[[#This Row],[Description]]="","",IF(Table2[[#This Row],[Currency]]=$O$2,$P$2,HLOOKUP(Table2[[#This Row],[Date]],Funds!$C$10:$GV$11,2,FALSE)))</f>
        <v>5.46</v>
      </c>
      <c r="J640" s="215">
        <f>IF(Table2[[#This Row],[Description]]="","",Table2[[#This Row],[Value]]/Table2[[#This Row],[Conversion]])</f>
        <v>109.8901098901099</v>
      </c>
      <c r="K640" s="45">
        <f>IF(Table2[[#This Row],[Description]]="","",DATE(Table2[[#This Row],[Year]],Table2[[#This Row],[Month]],1))</f>
        <v>43983</v>
      </c>
    </row>
    <row r="641" spans="2:11" x14ac:dyDescent="0.25">
      <c r="B641" t="s">
        <v>269</v>
      </c>
      <c r="C641" s="1">
        <v>6</v>
      </c>
      <c r="D641" s="1">
        <v>2020</v>
      </c>
      <c r="E641" s="166">
        <v>10500</v>
      </c>
      <c r="F641" s="1" t="s">
        <v>22</v>
      </c>
      <c r="G641" s="1" t="str">
        <f>IF(Table2[[#This Row],[Description]]="","",VLOOKUP(Table2[[#This Row],[Description]],$Q$1:$S$101,2,FALSE))</f>
        <v>Other Mid</v>
      </c>
      <c r="H641" s="1" t="str">
        <f>IF(Table2[[#This Row],[Description]]="","",VLOOKUP(Table2[[#This Row],[Description]],$Q$1:$S$101,3,FALSE))</f>
        <v>Mid</v>
      </c>
      <c r="I641" s="1">
        <f>IF(Table2[[#This Row],[Description]]="","",IF(Table2[[#This Row],[Currency]]=$O$2,$P$2,HLOOKUP(Table2[[#This Row],[Date]],Funds!$C$10:$GV$11,2,FALSE)))</f>
        <v>5.46</v>
      </c>
      <c r="J641" s="215">
        <f>IF(Table2[[#This Row],[Description]]="","",Table2[[#This Row],[Value]]/Table2[[#This Row],[Conversion]])</f>
        <v>1923.0769230769231</v>
      </c>
      <c r="K641" s="45">
        <f>IF(Table2[[#This Row],[Description]]="","",DATE(Table2[[#This Row],[Year]],Table2[[#This Row],[Month]],1))</f>
        <v>43983</v>
      </c>
    </row>
    <row r="642" spans="2:11" x14ac:dyDescent="0.25">
      <c r="B642" t="s">
        <v>120</v>
      </c>
      <c r="C642" s="1">
        <v>6</v>
      </c>
      <c r="D642" s="1">
        <v>2020</v>
      </c>
      <c r="E642" s="166">
        <f>-(2300+2000+6250)</f>
        <v>-10550</v>
      </c>
      <c r="F642" s="1" t="s">
        <v>22</v>
      </c>
      <c r="G642" s="1" t="str">
        <f>IF(Table2[[#This Row],[Description]]="","",VLOOKUP(Table2[[#This Row],[Description]],$Q$1:$S$101,2,FALSE))</f>
        <v>Investment</v>
      </c>
      <c r="H642" s="1" t="str">
        <f>IF(Table2[[#This Row],[Description]]="","",VLOOKUP(Table2[[#This Row],[Description]],$Q$1:$S$101,3,FALSE))</f>
        <v>Long</v>
      </c>
      <c r="I642" s="1">
        <f>IF(Table2[[#This Row],[Description]]="","",IF(Table2[[#This Row],[Currency]]=$O$2,$P$2,HLOOKUP(Table2[[#This Row],[Date]],Funds!$C$10:$GV$11,2,FALSE)))</f>
        <v>5.46</v>
      </c>
      <c r="J642" s="215">
        <f>IF(Table2[[#This Row],[Description]]="","",Table2[[#This Row],[Value]]/Table2[[#This Row],[Conversion]])</f>
        <v>-1932.2344322344322</v>
      </c>
      <c r="K642" s="45">
        <f>IF(Table2[[#This Row],[Description]]="","",DATE(Table2[[#This Row],[Year]],Table2[[#This Row],[Month]],1))</f>
        <v>43983</v>
      </c>
    </row>
    <row r="643" spans="2:11" x14ac:dyDescent="0.25">
      <c r="B643" t="s">
        <v>120</v>
      </c>
      <c r="C643" s="1">
        <v>6</v>
      </c>
      <c r="D643" s="1">
        <v>2020</v>
      </c>
      <c r="E643" s="166">
        <v>2638.09</v>
      </c>
      <c r="F643" s="1" t="s">
        <v>21</v>
      </c>
      <c r="G643" s="1" t="str">
        <f>IF(Table2[[#This Row],[Description]]="","",VLOOKUP(Table2[[#This Row],[Description]],$Q$1:$S$101,2,FALSE))</f>
        <v>Investment</v>
      </c>
      <c r="H643" s="1" t="str">
        <f>IF(Table2[[#This Row],[Description]]="","",VLOOKUP(Table2[[#This Row],[Description]],$Q$1:$S$101,3,FALSE))</f>
        <v>Long</v>
      </c>
      <c r="I643" s="1">
        <f>IF(Table2[[#This Row],[Description]]="","",IF(Table2[[#This Row],[Currency]]=$O$2,$P$2,HLOOKUP(Table2[[#This Row],[Date]],Funds!$C$10:$GV$11,2,FALSE)))</f>
        <v>1</v>
      </c>
      <c r="J643" s="215">
        <f>IF(Table2[[#This Row],[Description]]="","",Table2[[#This Row],[Value]]/Table2[[#This Row],[Conversion]])</f>
        <v>2638.09</v>
      </c>
      <c r="K643" s="45">
        <f>IF(Table2[[#This Row],[Description]]="","",DATE(Table2[[#This Row],[Year]],Table2[[#This Row],[Month]],1))</f>
        <v>43983</v>
      </c>
    </row>
    <row r="644" spans="2:11" x14ac:dyDescent="0.25">
      <c r="B644" t="s">
        <v>120</v>
      </c>
      <c r="C644" s="1">
        <v>6</v>
      </c>
      <c r="D644" s="1">
        <v>2020</v>
      </c>
      <c r="E644" s="166">
        <v>1000</v>
      </c>
      <c r="F644" s="1" t="s">
        <v>21</v>
      </c>
      <c r="G644" s="1" t="str">
        <f>IF(Table2[[#This Row],[Description]]="","",VLOOKUP(Table2[[#This Row],[Description]],$Q$1:$S$101,2,FALSE))</f>
        <v>Investment</v>
      </c>
      <c r="H644" s="1" t="str">
        <f>IF(Table2[[#This Row],[Description]]="","",VLOOKUP(Table2[[#This Row],[Description]],$Q$1:$S$101,3,FALSE))</f>
        <v>Long</v>
      </c>
      <c r="I644" s="1">
        <f>IF(Table2[[#This Row],[Description]]="","",IF(Table2[[#This Row],[Currency]]=$O$2,$P$2,HLOOKUP(Table2[[#This Row],[Date]],Funds!$C$10:$GV$11,2,FALSE)))</f>
        <v>1</v>
      </c>
      <c r="J644" s="215">
        <f>IF(Table2[[#This Row],[Description]]="","",Table2[[#This Row],[Value]]/Table2[[#This Row],[Conversion]])</f>
        <v>1000</v>
      </c>
      <c r="K644" s="45">
        <f>IF(Table2[[#This Row],[Description]]="","",DATE(Table2[[#This Row],[Year]],Table2[[#This Row],[Month]],1))</f>
        <v>43983</v>
      </c>
    </row>
    <row r="645" spans="2:11" x14ac:dyDescent="0.25">
      <c r="B645" t="s">
        <v>320</v>
      </c>
      <c r="C645" s="1">
        <v>6</v>
      </c>
      <c r="D645" s="1">
        <v>2020</v>
      </c>
      <c r="E645" s="166">
        <v>289.40699999999998</v>
      </c>
      <c r="F645" s="1" t="s">
        <v>21</v>
      </c>
      <c r="G645" s="1" t="str">
        <f>IF(Table2[[#This Row],[Description]]="","",VLOOKUP(Table2[[#This Row],[Description]],$Q$1:$S$101,2,FALSE))</f>
        <v>Long</v>
      </c>
      <c r="H645" s="1" t="str">
        <f>IF(Table2[[#This Row],[Description]]="","",VLOOKUP(Table2[[#This Row],[Description]],$Q$1:$S$101,3,FALSE))</f>
        <v>Long</v>
      </c>
      <c r="I645" s="1">
        <f>IF(Table2[[#This Row],[Description]]="","",IF(Table2[[#This Row],[Currency]]=$O$2,$P$2,HLOOKUP(Table2[[#This Row],[Date]],Funds!$C$10:$GV$11,2,FALSE)))</f>
        <v>1</v>
      </c>
      <c r="J645" s="215">
        <f>IF(Table2[[#This Row],[Description]]="","",Table2[[#This Row],[Value]]/Table2[[#This Row],[Conversion]])</f>
        <v>289.40699999999998</v>
      </c>
      <c r="K645" s="45">
        <f>IF(Table2[[#This Row],[Description]]="","",DATE(Table2[[#This Row],[Year]],Table2[[#This Row],[Month]],1))</f>
        <v>43983</v>
      </c>
    </row>
    <row r="646" spans="2:11" x14ac:dyDescent="0.25">
      <c r="B646" t="s">
        <v>46</v>
      </c>
      <c r="C646" s="1">
        <v>6</v>
      </c>
      <c r="D646" s="1">
        <v>2020</v>
      </c>
      <c r="E646" s="166">
        <v>108.23821799999999</v>
      </c>
      <c r="F646" s="1" t="s">
        <v>21</v>
      </c>
      <c r="G646" s="1" t="str">
        <f>IF(Table2[[#This Row],[Description]]="","",VLOOKUP(Table2[[#This Row],[Description]],$Q$1:$S$101,2,FALSE))</f>
        <v>Health care</v>
      </c>
      <c r="H646" s="1" t="str">
        <f>IF(Table2[[#This Row],[Description]]="","",VLOOKUP(Table2[[#This Row],[Description]],$Q$1:$S$101,3,FALSE))</f>
        <v>Short</v>
      </c>
      <c r="I646" s="1">
        <f>IF(Table2[[#This Row],[Description]]="","",IF(Table2[[#This Row],[Currency]]=$O$2,$P$2,HLOOKUP(Table2[[#This Row],[Date]],Funds!$C$10:$GV$11,2,FALSE)))</f>
        <v>1</v>
      </c>
      <c r="J646" s="215">
        <f>IF(Table2[[#This Row],[Description]]="","",Table2[[#This Row],[Value]]/Table2[[#This Row],[Conversion]])</f>
        <v>108.23821799999999</v>
      </c>
      <c r="K646" s="45">
        <f>IF(Table2[[#This Row],[Description]]="","",DATE(Table2[[#This Row],[Year]],Table2[[#This Row],[Month]],1))</f>
        <v>43983</v>
      </c>
    </row>
    <row r="647" spans="2:11" x14ac:dyDescent="0.25">
      <c r="B647" t="s">
        <v>324</v>
      </c>
      <c r="C647" s="1">
        <v>6</v>
      </c>
      <c r="D647" s="1">
        <v>2020</v>
      </c>
      <c r="E647" s="166">
        <v>13.923692333333333</v>
      </c>
      <c r="F647" s="1" t="s">
        <v>21</v>
      </c>
      <c r="G647" s="1" t="str">
        <f>IF(Table2[[#This Row],[Description]]="","",VLOOKUP(Table2[[#This Row],[Description]],$Q$1:$S$101,2,FALSE))</f>
        <v>Health care</v>
      </c>
      <c r="H647" s="1" t="str">
        <f>IF(Table2[[#This Row],[Description]]="","",VLOOKUP(Table2[[#This Row],[Description]],$Q$1:$S$101,3,FALSE))</f>
        <v>Short</v>
      </c>
      <c r="I647" s="1">
        <f>IF(Table2[[#This Row],[Description]]="","",IF(Table2[[#This Row],[Currency]]=$O$2,$P$2,HLOOKUP(Table2[[#This Row],[Date]],Funds!$C$10:$GV$11,2,FALSE)))</f>
        <v>1</v>
      </c>
      <c r="J647" s="215">
        <f>IF(Table2[[#This Row],[Description]]="","",Table2[[#This Row],[Value]]/Table2[[#This Row],[Conversion]])</f>
        <v>13.923692333333333</v>
      </c>
      <c r="K647" s="45">
        <f>IF(Table2[[#This Row],[Description]]="","",DATE(Table2[[#This Row],[Year]],Table2[[#This Row],[Month]],1))</f>
        <v>43983</v>
      </c>
    </row>
    <row r="648" spans="2:11" x14ac:dyDescent="0.25">
      <c r="B648" t="s">
        <v>57</v>
      </c>
      <c r="C648" s="1">
        <v>6</v>
      </c>
      <c r="D648" s="1">
        <v>2020</v>
      </c>
      <c r="E648" s="166">
        <v>9.23</v>
      </c>
      <c r="F648" s="1" t="s">
        <v>21</v>
      </c>
      <c r="G648" s="1" t="str">
        <f>IF(Table2[[#This Row],[Description]]="","",VLOOKUP(Table2[[#This Row],[Description]],$Q$1:$S$101,2,FALSE))</f>
        <v>Food</v>
      </c>
      <c r="H648" s="1" t="str">
        <f>IF(Table2[[#This Row],[Description]]="","",VLOOKUP(Table2[[#This Row],[Description]],$Q$1:$S$101,3,FALSE))</f>
        <v>Short</v>
      </c>
      <c r="I648" s="1">
        <f>IF(Table2[[#This Row],[Description]]="","",IF(Table2[[#This Row],[Currency]]=$O$2,$P$2,HLOOKUP(Table2[[#This Row],[Date]],Funds!$C$10:$GV$11,2,FALSE)))</f>
        <v>1</v>
      </c>
      <c r="J648" s="215">
        <f>IF(Table2[[#This Row],[Description]]="","",Table2[[#This Row],[Value]]/Table2[[#This Row],[Conversion]])</f>
        <v>9.23</v>
      </c>
      <c r="K648" s="45">
        <f>IF(Table2[[#This Row],[Description]]="","",DATE(Table2[[#This Row],[Year]],Table2[[#This Row],[Month]],1))</f>
        <v>43983</v>
      </c>
    </row>
    <row r="649" spans="2:11" x14ac:dyDescent="0.25">
      <c r="B649" t="s">
        <v>256</v>
      </c>
      <c r="C649" s="1">
        <v>6</v>
      </c>
      <c r="D649" s="1">
        <v>2020</v>
      </c>
      <c r="E649" s="166">
        <v>23.34</v>
      </c>
      <c r="F649" s="1" t="s">
        <v>21</v>
      </c>
      <c r="G649" s="1" t="str">
        <f>IF(Table2[[#This Row],[Description]]="","",VLOOKUP(Table2[[#This Row],[Description]],$Q$1:$S$101,2,FALSE))</f>
        <v>MN free</v>
      </c>
      <c r="H649" s="1" t="str">
        <f>IF(Table2[[#This Row],[Description]]="","",VLOOKUP(Table2[[#This Row],[Description]],$Q$1:$S$101,3,FALSE))</f>
        <v>Mid</v>
      </c>
      <c r="I649" s="1">
        <f>IF(Table2[[#This Row],[Description]]="","",IF(Table2[[#This Row],[Currency]]=$O$2,$P$2,HLOOKUP(Table2[[#This Row],[Date]],Funds!$C$10:$GV$11,2,FALSE)))</f>
        <v>1</v>
      </c>
      <c r="J649" s="215">
        <f>IF(Table2[[#This Row],[Description]]="","",Table2[[#This Row],[Value]]/Table2[[#This Row],[Conversion]])</f>
        <v>23.34</v>
      </c>
      <c r="K649" s="45">
        <f>IF(Table2[[#This Row],[Description]]="","",DATE(Table2[[#This Row],[Year]],Table2[[#This Row],[Month]],1))</f>
        <v>43983</v>
      </c>
    </row>
    <row r="650" spans="2:11" x14ac:dyDescent="0.25">
      <c r="B650" t="s">
        <v>255</v>
      </c>
      <c r="C650" s="1">
        <v>6</v>
      </c>
      <c r="D650" s="1">
        <v>2020</v>
      </c>
      <c r="E650" s="166">
        <v>21.22</v>
      </c>
      <c r="F650" s="1" t="s">
        <v>21</v>
      </c>
      <c r="G650" s="1" t="str">
        <f>IF(Table2[[#This Row],[Description]]="","",VLOOKUP(Table2[[#This Row],[Description]],$Q$1:$S$101,2,FALSE))</f>
        <v>EK free</v>
      </c>
      <c r="H650" s="1" t="str">
        <f>IF(Table2[[#This Row],[Description]]="","",VLOOKUP(Table2[[#This Row],[Description]],$Q$1:$S$101,3,FALSE))</f>
        <v>Mid</v>
      </c>
      <c r="I650" s="1">
        <f>IF(Table2[[#This Row],[Description]]="","",IF(Table2[[#This Row],[Currency]]=$O$2,$P$2,HLOOKUP(Table2[[#This Row],[Date]],Funds!$C$10:$GV$11,2,FALSE)))</f>
        <v>1</v>
      </c>
      <c r="J650" s="215">
        <f>IF(Table2[[#This Row],[Description]]="","",Table2[[#This Row],[Value]]/Table2[[#This Row],[Conversion]])</f>
        <v>21.22</v>
      </c>
      <c r="K650" s="45">
        <f>IF(Table2[[#This Row],[Description]]="","",DATE(Table2[[#This Row],[Year]],Table2[[#This Row],[Month]],1))</f>
        <v>43983</v>
      </c>
    </row>
    <row r="651" spans="2:11" x14ac:dyDescent="0.25">
      <c r="B651" t="s">
        <v>269</v>
      </c>
      <c r="C651" s="1">
        <v>6</v>
      </c>
      <c r="D651" s="1">
        <v>2020</v>
      </c>
      <c r="E651" s="166">
        <v>21.97</v>
      </c>
      <c r="F651" s="1" t="s">
        <v>21</v>
      </c>
      <c r="G651" s="1" t="str">
        <f>IF(Table2[[#This Row],[Description]]="","",VLOOKUP(Table2[[#This Row],[Description]],$Q$1:$S$101,2,FALSE))</f>
        <v>Other Mid</v>
      </c>
      <c r="H651" s="1" t="str">
        <f>IF(Table2[[#This Row],[Description]]="","",VLOOKUP(Table2[[#This Row],[Description]],$Q$1:$S$101,3,FALSE))</f>
        <v>Mid</v>
      </c>
      <c r="I651" s="1">
        <f>IF(Table2[[#This Row],[Description]]="","",IF(Table2[[#This Row],[Currency]]=$O$2,$P$2,HLOOKUP(Table2[[#This Row],[Date]],Funds!$C$10:$GV$11,2,FALSE)))</f>
        <v>1</v>
      </c>
      <c r="J651" s="215">
        <f>IF(Table2[[#This Row],[Description]]="","",Table2[[#This Row],[Value]]/Table2[[#This Row],[Conversion]])</f>
        <v>21.97</v>
      </c>
      <c r="K651" s="45">
        <f>IF(Table2[[#This Row],[Description]]="","",DATE(Table2[[#This Row],[Year]],Table2[[#This Row],[Month]],1))</f>
        <v>43983</v>
      </c>
    </row>
    <row r="652" spans="2:11" x14ac:dyDescent="0.25">
      <c r="B652" t="s">
        <v>256</v>
      </c>
      <c r="C652" s="1">
        <v>6</v>
      </c>
      <c r="D652" s="1">
        <v>2020</v>
      </c>
      <c r="E652" s="166">
        <v>20.059999999999999</v>
      </c>
      <c r="F652" s="1" t="s">
        <v>21</v>
      </c>
      <c r="G652" s="1" t="str">
        <f>IF(Table2[[#This Row],[Description]]="","",VLOOKUP(Table2[[#This Row],[Description]],$Q$1:$S$101,2,FALSE))</f>
        <v>MN free</v>
      </c>
      <c r="H652" s="1" t="str">
        <f>IF(Table2[[#This Row],[Description]]="","",VLOOKUP(Table2[[#This Row],[Description]],$Q$1:$S$101,3,FALSE))</f>
        <v>Mid</v>
      </c>
      <c r="I652" s="1">
        <f>IF(Table2[[#This Row],[Description]]="","",IF(Table2[[#This Row],[Currency]]=$O$2,$P$2,HLOOKUP(Table2[[#This Row],[Date]],Funds!$C$10:$GV$11,2,FALSE)))</f>
        <v>1</v>
      </c>
      <c r="J652" s="215">
        <f>IF(Table2[[#This Row],[Description]]="","",Table2[[#This Row],[Value]]/Table2[[#This Row],[Conversion]])</f>
        <v>20.059999999999999</v>
      </c>
      <c r="K652" s="45">
        <f>IF(Table2[[#This Row],[Description]]="","",DATE(Table2[[#This Row],[Year]],Table2[[#This Row],[Month]],1))</f>
        <v>43983</v>
      </c>
    </row>
    <row r="653" spans="2:11" x14ac:dyDescent="0.25">
      <c r="B653" t="s">
        <v>316</v>
      </c>
      <c r="C653" s="1">
        <v>6</v>
      </c>
      <c r="D653" s="1">
        <v>2020</v>
      </c>
      <c r="E653" s="166">
        <v>40.729999999999997</v>
      </c>
      <c r="F653" s="1" t="s">
        <v>21</v>
      </c>
      <c r="G653" s="1" t="str">
        <f>IF(Table2[[#This Row],[Description]]="","",VLOOKUP(Table2[[#This Row],[Description]],$Q$1:$S$101,2,FALSE))</f>
        <v>Gifts</v>
      </c>
      <c r="H653" s="1" t="str">
        <f>IF(Table2[[#This Row],[Description]]="","",VLOOKUP(Table2[[#This Row],[Description]],$Q$1:$S$101,3,FALSE))</f>
        <v>Mid</v>
      </c>
      <c r="I653" s="1">
        <f>IF(Table2[[#This Row],[Description]]="","",IF(Table2[[#This Row],[Currency]]=$O$2,$P$2,HLOOKUP(Table2[[#This Row],[Date]],Funds!$C$10:$GV$11,2,FALSE)))</f>
        <v>1</v>
      </c>
      <c r="J653" s="215">
        <f>IF(Table2[[#This Row],[Description]]="","",Table2[[#This Row],[Value]]/Table2[[#This Row],[Conversion]])</f>
        <v>40.729999999999997</v>
      </c>
      <c r="K653" s="45">
        <f>IF(Table2[[#This Row],[Description]]="","",DATE(Table2[[#This Row],[Year]],Table2[[#This Row],[Month]],1))</f>
        <v>43983</v>
      </c>
    </row>
    <row r="654" spans="2:11" x14ac:dyDescent="0.25">
      <c r="B654" t="s">
        <v>256</v>
      </c>
      <c r="C654" s="1">
        <v>6</v>
      </c>
      <c r="D654" s="1">
        <v>2020</v>
      </c>
      <c r="E654" s="166">
        <v>31.86</v>
      </c>
      <c r="F654" s="1" t="s">
        <v>21</v>
      </c>
      <c r="G654" s="1" t="str">
        <f>IF(Table2[[#This Row],[Description]]="","",VLOOKUP(Table2[[#This Row],[Description]],$Q$1:$S$101,2,FALSE))</f>
        <v>MN free</v>
      </c>
      <c r="H654" s="1" t="str">
        <f>IF(Table2[[#This Row],[Description]]="","",VLOOKUP(Table2[[#This Row],[Description]],$Q$1:$S$101,3,FALSE))</f>
        <v>Mid</v>
      </c>
      <c r="I654" s="1">
        <f>IF(Table2[[#This Row],[Description]]="","",IF(Table2[[#This Row],[Currency]]=$O$2,$P$2,HLOOKUP(Table2[[#This Row],[Date]],Funds!$C$10:$GV$11,2,FALSE)))</f>
        <v>1</v>
      </c>
      <c r="J654" s="215">
        <f>IF(Table2[[#This Row],[Description]]="","",Table2[[#This Row],[Value]]/Table2[[#This Row],[Conversion]])</f>
        <v>31.86</v>
      </c>
      <c r="K654" s="45">
        <f>IF(Table2[[#This Row],[Description]]="","",DATE(Table2[[#This Row],[Year]],Table2[[#This Row],[Month]],1))</f>
        <v>43983</v>
      </c>
    </row>
    <row r="655" spans="2:11" x14ac:dyDescent="0.25">
      <c r="B655" t="s">
        <v>256</v>
      </c>
      <c r="C655" s="1">
        <v>6</v>
      </c>
      <c r="D655" s="1">
        <v>2020</v>
      </c>
      <c r="E655" s="166">
        <v>15.98</v>
      </c>
      <c r="F655" s="1" t="s">
        <v>21</v>
      </c>
      <c r="G655" s="1" t="str">
        <f>IF(Table2[[#This Row],[Description]]="","",VLOOKUP(Table2[[#This Row],[Description]],$Q$1:$S$101,2,FALSE))</f>
        <v>MN free</v>
      </c>
      <c r="H655" s="1" t="str">
        <f>IF(Table2[[#This Row],[Description]]="","",VLOOKUP(Table2[[#This Row],[Description]],$Q$1:$S$101,3,FALSE))</f>
        <v>Mid</v>
      </c>
      <c r="I655" s="1">
        <f>IF(Table2[[#This Row],[Description]]="","",IF(Table2[[#This Row],[Currency]]=$O$2,$P$2,HLOOKUP(Table2[[#This Row],[Date]],Funds!$C$10:$GV$11,2,FALSE)))</f>
        <v>1</v>
      </c>
      <c r="J655" s="215">
        <f>IF(Table2[[#This Row],[Description]]="","",Table2[[#This Row],[Value]]/Table2[[#This Row],[Conversion]])</f>
        <v>15.98</v>
      </c>
      <c r="K655" s="45">
        <f>IF(Table2[[#This Row],[Description]]="","",DATE(Table2[[#This Row],[Year]],Table2[[#This Row],[Month]],1))</f>
        <v>43983</v>
      </c>
    </row>
    <row r="656" spans="2:11" x14ac:dyDescent="0.25">
      <c r="B656" t="s">
        <v>256</v>
      </c>
      <c r="C656" s="1">
        <v>6</v>
      </c>
      <c r="D656" s="1">
        <v>2020</v>
      </c>
      <c r="E656" s="166">
        <v>39.31</v>
      </c>
      <c r="F656" s="1" t="s">
        <v>21</v>
      </c>
      <c r="G656" s="1" t="str">
        <f>IF(Table2[[#This Row],[Description]]="","",VLOOKUP(Table2[[#This Row],[Description]],$Q$1:$S$101,2,FALSE))</f>
        <v>MN free</v>
      </c>
      <c r="H656" s="1" t="str">
        <f>IF(Table2[[#This Row],[Description]]="","",VLOOKUP(Table2[[#This Row],[Description]],$Q$1:$S$101,3,FALSE))</f>
        <v>Mid</v>
      </c>
      <c r="I656" s="1">
        <f>IF(Table2[[#This Row],[Description]]="","",IF(Table2[[#This Row],[Currency]]=$O$2,$P$2,HLOOKUP(Table2[[#This Row],[Date]],Funds!$C$10:$GV$11,2,FALSE)))</f>
        <v>1</v>
      </c>
      <c r="J656" s="215">
        <f>IF(Table2[[#This Row],[Description]]="","",Table2[[#This Row],[Value]]/Table2[[#This Row],[Conversion]])</f>
        <v>39.31</v>
      </c>
      <c r="K656" s="45">
        <f>IF(Table2[[#This Row],[Description]]="","",DATE(Table2[[#This Row],[Year]],Table2[[#This Row],[Month]],1))</f>
        <v>43983</v>
      </c>
    </row>
    <row r="657" spans="2:11" x14ac:dyDescent="0.25">
      <c r="B657" t="s">
        <v>256</v>
      </c>
      <c r="C657" s="1">
        <v>6</v>
      </c>
      <c r="D657" s="1">
        <v>2020</v>
      </c>
      <c r="E657" s="166">
        <v>13.8</v>
      </c>
      <c r="F657" s="1" t="s">
        <v>21</v>
      </c>
      <c r="G657" s="1" t="str">
        <f>IF(Table2[[#This Row],[Description]]="","",VLOOKUP(Table2[[#This Row],[Description]],$Q$1:$S$101,2,FALSE))</f>
        <v>MN free</v>
      </c>
      <c r="H657" s="1" t="str">
        <f>IF(Table2[[#This Row],[Description]]="","",VLOOKUP(Table2[[#This Row],[Description]],$Q$1:$S$101,3,FALSE))</f>
        <v>Mid</v>
      </c>
      <c r="I657" s="1">
        <f>IF(Table2[[#This Row],[Description]]="","",IF(Table2[[#This Row],[Currency]]=$O$2,$P$2,HLOOKUP(Table2[[#This Row],[Date]],Funds!$C$10:$GV$11,2,FALSE)))</f>
        <v>1</v>
      </c>
      <c r="J657" s="215">
        <f>IF(Table2[[#This Row],[Description]]="","",Table2[[#This Row],[Value]]/Table2[[#This Row],[Conversion]])</f>
        <v>13.8</v>
      </c>
      <c r="K657" s="45">
        <f>IF(Table2[[#This Row],[Description]]="","",DATE(Table2[[#This Row],[Year]],Table2[[#This Row],[Month]],1))</f>
        <v>43983</v>
      </c>
    </row>
    <row r="658" spans="2:11" x14ac:dyDescent="0.25">
      <c r="G658" s="1" t="str">
        <f>IF(Table2[[#This Row],[Description]]="","",VLOOKUP(Table2[[#This Row],[Description]],$Q$1:$S$101,2,FALSE))</f>
        <v/>
      </c>
      <c r="H658" s="1" t="str">
        <f>IF(Table2[[#This Row],[Description]]="","",VLOOKUP(Table2[[#This Row],[Description]],$Q$1:$S$101,3,FALSE))</f>
        <v/>
      </c>
      <c r="I658" s="1" t="str">
        <f>IF(Table2[[#This Row],[Description]]="","",IF(Table2[[#This Row],[Currency]]=$O$2,$P$2,HLOOKUP(Table2[[#This Row],[Date]],Funds!$C$10:$GV$11,2,FALSE)))</f>
        <v/>
      </c>
      <c r="J658" s="215" t="str">
        <f>IF(Table2[[#This Row],[Description]]="","",Table2[[#This Row],[Value]]/Table2[[#This Row],[Conversion]])</f>
        <v/>
      </c>
      <c r="K658" s="45" t="str">
        <f>IF(Table2[[#This Row],[Description]]="","",DATE(Table2[[#This Row],[Year]],Table2[[#This Row],[Month]],1))</f>
        <v/>
      </c>
    </row>
    <row r="659" spans="2:11" x14ac:dyDescent="0.25">
      <c r="G659" s="1" t="str">
        <f>IF(Table2[[#This Row],[Description]]="","",VLOOKUP(Table2[[#This Row],[Description]],$Q$1:$S$101,2,FALSE))</f>
        <v/>
      </c>
      <c r="H659" s="1" t="str">
        <f>IF(Table2[[#This Row],[Description]]="","",VLOOKUP(Table2[[#This Row],[Description]],$Q$1:$S$101,3,FALSE))</f>
        <v/>
      </c>
      <c r="I659" s="1" t="str">
        <f>IF(Table2[[#This Row],[Description]]="","",IF(Table2[[#This Row],[Currency]]=$O$2,$P$2,HLOOKUP(Table2[[#This Row],[Date]],Funds!$C$10:$GV$11,2,FALSE)))</f>
        <v/>
      </c>
      <c r="J659" s="215" t="str">
        <f>IF(Table2[[#This Row],[Description]]="","",Table2[[#This Row],[Value]]/Table2[[#This Row],[Conversion]])</f>
        <v/>
      </c>
      <c r="K659" s="45" t="str">
        <f>IF(Table2[[#This Row],[Description]]="","",DATE(Table2[[#This Row],[Year]],Table2[[#This Row],[Month]],1))</f>
        <v/>
      </c>
    </row>
    <row r="660" spans="2:11" x14ac:dyDescent="0.25">
      <c r="G660" s="1" t="str">
        <f>IF(Table2[[#This Row],[Description]]="","",VLOOKUP(Table2[[#This Row],[Description]],$Q$1:$S$101,2,FALSE))</f>
        <v/>
      </c>
      <c r="H660" s="1" t="str">
        <f>IF(Table2[[#This Row],[Description]]="","",VLOOKUP(Table2[[#This Row],[Description]],$Q$1:$S$101,3,FALSE))</f>
        <v/>
      </c>
      <c r="I660" s="1" t="str">
        <f>IF(Table2[[#This Row],[Description]]="","",IF(Table2[[#This Row],[Currency]]=$O$2,$P$2,HLOOKUP(Table2[[#This Row],[Date]],Funds!$C$10:$GV$11,2,FALSE)))</f>
        <v/>
      </c>
      <c r="J660" s="215" t="str">
        <f>IF(Table2[[#This Row],[Description]]="","",Table2[[#This Row],[Value]]/Table2[[#This Row],[Conversion]])</f>
        <v/>
      </c>
      <c r="K660" s="45" t="str">
        <f>IF(Table2[[#This Row],[Description]]="","",DATE(Table2[[#This Row],[Year]],Table2[[#This Row],[Month]],1))</f>
        <v/>
      </c>
    </row>
    <row r="661" spans="2:11" x14ac:dyDescent="0.25">
      <c r="G661" s="1" t="str">
        <f>IF(Table2[[#This Row],[Description]]="","",VLOOKUP(Table2[[#This Row],[Description]],$Q$1:$S$101,2,FALSE))</f>
        <v/>
      </c>
      <c r="H661" s="1" t="str">
        <f>IF(Table2[[#This Row],[Description]]="","",VLOOKUP(Table2[[#This Row],[Description]],$Q$1:$S$101,3,FALSE))</f>
        <v/>
      </c>
      <c r="I661" s="1" t="str">
        <f>IF(Table2[[#This Row],[Description]]="","",IF(Table2[[#This Row],[Currency]]=$O$2,$P$2,HLOOKUP(Table2[[#This Row],[Date]],Funds!$C$10:$GV$11,2,FALSE)))</f>
        <v/>
      </c>
      <c r="J661" s="215" t="str">
        <f>IF(Table2[[#This Row],[Description]]="","",Table2[[#This Row],[Value]]/Table2[[#This Row],[Conversion]])</f>
        <v/>
      </c>
      <c r="K661" s="45" t="str">
        <f>IF(Table2[[#This Row],[Description]]="","",DATE(Table2[[#This Row],[Year]],Table2[[#This Row],[Month]],1))</f>
        <v/>
      </c>
    </row>
    <row r="662" spans="2:11" x14ac:dyDescent="0.25">
      <c r="G662" s="1" t="str">
        <f>IF(Table2[[#This Row],[Description]]="","",VLOOKUP(Table2[[#This Row],[Description]],$Q$1:$S$101,2,FALSE))</f>
        <v/>
      </c>
      <c r="H662" s="1" t="str">
        <f>IF(Table2[[#This Row],[Description]]="","",VLOOKUP(Table2[[#This Row],[Description]],$Q$1:$S$101,3,FALSE))</f>
        <v/>
      </c>
      <c r="I662" s="1" t="str">
        <f>IF(Table2[[#This Row],[Description]]="","",IF(Table2[[#This Row],[Currency]]=$O$2,$P$2,HLOOKUP(Table2[[#This Row],[Date]],Funds!$C$10:$GV$11,2,FALSE)))</f>
        <v/>
      </c>
      <c r="J662" s="215" t="str">
        <f>IF(Table2[[#This Row],[Description]]="","",Table2[[#This Row],[Value]]/Table2[[#This Row],[Conversion]])</f>
        <v/>
      </c>
      <c r="K662" s="45" t="str">
        <f>IF(Table2[[#This Row],[Description]]="","",DATE(Table2[[#This Row],[Year]],Table2[[#This Row],[Month]],1))</f>
        <v/>
      </c>
    </row>
    <row r="663" spans="2:11" x14ac:dyDescent="0.25">
      <c r="G663" s="1" t="str">
        <f>IF(Table2[[#This Row],[Description]]="","",VLOOKUP(Table2[[#This Row],[Description]],$Q$1:$S$101,2,FALSE))</f>
        <v/>
      </c>
      <c r="H663" s="1" t="str">
        <f>IF(Table2[[#This Row],[Description]]="","",VLOOKUP(Table2[[#This Row],[Description]],$Q$1:$S$101,3,FALSE))</f>
        <v/>
      </c>
      <c r="I663" s="1" t="str">
        <f>IF(Table2[[#This Row],[Description]]="","",IF(Table2[[#This Row],[Currency]]=$O$2,$P$2,HLOOKUP(Table2[[#This Row],[Date]],Funds!$C$10:$GV$11,2,FALSE)))</f>
        <v/>
      </c>
      <c r="J663" s="215" t="str">
        <f>IF(Table2[[#This Row],[Description]]="","",Table2[[#This Row],[Value]]/Table2[[#This Row],[Conversion]])</f>
        <v/>
      </c>
      <c r="K663" s="45" t="str">
        <f>IF(Table2[[#This Row],[Description]]="","",DATE(Table2[[#This Row],[Year]],Table2[[#This Row],[Month]],1))</f>
        <v/>
      </c>
    </row>
    <row r="664" spans="2:11" x14ac:dyDescent="0.25">
      <c r="G664" s="1" t="str">
        <f>IF(Table2[[#This Row],[Description]]="","",VLOOKUP(Table2[[#This Row],[Description]],$Q$1:$S$101,2,FALSE))</f>
        <v/>
      </c>
      <c r="H664" s="1" t="str">
        <f>IF(Table2[[#This Row],[Description]]="","",VLOOKUP(Table2[[#This Row],[Description]],$Q$1:$S$101,3,FALSE))</f>
        <v/>
      </c>
      <c r="I664" s="1" t="str">
        <f>IF(Table2[[#This Row],[Description]]="","",IF(Table2[[#This Row],[Currency]]=$O$2,$P$2,HLOOKUP(Table2[[#This Row],[Date]],Funds!$C$10:$GV$11,2,FALSE)))</f>
        <v/>
      </c>
      <c r="J664" s="215" t="str">
        <f>IF(Table2[[#This Row],[Description]]="","",Table2[[#This Row],[Value]]/Table2[[#This Row],[Conversion]])</f>
        <v/>
      </c>
      <c r="K664" s="45" t="str">
        <f>IF(Table2[[#This Row],[Description]]="","",DATE(Table2[[#This Row],[Year]],Table2[[#This Row],[Month]],1))</f>
        <v/>
      </c>
    </row>
    <row r="665" spans="2:11" x14ac:dyDescent="0.25">
      <c r="G665" s="1" t="str">
        <f>IF(Table2[[#This Row],[Description]]="","",VLOOKUP(Table2[[#This Row],[Description]],$Q$1:$S$101,2,FALSE))</f>
        <v/>
      </c>
      <c r="H665" s="1" t="str">
        <f>IF(Table2[[#This Row],[Description]]="","",VLOOKUP(Table2[[#This Row],[Description]],$Q$1:$S$101,3,FALSE))</f>
        <v/>
      </c>
      <c r="I665" s="1" t="str">
        <f>IF(Table2[[#This Row],[Description]]="","",IF(Table2[[#This Row],[Currency]]=$O$2,$P$2,HLOOKUP(Table2[[#This Row],[Date]],Funds!$C$10:$GV$11,2,FALSE)))</f>
        <v/>
      </c>
      <c r="J665" s="215" t="str">
        <f>IF(Table2[[#This Row],[Description]]="","",Table2[[#This Row],[Value]]/Table2[[#This Row],[Conversion]])</f>
        <v/>
      </c>
      <c r="K665" s="45" t="str">
        <f>IF(Table2[[#This Row],[Description]]="","",DATE(Table2[[#This Row],[Year]],Table2[[#This Row],[Month]],1))</f>
        <v/>
      </c>
    </row>
    <row r="666" spans="2:11" x14ac:dyDescent="0.25">
      <c r="G666" s="1" t="str">
        <f>IF(Table2[[#This Row],[Description]]="","",VLOOKUP(Table2[[#This Row],[Description]],$Q$1:$S$101,2,FALSE))</f>
        <v/>
      </c>
      <c r="H666" s="1" t="str">
        <f>IF(Table2[[#This Row],[Description]]="","",VLOOKUP(Table2[[#This Row],[Description]],$Q$1:$S$101,3,FALSE))</f>
        <v/>
      </c>
      <c r="I666" s="1" t="str">
        <f>IF(Table2[[#This Row],[Description]]="","",IF(Table2[[#This Row],[Currency]]=$O$2,$P$2,HLOOKUP(Table2[[#This Row],[Date]],Funds!$C$10:$GV$11,2,FALSE)))</f>
        <v/>
      </c>
      <c r="J666" s="215" t="str">
        <f>IF(Table2[[#This Row],[Description]]="","",Table2[[#This Row],[Value]]/Table2[[#This Row],[Conversion]])</f>
        <v/>
      </c>
      <c r="K666" s="45" t="str">
        <f>IF(Table2[[#This Row],[Description]]="","",DATE(Table2[[#This Row],[Year]],Table2[[#This Row],[Month]],1))</f>
        <v/>
      </c>
    </row>
    <row r="667" spans="2:11" x14ac:dyDescent="0.25">
      <c r="G667" s="1" t="str">
        <f>IF(Table2[[#This Row],[Description]]="","",VLOOKUP(Table2[[#This Row],[Description]],$Q$1:$S$101,2,FALSE))</f>
        <v/>
      </c>
      <c r="H667" s="1" t="str">
        <f>IF(Table2[[#This Row],[Description]]="","",VLOOKUP(Table2[[#This Row],[Description]],$Q$1:$S$101,3,FALSE))</f>
        <v/>
      </c>
      <c r="I667" s="1" t="str">
        <f>IF(Table2[[#This Row],[Description]]="","",IF(Table2[[#This Row],[Currency]]=$O$2,$P$2,HLOOKUP(Table2[[#This Row],[Date]],Funds!$C$10:$GV$11,2,FALSE)))</f>
        <v/>
      </c>
      <c r="J667" s="215" t="str">
        <f>IF(Table2[[#This Row],[Description]]="","",Table2[[#This Row],[Value]]/Table2[[#This Row],[Conversion]])</f>
        <v/>
      </c>
      <c r="K667" s="45" t="str">
        <f>IF(Table2[[#This Row],[Description]]="","",DATE(Table2[[#This Row],[Year]],Table2[[#This Row],[Month]],1))</f>
        <v/>
      </c>
    </row>
    <row r="668" spans="2:11" x14ac:dyDescent="0.25">
      <c r="G668" s="1" t="str">
        <f>IF(Table2[[#This Row],[Description]]="","",VLOOKUP(Table2[[#This Row],[Description]],$Q$1:$S$101,2,FALSE))</f>
        <v/>
      </c>
      <c r="H668" s="1" t="str">
        <f>IF(Table2[[#This Row],[Description]]="","",VLOOKUP(Table2[[#This Row],[Description]],$Q$1:$S$101,3,FALSE))</f>
        <v/>
      </c>
      <c r="I668" s="1" t="str">
        <f>IF(Table2[[#This Row],[Description]]="","",IF(Table2[[#This Row],[Currency]]=$O$2,$P$2,HLOOKUP(Table2[[#This Row],[Date]],Funds!$C$10:$GV$11,2,FALSE)))</f>
        <v/>
      </c>
      <c r="J668" s="215" t="str">
        <f>IF(Table2[[#This Row],[Description]]="","",Table2[[#This Row],[Value]]/Table2[[#This Row],[Conversion]])</f>
        <v/>
      </c>
      <c r="K668" s="45" t="str">
        <f>IF(Table2[[#This Row],[Description]]="","",DATE(Table2[[#This Row],[Year]],Table2[[#This Row],[Month]],1))</f>
        <v/>
      </c>
    </row>
    <row r="669" spans="2:11" x14ac:dyDescent="0.25">
      <c r="G669" s="1" t="str">
        <f>IF(Table2[[#This Row],[Description]]="","",VLOOKUP(Table2[[#This Row],[Description]],$Q$1:$S$101,2,FALSE))</f>
        <v/>
      </c>
      <c r="H669" s="1" t="str">
        <f>IF(Table2[[#This Row],[Description]]="","",VLOOKUP(Table2[[#This Row],[Description]],$Q$1:$S$101,3,FALSE))</f>
        <v/>
      </c>
      <c r="I669" s="1" t="str">
        <f>IF(Table2[[#This Row],[Description]]="","",IF(Table2[[#This Row],[Currency]]=$O$2,$P$2,HLOOKUP(Table2[[#This Row],[Date]],Funds!$C$10:$GV$11,2,FALSE)))</f>
        <v/>
      </c>
      <c r="J669" s="215" t="str">
        <f>IF(Table2[[#This Row],[Description]]="","",Table2[[#This Row],[Value]]/Table2[[#This Row],[Conversion]])</f>
        <v/>
      </c>
      <c r="K669" s="45" t="str">
        <f>IF(Table2[[#This Row],[Description]]="","",DATE(Table2[[#This Row],[Year]],Table2[[#This Row],[Month]],1))</f>
        <v/>
      </c>
    </row>
    <row r="670" spans="2:11" x14ac:dyDescent="0.25">
      <c r="G670" s="1" t="str">
        <f>IF(Table2[[#This Row],[Description]]="","",VLOOKUP(Table2[[#This Row],[Description]],$Q$1:$S$101,2,FALSE))</f>
        <v/>
      </c>
      <c r="H670" s="1" t="str">
        <f>IF(Table2[[#This Row],[Description]]="","",VLOOKUP(Table2[[#This Row],[Description]],$Q$1:$S$101,3,FALSE))</f>
        <v/>
      </c>
      <c r="I670" s="1" t="str">
        <f>IF(Table2[[#This Row],[Description]]="","",IF(Table2[[#This Row],[Currency]]=$O$2,$P$2,HLOOKUP(Table2[[#This Row],[Date]],Funds!$C$10:$GV$11,2,FALSE)))</f>
        <v/>
      </c>
      <c r="J670" s="215" t="str">
        <f>IF(Table2[[#This Row],[Description]]="","",Table2[[#This Row],[Value]]/Table2[[#This Row],[Conversion]])</f>
        <v/>
      </c>
      <c r="K670" s="45" t="str">
        <f>IF(Table2[[#This Row],[Description]]="","",DATE(Table2[[#This Row],[Year]],Table2[[#This Row],[Month]],1))</f>
        <v/>
      </c>
    </row>
    <row r="671" spans="2:11" x14ac:dyDescent="0.25">
      <c r="G671" s="1" t="str">
        <f>IF(Table2[[#This Row],[Description]]="","",VLOOKUP(Table2[[#This Row],[Description]],$Q$1:$S$101,2,FALSE))</f>
        <v/>
      </c>
      <c r="H671" s="1" t="str">
        <f>IF(Table2[[#This Row],[Description]]="","",VLOOKUP(Table2[[#This Row],[Description]],$Q$1:$S$101,3,FALSE))</f>
        <v/>
      </c>
      <c r="I671" s="1" t="str">
        <f>IF(Table2[[#This Row],[Description]]="","",IF(Table2[[#This Row],[Currency]]=$O$2,$P$2,HLOOKUP(Table2[[#This Row],[Date]],Funds!$C$10:$GV$11,2,FALSE)))</f>
        <v/>
      </c>
      <c r="J671" s="215" t="str">
        <f>IF(Table2[[#This Row],[Description]]="","",Table2[[#This Row],[Value]]/Table2[[#This Row],[Conversion]])</f>
        <v/>
      </c>
      <c r="K671" s="45" t="str">
        <f>IF(Table2[[#This Row],[Description]]="","",DATE(Table2[[#This Row],[Year]],Table2[[#This Row],[Month]],1))</f>
        <v/>
      </c>
    </row>
    <row r="672" spans="2:11" x14ac:dyDescent="0.25">
      <c r="G672" s="1" t="str">
        <f>IF(Table2[[#This Row],[Description]]="","",VLOOKUP(Table2[[#This Row],[Description]],$Q$1:$S$101,2,FALSE))</f>
        <v/>
      </c>
      <c r="H672" s="1" t="str">
        <f>IF(Table2[[#This Row],[Description]]="","",VLOOKUP(Table2[[#This Row],[Description]],$Q$1:$S$101,3,FALSE))</f>
        <v/>
      </c>
      <c r="I672" s="1" t="str">
        <f>IF(Table2[[#This Row],[Description]]="","",IF(Table2[[#This Row],[Currency]]=$O$2,$P$2,HLOOKUP(Table2[[#This Row],[Date]],Funds!$C$10:$GV$11,2,FALSE)))</f>
        <v/>
      </c>
      <c r="J672" s="215" t="str">
        <f>IF(Table2[[#This Row],[Description]]="","",Table2[[#This Row],[Value]]/Table2[[#This Row],[Conversion]])</f>
        <v/>
      </c>
      <c r="K672" s="45" t="str">
        <f>IF(Table2[[#This Row],[Description]]="","",DATE(Table2[[#This Row],[Year]],Table2[[#This Row],[Month]],1))</f>
        <v/>
      </c>
    </row>
    <row r="673" spans="7:11" x14ac:dyDescent="0.25">
      <c r="G673" s="1" t="str">
        <f>IF(Table2[[#This Row],[Description]]="","",VLOOKUP(Table2[[#This Row],[Description]],$Q$1:$S$101,2,FALSE))</f>
        <v/>
      </c>
      <c r="H673" s="1" t="str">
        <f>IF(Table2[[#This Row],[Description]]="","",VLOOKUP(Table2[[#This Row],[Description]],$Q$1:$S$101,3,FALSE))</f>
        <v/>
      </c>
      <c r="I673" s="1" t="str">
        <f>IF(Table2[[#This Row],[Description]]="","",IF(Table2[[#This Row],[Currency]]=$O$2,$P$2,HLOOKUP(Table2[[#This Row],[Date]],Funds!$C$10:$GV$11,2,FALSE)))</f>
        <v/>
      </c>
      <c r="J673" s="215" t="str">
        <f>IF(Table2[[#This Row],[Description]]="","",Table2[[#This Row],[Value]]/Table2[[#This Row],[Conversion]])</f>
        <v/>
      </c>
      <c r="K673" s="45" t="str">
        <f>IF(Table2[[#This Row],[Description]]="","",DATE(Table2[[#This Row],[Year]],Table2[[#This Row],[Month]],1))</f>
        <v/>
      </c>
    </row>
    <row r="674" spans="7:11" x14ac:dyDescent="0.25">
      <c r="G674" s="1" t="str">
        <f>IF(Table2[[#This Row],[Description]]="","",VLOOKUP(Table2[[#This Row],[Description]],$Q$1:$S$101,2,FALSE))</f>
        <v/>
      </c>
      <c r="H674" s="1" t="str">
        <f>IF(Table2[[#This Row],[Description]]="","",VLOOKUP(Table2[[#This Row],[Description]],$Q$1:$S$101,3,FALSE))</f>
        <v/>
      </c>
      <c r="I674" s="1" t="str">
        <f>IF(Table2[[#This Row],[Description]]="","",IF(Table2[[#This Row],[Currency]]=$O$2,$P$2,HLOOKUP(Table2[[#This Row],[Date]],Funds!$C$10:$GV$11,2,FALSE)))</f>
        <v/>
      </c>
      <c r="J674" s="215" t="str">
        <f>IF(Table2[[#This Row],[Description]]="","",Table2[[#This Row],[Value]]/Table2[[#This Row],[Conversion]])</f>
        <v/>
      </c>
      <c r="K674" s="45" t="str">
        <f>IF(Table2[[#This Row],[Description]]="","",DATE(Table2[[#This Row],[Year]],Table2[[#This Row],[Month]],1))</f>
        <v/>
      </c>
    </row>
    <row r="675" spans="7:11" x14ac:dyDescent="0.25">
      <c r="G675" s="1" t="str">
        <f>IF(Table2[[#This Row],[Description]]="","",VLOOKUP(Table2[[#This Row],[Description]],$Q$1:$S$101,2,FALSE))</f>
        <v/>
      </c>
      <c r="H675" s="1" t="str">
        <f>IF(Table2[[#This Row],[Description]]="","",VLOOKUP(Table2[[#This Row],[Description]],$Q$1:$S$101,3,FALSE))</f>
        <v/>
      </c>
      <c r="I675" s="1" t="str">
        <f>IF(Table2[[#This Row],[Description]]="","",IF(Table2[[#This Row],[Currency]]=$O$2,$P$2,HLOOKUP(Table2[[#This Row],[Date]],Funds!$C$10:$GV$11,2,FALSE)))</f>
        <v/>
      </c>
      <c r="J675" s="215" t="str">
        <f>IF(Table2[[#This Row],[Description]]="","",Table2[[#This Row],[Value]]/Table2[[#This Row],[Conversion]])</f>
        <v/>
      </c>
      <c r="K675" s="45" t="str">
        <f>IF(Table2[[#This Row],[Description]]="","",DATE(Table2[[#This Row],[Year]],Table2[[#This Row],[Month]],1))</f>
        <v/>
      </c>
    </row>
    <row r="676" spans="7:11" x14ac:dyDescent="0.25">
      <c r="G676" s="1" t="str">
        <f>IF(Table2[[#This Row],[Description]]="","",VLOOKUP(Table2[[#This Row],[Description]],$Q$1:$S$101,2,FALSE))</f>
        <v/>
      </c>
      <c r="H676" s="1" t="str">
        <f>IF(Table2[[#This Row],[Description]]="","",VLOOKUP(Table2[[#This Row],[Description]],$Q$1:$S$101,3,FALSE))</f>
        <v/>
      </c>
      <c r="I676" s="1" t="str">
        <f>IF(Table2[[#This Row],[Description]]="","",IF(Table2[[#This Row],[Currency]]=$O$2,$P$2,HLOOKUP(Table2[[#This Row],[Date]],Funds!$C$10:$GV$11,2,FALSE)))</f>
        <v/>
      </c>
      <c r="J676" s="215" t="str">
        <f>IF(Table2[[#This Row],[Description]]="","",Table2[[#This Row],[Value]]/Table2[[#This Row],[Conversion]])</f>
        <v/>
      </c>
      <c r="K676" s="45" t="str">
        <f>IF(Table2[[#This Row],[Description]]="","",DATE(Table2[[#This Row],[Year]],Table2[[#This Row],[Month]],1))</f>
        <v/>
      </c>
    </row>
    <row r="677" spans="7:11" x14ac:dyDescent="0.25">
      <c r="G677" s="1" t="str">
        <f>IF(Table2[[#This Row],[Description]]="","",VLOOKUP(Table2[[#This Row],[Description]],$Q$1:$S$101,2,FALSE))</f>
        <v/>
      </c>
      <c r="H677" s="1" t="str">
        <f>IF(Table2[[#This Row],[Description]]="","",VLOOKUP(Table2[[#This Row],[Description]],$Q$1:$S$101,3,FALSE))</f>
        <v/>
      </c>
      <c r="I677" s="1" t="str">
        <f>IF(Table2[[#This Row],[Description]]="","",IF(Table2[[#This Row],[Currency]]=$O$2,$P$2,HLOOKUP(Table2[[#This Row],[Date]],Funds!$C$10:$GV$11,2,FALSE)))</f>
        <v/>
      </c>
      <c r="J677" s="215" t="str">
        <f>IF(Table2[[#This Row],[Description]]="","",Table2[[#This Row],[Value]]/Table2[[#This Row],[Conversion]])</f>
        <v/>
      </c>
      <c r="K677" s="45" t="str">
        <f>IF(Table2[[#This Row],[Description]]="","",DATE(Table2[[#This Row],[Year]],Table2[[#This Row],[Month]],1))</f>
        <v/>
      </c>
    </row>
    <row r="678" spans="7:11" x14ac:dyDescent="0.25">
      <c r="G678" s="1" t="str">
        <f>IF(Table2[[#This Row],[Description]]="","",VLOOKUP(Table2[[#This Row],[Description]],$Q$1:$S$101,2,FALSE))</f>
        <v/>
      </c>
      <c r="H678" s="1" t="str">
        <f>IF(Table2[[#This Row],[Description]]="","",VLOOKUP(Table2[[#This Row],[Description]],$Q$1:$S$101,3,FALSE))</f>
        <v/>
      </c>
      <c r="I678" s="1" t="str">
        <f>IF(Table2[[#This Row],[Description]]="","",IF(Table2[[#This Row],[Currency]]=$O$2,$P$2,HLOOKUP(Table2[[#This Row],[Date]],Funds!$C$10:$GV$11,2,FALSE)))</f>
        <v/>
      </c>
      <c r="J678" s="215" t="str">
        <f>IF(Table2[[#This Row],[Description]]="","",Table2[[#This Row],[Value]]/Table2[[#This Row],[Conversion]])</f>
        <v/>
      </c>
      <c r="K678" s="45" t="str">
        <f>IF(Table2[[#This Row],[Description]]="","",DATE(Table2[[#This Row],[Year]],Table2[[#This Row],[Month]],1))</f>
        <v/>
      </c>
    </row>
    <row r="679" spans="7:11" x14ac:dyDescent="0.25">
      <c r="G679" s="1" t="str">
        <f>IF(Table2[[#This Row],[Description]]="","",VLOOKUP(Table2[[#This Row],[Description]],$Q$1:$S$101,2,FALSE))</f>
        <v/>
      </c>
      <c r="H679" s="1" t="str">
        <f>IF(Table2[[#This Row],[Description]]="","",VLOOKUP(Table2[[#This Row],[Description]],$Q$1:$S$101,3,FALSE))</f>
        <v/>
      </c>
      <c r="I679" s="1" t="str">
        <f>IF(Table2[[#This Row],[Description]]="","",IF(Table2[[#This Row],[Currency]]=$O$2,$P$2,HLOOKUP(Table2[[#This Row],[Date]],Funds!$C$10:$GV$11,2,FALSE)))</f>
        <v/>
      </c>
      <c r="J679" s="215" t="str">
        <f>IF(Table2[[#This Row],[Description]]="","",Table2[[#This Row],[Value]]/Table2[[#This Row],[Conversion]])</f>
        <v/>
      </c>
      <c r="K679" s="45" t="str">
        <f>IF(Table2[[#This Row],[Description]]="","",DATE(Table2[[#This Row],[Year]],Table2[[#This Row],[Month]],1))</f>
        <v/>
      </c>
    </row>
    <row r="680" spans="7:11" x14ac:dyDescent="0.25">
      <c r="G680" s="1" t="str">
        <f>IF(Table2[[#This Row],[Description]]="","",VLOOKUP(Table2[[#This Row],[Description]],$Q$1:$S$101,2,FALSE))</f>
        <v/>
      </c>
      <c r="H680" s="1" t="str">
        <f>IF(Table2[[#This Row],[Description]]="","",VLOOKUP(Table2[[#This Row],[Description]],$Q$1:$S$101,3,FALSE))</f>
        <v/>
      </c>
      <c r="I680" s="1" t="str">
        <f>IF(Table2[[#This Row],[Description]]="","",IF(Table2[[#This Row],[Currency]]=$O$2,$P$2,HLOOKUP(Table2[[#This Row],[Date]],Funds!$C$10:$GV$11,2,FALSE)))</f>
        <v/>
      </c>
      <c r="J680" s="215" t="str">
        <f>IF(Table2[[#This Row],[Description]]="","",Table2[[#This Row],[Value]]/Table2[[#This Row],[Conversion]])</f>
        <v/>
      </c>
      <c r="K680" s="45" t="str">
        <f>IF(Table2[[#This Row],[Description]]="","",DATE(Table2[[#This Row],[Year]],Table2[[#This Row],[Month]],1))</f>
        <v/>
      </c>
    </row>
    <row r="681" spans="7:11" x14ac:dyDescent="0.25">
      <c r="G681" s="1" t="str">
        <f>IF(Table2[[#This Row],[Description]]="","",VLOOKUP(Table2[[#This Row],[Description]],$Q$1:$S$101,2,FALSE))</f>
        <v/>
      </c>
      <c r="H681" s="1" t="str">
        <f>IF(Table2[[#This Row],[Description]]="","",VLOOKUP(Table2[[#This Row],[Description]],$Q$1:$S$101,3,FALSE))</f>
        <v/>
      </c>
      <c r="I681" s="1" t="str">
        <f>IF(Table2[[#This Row],[Description]]="","",IF(Table2[[#This Row],[Currency]]=$O$2,$P$2,HLOOKUP(Table2[[#This Row],[Date]],Funds!$C$10:$GV$11,2,FALSE)))</f>
        <v/>
      </c>
      <c r="J681" s="215" t="str">
        <f>IF(Table2[[#This Row],[Description]]="","",Table2[[#This Row],[Value]]/Table2[[#This Row],[Conversion]])</f>
        <v/>
      </c>
      <c r="K681" s="45" t="str">
        <f>IF(Table2[[#This Row],[Description]]="","",DATE(Table2[[#This Row],[Year]],Table2[[#This Row],[Month]],1))</f>
        <v/>
      </c>
    </row>
    <row r="682" spans="7:11" x14ac:dyDescent="0.25">
      <c r="G682" s="1" t="str">
        <f>IF(Table2[[#This Row],[Description]]="","",VLOOKUP(Table2[[#This Row],[Description]],$Q$1:$S$101,2,FALSE))</f>
        <v/>
      </c>
      <c r="H682" s="1" t="str">
        <f>IF(Table2[[#This Row],[Description]]="","",VLOOKUP(Table2[[#This Row],[Description]],$Q$1:$S$101,3,FALSE))</f>
        <v/>
      </c>
      <c r="I682" s="1" t="str">
        <f>IF(Table2[[#This Row],[Description]]="","",IF(Table2[[#This Row],[Currency]]=$O$2,$P$2,HLOOKUP(Table2[[#This Row],[Date]],Funds!$C$10:$GV$11,2,FALSE)))</f>
        <v/>
      </c>
      <c r="J682" s="215" t="str">
        <f>IF(Table2[[#This Row],[Description]]="","",Table2[[#This Row],[Value]]/Table2[[#This Row],[Conversion]])</f>
        <v/>
      </c>
      <c r="K682" s="45" t="str">
        <f>IF(Table2[[#This Row],[Description]]="","",DATE(Table2[[#This Row],[Year]],Table2[[#This Row],[Month]],1))</f>
        <v/>
      </c>
    </row>
    <row r="683" spans="7:11" x14ac:dyDescent="0.25">
      <c r="G683" s="1" t="str">
        <f>IF(Table2[[#This Row],[Description]]="","",VLOOKUP(Table2[[#This Row],[Description]],$Q$1:$S$101,2,FALSE))</f>
        <v/>
      </c>
      <c r="H683" s="1" t="str">
        <f>IF(Table2[[#This Row],[Description]]="","",VLOOKUP(Table2[[#This Row],[Description]],$Q$1:$S$101,3,FALSE))</f>
        <v/>
      </c>
      <c r="I683" s="1" t="str">
        <f>IF(Table2[[#This Row],[Description]]="","",IF(Table2[[#This Row],[Currency]]=$O$2,$P$2,HLOOKUP(Table2[[#This Row],[Date]],Funds!$C$10:$GV$11,2,FALSE)))</f>
        <v/>
      </c>
      <c r="J683" s="215" t="str">
        <f>IF(Table2[[#This Row],[Description]]="","",Table2[[#This Row],[Value]]/Table2[[#This Row],[Conversion]])</f>
        <v/>
      </c>
      <c r="K683" s="45" t="str">
        <f>IF(Table2[[#This Row],[Description]]="","",DATE(Table2[[#This Row],[Year]],Table2[[#This Row],[Month]],1))</f>
        <v/>
      </c>
    </row>
    <row r="684" spans="7:11" x14ac:dyDescent="0.25">
      <c r="G684" s="1" t="str">
        <f>IF(Table2[[#This Row],[Description]]="","",VLOOKUP(Table2[[#This Row],[Description]],$Q$1:$S$101,2,FALSE))</f>
        <v/>
      </c>
      <c r="H684" s="1" t="str">
        <f>IF(Table2[[#This Row],[Description]]="","",VLOOKUP(Table2[[#This Row],[Description]],$Q$1:$S$101,3,FALSE))</f>
        <v/>
      </c>
      <c r="I684" s="1" t="str">
        <f>IF(Table2[[#This Row],[Description]]="","",IF(Table2[[#This Row],[Currency]]=$O$2,$P$2,HLOOKUP(Table2[[#This Row],[Date]],Funds!$C$10:$GV$11,2,FALSE)))</f>
        <v/>
      </c>
      <c r="J684" s="215" t="str">
        <f>IF(Table2[[#This Row],[Description]]="","",Table2[[#This Row],[Value]]/Table2[[#This Row],[Conversion]])</f>
        <v/>
      </c>
      <c r="K684" s="45" t="str">
        <f>IF(Table2[[#This Row],[Description]]="","",DATE(Table2[[#This Row],[Year]],Table2[[#This Row],[Month]],1))</f>
        <v/>
      </c>
    </row>
    <row r="685" spans="7:11" x14ac:dyDescent="0.25">
      <c r="G685" s="1" t="str">
        <f>IF(Table2[[#This Row],[Description]]="","",VLOOKUP(Table2[[#This Row],[Description]],$Q$1:$S$101,2,FALSE))</f>
        <v/>
      </c>
      <c r="H685" s="1" t="str">
        <f>IF(Table2[[#This Row],[Description]]="","",VLOOKUP(Table2[[#This Row],[Description]],$Q$1:$S$101,3,FALSE))</f>
        <v/>
      </c>
      <c r="I685" s="1" t="str">
        <f>IF(Table2[[#This Row],[Description]]="","",IF(Table2[[#This Row],[Currency]]=$O$2,$P$2,HLOOKUP(Table2[[#This Row],[Date]],Funds!$C$10:$GV$11,2,FALSE)))</f>
        <v/>
      </c>
      <c r="J685" s="215" t="str">
        <f>IF(Table2[[#This Row],[Description]]="","",Table2[[#This Row],[Value]]/Table2[[#This Row],[Conversion]])</f>
        <v/>
      </c>
      <c r="K685" s="45" t="str">
        <f>IF(Table2[[#This Row],[Description]]="","",DATE(Table2[[#This Row],[Year]],Table2[[#This Row],[Month]],1))</f>
        <v/>
      </c>
    </row>
    <row r="686" spans="7:11" x14ac:dyDescent="0.25">
      <c r="G686" s="1" t="str">
        <f>IF(Table2[[#This Row],[Description]]="","",VLOOKUP(Table2[[#This Row],[Description]],$Q$1:$S$101,2,FALSE))</f>
        <v/>
      </c>
      <c r="H686" s="1" t="str">
        <f>IF(Table2[[#This Row],[Description]]="","",VLOOKUP(Table2[[#This Row],[Description]],$Q$1:$S$101,3,FALSE))</f>
        <v/>
      </c>
      <c r="I686" s="1" t="str">
        <f>IF(Table2[[#This Row],[Description]]="","",IF(Table2[[#This Row],[Currency]]=$O$2,$P$2,HLOOKUP(Table2[[#This Row],[Date]],Funds!$C$10:$GV$11,2,FALSE)))</f>
        <v/>
      </c>
      <c r="J686" s="215" t="str">
        <f>IF(Table2[[#This Row],[Description]]="","",Table2[[#This Row],[Value]]/Table2[[#This Row],[Conversion]])</f>
        <v/>
      </c>
      <c r="K686" s="45" t="str">
        <f>IF(Table2[[#This Row],[Description]]="","",DATE(Table2[[#This Row],[Year]],Table2[[#This Row],[Month]],1))</f>
        <v/>
      </c>
    </row>
    <row r="687" spans="7:11" x14ac:dyDescent="0.25">
      <c r="G687" s="1" t="str">
        <f>IF(Table2[[#This Row],[Description]]="","",VLOOKUP(Table2[[#This Row],[Description]],$Q$1:$S$101,2,FALSE))</f>
        <v/>
      </c>
      <c r="H687" s="1" t="str">
        <f>IF(Table2[[#This Row],[Description]]="","",VLOOKUP(Table2[[#This Row],[Description]],$Q$1:$S$101,3,FALSE))</f>
        <v/>
      </c>
      <c r="I687" s="1" t="str">
        <f>IF(Table2[[#This Row],[Description]]="","",IF(Table2[[#This Row],[Currency]]=$O$2,$P$2,HLOOKUP(Table2[[#This Row],[Date]],Funds!$C$10:$GV$11,2,FALSE)))</f>
        <v/>
      </c>
      <c r="J687" s="215" t="str">
        <f>IF(Table2[[#This Row],[Description]]="","",Table2[[#This Row],[Value]]/Table2[[#This Row],[Conversion]])</f>
        <v/>
      </c>
      <c r="K687" s="45" t="str">
        <f>IF(Table2[[#This Row],[Description]]="","",DATE(Table2[[#This Row],[Year]],Table2[[#This Row],[Month]],1))</f>
        <v/>
      </c>
    </row>
    <row r="688" spans="7:11" x14ac:dyDescent="0.25">
      <c r="G688" s="1" t="str">
        <f>IF(Table2[[#This Row],[Description]]="","",VLOOKUP(Table2[[#This Row],[Description]],$Q$1:$S$101,2,FALSE))</f>
        <v/>
      </c>
      <c r="H688" s="1" t="str">
        <f>IF(Table2[[#This Row],[Description]]="","",VLOOKUP(Table2[[#This Row],[Description]],$Q$1:$S$101,3,FALSE))</f>
        <v/>
      </c>
      <c r="I688" s="1" t="str">
        <f>IF(Table2[[#This Row],[Description]]="","",IF(Table2[[#This Row],[Currency]]=$O$2,$P$2,HLOOKUP(Table2[[#This Row],[Date]],Funds!$C$10:$GV$11,2,FALSE)))</f>
        <v/>
      </c>
      <c r="J688" s="215" t="str">
        <f>IF(Table2[[#This Row],[Description]]="","",Table2[[#This Row],[Value]]/Table2[[#This Row],[Conversion]])</f>
        <v/>
      </c>
      <c r="K688" s="45" t="str">
        <f>IF(Table2[[#This Row],[Description]]="","",DATE(Table2[[#This Row],[Year]],Table2[[#This Row],[Month]],1))</f>
        <v/>
      </c>
    </row>
    <row r="689" spans="7:11" x14ac:dyDescent="0.25">
      <c r="G689" s="1" t="str">
        <f>IF(Table2[[#This Row],[Description]]="","",VLOOKUP(Table2[[#This Row],[Description]],$Q$1:$S$101,2,FALSE))</f>
        <v/>
      </c>
      <c r="H689" s="1" t="str">
        <f>IF(Table2[[#This Row],[Description]]="","",VLOOKUP(Table2[[#This Row],[Description]],$Q$1:$S$101,3,FALSE))</f>
        <v/>
      </c>
      <c r="I689" s="1" t="str">
        <f>IF(Table2[[#This Row],[Description]]="","",IF(Table2[[#This Row],[Currency]]=$O$2,$P$2,HLOOKUP(Table2[[#This Row],[Date]],Funds!$C$10:$GV$11,2,FALSE)))</f>
        <v/>
      </c>
      <c r="J689" s="215" t="str">
        <f>IF(Table2[[#This Row],[Description]]="","",Table2[[#This Row],[Value]]/Table2[[#This Row],[Conversion]])</f>
        <v/>
      </c>
      <c r="K689" s="45" t="str">
        <f>IF(Table2[[#This Row],[Description]]="","",DATE(Table2[[#This Row],[Year]],Table2[[#This Row],[Month]],1))</f>
        <v/>
      </c>
    </row>
    <row r="690" spans="7:11" x14ac:dyDescent="0.25">
      <c r="G690" s="1" t="str">
        <f>IF(Table2[[#This Row],[Description]]="","",VLOOKUP(Table2[[#This Row],[Description]],$Q$1:$S$101,2,FALSE))</f>
        <v/>
      </c>
      <c r="H690" s="1" t="str">
        <f>IF(Table2[[#This Row],[Description]]="","",VLOOKUP(Table2[[#This Row],[Description]],$Q$1:$S$101,3,FALSE))</f>
        <v/>
      </c>
      <c r="I690" s="1" t="str">
        <f>IF(Table2[[#This Row],[Description]]="","",IF(Table2[[#This Row],[Currency]]=$O$2,$P$2,HLOOKUP(Table2[[#This Row],[Date]],Funds!$C$10:$GV$11,2,FALSE)))</f>
        <v/>
      </c>
      <c r="J690" s="215" t="str">
        <f>IF(Table2[[#This Row],[Description]]="","",Table2[[#This Row],[Value]]/Table2[[#This Row],[Conversion]])</f>
        <v/>
      </c>
      <c r="K690" s="45" t="str">
        <f>IF(Table2[[#This Row],[Description]]="","",DATE(Table2[[#This Row],[Year]],Table2[[#This Row],[Month]],1))</f>
        <v/>
      </c>
    </row>
    <row r="691" spans="7:11" x14ac:dyDescent="0.25">
      <c r="G691" s="1" t="str">
        <f>IF(Table2[[#This Row],[Description]]="","",VLOOKUP(Table2[[#This Row],[Description]],$Q$1:$S$101,2,FALSE))</f>
        <v/>
      </c>
      <c r="H691" s="1" t="str">
        <f>IF(Table2[[#This Row],[Description]]="","",VLOOKUP(Table2[[#This Row],[Description]],$Q$1:$S$101,3,FALSE))</f>
        <v/>
      </c>
      <c r="I691" s="1" t="str">
        <f>IF(Table2[[#This Row],[Description]]="","",IF(Table2[[#This Row],[Currency]]=$O$2,$P$2,HLOOKUP(Table2[[#This Row],[Date]],Funds!$C$10:$GV$11,2,FALSE)))</f>
        <v/>
      </c>
      <c r="J691" s="215" t="str">
        <f>IF(Table2[[#This Row],[Description]]="","",Table2[[#This Row],[Value]]/Table2[[#This Row],[Conversion]])</f>
        <v/>
      </c>
      <c r="K691" s="45" t="str">
        <f>IF(Table2[[#This Row],[Description]]="","",DATE(Table2[[#This Row],[Year]],Table2[[#This Row],[Month]],1))</f>
        <v/>
      </c>
    </row>
    <row r="692" spans="7:11" x14ac:dyDescent="0.25">
      <c r="G692" s="1" t="str">
        <f>IF(Table2[[#This Row],[Description]]="","",VLOOKUP(Table2[[#This Row],[Description]],$Q$1:$S$101,2,FALSE))</f>
        <v/>
      </c>
      <c r="H692" s="1" t="str">
        <f>IF(Table2[[#This Row],[Description]]="","",VLOOKUP(Table2[[#This Row],[Description]],$Q$1:$S$101,3,FALSE))</f>
        <v/>
      </c>
      <c r="I692" s="1" t="str">
        <f>IF(Table2[[#This Row],[Description]]="","",IF(Table2[[#This Row],[Currency]]=$O$2,$P$2,HLOOKUP(Table2[[#This Row],[Date]],Funds!$C$10:$GV$11,2,FALSE)))</f>
        <v/>
      </c>
      <c r="J692" s="215" t="str">
        <f>IF(Table2[[#This Row],[Description]]="","",Table2[[#This Row],[Value]]/Table2[[#This Row],[Conversion]])</f>
        <v/>
      </c>
      <c r="K692" s="45" t="str">
        <f>IF(Table2[[#This Row],[Description]]="","",DATE(Table2[[#This Row],[Year]],Table2[[#This Row],[Month]],1))</f>
        <v/>
      </c>
    </row>
    <row r="693" spans="7:11" x14ac:dyDescent="0.25">
      <c r="G693" s="1" t="str">
        <f>IF(Table2[[#This Row],[Description]]="","",VLOOKUP(Table2[[#This Row],[Description]],$Q$1:$S$101,2,FALSE))</f>
        <v/>
      </c>
      <c r="H693" s="1" t="str">
        <f>IF(Table2[[#This Row],[Description]]="","",VLOOKUP(Table2[[#This Row],[Description]],$Q$1:$S$101,3,FALSE))</f>
        <v/>
      </c>
      <c r="I693" s="1" t="str">
        <f>IF(Table2[[#This Row],[Description]]="","",IF(Table2[[#This Row],[Currency]]=$O$2,$P$2,HLOOKUP(Table2[[#This Row],[Date]],Funds!$C$10:$GV$11,2,FALSE)))</f>
        <v/>
      </c>
      <c r="J693" s="215" t="str">
        <f>IF(Table2[[#This Row],[Description]]="","",Table2[[#This Row],[Value]]/Table2[[#This Row],[Conversion]])</f>
        <v/>
      </c>
      <c r="K693" s="45" t="str">
        <f>IF(Table2[[#This Row],[Description]]="","",DATE(Table2[[#This Row],[Year]],Table2[[#This Row],[Month]],1))</f>
        <v/>
      </c>
    </row>
    <row r="694" spans="7:11" x14ac:dyDescent="0.25">
      <c r="G694" s="1" t="str">
        <f>IF(Table2[[#This Row],[Description]]="","",VLOOKUP(Table2[[#This Row],[Description]],$Q$1:$S$101,2,FALSE))</f>
        <v/>
      </c>
      <c r="H694" s="1" t="str">
        <f>IF(Table2[[#This Row],[Description]]="","",VLOOKUP(Table2[[#This Row],[Description]],$Q$1:$S$101,3,FALSE))</f>
        <v/>
      </c>
      <c r="I694" s="1" t="str">
        <f>IF(Table2[[#This Row],[Description]]="","",IF(Table2[[#This Row],[Currency]]=$O$2,$P$2,HLOOKUP(Table2[[#This Row],[Date]],Funds!$C$10:$GV$11,2,FALSE)))</f>
        <v/>
      </c>
      <c r="J694" s="215" t="str">
        <f>IF(Table2[[#This Row],[Description]]="","",Table2[[#This Row],[Value]]/Table2[[#This Row],[Conversion]])</f>
        <v/>
      </c>
      <c r="K694" s="45" t="str">
        <f>IF(Table2[[#This Row],[Description]]="","",DATE(Table2[[#This Row],[Year]],Table2[[#This Row],[Month]],1))</f>
        <v/>
      </c>
    </row>
    <row r="695" spans="7:11" x14ac:dyDescent="0.25">
      <c r="G695" s="1" t="str">
        <f>IF(Table2[[#This Row],[Description]]="","",VLOOKUP(Table2[[#This Row],[Description]],$Q$1:$S$101,2,FALSE))</f>
        <v/>
      </c>
      <c r="H695" s="1" t="str">
        <f>IF(Table2[[#This Row],[Description]]="","",VLOOKUP(Table2[[#This Row],[Description]],$Q$1:$S$101,3,FALSE))</f>
        <v/>
      </c>
      <c r="I695" s="1" t="str">
        <f>IF(Table2[[#This Row],[Description]]="","",IF(Table2[[#This Row],[Currency]]=$O$2,$P$2,HLOOKUP(Table2[[#This Row],[Date]],Funds!$C$10:$GV$11,2,FALSE)))</f>
        <v/>
      </c>
      <c r="J695" s="215" t="str">
        <f>IF(Table2[[#This Row],[Description]]="","",Table2[[#This Row],[Value]]/Table2[[#This Row],[Conversion]])</f>
        <v/>
      </c>
      <c r="K695" s="45" t="str">
        <f>IF(Table2[[#This Row],[Description]]="","",DATE(Table2[[#This Row],[Year]],Table2[[#This Row],[Month]],1))</f>
        <v/>
      </c>
    </row>
    <row r="696" spans="7:11" x14ac:dyDescent="0.25">
      <c r="G696" s="1" t="str">
        <f>IF(Table2[[#This Row],[Description]]="","",VLOOKUP(Table2[[#This Row],[Description]],$Q$1:$S$101,2,FALSE))</f>
        <v/>
      </c>
      <c r="H696" s="1" t="str">
        <f>IF(Table2[[#This Row],[Description]]="","",VLOOKUP(Table2[[#This Row],[Description]],$Q$1:$S$101,3,FALSE))</f>
        <v/>
      </c>
      <c r="I696" s="1" t="str">
        <f>IF(Table2[[#This Row],[Description]]="","",IF(Table2[[#This Row],[Currency]]=$O$2,$P$2,HLOOKUP(Table2[[#This Row],[Date]],Funds!$C$10:$GV$11,2,FALSE)))</f>
        <v/>
      </c>
      <c r="J696" s="215" t="str">
        <f>IF(Table2[[#This Row],[Description]]="","",Table2[[#This Row],[Value]]/Table2[[#This Row],[Conversion]])</f>
        <v/>
      </c>
      <c r="K696" s="45" t="str">
        <f>IF(Table2[[#This Row],[Description]]="","",DATE(Table2[[#This Row],[Year]],Table2[[#This Row],[Month]],1))</f>
        <v/>
      </c>
    </row>
    <row r="697" spans="7:11" x14ac:dyDescent="0.25">
      <c r="G697" s="1" t="str">
        <f>IF(Table2[[#This Row],[Description]]="","",VLOOKUP(Table2[[#This Row],[Description]],$Q$1:$S$101,2,FALSE))</f>
        <v/>
      </c>
      <c r="H697" s="1" t="str">
        <f>IF(Table2[[#This Row],[Description]]="","",VLOOKUP(Table2[[#This Row],[Description]],$Q$1:$S$101,3,FALSE))</f>
        <v/>
      </c>
      <c r="I697" s="1" t="str">
        <f>IF(Table2[[#This Row],[Description]]="","",IF(Table2[[#This Row],[Currency]]=$O$2,$P$2,HLOOKUP(Table2[[#This Row],[Date]],Funds!$C$10:$GV$11,2,FALSE)))</f>
        <v/>
      </c>
      <c r="J697" s="215" t="str">
        <f>IF(Table2[[#This Row],[Description]]="","",Table2[[#This Row],[Value]]/Table2[[#This Row],[Conversion]])</f>
        <v/>
      </c>
      <c r="K697" s="45" t="str">
        <f>IF(Table2[[#This Row],[Description]]="","",DATE(Table2[[#This Row],[Year]],Table2[[#This Row],[Month]],1))</f>
        <v/>
      </c>
    </row>
    <row r="698" spans="7:11" x14ac:dyDescent="0.25">
      <c r="G698" s="1" t="str">
        <f>IF(Table2[[#This Row],[Description]]="","",VLOOKUP(Table2[[#This Row],[Description]],$Q$1:$S$101,2,FALSE))</f>
        <v/>
      </c>
      <c r="H698" s="1" t="str">
        <f>IF(Table2[[#This Row],[Description]]="","",VLOOKUP(Table2[[#This Row],[Description]],$Q$1:$S$101,3,FALSE))</f>
        <v/>
      </c>
      <c r="I698" s="1" t="str">
        <f>IF(Table2[[#This Row],[Description]]="","",IF(Table2[[#This Row],[Currency]]=$O$2,$P$2,HLOOKUP(Table2[[#This Row],[Date]],Funds!$C$10:$GV$11,2,FALSE)))</f>
        <v/>
      </c>
      <c r="J698" s="215" t="str">
        <f>IF(Table2[[#This Row],[Description]]="","",Table2[[#This Row],[Value]]/Table2[[#This Row],[Conversion]])</f>
        <v/>
      </c>
      <c r="K698" s="45" t="str">
        <f>IF(Table2[[#This Row],[Description]]="","",DATE(Table2[[#This Row],[Year]],Table2[[#This Row],[Month]],1))</f>
        <v/>
      </c>
    </row>
    <row r="699" spans="7:11" x14ac:dyDescent="0.25">
      <c r="G699" s="1" t="str">
        <f>IF(Table2[[#This Row],[Description]]="","",VLOOKUP(Table2[[#This Row],[Description]],$Q$1:$S$101,2,FALSE))</f>
        <v/>
      </c>
      <c r="H699" s="1" t="str">
        <f>IF(Table2[[#This Row],[Description]]="","",VLOOKUP(Table2[[#This Row],[Description]],$Q$1:$S$101,3,FALSE))</f>
        <v/>
      </c>
      <c r="I699" s="1" t="str">
        <f>IF(Table2[[#This Row],[Description]]="","",IF(Table2[[#This Row],[Currency]]=$O$2,$P$2,HLOOKUP(Table2[[#This Row],[Date]],Funds!$C$10:$GV$11,2,FALSE)))</f>
        <v/>
      </c>
      <c r="J699" s="215" t="str">
        <f>IF(Table2[[#This Row],[Description]]="","",Table2[[#This Row],[Value]]/Table2[[#This Row],[Conversion]])</f>
        <v/>
      </c>
      <c r="K699" s="45" t="str">
        <f>IF(Table2[[#This Row],[Description]]="","",DATE(Table2[[#This Row],[Year]],Table2[[#This Row],[Month]],1))</f>
        <v/>
      </c>
    </row>
    <row r="700" spans="7:11" x14ac:dyDescent="0.25">
      <c r="G700" s="1" t="str">
        <f>IF(Table2[[#This Row],[Description]]="","",VLOOKUP(Table2[[#This Row],[Description]],$Q$1:$S$101,2,FALSE))</f>
        <v/>
      </c>
      <c r="H700" s="1" t="str">
        <f>IF(Table2[[#This Row],[Description]]="","",VLOOKUP(Table2[[#This Row],[Description]],$Q$1:$S$101,3,FALSE))</f>
        <v/>
      </c>
      <c r="I700" s="1" t="str">
        <f>IF(Table2[[#This Row],[Description]]="","",IF(Table2[[#This Row],[Currency]]=$O$2,$P$2,HLOOKUP(Table2[[#This Row],[Date]],Funds!$C$10:$GV$11,2,FALSE)))</f>
        <v/>
      </c>
      <c r="J700" s="215" t="str">
        <f>IF(Table2[[#This Row],[Description]]="","",Table2[[#This Row],[Value]]/Table2[[#This Row],[Conversion]])</f>
        <v/>
      </c>
      <c r="K700" s="45" t="str">
        <f>IF(Table2[[#This Row],[Description]]="","",DATE(Table2[[#This Row],[Year]],Table2[[#This Row],[Month]],1))</f>
        <v/>
      </c>
    </row>
    <row r="701" spans="7:11" x14ac:dyDescent="0.25">
      <c r="G701" s="1" t="str">
        <f>IF(Table2[[#This Row],[Description]]="","",VLOOKUP(Table2[[#This Row],[Description]],$Q$1:$S$101,2,FALSE))</f>
        <v/>
      </c>
      <c r="H701" s="1" t="str">
        <f>IF(Table2[[#This Row],[Description]]="","",VLOOKUP(Table2[[#This Row],[Description]],$Q$1:$S$101,3,FALSE))</f>
        <v/>
      </c>
      <c r="I701" s="1" t="str">
        <f>IF(Table2[[#This Row],[Description]]="","",IF(Table2[[#This Row],[Currency]]=$O$2,$P$2,HLOOKUP(Table2[[#This Row],[Date]],Funds!$C$10:$GV$11,2,FALSE)))</f>
        <v/>
      </c>
      <c r="J701" s="215" t="str">
        <f>IF(Table2[[#This Row],[Description]]="","",Table2[[#This Row],[Value]]/Table2[[#This Row],[Conversion]])</f>
        <v/>
      </c>
      <c r="K701" s="45" t="str">
        <f>IF(Table2[[#This Row],[Description]]="","",DATE(Table2[[#This Row],[Year]],Table2[[#This Row],[Month]],1))</f>
        <v/>
      </c>
    </row>
    <row r="702" spans="7:11" x14ac:dyDescent="0.25">
      <c r="G702" s="1" t="str">
        <f>IF(Table2[[#This Row],[Description]]="","",VLOOKUP(Table2[[#This Row],[Description]],$Q$1:$S$101,2,FALSE))</f>
        <v/>
      </c>
      <c r="H702" s="1" t="str">
        <f>IF(Table2[[#This Row],[Description]]="","",VLOOKUP(Table2[[#This Row],[Description]],$Q$1:$S$101,3,FALSE))</f>
        <v/>
      </c>
      <c r="I702" s="1" t="str">
        <f>IF(Table2[[#This Row],[Description]]="","",IF(Table2[[#This Row],[Currency]]=$O$2,$P$2,HLOOKUP(Table2[[#This Row],[Date]],Funds!$C$10:$GV$11,2,FALSE)))</f>
        <v/>
      </c>
      <c r="J702" s="215" t="str">
        <f>IF(Table2[[#This Row],[Description]]="","",Table2[[#This Row],[Value]]/Table2[[#This Row],[Conversion]])</f>
        <v/>
      </c>
      <c r="K702" s="45" t="str">
        <f>IF(Table2[[#This Row],[Description]]="","",DATE(Table2[[#This Row],[Year]],Table2[[#This Row],[Month]],1))</f>
        <v/>
      </c>
    </row>
    <row r="703" spans="7:11" x14ac:dyDescent="0.25">
      <c r="G703" s="1" t="str">
        <f>IF(Table2[[#This Row],[Description]]="","",VLOOKUP(Table2[[#This Row],[Description]],$Q$1:$S$101,2,FALSE))</f>
        <v/>
      </c>
      <c r="H703" s="1" t="str">
        <f>IF(Table2[[#This Row],[Description]]="","",VLOOKUP(Table2[[#This Row],[Description]],$Q$1:$S$101,3,FALSE))</f>
        <v/>
      </c>
      <c r="I703" s="1" t="str">
        <f>IF(Table2[[#This Row],[Description]]="","",IF(Table2[[#This Row],[Currency]]=$O$2,$P$2,HLOOKUP(Table2[[#This Row],[Date]],Funds!$C$10:$GV$11,2,FALSE)))</f>
        <v/>
      </c>
      <c r="J703" s="215" t="str">
        <f>IF(Table2[[#This Row],[Description]]="","",Table2[[#This Row],[Value]]/Table2[[#This Row],[Conversion]])</f>
        <v/>
      </c>
      <c r="K703" s="45" t="str">
        <f>IF(Table2[[#This Row],[Description]]="","",DATE(Table2[[#This Row],[Year]],Table2[[#This Row],[Month]],1))</f>
        <v/>
      </c>
    </row>
    <row r="704" spans="7:11" x14ac:dyDescent="0.25">
      <c r="G704" s="1" t="str">
        <f>IF(Table2[[#This Row],[Description]]="","",VLOOKUP(Table2[[#This Row],[Description]],$Q$1:$S$101,2,FALSE))</f>
        <v/>
      </c>
      <c r="H704" s="1" t="str">
        <f>IF(Table2[[#This Row],[Description]]="","",VLOOKUP(Table2[[#This Row],[Description]],$Q$1:$S$101,3,FALSE))</f>
        <v/>
      </c>
      <c r="I704" s="1" t="str">
        <f>IF(Table2[[#This Row],[Description]]="","",IF(Table2[[#This Row],[Currency]]=$O$2,$P$2,HLOOKUP(Table2[[#This Row],[Date]],Funds!$C$10:$GV$11,2,FALSE)))</f>
        <v/>
      </c>
      <c r="J704" s="215" t="str">
        <f>IF(Table2[[#This Row],[Description]]="","",Table2[[#This Row],[Value]]/Table2[[#This Row],[Conversion]])</f>
        <v/>
      </c>
      <c r="K704" s="45" t="str">
        <f>IF(Table2[[#This Row],[Description]]="","",DATE(Table2[[#This Row],[Year]],Table2[[#This Row],[Month]],1))</f>
        <v/>
      </c>
    </row>
    <row r="705" spans="7:11" x14ac:dyDescent="0.25">
      <c r="G705" s="1" t="str">
        <f>IF(Table2[[#This Row],[Description]]="","",VLOOKUP(Table2[[#This Row],[Description]],$Q$1:$S$101,2,FALSE))</f>
        <v/>
      </c>
      <c r="H705" s="1" t="str">
        <f>IF(Table2[[#This Row],[Description]]="","",VLOOKUP(Table2[[#This Row],[Description]],$Q$1:$S$101,3,FALSE))</f>
        <v/>
      </c>
      <c r="I705" s="1" t="str">
        <f>IF(Table2[[#This Row],[Description]]="","",IF(Table2[[#This Row],[Currency]]=$O$2,$P$2,HLOOKUP(Table2[[#This Row],[Date]],Funds!$C$10:$GV$11,2,FALSE)))</f>
        <v/>
      </c>
      <c r="J705" s="215" t="str">
        <f>IF(Table2[[#This Row],[Description]]="","",Table2[[#This Row],[Value]]/Table2[[#This Row],[Conversion]])</f>
        <v/>
      </c>
      <c r="K705" s="45" t="str">
        <f>IF(Table2[[#This Row],[Description]]="","",DATE(Table2[[#This Row],[Year]],Table2[[#This Row],[Month]],1))</f>
        <v/>
      </c>
    </row>
    <row r="706" spans="7:11" x14ac:dyDescent="0.25">
      <c r="G706" s="1" t="str">
        <f>IF(Table2[[#This Row],[Description]]="","",VLOOKUP(Table2[[#This Row],[Description]],$Q$1:$S$101,2,FALSE))</f>
        <v/>
      </c>
      <c r="H706" s="1" t="str">
        <f>IF(Table2[[#This Row],[Description]]="","",VLOOKUP(Table2[[#This Row],[Description]],$Q$1:$S$101,3,FALSE))</f>
        <v/>
      </c>
      <c r="I706" s="1" t="str">
        <f>IF(Table2[[#This Row],[Description]]="","",IF(Table2[[#This Row],[Currency]]=$O$2,$P$2,HLOOKUP(Table2[[#This Row],[Date]],Funds!$C$10:$GV$11,2,FALSE)))</f>
        <v/>
      </c>
      <c r="J706" s="215" t="str">
        <f>IF(Table2[[#This Row],[Description]]="","",Table2[[#This Row],[Value]]/Table2[[#This Row],[Conversion]])</f>
        <v/>
      </c>
      <c r="K706" s="45" t="str">
        <f>IF(Table2[[#This Row],[Description]]="","",DATE(Table2[[#This Row],[Year]],Table2[[#This Row],[Month]],1))</f>
        <v/>
      </c>
    </row>
    <row r="707" spans="7:11" x14ac:dyDescent="0.25">
      <c r="G707" s="1" t="str">
        <f>IF(Table2[[#This Row],[Description]]="","",VLOOKUP(Table2[[#This Row],[Description]],$Q$1:$S$101,2,FALSE))</f>
        <v/>
      </c>
      <c r="H707" s="1" t="str">
        <f>IF(Table2[[#This Row],[Description]]="","",VLOOKUP(Table2[[#This Row],[Description]],$Q$1:$S$101,3,FALSE))</f>
        <v/>
      </c>
      <c r="I707" s="1" t="str">
        <f>IF(Table2[[#This Row],[Description]]="","",IF(Table2[[#This Row],[Currency]]=$O$2,$P$2,HLOOKUP(Table2[[#This Row],[Date]],Funds!$C$10:$GV$11,2,FALSE)))</f>
        <v/>
      </c>
      <c r="J707" s="215" t="str">
        <f>IF(Table2[[#This Row],[Description]]="","",Table2[[#This Row],[Value]]/Table2[[#This Row],[Conversion]])</f>
        <v/>
      </c>
      <c r="K707" s="45" t="str">
        <f>IF(Table2[[#This Row],[Description]]="","",DATE(Table2[[#This Row],[Year]],Table2[[#This Row],[Month]],1))</f>
        <v/>
      </c>
    </row>
    <row r="708" spans="7:11" x14ac:dyDescent="0.25">
      <c r="G708" s="1" t="str">
        <f>IF(Table2[[#This Row],[Description]]="","",VLOOKUP(Table2[[#This Row],[Description]],$Q$1:$S$101,2,FALSE))</f>
        <v/>
      </c>
      <c r="H708" s="1" t="str">
        <f>IF(Table2[[#This Row],[Description]]="","",VLOOKUP(Table2[[#This Row],[Description]],$Q$1:$S$101,3,FALSE))</f>
        <v/>
      </c>
      <c r="I708" s="1" t="str">
        <f>IF(Table2[[#This Row],[Description]]="","",IF(Table2[[#This Row],[Currency]]=$O$2,$P$2,HLOOKUP(Table2[[#This Row],[Date]],Funds!$C$10:$GV$11,2,FALSE)))</f>
        <v/>
      </c>
      <c r="J708" s="215" t="str">
        <f>IF(Table2[[#This Row],[Description]]="","",Table2[[#This Row],[Value]]/Table2[[#This Row],[Conversion]])</f>
        <v/>
      </c>
      <c r="K708" s="45" t="str">
        <f>IF(Table2[[#This Row],[Description]]="","",DATE(Table2[[#This Row],[Year]],Table2[[#This Row],[Month]],1))</f>
        <v/>
      </c>
    </row>
    <row r="709" spans="7:11" x14ac:dyDescent="0.25">
      <c r="G709" s="1" t="str">
        <f>IF(Table2[[#This Row],[Description]]="","",VLOOKUP(Table2[[#This Row],[Description]],$Q$1:$S$101,2,FALSE))</f>
        <v/>
      </c>
      <c r="H709" s="1" t="str">
        <f>IF(Table2[[#This Row],[Description]]="","",VLOOKUP(Table2[[#This Row],[Description]],$Q$1:$S$101,3,FALSE))</f>
        <v/>
      </c>
      <c r="I709" s="1" t="str">
        <f>IF(Table2[[#This Row],[Description]]="","",IF(Table2[[#This Row],[Currency]]=$O$2,$P$2,HLOOKUP(Table2[[#This Row],[Date]],Funds!$C$10:$GV$11,2,FALSE)))</f>
        <v/>
      </c>
      <c r="J709" s="215" t="str">
        <f>IF(Table2[[#This Row],[Description]]="","",Table2[[#This Row],[Value]]/Table2[[#This Row],[Conversion]])</f>
        <v/>
      </c>
      <c r="K709" s="45" t="str">
        <f>IF(Table2[[#This Row],[Description]]="","",DATE(Table2[[#This Row],[Year]],Table2[[#This Row],[Month]],1))</f>
        <v/>
      </c>
    </row>
    <row r="710" spans="7:11" x14ac:dyDescent="0.25">
      <c r="G710" s="1" t="str">
        <f>IF(Table2[[#This Row],[Description]]="","",VLOOKUP(Table2[[#This Row],[Description]],$Q$1:$S$101,2,FALSE))</f>
        <v/>
      </c>
      <c r="H710" s="1" t="str">
        <f>IF(Table2[[#This Row],[Description]]="","",VLOOKUP(Table2[[#This Row],[Description]],$Q$1:$S$101,3,FALSE))</f>
        <v/>
      </c>
      <c r="I710" s="1" t="str">
        <f>IF(Table2[[#This Row],[Description]]="","",IF(Table2[[#This Row],[Currency]]=$O$2,$P$2,HLOOKUP(Table2[[#This Row],[Date]],Funds!$C$10:$GV$11,2,FALSE)))</f>
        <v/>
      </c>
      <c r="J710" s="215" t="str">
        <f>IF(Table2[[#This Row],[Description]]="","",Table2[[#This Row],[Value]]/Table2[[#This Row],[Conversion]])</f>
        <v/>
      </c>
      <c r="K710" s="45" t="str">
        <f>IF(Table2[[#This Row],[Description]]="","",DATE(Table2[[#This Row],[Year]],Table2[[#This Row],[Month]],1))</f>
        <v/>
      </c>
    </row>
    <row r="711" spans="7:11" x14ac:dyDescent="0.25">
      <c r="G711" s="1" t="str">
        <f>IF(Table2[[#This Row],[Description]]="","",VLOOKUP(Table2[[#This Row],[Description]],$Q$1:$S$101,2,FALSE))</f>
        <v/>
      </c>
      <c r="H711" s="1" t="str">
        <f>IF(Table2[[#This Row],[Description]]="","",VLOOKUP(Table2[[#This Row],[Description]],$Q$1:$S$101,3,FALSE))</f>
        <v/>
      </c>
      <c r="I711" s="1" t="str">
        <f>IF(Table2[[#This Row],[Description]]="","",IF(Table2[[#This Row],[Currency]]=$O$2,$P$2,HLOOKUP(Table2[[#This Row],[Date]],Funds!$C$10:$GV$11,2,FALSE)))</f>
        <v/>
      </c>
      <c r="J711" s="215" t="str">
        <f>IF(Table2[[#This Row],[Description]]="","",Table2[[#This Row],[Value]]/Table2[[#This Row],[Conversion]])</f>
        <v/>
      </c>
      <c r="K711" s="45" t="str">
        <f>IF(Table2[[#This Row],[Description]]="","",DATE(Table2[[#This Row],[Year]],Table2[[#This Row],[Month]],1))</f>
        <v/>
      </c>
    </row>
    <row r="712" spans="7:11" x14ac:dyDescent="0.25">
      <c r="G712" s="1" t="str">
        <f>IF(Table2[[#This Row],[Description]]="","",VLOOKUP(Table2[[#This Row],[Description]],$Q$1:$S$101,2,FALSE))</f>
        <v/>
      </c>
      <c r="H712" s="1" t="str">
        <f>IF(Table2[[#This Row],[Description]]="","",VLOOKUP(Table2[[#This Row],[Description]],$Q$1:$S$101,3,FALSE))</f>
        <v/>
      </c>
      <c r="I712" s="1" t="str">
        <f>IF(Table2[[#This Row],[Description]]="","",IF(Table2[[#This Row],[Currency]]=$O$2,$P$2,HLOOKUP(Table2[[#This Row],[Date]],Funds!$C$10:$GV$11,2,FALSE)))</f>
        <v/>
      </c>
      <c r="J712" s="215" t="str">
        <f>IF(Table2[[#This Row],[Description]]="","",Table2[[#This Row],[Value]]/Table2[[#This Row],[Conversion]])</f>
        <v/>
      </c>
      <c r="K712" s="45" t="str">
        <f>IF(Table2[[#This Row],[Description]]="","",DATE(Table2[[#This Row],[Year]],Table2[[#This Row],[Month]],1))</f>
        <v/>
      </c>
    </row>
    <row r="713" spans="7:11" x14ac:dyDescent="0.25">
      <c r="G713" s="1" t="str">
        <f>IF(Table2[[#This Row],[Description]]="","",VLOOKUP(Table2[[#This Row],[Description]],$Q$1:$S$101,2,FALSE))</f>
        <v/>
      </c>
      <c r="H713" s="1" t="str">
        <f>IF(Table2[[#This Row],[Description]]="","",VLOOKUP(Table2[[#This Row],[Description]],$Q$1:$S$101,3,FALSE))</f>
        <v/>
      </c>
      <c r="I713" s="1" t="str">
        <f>IF(Table2[[#This Row],[Description]]="","",IF(Table2[[#This Row],[Currency]]=$O$2,$P$2,HLOOKUP(Table2[[#This Row],[Date]],Funds!$C$10:$GV$11,2,FALSE)))</f>
        <v/>
      </c>
      <c r="J713" s="215" t="str">
        <f>IF(Table2[[#This Row],[Description]]="","",Table2[[#This Row],[Value]]/Table2[[#This Row],[Conversion]])</f>
        <v/>
      </c>
      <c r="K713" s="45" t="str">
        <f>IF(Table2[[#This Row],[Description]]="","",DATE(Table2[[#This Row],[Year]],Table2[[#This Row],[Month]],1))</f>
        <v/>
      </c>
    </row>
    <row r="714" spans="7:11" x14ac:dyDescent="0.25">
      <c r="G714" s="1" t="str">
        <f>IF(Table2[[#This Row],[Description]]="","",VLOOKUP(Table2[[#This Row],[Description]],$Q$1:$S$101,2,FALSE))</f>
        <v/>
      </c>
      <c r="H714" s="1" t="str">
        <f>IF(Table2[[#This Row],[Description]]="","",VLOOKUP(Table2[[#This Row],[Description]],$Q$1:$S$101,3,FALSE))</f>
        <v/>
      </c>
      <c r="I714" s="1" t="str">
        <f>IF(Table2[[#This Row],[Description]]="","",IF(Table2[[#This Row],[Currency]]=$O$2,$P$2,HLOOKUP(Table2[[#This Row],[Date]],Funds!$C$10:$GV$11,2,FALSE)))</f>
        <v/>
      </c>
      <c r="J714" s="215" t="str">
        <f>IF(Table2[[#This Row],[Description]]="","",Table2[[#This Row],[Value]]/Table2[[#This Row],[Conversion]])</f>
        <v/>
      </c>
      <c r="K714" s="45" t="str">
        <f>IF(Table2[[#This Row],[Description]]="","",DATE(Table2[[#This Row],[Year]],Table2[[#This Row],[Month]],1))</f>
        <v/>
      </c>
    </row>
    <row r="715" spans="7:11" x14ac:dyDescent="0.25">
      <c r="G715" s="1" t="str">
        <f>IF(Table2[[#This Row],[Description]]="","",VLOOKUP(Table2[[#This Row],[Description]],$Q$1:$S$101,2,FALSE))</f>
        <v/>
      </c>
      <c r="H715" s="1" t="str">
        <f>IF(Table2[[#This Row],[Description]]="","",VLOOKUP(Table2[[#This Row],[Description]],$Q$1:$S$101,3,FALSE))</f>
        <v/>
      </c>
      <c r="I715" s="1" t="str">
        <f>IF(Table2[[#This Row],[Description]]="","",IF(Table2[[#This Row],[Currency]]=$O$2,$P$2,HLOOKUP(Table2[[#This Row],[Date]],Funds!$C$10:$GV$11,2,FALSE)))</f>
        <v/>
      </c>
      <c r="J715" s="215" t="str">
        <f>IF(Table2[[#This Row],[Description]]="","",Table2[[#This Row],[Value]]/Table2[[#This Row],[Conversion]])</f>
        <v/>
      </c>
      <c r="K715" s="45" t="str">
        <f>IF(Table2[[#This Row],[Description]]="","",DATE(Table2[[#This Row],[Year]],Table2[[#This Row],[Month]],1))</f>
        <v/>
      </c>
    </row>
    <row r="716" spans="7:11" x14ac:dyDescent="0.25">
      <c r="G716" s="1" t="str">
        <f>IF(Table2[[#This Row],[Description]]="","",VLOOKUP(Table2[[#This Row],[Description]],$Q$1:$S$101,2,FALSE))</f>
        <v/>
      </c>
      <c r="H716" s="1" t="str">
        <f>IF(Table2[[#This Row],[Description]]="","",VLOOKUP(Table2[[#This Row],[Description]],$Q$1:$S$101,3,FALSE))</f>
        <v/>
      </c>
      <c r="I716" s="1" t="str">
        <f>IF(Table2[[#This Row],[Description]]="","",IF(Table2[[#This Row],[Currency]]=$O$2,$P$2,HLOOKUP(Table2[[#This Row],[Date]],Funds!$C$10:$GV$11,2,FALSE)))</f>
        <v/>
      </c>
      <c r="J716" s="215" t="str">
        <f>IF(Table2[[#This Row],[Description]]="","",Table2[[#This Row],[Value]]/Table2[[#This Row],[Conversion]])</f>
        <v/>
      </c>
      <c r="K716" s="45" t="str">
        <f>IF(Table2[[#This Row],[Description]]="","",DATE(Table2[[#This Row],[Year]],Table2[[#This Row],[Month]],1))</f>
        <v/>
      </c>
    </row>
    <row r="717" spans="7:11" x14ac:dyDescent="0.25">
      <c r="G717" s="1" t="str">
        <f>IF(Table2[[#This Row],[Description]]="","",VLOOKUP(Table2[[#This Row],[Description]],$Q$1:$S$101,2,FALSE))</f>
        <v/>
      </c>
      <c r="H717" s="1" t="str">
        <f>IF(Table2[[#This Row],[Description]]="","",VLOOKUP(Table2[[#This Row],[Description]],$Q$1:$S$101,3,FALSE))</f>
        <v/>
      </c>
      <c r="I717" s="1" t="str">
        <f>IF(Table2[[#This Row],[Description]]="","",IF(Table2[[#This Row],[Currency]]=$O$2,$P$2,HLOOKUP(Table2[[#This Row],[Date]],Funds!$C$10:$GV$11,2,FALSE)))</f>
        <v/>
      </c>
      <c r="J717" s="215" t="str">
        <f>IF(Table2[[#This Row],[Description]]="","",Table2[[#This Row],[Value]]/Table2[[#This Row],[Conversion]])</f>
        <v/>
      </c>
      <c r="K717" s="45" t="str">
        <f>IF(Table2[[#This Row],[Description]]="","",DATE(Table2[[#This Row],[Year]],Table2[[#This Row],[Month]],1))</f>
        <v/>
      </c>
    </row>
    <row r="718" spans="7:11" x14ac:dyDescent="0.25">
      <c r="G718" s="1" t="str">
        <f>IF(Table2[[#This Row],[Description]]="","",VLOOKUP(Table2[[#This Row],[Description]],$Q$1:$S$101,2,FALSE))</f>
        <v/>
      </c>
      <c r="H718" s="1" t="str">
        <f>IF(Table2[[#This Row],[Description]]="","",VLOOKUP(Table2[[#This Row],[Description]],$Q$1:$S$101,3,FALSE))</f>
        <v/>
      </c>
      <c r="I718" s="1" t="str">
        <f>IF(Table2[[#This Row],[Description]]="","",IF(Table2[[#This Row],[Currency]]=$O$2,$P$2,HLOOKUP(Table2[[#This Row],[Date]],Funds!$C$10:$GV$11,2,FALSE)))</f>
        <v/>
      </c>
      <c r="J718" s="215" t="str">
        <f>IF(Table2[[#This Row],[Description]]="","",Table2[[#This Row],[Value]]/Table2[[#This Row],[Conversion]])</f>
        <v/>
      </c>
      <c r="K718" s="45" t="str">
        <f>IF(Table2[[#This Row],[Description]]="","",DATE(Table2[[#This Row],[Year]],Table2[[#This Row],[Month]],1))</f>
        <v/>
      </c>
    </row>
    <row r="719" spans="7:11" x14ac:dyDescent="0.25">
      <c r="G719" s="1" t="str">
        <f>IF(Table2[[#This Row],[Description]]="","",VLOOKUP(Table2[[#This Row],[Description]],$Q$1:$S$101,2,FALSE))</f>
        <v/>
      </c>
      <c r="H719" s="1" t="str">
        <f>IF(Table2[[#This Row],[Description]]="","",VLOOKUP(Table2[[#This Row],[Description]],$Q$1:$S$101,3,FALSE))</f>
        <v/>
      </c>
      <c r="I719" s="1" t="str">
        <f>IF(Table2[[#This Row],[Description]]="","",IF(Table2[[#This Row],[Currency]]=$O$2,$P$2,HLOOKUP(Table2[[#This Row],[Date]],Funds!$C$10:$GV$11,2,FALSE)))</f>
        <v/>
      </c>
      <c r="J719" s="215" t="str">
        <f>IF(Table2[[#This Row],[Description]]="","",Table2[[#This Row],[Value]]/Table2[[#This Row],[Conversion]])</f>
        <v/>
      </c>
      <c r="K719" s="45" t="str">
        <f>IF(Table2[[#This Row],[Description]]="","",DATE(Table2[[#This Row],[Year]],Table2[[#This Row],[Month]],1))</f>
        <v/>
      </c>
    </row>
    <row r="720" spans="7:11" x14ac:dyDescent="0.25">
      <c r="G720" s="1" t="str">
        <f>IF(Table2[[#This Row],[Description]]="","",VLOOKUP(Table2[[#This Row],[Description]],$Q$1:$S$101,2,FALSE))</f>
        <v/>
      </c>
      <c r="H720" s="1" t="str">
        <f>IF(Table2[[#This Row],[Description]]="","",VLOOKUP(Table2[[#This Row],[Description]],$Q$1:$S$101,3,FALSE))</f>
        <v/>
      </c>
      <c r="I720" s="1" t="str">
        <f>IF(Table2[[#This Row],[Description]]="","",IF(Table2[[#This Row],[Currency]]=$O$2,$P$2,HLOOKUP(Table2[[#This Row],[Date]],Funds!$C$10:$GV$11,2,FALSE)))</f>
        <v/>
      </c>
      <c r="J720" s="215" t="str">
        <f>IF(Table2[[#This Row],[Description]]="","",Table2[[#This Row],[Value]]/Table2[[#This Row],[Conversion]])</f>
        <v/>
      </c>
      <c r="K720" s="45" t="str">
        <f>IF(Table2[[#This Row],[Description]]="","",DATE(Table2[[#This Row],[Year]],Table2[[#This Row],[Month]],1))</f>
        <v/>
      </c>
    </row>
    <row r="721" spans="7:11" x14ac:dyDescent="0.25">
      <c r="G721" s="1" t="str">
        <f>IF(Table2[[#This Row],[Description]]="","",VLOOKUP(Table2[[#This Row],[Description]],$Q$1:$S$101,2,FALSE))</f>
        <v/>
      </c>
      <c r="H721" s="1" t="str">
        <f>IF(Table2[[#This Row],[Description]]="","",VLOOKUP(Table2[[#This Row],[Description]],$Q$1:$S$101,3,FALSE))</f>
        <v/>
      </c>
      <c r="I721" s="1" t="str">
        <f>IF(Table2[[#This Row],[Description]]="","",IF(Table2[[#This Row],[Currency]]=$O$2,$P$2,HLOOKUP(Table2[[#This Row],[Date]],Funds!$C$10:$GV$11,2,FALSE)))</f>
        <v/>
      </c>
      <c r="J721" s="215" t="str">
        <f>IF(Table2[[#This Row],[Description]]="","",Table2[[#This Row],[Value]]/Table2[[#This Row],[Conversion]])</f>
        <v/>
      </c>
      <c r="K721" s="45" t="str">
        <f>IF(Table2[[#This Row],[Description]]="","",DATE(Table2[[#This Row],[Year]],Table2[[#This Row],[Month]],1))</f>
        <v/>
      </c>
    </row>
    <row r="722" spans="7:11" x14ac:dyDescent="0.25">
      <c r="G722" s="1" t="str">
        <f>IF(Table2[[#This Row],[Description]]="","",VLOOKUP(Table2[[#This Row],[Description]],$Q$1:$S$101,2,FALSE))</f>
        <v/>
      </c>
      <c r="H722" s="1" t="str">
        <f>IF(Table2[[#This Row],[Description]]="","",VLOOKUP(Table2[[#This Row],[Description]],$Q$1:$S$101,3,FALSE))</f>
        <v/>
      </c>
      <c r="I722" s="1" t="str">
        <f>IF(Table2[[#This Row],[Description]]="","",IF(Table2[[#This Row],[Currency]]=$O$2,$P$2,HLOOKUP(Table2[[#This Row],[Date]],Funds!$C$10:$GV$11,2,FALSE)))</f>
        <v/>
      </c>
      <c r="J722" s="215" t="str">
        <f>IF(Table2[[#This Row],[Description]]="","",Table2[[#This Row],[Value]]/Table2[[#This Row],[Conversion]])</f>
        <v/>
      </c>
      <c r="K722" s="45" t="str">
        <f>IF(Table2[[#This Row],[Description]]="","",DATE(Table2[[#This Row],[Year]],Table2[[#This Row],[Month]],1))</f>
        <v/>
      </c>
    </row>
    <row r="723" spans="7:11" x14ac:dyDescent="0.25">
      <c r="G723" s="1" t="str">
        <f>IF(Table2[[#This Row],[Description]]="","",VLOOKUP(Table2[[#This Row],[Description]],$Q$1:$S$101,2,FALSE))</f>
        <v/>
      </c>
      <c r="H723" s="1" t="str">
        <f>IF(Table2[[#This Row],[Description]]="","",VLOOKUP(Table2[[#This Row],[Description]],$Q$1:$S$101,3,FALSE))</f>
        <v/>
      </c>
      <c r="I723" s="1" t="str">
        <f>IF(Table2[[#This Row],[Description]]="","",IF(Table2[[#This Row],[Currency]]=$O$2,$P$2,HLOOKUP(Table2[[#This Row],[Date]],Funds!$C$10:$GV$11,2,FALSE)))</f>
        <v/>
      </c>
      <c r="J723" s="215" t="str">
        <f>IF(Table2[[#This Row],[Description]]="","",Table2[[#This Row],[Value]]/Table2[[#This Row],[Conversion]])</f>
        <v/>
      </c>
      <c r="K723" s="45" t="str">
        <f>IF(Table2[[#This Row],[Description]]="","",DATE(Table2[[#This Row],[Year]],Table2[[#This Row],[Month]],1))</f>
        <v/>
      </c>
    </row>
    <row r="724" spans="7:11" x14ac:dyDescent="0.25">
      <c r="G724" s="1" t="str">
        <f>IF(Table2[[#This Row],[Description]]="","",VLOOKUP(Table2[[#This Row],[Description]],$Q$1:$S$101,2,FALSE))</f>
        <v/>
      </c>
      <c r="H724" s="1" t="str">
        <f>IF(Table2[[#This Row],[Description]]="","",VLOOKUP(Table2[[#This Row],[Description]],$Q$1:$S$101,3,FALSE))</f>
        <v/>
      </c>
      <c r="I724" s="1" t="str">
        <f>IF(Table2[[#This Row],[Description]]="","",IF(Table2[[#This Row],[Currency]]=$O$2,$P$2,HLOOKUP(Table2[[#This Row],[Date]],Funds!$C$10:$GV$11,2,FALSE)))</f>
        <v/>
      </c>
      <c r="J724" s="215" t="str">
        <f>IF(Table2[[#This Row],[Description]]="","",Table2[[#This Row],[Value]]/Table2[[#This Row],[Conversion]])</f>
        <v/>
      </c>
      <c r="K724" s="45" t="str">
        <f>IF(Table2[[#This Row],[Description]]="","",DATE(Table2[[#This Row],[Year]],Table2[[#This Row],[Month]],1))</f>
        <v/>
      </c>
    </row>
    <row r="725" spans="7:11" x14ac:dyDescent="0.25">
      <c r="G725" s="1" t="str">
        <f>IF(Table2[[#This Row],[Description]]="","",VLOOKUP(Table2[[#This Row],[Description]],$Q$1:$S$101,2,FALSE))</f>
        <v/>
      </c>
      <c r="H725" s="1" t="str">
        <f>IF(Table2[[#This Row],[Description]]="","",VLOOKUP(Table2[[#This Row],[Description]],$Q$1:$S$101,3,FALSE))</f>
        <v/>
      </c>
      <c r="I725" s="1" t="str">
        <f>IF(Table2[[#This Row],[Description]]="","",IF(Table2[[#This Row],[Currency]]=$O$2,$P$2,HLOOKUP(Table2[[#This Row],[Date]],Funds!$C$10:$GV$11,2,FALSE)))</f>
        <v/>
      </c>
      <c r="J725" s="215" t="str">
        <f>IF(Table2[[#This Row],[Description]]="","",Table2[[#This Row],[Value]]/Table2[[#This Row],[Conversion]])</f>
        <v/>
      </c>
      <c r="K725" s="45" t="str">
        <f>IF(Table2[[#This Row],[Description]]="","",DATE(Table2[[#This Row],[Year]],Table2[[#This Row],[Month]],1))</f>
        <v/>
      </c>
    </row>
    <row r="726" spans="7:11" x14ac:dyDescent="0.25">
      <c r="G726" s="1" t="str">
        <f>IF(Table2[[#This Row],[Description]]="","",VLOOKUP(Table2[[#This Row],[Description]],$Q$1:$S$101,2,FALSE))</f>
        <v/>
      </c>
      <c r="H726" s="1" t="str">
        <f>IF(Table2[[#This Row],[Description]]="","",VLOOKUP(Table2[[#This Row],[Description]],$Q$1:$S$101,3,FALSE))</f>
        <v/>
      </c>
      <c r="I726" s="1" t="str">
        <f>IF(Table2[[#This Row],[Description]]="","",IF(Table2[[#This Row],[Currency]]=$O$2,$P$2,HLOOKUP(Table2[[#This Row],[Date]],Funds!$C$10:$GV$11,2,FALSE)))</f>
        <v/>
      </c>
      <c r="J726" s="215" t="str">
        <f>IF(Table2[[#This Row],[Description]]="","",Table2[[#This Row],[Value]]/Table2[[#This Row],[Conversion]])</f>
        <v/>
      </c>
      <c r="K726" s="45" t="str">
        <f>IF(Table2[[#This Row],[Description]]="","",DATE(Table2[[#This Row],[Year]],Table2[[#This Row],[Month]],1))</f>
        <v/>
      </c>
    </row>
    <row r="727" spans="7:11" x14ac:dyDescent="0.25">
      <c r="G727" s="1" t="str">
        <f>IF(Table2[[#This Row],[Description]]="","",VLOOKUP(Table2[[#This Row],[Description]],$Q$1:$S$101,2,FALSE))</f>
        <v/>
      </c>
      <c r="H727" s="1" t="str">
        <f>IF(Table2[[#This Row],[Description]]="","",VLOOKUP(Table2[[#This Row],[Description]],$Q$1:$S$101,3,FALSE))</f>
        <v/>
      </c>
      <c r="I727" s="1" t="str">
        <f>IF(Table2[[#This Row],[Description]]="","",IF(Table2[[#This Row],[Currency]]=$O$2,$P$2,HLOOKUP(Table2[[#This Row],[Date]],Funds!$C$10:$GV$11,2,FALSE)))</f>
        <v/>
      </c>
      <c r="J727" s="215" t="str">
        <f>IF(Table2[[#This Row],[Description]]="","",Table2[[#This Row],[Value]]/Table2[[#This Row],[Conversion]])</f>
        <v/>
      </c>
      <c r="K727" s="45" t="str">
        <f>IF(Table2[[#This Row],[Description]]="","",DATE(Table2[[#This Row],[Year]],Table2[[#This Row],[Month]],1))</f>
        <v/>
      </c>
    </row>
    <row r="728" spans="7:11" x14ac:dyDescent="0.25">
      <c r="G728" s="1" t="str">
        <f>IF(Table2[[#This Row],[Description]]="","",VLOOKUP(Table2[[#This Row],[Description]],$Q$1:$S$101,2,FALSE))</f>
        <v/>
      </c>
      <c r="H728" s="1" t="str">
        <f>IF(Table2[[#This Row],[Description]]="","",VLOOKUP(Table2[[#This Row],[Description]],$Q$1:$S$101,3,FALSE))</f>
        <v/>
      </c>
      <c r="I728" s="1" t="str">
        <f>IF(Table2[[#This Row],[Description]]="","",IF(Table2[[#This Row],[Currency]]=$O$2,$P$2,HLOOKUP(Table2[[#This Row],[Date]],Funds!$C$10:$GV$11,2,FALSE)))</f>
        <v/>
      </c>
      <c r="J728" s="215" t="str">
        <f>IF(Table2[[#This Row],[Description]]="","",Table2[[#This Row],[Value]]/Table2[[#This Row],[Conversion]])</f>
        <v/>
      </c>
      <c r="K728" s="45" t="str">
        <f>IF(Table2[[#This Row],[Description]]="","",DATE(Table2[[#This Row],[Year]],Table2[[#This Row],[Month]],1))</f>
        <v/>
      </c>
    </row>
    <row r="729" spans="7:11" x14ac:dyDescent="0.25">
      <c r="G729" s="1" t="str">
        <f>IF(Table2[[#This Row],[Description]]="","",VLOOKUP(Table2[[#This Row],[Description]],$Q$1:$S$101,2,FALSE))</f>
        <v/>
      </c>
      <c r="H729" s="1" t="str">
        <f>IF(Table2[[#This Row],[Description]]="","",VLOOKUP(Table2[[#This Row],[Description]],$Q$1:$S$101,3,FALSE))</f>
        <v/>
      </c>
      <c r="I729" s="1" t="str">
        <f>IF(Table2[[#This Row],[Description]]="","",IF(Table2[[#This Row],[Currency]]=$O$2,$P$2,HLOOKUP(Table2[[#This Row],[Date]],Funds!$C$10:$GV$11,2,FALSE)))</f>
        <v/>
      </c>
      <c r="J729" s="215" t="str">
        <f>IF(Table2[[#This Row],[Description]]="","",Table2[[#This Row],[Value]]/Table2[[#This Row],[Conversion]])</f>
        <v/>
      </c>
      <c r="K729" s="45" t="str">
        <f>IF(Table2[[#This Row],[Description]]="","",DATE(Table2[[#This Row],[Year]],Table2[[#This Row],[Month]],1))</f>
        <v/>
      </c>
    </row>
    <row r="730" spans="7:11" x14ac:dyDescent="0.25">
      <c r="G730" s="1" t="str">
        <f>IF(Table2[[#This Row],[Description]]="","",VLOOKUP(Table2[[#This Row],[Description]],$Q$1:$S$101,2,FALSE))</f>
        <v/>
      </c>
      <c r="H730" s="1" t="str">
        <f>IF(Table2[[#This Row],[Description]]="","",VLOOKUP(Table2[[#This Row],[Description]],$Q$1:$S$101,3,FALSE))</f>
        <v/>
      </c>
      <c r="I730" s="1" t="str">
        <f>IF(Table2[[#This Row],[Description]]="","",IF(Table2[[#This Row],[Currency]]=$O$2,$P$2,HLOOKUP(Table2[[#This Row],[Date]],Funds!$C$10:$GV$11,2,FALSE)))</f>
        <v/>
      </c>
      <c r="J730" s="215" t="str">
        <f>IF(Table2[[#This Row],[Description]]="","",Table2[[#This Row],[Value]]/Table2[[#This Row],[Conversion]])</f>
        <v/>
      </c>
      <c r="K730" s="45" t="str">
        <f>IF(Table2[[#This Row],[Description]]="","",DATE(Table2[[#This Row],[Year]],Table2[[#This Row],[Month]],1))</f>
        <v/>
      </c>
    </row>
    <row r="731" spans="7:11" x14ac:dyDescent="0.25">
      <c r="G731" s="1" t="str">
        <f>IF(Table2[[#This Row],[Description]]="","",VLOOKUP(Table2[[#This Row],[Description]],$Q$1:$S$101,2,FALSE))</f>
        <v/>
      </c>
      <c r="H731" s="1" t="str">
        <f>IF(Table2[[#This Row],[Description]]="","",VLOOKUP(Table2[[#This Row],[Description]],$Q$1:$S$101,3,FALSE))</f>
        <v/>
      </c>
      <c r="I731" s="1" t="str">
        <f>IF(Table2[[#This Row],[Description]]="","",IF(Table2[[#This Row],[Currency]]=$O$2,$P$2,HLOOKUP(Table2[[#This Row],[Date]],Funds!$C$10:$GV$11,2,FALSE)))</f>
        <v/>
      </c>
      <c r="J731" s="215" t="str">
        <f>IF(Table2[[#This Row],[Description]]="","",Table2[[#This Row],[Value]]/Table2[[#This Row],[Conversion]])</f>
        <v/>
      </c>
      <c r="K731" s="45" t="str">
        <f>IF(Table2[[#This Row],[Description]]="","",DATE(Table2[[#This Row],[Year]],Table2[[#This Row],[Month]],1))</f>
        <v/>
      </c>
    </row>
    <row r="732" spans="7:11" x14ac:dyDescent="0.25">
      <c r="G732" s="1" t="str">
        <f>IF(Table2[[#This Row],[Description]]="","",VLOOKUP(Table2[[#This Row],[Description]],$Q$1:$S$101,2,FALSE))</f>
        <v/>
      </c>
      <c r="H732" s="1" t="str">
        <f>IF(Table2[[#This Row],[Description]]="","",VLOOKUP(Table2[[#This Row],[Description]],$Q$1:$S$101,3,FALSE))</f>
        <v/>
      </c>
      <c r="I732" s="1" t="str">
        <f>IF(Table2[[#This Row],[Description]]="","",IF(Table2[[#This Row],[Currency]]=$O$2,$P$2,HLOOKUP(Table2[[#This Row],[Date]],Funds!$C$10:$GV$11,2,FALSE)))</f>
        <v/>
      </c>
      <c r="J732" s="215" t="str">
        <f>IF(Table2[[#This Row],[Description]]="","",Table2[[#This Row],[Value]]/Table2[[#This Row],[Conversion]])</f>
        <v/>
      </c>
      <c r="K732" s="45" t="str">
        <f>IF(Table2[[#This Row],[Description]]="","",DATE(Table2[[#This Row],[Year]],Table2[[#This Row],[Month]],1))</f>
        <v/>
      </c>
    </row>
    <row r="733" spans="7:11" x14ac:dyDescent="0.25">
      <c r="G733" s="1" t="str">
        <f>IF(Table2[[#This Row],[Description]]="","",VLOOKUP(Table2[[#This Row],[Description]],$Q$1:$S$101,2,FALSE))</f>
        <v/>
      </c>
      <c r="H733" s="1" t="str">
        <f>IF(Table2[[#This Row],[Description]]="","",VLOOKUP(Table2[[#This Row],[Description]],$Q$1:$S$101,3,FALSE))</f>
        <v/>
      </c>
      <c r="I733" s="1" t="str">
        <f>IF(Table2[[#This Row],[Description]]="","",IF(Table2[[#This Row],[Currency]]=$O$2,$P$2,HLOOKUP(Table2[[#This Row],[Date]],Funds!$C$10:$GV$11,2,FALSE)))</f>
        <v/>
      </c>
      <c r="J733" s="215" t="str">
        <f>IF(Table2[[#This Row],[Description]]="","",Table2[[#This Row],[Value]]/Table2[[#This Row],[Conversion]])</f>
        <v/>
      </c>
      <c r="K733" s="45" t="str">
        <f>IF(Table2[[#This Row],[Description]]="","",DATE(Table2[[#This Row],[Year]],Table2[[#This Row],[Month]],1))</f>
        <v/>
      </c>
    </row>
    <row r="734" spans="7:11" x14ac:dyDescent="0.25">
      <c r="G734" s="1" t="str">
        <f>IF(Table2[[#This Row],[Description]]="","",VLOOKUP(Table2[[#This Row],[Description]],$Q$1:$S$101,2,FALSE))</f>
        <v/>
      </c>
      <c r="H734" s="1" t="str">
        <f>IF(Table2[[#This Row],[Description]]="","",VLOOKUP(Table2[[#This Row],[Description]],$Q$1:$S$101,3,FALSE))</f>
        <v/>
      </c>
      <c r="I734" s="1" t="str">
        <f>IF(Table2[[#This Row],[Description]]="","",IF(Table2[[#This Row],[Currency]]=$O$2,$P$2,HLOOKUP(Table2[[#This Row],[Date]],Funds!$C$10:$GV$11,2,FALSE)))</f>
        <v/>
      </c>
      <c r="J734" s="215" t="str">
        <f>IF(Table2[[#This Row],[Description]]="","",Table2[[#This Row],[Value]]/Table2[[#This Row],[Conversion]])</f>
        <v/>
      </c>
      <c r="K734" s="45" t="str">
        <f>IF(Table2[[#This Row],[Description]]="","",DATE(Table2[[#This Row],[Year]],Table2[[#This Row],[Month]],1))</f>
        <v/>
      </c>
    </row>
    <row r="735" spans="7:11" x14ac:dyDescent="0.25">
      <c r="G735" s="1" t="str">
        <f>IF(Table2[[#This Row],[Description]]="","",VLOOKUP(Table2[[#This Row],[Description]],$Q$1:$S$101,2,FALSE))</f>
        <v/>
      </c>
      <c r="H735" s="1" t="str">
        <f>IF(Table2[[#This Row],[Description]]="","",VLOOKUP(Table2[[#This Row],[Description]],$Q$1:$S$101,3,FALSE))</f>
        <v/>
      </c>
      <c r="I735" s="1" t="str">
        <f>IF(Table2[[#This Row],[Description]]="","",IF(Table2[[#This Row],[Currency]]=$O$2,$P$2,HLOOKUP(Table2[[#This Row],[Date]],Funds!$C$10:$GV$11,2,FALSE)))</f>
        <v/>
      </c>
      <c r="J735" s="215" t="str">
        <f>IF(Table2[[#This Row],[Description]]="","",Table2[[#This Row],[Value]]/Table2[[#This Row],[Conversion]])</f>
        <v/>
      </c>
      <c r="K735" s="45" t="str">
        <f>IF(Table2[[#This Row],[Description]]="","",DATE(Table2[[#This Row],[Year]],Table2[[#This Row],[Month]],1))</f>
        <v/>
      </c>
    </row>
    <row r="736" spans="7:11" x14ac:dyDescent="0.25">
      <c r="G736" s="1" t="str">
        <f>IF(Table2[[#This Row],[Description]]="","",VLOOKUP(Table2[[#This Row],[Description]],$Q$1:$S$101,2,FALSE))</f>
        <v/>
      </c>
      <c r="H736" s="1" t="str">
        <f>IF(Table2[[#This Row],[Description]]="","",VLOOKUP(Table2[[#This Row],[Description]],$Q$1:$S$101,3,FALSE))</f>
        <v/>
      </c>
      <c r="I736" s="1" t="str">
        <f>IF(Table2[[#This Row],[Description]]="","",IF(Table2[[#This Row],[Currency]]=$O$2,$P$2,HLOOKUP(Table2[[#This Row],[Date]],Funds!$C$10:$GV$11,2,FALSE)))</f>
        <v/>
      </c>
      <c r="J736" s="215" t="str">
        <f>IF(Table2[[#This Row],[Description]]="","",Table2[[#This Row],[Value]]/Table2[[#This Row],[Conversion]])</f>
        <v/>
      </c>
      <c r="K736" s="45" t="str">
        <f>IF(Table2[[#This Row],[Description]]="","",DATE(Table2[[#This Row],[Year]],Table2[[#This Row],[Month]],1))</f>
        <v/>
      </c>
    </row>
    <row r="737" spans="7:11" x14ac:dyDescent="0.25">
      <c r="G737" s="1" t="str">
        <f>IF(Table2[[#This Row],[Description]]="","",VLOOKUP(Table2[[#This Row],[Description]],$Q$1:$S$101,2,FALSE))</f>
        <v/>
      </c>
      <c r="H737" s="1" t="str">
        <f>IF(Table2[[#This Row],[Description]]="","",VLOOKUP(Table2[[#This Row],[Description]],$Q$1:$S$101,3,FALSE))</f>
        <v/>
      </c>
      <c r="I737" s="1" t="str">
        <f>IF(Table2[[#This Row],[Description]]="","",IF(Table2[[#This Row],[Currency]]=$O$2,$P$2,HLOOKUP(Table2[[#This Row],[Date]],Funds!$C$10:$GV$11,2,FALSE)))</f>
        <v/>
      </c>
      <c r="J737" s="215" t="str">
        <f>IF(Table2[[#This Row],[Description]]="","",Table2[[#This Row],[Value]]/Table2[[#This Row],[Conversion]])</f>
        <v/>
      </c>
      <c r="K737" s="45" t="str">
        <f>IF(Table2[[#This Row],[Description]]="","",DATE(Table2[[#This Row],[Year]],Table2[[#This Row],[Month]],1))</f>
        <v/>
      </c>
    </row>
    <row r="738" spans="7:11" x14ac:dyDescent="0.25">
      <c r="G738" s="1" t="str">
        <f>IF(Table2[[#This Row],[Description]]="","",VLOOKUP(Table2[[#This Row],[Description]],$Q$1:$S$101,2,FALSE))</f>
        <v/>
      </c>
      <c r="H738" s="1" t="str">
        <f>IF(Table2[[#This Row],[Description]]="","",VLOOKUP(Table2[[#This Row],[Description]],$Q$1:$S$101,3,FALSE))</f>
        <v/>
      </c>
      <c r="I738" s="1" t="str">
        <f>IF(Table2[[#This Row],[Description]]="","",IF(Table2[[#This Row],[Currency]]=$O$2,$P$2,HLOOKUP(Table2[[#This Row],[Date]],Funds!$C$10:$GV$11,2,FALSE)))</f>
        <v/>
      </c>
      <c r="J738" s="215" t="str">
        <f>IF(Table2[[#This Row],[Description]]="","",Table2[[#This Row],[Value]]/Table2[[#This Row],[Conversion]])</f>
        <v/>
      </c>
      <c r="K738" s="45" t="str">
        <f>IF(Table2[[#This Row],[Description]]="","",DATE(Table2[[#This Row],[Year]],Table2[[#This Row],[Month]],1))</f>
        <v/>
      </c>
    </row>
    <row r="739" spans="7:11" x14ac:dyDescent="0.25">
      <c r="G739" s="1" t="str">
        <f>IF(Table2[[#This Row],[Description]]="","",VLOOKUP(Table2[[#This Row],[Description]],$Q$1:$S$101,2,FALSE))</f>
        <v/>
      </c>
      <c r="H739" s="1" t="str">
        <f>IF(Table2[[#This Row],[Description]]="","",VLOOKUP(Table2[[#This Row],[Description]],$Q$1:$S$101,3,FALSE))</f>
        <v/>
      </c>
      <c r="I739" s="1" t="str">
        <f>IF(Table2[[#This Row],[Description]]="","",IF(Table2[[#This Row],[Currency]]=$O$2,$P$2,HLOOKUP(Table2[[#This Row],[Date]],Funds!$C$10:$GV$11,2,FALSE)))</f>
        <v/>
      </c>
      <c r="J739" s="215" t="str">
        <f>IF(Table2[[#This Row],[Description]]="","",Table2[[#This Row],[Value]]/Table2[[#This Row],[Conversion]])</f>
        <v/>
      </c>
      <c r="K739" s="45" t="str">
        <f>IF(Table2[[#This Row],[Description]]="","",DATE(Table2[[#This Row],[Year]],Table2[[#This Row],[Month]],1))</f>
        <v/>
      </c>
    </row>
    <row r="740" spans="7:11" x14ac:dyDescent="0.25">
      <c r="G740" s="1" t="str">
        <f>IF(Table2[[#This Row],[Description]]="","",VLOOKUP(Table2[[#This Row],[Description]],$Q$1:$S$101,2,FALSE))</f>
        <v/>
      </c>
      <c r="H740" s="1" t="str">
        <f>IF(Table2[[#This Row],[Description]]="","",VLOOKUP(Table2[[#This Row],[Description]],$Q$1:$S$101,3,FALSE))</f>
        <v/>
      </c>
      <c r="I740" s="1" t="str">
        <f>IF(Table2[[#This Row],[Description]]="","",IF(Table2[[#This Row],[Currency]]=$O$2,$P$2,HLOOKUP(Table2[[#This Row],[Date]],Funds!$C$10:$GV$11,2,FALSE)))</f>
        <v/>
      </c>
      <c r="J740" s="215" t="str">
        <f>IF(Table2[[#This Row],[Description]]="","",Table2[[#This Row],[Value]]/Table2[[#This Row],[Conversion]])</f>
        <v/>
      </c>
      <c r="K740" s="45" t="str">
        <f>IF(Table2[[#This Row],[Description]]="","",DATE(Table2[[#This Row],[Year]],Table2[[#This Row],[Month]],1))</f>
        <v/>
      </c>
    </row>
    <row r="741" spans="7:11" x14ac:dyDescent="0.25">
      <c r="G741" s="1" t="str">
        <f>IF(Table2[[#This Row],[Description]]="","",VLOOKUP(Table2[[#This Row],[Description]],$Q$1:$S$101,2,FALSE))</f>
        <v/>
      </c>
      <c r="H741" s="1" t="str">
        <f>IF(Table2[[#This Row],[Description]]="","",VLOOKUP(Table2[[#This Row],[Description]],$Q$1:$S$101,3,FALSE))</f>
        <v/>
      </c>
      <c r="I741" s="1" t="str">
        <f>IF(Table2[[#This Row],[Description]]="","",IF(Table2[[#This Row],[Currency]]=$O$2,$P$2,HLOOKUP(Table2[[#This Row],[Date]],Funds!$C$10:$GV$11,2,FALSE)))</f>
        <v/>
      </c>
      <c r="J741" s="215" t="str">
        <f>IF(Table2[[#This Row],[Description]]="","",Table2[[#This Row],[Value]]/Table2[[#This Row],[Conversion]])</f>
        <v/>
      </c>
      <c r="K741" s="45" t="str">
        <f>IF(Table2[[#This Row],[Description]]="","",DATE(Table2[[#This Row],[Year]],Table2[[#This Row],[Month]],1))</f>
        <v/>
      </c>
    </row>
    <row r="742" spans="7:11" x14ac:dyDescent="0.25">
      <c r="G742" s="1" t="str">
        <f>IF(Table2[[#This Row],[Description]]="","",VLOOKUP(Table2[[#This Row],[Description]],$Q$1:$S$101,2,FALSE))</f>
        <v/>
      </c>
      <c r="H742" s="1" t="str">
        <f>IF(Table2[[#This Row],[Description]]="","",VLOOKUP(Table2[[#This Row],[Description]],$Q$1:$S$101,3,FALSE))</f>
        <v/>
      </c>
      <c r="I742" s="1" t="str">
        <f>IF(Table2[[#This Row],[Description]]="","",IF(Table2[[#This Row],[Currency]]=$O$2,$P$2,HLOOKUP(Table2[[#This Row],[Date]],Funds!$C$10:$GV$11,2,FALSE)))</f>
        <v/>
      </c>
      <c r="J742" s="215" t="str">
        <f>IF(Table2[[#This Row],[Description]]="","",Table2[[#This Row],[Value]]/Table2[[#This Row],[Conversion]])</f>
        <v/>
      </c>
      <c r="K742" s="45" t="str">
        <f>IF(Table2[[#This Row],[Description]]="","",DATE(Table2[[#This Row],[Year]],Table2[[#This Row],[Month]],1))</f>
        <v/>
      </c>
    </row>
    <row r="743" spans="7:11" x14ac:dyDescent="0.25">
      <c r="G743" s="1" t="str">
        <f>IF(Table2[[#This Row],[Description]]="","",VLOOKUP(Table2[[#This Row],[Description]],$Q$1:$S$101,2,FALSE))</f>
        <v/>
      </c>
      <c r="H743" s="1" t="str">
        <f>IF(Table2[[#This Row],[Description]]="","",VLOOKUP(Table2[[#This Row],[Description]],$Q$1:$S$101,3,FALSE))</f>
        <v/>
      </c>
      <c r="I743" s="1" t="str">
        <f>IF(Table2[[#This Row],[Description]]="","",IF(Table2[[#This Row],[Currency]]=$O$2,$P$2,HLOOKUP(Table2[[#This Row],[Date]],Funds!$C$10:$GV$11,2,FALSE)))</f>
        <v/>
      </c>
      <c r="J743" s="215" t="str">
        <f>IF(Table2[[#This Row],[Description]]="","",Table2[[#This Row],[Value]]/Table2[[#This Row],[Conversion]])</f>
        <v/>
      </c>
      <c r="K743" s="45" t="str">
        <f>IF(Table2[[#This Row],[Description]]="","",DATE(Table2[[#This Row],[Year]],Table2[[#This Row],[Month]],1))</f>
        <v/>
      </c>
    </row>
    <row r="744" spans="7:11" x14ac:dyDescent="0.25">
      <c r="G744" s="1" t="str">
        <f>IF(Table2[[#This Row],[Description]]="","",VLOOKUP(Table2[[#This Row],[Description]],$Q$1:$S$101,2,FALSE))</f>
        <v/>
      </c>
      <c r="H744" s="1" t="str">
        <f>IF(Table2[[#This Row],[Description]]="","",VLOOKUP(Table2[[#This Row],[Description]],$Q$1:$S$101,3,FALSE))</f>
        <v/>
      </c>
      <c r="I744" s="1" t="str">
        <f>IF(Table2[[#This Row],[Description]]="","",IF(Table2[[#This Row],[Currency]]=$O$2,$P$2,HLOOKUP(Table2[[#This Row],[Date]],Funds!$C$10:$GV$11,2,FALSE)))</f>
        <v/>
      </c>
      <c r="J744" s="215" t="str">
        <f>IF(Table2[[#This Row],[Description]]="","",Table2[[#This Row],[Value]]/Table2[[#This Row],[Conversion]])</f>
        <v/>
      </c>
      <c r="K744" s="45" t="str">
        <f>IF(Table2[[#This Row],[Description]]="","",DATE(Table2[[#This Row],[Year]],Table2[[#This Row],[Month]],1))</f>
        <v/>
      </c>
    </row>
    <row r="745" spans="7:11" x14ac:dyDescent="0.25">
      <c r="G745" s="1" t="str">
        <f>IF(Table2[[#This Row],[Description]]="","",VLOOKUP(Table2[[#This Row],[Description]],$Q$1:$S$101,2,FALSE))</f>
        <v/>
      </c>
      <c r="H745" s="1" t="str">
        <f>IF(Table2[[#This Row],[Description]]="","",VLOOKUP(Table2[[#This Row],[Description]],$Q$1:$S$101,3,FALSE))</f>
        <v/>
      </c>
      <c r="I745" s="1" t="str">
        <f>IF(Table2[[#This Row],[Description]]="","",IF(Table2[[#This Row],[Currency]]=$O$2,$P$2,HLOOKUP(Table2[[#This Row],[Date]],Funds!$C$10:$GV$11,2,FALSE)))</f>
        <v/>
      </c>
      <c r="J745" s="215" t="str">
        <f>IF(Table2[[#This Row],[Description]]="","",Table2[[#This Row],[Value]]/Table2[[#This Row],[Conversion]])</f>
        <v/>
      </c>
      <c r="K745" s="45" t="str">
        <f>IF(Table2[[#This Row],[Description]]="","",DATE(Table2[[#This Row],[Year]],Table2[[#This Row],[Month]],1))</f>
        <v/>
      </c>
    </row>
    <row r="746" spans="7:11" x14ac:dyDescent="0.25">
      <c r="G746" s="1" t="str">
        <f>IF(Table2[[#This Row],[Description]]="","",VLOOKUP(Table2[[#This Row],[Description]],$Q$1:$S$101,2,FALSE))</f>
        <v/>
      </c>
      <c r="H746" s="1" t="str">
        <f>IF(Table2[[#This Row],[Description]]="","",VLOOKUP(Table2[[#This Row],[Description]],$Q$1:$S$101,3,FALSE))</f>
        <v/>
      </c>
      <c r="I746" s="1" t="str">
        <f>IF(Table2[[#This Row],[Description]]="","",IF(Table2[[#This Row],[Currency]]=$O$2,$P$2,HLOOKUP(Table2[[#This Row],[Date]],Funds!$C$10:$GV$11,2,FALSE)))</f>
        <v/>
      </c>
      <c r="J746" s="215" t="str">
        <f>IF(Table2[[#This Row],[Description]]="","",Table2[[#This Row],[Value]]/Table2[[#This Row],[Conversion]])</f>
        <v/>
      </c>
      <c r="K746" s="45" t="str">
        <f>IF(Table2[[#This Row],[Description]]="","",DATE(Table2[[#This Row],[Year]],Table2[[#This Row],[Month]],1))</f>
        <v/>
      </c>
    </row>
    <row r="747" spans="7:11" x14ac:dyDescent="0.25">
      <c r="G747" s="1" t="str">
        <f>IF(Table2[[#This Row],[Description]]="","",VLOOKUP(Table2[[#This Row],[Description]],$Q$1:$S$101,2,FALSE))</f>
        <v/>
      </c>
      <c r="H747" s="1" t="str">
        <f>IF(Table2[[#This Row],[Description]]="","",VLOOKUP(Table2[[#This Row],[Description]],$Q$1:$S$101,3,FALSE))</f>
        <v/>
      </c>
      <c r="I747" s="1" t="str">
        <f>IF(Table2[[#This Row],[Description]]="","",IF(Table2[[#This Row],[Currency]]=$O$2,$P$2,HLOOKUP(Table2[[#This Row],[Date]],Funds!$C$10:$GV$11,2,FALSE)))</f>
        <v/>
      </c>
      <c r="J747" s="215" t="str">
        <f>IF(Table2[[#This Row],[Description]]="","",Table2[[#This Row],[Value]]/Table2[[#This Row],[Conversion]])</f>
        <v/>
      </c>
      <c r="K747" s="45" t="str">
        <f>IF(Table2[[#This Row],[Description]]="","",DATE(Table2[[#This Row],[Year]],Table2[[#This Row],[Month]],1))</f>
        <v/>
      </c>
    </row>
    <row r="748" spans="7:11" x14ac:dyDescent="0.25">
      <c r="G748" s="1" t="str">
        <f>IF(Table2[[#This Row],[Description]]="","",VLOOKUP(Table2[[#This Row],[Description]],$Q$1:$S$101,2,FALSE))</f>
        <v/>
      </c>
      <c r="H748" s="1" t="str">
        <f>IF(Table2[[#This Row],[Description]]="","",VLOOKUP(Table2[[#This Row],[Description]],$Q$1:$S$101,3,FALSE))</f>
        <v/>
      </c>
      <c r="I748" s="1" t="str">
        <f>IF(Table2[[#This Row],[Description]]="","",IF(Table2[[#This Row],[Currency]]=$O$2,$P$2,HLOOKUP(Table2[[#This Row],[Date]],Funds!$C$10:$GV$11,2,FALSE)))</f>
        <v/>
      </c>
      <c r="J748" s="215" t="str">
        <f>IF(Table2[[#This Row],[Description]]="","",Table2[[#This Row],[Value]]/Table2[[#This Row],[Conversion]])</f>
        <v/>
      </c>
      <c r="K748" s="45" t="str">
        <f>IF(Table2[[#This Row],[Description]]="","",DATE(Table2[[#This Row],[Year]],Table2[[#This Row],[Month]],1))</f>
        <v/>
      </c>
    </row>
    <row r="749" spans="7:11" x14ac:dyDescent="0.25">
      <c r="G749" s="1" t="str">
        <f>IF(Table2[[#This Row],[Description]]="","",VLOOKUP(Table2[[#This Row],[Description]],$Q$1:$S$101,2,FALSE))</f>
        <v/>
      </c>
      <c r="H749" s="1" t="str">
        <f>IF(Table2[[#This Row],[Description]]="","",VLOOKUP(Table2[[#This Row],[Description]],$Q$1:$S$101,3,FALSE))</f>
        <v/>
      </c>
      <c r="I749" s="1" t="str">
        <f>IF(Table2[[#This Row],[Description]]="","",IF(Table2[[#This Row],[Currency]]=$O$2,$P$2,HLOOKUP(Table2[[#This Row],[Date]],Funds!$C$10:$GV$11,2,FALSE)))</f>
        <v/>
      </c>
      <c r="J749" s="215" t="str">
        <f>IF(Table2[[#This Row],[Description]]="","",Table2[[#This Row],[Value]]/Table2[[#This Row],[Conversion]])</f>
        <v/>
      </c>
      <c r="K749" s="45" t="str">
        <f>IF(Table2[[#This Row],[Description]]="","",DATE(Table2[[#This Row],[Year]],Table2[[#This Row],[Month]],1))</f>
        <v/>
      </c>
    </row>
    <row r="750" spans="7:11" x14ac:dyDescent="0.25">
      <c r="G750" s="1" t="str">
        <f>IF(Table2[[#This Row],[Description]]="","",VLOOKUP(Table2[[#This Row],[Description]],$Q$1:$S$101,2,FALSE))</f>
        <v/>
      </c>
      <c r="H750" s="1" t="str">
        <f>IF(Table2[[#This Row],[Description]]="","",VLOOKUP(Table2[[#This Row],[Description]],$Q$1:$S$101,3,FALSE))</f>
        <v/>
      </c>
      <c r="I750" s="1" t="str">
        <f>IF(Table2[[#This Row],[Description]]="","",IF(Table2[[#This Row],[Currency]]=$O$2,$P$2,HLOOKUP(Table2[[#This Row],[Date]],Funds!$C$10:$GV$11,2,FALSE)))</f>
        <v/>
      </c>
      <c r="J750" s="215" t="str">
        <f>IF(Table2[[#This Row],[Description]]="","",Table2[[#This Row],[Value]]/Table2[[#This Row],[Conversion]])</f>
        <v/>
      </c>
      <c r="K750" s="45" t="str">
        <f>IF(Table2[[#This Row],[Description]]="","",DATE(Table2[[#This Row],[Year]],Table2[[#This Row],[Month]],1))</f>
        <v/>
      </c>
    </row>
    <row r="751" spans="7:11" x14ac:dyDescent="0.25">
      <c r="G751" s="1" t="str">
        <f>IF(Table2[[#This Row],[Description]]="","",VLOOKUP(Table2[[#This Row],[Description]],$Q$1:$S$101,2,FALSE))</f>
        <v/>
      </c>
      <c r="H751" s="1" t="str">
        <f>IF(Table2[[#This Row],[Description]]="","",VLOOKUP(Table2[[#This Row],[Description]],$Q$1:$S$101,3,FALSE))</f>
        <v/>
      </c>
      <c r="I751" s="1" t="str">
        <f>IF(Table2[[#This Row],[Description]]="","",IF(Table2[[#This Row],[Currency]]=$O$2,$P$2,HLOOKUP(Table2[[#This Row],[Date]],Funds!$C$10:$GV$11,2,FALSE)))</f>
        <v/>
      </c>
      <c r="J751" s="215" t="str">
        <f>IF(Table2[[#This Row],[Description]]="","",Table2[[#This Row],[Value]]/Table2[[#This Row],[Conversion]])</f>
        <v/>
      </c>
      <c r="K751" s="45" t="str">
        <f>IF(Table2[[#This Row],[Description]]="","",DATE(Table2[[#This Row],[Year]],Table2[[#This Row],[Month]],1))</f>
        <v/>
      </c>
    </row>
    <row r="752" spans="7:11" x14ac:dyDescent="0.25">
      <c r="G752" s="1" t="str">
        <f>IF(Table2[[#This Row],[Description]]="","",VLOOKUP(Table2[[#This Row],[Description]],$Q$1:$S$101,2,FALSE))</f>
        <v/>
      </c>
      <c r="H752" s="1" t="str">
        <f>IF(Table2[[#This Row],[Description]]="","",VLOOKUP(Table2[[#This Row],[Description]],$Q$1:$S$101,3,FALSE))</f>
        <v/>
      </c>
      <c r="I752" s="1" t="str">
        <f>IF(Table2[[#This Row],[Description]]="","",IF(Table2[[#This Row],[Currency]]=$O$2,$P$2,HLOOKUP(Table2[[#This Row],[Date]],Funds!$C$10:$GV$11,2,FALSE)))</f>
        <v/>
      </c>
      <c r="J752" s="215" t="str">
        <f>IF(Table2[[#This Row],[Description]]="","",Table2[[#This Row],[Value]]/Table2[[#This Row],[Conversion]])</f>
        <v/>
      </c>
      <c r="K752" s="45" t="str">
        <f>IF(Table2[[#This Row],[Description]]="","",DATE(Table2[[#This Row],[Year]],Table2[[#This Row],[Month]],1))</f>
        <v/>
      </c>
    </row>
    <row r="753" spans="7:11" x14ac:dyDescent="0.25">
      <c r="G753" s="1" t="str">
        <f>IF(Table2[[#This Row],[Description]]="","",VLOOKUP(Table2[[#This Row],[Description]],$Q$1:$S$101,2,FALSE))</f>
        <v/>
      </c>
      <c r="H753" s="1" t="str">
        <f>IF(Table2[[#This Row],[Description]]="","",VLOOKUP(Table2[[#This Row],[Description]],$Q$1:$S$101,3,FALSE))</f>
        <v/>
      </c>
      <c r="I753" s="1" t="str">
        <f>IF(Table2[[#This Row],[Description]]="","",IF(Table2[[#This Row],[Currency]]=$O$2,$P$2,HLOOKUP(Table2[[#This Row],[Date]],Funds!$C$10:$GV$11,2,FALSE)))</f>
        <v/>
      </c>
      <c r="J753" s="215" t="str">
        <f>IF(Table2[[#This Row],[Description]]="","",Table2[[#This Row],[Value]]/Table2[[#This Row],[Conversion]])</f>
        <v/>
      </c>
      <c r="K753" s="45" t="str">
        <f>IF(Table2[[#This Row],[Description]]="","",DATE(Table2[[#This Row],[Year]],Table2[[#This Row],[Month]],1))</f>
        <v/>
      </c>
    </row>
    <row r="754" spans="7:11" x14ac:dyDescent="0.25">
      <c r="G754" s="1" t="str">
        <f>IF(Table2[[#This Row],[Description]]="","",VLOOKUP(Table2[[#This Row],[Description]],$Q$1:$S$101,2,FALSE))</f>
        <v/>
      </c>
      <c r="H754" s="1" t="str">
        <f>IF(Table2[[#This Row],[Description]]="","",VLOOKUP(Table2[[#This Row],[Description]],$Q$1:$S$101,3,FALSE))</f>
        <v/>
      </c>
      <c r="I754" s="1" t="str">
        <f>IF(Table2[[#This Row],[Description]]="","",IF(Table2[[#This Row],[Currency]]=$O$2,$P$2,HLOOKUP(Table2[[#This Row],[Date]],Funds!$C$10:$GV$11,2,FALSE)))</f>
        <v/>
      </c>
      <c r="J754" s="215" t="str">
        <f>IF(Table2[[#This Row],[Description]]="","",Table2[[#This Row],[Value]]/Table2[[#This Row],[Conversion]])</f>
        <v/>
      </c>
      <c r="K754" s="45" t="str">
        <f>IF(Table2[[#This Row],[Description]]="","",DATE(Table2[[#This Row],[Year]],Table2[[#This Row],[Month]],1))</f>
        <v/>
      </c>
    </row>
    <row r="755" spans="7:11" x14ac:dyDescent="0.25">
      <c r="G755" s="1" t="str">
        <f>IF(Table2[[#This Row],[Description]]="","",VLOOKUP(Table2[[#This Row],[Description]],$Q$1:$S$101,2,FALSE))</f>
        <v/>
      </c>
      <c r="H755" s="1" t="str">
        <f>IF(Table2[[#This Row],[Description]]="","",VLOOKUP(Table2[[#This Row],[Description]],$Q$1:$S$101,3,FALSE))</f>
        <v/>
      </c>
      <c r="I755" s="1" t="str">
        <f>IF(Table2[[#This Row],[Description]]="","",IF(Table2[[#This Row],[Currency]]=$O$2,$P$2,HLOOKUP(Table2[[#This Row],[Date]],Funds!$C$10:$GV$11,2,FALSE)))</f>
        <v/>
      </c>
      <c r="J755" s="215" t="str">
        <f>IF(Table2[[#This Row],[Description]]="","",Table2[[#This Row],[Value]]/Table2[[#This Row],[Conversion]])</f>
        <v/>
      </c>
      <c r="K755" s="45" t="str">
        <f>IF(Table2[[#This Row],[Description]]="","",DATE(Table2[[#This Row],[Year]],Table2[[#This Row],[Month]],1))</f>
        <v/>
      </c>
    </row>
    <row r="756" spans="7:11" x14ac:dyDescent="0.25">
      <c r="G756" s="1" t="str">
        <f>IF(Table2[[#This Row],[Description]]="","",VLOOKUP(Table2[[#This Row],[Description]],$Q$1:$S$101,2,FALSE))</f>
        <v/>
      </c>
      <c r="H756" s="1" t="str">
        <f>IF(Table2[[#This Row],[Description]]="","",VLOOKUP(Table2[[#This Row],[Description]],$Q$1:$S$101,3,FALSE))</f>
        <v/>
      </c>
      <c r="I756" s="1" t="str">
        <f>IF(Table2[[#This Row],[Description]]="","",IF(Table2[[#This Row],[Currency]]=$O$2,$P$2,HLOOKUP(Table2[[#This Row],[Date]],Funds!$C$10:$GV$11,2,FALSE)))</f>
        <v/>
      </c>
      <c r="J756" s="215" t="str">
        <f>IF(Table2[[#This Row],[Description]]="","",Table2[[#This Row],[Value]]/Table2[[#This Row],[Conversion]])</f>
        <v/>
      </c>
      <c r="K756" s="45" t="str">
        <f>IF(Table2[[#This Row],[Description]]="","",DATE(Table2[[#This Row],[Year]],Table2[[#This Row],[Month]],1))</f>
        <v/>
      </c>
    </row>
    <row r="757" spans="7:11" x14ac:dyDescent="0.25">
      <c r="G757" s="1" t="str">
        <f>IF(Table2[[#This Row],[Description]]="","",VLOOKUP(Table2[[#This Row],[Description]],$Q$1:$S$101,2,FALSE))</f>
        <v/>
      </c>
      <c r="H757" s="1" t="str">
        <f>IF(Table2[[#This Row],[Description]]="","",VLOOKUP(Table2[[#This Row],[Description]],$Q$1:$S$101,3,FALSE))</f>
        <v/>
      </c>
      <c r="I757" s="1" t="str">
        <f>IF(Table2[[#This Row],[Description]]="","",IF(Table2[[#This Row],[Currency]]=$O$2,$P$2,HLOOKUP(Table2[[#This Row],[Date]],Funds!$C$10:$GV$11,2,FALSE)))</f>
        <v/>
      </c>
      <c r="J757" s="215" t="str">
        <f>IF(Table2[[#This Row],[Description]]="","",Table2[[#This Row],[Value]]/Table2[[#This Row],[Conversion]])</f>
        <v/>
      </c>
      <c r="K757" s="45" t="str">
        <f>IF(Table2[[#This Row],[Description]]="","",DATE(Table2[[#This Row],[Year]],Table2[[#This Row],[Month]],1))</f>
        <v/>
      </c>
    </row>
    <row r="758" spans="7:11" x14ac:dyDescent="0.25">
      <c r="G758" s="1" t="str">
        <f>IF(Table2[[#This Row],[Description]]="","",VLOOKUP(Table2[[#This Row],[Description]],$Q$1:$S$101,2,FALSE))</f>
        <v/>
      </c>
      <c r="H758" s="1" t="str">
        <f>IF(Table2[[#This Row],[Description]]="","",VLOOKUP(Table2[[#This Row],[Description]],$Q$1:$S$101,3,FALSE))</f>
        <v/>
      </c>
      <c r="I758" s="1" t="str">
        <f>IF(Table2[[#This Row],[Description]]="","",IF(Table2[[#This Row],[Currency]]=$O$2,$P$2,HLOOKUP(Table2[[#This Row],[Date]],Funds!$C$10:$GV$11,2,FALSE)))</f>
        <v/>
      </c>
      <c r="J758" s="215" t="str">
        <f>IF(Table2[[#This Row],[Description]]="","",Table2[[#This Row],[Value]]/Table2[[#This Row],[Conversion]])</f>
        <v/>
      </c>
      <c r="K758" s="45" t="str">
        <f>IF(Table2[[#This Row],[Description]]="","",DATE(Table2[[#This Row],[Year]],Table2[[#This Row],[Month]],1))</f>
        <v/>
      </c>
    </row>
    <row r="759" spans="7:11" x14ac:dyDescent="0.25">
      <c r="G759" s="1" t="str">
        <f>IF(Table2[[#This Row],[Description]]="","",VLOOKUP(Table2[[#This Row],[Description]],$Q$1:$S$101,2,FALSE))</f>
        <v/>
      </c>
      <c r="H759" s="1" t="str">
        <f>IF(Table2[[#This Row],[Description]]="","",VLOOKUP(Table2[[#This Row],[Description]],$Q$1:$S$101,3,FALSE))</f>
        <v/>
      </c>
      <c r="I759" s="1" t="str">
        <f>IF(Table2[[#This Row],[Description]]="","",IF(Table2[[#This Row],[Currency]]=$O$2,$P$2,HLOOKUP(Table2[[#This Row],[Date]],Funds!$C$10:$GV$11,2,FALSE)))</f>
        <v/>
      </c>
      <c r="J759" s="215" t="str">
        <f>IF(Table2[[#This Row],[Description]]="","",Table2[[#This Row],[Value]]/Table2[[#This Row],[Conversion]])</f>
        <v/>
      </c>
      <c r="K759" s="45" t="str">
        <f>IF(Table2[[#This Row],[Description]]="","",DATE(Table2[[#This Row],[Year]],Table2[[#This Row],[Month]],1))</f>
        <v/>
      </c>
    </row>
    <row r="760" spans="7:11" x14ac:dyDescent="0.25">
      <c r="G760" s="1" t="str">
        <f>IF(Table2[[#This Row],[Description]]="","",VLOOKUP(Table2[[#This Row],[Description]],$Q$1:$S$101,2,FALSE))</f>
        <v/>
      </c>
      <c r="H760" s="1" t="str">
        <f>IF(Table2[[#This Row],[Description]]="","",VLOOKUP(Table2[[#This Row],[Description]],$Q$1:$S$101,3,FALSE))</f>
        <v/>
      </c>
      <c r="I760" s="1" t="str">
        <f>IF(Table2[[#This Row],[Description]]="","",IF(Table2[[#This Row],[Currency]]=$O$2,$P$2,HLOOKUP(Table2[[#This Row],[Date]],Funds!$C$10:$GV$11,2,FALSE)))</f>
        <v/>
      </c>
      <c r="J760" s="215" t="str">
        <f>IF(Table2[[#This Row],[Description]]="","",Table2[[#This Row],[Value]]/Table2[[#This Row],[Conversion]])</f>
        <v/>
      </c>
      <c r="K760" s="45" t="str">
        <f>IF(Table2[[#This Row],[Description]]="","",DATE(Table2[[#This Row],[Year]],Table2[[#This Row],[Month]],1))</f>
        <v/>
      </c>
    </row>
    <row r="761" spans="7:11" x14ac:dyDescent="0.25">
      <c r="G761" s="1" t="str">
        <f>IF(Table2[[#This Row],[Description]]="","",VLOOKUP(Table2[[#This Row],[Description]],$Q$1:$S$101,2,FALSE))</f>
        <v/>
      </c>
      <c r="H761" s="1" t="str">
        <f>IF(Table2[[#This Row],[Description]]="","",VLOOKUP(Table2[[#This Row],[Description]],$Q$1:$S$101,3,FALSE))</f>
        <v/>
      </c>
      <c r="I761" s="1" t="str">
        <f>IF(Table2[[#This Row],[Description]]="","",IF(Table2[[#This Row],[Currency]]=$O$2,$P$2,HLOOKUP(Table2[[#This Row],[Date]],Funds!$C$10:$GV$11,2,FALSE)))</f>
        <v/>
      </c>
      <c r="J761" s="215" t="str">
        <f>IF(Table2[[#This Row],[Description]]="","",Table2[[#This Row],[Value]]/Table2[[#This Row],[Conversion]])</f>
        <v/>
      </c>
      <c r="K761" s="45" t="str">
        <f>IF(Table2[[#This Row],[Description]]="","",DATE(Table2[[#This Row],[Year]],Table2[[#This Row],[Month]],1))</f>
        <v/>
      </c>
    </row>
    <row r="762" spans="7:11" x14ac:dyDescent="0.25">
      <c r="G762" s="1" t="str">
        <f>IF(Table2[[#This Row],[Description]]="","",VLOOKUP(Table2[[#This Row],[Description]],$Q$1:$S$101,2,FALSE))</f>
        <v/>
      </c>
      <c r="H762" s="1" t="str">
        <f>IF(Table2[[#This Row],[Description]]="","",VLOOKUP(Table2[[#This Row],[Description]],$Q$1:$S$101,3,FALSE))</f>
        <v/>
      </c>
      <c r="I762" s="1" t="str">
        <f>IF(Table2[[#This Row],[Description]]="","",IF(Table2[[#This Row],[Currency]]=$O$2,$P$2,HLOOKUP(Table2[[#This Row],[Date]],Funds!$C$10:$GV$11,2,FALSE)))</f>
        <v/>
      </c>
      <c r="J762" s="215" t="str">
        <f>IF(Table2[[#This Row],[Description]]="","",Table2[[#This Row],[Value]]/Table2[[#This Row],[Conversion]])</f>
        <v/>
      </c>
      <c r="K762" s="45" t="str">
        <f>IF(Table2[[#This Row],[Description]]="","",DATE(Table2[[#This Row],[Year]],Table2[[#This Row],[Month]],1))</f>
        <v/>
      </c>
    </row>
    <row r="763" spans="7:11" x14ac:dyDescent="0.25">
      <c r="G763" s="1" t="str">
        <f>IF(Table2[[#This Row],[Description]]="","",VLOOKUP(Table2[[#This Row],[Description]],$Q$1:$S$101,2,FALSE))</f>
        <v/>
      </c>
      <c r="H763" s="1" t="str">
        <f>IF(Table2[[#This Row],[Description]]="","",VLOOKUP(Table2[[#This Row],[Description]],$Q$1:$S$101,3,FALSE))</f>
        <v/>
      </c>
      <c r="I763" s="1" t="str">
        <f>IF(Table2[[#This Row],[Description]]="","",IF(Table2[[#This Row],[Currency]]=$O$2,$P$2,HLOOKUP(Table2[[#This Row],[Date]],Funds!$C$10:$GV$11,2,FALSE)))</f>
        <v/>
      </c>
      <c r="J763" s="215" t="str">
        <f>IF(Table2[[#This Row],[Description]]="","",Table2[[#This Row],[Value]]/Table2[[#This Row],[Conversion]])</f>
        <v/>
      </c>
      <c r="K763" s="45" t="str">
        <f>IF(Table2[[#This Row],[Description]]="","",DATE(Table2[[#This Row],[Year]],Table2[[#This Row],[Month]],1))</f>
        <v/>
      </c>
    </row>
    <row r="764" spans="7:11" x14ac:dyDescent="0.25">
      <c r="G764" s="1" t="str">
        <f>IF(Table2[[#This Row],[Description]]="","",VLOOKUP(Table2[[#This Row],[Description]],$Q$1:$S$101,2,FALSE))</f>
        <v/>
      </c>
      <c r="H764" s="1" t="str">
        <f>IF(Table2[[#This Row],[Description]]="","",VLOOKUP(Table2[[#This Row],[Description]],$Q$1:$S$101,3,FALSE))</f>
        <v/>
      </c>
      <c r="I764" s="1" t="str">
        <f>IF(Table2[[#This Row],[Description]]="","",IF(Table2[[#This Row],[Currency]]=$O$2,$P$2,HLOOKUP(Table2[[#This Row],[Date]],Funds!$C$10:$GV$11,2,FALSE)))</f>
        <v/>
      </c>
      <c r="J764" s="215" t="str">
        <f>IF(Table2[[#This Row],[Description]]="","",Table2[[#This Row],[Value]]/Table2[[#This Row],[Conversion]])</f>
        <v/>
      </c>
      <c r="K764" s="45" t="str">
        <f>IF(Table2[[#This Row],[Description]]="","",DATE(Table2[[#This Row],[Year]],Table2[[#This Row],[Month]],1))</f>
        <v/>
      </c>
    </row>
    <row r="765" spans="7:11" x14ac:dyDescent="0.25">
      <c r="G765" s="1" t="str">
        <f>IF(Table2[[#This Row],[Description]]="","",VLOOKUP(Table2[[#This Row],[Description]],$Q$1:$S$101,2,FALSE))</f>
        <v/>
      </c>
      <c r="H765" s="1" t="str">
        <f>IF(Table2[[#This Row],[Description]]="","",VLOOKUP(Table2[[#This Row],[Description]],$Q$1:$S$101,3,FALSE))</f>
        <v/>
      </c>
      <c r="I765" s="1" t="str">
        <f>IF(Table2[[#This Row],[Description]]="","",IF(Table2[[#This Row],[Currency]]=$O$2,$P$2,HLOOKUP(Table2[[#This Row],[Date]],Funds!$C$10:$GV$11,2,FALSE)))</f>
        <v/>
      </c>
      <c r="J765" s="215" t="str">
        <f>IF(Table2[[#This Row],[Description]]="","",Table2[[#This Row],[Value]]/Table2[[#This Row],[Conversion]])</f>
        <v/>
      </c>
      <c r="K765" s="45" t="str">
        <f>IF(Table2[[#This Row],[Description]]="","",DATE(Table2[[#This Row],[Year]],Table2[[#This Row],[Month]],1))</f>
        <v/>
      </c>
    </row>
    <row r="766" spans="7:11" x14ac:dyDescent="0.25">
      <c r="G766" s="1" t="str">
        <f>IF(Table2[[#This Row],[Description]]="","",VLOOKUP(Table2[[#This Row],[Description]],$Q$1:$S$101,2,FALSE))</f>
        <v/>
      </c>
      <c r="H766" s="1" t="str">
        <f>IF(Table2[[#This Row],[Description]]="","",VLOOKUP(Table2[[#This Row],[Description]],$Q$1:$S$101,3,FALSE))</f>
        <v/>
      </c>
      <c r="I766" s="1" t="str">
        <f>IF(Table2[[#This Row],[Description]]="","",IF(Table2[[#This Row],[Currency]]=$O$2,$P$2,HLOOKUP(Table2[[#This Row],[Date]],Funds!$C$10:$GV$11,2,FALSE)))</f>
        <v/>
      </c>
      <c r="J766" s="215" t="str">
        <f>IF(Table2[[#This Row],[Description]]="","",Table2[[#This Row],[Value]]/Table2[[#This Row],[Conversion]])</f>
        <v/>
      </c>
      <c r="K766" s="45" t="str">
        <f>IF(Table2[[#This Row],[Description]]="","",DATE(Table2[[#This Row],[Year]],Table2[[#This Row],[Month]],1))</f>
        <v/>
      </c>
    </row>
    <row r="767" spans="7:11" x14ac:dyDescent="0.25">
      <c r="G767" s="1" t="str">
        <f>IF(Table2[[#This Row],[Description]]="","",VLOOKUP(Table2[[#This Row],[Description]],$Q$1:$S$101,2,FALSE))</f>
        <v/>
      </c>
      <c r="H767" s="1" t="str">
        <f>IF(Table2[[#This Row],[Description]]="","",VLOOKUP(Table2[[#This Row],[Description]],$Q$1:$S$101,3,FALSE))</f>
        <v/>
      </c>
      <c r="I767" s="1" t="str">
        <f>IF(Table2[[#This Row],[Description]]="","",IF(Table2[[#This Row],[Currency]]=$O$2,$P$2,HLOOKUP(Table2[[#This Row],[Date]],Funds!$C$10:$GV$11,2,FALSE)))</f>
        <v/>
      </c>
      <c r="J767" s="215" t="str">
        <f>IF(Table2[[#This Row],[Description]]="","",Table2[[#This Row],[Value]]/Table2[[#This Row],[Conversion]])</f>
        <v/>
      </c>
      <c r="K767" s="45" t="str">
        <f>IF(Table2[[#This Row],[Description]]="","",DATE(Table2[[#This Row],[Year]],Table2[[#This Row],[Month]],1))</f>
        <v/>
      </c>
    </row>
    <row r="768" spans="7:11" x14ac:dyDescent="0.25">
      <c r="G768" s="1" t="str">
        <f>IF(Table2[[#This Row],[Description]]="","",VLOOKUP(Table2[[#This Row],[Description]],$Q$1:$S$101,2,FALSE))</f>
        <v/>
      </c>
      <c r="H768" s="1" t="str">
        <f>IF(Table2[[#This Row],[Description]]="","",VLOOKUP(Table2[[#This Row],[Description]],$Q$1:$S$101,3,FALSE))</f>
        <v/>
      </c>
      <c r="I768" s="1" t="str">
        <f>IF(Table2[[#This Row],[Description]]="","",IF(Table2[[#This Row],[Currency]]=$O$2,$P$2,HLOOKUP(Table2[[#This Row],[Date]],Funds!$C$10:$GV$11,2,FALSE)))</f>
        <v/>
      </c>
      <c r="J768" s="215" t="str">
        <f>IF(Table2[[#This Row],[Description]]="","",Table2[[#This Row],[Value]]/Table2[[#This Row],[Conversion]])</f>
        <v/>
      </c>
      <c r="K768" s="45" t="str">
        <f>IF(Table2[[#This Row],[Description]]="","",DATE(Table2[[#This Row],[Year]],Table2[[#This Row],[Month]],1))</f>
        <v/>
      </c>
    </row>
    <row r="769" spans="7:11" x14ac:dyDescent="0.25">
      <c r="G769" s="1" t="str">
        <f>IF(Table2[[#This Row],[Description]]="","",VLOOKUP(Table2[[#This Row],[Description]],$Q$1:$S$101,2,FALSE))</f>
        <v/>
      </c>
      <c r="H769" s="1" t="str">
        <f>IF(Table2[[#This Row],[Description]]="","",VLOOKUP(Table2[[#This Row],[Description]],$Q$1:$S$101,3,FALSE))</f>
        <v/>
      </c>
      <c r="I769" s="1" t="str">
        <f>IF(Table2[[#This Row],[Description]]="","",IF(Table2[[#This Row],[Currency]]=$O$2,$P$2,HLOOKUP(Table2[[#This Row],[Date]],Funds!$C$10:$GV$11,2,FALSE)))</f>
        <v/>
      </c>
      <c r="J769" s="215" t="str">
        <f>IF(Table2[[#This Row],[Description]]="","",Table2[[#This Row],[Value]]/Table2[[#This Row],[Conversion]])</f>
        <v/>
      </c>
      <c r="K769" s="45" t="str">
        <f>IF(Table2[[#This Row],[Description]]="","",DATE(Table2[[#This Row],[Year]],Table2[[#This Row],[Month]],1))</f>
        <v/>
      </c>
    </row>
    <row r="770" spans="7:11" x14ac:dyDescent="0.25">
      <c r="G770" s="1" t="str">
        <f>IF(Table2[[#This Row],[Description]]="","",VLOOKUP(Table2[[#This Row],[Description]],$Q$1:$S$101,2,FALSE))</f>
        <v/>
      </c>
      <c r="H770" s="1" t="str">
        <f>IF(Table2[[#This Row],[Description]]="","",VLOOKUP(Table2[[#This Row],[Description]],$Q$1:$S$101,3,FALSE))</f>
        <v/>
      </c>
      <c r="I770" s="1" t="str">
        <f>IF(Table2[[#This Row],[Description]]="","",IF(Table2[[#This Row],[Currency]]=$O$2,$P$2,HLOOKUP(Table2[[#This Row],[Date]],Funds!$C$10:$GV$11,2,FALSE)))</f>
        <v/>
      </c>
      <c r="J770" s="215" t="str">
        <f>IF(Table2[[#This Row],[Description]]="","",Table2[[#This Row],[Value]]/Table2[[#This Row],[Conversion]])</f>
        <v/>
      </c>
      <c r="K770" s="45" t="str">
        <f>IF(Table2[[#This Row],[Description]]="","",DATE(Table2[[#This Row],[Year]],Table2[[#This Row],[Month]],1))</f>
        <v/>
      </c>
    </row>
    <row r="771" spans="7:11" x14ac:dyDescent="0.25">
      <c r="G771" s="1" t="str">
        <f>IF(Table2[[#This Row],[Description]]="","",VLOOKUP(Table2[[#This Row],[Description]],$Q$1:$S$101,2,FALSE))</f>
        <v/>
      </c>
      <c r="H771" s="1" t="str">
        <f>IF(Table2[[#This Row],[Description]]="","",VLOOKUP(Table2[[#This Row],[Description]],$Q$1:$S$101,3,FALSE))</f>
        <v/>
      </c>
      <c r="I771" s="1" t="str">
        <f>IF(Table2[[#This Row],[Description]]="","",IF(Table2[[#This Row],[Currency]]=$O$2,$P$2,HLOOKUP(Table2[[#This Row],[Date]],Funds!$C$10:$GV$11,2,FALSE)))</f>
        <v/>
      </c>
      <c r="J771" s="215" t="str">
        <f>IF(Table2[[#This Row],[Description]]="","",Table2[[#This Row],[Value]]/Table2[[#This Row],[Conversion]])</f>
        <v/>
      </c>
      <c r="K771" s="45" t="str">
        <f>IF(Table2[[#This Row],[Description]]="","",DATE(Table2[[#This Row],[Year]],Table2[[#This Row],[Month]],1))</f>
        <v/>
      </c>
    </row>
    <row r="772" spans="7:11" x14ac:dyDescent="0.25">
      <c r="G772" s="1" t="str">
        <f>IF(Table2[[#This Row],[Description]]="","",VLOOKUP(Table2[[#This Row],[Description]],$Q$1:$S$101,2,FALSE))</f>
        <v/>
      </c>
      <c r="H772" s="1" t="str">
        <f>IF(Table2[[#This Row],[Description]]="","",VLOOKUP(Table2[[#This Row],[Description]],$Q$1:$S$101,3,FALSE))</f>
        <v/>
      </c>
      <c r="I772" s="1" t="str">
        <f>IF(Table2[[#This Row],[Description]]="","",IF(Table2[[#This Row],[Currency]]=$O$2,$P$2,HLOOKUP(Table2[[#This Row],[Date]],Funds!$C$10:$GV$11,2,FALSE)))</f>
        <v/>
      </c>
      <c r="J772" s="215" t="str">
        <f>IF(Table2[[#This Row],[Description]]="","",Table2[[#This Row],[Value]]/Table2[[#This Row],[Conversion]])</f>
        <v/>
      </c>
      <c r="K772" s="45" t="str">
        <f>IF(Table2[[#This Row],[Description]]="","",DATE(Table2[[#This Row],[Year]],Table2[[#This Row],[Month]],1))</f>
        <v/>
      </c>
    </row>
    <row r="773" spans="7:11" x14ac:dyDescent="0.25">
      <c r="G773" s="1" t="str">
        <f>IF(Table2[[#This Row],[Description]]="","",VLOOKUP(Table2[[#This Row],[Description]],$Q$1:$S$101,2,FALSE))</f>
        <v/>
      </c>
      <c r="H773" s="1" t="str">
        <f>IF(Table2[[#This Row],[Description]]="","",VLOOKUP(Table2[[#This Row],[Description]],$Q$1:$S$101,3,FALSE))</f>
        <v/>
      </c>
      <c r="I773" s="1" t="str">
        <f>IF(Table2[[#This Row],[Description]]="","",IF(Table2[[#This Row],[Currency]]=$O$2,$P$2,HLOOKUP(Table2[[#This Row],[Date]],Funds!$C$10:$GV$11,2,FALSE)))</f>
        <v/>
      </c>
      <c r="J773" s="215" t="str">
        <f>IF(Table2[[#This Row],[Description]]="","",Table2[[#This Row],[Value]]/Table2[[#This Row],[Conversion]])</f>
        <v/>
      </c>
      <c r="K773" s="45" t="str">
        <f>IF(Table2[[#This Row],[Description]]="","",DATE(Table2[[#This Row],[Year]],Table2[[#This Row],[Month]],1))</f>
        <v/>
      </c>
    </row>
    <row r="774" spans="7:11" x14ac:dyDescent="0.25">
      <c r="G774" s="1" t="str">
        <f>IF(Table2[[#This Row],[Description]]="","",VLOOKUP(Table2[[#This Row],[Description]],$Q$1:$S$101,2,FALSE))</f>
        <v/>
      </c>
      <c r="H774" s="1" t="str">
        <f>IF(Table2[[#This Row],[Description]]="","",VLOOKUP(Table2[[#This Row],[Description]],$Q$1:$S$101,3,FALSE))</f>
        <v/>
      </c>
      <c r="I774" s="1" t="str">
        <f>IF(Table2[[#This Row],[Description]]="","",IF(Table2[[#This Row],[Currency]]=$O$2,$P$2,HLOOKUP(Table2[[#This Row],[Date]],Funds!$C$10:$GV$11,2,FALSE)))</f>
        <v/>
      </c>
      <c r="J774" s="215" t="str">
        <f>IF(Table2[[#This Row],[Description]]="","",Table2[[#This Row],[Value]]/Table2[[#This Row],[Conversion]])</f>
        <v/>
      </c>
      <c r="K774" s="45" t="str">
        <f>IF(Table2[[#This Row],[Description]]="","",DATE(Table2[[#This Row],[Year]],Table2[[#This Row],[Month]],1))</f>
        <v/>
      </c>
    </row>
    <row r="775" spans="7:11" x14ac:dyDescent="0.25">
      <c r="G775" s="1" t="str">
        <f>IF(Table2[[#This Row],[Description]]="","",VLOOKUP(Table2[[#This Row],[Description]],$Q$1:$S$101,2,FALSE))</f>
        <v/>
      </c>
      <c r="H775" s="1" t="str">
        <f>IF(Table2[[#This Row],[Description]]="","",VLOOKUP(Table2[[#This Row],[Description]],$Q$1:$S$101,3,FALSE))</f>
        <v/>
      </c>
      <c r="I775" s="1" t="str">
        <f>IF(Table2[[#This Row],[Description]]="","",IF(Table2[[#This Row],[Currency]]=$O$2,$P$2,HLOOKUP(Table2[[#This Row],[Date]],Funds!$C$10:$GV$11,2,FALSE)))</f>
        <v/>
      </c>
      <c r="J775" s="215" t="str">
        <f>IF(Table2[[#This Row],[Description]]="","",Table2[[#This Row],[Value]]/Table2[[#This Row],[Conversion]])</f>
        <v/>
      </c>
      <c r="K775" s="45" t="str">
        <f>IF(Table2[[#This Row],[Description]]="","",DATE(Table2[[#This Row],[Year]],Table2[[#This Row],[Month]],1))</f>
        <v/>
      </c>
    </row>
    <row r="776" spans="7:11" x14ac:dyDescent="0.25">
      <c r="G776" s="1" t="str">
        <f>IF(Table2[[#This Row],[Description]]="","",VLOOKUP(Table2[[#This Row],[Description]],$Q$1:$S$101,2,FALSE))</f>
        <v/>
      </c>
      <c r="H776" s="1" t="str">
        <f>IF(Table2[[#This Row],[Description]]="","",VLOOKUP(Table2[[#This Row],[Description]],$Q$1:$S$101,3,FALSE))</f>
        <v/>
      </c>
      <c r="I776" s="1" t="str">
        <f>IF(Table2[[#This Row],[Description]]="","",IF(Table2[[#This Row],[Currency]]=$O$2,$P$2,HLOOKUP(Table2[[#This Row],[Date]],Funds!$C$10:$GV$11,2,FALSE)))</f>
        <v/>
      </c>
      <c r="J776" s="215" t="str">
        <f>IF(Table2[[#This Row],[Description]]="","",Table2[[#This Row],[Value]]/Table2[[#This Row],[Conversion]])</f>
        <v/>
      </c>
      <c r="K776" s="45" t="str">
        <f>IF(Table2[[#This Row],[Description]]="","",DATE(Table2[[#This Row],[Year]],Table2[[#This Row],[Month]],1))</f>
        <v/>
      </c>
    </row>
    <row r="777" spans="7:11" x14ac:dyDescent="0.25">
      <c r="G777" s="1" t="str">
        <f>IF(Table2[[#This Row],[Description]]="","",VLOOKUP(Table2[[#This Row],[Description]],$Q$1:$S$101,2,FALSE))</f>
        <v/>
      </c>
      <c r="H777" s="1" t="str">
        <f>IF(Table2[[#This Row],[Description]]="","",VLOOKUP(Table2[[#This Row],[Description]],$Q$1:$S$101,3,FALSE))</f>
        <v/>
      </c>
      <c r="I777" s="1" t="str">
        <f>IF(Table2[[#This Row],[Description]]="","",IF(Table2[[#This Row],[Currency]]=$O$2,$P$2,HLOOKUP(Table2[[#This Row],[Date]],Funds!$C$10:$GV$11,2,FALSE)))</f>
        <v/>
      </c>
      <c r="J777" s="215" t="str">
        <f>IF(Table2[[#This Row],[Description]]="","",Table2[[#This Row],[Value]]/Table2[[#This Row],[Conversion]])</f>
        <v/>
      </c>
      <c r="K777" s="45" t="str">
        <f>IF(Table2[[#This Row],[Description]]="","",DATE(Table2[[#This Row],[Year]],Table2[[#This Row],[Month]],1))</f>
        <v/>
      </c>
    </row>
    <row r="778" spans="7:11" x14ac:dyDescent="0.25">
      <c r="G778" s="1" t="str">
        <f>IF(Table2[[#This Row],[Description]]="","",VLOOKUP(Table2[[#This Row],[Description]],$Q$1:$S$101,2,FALSE))</f>
        <v/>
      </c>
      <c r="H778" s="1" t="str">
        <f>IF(Table2[[#This Row],[Description]]="","",VLOOKUP(Table2[[#This Row],[Description]],$Q$1:$S$101,3,FALSE))</f>
        <v/>
      </c>
      <c r="I778" s="1" t="str">
        <f>IF(Table2[[#This Row],[Description]]="","",IF(Table2[[#This Row],[Currency]]=$O$2,$P$2,HLOOKUP(Table2[[#This Row],[Date]],Funds!$C$10:$GV$11,2,FALSE)))</f>
        <v/>
      </c>
      <c r="J778" s="215" t="str">
        <f>IF(Table2[[#This Row],[Description]]="","",Table2[[#This Row],[Value]]/Table2[[#This Row],[Conversion]])</f>
        <v/>
      </c>
      <c r="K778" s="45" t="str">
        <f>IF(Table2[[#This Row],[Description]]="","",DATE(Table2[[#This Row],[Year]],Table2[[#This Row],[Month]],1))</f>
        <v/>
      </c>
    </row>
    <row r="779" spans="7:11" x14ac:dyDescent="0.25">
      <c r="G779" s="1" t="str">
        <f>IF(Table2[[#This Row],[Description]]="","",VLOOKUP(Table2[[#This Row],[Description]],$Q$1:$S$101,2,FALSE))</f>
        <v/>
      </c>
      <c r="H779" s="1" t="str">
        <f>IF(Table2[[#This Row],[Description]]="","",VLOOKUP(Table2[[#This Row],[Description]],$Q$1:$S$101,3,FALSE))</f>
        <v/>
      </c>
      <c r="I779" s="1" t="str">
        <f>IF(Table2[[#This Row],[Description]]="","",IF(Table2[[#This Row],[Currency]]=$O$2,$P$2,HLOOKUP(Table2[[#This Row],[Date]],Funds!$C$10:$GV$11,2,FALSE)))</f>
        <v/>
      </c>
      <c r="J779" s="215" t="str">
        <f>IF(Table2[[#This Row],[Description]]="","",Table2[[#This Row],[Value]]/Table2[[#This Row],[Conversion]])</f>
        <v/>
      </c>
      <c r="K779" s="45" t="str">
        <f>IF(Table2[[#This Row],[Description]]="","",DATE(Table2[[#This Row],[Year]],Table2[[#This Row],[Month]],1))</f>
        <v/>
      </c>
    </row>
    <row r="780" spans="7:11" x14ac:dyDescent="0.25">
      <c r="G780" s="1" t="str">
        <f>IF(Table2[[#This Row],[Description]]="","",VLOOKUP(Table2[[#This Row],[Description]],$Q$1:$S$101,2,FALSE))</f>
        <v/>
      </c>
      <c r="H780" s="1" t="str">
        <f>IF(Table2[[#This Row],[Description]]="","",VLOOKUP(Table2[[#This Row],[Description]],$Q$1:$S$101,3,FALSE))</f>
        <v/>
      </c>
      <c r="I780" s="1" t="str">
        <f>IF(Table2[[#This Row],[Description]]="","",IF(Table2[[#This Row],[Currency]]=$O$2,$P$2,HLOOKUP(Table2[[#This Row],[Date]],Funds!$C$10:$GV$11,2,FALSE)))</f>
        <v/>
      </c>
      <c r="J780" s="215" t="str">
        <f>IF(Table2[[#This Row],[Description]]="","",Table2[[#This Row],[Value]]/Table2[[#This Row],[Conversion]])</f>
        <v/>
      </c>
      <c r="K780" s="45" t="str">
        <f>IF(Table2[[#This Row],[Description]]="","",DATE(Table2[[#This Row],[Year]],Table2[[#This Row],[Month]],1))</f>
        <v/>
      </c>
    </row>
    <row r="781" spans="7:11" x14ac:dyDescent="0.25">
      <c r="G781" s="1" t="str">
        <f>IF(Table2[[#This Row],[Description]]="","",VLOOKUP(Table2[[#This Row],[Description]],$Q$1:$S$101,2,FALSE))</f>
        <v/>
      </c>
      <c r="H781" s="1" t="str">
        <f>IF(Table2[[#This Row],[Description]]="","",VLOOKUP(Table2[[#This Row],[Description]],$Q$1:$S$101,3,FALSE))</f>
        <v/>
      </c>
      <c r="I781" s="1" t="str">
        <f>IF(Table2[[#This Row],[Description]]="","",IF(Table2[[#This Row],[Currency]]=$O$2,$P$2,HLOOKUP(Table2[[#This Row],[Date]],Funds!$C$10:$GV$11,2,FALSE)))</f>
        <v/>
      </c>
      <c r="J781" s="215" t="str">
        <f>IF(Table2[[#This Row],[Description]]="","",Table2[[#This Row],[Value]]/Table2[[#This Row],[Conversion]])</f>
        <v/>
      </c>
      <c r="K781" s="45" t="str">
        <f>IF(Table2[[#This Row],[Description]]="","",DATE(Table2[[#This Row],[Year]],Table2[[#This Row],[Month]],1))</f>
        <v/>
      </c>
    </row>
    <row r="782" spans="7:11" x14ac:dyDescent="0.25">
      <c r="G782" s="1" t="str">
        <f>IF(Table2[[#This Row],[Description]]="","",VLOOKUP(Table2[[#This Row],[Description]],$Q$1:$S$101,2,FALSE))</f>
        <v/>
      </c>
      <c r="H782" s="1" t="str">
        <f>IF(Table2[[#This Row],[Description]]="","",VLOOKUP(Table2[[#This Row],[Description]],$Q$1:$S$101,3,FALSE))</f>
        <v/>
      </c>
      <c r="I782" s="1" t="str">
        <f>IF(Table2[[#This Row],[Description]]="","",IF(Table2[[#This Row],[Currency]]=$O$2,$P$2,HLOOKUP(Table2[[#This Row],[Date]],Funds!$C$10:$GV$11,2,FALSE)))</f>
        <v/>
      </c>
      <c r="J782" s="215" t="str">
        <f>IF(Table2[[#This Row],[Description]]="","",Table2[[#This Row],[Value]]/Table2[[#This Row],[Conversion]])</f>
        <v/>
      </c>
      <c r="K782" s="45" t="str">
        <f>IF(Table2[[#This Row],[Description]]="","",DATE(Table2[[#This Row],[Year]],Table2[[#This Row],[Month]],1))</f>
        <v/>
      </c>
    </row>
    <row r="783" spans="7:11" x14ac:dyDescent="0.25">
      <c r="G783" s="1" t="str">
        <f>IF(Table2[[#This Row],[Description]]="","",VLOOKUP(Table2[[#This Row],[Description]],$Q$1:$S$101,2,FALSE))</f>
        <v/>
      </c>
      <c r="H783" s="1" t="str">
        <f>IF(Table2[[#This Row],[Description]]="","",VLOOKUP(Table2[[#This Row],[Description]],$Q$1:$S$101,3,FALSE))</f>
        <v/>
      </c>
      <c r="I783" s="1" t="str">
        <f>IF(Table2[[#This Row],[Description]]="","",IF(Table2[[#This Row],[Currency]]=$O$2,$P$2,HLOOKUP(Table2[[#This Row],[Date]],Funds!$C$10:$GV$11,2,FALSE)))</f>
        <v/>
      </c>
      <c r="J783" s="215" t="str">
        <f>IF(Table2[[#This Row],[Description]]="","",Table2[[#This Row],[Value]]/Table2[[#This Row],[Conversion]])</f>
        <v/>
      </c>
      <c r="K783" s="45" t="str">
        <f>IF(Table2[[#This Row],[Description]]="","",DATE(Table2[[#This Row],[Year]],Table2[[#This Row],[Month]],1))</f>
        <v/>
      </c>
    </row>
    <row r="784" spans="7:11" x14ac:dyDescent="0.25">
      <c r="G784" s="1" t="str">
        <f>IF(Table2[[#This Row],[Description]]="","",VLOOKUP(Table2[[#This Row],[Description]],$Q$1:$S$101,2,FALSE))</f>
        <v/>
      </c>
      <c r="H784" s="1" t="str">
        <f>IF(Table2[[#This Row],[Description]]="","",VLOOKUP(Table2[[#This Row],[Description]],$Q$1:$S$101,3,FALSE))</f>
        <v/>
      </c>
      <c r="I784" s="1" t="str">
        <f>IF(Table2[[#This Row],[Description]]="","",IF(Table2[[#This Row],[Currency]]=$O$2,$P$2,HLOOKUP(Table2[[#This Row],[Date]],Funds!$C$10:$GV$11,2,FALSE)))</f>
        <v/>
      </c>
      <c r="J784" s="215" t="str">
        <f>IF(Table2[[#This Row],[Description]]="","",Table2[[#This Row],[Value]]/Table2[[#This Row],[Conversion]])</f>
        <v/>
      </c>
      <c r="K784" s="45" t="str">
        <f>IF(Table2[[#This Row],[Description]]="","",DATE(Table2[[#This Row],[Year]],Table2[[#This Row],[Month]],1))</f>
        <v/>
      </c>
    </row>
    <row r="785" spans="7:11" x14ac:dyDescent="0.25">
      <c r="G785" s="1" t="str">
        <f>IF(Table2[[#This Row],[Description]]="","",VLOOKUP(Table2[[#This Row],[Description]],$Q$1:$S$101,2,FALSE))</f>
        <v/>
      </c>
      <c r="H785" s="1" t="str">
        <f>IF(Table2[[#This Row],[Description]]="","",VLOOKUP(Table2[[#This Row],[Description]],$Q$1:$S$101,3,FALSE))</f>
        <v/>
      </c>
      <c r="I785" s="1" t="str">
        <f>IF(Table2[[#This Row],[Description]]="","",IF(Table2[[#This Row],[Currency]]=$O$2,$P$2,HLOOKUP(Table2[[#This Row],[Date]],Funds!$C$10:$GV$11,2,FALSE)))</f>
        <v/>
      </c>
      <c r="J785" s="215" t="str">
        <f>IF(Table2[[#This Row],[Description]]="","",Table2[[#This Row],[Value]]/Table2[[#This Row],[Conversion]])</f>
        <v/>
      </c>
      <c r="K785" s="45" t="str">
        <f>IF(Table2[[#This Row],[Description]]="","",DATE(Table2[[#This Row],[Year]],Table2[[#This Row],[Month]],1))</f>
        <v/>
      </c>
    </row>
    <row r="786" spans="7:11" x14ac:dyDescent="0.25">
      <c r="G786" s="1" t="str">
        <f>IF(Table2[[#This Row],[Description]]="","",VLOOKUP(Table2[[#This Row],[Description]],$Q$1:$S$101,2,FALSE))</f>
        <v/>
      </c>
      <c r="H786" s="1" t="str">
        <f>IF(Table2[[#This Row],[Description]]="","",VLOOKUP(Table2[[#This Row],[Description]],$Q$1:$S$101,3,FALSE))</f>
        <v/>
      </c>
      <c r="I786" s="1" t="str">
        <f>IF(Table2[[#This Row],[Description]]="","",IF(Table2[[#This Row],[Currency]]=$O$2,$P$2,HLOOKUP(Table2[[#This Row],[Date]],Funds!$C$10:$GV$11,2,FALSE)))</f>
        <v/>
      </c>
      <c r="J786" s="215" t="str">
        <f>IF(Table2[[#This Row],[Description]]="","",Table2[[#This Row],[Value]]/Table2[[#This Row],[Conversion]])</f>
        <v/>
      </c>
      <c r="K786" s="45" t="str">
        <f>IF(Table2[[#This Row],[Description]]="","",DATE(Table2[[#This Row],[Year]],Table2[[#This Row],[Month]],1))</f>
        <v/>
      </c>
    </row>
    <row r="787" spans="7:11" x14ac:dyDescent="0.25">
      <c r="G787" s="1" t="str">
        <f>IF(Table2[[#This Row],[Description]]="","",VLOOKUP(Table2[[#This Row],[Description]],$Q$1:$S$101,2,FALSE))</f>
        <v/>
      </c>
      <c r="H787" s="1" t="str">
        <f>IF(Table2[[#This Row],[Description]]="","",VLOOKUP(Table2[[#This Row],[Description]],$Q$1:$S$101,3,FALSE))</f>
        <v/>
      </c>
      <c r="I787" s="1" t="str">
        <f>IF(Table2[[#This Row],[Description]]="","",IF(Table2[[#This Row],[Currency]]=$O$2,$P$2,HLOOKUP(Table2[[#This Row],[Date]],Funds!$C$10:$GV$11,2,FALSE)))</f>
        <v/>
      </c>
      <c r="J787" s="215" t="str">
        <f>IF(Table2[[#This Row],[Description]]="","",Table2[[#This Row],[Value]]/Table2[[#This Row],[Conversion]])</f>
        <v/>
      </c>
      <c r="K787" s="45" t="str">
        <f>IF(Table2[[#This Row],[Description]]="","",DATE(Table2[[#This Row],[Year]],Table2[[#This Row],[Month]],1))</f>
        <v/>
      </c>
    </row>
    <row r="788" spans="7:11" x14ac:dyDescent="0.25">
      <c r="G788" s="1" t="str">
        <f>IF(Table2[[#This Row],[Description]]="","",VLOOKUP(Table2[[#This Row],[Description]],$Q$1:$S$101,2,FALSE))</f>
        <v/>
      </c>
      <c r="H788" s="1" t="str">
        <f>IF(Table2[[#This Row],[Description]]="","",VLOOKUP(Table2[[#This Row],[Description]],$Q$1:$S$101,3,FALSE))</f>
        <v/>
      </c>
      <c r="I788" s="1" t="str">
        <f>IF(Table2[[#This Row],[Description]]="","",IF(Table2[[#This Row],[Currency]]=$O$2,$P$2,HLOOKUP(Table2[[#This Row],[Date]],Funds!$C$10:$GV$11,2,FALSE)))</f>
        <v/>
      </c>
      <c r="J788" s="215" t="str">
        <f>IF(Table2[[#This Row],[Description]]="","",Table2[[#This Row],[Value]]/Table2[[#This Row],[Conversion]])</f>
        <v/>
      </c>
      <c r="K788" s="45" t="str">
        <f>IF(Table2[[#This Row],[Description]]="","",DATE(Table2[[#This Row],[Year]],Table2[[#This Row],[Month]],1))</f>
        <v/>
      </c>
    </row>
    <row r="789" spans="7:11" x14ac:dyDescent="0.25">
      <c r="G789" s="1" t="str">
        <f>IF(Table2[[#This Row],[Description]]="","",VLOOKUP(Table2[[#This Row],[Description]],$Q$1:$S$101,2,FALSE))</f>
        <v/>
      </c>
      <c r="H789" s="1" t="str">
        <f>IF(Table2[[#This Row],[Description]]="","",VLOOKUP(Table2[[#This Row],[Description]],$Q$1:$S$101,3,FALSE))</f>
        <v/>
      </c>
      <c r="I789" s="1" t="str">
        <f>IF(Table2[[#This Row],[Description]]="","",IF(Table2[[#This Row],[Currency]]=$O$2,$P$2,HLOOKUP(Table2[[#This Row],[Date]],Funds!$C$10:$GV$11,2,FALSE)))</f>
        <v/>
      </c>
      <c r="J789" s="215" t="str">
        <f>IF(Table2[[#This Row],[Description]]="","",Table2[[#This Row],[Value]]/Table2[[#This Row],[Conversion]])</f>
        <v/>
      </c>
      <c r="K789" s="45" t="str">
        <f>IF(Table2[[#This Row],[Description]]="","",DATE(Table2[[#This Row],[Year]],Table2[[#This Row],[Month]],1))</f>
        <v/>
      </c>
    </row>
    <row r="790" spans="7:11" x14ac:dyDescent="0.25">
      <c r="G790" s="1" t="str">
        <f>IF(Table2[[#This Row],[Description]]="","",VLOOKUP(Table2[[#This Row],[Description]],$Q$1:$S$101,2,FALSE))</f>
        <v/>
      </c>
      <c r="H790" s="1" t="str">
        <f>IF(Table2[[#This Row],[Description]]="","",VLOOKUP(Table2[[#This Row],[Description]],$Q$1:$S$101,3,FALSE))</f>
        <v/>
      </c>
      <c r="I790" s="1" t="str">
        <f>IF(Table2[[#This Row],[Description]]="","",IF(Table2[[#This Row],[Currency]]=$O$2,$P$2,HLOOKUP(Table2[[#This Row],[Date]],Funds!$C$10:$GV$11,2,FALSE)))</f>
        <v/>
      </c>
      <c r="J790" s="215" t="str">
        <f>IF(Table2[[#This Row],[Description]]="","",Table2[[#This Row],[Value]]/Table2[[#This Row],[Conversion]])</f>
        <v/>
      </c>
      <c r="K790" s="45" t="str">
        <f>IF(Table2[[#This Row],[Description]]="","",DATE(Table2[[#This Row],[Year]],Table2[[#This Row],[Month]],1))</f>
        <v/>
      </c>
    </row>
    <row r="791" spans="7:11" x14ac:dyDescent="0.25">
      <c r="G791" s="1" t="str">
        <f>IF(Table2[[#This Row],[Description]]="","",VLOOKUP(Table2[[#This Row],[Description]],$Q$1:$S$101,2,FALSE))</f>
        <v/>
      </c>
      <c r="H791" s="1" t="str">
        <f>IF(Table2[[#This Row],[Description]]="","",VLOOKUP(Table2[[#This Row],[Description]],$Q$1:$S$101,3,FALSE))</f>
        <v/>
      </c>
      <c r="I791" s="1" t="str">
        <f>IF(Table2[[#This Row],[Description]]="","",IF(Table2[[#This Row],[Currency]]=$O$2,$P$2,HLOOKUP(Table2[[#This Row],[Date]],Funds!$C$10:$GV$11,2,FALSE)))</f>
        <v/>
      </c>
      <c r="J791" s="215" t="str">
        <f>IF(Table2[[#This Row],[Description]]="","",Table2[[#This Row],[Value]]/Table2[[#This Row],[Conversion]])</f>
        <v/>
      </c>
      <c r="K791" s="45" t="str">
        <f>IF(Table2[[#This Row],[Description]]="","",DATE(Table2[[#This Row],[Year]],Table2[[#This Row],[Month]],1))</f>
        <v/>
      </c>
    </row>
    <row r="792" spans="7:11" x14ac:dyDescent="0.25">
      <c r="G792" s="1" t="str">
        <f>IF(Table2[[#This Row],[Description]]="","",VLOOKUP(Table2[[#This Row],[Description]],$Q$1:$S$101,2,FALSE))</f>
        <v/>
      </c>
      <c r="H792" s="1" t="str">
        <f>IF(Table2[[#This Row],[Description]]="","",VLOOKUP(Table2[[#This Row],[Description]],$Q$1:$S$101,3,FALSE))</f>
        <v/>
      </c>
      <c r="I792" s="1" t="str">
        <f>IF(Table2[[#This Row],[Description]]="","",IF(Table2[[#This Row],[Currency]]=$O$2,$P$2,HLOOKUP(Table2[[#This Row],[Date]],Funds!$C$10:$GV$11,2,FALSE)))</f>
        <v/>
      </c>
      <c r="J792" s="215" t="str">
        <f>IF(Table2[[#This Row],[Description]]="","",Table2[[#This Row],[Value]]/Table2[[#This Row],[Conversion]])</f>
        <v/>
      </c>
      <c r="K792" s="45" t="str">
        <f>IF(Table2[[#This Row],[Description]]="","",DATE(Table2[[#This Row],[Year]],Table2[[#This Row],[Month]],1))</f>
        <v/>
      </c>
    </row>
    <row r="793" spans="7:11" x14ac:dyDescent="0.25">
      <c r="G793" s="1" t="str">
        <f>IF(Table2[[#This Row],[Description]]="","",VLOOKUP(Table2[[#This Row],[Description]],$Q$1:$S$101,2,FALSE))</f>
        <v/>
      </c>
      <c r="H793" s="1" t="str">
        <f>IF(Table2[[#This Row],[Description]]="","",VLOOKUP(Table2[[#This Row],[Description]],$Q$1:$S$101,3,FALSE))</f>
        <v/>
      </c>
      <c r="I793" s="1" t="str">
        <f>IF(Table2[[#This Row],[Description]]="","",IF(Table2[[#This Row],[Currency]]=$O$2,$P$2,HLOOKUP(Table2[[#This Row],[Date]],Funds!$C$10:$GV$11,2,FALSE)))</f>
        <v/>
      </c>
      <c r="J793" s="215" t="str">
        <f>IF(Table2[[#This Row],[Description]]="","",Table2[[#This Row],[Value]]/Table2[[#This Row],[Conversion]])</f>
        <v/>
      </c>
      <c r="K793" s="45" t="str">
        <f>IF(Table2[[#This Row],[Description]]="","",DATE(Table2[[#This Row],[Year]],Table2[[#This Row],[Month]],1))</f>
        <v/>
      </c>
    </row>
    <row r="794" spans="7:11" x14ac:dyDescent="0.25">
      <c r="G794" s="1" t="str">
        <f>IF(Table2[[#This Row],[Description]]="","",VLOOKUP(Table2[[#This Row],[Description]],$Q$1:$S$101,2,FALSE))</f>
        <v/>
      </c>
      <c r="H794" s="1" t="str">
        <f>IF(Table2[[#This Row],[Description]]="","",VLOOKUP(Table2[[#This Row],[Description]],$Q$1:$S$101,3,FALSE))</f>
        <v/>
      </c>
      <c r="I794" s="1" t="str">
        <f>IF(Table2[[#This Row],[Description]]="","",IF(Table2[[#This Row],[Currency]]=$O$2,$P$2,HLOOKUP(Table2[[#This Row],[Date]],Funds!$C$10:$GV$11,2,FALSE)))</f>
        <v/>
      </c>
      <c r="J794" s="215" t="str">
        <f>IF(Table2[[#This Row],[Description]]="","",Table2[[#This Row],[Value]]/Table2[[#This Row],[Conversion]])</f>
        <v/>
      </c>
      <c r="K794" s="45" t="str">
        <f>IF(Table2[[#This Row],[Description]]="","",DATE(Table2[[#This Row],[Year]],Table2[[#This Row],[Month]],1))</f>
        <v/>
      </c>
    </row>
    <row r="795" spans="7:11" x14ac:dyDescent="0.25">
      <c r="G795" s="1" t="str">
        <f>IF(Table2[[#This Row],[Description]]="","",VLOOKUP(Table2[[#This Row],[Description]],$Q$1:$S$101,2,FALSE))</f>
        <v/>
      </c>
      <c r="H795" s="1" t="str">
        <f>IF(Table2[[#This Row],[Description]]="","",VLOOKUP(Table2[[#This Row],[Description]],$Q$1:$S$101,3,FALSE))</f>
        <v/>
      </c>
      <c r="I795" s="1" t="str">
        <f>IF(Table2[[#This Row],[Description]]="","",IF(Table2[[#This Row],[Currency]]=$O$2,$P$2,HLOOKUP(Table2[[#This Row],[Date]],Funds!$C$10:$GV$11,2,FALSE)))</f>
        <v/>
      </c>
      <c r="J795" s="215" t="str">
        <f>IF(Table2[[#This Row],[Description]]="","",Table2[[#This Row],[Value]]/Table2[[#This Row],[Conversion]])</f>
        <v/>
      </c>
      <c r="K795" s="45" t="str">
        <f>IF(Table2[[#This Row],[Description]]="","",DATE(Table2[[#This Row],[Year]],Table2[[#This Row],[Month]],1))</f>
        <v/>
      </c>
    </row>
    <row r="796" spans="7:11" x14ac:dyDescent="0.25">
      <c r="G796" s="1" t="str">
        <f>IF(Table2[[#This Row],[Description]]="","",VLOOKUP(Table2[[#This Row],[Description]],$Q$1:$S$101,2,FALSE))</f>
        <v/>
      </c>
      <c r="H796" s="1" t="str">
        <f>IF(Table2[[#This Row],[Description]]="","",VLOOKUP(Table2[[#This Row],[Description]],$Q$1:$S$101,3,FALSE))</f>
        <v/>
      </c>
      <c r="I796" s="1" t="str">
        <f>IF(Table2[[#This Row],[Description]]="","",IF(Table2[[#This Row],[Currency]]=$O$2,$P$2,HLOOKUP(Table2[[#This Row],[Date]],Funds!$C$10:$GV$11,2,FALSE)))</f>
        <v/>
      </c>
      <c r="J796" s="215" t="str">
        <f>IF(Table2[[#This Row],[Description]]="","",Table2[[#This Row],[Value]]/Table2[[#This Row],[Conversion]])</f>
        <v/>
      </c>
      <c r="K796" s="45" t="str">
        <f>IF(Table2[[#This Row],[Description]]="","",DATE(Table2[[#This Row],[Year]],Table2[[#This Row],[Month]],1))</f>
        <v/>
      </c>
    </row>
    <row r="797" spans="7:11" x14ac:dyDescent="0.25">
      <c r="G797" s="1" t="str">
        <f>IF(Table2[[#This Row],[Description]]="","",VLOOKUP(Table2[[#This Row],[Description]],$Q$1:$S$101,2,FALSE))</f>
        <v/>
      </c>
      <c r="H797" s="1" t="str">
        <f>IF(Table2[[#This Row],[Description]]="","",VLOOKUP(Table2[[#This Row],[Description]],$Q$1:$S$101,3,FALSE))</f>
        <v/>
      </c>
      <c r="I797" s="1" t="str">
        <f>IF(Table2[[#This Row],[Description]]="","",IF(Table2[[#This Row],[Currency]]=$O$2,$P$2,HLOOKUP(Table2[[#This Row],[Date]],Funds!$C$10:$GV$11,2,FALSE)))</f>
        <v/>
      </c>
      <c r="J797" s="215" t="str">
        <f>IF(Table2[[#This Row],[Description]]="","",Table2[[#This Row],[Value]]/Table2[[#This Row],[Conversion]])</f>
        <v/>
      </c>
      <c r="K797" s="45" t="str">
        <f>IF(Table2[[#This Row],[Description]]="","",DATE(Table2[[#This Row],[Year]],Table2[[#This Row],[Month]],1))</f>
        <v/>
      </c>
    </row>
    <row r="798" spans="7:11" x14ac:dyDescent="0.25">
      <c r="G798" s="1" t="str">
        <f>IF(Table2[[#This Row],[Description]]="","",VLOOKUP(Table2[[#This Row],[Description]],$Q$1:$S$101,2,FALSE))</f>
        <v/>
      </c>
      <c r="H798" s="1" t="str">
        <f>IF(Table2[[#This Row],[Description]]="","",VLOOKUP(Table2[[#This Row],[Description]],$Q$1:$S$101,3,FALSE))</f>
        <v/>
      </c>
      <c r="I798" s="1" t="str">
        <f>IF(Table2[[#This Row],[Description]]="","",IF(Table2[[#This Row],[Currency]]=$O$2,$P$2,HLOOKUP(Table2[[#This Row],[Date]],Funds!$C$10:$GV$11,2,FALSE)))</f>
        <v/>
      </c>
      <c r="J798" s="215" t="str">
        <f>IF(Table2[[#This Row],[Description]]="","",Table2[[#This Row],[Value]]/Table2[[#This Row],[Conversion]])</f>
        <v/>
      </c>
      <c r="K798" s="45" t="str">
        <f>IF(Table2[[#This Row],[Description]]="","",DATE(Table2[[#This Row],[Year]],Table2[[#This Row],[Month]],1))</f>
        <v/>
      </c>
    </row>
    <row r="799" spans="7:11" x14ac:dyDescent="0.25">
      <c r="G799" s="1" t="str">
        <f>IF(Table2[[#This Row],[Description]]="","",VLOOKUP(Table2[[#This Row],[Description]],$Q$1:$S$101,2,FALSE))</f>
        <v/>
      </c>
      <c r="H799" s="1" t="str">
        <f>IF(Table2[[#This Row],[Description]]="","",VLOOKUP(Table2[[#This Row],[Description]],$Q$1:$S$101,3,FALSE))</f>
        <v/>
      </c>
      <c r="I799" s="1" t="str">
        <f>IF(Table2[[#This Row],[Description]]="","",IF(Table2[[#This Row],[Currency]]=$O$2,$P$2,HLOOKUP(Table2[[#This Row],[Date]],Funds!$C$10:$GV$11,2,FALSE)))</f>
        <v/>
      </c>
      <c r="J799" s="215" t="str">
        <f>IF(Table2[[#This Row],[Description]]="","",Table2[[#This Row],[Value]]/Table2[[#This Row],[Conversion]])</f>
        <v/>
      </c>
      <c r="K799" s="45" t="str">
        <f>IF(Table2[[#This Row],[Description]]="","",DATE(Table2[[#This Row],[Year]],Table2[[#This Row],[Month]],1))</f>
        <v/>
      </c>
    </row>
    <row r="800" spans="7:11" x14ac:dyDescent="0.25">
      <c r="G800" s="1" t="str">
        <f>IF(Table2[[#This Row],[Description]]="","",VLOOKUP(Table2[[#This Row],[Description]],$Q$1:$S$101,2,FALSE))</f>
        <v/>
      </c>
      <c r="H800" s="1" t="str">
        <f>IF(Table2[[#This Row],[Description]]="","",VLOOKUP(Table2[[#This Row],[Description]],$Q$1:$S$101,3,FALSE))</f>
        <v/>
      </c>
      <c r="I800" s="1" t="str">
        <f>IF(Table2[[#This Row],[Description]]="","",IF(Table2[[#This Row],[Currency]]=$O$2,$P$2,HLOOKUP(Table2[[#This Row],[Date]],Funds!$C$10:$GV$11,2,FALSE)))</f>
        <v/>
      </c>
      <c r="J800" s="215" t="str">
        <f>IF(Table2[[#This Row],[Description]]="","",Table2[[#This Row],[Value]]/Table2[[#This Row],[Conversion]])</f>
        <v/>
      </c>
      <c r="K800" s="45" t="str">
        <f>IF(Table2[[#This Row],[Description]]="","",DATE(Table2[[#This Row],[Year]],Table2[[#This Row],[Month]],1))</f>
        <v/>
      </c>
    </row>
    <row r="801" spans="7:11" x14ac:dyDescent="0.25">
      <c r="G801" s="1" t="str">
        <f>IF(Table2[[#This Row],[Description]]="","",VLOOKUP(Table2[[#This Row],[Description]],$Q$1:$S$101,2,FALSE))</f>
        <v/>
      </c>
      <c r="H801" s="1" t="str">
        <f>IF(Table2[[#This Row],[Description]]="","",VLOOKUP(Table2[[#This Row],[Description]],$Q$1:$S$101,3,FALSE))</f>
        <v/>
      </c>
      <c r="I801" s="1" t="str">
        <f>IF(Table2[[#This Row],[Description]]="","",IF(Table2[[#This Row],[Currency]]=$O$2,$P$2,HLOOKUP(Table2[[#This Row],[Date]],Funds!$C$10:$GV$11,2,FALSE)))</f>
        <v/>
      </c>
      <c r="J801" s="215" t="str">
        <f>IF(Table2[[#This Row],[Description]]="","",Table2[[#This Row],[Value]]/Table2[[#This Row],[Conversion]])</f>
        <v/>
      </c>
      <c r="K801" s="45" t="str">
        <f>IF(Table2[[#This Row],[Description]]="","",DATE(Table2[[#This Row],[Year]],Table2[[#This Row],[Month]],1))</f>
        <v/>
      </c>
    </row>
    <row r="802" spans="7:11" x14ac:dyDescent="0.25">
      <c r="G802" s="1" t="str">
        <f>IF(Table2[[#This Row],[Description]]="","",VLOOKUP(Table2[[#This Row],[Description]],$Q$1:$S$101,2,FALSE))</f>
        <v/>
      </c>
      <c r="H802" s="1" t="str">
        <f>IF(Table2[[#This Row],[Description]]="","",VLOOKUP(Table2[[#This Row],[Description]],$Q$1:$S$101,3,FALSE))</f>
        <v/>
      </c>
      <c r="I802" s="1" t="str">
        <f>IF(Table2[[#This Row],[Description]]="","",IF(Table2[[#This Row],[Currency]]=$O$2,$P$2,HLOOKUP(Table2[[#This Row],[Date]],Funds!$C$10:$GV$11,2,FALSE)))</f>
        <v/>
      </c>
      <c r="J802" s="215" t="str">
        <f>IF(Table2[[#This Row],[Description]]="","",Table2[[#This Row],[Value]]/Table2[[#This Row],[Conversion]])</f>
        <v/>
      </c>
      <c r="K802" s="45" t="str">
        <f>IF(Table2[[#This Row],[Description]]="","",DATE(Table2[[#This Row],[Year]],Table2[[#This Row],[Month]],1))</f>
        <v/>
      </c>
    </row>
    <row r="803" spans="7:11" x14ac:dyDescent="0.25">
      <c r="G803" s="1" t="str">
        <f>IF(Table2[[#This Row],[Description]]="","",VLOOKUP(Table2[[#This Row],[Description]],$Q$1:$S$101,2,FALSE))</f>
        <v/>
      </c>
      <c r="H803" s="1" t="str">
        <f>IF(Table2[[#This Row],[Description]]="","",VLOOKUP(Table2[[#This Row],[Description]],$Q$1:$S$101,3,FALSE))</f>
        <v/>
      </c>
      <c r="I803" s="1" t="str">
        <f>IF(Table2[[#This Row],[Description]]="","",IF(Table2[[#This Row],[Currency]]=$O$2,$P$2,HLOOKUP(Table2[[#This Row],[Date]],Funds!$C$10:$GV$11,2,FALSE)))</f>
        <v/>
      </c>
      <c r="J803" s="215" t="str">
        <f>IF(Table2[[#This Row],[Description]]="","",Table2[[#This Row],[Value]]/Table2[[#This Row],[Conversion]])</f>
        <v/>
      </c>
      <c r="K803" s="45" t="str">
        <f>IF(Table2[[#This Row],[Description]]="","",DATE(Table2[[#This Row],[Year]],Table2[[#This Row],[Month]],1))</f>
        <v/>
      </c>
    </row>
    <row r="804" spans="7:11" x14ac:dyDescent="0.25">
      <c r="G804" s="1" t="str">
        <f>IF(Table2[[#This Row],[Description]]="","",VLOOKUP(Table2[[#This Row],[Description]],$Q$1:$S$101,2,FALSE))</f>
        <v/>
      </c>
      <c r="H804" s="1" t="str">
        <f>IF(Table2[[#This Row],[Description]]="","",VLOOKUP(Table2[[#This Row],[Description]],$Q$1:$S$101,3,FALSE))</f>
        <v/>
      </c>
      <c r="I804" s="1" t="str">
        <f>IF(Table2[[#This Row],[Description]]="","",IF(Table2[[#This Row],[Currency]]=$O$2,$P$2,HLOOKUP(Table2[[#This Row],[Date]],Funds!$C$10:$GV$11,2,FALSE)))</f>
        <v/>
      </c>
      <c r="J804" s="215" t="str">
        <f>IF(Table2[[#This Row],[Description]]="","",Table2[[#This Row],[Value]]/Table2[[#This Row],[Conversion]])</f>
        <v/>
      </c>
      <c r="K804" s="45" t="str">
        <f>IF(Table2[[#This Row],[Description]]="","",DATE(Table2[[#This Row],[Year]],Table2[[#This Row],[Month]],1))</f>
        <v/>
      </c>
    </row>
    <row r="805" spans="7:11" x14ac:dyDescent="0.25">
      <c r="G805" s="1" t="str">
        <f>IF(Table2[[#This Row],[Description]]="","",VLOOKUP(Table2[[#This Row],[Description]],$Q$1:$S$101,2,FALSE))</f>
        <v/>
      </c>
      <c r="H805" s="1" t="str">
        <f>IF(Table2[[#This Row],[Description]]="","",VLOOKUP(Table2[[#This Row],[Description]],$Q$1:$S$101,3,FALSE))</f>
        <v/>
      </c>
      <c r="I805" s="1" t="str">
        <f>IF(Table2[[#This Row],[Description]]="","",IF(Table2[[#This Row],[Currency]]=$O$2,$P$2,HLOOKUP(Table2[[#This Row],[Date]],Funds!$C$10:$GV$11,2,FALSE)))</f>
        <v/>
      </c>
      <c r="J805" s="215" t="str">
        <f>IF(Table2[[#This Row],[Description]]="","",Table2[[#This Row],[Value]]/Table2[[#This Row],[Conversion]])</f>
        <v/>
      </c>
      <c r="K805" s="45" t="str">
        <f>IF(Table2[[#This Row],[Description]]="","",DATE(Table2[[#This Row],[Year]],Table2[[#This Row],[Month]],1))</f>
        <v/>
      </c>
    </row>
    <row r="806" spans="7:11" x14ac:dyDescent="0.25">
      <c r="G806" s="1" t="str">
        <f>IF(Table2[[#This Row],[Description]]="","",VLOOKUP(Table2[[#This Row],[Description]],$Q$1:$S$101,2,FALSE))</f>
        <v/>
      </c>
      <c r="H806" s="1" t="str">
        <f>IF(Table2[[#This Row],[Description]]="","",VLOOKUP(Table2[[#This Row],[Description]],$Q$1:$S$101,3,FALSE))</f>
        <v/>
      </c>
      <c r="I806" s="1" t="str">
        <f>IF(Table2[[#This Row],[Description]]="","",IF(Table2[[#This Row],[Currency]]=$O$2,$P$2,HLOOKUP(Table2[[#This Row],[Date]],Funds!$C$10:$GV$11,2,FALSE)))</f>
        <v/>
      </c>
      <c r="J806" s="215" t="str">
        <f>IF(Table2[[#This Row],[Description]]="","",Table2[[#This Row],[Value]]/Table2[[#This Row],[Conversion]])</f>
        <v/>
      </c>
      <c r="K806" s="45" t="str">
        <f>IF(Table2[[#This Row],[Description]]="","",DATE(Table2[[#This Row],[Year]],Table2[[#This Row],[Month]],1))</f>
        <v/>
      </c>
    </row>
    <row r="807" spans="7:11" x14ac:dyDescent="0.25">
      <c r="G807" s="1" t="str">
        <f>IF(Table2[[#This Row],[Description]]="","",VLOOKUP(Table2[[#This Row],[Description]],$Q$1:$S$101,2,FALSE))</f>
        <v/>
      </c>
      <c r="H807" s="1" t="str">
        <f>IF(Table2[[#This Row],[Description]]="","",VLOOKUP(Table2[[#This Row],[Description]],$Q$1:$S$101,3,FALSE))</f>
        <v/>
      </c>
      <c r="I807" s="1" t="str">
        <f>IF(Table2[[#This Row],[Description]]="","",IF(Table2[[#This Row],[Currency]]=$O$2,$P$2,HLOOKUP(Table2[[#This Row],[Date]],Funds!$C$10:$GV$11,2,FALSE)))</f>
        <v/>
      </c>
      <c r="J807" s="215" t="str">
        <f>IF(Table2[[#This Row],[Description]]="","",Table2[[#This Row],[Value]]/Table2[[#This Row],[Conversion]])</f>
        <v/>
      </c>
      <c r="K807" s="45" t="str">
        <f>IF(Table2[[#This Row],[Description]]="","",DATE(Table2[[#This Row],[Year]],Table2[[#This Row],[Month]],1))</f>
        <v/>
      </c>
    </row>
    <row r="808" spans="7:11" x14ac:dyDescent="0.25">
      <c r="G808" s="1" t="str">
        <f>IF(Table2[[#This Row],[Description]]="","",VLOOKUP(Table2[[#This Row],[Description]],$Q$1:$S$101,2,FALSE))</f>
        <v/>
      </c>
      <c r="H808" s="1" t="str">
        <f>IF(Table2[[#This Row],[Description]]="","",VLOOKUP(Table2[[#This Row],[Description]],$Q$1:$S$101,3,FALSE))</f>
        <v/>
      </c>
      <c r="I808" s="1" t="str">
        <f>IF(Table2[[#This Row],[Description]]="","",IF(Table2[[#This Row],[Currency]]=$O$2,$P$2,HLOOKUP(Table2[[#This Row],[Date]],Funds!$C$10:$GV$11,2,FALSE)))</f>
        <v/>
      </c>
      <c r="J808" s="215" t="str">
        <f>IF(Table2[[#This Row],[Description]]="","",Table2[[#This Row],[Value]]/Table2[[#This Row],[Conversion]])</f>
        <v/>
      </c>
      <c r="K808" s="45" t="str">
        <f>IF(Table2[[#This Row],[Description]]="","",DATE(Table2[[#This Row],[Year]],Table2[[#This Row],[Month]],1))</f>
        <v/>
      </c>
    </row>
    <row r="809" spans="7:11" x14ac:dyDescent="0.25">
      <c r="G809" s="1" t="str">
        <f>IF(Table2[[#This Row],[Description]]="","",VLOOKUP(Table2[[#This Row],[Description]],$Q$1:$S$101,2,FALSE))</f>
        <v/>
      </c>
      <c r="H809" s="1" t="str">
        <f>IF(Table2[[#This Row],[Description]]="","",VLOOKUP(Table2[[#This Row],[Description]],$Q$1:$S$101,3,FALSE))</f>
        <v/>
      </c>
      <c r="I809" s="1" t="str">
        <f>IF(Table2[[#This Row],[Description]]="","",IF(Table2[[#This Row],[Currency]]=$O$2,$P$2,HLOOKUP(Table2[[#This Row],[Date]],Funds!$C$10:$GV$11,2,FALSE)))</f>
        <v/>
      </c>
      <c r="J809" s="215" t="str">
        <f>IF(Table2[[#This Row],[Description]]="","",Table2[[#This Row],[Value]]/Table2[[#This Row],[Conversion]])</f>
        <v/>
      </c>
      <c r="K809" s="45" t="str">
        <f>IF(Table2[[#This Row],[Description]]="","",DATE(Table2[[#This Row],[Year]],Table2[[#This Row],[Month]],1))</f>
        <v/>
      </c>
    </row>
    <row r="810" spans="7:11" x14ac:dyDescent="0.25">
      <c r="G810" s="1" t="str">
        <f>IF(Table2[[#This Row],[Description]]="","",VLOOKUP(Table2[[#This Row],[Description]],$Q$1:$S$101,2,FALSE))</f>
        <v/>
      </c>
      <c r="H810" s="1" t="str">
        <f>IF(Table2[[#This Row],[Description]]="","",VLOOKUP(Table2[[#This Row],[Description]],$Q$1:$S$101,3,FALSE))</f>
        <v/>
      </c>
      <c r="I810" s="1" t="str">
        <f>IF(Table2[[#This Row],[Description]]="","",IF(Table2[[#This Row],[Currency]]=$O$2,$P$2,HLOOKUP(Table2[[#This Row],[Date]],Funds!$C$10:$GV$11,2,FALSE)))</f>
        <v/>
      </c>
      <c r="J810" s="215" t="str">
        <f>IF(Table2[[#This Row],[Description]]="","",Table2[[#This Row],[Value]]/Table2[[#This Row],[Conversion]])</f>
        <v/>
      </c>
      <c r="K810" s="45" t="str">
        <f>IF(Table2[[#This Row],[Description]]="","",DATE(Table2[[#This Row],[Year]],Table2[[#This Row],[Month]],1))</f>
        <v/>
      </c>
    </row>
    <row r="811" spans="7:11" x14ac:dyDescent="0.25">
      <c r="G811" s="1" t="str">
        <f>IF(Table2[[#This Row],[Description]]="","",VLOOKUP(Table2[[#This Row],[Description]],$Q$1:$S$101,2,FALSE))</f>
        <v/>
      </c>
      <c r="H811" s="1" t="str">
        <f>IF(Table2[[#This Row],[Description]]="","",VLOOKUP(Table2[[#This Row],[Description]],$Q$1:$S$101,3,FALSE))</f>
        <v/>
      </c>
      <c r="I811" s="1" t="str">
        <f>IF(Table2[[#This Row],[Description]]="","",IF(Table2[[#This Row],[Currency]]=$O$2,$P$2,HLOOKUP(Table2[[#This Row],[Date]],Funds!$C$10:$GV$11,2,FALSE)))</f>
        <v/>
      </c>
      <c r="J811" s="215" t="str">
        <f>IF(Table2[[#This Row],[Description]]="","",Table2[[#This Row],[Value]]/Table2[[#This Row],[Conversion]])</f>
        <v/>
      </c>
      <c r="K811" s="45" t="str">
        <f>IF(Table2[[#This Row],[Description]]="","",DATE(Table2[[#This Row],[Year]],Table2[[#This Row],[Month]],1))</f>
        <v/>
      </c>
    </row>
    <row r="812" spans="7:11" x14ac:dyDescent="0.25">
      <c r="G812" s="1" t="str">
        <f>IF(Table2[[#This Row],[Description]]="","",VLOOKUP(Table2[[#This Row],[Description]],$Q$1:$S$101,2,FALSE))</f>
        <v/>
      </c>
      <c r="H812" s="1" t="str">
        <f>IF(Table2[[#This Row],[Description]]="","",VLOOKUP(Table2[[#This Row],[Description]],$Q$1:$S$101,3,FALSE))</f>
        <v/>
      </c>
      <c r="I812" s="1" t="str">
        <f>IF(Table2[[#This Row],[Description]]="","",IF(Table2[[#This Row],[Currency]]=$O$2,$P$2,HLOOKUP(Table2[[#This Row],[Date]],Funds!$C$10:$GV$11,2,FALSE)))</f>
        <v/>
      </c>
      <c r="J812" s="215" t="str">
        <f>IF(Table2[[#This Row],[Description]]="","",Table2[[#This Row],[Value]]/Table2[[#This Row],[Conversion]])</f>
        <v/>
      </c>
      <c r="K812" s="45" t="str">
        <f>IF(Table2[[#This Row],[Description]]="","",DATE(Table2[[#This Row],[Year]],Table2[[#This Row],[Month]],1))</f>
        <v/>
      </c>
    </row>
    <row r="813" spans="7:11" x14ac:dyDescent="0.25">
      <c r="G813" s="1" t="str">
        <f>IF(Table2[[#This Row],[Description]]="","",VLOOKUP(Table2[[#This Row],[Description]],$Q$1:$S$101,2,FALSE))</f>
        <v/>
      </c>
      <c r="H813" s="1" t="str">
        <f>IF(Table2[[#This Row],[Description]]="","",VLOOKUP(Table2[[#This Row],[Description]],$Q$1:$S$101,3,FALSE))</f>
        <v/>
      </c>
      <c r="I813" s="1" t="str">
        <f>IF(Table2[[#This Row],[Description]]="","",IF(Table2[[#This Row],[Currency]]=$O$2,$P$2,HLOOKUP(Table2[[#This Row],[Date]],Funds!$C$10:$GV$11,2,FALSE)))</f>
        <v/>
      </c>
      <c r="J813" s="215" t="str">
        <f>IF(Table2[[#This Row],[Description]]="","",Table2[[#This Row],[Value]]/Table2[[#This Row],[Conversion]])</f>
        <v/>
      </c>
      <c r="K813" s="45" t="str">
        <f>IF(Table2[[#This Row],[Description]]="","",DATE(Table2[[#This Row],[Year]],Table2[[#This Row],[Month]],1))</f>
        <v/>
      </c>
    </row>
    <row r="814" spans="7:11" x14ac:dyDescent="0.25">
      <c r="G814" s="1" t="str">
        <f>IF(Table2[[#This Row],[Description]]="","",VLOOKUP(Table2[[#This Row],[Description]],$Q$1:$S$101,2,FALSE))</f>
        <v/>
      </c>
      <c r="H814" s="1" t="str">
        <f>IF(Table2[[#This Row],[Description]]="","",VLOOKUP(Table2[[#This Row],[Description]],$Q$1:$S$101,3,FALSE))</f>
        <v/>
      </c>
      <c r="I814" s="1" t="str">
        <f>IF(Table2[[#This Row],[Description]]="","",IF(Table2[[#This Row],[Currency]]=$O$2,$P$2,HLOOKUP(Table2[[#This Row],[Date]],Funds!$C$10:$GV$11,2,FALSE)))</f>
        <v/>
      </c>
      <c r="J814" s="215" t="str">
        <f>IF(Table2[[#This Row],[Description]]="","",Table2[[#This Row],[Value]]/Table2[[#This Row],[Conversion]])</f>
        <v/>
      </c>
      <c r="K814" s="45" t="str">
        <f>IF(Table2[[#This Row],[Description]]="","",DATE(Table2[[#This Row],[Year]],Table2[[#This Row],[Month]],1))</f>
        <v/>
      </c>
    </row>
    <row r="815" spans="7:11" x14ac:dyDescent="0.25">
      <c r="G815" s="1" t="str">
        <f>IF(Table2[[#This Row],[Description]]="","",VLOOKUP(Table2[[#This Row],[Description]],$Q$1:$S$101,2,FALSE))</f>
        <v/>
      </c>
      <c r="H815" s="1" t="str">
        <f>IF(Table2[[#This Row],[Description]]="","",VLOOKUP(Table2[[#This Row],[Description]],$Q$1:$S$101,3,FALSE))</f>
        <v/>
      </c>
      <c r="I815" s="1" t="str">
        <f>IF(Table2[[#This Row],[Description]]="","",IF(Table2[[#This Row],[Currency]]=$O$2,$P$2,HLOOKUP(Table2[[#This Row],[Date]],Funds!$C$10:$GV$11,2,FALSE)))</f>
        <v/>
      </c>
      <c r="J815" s="215" t="str">
        <f>IF(Table2[[#This Row],[Description]]="","",Table2[[#This Row],[Value]]/Table2[[#This Row],[Conversion]])</f>
        <v/>
      </c>
      <c r="K815" s="45" t="str">
        <f>IF(Table2[[#This Row],[Description]]="","",DATE(Table2[[#This Row],[Year]],Table2[[#This Row],[Month]],1))</f>
        <v/>
      </c>
    </row>
    <row r="816" spans="7:11" x14ac:dyDescent="0.25">
      <c r="G816" s="1" t="str">
        <f>IF(Table2[[#This Row],[Description]]="","",VLOOKUP(Table2[[#This Row],[Description]],$Q$1:$S$101,2,FALSE))</f>
        <v/>
      </c>
      <c r="H816" s="1" t="str">
        <f>IF(Table2[[#This Row],[Description]]="","",VLOOKUP(Table2[[#This Row],[Description]],$Q$1:$S$101,3,FALSE))</f>
        <v/>
      </c>
      <c r="I816" s="1" t="str">
        <f>IF(Table2[[#This Row],[Description]]="","",IF(Table2[[#This Row],[Currency]]=$O$2,$P$2,HLOOKUP(Table2[[#This Row],[Date]],Funds!$C$10:$GV$11,2,FALSE)))</f>
        <v/>
      </c>
      <c r="J816" s="215" t="str">
        <f>IF(Table2[[#This Row],[Description]]="","",Table2[[#This Row],[Value]]/Table2[[#This Row],[Conversion]])</f>
        <v/>
      </c>
      <c r="K816" s="45" t="str">
        <f>IF(Table2[[#This Row],[Description]]="","",DATE(Table2[[#This Row],[Year]],Table2[[#This Row],[Month]],1))</f>
        <v/>
      </c>
    </row>
    <row r="817" spans="7:11" x14ac:dyDescent="0.25">
      <c r="G817" s="1" t="str">
        <f>IF(Table2[[#This Row],[Description]]="","",VLOOKUP(Table2[[#This Row],[Description]],$Q$1:$S$101,2,FALSE))</f>
        <v/>
      </c>
      <c r="H817" s="1" t="str">
        <f>IF(Table2[[#This Row],[Description]]="","",VLOOKUP(Table2[[#This Row],[Description]],$Q$1:$S$101,3,FALSE))</f>
        <v/>
      </c>
      <c r="I817" s="1" t="str">
        <f>IF(Table2[[#This Row],[Description]]="","",IF(Table2[[#This Row],[Currency]]=$O$2,$P$2,HLOOKUP(Table2[[#This Row],[Date]],Funds!$C$10:$GV$11,2,FALSE)))</f>
        <v/>
      </c>
      <c r="J817" s="215" t="str">
        <f>IF(Table2[[#This Row],[Description]]="","",Table2[[#This Row],[Value]]/Table2[[#This Row],[Conversion]])</f>
        <v/>
      </c>
      <c r="K817" s="45" t="str">
        <f>IF(Table2[[#This Row],[Description]]="","",DATE(Table2[[#This Row],[Year]],Table2[[#This Row],[Month]],1))</f>
        <v/>
      </c>
    </row>
    <row r="818" spans="7:11" x14ac:dyDescent="0.25">
      <c r="G818" s="1" t="str">
        <f>IF(Table2[[#This Row],[Description]]="","",VLOOKUP(Table2[[#This Row],[Description]],$Q$1:$S$101,2,FALSE))</f>
        <v/>
      </c>
      <c r="H818" s="1" t="str">
        <f>IF(Table2[[#This Row],[Description]]="","",VLOOKUP(Table2[[#This Row],[Description]],$Q$1:$S$101,3,FALSE))</f>
        <v/>
      </c>
      <c r="I818" s="1" t="str">
        <f>IF(Table2[[#This Row],[Description]]="","",IF(Table2[[#This Row],[Currency]]=$O$2,$P$2,HLOOKUP(Table2[[#This Row],[Date]],Funds!$C$10:$GV$11,2,FALSE)))</f>
        <v/>
      </c>
      <c r="J818" s="215" t="str">
        <f>IF(Table2[[#This Row],[Description]]="","",Table2[[#This Row],[Value]]/Table2[[#This Row],[Conversion]])</f>
        <v/>
      </c>
      <c r="K818" s="45" t="str">
        <f>IF(Table2[[#This Row],[Description]]="","",DATE(Table2[[#This Row],[Year]],Table2[[#This Row],[Month]],1))</f>
        <v/>
      </c>
    </row>
    <row r="819" spans="7:11" x14ac:dyDescent="0.25">
      <c r="G819" s="1" t="str">
        <f>IF(Table2[[#This Row],[Description]]="","",VLOOKUP(Table2[[#This Row],[Description]],$Q$1:$S$101,2,FALSE))</f>
        <v/>
      </c>
      <c r="H819" s="1" t="str">
        <f>IF(Table2[[#This Row],[Description]]="","",VLOOKUP(Table2[[#This Row],[Description]],$Q$1:$S$101,3,FALSE))</f>
        <v/>
      </c>
      <c r="I819" s="1" t="str">
        <f>IF(Table2[[#This Row],[Description]]="","",IF(Table2[[#This Row],[Currency]]=$O$2,$P$2,HLOOKUP(Table2[[#This Row],[Date]],Funds!$C$10:$GV$11,2,FALSE)))</f>
        <v/>
      </c>
      <c r="J819" s="215" t="str">
        <f>IF(Table2[[#This Row],[Description]]="","",Table2[[#This Row],[Value]]/Table2[[#This Row],[Conversion]])</f>
        <v/>
      </c>
      <c r="K819" s="45" t="str">
        <f>IF(Table2[[#This Row],[Description]]="","",DATE(Table2[[#This Row],[Year]],Table2[[#This Row],[Month]],1))</f>
        <v/>
      </c>
    </row>
    <row r="820" spans="7:11" x14ac:dyDescent="0.25">
      <c r="G820" s="1" t="str">
        <f>IF(Table2[[#This Row],[Description]]="","",VLOOKUP(Table2[[#This Row],[Description]],$Q$1:$S$101,2,FALSE))</f>
        <v/>
      </c>
      <c r="H820" s="1" t="str">
        <f>IF(Table2[[#This Row],[Description]]="","",VLOOKUP(Table2[[#This Row],[Description]],$Q$1:$S$101,3,FALSE))</f>
        <v/>
      </c>
      <c r="I820" s="1" t="str">
        <f>IF(Table2[[#This Row],[Description]]="","",IF(Table2[[#This Row],[Currency]]=$O$2,$P$2,HLOOKUP(Table2[[#This Row],[Date]],Funds!$C$10:$GV$11,2,FALSE)))</f>
        <v/>
      </c>
      <c r="J820" s="215" t="str">
        <f>IF(Table2[[#This Row],[Description]]="","",Table2[[#This Row],[Value]]/Table2[[#This Row],[Conversion]])</f>
        <v/>
      </c>
      <c r="K820" s="45" t="str">
        <f>IF(Table2[[#This Row],[Description]]="","",DATE(Table2[[#This Row],[Year]],Table2[[#This Row],[Month]],1))</f>
        <v/>
      </c>
    </row>
    <row r="821" spans="7:11" x14ac:dyDescent="0.25">
      <c r="G821" s="1" t="str">
        <f>IF(Table2[[#This Row],[Description]]="","",VLOOKUP(Table2[[#This Row],[Description]],$Q$1:$S$101,2,FALSE))</f>
        <v/>
      </c>
      <c r="H821" s="1" t="str">
        <f>IF(Table2[[#This Row],[Description]]="","",VLOOKUP(Table2[[#This Row],[Description]],$Q$1:$S$101,3,FALSE))</f>
        <v/>
      </c>
      <c r="I821" s="1" t="str">
        <f>IF(Table2[[#This Row],[Description]]="","",IF(Table2[[#This Row],[Currency]]=$O$2,$P$2,HLOOKUP(Table2[[#This Row],[Date]],Funds!$C$10:$GV$11,2,FALSE)))</f>
        <v/>
      </c>
      <c r="J821" s="215" t="str">
        <f>IF(Table2[[#This Row],[Description]]="","",Table2[[#This Row],[Value]]/Table2[[#This Row],[Conversion]])</f>
        <v/>
      </c>
      <c r="K821" s="45" t="str">
        <f>IF(Table2[[#This Row],[Description]]="","",DATE(Table2[[#This Row],[Year]],Table2[[#This Row],[Month]],1))</f>
        <v/>
      </c>
    </row>
    <row r="822" spans="7:11" x14ac:dyDescent="0.25">
      <c r="G822" s="1" t="str">
        <f>IF(Table2[[#This Row],[Description]]="","",VLOOKUP(Table2[[#This Row],[Description]],$Q$1:$S$101,2,FALSE))</f>
        <v/>
      </c>
      <c r="H822" s="1" t="str">
        <f>IF(Table2[[#This Row],[Description]]="","",VLOOKUP(Table2[[#This Row],[Description]],$Q$1:$S$101,3,FALSE))</f>
        <v/>
      </c>
      <c r="I822" s="1" t="str">
        <f>IF(Table2[[#This Row],[Description]]="","",IF(Table2[[#This Row],[Currency]]=$O$2,$P$2,HLOOKUP(Table2[[#This Row],[Date]],Funds!$C$10:$GV$11,2,FALSE)))</f>
        <v/>
      </c>
      <c r="J822" s="215" t="str">
        <f>IF(Table2[[#This Row],[Description]]="","",Table2[[#This Row],[Value]]/Table2[[#This Row],[Conversion]])</f>
        <v/>
      </c>
      <c r="K822" s="45" t="str">
        <f>IF(Table2[[#This Row],[Description]]="","",DATE(Table2[[#This Row],[Year]],Table2[[#This Row],[Month]],1))</f>
        <v/>
      </c>
    </row>
    <row r="823" spans="7:11" x14ac:dyDescent="0.25">
      <c r="G823" s="1" t="str">
        <f>IF(Table2[[#This Row],[Description]]="","",VLOOKUP(Table2[[#This Row],[Description]],$Q$1:$S$101,2,FALSE))</f>
        <v/>
      </c>
      <c r="H823" s="1" t="str">
        <f>IF(Table2[[#This Row],[Description]]="","",VLOOKUP(Table2[[#This Row],[Description]],$Q$1:$S$101,3,FALSE))</f>
        <v/>
      </c>
      <c r="I823" s="1" t="str">
        <f>IF(Table2[[#This Row],[Description]]="","",IF(Table2[[#This Row],[Currency]]=$O$2,$P$2,HLOOKUP(Table2[[#This Row],[Date]],Funds!$C$10:$GV$11,2,FALSE)))</f>
        <v/>
      </c>
      <c r="J823" s="215" t="str">
        <f>IF(Table2[[#This Row],[Description]]="","",Table2[[#This Row],[Value]]/Table2[[#This Row],[Conversion]])</f>
        <v/>
      </c>
      <c r="K823" s="45" t="str">
        <f>IF(Table2[[#This Row],[Description]]="","",DATE(Table2[[#This Row],[Year]],Table2[[#This Row],[Month]],1))</f>
        <v/>
      </c>
    </row>
    <row r="824" spans="7:11" x14ac:dyDescent="0.25">
      <c r="G824" s="1" t="str">
        <f>IF(Table2[[#This Row],[Description]]="","",VLOOKUP(Table2[[#This Row],[Description]],$Q$1:$S$101,2,FALSE))</f>
        <v/>
      </c>
      <c r="H824" s="1" t="str">
        <f>IF(Table2[[#This Row],[Description]]="","",VLOOKUP(Table2[[#This Row],[Description]],$Q$1:$S$101,3,FALSE))</f>
        <v/>
      </c>
      <c r="I824" s="1" t="str">
        <f>IF(Table2[[#This Row],[Description]]="","",IF(Table2[[#This Row],[Currency]]=$O$2,$P$2,HLOOKUP(Table2[[#This Row],[Date]],Funds!$C$10:$GV$11,2,FALSE)))</f>
        <v/>
      </c>
      <c r="J824" s="215" t="str">
        <f>IF(Table2[[#This Row],[Description]]="","",Table2[[#This Row],[Value]]/Table2[[#This Row],[Conversion]])</f>
        <v/>
      </c>
      <c r="K824" s="45" t="str">
        <f>IF(Table2[[#This Row],[Description]]="","",DATE(Table2[[#This Row],[Year]],Table2[[#This Row],[Month]],1))</f>
        <v/>
      </c>
    </row>
    <row r="825" spans="7:11" x14ac:dyDescent="0.25">
      <c r="G825" s="1" t="str">
        <f>IF(Table2[[#This Row],[Description]]="","",VLOOKUP(Table2[[#This Row],[Description]],$Q$1:$S$101,2,FALSE))</f>
        <v/>
      </c>
      <c r="H825" s="1" t="str">
        <f>IF(Table2[[#This Row],[Description]]="","",VLOOKUP(Table2[[#This Row],[Description]],$Q$1:$S$101,3,FALSE))</f>
        <v/>
      </c>
      <c r="I825" s="1" t="str">
        <f>IF(Table2[[#This Row],[Description]]="","",IF(Table2[[#This Row],[Currency]]=$O$2,$P$2,HLOOKUP(Table2[[#This Row],[Date]],Funds!$C$10:$GV$11,2,FALSE)))</f>
        <v/>
      </c>
      <c r="J825" s="215" t="str">
        <f>IF(Table2[[#This Row],[Description]]="","",Table2[[#This Row],[Value]]/Table2[[#This Row],[Conversion]])</f>
        <v/>
      </c>
      <c r="K825" s="45" t="str">
        <f>IF(Table2[[#This Row],[Description]]="","",DATE(Table2[[#This Row],[Year]],Table2[[#This Row],[Month]],1))</f>
        <v/>
      </c>
    </row>
    <row r="826" spans="7:11" x14ac:dyDescent="0.25">
      <c r="G826" s="1" t="str">
        <f>IF(Table2[[#This Row],[Description]]="","",VLOOKUP(Table2[[#This Row],[Description]],$Q$1:$S$101,2,FALSE))</f>
        <v/>
      </c>
      <c r="H826" s="1" t="str">
        <f>IF(Table2[[#This Row],[Description]]="","",VLOOKUP(Table2[[#This Row],[Description]],$Q$1:$S$101,3,FALSE))</f>
        <v/>
      </c>
      <c r="I826" s="1" t="str">
        <f>IF(Table2[[#This Row],[Description]]="","",IF(Table2[[#This Row],[Currency]]=$O$2,$P$2,HLOOKUP(Table2[[#This Row],[Date]],Funds!$C$10:$GV$11,2,FALSE)))</f>
        <v/>
      </c>
      <c r="J826" s="215" t="str">
        <f>IF(Table2[[#This Row],[Description]]="","",Table2[[#This Row],[Value]]/Table2[[#This Row],[Conversion]])</f>
        <v/>
      </c>
      <c r="K826" s="45" t="str">
        <f>IF(Table2[[#This Row],[Description]]="","",DATE(Table2[[#This Row],[Year]],Table2[[#This Row],[Month]],1))</f>
        <v/>
      </c>
    </row>
    <row r="827" spans="7:11" x14ac:dyDescent="0.25">
      <c r="G827" s="1" t="str">
        <f>IF(Table2[[#This Row],[Description]]="","",VLOOKUP(Table2[[#This Row],[Description]],$Q$1:$S$101,2,FALSE))</f>
        <v/>
      </c>
      <c r="H827" s="1" t="str">
        <f>IF(Table2[[#This Row],[Description]]="","",VLOOKUP(Table2[[#This Row],[Description]],$Q$1:$S$101,3,FALSE))</f>
        <v/>
      </c>
      <c r="I827" s="1" t="str">
        <f>IF(Table2[[#This Row],[Description]]="","",IF(Table2[[#This Row],[Currency]]=$O$2,$P$2,HLOOKUP(Table2[[#This Row],[Date]],Funds!$C$10:$GV$11,2,FALSE)))</f>
        <v/>
      </c>
      <c r="J827" s="215" t="str">
        <f>IF(Table2[[#This Row],[Description]]="","",Table2[[#This Row],[Value]]/Table2[[#This Row],[Conversion]])</f>
        <v/>
      </c>
      <c r="K827" s="45" t="str">
        <f>IF(Table2[[#This Row],[Description]]="","",DATE(Table2[[#This Row],[Year]],Table2[[#This Row],[Month]],1))</f>
        <v/>
      </c>
    </row>
    <row r="828" spans="7:11" x14ac:dyDescent="0.25">
      <c r="G828" s="1" t="str">
        <f>IF(Table2[[#This Row],[Description]]="","",VLOOKUP(Table2[[#This Row],[Description]],$Q$1:$S$101,2,FALSE))</f>
        <v/>
      </c>
      <c r="H828" s="1" t="str">
        <f>IF(Table2[[#This Row],[Description]]="","",VLOOKUP(Table2[[#This Row],[Description]],$Q$1:$S$101,3,FALSE))</f>
        <v/>
      </c>
      <c r="I828" s="1" t="str">
        <f>IF(Table2[[#This Row],[Description]]="","",IF(Table2[[#This Row],[Currency]]=$O$2,$P$2,HLOOKUP(Table2[[#This Row],[Date]],Funds!$C$10:$GV$11,2,FALSE)))</f>
        <v/>
      </c>
      <c r="J828" s="215" t="str">
        <f>IF(Table2[[#This Row],[Description]]="","",Table2[[#This Row],[Value]]/Table2[[#This Row],[Conversion]])</f>
        <v/>
      </c>
      <c r="K828" s="45" t="str">
        <f>IF(Table2[[#This Row],[Description]]="","",DATE(Table2[[#This Row],[Year]],Table2[[#This Row],[Month]],1))</f>
        <v/>
      </c>
    </row>
    <row r="829" spans="7:11" x14ac:dyDescent="0.25">
      <c r="G829" s="1" t="str">
        <f>IF(Table2[[#This Row],[Description]]="","",VLOOKUP(Table2[[#This Row],[Description]],$Q$1:$S$101,2,FALSE))</f>
        <v/>
      </c>
      <c r="H829" s="1" t="str">
        <f>IF(Table2[[#This Row],[Description]]="","",VLOOKUP(Table2[[#This Row],[Description]],$Q$1:$S$101,3,FALSE))</f>
        <v/>
      </c>
      <c r="I829" s="1" t="str">
        <f>IF(Table2[[#This Row],[Description]]="","",IF(Table2[[#This Row],[Currency]]=$O$2,$P$2,HLOOKUP(Table2[[#This Row],[Date]],Funds!$C$10:$GV$11,2,FALSE)))</f>
        <v/>
      </c>
      <c r="J829" s="215" t="str">
        <f>IF(Table2[[#This Row],[Description]]="","",Table2[[#This Row],[Value]]/Table2[[#This Row],[Conversion]])</f>
        <v/>
      </c>
      <c r="K829" s="45" t="str">
        <f>IF(Table2[[#This Row],[Description]]="","",DATE(Table2[[#This Row],[Year]],Table2[[#This Row],[Month]],1))</f>
        <v/>
      </c>
    </row>
    <row r="830" spans="7:11" x14ac:dyDescent="0.25">
      <c r="G830" s="1" t="str">
        <f>IF(Table2[[#This Row],[Description]]="","",VLOOKUP(Table2[[#This Row],[Description]],$Q$1:$S$101,2,FALSE))</f>
        <v/>
      </c>
      <c r="H830" s="1" t="str">
        <f>IF(Table2[[#This Row],[Description]]="","",VLOOKUP(Table2[[#This Row],[Description]],$Q$1:$S$101,3,FALSE))</f>
        <v/>
      </c>
      <c r="I830" s="1" t="str">
        <f>IF(Table2[[#This Row],[Description]]="","",IF(Table2[[#This Row],[Currency]]=$O$2,$P$2,HLOOKUP(Table2[[#This Row],[Date]],Funds!$C$10:$GV$11,2,FALSE)))</f>
        <v/>
      </c>
      <c r="J830" s="215" t="str">
        <f>IF(Table2[[#This Row],[Description]]="","",Table2[[#This Row],[Value]]/Table2[[#This Row],[Conversion]])</f>
        <v/>
      </c>
      <c r="K830" s="45" t="str">
        <f>IF(Table2[[#This Row],[Description]]="","",DATE(Table2[[#This Row],[Year]],Table2[[#This Row],[Month]],1))</f>
        <v/>
      </c>
    </row>
    <row r="831" spans="7:11" x14ac:dyDescent="0.25">
      <c r="G831" s="1" t="str">
        <f>IF(Table2[[#This Row],[Description]]="","",VLOOKUP(Table2[[#This Row],[Description]],$Q$1:$S$101,2,FALSE))</f>
        <v/>
      </c>
      <c r="H831" s="1" t="str">
        <f>IF(Table2[[#This Row],[Description]]="","",VLOOKUP(Table2[[#This Row],[Description]],$Q$1:$S$101,3,FALSE))</f>
        <v/>
      </c>
      <c r="I831" s="1" t="str">
        <f>IF(Table2[[#This Row],[Description]]="","",IF(Table2[[#This Row],[Currency]]=$O$2,$P$2,HLOOKUP(Table2[[#This Row],[Date]],Funds!$C$10:$GV$11,2,FALSE)))</f>
        <v/>
      </c>
      <c r="J831" s="215" t="str">
        <f>IF(Table2[[#This Row],[Description]]="","",Table2[[#This Row],[Value]]/Table2[[#This Row],[Conversion]])</f>
        <v/>
      </c>
      <c r="K831" s="45" t="str">
        <f>IF(Table2[[#This Row],[Description]]="","",DATE(Table2[[#This Row],[Year]],Table2[[#This Row],[Month]],1))</f>
        <v/>
      </c>
    </row>
    <row r="832" spans="7:11" x14ac:dyDescent="0.25">
      <c r="G832" s="1" t="str">
        <f>IF(Table2[[#This Row],[Description]]="","",VLOOKUP(Table2[[#This Row],[Description]],$Q$1:$S$101,2,FALSE))</f>
        <v/>
      </c>
      <c r="H832" s="1" t="str">
        <f>IF(Table2[[#This Row],[Description]]="","",VLOOKUP(Table2[[#This Row],[Description]],$Q$1:$S$101,3,FALSE))</f>
        <v/>
      </c>
      <c r="I832" s="1" t="str">
        <f>IF(Table2[[#This Row],[Description]]="","",IF(Table2[[#This Row],[Currency]]=$O$2,$P$2,HLOOKUP(Table2[[#This Row],[Date]],Funds!$C$10:$GV$11,2,FALSE)))</f>
        <v/>
      </c>
      <c r="J832" s="215" t="str">
        <f>IF(Table2[[#This Row],[Description]]="","",Table2[[#This Row],[Value]]/Table2[[#This Row],[Conversion]])</f>
        <v/>
      </c>
      <c r="K832" s="45" t="str">
        <f>IF(Table2[[#This Row],[Description]]="","",DATE(Table2[[#This Row],[Year]],Table2[[#This Row],[Month]],1))</f>
        <v/>
      </c>
    </row>
    <row r="833" spans="7:11" x14ac:dyDescent="0.25">
      <c r="G833" s="1" t="str">
        <f>IF(Table2[[#This Row],[Description]]="","",VLOOKUP(Table2[[#This Row],[Description]],$Q$1:$S$101,2,FALSE))</f>
        <v/>
      </c>
      <c r="H833" s="1" t="str">
        <f>IF(Table2[[#This Row],[Description]]="","",VLOOKUP(Table2[[#This Row],[Description]],$Q$1:$S$101,3,FALSE))</f>
        <v/>
      </c>
      <c r="I833" s="1" t="str">
        <f>IF(Table2[[#This Row],[Description]]="","",IF(Table2[[#This Row],[Currency]]=$O$2,$P$2,HLOOKUP(Table2[[#This Row],[Date]],Funds!$C$10:$GV$11,2,FALSE)))</f>
        <v/>
      </c>
      <c r="J833" s="215" t="str">
        <f>IF(Table2[[#This Row],[Description]]="","",Table2[[#This Row],[Value]]/Table2[[#This Row],[Conversion]])</f>
        <v/>
      </c>
      <c r="K833" s="45" t="str">
        <f>IF(Table2[[#This Row],[Description]]="","",DATE(Table2[[#This Row],[Year]],Table2[[#This Row],[Month]],1))</f>
        <v/>
      </c>
    </row>
    <row r="834" spans="7:11" x14ac:dyDescent="0.25">
      <c r="G834" s="1" t="str">
        <f>IF(Table2[[#This Row],[Description]]="","",VLOOKUP(Table2[[#This Row],[Description]],$Q$1:$S$101,2,FALSE))</f>
        <v/>
      </c>
      <c r="H834" s="1" t="str">
        <f>IF(Table2[[#This Row],[Description]]="","",VLOOKUP(Table2[[#This Row],[Description]],$Q$1:$S$101,3,FALSE))</f>
        <v/>
      </c>
      <c r="I834" s="1" t="str">
        <f>IF(Table2[[#This Row],[Description]]="","",IF(Table2[[#This Row],[Currency]]=$O$2,$P$2,HLOOKUP(Table2[[#This Row],[Date]],Funds!$C$10:$GV$11,2,FALSE)))</f>
        <v/>
      </c>
      <c r="J834" s="215" t="str">
        <f>IF(Table2[[#This Row],[Description]]="","",Table2[[#This Row],[Value]]/Table2[[#This Row],[Conversion]])</f>
        <v/>
      </c>
      <c r="K834" s="45" t="str">
        <f>IF(Table2[[#This Row],[Description]]="","",DATE(Table2[[#This Row],[Year]],Table2[[#This Row],[Month]],1))</f>
        <v/>
      </c>
    </row>
    <row r="835" spans="7:11" x14ac:dyDescent="0.25">
      <c r="G835" s="1" t="str">
        <f>IF(Table2[[#This Row],[Description]]="","",VLOOKUP(Table2[[#This Row],[Description]],$Q$1:$S$101,2,FALSE))</f>
        <v/>
      </c>
      <c r="H835" s="1" t="str">
        <f>IF(Table2[[#This Row],[Description]]="","",VLOOKUP(Table2[[#This Row],[Description]],$Q$1:$S$101,3,FALSE))</f>
        <v/>
      </c>
      <c r="I835" s="1" t="str">
        <f>IF(Table2[[#This Row],[Description]]="","",IF(Table2[[#This Row],[Currency]]=$O$2,$P$2,HLOOKUP(Table2[[#This Row],[Date]],Funds!$C$10:$GV$11,2,FALSE)))</f>
        <v/>
      </c>
      <c r="J835" s="215" t="str">
        <f>IF(Table2[[#This Row],[Description]]="","",Table2[[#This Row],[Value]]/Table2[[#This Row],[Conversion]])</f>
        <v/>
      </c>
      <c r="K835" s="45" t="str">
        <f>IF(Table2[[#This Row],[Description]]="","",DATE(Table2[[#This Row],[Year]],Table2[[#This Row],[Month]],1))</f>
        <v/>
      </c>
    </row>
    <row r="836" spans="7:11" x14ac:dyDescent="0.25">
      <c r="G836" s="1" t="str">
        <f>IF(Table2[[#This Row],[Description]]="","",VLOOKUP(Table2[[#This Row],[Description]],$Q$1:$S$101,2,FALSE))</f>
        <v/>
      </c>
      <c r="H836" s="1" t="str">
        <f>IF(Table2[[#This Row],[Description]]="","",VLOOKUP(Table2[[#This Row],[Description]],$Q$1:$S$101,3,FALSE))</f>
        <v/>
      </c>
      <c r="I836" s="1" t="str">
        <f>IF(Table2[[#This Row],[Description]]="","",IF(Table2[[#This Row],[Currency]]=$O$2,$P$2,HLOOKUP(Table2[[#This Row],[Date]],Funds!$C$10:$GV$11,2,FALSE)))</f>
        <v/>
      </c>
      <c r="J836" s="215" t="str">
        <f>IF(Table2[[#This Row],[Description]]="","",Table2[[#This Row],[Value]]/Table2[[#This Row],[Conversion]])</f>
        <v/>
      </c>
      <c r="K836" s="45" t="str">
        <f>IF(Table2[[#This Row],[Description]]="","",DATE(Table2[[#This Row],[Year]],Table2[[#This Row],[Month]],1))</f>
        <v/>
      </c>
    </row>
    <row r="837" spans="7:11" x14ac:dyDescent="0.25">
      <c r="G837" s="1" t="str">
        <f>IF(Table2[[#This Row],[Description]]="","",VLOOKUP(Table2[[#This Row],[Description]],$Q$1:$S$101,2,FALSE))</f>
        <v/>
      </c>
      <c r="H837" s="1" t="str">
        <f>IF(Table2[[#This Row],[Description]]="","",VLOOKUP(Table2[[#This Row],[Description]],$Q$1:$S$101,3,FALSE))</f>
        <v/>
      </c>
      <c r="I837" s="1" t="str">
        <f>IF(Table2[[#This Row],[Description]]="","",IF(Table2[[#This Row],[Currency]]=$O$2,$P$2,HLOOKUP(Table2[[#This Row],[Date]],Funds!$C$10:$GV$11,2,FALSE)))</f>
        <v/>
      </c>
      <c r="J837" s="215" t="str">
        <f>IF(Table2[[#This Row],[Description]]="","",Table2[[#This Row],[Value]]/Table2[[#This Row],[Conversion]])</f>
        <v/>
      </c>
      <c r="K837" s="45" t="str">
        <f>IF(Table2[[#This Row],[Description]]="","",DATE(Table2[[#This Row],[Year]],Table2[[#This Row],[Month]],1))</f>
        <v/>
      </c>
    </row>
    <row r="838" spans="7:11" x14ac:dyDescent="0.25">
      <c r="G838" s="1" t="str">
        <f>IF(Table2[[#This Row],[Description]]="","",VLOOKUP(Table2[[#This Row],[Description]],$Q$1:$S$101,2,FALSE))</f>
        <v/>
      </c>
      <c r="H838" s="1" t="str">
        <f>IF(Table2[[#This Row],[Description]]="","",VLOOKUP(Table2[[#This Row],[Description]],$Q$1:$S$101,3,FALSE))</f>
        <v/>
      </c>
      <c r="I838" s="1" t="str">
        <f>IF(Table2[[#This Row],[Description]]="","",IF(Table2[[#This Row],[Currency]]=$O$2,$P$2,HLOOKUP(Table2[[#This Row],[Date]],Funds!$C$10:$GV$11,2,FALSE)))</f>
        <v/>
      </c>
      <c r="J838" s="215" t="str">
        <f>IF(Table2[[#This Row],[Description]]="","",Table2[[#This Row],[Value]]/Table2[[#This Row],[Conversion]])</f>
        <v/>
      </c>
      <c r="K838" s="45" t="str">
        <f>IF(Table2[[#This Row],[Description]]="","",DATE(Table2[[#This Row],[Year]],Table2[[#This Row],[Month]],1))</f>
        <v/>
      </c>
    </row>
    <row r="839" spans="7:11" x14ac:dyDescent="0.25">
      <c r="G839" s="1" t="str">
        <f>IF(Table2[[#This Row],[Description]]="","",VLOOKUP(Table2[[#This Row],[Description]],$Q$1:$S$101,2,FALSE))</f>
        <v/>
      </c>
      <c r="H839" s="1" t="str">
        <f>IF(Table2[[#This Row],[Description]]="","",VLOOKUP(Table2[[#This Row],[Description]],$Q$1:$S$101,3,FALSE))</f>
        <v/>
      </c>
      <c r="I839" s="1" t="str">
        <f>IF(Table2[[#This Row],[Description]]="","",IF(Table2[[#This Row],[Currency]]=$O$2,$P$2,HLOOKUP(Table2[[#This Row],[Date]],Funds!$C$10:$GV$11,2,FALSE)))</f>
        <v/>
      </c>
      <c r="J839" s="215" t="str">
        <f>IF(Table2[[#This Row],[Description]]="","",Table2[[#This Row],[Value]]/Table2[[#This Row],[Conversion]])</f>
        <v/>
      </c>
      <c r="K839" s="45" t="str">
        <f>IF(Table2[[#This Row],[Description]]="","",DATE(Table2[[#This Row],[Year]],Table2[[#This Row],[Month]],1))</f>
        <v/>
      </c>
    </row>
    <row r="840" spans="7:11" x14ac:dyDescent="0.25">
      <c r="G840" s="1" t="str">
        <f>IF(Table2[[#This Row],[Description]]="","",VLOOKUP(Table2[[#This Row],[Description]],$Q$1:$S$101,2,FALSE))</f>
        <v/>
      </c>
      <c r="H840" s="1" t="str">
        <f>IF(Table2[[#This Row],[Description]]="","",VLOOKUP(Table2[[#This Row],[Description]],$Q$1:$S$101,3,FALSE))</f>
        <v/>
      </c>
      <c r="I840" s="1" t="str">
        <f>IF(Table2[[#This Row],[Description]]="","",IF(Table2[[#This Row],[Currency]]=$O$2,$P$2,HLOOKUP(Table2[[#This Row],[Date]],Funds!$C$10:$GV$11,2,FALSE)))</f>
        <v/>
      </c>
      <c r="J840" s="215" t="str">
        <f>IF(Table2[[#This Row],[Description]]="","",Table2[[#This Row],[Value]]/Table2[[#This Row],[Conversion]])</f>
        <v/>
      </c>
      <c r="K840" s="45" t="str">
        <f>IF(Table2[[#This Row],[Description]]="","",DATE(Table2[[#This Row],[Year]],Table2[[#This Row],[Month]],1))</f>
        <v/>
      </c>
    </row>
    <row r="841" spans="7:11" x14ac:dyDescent="0.25">
      <c r="G841" s="1" t="str">
        <f>IF(Table2[[#This Row],[Description]]="","",VLOOKUP(Table2[[#This Row],[Description]],$Q$1:$S$101,2,FALSE))</f>
        <v/>
      </c>
      <c r="H841" s="1" t="str">
        <f>IF(Table2[[#This Row],[Description]]="","",VLOOKUP(Table2[[#This Row],[Description]],$Q$1:$S$101,3,FALSE))</f>
        <v/>
      </c>
      <c r="I841" s="1" t="str">
        <f>IF(Table2[[#This Row],[Description]]="","",IF(Table2[[#This Row],[Currency]]=$O$2,$P$2,HLOOKUP(Table2[[#This Row],[Date]],Funds!$C$10:$GV$11,2,FALSE)))</f>
        <v/>
      </c>
      <c r="J841" s="215" t="str">
        <f>IF(Table2[[#This Row],[Description]]="","",Table2[[#This Row],[Value]]/Table2[[#This Row],[Conversion]])</f>
        <v/>
      </c>
      <c r="K841" s="45" t="str">
        <f>IF(Table2[[#This Row],[Description]]="","",DATE(Table2[[#This Row],[Year]],Table2[[#This Row],[Month]],1))</f>
        <v/>
      </c>
    </row>
    <row r="842" spans="7:11" x14ac:dyDescent="0.25">
      <c r="G842" s="1" t="str">
        <f>IF(Table2[[#This Row],[Description]]="","",VLOOKUP(Table2[[#This Row],[Description]],$Q$1:$S$101,2,FALSE))</f>
        <v/>
      </c>
      <c r="H842" s="1" t="str">
        <f>IF(Table2[[#This Row],[Description]]="","",VLOOKUP(Table2[[#This Row],[Description]],$Q$1:$S$101,3,FALSE))</f>
        <v/>
      </c>
      <c r="I842" s="1" t="str">
        <f>IF(Table2[[#This Row],[Description]]="","",IF(Table2[[#This Row],[Currency]]=$O$2,$P$2,HLOOKUP(Table2[[#This Row],[Date]],Funds!$C$10:$GV$11,2,FALSE)))</f>
        <v/>
      </c>
      <c r="J842" s="215" t="str">
        <f>IF(Table2[[#This Row],[Description]]="","",Table2[[#This Row],[Value]]/Table2[[#This Row],[Conversion]])</f>
        <v/>
      </c>
      <c r="K842" s="45" t="str">
        <f>IF(Table2[[#This Row],[Description]]="","",DATE(Table2[[#This Row],[Year]],Table2[[#This Row],[Month]],1))</f>
        <v/>
      </c>
    </row>
    <row r="843" spans="7:11" x14ac:dyDescent="0.25">
      <c r="G843" s="1" t="str">
        <f>IF(Table2[[#This Row],[Description]]="","",VLOOKUP(Table2[[#This Row],[Description]],$Q$1:$S$101,2,FALSE))</f>
        <v/>
      </c>
      <c r="H843" s="1" t="str">
        <f>IF(Table2[[#This Row],[Description]]="","",VLOOKUP(Table2[[#This Row],[Description]],$Q$1:$S$101,3,FALSE))</f>
        <v/>
      </c>
      <c r="I843" s="1" t="str">
        <f>IF(Table2[[#This Row],[Description]]="","",IF(Table2[[#This Row],[Currency]]=$O$2,$P$2,HLOOKUP(Table2[[#This Row],[Date]],Funds!$C$10:$GV$11,2,FALSE)))</f>
        <v/>
      </c>
      <c r="J843" s="215" t="str">
        <f>IF(Table2[[#This Row],[Description]]="","",Table2[[#This Row],[Value]]/Table2[[#This Row],[Conversion]])</f>
        <v/>
      </c>
      <c r="K843" s="45" t="str">
        <f>IF(Table2[[#This Row],[Description]]="","",DATE(Table2[[#This Row],[Year]],Table2[[#This Row],[Month]],1))</f>
        <v/>
      </c>
    </row>
    <row r="844" spans="7:11" x14ac:dyDescent="0.25">
      <c r="G844" s="1" t="str">
        <f>IF(Table2[[#This Row],[Description]]="","",VLOOKUP(Table2[[#This Row],[Description]],$Q$1:$S$101,2,FALSE))</f>
        <v/>
      </c>
      <c r="H844" s="1" t="str">
        <f>IF(Table2[[#This Row],[Description]]="","",VLOOKUP(Table2[[#This Row],[Description]],$Q$1:$S$101,3,FALSE))</f>
        <v/>
      </c>
      <c r="I844" s="1" t="str">
        <f>IF(Table2[[#This Row],[Description]]="","",IF(Table2[[#This Row],[Currency]]=$O$2,$P$2,HLOOKUP(Table2[[#This Row],[Date]],Funds!$C$10:$GV$11,2,FALSE)))</f>
        <v/>
      </c>
      <c r="J844" s="215" t="str">
        <f>IF(Table2[[#This Row],[Description]]="","",Table2[[#This Row],[Value]]/Table2[[#This Row],[Conversion]])</f>
        <v/>
      </c>
      <c r="K844" s="45" t="str">
        <f>IF(Table2[[#This Row],[Description]]="","",DATE(Table2[[#This Row],[Year]],Table2[[#This Row],[Month]],1))</f>
        <v/>
      </c>
    </row>
    <row r="845" spans="7:11" x14ac:dyDescent="0.25">
      <c r="G845" s="1" t="str">
        <f>IF(Table2[[#This Row],[Description]]="","",VLOOKUP(Table2[[#This Row],[Description]],$Q$1:$S$101,2,FALSE))</f>
        <v/>
      </c>
      <c r="H845" s="1" t="str">
        <f>IF(Table2[[#This Row],[Description]]="","",VLOOKUP(Table2[[#This Row],[Description]],$Q$1:$S$101,3,FALSE))</f>
        <v/>
      </c>
      <c r="I845" s="1" t="str">
        <f>IF(Table2[[#This Row],[Description]]="","",IF(Table2[[#This Row],[Currency]]=$O$2,$P$2,HLOOKUP(Table2[[#This Row],[Date]],Funds!$C$10:$GV$11,2,FALSE)))</f>
        <v/>
      </c>
      <c r="J845" s="215" t="str">
        <f>IF(Table2[[#This Row],[Description]]="","",Table2[[#This Row],[Value]]/Table2[[#This Row],[Conversion]])</f>
        <v/>
      </c>
      <c r="K845" s="45" t="str">
        <f>IF(Table2[[#This Row],[Description]]="","",DATE(Table2[[#This Row],[Year]],Table2[[#This Row],[Month]],1))</f>
        <v/>
      </c>
    </row>
    <row r="846" spans="7:11" x14ac:dyDescent="0.25">
      <c r="G846" s="1" t="str">
        <f>IF(Table2[[#This Row],[Description]]="","",VLOOKUP(Table2[[#This Row],[Description]],$Q$1:$S$101,2,FALSE))</f>
        <v/>
      </c>
      <c r="H846" s="1" t="str">
        <f>IF(Table2[[#This Row],[Description]]="","",VLOOKUP(Table2[[#This Row],[Description]],$Q$1:$S$101,3,FALSE))</f>
        <v/>
      </c>
      <c r="I846" s="1" t="str">
        <f>IF(Table2[[#This Row],[Description]]="","",IF(Table2[[#This Row],[Currency]]=$O$2,$P$2,HLOOKUP(Table2[[#This Row],[Date]],Funds!$C$10:$GV$11,2,FALSE)))</f>
        <v/>
      </c>
      <c r="J846" s="215" t="str">
        <f>IF(Table2[[#This Row],[Description]]="","",Table2[[#This Row],[Value]]/Table2[[#This Row],[Conversion]])</f>
        <v/>
      </c>
      <c r="K846" s="45" t="str">
        <f>IF(Table2[[#This Row],[Description]]="","",DATE(Table2[[#This Row],[Year]],Table2[[#This Row],[Month]],1))</f>
        <v/>
      </c>
    </row>
    <row r="847" spans="7:11" x14ac:dyDescent="0.25">
      <c r="G847" s="1" t="str">
        <f>IF(Table2[[#This Row],[Description]]="","",VLOOKUP(Table2[[#This Row],[Description]],$Q$1:$S$101,2,FALSE))</f>
        <v/>
      </c>
      <c r="H847" s="1" t="str">
        <f>IF(Table2[[#This Row],[Description]]="","",VLOOKUP(Table2[[#This Row],[Description]],$Q$1:$S$101,3,FALSE))</f>
        <v/>
      </c>
      <c r="I847" s="1" t="str">
        <f>IF(Table2[[#This Row],[Description]]="","",IF(Table2[[#This Row],[Currency]]=$O$2,$P$2,HLOOKUP(Table2[[#This Row],[Date]],Funds!$C$10:$GV$11,2,FALSE)))</f>
        <v/>
      </c>
      <c r="J847" s="215" t="str">
        <f>IF(Table2[[#This Row],[Description]]="","",Table2[[#This Row],[Value]]/Table2[[#This Row],[Conversion]])</f>
        <v/>
      </c>
      <c r="K847" s="45" t="str">
        <f>IF(Table2[[#This Row],[Description]]="","",DATE(Table2[[#This Row],[Year]],Table2[[#This Row],[Month]],1))</f>
        <v/>
      </c>
    </row>
    <row r="848" spans="7:11" x14ac:dyDescent="0.25">
      <c r="G848" s="1" t="str">
        <f>IF(Table2[[#This Row],[Description]]="","",VLOOKUP(Table2[[#This Row],[Description]],$Q$1:$S$101,2,FALSE))</f>
        <v/>
      </c>
      <c r="H848" s="1" t="str">
        <f>IF(Table2[[#This Row],[Description]]="","",VLOOKUP(Table2[[#This Row],[Description]],$Q$1:$S$101,3,FALSE))</f>
        <v/>
      </c>
      <c r="I848" s="1" t="str">
        <f>IF(Table2[[#This Row],[Description]]="","",IF(Table2[[#This Row],[Currency]]=$O$2,$P$2,HLOOKUP(Table2[[#This Row],[Date]],Funds!$C$10:$GV$11,2,FALSE)))</f>
        <v/>
      </c>
      <c r="J848" s="215" t="str">
        <f>IF(Table2[[#This Row],[Description]]="","",Table2[[#This Row],[Value]]/Table2[[#This Row],[Conversion]])</f>
        <v/>
      </c>
      <c r="K848" s="45" t="str">
        <f>IF(Table2[[#This Row],[Description]]="","",DATE(Table2[[#This Row],[Year]],Table2[[#This Row],[Month]],1))</f>
        <v/>
      </c>
    </row>
    <row r="849" spans="7:11" x14ac:dyDescent="0.25">
      <c r="G849" s="1" t="str">
        <f>IF(Table2[[#This Row],[Description]]="","",VLOOKUP(Table2[[#This Row],[Description]],$Q$1:$S$101,2,FALSE))</f>
        <v/>
      </c>
      <c r="H849" s="1" t="str">
        <f>IF(Table2[[#This Row],[Description]]="","",VLOOKUP(Table2[[#This Row],[Description]],$Q$1:$S$101,3,FALSE))</f>
        <v/>
      </c>
      <c r="I849" s="1" t="str">
        <f>IF(Table2[[#This Row],[Description]]="","",IF(Table2[[#This Row],[Currency]]=$O$2,$P$2,HLOOKUP(Table2[[#This Row],[Date]],Funds!$C$10:$GV$11,2,FALSE)))</f>
        <v/>
      </c>
      <c r="J849" s="215" t="str">
        <f>IF(Table2[[#This Row],[Description]]="","",Table2[[#This Row],[Value]]/Table2[[#This Row],[Conversion]])</f>
        <v/>
      </c>
      <c r="K849" s="45" t="str">
        <f>IF(Table2[[#This Row],[Description]]="","",DATE(Table2[[#This Row],[Year]],Table2[[#This Row],[Month]],1))</f>
        <v/>
      </c>
    </row>
    <row r="850" spans="7:11" x14ac:dyDescent="0.25">
      <c r="G850" s="1" t="str">
        <f>IF(Table2[[#This Row],[Description]]="","",VLOOKUP(Table2[[#This Row],[Description]],$Q$1:$S$101,2,FALSE))</f>
        <v/>
      </c>
      <c r="H850" s="1" t="str">
        <f>IF(Table2[[#This Row],[Description]]="","",VLOOKUP(Table2[[#This Row],[Description]],$Q$1:$S$101,3,FALSE))</f>
        <v/>
      </c>
      <c r="I850" s="1" t="str">
        <f>IF(Table2[[#This Row],[Description]]="","",IF(Table2[[#This Row],[Currency]]=$O$2,$P$2,HLOOKUP(Table2[[#This Row],[Date]],Funds!$C$10:$GV$11,2,FALSE)))</f>
        <v/>
      </c>
      <c r="J850" s="215" t="str">
        <f>IF(Table2[[#This Row],[Description]]="","",Table2[[#This Row],[Value]]/Table2[[#This Row],[Conversion]])</f>
        <v/>
      </c>
      <c r="K850" s="45" t="str">
        <f>IF(Table2[[#This Row],[Description]]="","",DATE(Table2[[#This Row],[Year]],Table2[[#This Row],[Month]],1))</f>
        <v/>
      </c>
    </row>
    <row r="851" spans="7:11" x14ac:dyDescent="0.25">
      <c r="G851" s="1" t="str">
        <f>IF(Table2[[#This Row],[Description]]="","",VLOOKUP(Table2[[#This Row],[Description]],$Q$1:$S$101,2,FALSE))</f>
        <v/>
      </c>
      <c r="H851" s="1" t="str">
        <f>IF(Table2[[#This Row],[Description]]="","",VLOOKUP(Table2[[#This Row],[Description]],$Q$1:$S$101,3,FALSE))</f>
        <v/>
      </c>
      <c r="I851" s="1" t="str">
        <f>IF(Table2[[#This Row],[Description]]="","",IF(Table2[[#This Row],[Currency]]=$O$2,$P$2,HLOOKUP(Table2[[#This Row],[Date]],Funds!$C$10:$GV$11,2,FALSE)))</f>
        <v/>
      </c>
      <c r="J851" s="215" t="str">
        <f>IF(Table2[[#This Row],[Description]]="","",Table2[[#This Row],[Value]]/Table2[[#This Row],[Conversion]])</f>
        <v/>
      </c>
      <c r="K851" s="45" t="str">
        <f>IF(Table2[[#This Row],[Description]]="","",DATE(Table2[[#This Row],[Year]],Table2[[#This Row],[Month]],1))</f>
        <v/>
      </c>
    </row>
    <row r="852" spans="7:11" x14ac:dyDescent="0.25">
      <c r="G852" s="1" t="str">
        <f>IF(Table2[[#This Row],[Description]]="","",VLOOKUP(Table2[[#This Row],[Description]],$Q$1:$S$101,2,FALSE))</f>
        <v/>
      </c>
      <c r="H852" s="1" t="str">
        <f>IF(Table2[[#This Row],[Description]]="","",VLOOKUP(Table2[[#This Row],[Description]],$Q$1:$S$101,3,FALSE))</f>
        <v/>
      </c>
      <c r="I852" s="1" t="str">
        <f>IF(Table2[[#This Row],[Description]]="","",IF(Table2[[#This Row],[Currency]]=$O$2,$P$2,HLOOKUP(Table2[[#This Row],[Date]],Funds!$C$10:$GV$11,2,FALSE)))</f>
        <v/>
      </c>
      <c r="J852" s="215" t="str">
        <f>IF(Table2[[#This Row],[Description]]="","",Table2[[#This Row],[Value]]/Table2[[#This Row],[Conversion]])</f>
        <v/>
      </c>
      <c r="K852" s="45" t="str">
        <f>IF(Table2[[#This Row],[Description]]="","",DATE(Table2[[#This Row],[Year]],Table2[[#This Row],[Month]],1))</f>
        <v/>
      </c>
    </row>
    <row r="853" spans="7:11" x14ac:dyDescent="0.25">
      <c r="G853" s="1" t="str">
        <f>IF(Table2[[#This Row],[Description]]="","",VLOOKUP(Table2[[#This Row],[Description]],$Q$1:$S$101,2,FALSE))</f>
        <v/>
      </c>
      <c r="H853" s="1" t="str">
        <f>IF(Table2[[#This Row],[Description]]="","",VLOOKUP(Table2[[#This Row],[Description]],$Q$1:$S$101,3,FALSE))</f>
        <v/>
      </c>
      <c r="I853" s="1" t="str">
        <f>IF(Table2[[#This Row],[Description]]="","",IF(Table2[[#This Row],[Currency]]=$O$2,$P$2,HLOOKUP(Table2[[#This Row],[Date]],Funds!$C$10:$GV$11,2,FALSE)))</f>
        <v/>
      </c>
      <c r="J853" s="215" t="str">
        <f>IF(Table2[[#This Row],[Description]]="","",Table2[[#This Row],[Value]]/Table2[[#This Row],[Conversion]])</f>
        <v/>
      </c>
      <c r="K853" s="45" t="str">
        <f>IF(Table2[[#This Row],[Description]]="","",DATE(Table2[[#This Row],[Year]],Table2[[#This Row],[Month]],1))</f>
        <v/>
      </c>
    </row>
    <row r="854" spans="7:11" x14ac:dyDescent="0.25">
      <c r="G854" s="1" t="str">
        <f>IF(Table2[[#This Row],[Description]]="","",VLOOKUP(Table2[[#This Row],[Description]],$Q$1:$S$101,2,FALSE))</f>
        <v/>
      </c>
      <c r="H854" s="1" t="str">
        <f>IF(Table2[[#This Row],[Description]]="","",VLOOKUP(Table2[[#This Row],[Description]],$Q$1:$S$101,3,FALSE))</f>
        <v/>
      </c>
      <c r="I854" s="1" t="str">
        <f>IF(Table2[[#This Row],[Description]]="","",IF(Table2[[#This Row],[Currency]]=$O$2,$P$2,HLOOKUP(Table2[[#This Row],[Date]],Funds!$C$10:$GV$11,2,FALSE)))</f>
        <v/>
      </c>
      <c r="J854" s="215" t="str">
        <f>IF(Table2[[#This Row],[Description]]="","",Table2[[#This Row],[Value]]/Table2[[#This Row],[Conversion]])</f>
        <v/>
      </c>
      <c r="K854" s="45" t="str">
        <f>IF(Table2[[#This Row],[Description]]="","",DATE(Table2[[#This Row],[Year]],Table2[[#This Row],[Month]],1))</f>
        <v/>
      </c>
    </row>
    <row r="855" spans="7:11" x14ac:dyDescent="0.25">
      <c r="G855" s="1" t="str">
        <f>IF(Table2[[#This Row],[Description]]="","",VLOOKUP(Table2[[#This Row],[Description]],$Q$1:$S$101,2,FALSE))</f>
        <v/>
      </c>
      <c r="H855" s="1" t="str">
        <f>IF(Table2[[#This Row],[Description]]="","",VLOOKUP(Table2[[#This Row],[Description]],$Q$1:$S$101,3,FALSE))</f>
        <v/>
      </c>
      <c r="I855" s="1" t="str">
        <f>IF(Table2[[#This Row],[Description]]="","",IF(Table2[[#This Row],[Currency]]=$O$2,$P$2,HLOOKUP(Table2[[#This Row],[Date]],Funds!$C$10:$GV$11,2,FALSE)))</f>
        <v/>
      </c>
      <c r="J855" s="215" t="str">
        <f>IF(Table2[[#This Row],[Description]]="","",Table2[[#This Row],[Value]]/Table2[[#This Row],[Conversion]])</f>
        <v/>
      </c>
      <c r="K855" s="45" t="str">
        <f>IF(Table2[[#This Row],[Description]]="","",DATE(Table2[[#This Row],[Year]],Table2[[#This Row],[Month]],1))</f>
        <v/>
      </c>
    </row>
    <row r="856" spans="7:11" x14ac:dyDescent="0.25">
      <c r="G856" s="1" t="str">
        <f>IF(Table2[[#This Row],[Description]]="","",VLOOKUP(Table2[[#This Row],[Description]],$Q$1:$S$101,2,FALSE))</f>
        <v/>
      </c>
      <c r="H856" s="1" t="str">
        <f>IF(Table2[[#This Row],[Description]]="","",VLOOKUP(Table2[[#This Row],[Description]],$Q$1:$S$101,3,FALSE))</f>
        <v/>
      </c>
      <c r="I856" s="1" t="str">
        <f>IF(Table2[[#This Row],[Description]]="","",IF(Table2[[#This Row],[Currency]]=$O$2,$P$2,HLOOKUP(Table2[[#This Row],[Date]],Funds!$C$10:$GV$11,2,FALSE)))</f>
        <v/>
      </c>
      <c r="J856" s="215" t="str">
        <f>IF(Table2[[#This Row],[Description]]="","",Table2[[#This Row],[Value]]/Table2[[#This Row],[Conversion]])</f>
        <v/>
      </c>
      <c r="K856" s="45" t="str">
        <f>IF(Table2[[#This Row],[Description]]="","",DATE(Table2[[#This Row],[Year]],Table2[[#This Row],[Month]],1))</f>
        <v/>
      </c>
    </row>
    <row r="857" spans="7:11" x14ac:dyDescent="0.25">
      <c r="G857" s="1" t="str">
        <f>IF(Table2[[#This Row],[Description]]="","",VLOOKUP(Table2[[#This Row],[Description]],$Q$1:$S$101,2,FALSE))</f>
        <v/>
      </c>
      <c r="H857" s="1" t="str">
        <f>IF(Table2[[#This Row],[Description]]="","",VLOOKUP(Table2[[#This Row],[Description]],$Q$1:$S$101,3,FALSE))</f>
        <v/>
      </c>
      <c r="I857" s="1" t="str">
        <f>IF(Table2[[#This Row],[Description]]="","",IF(Table2[[#This Row],[Currency]]=$O$2,$P$2,HLOOKUP(Table2[[#This Row],[Date]],Funds!$C$10:$GV$11,2,FALSE)))</f>
        <v/>
      </c>
      <c r="J857" s="215" t="str">
        <f>IF(Table2[[#This Row],[Description]]="","",Table2[[#This Row],[Value]]/Table2[[#This Row],[Conversion]])</f>
        <v/>
      </c>
      <c r="K857" s="45" t="str">
        <f>IF(Table2[[#This Row],[Description]]="","",DATE(Table2[[#This Row],[Year]],Table2[[#This Row],[Month]],1))</f>
        <v/>
      </c>
    </row>
    <row r="858" spans="7:11" x14ac:dyDescent="0.25">
      <c r="G858" s="1" t="str">
        <f>IF(Table2[[#This Row],[Description]]="","",VLOOKUP(Table2[[#This Row],[Description]],$Q$1:$S$101,2,FALSE))</f>
        <v/>
      </c>
      <c r="H858" s="1" t="str">
        <f>IF(Table2[[#This Row],[Description]]="","",VLOOKUP(Table2[[#This Row],[Description]],$Q$1:$S$101,3,FALSE))</f>
        <v/>
      </c>
      <c r="I858" s="1" t="str">
        <f>IF(Table2[[#This Row],[Description]]="","",IF(Table2[[#This Row],[Currency]]=$O$2,$P$2,HLOOKUP(Table2[[#This Row],[Date]],Funds!$C$10:$GV$11,2,FALSE)))</f>
        <v/>
      </c>
      <c r="J858" s="215" t="str">
        <f>IF(Table2[[#This Row],[Description]]="","",Table2[[#This Row],[Value]]/Table2[[#This Row],[Conversion]])</f>
        <v/>
      </c>
      <c r="K858" s="45" t="str">
        <f>IF(Table2[[#This Row],[Description]]="","",DATE(Table2[[#This Row],[Year]],Table2[[#This Row],[Month]],1))</f>
        <v/>
      </c>
    </row>
    <row r="859" spans="7:11" x14ac:dyDescent="0.25">
      <c r="G859" s="1" t="str">
        <f>IF(Table2[[#This Row],[Description]]="","",VLOOKUP(Table2[[#This Row],[Description]],$Q$1:$S$101,2,FALSE))</f>
        <v/>
      </c>
      <c r="H859" s="1" t="str">
        <f>IF(Table2[[#This Row],[Description]]="","",VLOOKUP(Table2[[#This Row],[Description]],$Q$1:$S$101,3,FALSE))</f>
        <v/>
      </c>
      <c r="I859" s="1" t="str">
        <f>IF(Table2[[#This Row],[Description]]="","",IF(Table2[[#This Row],[Currency]]=$O$2,$P$2,HLOOKUP(Table2[[#This Row],[Date]],Funds!$C$10:$GV$11,2,FALSE)))</f>
        <v/>
      </c>
      <c r="J859" s="215" t="str">
        <f>IF(Table2[[#This Row],[Description]]="","",Table2[[#This Row],[Value]]/Table2[[#This Row],[Conversion]])</f>
        <v/>
      </c>
      <c r="K859" s="45" t="str">
        <f>IF(Table2[[#This Row],[Description]]="","",DATE(Table2[[#This Row],[Year]],Table2[[#This Row],[Month]],1))</f>
        <v/>
      </c>
    </row>
    <row r="860" spans="7:11" x14ac:dyDescent="0.25">
      <c r="G860" s="1" t="str">
        <f>IF(Table2[[#This Row],[Description]]="","",VLOOKUP(Table2[[#This Row],[Description]],$Q$1:$S$101,2,FALSE))</f>
        <v/>
      </c>
      <c r="H860" s="1" t="str">
        <f>IF(Table2[[#This Row],[Description]]="","",VLOOKUP(Table2[[#This Row],[Description]],$Q$1:$S$101,3,FALSE))</f>
        <v/>
      </c>
      <c r="I860" s="1" t="str">
        <f>IF(Table2[[#This Row],[Description]]="","",IF(Table2[[#This Row],[Currency]]=$O$2,$P$2,HLOOKUP(Table2[[#This Row],[Date]],Funds!$C$10:$GV$11,2,FALSE)))</f>
        <v/>
      </c>
      <c r="J860" s="215" t="str">
        <f>IF(Table2[[#This Row],[Description]]="","",Table2[[#This Row],[Value]]/Table2[[#This Row],[Conversion]])</f>
        <v/>
      </c>
      <c r="K860" s="45" t="str">
        <f>IF(Table2[[#This Row],[Description]]="","",DATE(Table2[[#This Row],[Year]],Table2[[#This Row],[Month]],1))</f>
        <v/>
      </c>
    </row>
    <row r="861" spans="7:11" x14ac:dyDescent="0.25">
      <c r="G861" s="1" t="str">
        <f>IF(Table2[[#This Row],[Description]]="","",VLOOKUP(Table2[[#This Row],[Description]],$Q$1:$S$101,2,FALSE))</f>
        <v/>
      </c>
      <c r="H861" s="1" t="str">
        <f>IF(Table2[[#This Row],[Description]]="","",VLOOKUP(Table2[[#This Row],[Description]],$Q$1:$S$101,3,FALSE))</f>
        <v/>
      </c>
      <c r="I861" s="1" t="str">
        <f>IF(Table2[[#This Row],[Description]]="","",IF(Table2[[#This Row],[Currency]]=$O$2,$P$2,HLOOKUP(Table2[[#This Row],[Date]],Funds!$C$10:$GV$11,2,FALSE)))</f>
        <v/>
      </c>
      <c r="J861" s="215" t="str">
        <f>IF(Table2[[#This Row],[Description]]="","",Table2[[#This Row],[Value]]/Table2[[#This Row],[Conversion]])</f>
        <v/>
      </c>
      <c r="K861" s="45" t="str">
        <f>IF(Table2[[#This Row],[Description]]="","",DATE(Table2[[#This Row],[Year]],Table2[[#This Row],[Month]],1))</f>
        <v/>
      </c>
    </row>
    <row r="862" spans="7:11" x14ac:dyDescent="0.25">
      <c r="G862" s="1" t="str">
        <f>IF(Table2[[#This Row],[Description]]="","",VLOOKUP(Table2[[#This Row],[Description]],$Q$1:$S$101,2,FALSE))</f>
        <v/>
      </c>
      <c r="H862" s="1" t="str">
        <f>IF(Table2[[#This Row],[Description]]="","",VLOOKUP(Table2[[#This Row],[Description]],$Q$1:$S$101,3,FALSE))</f>
        <v/>
      </c>
      <c r="I862" s="1" t="str">
        <f>IF(Table2[[#This Row],[Description]]="","",IF(Table2[[#This Row],[Currency]]=$O$2,$P$2,HLOOKUP(Table2[[#This Row],[Date]],Funds!$C$10:$GV$11,2,FALSE)))</f>
        <v/>
      </c>
      <c r="J862" s="215" t="str">
        <f>IF(Table2[[#This Row],[Description]]="","",Table2[[#This Row],[Value]]/Table2[[#This Row],[Conversion]])</f>
        <v/>
      </c>
      <c r="K862" s="45" t="str">
        <f>IF(Table2[[#This Row],[Description]]="","",DATE(Table2[[#This Row],[Year]],Table2[[#This Row],[Month]],1))</f>
        <v/>
      </c>
    </row>
    <row r="863" spans="7:11" x14ac:dyDescent="0.25">
      <c r="G863" s="1" t="str">
        <f>IF(Table2[[#This Row],[Description]]="","",VLOOKUP(Table2[[#This Row],[Description]],$Q$1:$S$101,2,FALSE))</f>
        <v/>
      </c>
      <c r="H863" s="1" t="str">
        <f>IF(Table2[[#This Row],[Description]]="","",VLOOKUP(Table2[[#This Row],[Description]],$Q$1:$S$101,3,FALSE))</f>
        <v/>
      </c>
      <c r="I863" s="1" t="str">
        <f>IF(Table2[[#This Row],[Description]]="","",IF(Table2[[#This Row],[Currency]]=$O$2,$P$2,HLOOKUP(Table2[[#This Row],[Date]],Funds!$C$10:$GV$11,2,FALSE)))</f>
        <v/>
      </c>
      <c r="J863" s="215" t="str">
        <f>IF(Table2[[#This Row],[Description]]="","",Table2[[#This Row],[Value]]/Table2[[#This Row],[Conversion]])</f>
        <v/>
      </c>
      <c r="K863" s="45" t="str">
        <f>IF(Table2[[#This Row],[Description]]="","",DATE(Table2[[#This Row],[Year]],Table2[[#This Row],[Month]],1))</f>
        <v/>
      </c>
    </row>
    <row r="864" spans="7:11" x14ac:dyDescent="0.25">
      <c r="G864" s="1" t="str">
        <f>IF(Table2[[#This Row],[Description]]="","",VLOOKUP(Table2[[#This Row],[Description]],$Q$1:$S$101,2,FALSE))</f>
        <v/>
      </c>
      <c r="H864" s="1" t="str">
        <f>IF(Table2[[#This Row],[Description]]="","",VLOOKUP(Table2[[#This Row],[Description]],$Q$1:$S$101,3,FALSE))</f>
        <v/>
      </c>
      <c r="I864" s="1" t="str">
        <f>IF(Table2[[#This Row],[Description]]="","",IF(Table2[[#This Row],[Currency]]=$O$2,$P$2,HLOOKUP(Table2[[#This Row],[Date]],Funds!$C$10:$GV$11,2,FALSE)))</f>
        <v/>
      </c>
      <c r="J864" s="215" t="str">
        <f>IF(Table2[[#This Row],[Description]]="","",Table2[[#This Row],[Value]]/Table2[[#This Row],[Conversion]])</f>
        <v/>
      </c>
      <c r="K864" s="45" t="str">
        <f>IF(Table2[[#This Row],[Description]]="","",DATE(Table2[[#This Row],[Year]],Table2[[#This Row],[Month]],1))</f>
        <v/>
      </c>
    </row>
    <row r="865" spans="7:11" x14ac:dyDescent="0.25">
      <c r="G865" s="1" t="str">
        <f>IF(Table2[[#This Row],[Description]]="","",VLOOKUP(Table2[[#This Row],[Description]],$Q$1:$S$101,2,FALSE))</f>
        <v/>
      </c>
      <c r="H865" s="1" t="str">
        <f>IF(Table2[[#This Row],[Description]]="","",VLOOKUP(Table2[[#This Row],[Description]],$Q$1:$S$101,3,FALSE))</f>
        <v/>
      </c>
      <c r="I865" s="1" t="str">
        <f>IF(Table2[[#This Row],[Description]]="","",IF(Table2[[#This Row],[Currency]]=$O$2,$P$2,HLOOKUP(Table2[[#This Row],[Date]],Funds!$C$10:$GV$11,2,FALSE)))</f>
        <v/>
      </c>
      <c r="J865" s="215" t="str">
        <f>IF(Table2[[#This Row],[Description]]="","",Table2[[#This Row],[Value]]/Table2[[#This Row],[Conversion]])</f>
        <v/>
      </c>
      <c r="K865" s="45" t="str">
        <f>IF(Table2[[#This Row],[Description]]="","",DATE(Table2[[#This Row],[Year]],Table2[[#This Row],[Month]],1))</f>
        <v/>
      </c>
    </row>
    <row r="866" spans="7:11" x14ac:dyDescent="0.25">
      <c r="G866" s="1" t="str">
        <f>IF(Table2[[#This Row],[Description]]="","",VLOOKUP(Table2[[#This Row],[Description]],$Q$1:$S$101,2,FALSE))</f>
        <v/>
      </c>
      <c r="H866" s="1" t="str">
        <f>IF(Table2[[#This Row],[Description]]="","",VLOOKUP(Table2[[#This Row],[Description]],$Q$1:$S$101,3,FALSE))</f>
        <v/>
      </c>
      <c r="I866" s="1" t="str">
        <f>IF(Table2[[#This Row],[Description]]="","",IF(Table2[[#This Row],[Currency]]=$O$2,$P$2,HLOOKUP(Table2[[#This Row],[Date]],Funds!$C$10:$GV$11,2,FALSE)))</f>
        <v/>
      </c>
      <c r="J866" s="215" t="str">
        <f>IF(Table2[[#This Row],[Description]]="","",Table2[[#This Row],[Value]]/Table2[[#This Row],[Conversion]])</f>
        <v/>
      </c>
      <c r="K866" s="45" t="str">
        <f>IF(Table2[[#This Row],[Description]]="","",DATE(Table2[[#This Row],[Year]],Table2[[#This Row],[Month]],1))</f>
        <v/>
      </c>
    </row>
    <row r="867" spans="7:11" x14ac:dyDescent="0.25">
      <c r="G867" s="1" t="str">
        <f>IF(Table2[[#This Row],[Description]]="","",VLOOKUP(Table2[[#This Row],[Description]],$Q$1:$S$101,2,FALSE))</f>
        <v/>
      </c>
      <c r="H867" s="1" t="str">
        <f>IF(Table2[[#This Row],[Description]]="","",VLOOKUP(Table2[[#This Row],[Description]],$Q$1:$S$101,3,FALSE))</f>
        <v/>
      </c>
      <c r="I867" s="1" t="str">
        <f>IF(Table2[[#This Row],[Description]]="","",IF(Table2[[#This Row],[Currency]]=$O$2,$P$2,HLOOKUP(Table2[[#This Row],[Date]],Funds!$C$10:$GV$11,2,FALSE)))</f>
        <v/>
      </c>
      <c r="J867" s="215" t="str">
        <f>IF(Table2[[#This Row],[Description]]="","",Table2[[#This Row],[Value]]/Table2[[#This Row],[Conversion]])</f>
        <v/>
      </c>
      <c r="K867" s="45" t="str">
        <f>IF(Table2[[#This Row],[Description]]="","",DATE(Table2[[#This Row],[Year]],Table2[[#This Row],[Month]],1))</f>
        <v/>
      </c>
    </row>
    <row r="868" spans="7:11" x14ac:dyDescent="0.25">
      <c r="G868" s="1" t="str">
        <f>IF(Table2[[#This Row],[Description]]="","",VLOOKUP(Table2[[#This Row],[Description]],$Q$1:$S$101,2,FALSE))</f>
        <v/>
      </c>
      <c r="H868" s="1" t="str">
        <f>IF(Table2[[#This Row],[Description]]="","",VLOOKUP(Table2[[#This Row],[Description]],$Q$1:$S$101,3,FALSE))</f>
        <v/>
      </c>
      <c r="I868" s="1" t="str">
        <f>IF(Table2[[#This Row],[Description]]="","",IF(Table2[[#This Row],[Currency]]=$O$2,$P$2,HLOOKUP(Table2[[#This Row],[Date]],Funds!$C$10:$GV$11,2,FALSE)))</f>
        <v/>
      </c>
      <c r="J868" s="215" t="str">
        <f>IF(Table2[[#This Row],[Description]]="","",Table2[[#This Row],[Value]]/Table2[[#This Row],[Conversion]])</f>
        <v/>
      </c>
      <c r="K868" s="45" t="str">
        <f>IF(Table2[[#This Row],[Description]]="","",DATE(Table2[[#This Row],[Year]],Table2[[#This Row],[Month]],1))</f>
        <v/>
      </c>
    </row>
    <row r="869" spans="7:11" x14ac:dyDescent="0.25">
      <c r="G869" s="1" t="str">
        <f>IF(Table2[[#This Row],[Description]]="","",VLOOKUP(Table2[[#This Row],[Description]],$Q$1:$S$101,2,FALSE))</f>
        <v/>
      </c>
      <c r="H869" s="1" t="str">
        <f>IF(Table2[[#This Row],[Description]]="","",VLOOKUP(Table2[[#This Row],[Description]],$Q$1:$S$101,3,FALSE))</f>
        <v/>
      </c>
      <c r="I869" s="1" t="str">
        <f>IF(Table2[[#This Row],[Description]]="","",IF(Table2[[#This Row],[Currency]]=$O$2,$P$2,HLOOKUP(Table2[[#This Row],[Date]],Funds!$C$10:$GV$11,2,FALSE)))</f>
        <v/>
      </c>
      <c r="J869" s="215" t="str">
        <f>IF(Table2[[#This Row],[Description]]="","",Table2[[#This Row],[Value]]/Table2[[#This Row],[Conversion]])</f>
        <v/>
      </c>
      <c r="K869" s="45" t="str">
        <f>IF(Table2[[#This Row],[Description]]="","",DATE(Table2[[#This Row],[Year]],Table2[[#This Row],[Month]],1))</f>
        <v/>
      </c>
    </row>
    <row r="870" spans="7:11" x14ac:dyDescent="0.25">
      <c r="G870" s="1" t="str">
        <f>IF(Table2[[#This Row],[Description]]="","",VLOOKUP(Table2[[#This Row],[Description]],$Q$1:$S$101,2,FALSE))</f>
        <v/>
      </c>
      <c r="H870" s="1" t="str">
        <f>IF(Table2[[#This Row],[Description]]="","",VLOOKUP(Table2[[#This Row],[Description]],$Q$1:$S$101,3,FALSE))</f>
        <v/>
      </c>
      <c r="I870" s="1" t="str">
        <f>IF(Table2[[#This Row],[Description]]="","",IF(Table2[[#This Row],[Currency]]=$O$2,$P$2,HLOOKUP(Table2[[#This Row],[Date]],Funds!$C$10:$GV$11,2,FALSE)))</f>
        <v/>
      </c>
      <c r="J870" s="215" t="str">
        <f>IF(Table2[[#This Row],[Description]]="","",Table2[[#This Row],[Value]]/Table2[[#This Row],[Conversion]])</f>
        <v/>
      </c>
      <c r="K870" s="45" t="str">
        <f>IF(Table2[[#This Row],[Description]]="","",DATE(Table2[[#This Row],[Year]],Table2[[#This Row],[Month]],1))</f>
        <v/>
      </c>
    </row>
    <row r="871" spans="7:11" x14ac:dyDescent="0.25">
      <c r="G871" s="1" t="str">
        <f>IF(Table2[[#This Row],[Description]]="","",VLOOKUP(Table2[[#This Row],[Description]],$Q$1:$S$101,2,FALSE))</f>
        <v/>
      </c>
      <c r="H871" s="1" t="str">
        <f>IF(Table2[[#This Row],[Description]]="","",VLOOKUP(Table2[[#This Row],[Description]],$Q$1:$S$101,3,FALSE))</f>
        <v/>
      </c>
      <c r="I871" s="1" t="str">
        <f>IF(Table2[[#This Row],[Description]]="","",IF(Table2[[#This Row],[Currency]]=$O$2,$P$2,HLOOKUP(Table2[[#This Row],[Date]],Funds!$C$10:$GV$11,2,FALSE)))</f>
        <v/>
      </c>
      <c r="J871" s="215" t="str">
        <f>IF(Table2[[#This Row],[Description]]="","",Table2[[#This Row],[Value]]/Table2[[#This Row],[Conversion]])</f>
        <v/>
      </c>
      <c r="K871" s="45" t="str">
        <f>IF(Table2[[#This Row],[Description]]="","",DATE(Table2[[#This Row],[Year]],Table2[[#This Row],[Month]],1))</f>
        <v/>
      </c>
    </row>
    <row r="872" spans="7:11" x14ac:dyDescent="0.25">
      <c r="G872" s="1" t="str">
        <f>IF(Table2[[#This Row],[Description]]="","",VLOOKUP(Table2[[#This Row],[Description]],$Q$1:$S$101,2,FALSE))</f>
        <v/>
      </c>
      <c r="H872" s="1" t="str">
        <f>IF(Table2[[#This Row],[Description]]="","",VLOOKUP(Table2[[#This Row],[Description]],$Q$1:$S$101,3,FALSE))</f>
        <v/>
      </c>
      <c r="I872" s="1" t="str">
        <f>IF(Table2[[#This Row],[Description]]="","",IF(Table2[[#This Row],[Currency]]=$O$2,$P$2,HLOOKUP(Table2[[#This Row],[Date]],Funds!$C$10:$GV$11,2,FALSE)))</f>
        <v/>
      </c>
      <c r="J872" s="215" t="str">
        <f>IF(Table2[[#This Row],[Description]]="","",Table2[[#This Row],[Value]]/Table2[[#This Row],[Conversion]])</f>
        <v/>
      </c>
      <c r="K872" s="45" t="str">
        <f>IF(Table2[[#This Row],[Description]]="","",DATE(Table2[[#This Row],[Year]],Table2[[#This Row],[Month]],1))</f>
        <v/>
      </c>
    </row>
    <row r="873" spans="7:11" x14ac:dyDescent="0.25">
      <c r="G873" s="1" t="str">
        <f>IF(Table2[[#This Row],[Description]]="","",VLOOKUP(Table2[[#This Row],[Description]],$Q$1:$S$101,2,FALSE))</f>
        <v/>
      </c>
      <c r="H873" s="1" t="str">
        <f>IF(Table2[[#This Row],[Description]]="","",VLOOKUP(Table2[[#This Row],[Description]],$Q$1:$S$101,3,FALSE))</f>
        <v/>
      </c>
      <c r="I873" s="1" t="str">
        <f>IF(Table2[[#This Row],[Description]]="","",IF(Table2[[#This Row],[Currency]]=$O$2,$P$2,HLOOKUP(Table2[[#This Row],[Date]],Funds!$C$10:$GV$11,2,FALSE)))</f>
        <v/>
      </c>
      <c r="J873" s="215" t="str">
        <f>IF(Table2[[#This Row],[Description]]="","",Table2[[#This Row],[Value]]/Table2[[#This Row],[Conversion]])</f>
        <v/>
      </c>
      <c r="K873" s="45" t="str">
        <f>IF(Table2[[#This Row],[Description]]="","",DATE(Table2[[#This Row],[Year]],Table2[[#This Row],[Month]],1))</f>
        <v/>
      </c>
    </row>
    <row r="874" spans="7:11" x14ac:dyDescent="0.25">
      <c r="G874" s="1" t="str">
        <f>IF(Table2[[#This Row],[Description]]="","",VLOOKUP(Table2[[#This Row],[Description]],$Q$1:$S$101,2,FALSE))</f>
        <v/>
      </c>
      <c r="H874" s="1" t="str">
        <f>IF(Table2[[#This Row],[Description]]="","",VLOOKUP(Table2[[#This Row],[Description]],$Q$1:$S$101,3,FALSE))</f>
        <v/>
      </c>
      <c r="I874" s="1" t="str">
        <f>IF(Table2[[#This Row],[Description]]="","",IF(Table2[[#This Row],[Currency]]=$O$2,$P$2,HLOOKUP(Table2[[#This Row],[Date]],Funds!$C$10:$GV$11,2,FALSE)))</f>
        <v/>
      </c>
      <c r="J874" s="215" t="str">
        <f>IF(Table2[[#This Row],[Description]]="","",Table2[[#This Row],[Value]]/Table2[[#This Row],[Conversion]])</f>
        <v/>
      </c>
      <c r="K874" s="45" t="str">
        <f>IF(Table2[[#This Row],[Description]]="","",DATE(Table2[[#This Row],[Year]],Table2[[#This Row],[Month]],1))</f>
        <v/>
      </c>
    </row>
    <row r="875" spans="7:11" x14ac:dyDescent="0.25">
      <c r="G875" s="1" t="str">
        <f>IF(Table2[[#This Row],[Description]]="","",VLOOKUP(Table2[[#This Row],[Description]],$Q$1:$S$101,2,FALSE))</f>
        <v/>
      </c>
      <c r="H875" s="1" t="str">
        <f>IF(Table2[[#This Row],[Description]]="","",VLOOKUP(Table2[[#This Row],[Description]],$Q$1:$S$101,3,FALSE))</f>
        <v/>
      </c>
      <c r="I875" s="1" t="str">
        <f>IF(Table2[[#This Row],[Description]]="","",IF(Table2[[#This Row],[Currency]]=$O$2,$P$2,HLOOKUP(Table2[[#This Row],[Date]],Funds!$C$10:$GV$11,2,FALSE)))</f>
        <v/>
      </c>
      <c r="J875" s="215" t="str">
        <f>IF(Table2[[#This Row],[Description]]="","",Table2[[#This Row],[Value]]/Table2[[#This Row],[Conversion]])</f>
        <v/>
      </c>
      <c r="K875" s="45" t="str">
        <f>IF(Table2[[#This Row],[Description]]="","",DATE(Table2[[#This Row],[Year]],Table2[[#This Row],[Month]],1))</f>
        <v/>
      </c>
    </row>
    <row r="876" spans="7:11" x14ac:dyDescent="0.25">
      <c r="G876" s="1" t="str">
        <f>IF(Table2[[#This Row],[Description]]="","",VLOOKUP(Table2[[#This Row],[Description]],$Q$1:$S$101,2,FALSE))</f>
        <v/>
      </c>
      <c r="H876" s="1" t="str">
        <f>IF(Table2[[#This Row],[Description]]="","",VLOOKUP(Table2[[#This Row],[Description]],$Q$1:$S$101,3,FALSE))</f>
        <v/>
      </c>
      <c r="I876" s="1" t="str">
        <f>IF(Table2[[#This Row],[Description]]="","",IF(Table2[[#This Row],[Currency]]=$O$2,$P$2,HLOOKUP(Table2[[#This Row],[Date]],Funds!$C$10:$GV$11,2,FALSE)))</f>
        <v/>
      </c>
      <c r="J876" s="215" t="str">
        <f>IF(Table2[[#This Row],[Description]]="","",Table2[[#This Row],[Value]]/Table2[[#This Row],[Conversion]])</f>
        <v/>
      </c>
      <c r="K876" s="45" t="str">
        <f>IF(Table2[[#This Row],[Description]]="","",DATE(Table2[[#This Row],[Year]],Table2[[#This Row],[Month]],1))</f>
        <v/>
      </c>
    </row>
    <row r="877" spans="7:11" x14ac:dyDescent="0.25">
      <c r="G877" s="1" t="str">
        <f>IF(Table2[[#This Row],[Description]]="","",VLOOKUP(Table2[[#This Row],[Description]],$Q$1:$S$101,2,FALSE))</f>
        <v/>
      </c>
      <c r="H877" s="1" t="str">
        <f>IF(Table2[[#This Row],[Description]]="","",VLOOKUP(Table2[[#This Row],[Description]],$Q$1:$S$101,3,FALSE))</f>
        <v/>
      </c>
      <c r="I877" s="1" t="str">
        <f>IF(Table2[[#This Row],[Description]]="","",IF(Table2[[#This Row],[Currency]]=$O$2,$P$2,HLOOKUP(Table2[[#This Row],[Date]],Funds!$C$10:$GV$11,2,FALSE)))</f>
        <v/>
      </c>
      <c r="J877" s="215" t="str">
        <f>IF(Table2[[#This Row],[Description]]="","",Table2[[#This Row],[Value]]/Table2[[#This Row],[Conversion]])</f>
        <v/>
      </c>
      <c r="K877" s="45" t="str">
        <f>IF(Table2[[#This Row],[Description]]="","",DATE(Table2[[#This Row],[Year]],Table2[[#This Row],[Month]],1))</f>
        <v/>
      </c>
    </row>
    <row r="878" spans="7:11" x14ac:dyDescent="0.25">
      <c r="G878" s="1" t="str">
        <f>IF(Table2[[#This Row],[Description]]="","",VLOOKUP(Table2[[#This Row],[Description]],$Q$1:$S$101,2,FALSE))</f>
        <v/>
      </c>
      <c r="H878" s="1" t="str">
        <f>IF(Table2[[#This Row],[Description]]="","",VLOOKUP(Table2[[#This Row],[Description]],$Q$1:$S$101,3,FALSE))</f>
        <v/>
      </c>
      <c r="I878" s="1" t="str">
        <f>IF(Table2[[#This Row],[Description]]="","",IF(Table2[[#This Row],[Currency]]=$O$2,$P$2,HLOOKUP(Table2[[#This Row],[Date]],Funds!$C$10:$GV$11,2,FALSE)))</f>
        <v/>
      </c>
      <c r="J878" s="215" t="str">
        <f>IF(Table2[[#This Row],[Description]]="","",Table2[[#This Row],[Value]]/Table2[[#This Row],[Conversion]])</f>
        <v/>
      </c>
      <c r="K878" s="45" t="str">
        <f>IF(Table2[[#This Row],[Description]]="","",DATE(Table2[[#This Row],[Year]],Table2[[#This Row],[Month]],1))</f>
        <v/>
      </c>
    </row>
    <row r="879" spans="7:11" x14ac:dyDescent="0.25">
      <c r="G879" s="1" t="str">
        <f>IF(Table2[[#This Row],[Description]]="","",VLOOKUP(Table2[[#This Row],[Description]],$Q$1:$S$101,2,FALSE))</f>
        <v/>
      </c>
      <c r="H879" s="1" t="str">
        <f>IF(Table2[[#This Row],[Description]]="","",VLOOKUP(Table2[[#This Row],[Description]],$Q$1:$S$101,3,FALSE))</f>
        <v/>
      </c>
      <c r="I879" s="1" t="str">
        <f>IF(Table2[[#This Row],[Description]]="","",IF(Table2[[#This Row],[Currency]]=$O$2,$P$2,HLOOKUP(Table2[[#This Row],[Date]],Funds!$C$10:$GV$11,2,FALSE)))</f>
        <v/>
      </c>
      <c r="J879" s="215" t="str">
        <f>IF(Table2[[#This Row],[Description]]="","",Table2[[#This Row],[Value]]/Table2[[#This Row],[Conversion]])</f>
        <v/>
      </c>
      <c r="K879" s="45" t="str">
        <f>IF(Table2[[#This Row],[Description]]="","",DATE(Table2[[#This Row],[Year]],Table2[[#This Row],[Month]],1))</f>
        <v/>
      </c>
    </row>
    <row r="880" spans="7:11" x14ac:dyDescent="0.25">
      <c r="G880" s="1" t="str">
        <f>IF(Table2[[#This Row],[Description]]="","",VLOOKUP(Table2[[#This Row],[Description]],$Q$1:$S$101,2,FALSE))</f>
        <v/>
      </c>
      <c r="H880" s="1" t="str">
        <f>IF(Table2[[#This Row],[Description]]="","",VLOOKUP(Table2[[#This Row],[Description]],$Q$1:$S$101,3,FALSE))</f>
        <v/>
      </c>
      <c r="I880" s="1" t="str">
        <f>IF(Table2[[#This Row],[Description]]="","",IF(Table2[[#This Row],[Currency]]=$O$2,$P$2,HLOOKUP(Table2[[#This Row],[Date]],Funds!$C$10:$GV$11,2,FALSE)))</f>
        <v/>
      </c>
      <c r="J880" s="215" t="str">
        <f>IF(Table2[[#This Row],[Description]]="","",Table2[[#This Row],[Value]]/Table2[[#This Row],[Conversion]])</f>
        <v/>
      </c>
      <c r="K880" s="45" t="str">
        <f>IF(Table2[[#This Row],[Description]]="","",DATE(Table2[[#This Row],[Year]],Table2[[#This Row],[Month]],1))</f>
        <v/>
      </c>
    </row>
    <row r="881" spans="7:11" x14ac:dyDescent="0.25">
      <c r="G881" s="1" t="str">
        <f>IF(Table2[[#This Row],[Description]]="","",VLOOKUP(Table2[[#This Row],[Description]],$Q$1:$S$101,2,FALSE))</f>
        <v/>
      </c>
      <c r="H881" s="1" t="str">
        <f>IF(Table2[[#This Row],[Description]]="","",VLOOKUP(Table2[[#This Row],[Description]],$Q$1:$S$101,3,FALSE))</f>
        <v/>
      </c>
      <c r="I881" s="1" t="str">
        <f>IF(Table2[[#This Row],[Description]]="","",IF(Table2[[#This Row],[Currency]]=$O$2,$P$2,HLOOKUP(Table2[[#This Row],[Date]],Funds!$C$10:$GV$11,2,FALSE)))</f>
        <v/>
      </c>
      <c r="J881" s="215" t="str">
        <f>IF(Table2[[#This Row],[Description]]="","",Table2[[#This Row],[Value]]/Table2[[#This Row],[Conversion]])</f>
        <v/>
      </c>
      <c r="K881" s="45" t="str">
        <f>IF(Table2[[#This Row],[Description]]="","",DATE(Table2[[#This Row],[Year]],Table2[[#This Row],[Month]],1))</f>
        <v/>
      </c>
    </row>
    <row r="882" spans="7:11" x14ac:dyDescent="0.25">
      <c r="G882" s="1" t="str">
        <f>IF(Table2[[#This Row],[Description]]="","",VLOOKUP(Table2[[#This Row],[Description]],$Q$1:$S$101,2,FALSE))</f>
        <v/>
      </c>
      <c r="H882" s="1" t="str">
        <f>IF(Table2[[#This Row],[Description]]="","",VLOOKUP(Table2[[#This Row],[Description]],$Q$1:$S$101,3,FALSE))</f>
        <v/>
      </c>
      <c r="I882" s="1" t="str">
        <f>IF(Table2[[#This Row],[Description]]="","",IF(Table2[[#This Row],[Currency]]=$O$2,$P$2,HLOOKUP(Table2[[#This Row],[Date]],Funds!$C$10:$GV$11,2,FALSE)))</f>
        <v/>
      </c>
      <c r="J882" s="215" t="str">
        <f>IF(Table2[[#This Row],[Description]]="","",Table2[[#This Row],[Value]]/Table2[[#This Row],[Conversion]])</f>
        <v/>
      </c>
      <c r="K882" s="45" t="str">
        <f>IF(Table2[[#This Row],[Description]]="","",DATE(Table2[[#This Row],[Year]],Table2[[#This Row],[Month]],1))</f>
        <v/>
      </c>
    </row>
    <row r="883" spans="7:11" x14ac:dyDescent="0.25">
      <c r="G883" s="1" t="str">
        <f>IF(Table2[[#This Row],[Description]]="","",VLOOKUP(Table2[[#This Row],[Description]],$Q$1:$S$101,2,FALSE))</f>
        <v/>
      </c>
      <c r="H883" s="1" t="str">
        <f>IF(Table2[[#This Row],[Description]]="","",VLOOKUP(Table2[[#This Row],[Description]],$Q$1:$S$101,3,FALSE))</f>
        <v/>
      </c>
      <c r="I883" s="1" t="str">
        <f>IF(Table2[[#This Row],[Description]]="","",IF(Table2[[#This Row],[Currency]]=$O$2,$P$2,HLOOKUP(Table2[[#This Row],[Date]],Funds!$C$10:$GV$11,2,FALSE)))</f>
        <v/>
      </c>
      <c r="J883" s="215" t="str">
        <f>IF(Table2[[#This Row],[Description]]="","",Table2[[#This Row],[Value]]/Table2[[#This Row],[Conversion]])</f>
        <v/>
      </c>
      <c r="K883" s="45" t="str">
        <f>IF(Table2[[#This Row],[Description]]="","",DATE(Table2[[#This Row],[Year]],Table2[[#This Row],[Month]],1))</f>
        <v/>
      </c>
    </row>
    <row r="884" spans="7:11" x14ac:dyDescent="0.25">
      <c r="G884" s="1" t="str">
        <f>IF(Table2[[#This Row],[Description]]="","",VLOOKUP(Table2[[#This Row],[Description]],$Q$1:$S$101,2,FALSE))</f>
        <v/>
      </c>
      <c r="H884" s="1" t="str">
        <f>IF(Table2[[#This Row],[Description]]="","",VLOOKUP(Table2[[#This Row],[Description]],$Q$1:$S$101,3,FALSE))</f>
        <v/>
      </c>
      <c r="I884" s="1" t="str">
        <f>IF(Table2[[#This Row],[Description]]="","",IF(Table2[[#This Row],[Currency]]=$O$2,$P$2,HLOOKUP(Table2[[#This Row],[Date]],Funds!$C$10:$GV$11,2,FALSE)))</f>
        <v/>
      </c>
      <c r="J884" s="215" t="str">
        <f>IF(Table2[[#This Row],[Description]]="","",Table2[[#This Row],[Value]]/Table2[[#This Row],[Conversion]])</f>
        <v/>
      </c>
      <c r="K884" s="45" t="str">
        <f>IF(Table2[[#This Row],[Description]]="","",DATE(Table2[[#This Row],[Year]],Table2[[#This Row],[Month]],1))</f>
        <v/>
      </c>
    </row>
    <row r="885" spans="7:11" x14ac:dyDescent="0.25">
      <c r="G885" s="1" t="str">
        <f>IF(Table2[[#This Row],[Description]]="","",VLOOKUP(Table2[[#This Row],[Description]],$Q$1:$S$101,2,FALSE))</f>
        <v/>
      </c>
      <c r="H885" s="1" t="str">
        <f>IF(Table2[[#This Row],[Description]]="","",VLOOKUP(Table2[[#This Row],[Description]],$Q$1:$S$101,3,FALSE))</f>
        <v/>
      </c>
      <c r="I885" s="1" t="str">
        <f>IF(Table2[[#This Row],[Description]]="","",IF(Table2[[#This Row],[Currency]]=$O$2,$P$2,HLOOKUP(Table2[[#This Row],[Date]],Funds!$C$10:$GV$11,2,FALSE)))</f>
        <v/>
      </c>
      <c r="J885" s="215" t="str">
        <f>IF(Table2[[#This Row],[Description]]="","",Table2[[#This Row],[Value]]/Table2[[#This Row],[Conversion]])</f>
        <v/>
      </c>
      <c r="K885" s="45" t="str">
        <f>IF(Table2[[#This Row],[Description]]="","",DATE(Table2[[#This Row],[Year]],Table2[[#This Row],[Month]],1))</f>
        <v/>
      </c>
    </row>
    <row r="886" spans="7:11" x14ac:dyDescent="0.25">
      <c r="G886" s="1" t="str">
        <f>IF(Table2[[#This Row],[Description]]="","",VLOOKUP(Table2[[#This Row],[Description]],$Q$1:$S$101,2,FALSE))</f>
        <v/>
      </c>
      <c r="H886" s="1" t="str">
        <f>IF(Table2[[#This Row],[Description]]="","",VLOOKUP(Table2[[#This Row],[Description]],$Q$1:$S$101,3,FALSE))</f>
        <v/>
      </c>
      <c r="I886" s="1" t="str">
        <f>IF(Table2[[#This Row],[Description]]="","",IF(Table2[[#This Row],[Currency]]=$O$2,$P$2,HLOOKUP(Table2[[#This Row],[Date]],Funds!$C$10:$GV$11,2,FALSE)))</f>
        <v/>
      </c>
      <c r="J886" s="215" t="str">
        <f>IF(Table2[[#This Row],[Description]]="","",Table2[[#This Row],[Value]]/Table2[[#This Row],[Conversion]])</f>
        <v/>
      </c>
      <c r="K886" s="45" t="str">
        <f>IF(Table2[[#This Row],[Description]]="","",DATE(Table2[[#This Row],[Year]],Table2[[#This Row],[Month]],1))</f>
        <v/>
      </c>
    </row>
    <row r="887" spans="7:11" x14ac:dyDescent="0.25">
      <c r="G887" s="1" t="str">
        <f>IF(Table2[[#This Row],[Description]]="","",VLOOKUP(Table2[[#This Row],[Description]],$Q$1:$S$101,2,FALSE))</f>
        <v/>
      </c>
      <c r="H887" s="1" t="str">
        <f>IF(Table2[[#This Row],[Description]]="","",VLOOKUP(Table2[[#This Row],[Description]],$Q$1:$S$101,3,FALSE))</f>
        <v/>
      </c>
      <c r="I887" s="1" t="str">
        <f>IF(Table2[[#This Row],[Description]]="","",IF(Table2[[#This Row],[Currency]]=$O$2,$P$2,HLOOKUP(Table2[[#This Row],[Date]],Funds!$C$10:$GV$11,2,FALSE)))</f>
        <v/>
      </c>
      <c r="J887" s="215" t="str">
        <f>IF(Table2[[#This Row],[Description]]="","",Table2[[#This Row],[Value]]/Table2[[#This Row],[Conversion]])</f>
        <v/>
      </c>
      <c r="K887" s="45" t="str">
        <f>IF(Table2[[#This Row],[Description]]="","",DATE(Table2[[#This Row],[Year]],Table2[[#This Row],[Month]],1))</f>
        <v/>
      </c>
    </row>
    <row r="888" spans="7:11" x14ac:dyDescent="0.25">
      <c r="G888" s="1" t="str">
        <f>IF(Table2[[#This Row],[Description]]="","",VLOOKUP(Table2[[#This Row],[Description]],$Q$1:$S$101,2,FALSE))</f>
        <v/>
      </c>
      <c r="H888" s="1" t="str">
        <f>IF(Table2[[#This Row],[Description]]="","",VLOOKUP(Table2[[#This Row],[Description]],$Q$1:$S$101,3,FALSE))</f>
        <v/>
      </c>
      <c r="I888" s="1" t="str">
        <f>IF(Table2[[#This Row],[Description]]="","",IF(Table2[[#This Row],[Currency]]=$O$2,$P$2,HLOOKUP(Table2[[#This Row],[Date]],Funds!$C$10:$GV$11,2,FALSE)))</f>
        <v/>
      </c>
      <c r="J888" s="215" t="str">
        <f>IF(Table2[[#This Row],[Description]]="","",Table2[[#This Row],[Value]]/Table2[[#This Row],[Conversion]])</f>
        <v/>
      </c>
      <c r="K888" s="45" t="str">
        <f>IF(Table2[[#This Row],[Description]]="","",DATE(Table2[[#This Row],[Year]],Table2[[#This Row],[Month]],1))</f>
        <v/>
      </c>
    </row>
    <row r="889" spans="7:11" x14ac:dyDescent="0.25">
      <c r="G889" s="1" t="str">
        <f>IF(Table2[[#This Row],[Description]]="","",VLOOKUP(Table2[[#This Row],[Description]],$Q$1:$S$101,2,FALSE))</f>
        <v/>
      </c>
      <c r="H889" s="1" t="str">
        <f>IF(Table2[[#This Row],[Description]]="","",VLOOKUP(Table2[[#This Row],[Description]],$Q$1:$S$101,3,FALSE))</f>
        <v/>
      </c>
      <c r="I889" s="1" t="str">
        <f>IF(Table2[[#This Row],[Description]]="","",IF(Table2[[#This Row],[Currency]]=$O$2,$P$2,HLOOKUP(Table2[[#This Row],[Date]],Funds!$C$10:$GV$11,2,FALSE)))</f>
        <v/>
      </c>
      <c r="J889" s="215" t="str">
        <f>IF(Table2[[#This Row],[Description]]="","",Table2[[#This Row],[Value]]/Table2[[#This Row],[Conversion]])</f>
        <v/>
      </c>
      <c r="K889" s="45" t="str">
        <f>IF(Table2[[#This Row],[Description]]="","",DATE(Table2[[#This Row],[Year]],Table2[[#This Row],[Month]],1))</f>
        <v/>
      </c>
    </row>
    <row r="890" spans="7:11" x14ac:dyDescent="0.25">
      <c r="G890" s="1" t="str">
        <f>IF(Table2[[#This Row],[Description]]="","",VLOOKUP(Table2[[#This Row],[Description]],$Q$1:$S$101,2,FALSE))</f>
        <v/>
      </c>
      <c r="H890" s="1" t="str">
        <f>IF(Table2[[#This Row],[Description]]="","",VLOOKUP(Table2[[#This Row],[Description]],$Q$1:$S$101,3,FALSE))</f>
        <v/>
      </c>
      <c r="I890" s="1" t="str">
        <f>IF(Table2[[#This Row],[Description]]="","",IF(Table2[[#This Row],[Currency]]=$O$2,$P$2,HLOOKUP(Table2[[#This Row],[Date]],Funds!$C$10:$GV$11,2,FALSE)))</f>
        <v/>
      </c>
      <c r="J890" s="215" t="str">
        <f>IF(Table2[[#This Row],[Description]]="","",Table2[[#This Row],[Value]]/Table2[[#This Row],[Conversion]])</f>
        <v/>
      </c>
      <c r="K890" s="45" t="str">
        <f>IF(Table2[[#This Row],[Description]]="","",DATE(Table2[[#This Row],[Year]],Table2[[#This Row],[Month]],1))</f>
        <v/>
      </c>
    </row>
    <row r="891" spans="7:11" x14ac:dyDescent="0.25">
      <c r="G891" s="1" t="str">
        <f>IF(Table2[[#This Row],[Description]]="","",VLOOKUP(Table2[[#This Row],[Description]],$Q$1:$S$101,2,FALSE))</f>
        <v/>
      </c>
      <c r="H891" s="1" t="str">
        <f>IF(Table2[[#This Row],[Description]]="","",VLOOKUP(Table2[[#This Row],[Description]],$Q$1:$S$101,3,FALSE))</f>
        <v/>
      </c>
      <c r="I891" s="1" t="str">
        <f>IF(Table2[[#This Row],[Description]]="","",IF(Table2[[#This Row],[Currency]]=$O$2,$P$2,HLOOKUP(Table2[[#This Row],[Date]],Funds!$C$10:$GV$11,2,FALSE)))</f>
        <v/>
      </c>
      <c r="J891" s="215" t="str">
        <f>IF(Table2[[#This Row],[Description]]="","",Table2[[#This Row],[Value]]/Table2[[#This Row],[Conversion]])</f>
        <v/>
      </c>
      <c r="K891" s="45" t="str">
        <f>IF(Table2[[#This Row],[Description]]="","",DATE(Table2[[#This Row],[Year]],Table2[[#This Row],[Month]],1))</f>
        <v/>
      </c>
    </row>
    <row r="892" spans="7:11" x14ac:dyDescent="0.25">
      <c r="G892" s="1" t="str">
        <f>IF(Table2[[#This Row],[Description]]="","",VLOOKUP(Table2[[#This Row],[Description]],$Q$1:$S$101,2,FALSE))</f>
        <v/>
      </c>
      <c r="H892" s="1" t="str">
        <f>IF(Table2[[#This Row],[Description]]="","",VLOOKUP(Table2[[#This Row],[Description]],$Q$1:$S$101,3,FALSE))</f>
        <v/>
      </c>
      <c r="I892" s="1" t="str">
        <f>IF(Table2[[#This Row],[Description]]="","",IF(Table2[[#This Row],[Currency]]=$O$2,$P$2,HLOOKUP(Table2[[#This Row],[Date]],Funds!$C$10:$GV$11,2,FALSE)))</f>
        <v/>
      </c>
      <c r="J892" s="215" t="str">
        <f>IF(Table2[[#This Row],[Description]]="","",Table2[[#This Row],[Value]]/Table2[[#This Row],[Conversion]])</f>
        <v/>
      </c>
      <c r="K892" s="45" t="str">
        <f>IF(Table2[[#This Row],[Description]]="","",DATE(Table2[[#This Row],[Year]],Table2[[#This Row],[Month]],1))</f>
        <v/>
      </c>
    </row>
    <row r="893" spans="7:11" x14ac:dyDescent="0.25">
      <c r="G893" s="1" t="str">
        <f>IF(Table2[[#This Row],[Description]]="","",VLOOKUP(Table2[[#This Row],[Description]],$Q$1:$S$101,2,FALSE))</f>
        <v/>
      </c>
      <c r="H893" s="1" t="str">
        <f>IF(Table2[[#This Row],[Description]]="","",VLOOKUP(Table2[[#This Row],[Description]],$Q$1:$S$101,3,FALSE))</f>
        <v/>
      </c>
      <c r="I893" s="1" t="str">
        <f>IF(Table2[[#This Row],[Description]]="","",IF(Table2[[#This Row],[Currency]]=$O$2,$P$2,HLOOKUP(Table2[[#This Row],[Date]],Funds!$C$10:$GV$11,2,FALSE)))</f>
        <v/>
      </c>
      <c r="J893" s="215" t="str">
        <f>IF(Table2[[#This Row],[Description]]="","",Table2[[#This Row],[Value]]/Table2[[#This Row],[Conversion]])</f>
        <v/>
      </c>
      <c r="K893" s="45" t="str">
        <f>IF(Table2[[#This Row],[Description]]="","",DATE(Table2[[#This Row],[Year]],Table2[[#This Row],[Month]],1))</f>
        <v/>
      </c>
    </row>
    <row r="894" spans="7:11" x14ac:dyDescent="0.25">
      <c r="G894" s="1" t="str">
        <f>IF(Table2[[#This Row],[Description]]="","",VLOOKUP(Table2[[#This Row],[Description]],$Q$1:$S$101,2,FALSE))</f>
        <v/>
      </c>
      <c r="H894" s="1" t="str">
        <f>IF(Table2[[#This Row],[Description]]="","",VLOOKUP(Table2[[#This Row],[Description]],$Q$1:$S$101,3,FALSE))</f>
        <v/>
      </c>
      <c r="I894" s="1" t="str">
        <f>IF(Table2[[#This Row],[Description]]="","",IF(Table2[[#This Row],[Currency]]=$O$2,$P$2,HLOOKUP(Table2[[#This Row],[Date]],Funds!$C$10:$GV$11,2,FALSE)))</f>
        <v/>
      </c>
      <c r="J894" s="215" t="str">
        <f>IF(Table2[[#This Row],[Description]]="","",Table2[[#This Row],[Value]]/Table2[[#This Row],[Conversion]])</f>
        <v/>
      </c>
      <c r="K894" s="45" t="str">
        <f>IF(Table2[[#This Row],[Description]]="","",DATE(Table2[[#This Row],[Year]],Table2[[#This Row],[Month]],1))</f>
        <v/>
      </c>
    </row>
    <row r="895" spans="7:11" x14ac:dyDescent="0.25">
      <c r="G895" s="1" t="str">
        <f>IF(Table2[[#This Row],[Description]]="","",VLOOKUP(Table2[[#This Row],[Description]],$Q$1:$S$101,2,FALSE))</f>
        <v/>
      </c>
      <c r="H895" s="1" t="str">
        <f>IF(Table2[[#This Row],[Description]]="","",VLOOKUP(Table2[[#This Row],[Description]],$Q$1:$S$101,3,FALSE))</f>
        <v/>
      </c>
      <c r="I895" s="1" t="str">
        <f>IF(Table2[[#This Row],[Description]]="","",IF(Table2[[#This Row],[Currency]]=$O$2,$P$2,HLOOKUP(Table2[[#This Row],[Date]],Funds!$C$10:$GV$11,2,FALSE)))</f>
        <v/>
      </c>
      <c r="J895" s="215" t="str">
        <f>IF(Table2[[#This Row],[Description]]="","",Table2[[#This Row],[Value]]/Table2[[#This Row],[Conversion]])</f>
        <v/>
      </c>
      <c r="K895" s="45" t="str">
        <f>IF(Table2[[#This Row],[Description]]="","",DATE(Table2[[#This Row],[Year]],Table2[[#This Row],[Month]],1))</f>
        <v/>
      </c>
    </row>
    <row r="896" spans="7:11" x14ac:dyDescent="0.25">
      <c r="G896" s="1" t="str">
        <f>IF(Table2[[#This Row],[Description]]="","",VLOOKUP(Table2[[#This Row],[Description]],$Q$1:$S$101,2,FALSE))</f>
        <v/>
      </c>
      <c r="H896" s="1" t="str">
        <f>IF(Table2[[#This Row],[Description]]="","",VLOOKUP(Table2[[#This Row],[Description]],$Q$1:$S$101,3,FALSE))</f>
        <v/>
      </c>
      <c r="I896" s="1" t="str">
        <f>IF(Table2[[#This Row],[Description]]="","",IF(Table2[[#This Row],[Currency]]=$O$2,$P$2,HLOOKUP(Table2[[#This Row],[Date]],Funds!$C$10:$GV$11,2,FALSE)))</f>
        <v/>
      </c>
      <c r="J896" s="215" t="str">
        <f>IF(Table2[[#This Row],[Description]]="","",Table2[[#This Row],[Value]]/Table2[[#This Row],[Conversion]])</f>
        <v/>
      </c>
      <c r="K896" s="45" t="str">
        <f>IF(Table2[[#This Row],[Description]]="","",DATE(Table2[[#This Row],[Year]],Table2[[#This Row],[Month]],1))</f>
        <v/>
      </c>
    </row>
    <row r="897" spans="7:11" x14ac:dyDescent="0.25">
      <c r="G897" s="1" t="str">
        <f>IF(Table2[[#This Row],[Description]]="","",VLOOKUP(Table2[[#This Row],[Description]],$Q$1:$S$101,2,FALSE))</f>
        <v/>
      </c>
      <c r="H897" s="1" t="str">
        <f>IF(Table2[[#This Row],[Description]]="","",VLOOKUP(Table2[[#This Row],[Description]],$Q$1:$S$101,3,FALSE))</f>
        <v/>
      </c>
      <c r="I897" s="1" t="str">
        <f>IF(Table2[[#This Row],[Description]]="","",IF(Table2[[#This Row],[Currency]]=$O$2,$P$2,HLOOKUP(Table2[[#This Row],[Date]],Funds!$C$10:$GV$11,2,FALSE)))</f>
        <v/>
      </c>
      <c r="J897" s="215" t="str">
        <f>IF(Table2[[#This Row],[Description]]="","",Table2[[#This Row],[Value]]/Table2[[#This Row],[Conversion]])</f>
        <v/>
      </c>
      <c r="K897" s="45" t="str">
        <f>IF(Table2[[#This Row],[Description]]="","",DATE(Table2[[#This Row],[Year]],Table2[[#This Row],[Month]],1))</f>
        <v/>
      </c>
    </row>
    <row r="898" spans="7:11" x14ac:dyDescent="0.25">
      <c r="G898" s="1" t="str">
        <f>IF(Table2[[#This Row],[Description]]="","",VLOOKUP(Table2[[#This Row],[Description]],$Q$1:$S$101,2,FALSE))</f>
        <v/>
      </c>
      <c r="H898" s="1" t="str">
        <f>IF(Table2[[#This Row],[Description]]="","",VLOOKUP(Table2[[#This Row],[Description]],$Q$1:$S$101,3,FALSE))</f>
        <v/>
      </c>
      <c r="I898" s="1" t="str">
        <f>IF(Table2[[#This Row],[Description]]="","",IF(Table2[[#This Row],[Currency]]=$O$2,$P$2,HLOOKUP(Table2[[#This Row],[Date]],Funds!$C$10:$GV$11,2,FALSE)))</f>
        <v/>
      </c>
      <c r="J898" s="215" t="str">
        <f>IF(Table2[[#This Row],[Description]]="","",Table2[[#This Row],[Value]]/Table2[[#This Row],[Conversion]])</f>
        <v/>
      </c>
      <c r="K898" s="45" t="str">
        <f>IF(Table2[[#This Row],[Description]]="","",DATE(Table2[[#This Row],[Year]],Table2[[#This Row],[Month]],1))</f>
        <v/>
      </c>
    </row>
    <row r="899" spans="7:11" x14ac:dyDescent="0.25">
      <c r="G899" s="1" t="str">
        <f>IF(Table2[[#This Row],[Description]]="","",VLOOKUP(Table2[[#This Row],[Description]],$Q$1:$S$101,2,FALSE))</f>
        <v/>
      </c>
      <c r="H899" s="1" t="str">
        <f>IF(Table2[[#This Row],[Description]]="","",VLOOKUP(Table2[[#This Row],[Description]],$Q$1:$S$101,3,FALSE))</f>
        <v/>
      </c>
      <c r="I899" s="1" t="str">
        <f>IF(Table2[[#This Row],[Description]]="","",IF(Table2[[#This Row],[Currency]]=$O$2,$P$2,HLOOKUP(Table2[[#This Row],[Date]],Funds!$C$10:$GV$11,2,FALSE)))</f>
        <v/>
      </c>
      <c r="J899" s="215" t="str">
        <f>IF(Table2[[#This Row],[Description]]="","",Table2[[#This Row],[Value]]/Table2[[#This Row],[Conversion]])</f>
        <v/>
      </c>
      <c r="K899" s="45" t="str">
        <f>IF(Table2[[#This Row],[Description]]="","",DATE(Table2[[#This Row],[Year]],Table2[[#This Row],[Month]],1))</f>
        <v/>
      </c>
    </row>
    <row r="900" spans="7:11" x14ac:dyDescent="0.25">
      <c r="G900" s="1" t="str">
        <f>IF(Table2[[#This Row],[Description]]="","",VLOOKUP(Table2[[#This Row],[Description]],$Q$1:$S$101,2,FALSE))</f>
        <v/>
      </c>
      <c r="H900" s="1" t="str">
        <f>IF(Table2[[#This Row],[Description]]="","",VLOOKUP(Table2[[#This Row],[Description]],$Q$1:$S$101,3,FALSE))</f>
        <v/>
      </c>
      <c r="I900" s="1" t="str">
        <f>IF(Table2[[#This Row],[Description]]="","",IF(Table2[[#This Row],[Currency]]=$O$2,$P$2,HLOOKUP(Table2[[#This Row],[Date]],Funds!$C$10:$GV$11,2,FALSE)))</f>
        <v/>
      </c>
      <c r="J900" s="215" t="str">
        <f>IF(Table2[[#This Row],[Description]]="","",Table2[[#This Row],[Value]]/Table2[[#This Row],[Conversion]])</f>
        <v/>
      </c>
      <c r="K900" s="45" t="str">
        <f>IF(Table2[[#This Row],[Description]]="","",DATE(Table2[[#This Row],[Year]],Table2[[#This Row],[Month]],1))</f>
        <v/>
      </c>
    </row>
    <row r="901" spans="7:11" x14ac:dyDescent="0.25">
      <c r="G901" s="1" t="str">
        <f>IF(Table2[[#This Row],[Description]]="","",VLOOKUP(Table2[[#This Row],[Description]],$Q$1:$S$101,2,FALSE))</f>
        <v/>
      </c>
      <c r="H901" s="1" t="str">
        <f>IF(Table2[[#This Row],[Description]]="","",VLOOKUP(Table2[[#This Row],[Description]],$Q$1:$S$101,3,FALSE))</f>
        <v/>
      </c>
      <c r="I901" s="1" t="str">
        <f>IF(Table2[[#This Row],[Description]]="","",IF(Table2[[#This Row],[Currency]]=$O$2,$P$2,HLOOKUP(Table2[[#This Row],[Date]],Funds!$C$10:$GV$11,2,FALSE)))</f>
        <v/>
      </c>
      <c r="J901" s="215" t="str">
        <f>IF(Table2[[#This Row],[Description]]="","",Table2[[#This Row],[Value]]/Table2[[#This Row],[Conversion]])</f>
        <v/>
      </c>
      <c r="K901" s="45" t="str">
        <f>IF(Table2[[#This Row],[Description]]="","",DATE(Table2[[#This Row],[Year]],Table2[[#This Row],[Month]],1))</f>
        <v/>
      </c>
    </row>
    <row r="902" spans="7:11" x14ac:dyDescent="0.25">
      <c r="G902" s="1" t="str">
        <f>IF(Table2[[#This Row],[Description]]="","",VLOOKUP(Table2[[#This Row],[Description]],$Q$1:$S$101,2,FALSE))</f>
        <v/>
      </c>
      <c r="H902" s="1" t="str">
        <f>IF(Table2[[#This Row],[Description]]="","",VLOOKUP(Table2[[#This Row],[Description]],$Q$1:$S$101,3,FALSE))</f>
        <v/>
      </c>
      <c r="I902" s="1" t="str">
        <f>IF(Table2[[#This Row],[Description]]="","",IF(Table2[[#This Row],[Currency]]=$O$2,$P$2,HLOOKUP(Table2[[#This Row],[Date]],Funds!$C$10:$GV$11,2,FALSE)))</f>
        <v/>
      </c>
      <c r="J902" s="215" t="str">
        <f>IF(Table2[[#This Row],[Description]]="","",Table2[[#This Row],[Value]]/Table2[[#This Row],[Conversion]])</f>
        <v/>
      </c>
      <c r="K902" s="45" t="str">
        <f>IF(Table2[[#This Row],[Description]]="","",DATE(Table2[[#This Row],[Year]],Table2[[#This Row],[Month]],1))</f>
        <v/>
      </c>
    </row>
    <row r="903" spans="7:11" x14ac:dyDescent="0.25">
      <c r="G903" s="1" t="str">
        <f>IF(Table2[[#This Row],[Description]]="","",VLOOKUP(Table2[[#This Row],[Description]],$Q$1:$S$101,2,FALSE))</f>
        <v/>
      </c>
      <c r="H903" s="1" t="str">
        <f>IF(Table2[[#This Row],[Description]]="","",VLOOKUP(Table2[[#This Row],[Description]],$Q$1:$S$101,3,FALSE))</f>
        <v/>
      </c>
      <c r="I903" s="1" t="str">
        <f>IF(Table2[[#This Row],[Description]]="","",IF(Table2[[#This Row],[Currency]]=$O$2,$P$2,HLOOKUP(Table2[[#This Row],[Date]],Funds!$C$10:$GV$11,2,FALSE)))</f>
        <v/>
      </c>
      <c r="J903" s="215" t="str">
        <f>IF(Table2[[#This Row],[Description]]="","",Table2[[#This Row],[Value]]/Table2[[#This Row],[Conversion]])</f>
        <v/>
      </c>
      <c r="K903" s="45" t="str">
        <f>IF(Table2[[#This Row],[Description]]="","",DATE(Table2[[#This Row],[Year]],Table2[[#This Row],[Month]],1))</f>
        <v/>
      </c>
    </row>
    <row r="904" spans="7:11" x14ac:dyDescent="0.25">
      <c r="G904" s="1" t="str">
        <f>IF(Table2[[#This Row],[Description]]="","",VLOOKUP(Table2[[#This Row],[Description]],$Q$1:$S$101,2,FALSE))</f>
        <v/>
      </c>
      <c r="H904" s="1" t="str">
        <f>IF(Table2[[#This Row],[Description]]="","",VLOOKUP(Table2[[#This Row],[Description]],$Q$1:$S$101,3,FALSE))</f>
        <v/>
      </c>
      <c r="I904" s="1" t="str">
        <f>IF(Table2[[#This Row],[Description]]="","",IF(Table2[[#This Row],[Currency]]=$O$2,$P$2,HLOOKUP(Table2[[#This Row],[Date]],Funds!$C$10:$GV$11,2,FALSE)))</f>
        <v/>
      </c>
      <c r="J904" s="215" t="str">
        <f>IF(Table2[[#This Row],[Description]]="","",Table2[[#This Row],[Value]]/Table2[[#This Row],[Conversion]])</f>
        <v/>
      </c>
      <c r="K904" s="45" t="str">
        <f>IF(Table2[[#This Row],[Description]]="","",DATE(Table2[[#This Row],[Year]],Table2[[#This Row],[Month]],1))</f>
        <v/>
      </c>
    </row>
    <row r="905" spans="7:11" x14ac:dyDescent="0.25">
      <c r="G905" s="1" t="str">
        <f>IF(Table2[[#This Row],[Description]]="","",VLOOKUP(Table2[[#This Row],[Description]],$Q$1:$S$101,2,FALSE))</f>
        <v/>
      </c>
      <c r="H905" s="1" t="str">
        <f>IF(Table2[[#This Row],[Description]]="","",VLOOKUP(Table2[[#This Row],[Description]],$Q$1:$S$101,3,FALSE))</f>
        <v/>
      </c>
      <c r="I905" s="1" t="str">
        <f>IF(Table2[[#This Row],[Description]]="","",IF(Table2[[#This Row],[Currency]]=$O$2,$P$2,HLOOKUP(Table2[[#This Row],[Date]],Funds!$C$10:$GV$11,2,FALSE)))</f>
        <v/>
      </c>
      <c r="J905" s="215" t="str">
        <f>IF(Table2[[#This Row],[Description]]="","",Table2[[#This Row],[Value]]/Table2[[#This Row],[Conversion]])</f>
        <v/>
      </c>
      <c r="K905" s="45" t="str">
        <f>IF(Table2[[#This Row],[Description]]="","",DATE(Table2[[#This Row],[Year]],Table2[[#This Row],[Month]],1))</f>
        <v/>
      </c>
    </row>
    <row r="906" spans="7:11" x14ac:dyDescent="0.25">
      <c r="G906" s="1" t="str">
        <f>IF(Table2[[#This Row],[Description]]="","",VLOOKUP(Table2[[#This Row],[Description]],$Q$1:$S$101,2,FALSE))</f>
        <v/>
      </c>
      <c r="H906" s="1" t="str">
        <f>IF(Table2[[#This Row],[Description]]="","",VLOOKUP(Table2[[#This Row],[Description]],$Q$1:$S$101,3,FALSE))</f>
        <v/>
      </c>
      <c r="I906" s="1" t="str">
        <f>IF(Table2[[#This Row],[Description]]="","",IF(Table2[[#This Row],[Currency]]=$O$2,$P$2,HLOOKUP(Table2[[#This Row],[Date]],Funds!$C$10:$GV$11,2,FALSE)))</f>
        <v/>
      </c>
      <c r="J906" s="215" t="str">
        <f>IF(Table2[[#This Row],[Description]]="","",Table2[[#This Row],[Value]]/Table2[[#This Row],[Conversion]])</f>
        <v/>
      </c>
      <c r="K906" s="45" t="str">
        <f>IF(Table2[[#This Row],[Description]]="","",DATE(Table2[[#This Row],[Year]],Table2[[#This Row],[Month]],1))</f>
        <v/>
      </c>
    </row>
    <row r="907" spans="7:11" x14ac:dyDescent="0.25">
      <c r="G907" s="1" t="str">
        <f>IF(Table2[[#This Row],[Description]]="","",VLOOKUP(Table2[[#This Row],[Description]],$Q$1:$S$101,2,FALSE))</f>
        <v/>
      </c>
      <c r="H907" s="1" t="str">
        <f>IF(Table2[[#This Row],[Description]]="","",VLOOKUP(Table2[[#This Row],[Description]],$Q$1:$S$101,3,FALSE))</f>
        <v/>
      </c>
      <c r="I907" s="1" t="str">
        <f>IF(Table2[[#This Row],[Description]]="","",IF(Table2[[#This Row],[Currency]]=$O$2,$P$2,HLOOKUP(Table2[[#This Row],[Date]],Funds!$C$10:$GV$11,2,FALSE)))</f>
        <v/>
      </c>
      <c r="J907" s="215" t="str">
        <f>IF(Table2[[#This Row],[Description]]="","",Table2[[#This Row],[Value]]/Table2[[#This Row],[Conversion]])</f>
        <v/>
      </c>
      <c r="K907" s="45" t="str">
        <f>IF(Table2[[#This Row],[Description]]="","",DATE(Table2[[#This Row],[Year]],Table2[[#This Row],[Month]],1))</f>
        <v/>
      </c>
    </row>
    <row r="908" spans="7:11" x14ac:dyDescent="0.25">
      <c r="G908" s="1" t="str">
        <f>IF(Table2[[#This Row],[Description]]="","",VLOOKUP(Table2[[#This Row],[Description]],$Q$1:$S$101,2,FALSE))</f>
        <v/>
      </c>
      <c r="H908" s="1" t="str">
        <f>IF(Table2[[#This Row],[Description]]="","",VLOOKUP(Table2[[#This Row],[Description]],$Q$1:$S$101,3,FALSE))</f>
        <v/>
      </c>
      <c r="I908" s="1" t="str">
        <f>IF(Table2[[#This Row],[Description]]="","",IF(Table2[[#This Row],[Currency]]=$O$2,$P$2,HLOOKUP(Table2[[#This Row],[Date]],Funds!$C$10:$GV$11,2,FALSE)))</f>
        <v/>
      </c>
      <c r="J908" s="215" t="str">
        <f>IF(Table2[[#This Row],[Description]]="","",Table2[[#This Row],[Value]]/Table2[[#This Row],[Conversion]])</f>
        <v/>
      </c>
      <c r="K908" s="45" t="str">
        <f>IF(Table2[[#This Row],[Description]]="","",DATE(Table2[[#This Row],[Year]],Table2[[#This Row],[Month]],1))</f>
        <v/>
      </c>
    </row>
    <row r="909" spans="7:11" x14ac:dyDescent="0.25">
      <c r="G909" s="1" t="str">
        <f>IF(Table2[[#This Row],[Description]]="","",VLOOKUP(Table2[[#This Row],[Description]],$Q$1:$S$101,2,FALSE))</f>
        <v/>
      </c>
      <c r="H909" s="1" t="str">
        <f>IF(Table2[[#This Row],[Description]]="","",VLOOKUP(Table2[[#This Row],[Description]],$Q$1:$S$101,3,FALSE))</f>
        <v/>
      </c>
      <c r="I909" s="1" t="str">
        <f>IF(Table2[[#This Row],[Description]]="","",IF(Table2[[#This Row],[Currency]]=$O$2,$P$2,HLOOKUP(Table2[[#This Row],[Date]],Funds!$C$10:$GV$11,2,FALSE)))</f>
        <v/>
      </c>
      <c r="J909" s="215" t="str">
        <f>IF(Table2[[#This Row],[Description]]="","",Table2[[#This Row],[Value]]/Table2[[#This Row],[Conversion]])</f>
        <v/>
      </c>
      <c r="K909" s="45" t="str">
        <f>IF(Table2[[#This Row],[Description]]="","",DATE(Table2[[#This Row],[Year]],Table2[[#This Row],[Month]],1))</f>
        <v/>
      </c>
    </row>
    <row r="910" spans="7:11" x14ac:dyDescent="0.25">
      <c r="G910" s="1" t="str">
        <f>IF(Table2[[#This Row],[Description]]="","",VLOOKUP(Table2[[#This Row],[Description]],$Q$1:$S$101,2,FALSE))</f>
        <v/>
      </c>
      <c r="H910" s="1" t="str">
        <f>IF(Table2[[#This Row],[Description]]="","",VLOOKUP(Table2[[#This Row],[Description]],$Q$1:$S$101,3,FALSE))</f>
        <v/>
      </c>
      <c r="I910" s="1" t="str">
        <f>IF(Table2[[#This Row],[Description]]="","",IF(Table2[[#This Row],[Currency]]=$O$2,$P$2,HLOOKUP(Table2[[#This Row],[Date]],Funds!$C$10:$GV$11,2,FALSE)))</f>
        <v/>
      </c>
      <c r="J910" s="215" t="str">
        <f>IF(Table2[[#This Row],[Description]]="","",Table2[[#This Row],[Value]]/Table2[[#This Row],[Conversion]])</f>
        <v/>
      </c>
      <c r="K910" s="45" t="str">
        <f>IF(Table2[[#This Row],[Description]]="","",DATE(Table2[[#This Row],[Year]],Table2[[#This Row],[Month]],1))</f>
        <v/>
      </c>
    </row>
    <row r="911" spans="7:11" x14ac:dyDescent="0.25">
      <c r="G911" s="1" t="str">
        <f>IF(Table2[[#This Row],[Description]]="","",VLOOKUP(Table2[[#This Row],[Description]],$Q$1:$S$101,2,FALSE))</f>
        <v/>
      </c>
      <c r="H911" s="1" t="str">
        <f>IF(Table2[[#This Row],[Description]]="","",VLOOKUP(Table2[[#This Row],[Description]],$Q$1:$S$101,3,FALSE))</f>
        <v/>
      </c>
      <c r="I911" s="1" t="str">
        <f>IF(Table2[[#This Row],[Description]]="","",IF(Table2[[#This Row],[Currency]]=$O$2,$P$2,HLOOKUP(Table2[[#This Row],[Date]],Funds!$C$10:$GV$11,2,FALSE)))</f>
        <v/>
      </c>
      <c r="J911" s="215" t="str">
        <f>IF(Table2[[#This Row],[Description]]="","",Table2[[#This Row],[Value]]/Table2[[#This Row],[Conversion]])</f>
        <v/>
      </c>
      <c r="K911" s="45" t="str">
        <f>IF(Table2[[#This Row],[Description]]="","",DATE(Table2[[#This Row],[Year]],Table2[[#This Row],[Month]],1))</f>
        <v/>
      </c>
    </row>
    <row r="912" spans="7:11" x14ac:dyDescent="0.25">
      <c r="G912" s="1" t="str">
        <f>IF(Table2[[#This Row],[Description]]="","",VLOOKUP(Table2[[#This Row],[Description]],$Q$1:$S$101,2,FALSE))</f>
        <v/>
      </c>
      <c r="H912" s="1" t="str">
        <f>IF(Table2[[#This Row],[Description]]="","",VLOOKUP(Table2[[#This Row],[Description]],$Q$1:$S$101,3,FALSE))</f>
        <v/>
      </c>
      <c r="I912" s="1" t="str">
        <f>IF(Table2[[#This Row],[Description]]="","",IF(Table2[[#This Row],[Currency]]=$O$2,$P$2,HLOOKUP(Table2[[#This Row],[Date]],Funds!$C$10:$GV$11,2,FALSE)))</f>
        <v/>
      </c>
      <c r="J912" s="215" t="str">
        <f>IF(Table2[[#This Row],[Description]]="","",Table2[[#This Row],[Value]]/Table2[[#This Row],[Conversion]])</f>
        <v/>
      </c>
      <c r="K912" s="45" t="str">
        <f>IF(Table2[[#This Row],[Description]]="","",DATE(Table2[[#This Row],[Year]],Table2[[#This Row],[Month]],1))</f>
        <v/>
      </c>
    </row>
    <row r="913" spans="7:11" x14ac:dyDescent="0.25">
      <c r="G913" s="1" t="str">
        <f>IF(Table2[[#This Row],[Description]]="","",VLOOKUP(Table2[[#This Row],[Description]],$Q$1:$S$101,2,FALSE))</f>
        <v/>
      </c>
      <c r="H913" s="1" t="str">
        <f>IF(Table2[[#This Row],[Description]]="","",VLOOKUP(Table2[[#This Row],[Description]],$Q$1:$S$101,3,FALSE))</f>
        <v/>
      </c>
      <c r="I913" s="1" t="str">
        <f>IF(Table2[[#This Row],[Description]]="","",IF(Table2[[#This Row],[Currency]]=$O$2,$P$2,HLOOKUP(Table2[[#This Row],[Date]],Funds!$C$10:$GV$11,2,FALSE)))</f>
        <v/>
      </c>
      <c r="J913" s="215" t="str">
        <f>IF(Table2[[#This Row],[Description]]="","",Table2[[#This Row],[Value]]/Table2[[#This Row],[Conversion]])</f>
        <v/>
      </c>
      <c r="K913" s="45" t="str">
        <f>IF(Table2[[#This Row],[Description]]="","",DATE(Table2[[#This Row],[Year]],Table2[[#This Row],[Month]],1))</f>
        <v/>
      </c>
    </row>
    <row r="914" spans="7:11" x14ac:dyDescent="0.25">
      <c r="G914" s="1" t="str">
        <f>IF(Table2[[#This Row],[Description]]="","",VLOOKUP(Table2[[#This Row],[Description]],$Q$1:$S$101,2,FALSE))</f>
        <v/>
      </c>
      <c r="H914" s="1" t="str">
        <f>IF(Table2[[#This Row],[Description]]="","",VLOOKUP(Table2[[#This Row],[Description]],$Q$1:$S$101,3,FALSE))</f>
        <v/>
      </c>
      <c r="I914" s="1" t="str">
        <f>IF(Table2[[#This Row],[Description]]="","",IF(Table2[[#This Row],[Currency]]=$O$2,$P$2,HLOOKUP(Table2[[#This Row],[Date]],Funds!$C$10:$GV$11,2,FALSE)))</f>
        <v/>
      </c>
      <c r="J914" s="215" t="str">
        <f>IF(Table2[[#This Row],[Description]]="","",Table2[[#This Row],[Value]]/Table2[[#This Row],[Conversion]])</f>
        <v/>
      </c>
      <c r="K914" s="45" t="str">
        <f>IF(Table2[[#This Row],[Description]]="","",DATE(Table2[[#This Row],[Year]],Table2[[#This Row],[Month]],1))</f>
        <v/>
      </c>
    </row>
    <row r="915" spans="7:11" x14ac:dyDescent="0.25">
      <c r="G915" s="1" t="str">
        <f>IF(Table2[[#This Row],[Description]]="","",VLOOKUP(Table2[[#This Row],[Description]],$Q$1:$S$101,2,FALSE))</f>
        <v/>
      </c>
      <c r="H915" s="1" t="str">
        <f>IF(Table2[[#This Row],[Description]]="","",VLOOKUP(Table2[[#This Row],[Description]],$Q$1:$S$101,3,FALSE))</f>
        <v/>
      </c>
      <c r="I915" s="1" t="str">
        <f>IF(Table2[[#This Row],[Description]]="","",IF(Table2[[#This Row],[Currency]]=$O$2,$P$2,HLOOKUP(Table2[[#This Row],[Date]],Funds!$C$10:$GV$11,2,FALSE)))</f>
        <v/>
      </c>
      <c r="J915" s="215" t="str">
        <f>IF(Table2[[#This Row],[Description]]="","",Table2[[#This Row],[Value]]/Table2[[#This Row],[Conversion]])</f>
        <v/>
      </c>
      <c r="K915" s="45" t="str">
        <f>IF(Table2[[#This Row],[Description]]="","",DATE(Table2[[#This Row],[Year]],Table2[[#This Row],[Month]],1))</f>
        <v/>
      </c>
    </row>
    <row r="916" spans="7:11" x14ac:dyDescent="0.25">
      <c r="G916" s="1" t="str">
        <f>IF(Table2[[#This Row],[Description]]="","",VLOOKUP(Table2[[#This Row],[Description]],$Q$1:$S$101,2,FALSE))</f>
        <v/>
      </c>
      <c r="H916" s="1" t="str">
        <f>IF(Table2[[#This Row],[Description]]="","",VLOOKUP(Table2[[#This Row],[Description]],$Q$1:$S$101,3,FALSE))</f>
        <v/>
      </c>
      <c r="I916" s="1" t="str">
        <f>IF(Table2[[#This Row],[Description]]="","",IF(Table2[[#This Row],[Currency]]=$O$2,$P$2,HLOOKUP(Table2[[#This Row],[Date]],Funds!$C$10:$GV$11,2,FALSE)))</f>
        <v/>
      </c>
      <c r="J916" s="215" t="str">
        <f>IF(Table2[[#This Row],[Description]]="","",Table2[[#This Row],[Value]]/Table2[[#This Row],[Conversion]])</f>
        <v/>
      </c>
      <c r="K916" s="45" t="str">
        <f>IF(Table2[[#This Row],[Description]]="","",DATE(Table2[[#This Row],[Year]],Table2[[#This Row],[Month]],1))</f>
        <v/>
      </c>
    </row>
    <row r="917" spans="7:11" x14ac:dyDescent="0.25">
      <c r="G917" s="1" t="str">
        <f>IF(Table2[[#This Row],[Description]]="","",VLOOKUP(Table2[[#This Row],[Description]],$Q$1:$S$101,2,FALSE))</f>
        <v/>
      </c>
      <c r="H917" s="1" t="str">
        <f>IF(Table2[[#This Row],[Description]]="","",VLOOKUP(Table2[[#This Row],[Description]],$Q$1:$S$101,3,FALSE))</f>
        <v/>
      </c>
      <c r="I917" s="1" t="str">
        <f>IF(Table2[[#This Row],[Description]]="","",IF(Table2[[#This Row],[Currency]]=$O$2,$P$2,HLOOKUP(Table2[[#This Row],[Date]],Funds!$C$10:$GV$11,2,FALSE)))</f>
        <v/>
      </c>
      <c r="J917" s="215" t="str">
        <f>IF(Table2[[#This Row],[Description]]="","",Table2[[#This Row],[Value]]/Table2[[#This Row],[Conversion]])</f>
        <v/>
      </c>
      <c r="K917" s="45" t="str">
        <f>IF(Table2[[#This Row],[Description]]="","",DATE(Table2[[#This Row],[Year]],Table2[[#This Row],[Month]],1))</f>
        <v/>
      </c>
    </row>
    <row r="918" spans="7:11" x14ac:dyDescent="0.25">
      <c r="G918" s="1" t="str">
        <f>IF(Table2[[#This Row],[Description]]="","",VLOOKUP(Table2[[#This Row],[Description]],$Q$1:$S$101,2,FALSE))</f>
        <v/>
      </c>
      <c r="H918" s="1" t="str">
        <f>IF(Table2[[#This Row],[Description]]="","",VLOOKUP(Table2[[#This Row],[Description]],$Q$1:$S$101,3,FALSE))</f>
        <v/>
      </c>
      <c r="I918" s="1" t="str">
        <f>IF(Table2[[#This Row],[Description]]="","",IF(Table2[[#This Row],[Currency]]=$O$2,$P$2,HLOOKUP(Table2[[#This Row],[Date]],Funds!$C$10:$GV$11,2,FALSE)))</f>
        <v/>
      </c>
      <c r="J918" s="215" t="str">
        <f>IF(Table2[[#This Row],[Description]]="","",Table2[[#This Row],[Value]]/Table2[[#This Row],[Conversion]])</f>
        <v/>
      </c>
      <c r="K918" s="45" t="str">
        <f>IF(Table2[[#This Row],[Description]]="","",DATE(Table2[[#This Row],[Year]],Table2[[#This Row],[Month]],1))</f>
        <v/>
      </c>
    </row>
    <row r="919" spans="7:11" x14ac:dyDescent="0.25">
      <c r="G919" s="1" t="str">
        <f>IF(Table2[[#This Row],[Description]]="","",VLOOKUP(Table2[[#This Row],[Description]],$Q$1:$S$101,2,FALSE))</f>
        <v/>
      </c>
      <c r="H919" s="1" t="str">
        <f>IF(Table2[[#This Row],[Description]]="","",VLOOKUP(Table2[[#This Row],[Description]],$Q$1:$S$101,3,FALSE))</f>
        <v/>
      </c>
      <c r="I919" s="1" t="str">
        <f>IF(Table2[[#This Row],[Description]]="","",IF(Table2[[#This Row],[Currency]]=$O$2,$P$2,HLOOKUP(Table2[[#This Row],[Date]],Funds!$C$10:$GV$11,2,FALSE)))</f>
        <v/>
      </c>
      <c r="J919" s="215" t="str">
        <f>IF(Table2[[#This Row],[Description]]="","",Table2[[#This Row],[Value]]/Table2[[#This Row],[Conversion]])</f>
        <v/>
      </c>
      <c r="K919" s="45" t="str">
        <f>IF(Table2[[#This Row],[Description]]="","",DATE(Table2[[#This Row],[Year]],Table2[[#This Row],[Month]],1))</f>
        <v/>
      </c>
    </row>
    <row r="920" spans="7:11" x14ac:dyDescent="0.25">
      <c r="G920" s="1" t="str">
        <f>IF(Table2[[#This Row],[Description]]="","",VLOOKUP(Table2[[#This Row],[Description]],$Q$1:$S$101,2,FALSE))</f>
        <v/>
      </c>
      <c r="H920" s="1" t="str">
        <f>IF(Table2[[#This Row],[Description]]="","",VLOOKUP(Table2[[#This Row],[Description]],$Q$1:$S$101,3,FALSE))</f>
        <v/>
      </c>
      <c r="I920" s="1" t="str">
        <f>IF(Table2[[#This Row],[Description]]="","",IF(Table2[[#This Row],[Currency]]=$O$2,$P$2,HLOOKUP(Table2[[#This Row],[Date]],Funds!$C$10:$GV$11,2,FALSE)))</f>
        <v/>
      </c>
      <c r="J920" s="215" t="str">
        <f>IF(Table2[[#This Row],[Description]]="","",Table2[[#This Row],[Value]]/Table2[[#This Row],[Conversion]])</f>
        <v/>
      </c>
      <c r="K920" s="45" t="str">
        <f>IF(Table2[[#This Row],[Description]]="","",DATE(Table2[[#This Row],[Year]],Table2[[#This Row],[Month]],1))</f>
        <v/>
      </c>
    </row>
    <row r="921" spans="7:11" x14ac:dyDescent="0.25">
      <c r="G921" s="1" t="str">
        <f>IF(Table2[[#This Row],[Description]]="","",VLOOKUP(Table2[[#This Row],[Description]],$Q$1:$S$101,2,FALSE))</f>
        <v/>
      </c>
      <c r="H921" s="1" t="str">
        <f>IF(Table2[[#This Row],[Description]]="","",VLOOKUP(Table2[[#This Row],[Description]],$Q$1:$S$101,3,FALSE))</f>
        <v/>
      </c>
      <c r="I921" s="1" t="str">
        <f>IF(Table2[[#This Row],[Description]]="","",IF(Table2[[#This Row],[Currency]]=$O$2,$P$2,HLOOKUP(Table2[[#This Row],[Date]],Funds!$C$10:$GV$11,2,FALSE)))</f>
        <v/>
      </c>
      <c r="J921" s="215" t="str">
        <f>IF(Table2[[#This Row],[Description]]="","",Table2[[#This Row],[Value]]/Table2[[#This Row],[Conversion]])</f>
        <v/>
      </c>
      <c r="K921" s="45" t="str">
        <f>IF(Table2[[#This Row],[Description]]="","",DATE(Table2[[#This Row],[Year]],Table2[[#This Row],[Month]],1))</f>
        <v/>
      </c>
    </row>
    <row r="922" spans="7:11" x14ac:dyDescent="0.25">
      <c r="G922" s="1" t="str">
        <f>IF(Table2[[#This Row],[Description]]="","",VLOOKUP(Table2[[#This Row],[Description]],$Q$1:$S$101,2,FALSE))</f>
        <v/>
      </c>
      <c r="H922" s="1" t="str">
        <f>IF(Table2[[#This Row],[Description]]="","",VLOOKUP(Table2[[#This Row],[Description]],$Q$1:$S$101,3,FALSE))</f>
        <v/>
      </c>
      <c r="I922" s="1" t="str">
        <f>IF(Table2[[#This Row],[Description]]="","",IF(Table2[[#This Row],[Currency]]=$O$2,$P$2,HLOOKUP(Table2[[#This Row],[Date]],Funds!$C$10:$GV$11,2,FALSE)))</f>
        <v/>
      </c>
      <c r="J922" s="215" t="str">
        <f>IF(Table2[[#This Row],[Description]]="","",Table2[[#This Row],[Value]]/Table2[[#This Row],[Conversion]])</f>
        <v/>
      </c>
      <c r="K922" s="45" t="str">
        <f>IF(Table2[[#This Row],[Description]]="","",DATE(Table2[[#This Row],[Year]],Table2[[#This Row],[Month]],1))</f>
        <v/>
      </c>
    </row>
    <row r="923" spans="7:11" x14ac:dyDescent="0.25">
      <c r="G923" s="1" t="str">
        <f>IF(Table2[[#This Row],[Description]]="","",VLOOKUP(Table2[[#This Row],[Description]],$Q$1:$S$101,2,FALSE))</f>
        <v/>
      </c>
      <c r="H923" s="1" t="str">
        <f>IF(Table2[[#This Row],[Description]]="","",VLOOKUP(Table2[[#This Row],[Description]],$Q$1:$S$101,3,FALSE))</f>
        <v/>
      </c>
      <c r="I923" s="1" t="str">
        <f>IF(Table2[[#This Row],[Description]]="","",IF(Table2[[#This Row],[Currency]]=$O$2,$P$2,HLOOKUP(Table2[[#This Row],[Date]],Funds!$C$10:$GV$11,2,FALSE)))</f>
        <v/>
      </c>
      <c r="J923" s="215" t="str">
        <f>IF(Table2[[#This Row],[Description]]="","",Table2[[#This Row],[Value]]/Table2[[#This Row],[Conversion]])</f>
        <v/>
      </c>
      <c r="K923" s="45" t="str">
        <f>IF(Table2[[#This Row],[Description]]="","",DATE(Table2[[#This Row],[Year]],Table2[[#This Row],[Month]],1))</f>
        <v/>
      </c>
    </row>
    <row r="924" spans="7:11" x14ac:dyDescent="0.25">
      <c r="G924" s="1" t="str">
        <f>IF(Table2[[#This Row],[Description]]="","",VLOOKUP(Table2[[#This Row],[Description]],$Q$1:$S$101,2,FALSE))</f>
        <v/>
      </c>
      <c r="H924" s="1" t="str">
        <f>IF(Table2[[#This Row],[Description]]="","",VLOOKUP(Table2[[#This Row],[Description]],$Q$1:$S$101,3,FALSE))</f>
        <v/>
      </c>
      <c r="I924" s="1" t="str">
        <f>IF(Table2[[#This Row],[Description]]="","",IF(Table2[[#This Row],[Currency]]=$O$2,$P$2,HLOOKUP(Table2[[#This Row],[Date]],Funds!$C$10:$GV$11,2,FALSE)))</f>
        <v/>
      </c>
      <c r="J924" s="215" t="str">
        <f>IF(Table2[[#This Row],[Description]]="","",Table2[[#This Row],[Value]]/Table2[[#This Row],[Conversion]])</f>
        <v/>
      </c>
      <c r="K924" s="45" t="str">
        <f>IF(Table2[[#This Row],[Description]]="","",DATE(Table2[[#This Row],[Year]],Table2[[#This Row],[Month]],1))</f>
        <v/>
      </c>
    </row>
    <row r="925" spans="7:11" x14ac:dyDescent="0.25">
      <c r="G925" s="1" t="str">
        <f>IF(Table2[[#This Row],[Description]]="","",VLOOKUP(Table2[[#This Row],[Description]],$Q$1:$S$101,2,FALSE))</f>
        <v/>
      </c>
      <c r="H925" s="1" t="str">
        <f>IF(Table2[[#This Row],[Description]]="","",VLOOKUP(Table2[[#This Row],[Description]],$Q$1:$S$101,3,FALSE))</f>
        <v/>
      </c>
      <c r="I925" s="1" t="str">
        <f>IF(Table2[[#This Row],[Description]]="","",IF(Table2[[#This Row],[Currency]]=$O$2,$P$2,HLOOKUP(Table2[[#This Row],[Date]],Funds!$C$10:$GV$11,2,FALSE)))</f>
        <v/>
      </c>
      <c r="J925" s="215" t="str">
        <f>IF(Table2[[#This Row],[Description]]="","",Table2[[#This Row],[Value]]/Table2[[#This Row],[Conversion]])</f>
        <v/>
      </c>
      <c r="K925" s="45" t="str">
        <f>IF(Table2[[#This Row],[Description]]="","",DATE(Table2[[#This Row],[Year]],Table2[[#This Row],[Month]],1))</f>
        <v/>
      </c>
    </row>
    <row r="926" spans="7:11" x14ac:dyDescent="0.25">
      <c r="G926" s="1" t="str">
        <f>IF(Table2[[#This Row],[Description]]="","",VLOOKUP(Table2[[#This Row],[Description]],$Q$1:$S$101,2,FALSE))</f>
        <v/>
      </c>
      <c r="H926" s="1" t="str">
        <f>IF(Table2[[#This Row],[Description]]="","",VLOOKUP(Table2[[#This Row],[Description]],$Q$1:$S$101,3,FALSE))</f>
        <v/>
      </c>
      <c r="I926" s="1" t="str">
        <f>IF(Table2[[#This Row],[Description]]="","",IF(Table2[[#This Row],[Currency]]=$O$2,$P$2,HLOOKUP(Table2[[#This Row],[Date]],Funds!$C$10:$GV$11,2,FALSE)))</f>
        <v/>
      </c>
      <c r="J926" s="215" t="str">
        <f>IF(Table2[[#This Row],[Description]]="","",Table2[[#This Row],[Value]]/Table2[[#This Row],[Conversion]])</f>
        <v/>
      </c>
      <c r="K926" s="45" t="str">
        <f>IF(Table2[[#This Row],[Description]]="","",DATE(Table2[[#This Row],[Year]],Table2[[#This Row],[Month]],1))</f>
        <v/>
      </c>
    </row>
    <row r="927" spans="7:11" x14ac:dyDescent="0.25">
      <c r="G927" s="1" t="str">
        <f>IF(Table2[[#This Row],[Description]]="","",VLOOKUP(Table2[[#This Row],[Description]],$Q$1:$S$101,2,FALSE))</f>
        <v/>
      </c>
      <c r="H927" s="1" t="str">
        <f>IF(Table2[[#This Row],[Description]]="","",VLOOKUP(Table2[[#This Row],[Description]],$Q$1:$S$101,3,FALSE))</f>
        <v/>
      </c>
      <c r="I927" s="1" t="str">
        <f>IF(Table2[[#This Row],[Description]]="","",IF(Table2[[#This Row],[Currency]]=$O$2,$P$2,HLOOKUP(Table2[[#This Row],[Date]],Funds!$C$10:$GV$11,2,FALSE)))</f>
        <v/>
      </c>
      <c r="J927" s="215" t="str">
        <f>IF(Table2[[#This Row],[Description]]="","",Table2[[#This Row],[Value]]/Table2[[#This Row],[Conversion]])</f>
        <v/>
      </c>
      <c r="K927" s="45" t="str">
        <f>IF(Table2[[#This Row],[Description]]="","",DATE(Table2[[#This Row],[Year]],Table2[[#This Row],[Month]],1))</f>
        <v/>
      </c>
    </row>
    <row r="928" spans="7:11" x14ac:dyDescent="0.25">
      <c r="G928" s="1" t="str">
        <f>IF(Table2[[#This Row],[Description]]="","",VLOOKUP(Table2[[#This Row],[Description]],$Q$1:$S$101,2,FALSE))</f>
        <v/>
      </c>
      <c r="H928" s="1" t="str">
        <f>IF(Table2[[#This Row],[Description]]="","",VLOOKUP(Table2[[#This Row],[Description]],$Q$1:$S$101,3,FALSE))</f>
        <v/>
      </c>
      <c r="I928" s="1" t="str">
        <f>IF(Table2[[#This Row],[Description]]="","",IF(Table2[[#This Row],[Currency]]=$O$2,$P$2,HLOOKUP(Table2[[#This Row],[Date]],Funds!$C$10:$GV$11,2,FALSE)))</f>
        <v/>
      </c>
      <c r="J928" s="215" t="str">
        <f>IF(Table2[[#This Row],[Description]]="","",Table2[[#This Row],[Value]]/Table2[[#This Row],[Conversion]])</f>
        <v/>
      </c>
      <c r="K928" s="45" t="str">
        <f>IF(Table2[[#This Row],[Description]]="","",DATE(Table2[[#This Row],[Year]],Table2[[#This Row],[Month]],1))</f>
        <v/>
      </c>
    </row>
    <row r="929" spans="7:11" x14ac:dyDescent="0.25">
      <c r="G929" s="1" t="str">
        <f>IF(Table2[[#This Row],[Description]]="","",VLOOKUP(Table2[[#This Row],[Description]],$Q$1:$S$101,2,FALSE))</f>
        <v/>
      </c>
      <c r="H929" s="1" t="str">
        <f>IF(Table2[[#This Row],[Description]]="","",VLOOKUP(Table2[[#This Row],[Description]],$Q$1:$S$101,3,FALSE))</f>
        <v/>
      </c>
      <c r="I929" s="1" t="str">
        <f>IF(Table2[[#This Row],[Description]]="","",IF(Table2[[#This Row],[Currency]]=$O$2,$P$2,HLOOKUP(Table2[[#This Row],[Date]],Funds!$C$10:$GV$11,2,FALSE)))</f>
        <v/>
      </c>
      <c r="J929" s="215" t="str">
        <f>IF(Table2[[#This Row],[Description]]="","",Table2[[#This Row],[Value]]/Table2[[#This Row],[Conversion]])</f>
        <v/>
      </c>
      <c r="K929" s="45" t="str">
        <f>IF(Table2[[#This Row],[Description]]="","",DATE(Table2[[#This Row],[Year]],Table2[[#This Row],[Month]],1))</f>
        <v/>
      </c>
    </row>
    <row r="930" spans="7:11" x14ac:dyDescent="0.25">
      <c r="G930" s="1" t="str">
        <f>IF(Table2[[#This Row],[Description]]="","",VLOOKUP(Table2[[#This Row],[Description]],$Q$1:$S$101,2,FALSE))</f>
        <v/>
      </c>
      <c r="H930" s="1" t="str">
        <f>IF(Table2[[#This Row],[Description]]="","",VLOOKUP(Table2[[#This Row],[Description]],$Q$1:$S$101,3,FALSE))</f>
        <v/>
      </c>
      <c r="I930" s="1" t="str">
        <f>IF(Table2[[#This Row],[Description]]="","",IF(Table2[[#This Row],[Currency]]=$O$2,$P$2,HLOOKUP(Table2[[#This Row],[Date]],Funds!$C$10:$GV$11,2,FALSE)))</f>
        <v/>
      </c>
      <c r="J930" s="215" t="str">
        <f>IF(Table2[[#This Row],[Description]]="","",Table2[[#This Row],[Value]]/Table2[[#This Row],[Conversion]])</f>
        <v/>
      </c>
      <c r="K930" s="45" t="str">
        <f>IF(Table2[[#This Row],[Description]]="","",DATE(Table2[[#This Row],[Year]],Table2[[#This Row],[Month]],1))</f>
        <v/>
      </c>
    </row>
    <row r="931" spans="7:11" x14ac:dyDescent="0.25">
      <c r="G931" s="1" t="str">
        <f>IF(Table2[[#This Row],[Description]]="","",VLOOKUP(Table2[[#This Row],[Description]],$Q$1:$S$101,2,FALSE))</f>
        <v/>
      </c>
      <c r="H931" s="1" t="str">
        <f>IF(Table2[[#This Row],[Description]]="","",VLOOKUP(Table2[[#This Row],[Description]],$Q$1:$S$101,3,FALSE))</f>
        <v/>
      </c>
      <c r="I931" s="1" t="str">
        <f>IF(Table2[[#This Row],[Description]]="","",IF(Table2[[#This Row],[Currency]]=$O$2,$P$2,HLOOKUP(Table2[[#This Row],[Date]],Funds!$C$10:$GV$11,2,FALSE)))</f>
        <v/>
      </c>
      <c r="J931" s="215" t="str">
        <f>IF(Table2[[#This Row],[Description]]="","",Table2[[#This Row],[Value]]/Table2[[#This Row],[Conversion]])</f>
        <v/>
      </c>
      <c r="K931" s="45" t="str">
        <f>IF(Table2[[#This Row],[Description]]="","",DATE(Table2[[#This Row],[Year]],Table2[[#This Row],[Month]],1))</f>
        <v/>
      </c>
    </row>
    <row r="932" spans="7:11" x14ac:dyDescent="0.25">
      <c r="G932" s="1" t="str">
        <f>IF(Table2[[#This Row],[Description]]="","",VLOOKUP(Table2[[#This Row],[Description]],$Q$1:$S$101,2,FALSE))</f>
        <v/>
      </c>
      <c r="H932" s="1" t="str">
        <f>IF(Table2[[#This Row],[Description]]="","",VLOOKUP(Table2[[#This Row],[Description]],$Q$1:$S$101,3,FALSE))</f>
        <v/>
      </c>
      <c r="I932" s="1" t="str">
        <f>IF(Table2[[#This Row],[Description]]="","",IF(Table2[[#This Row],[Currency]]=$O$2,$P$2,HLOOKUP(Table2[[#This Row],[Date]],Funds!$C$10:$GV$11,2,FALSE)))</f>
        <v/>
      </c>
      <c r="J932" s="215" t="str">
        <f>IF(Table2[[#This Row],[Description]]="","",Table2[[#This Row],[Value]]/Table2[[#This Row],[Conversion]])</f>
        <v/>
      </c>
      <c r="K932" s="45" t="str">
        <f>IF(Table2[[#This Row],[Description]]="","",DATE(Table2[[#This Row],[Year]],Table2[[#This Row],[Month]],1))</f>
        <v/>
      </c>
    </row>
    <row r="933" spans="7:11" x14ac:dyDescent="0.25">
      <c r="G933" s="1" t="str">
        <f>IF(Table2[[#This Row],[Description]]="","",VLOOKUP(Table2[[#This Row],[Description]],$Q$1:$S$101,2,FALSE))</f>
        <v/>
      </c>
      <c r="H933" s="1" t="str">
        <f>IF(Table2[[#This Row],[Description]]="","",VLOOKUP(Table2[[#This Row],[Description]],$Q$1:$S$101,3,FALSE))</f>
        <v/>
      </c>
      <c r="I933" s="1" t="str">
        <f>IF(Table2[[#This Row],[Description]]="","",IF(Table2[[#This Row],[Currency]]=$O$2,$P$2,HLOOKUP(Table2[[#This Row],[Date]],Funds!$C$10:$GV$11,2,FALSE)))</f>
        <v/>
      </c>
      <c r="J933" s="215" t="str">
        <f>IF(Table2[[#This Row],[Description]]="","",Table2[[#This Row],[Value]]/Table2[[#This Row],[Conversion]])</f>
        <v/>
      </c>
      <c r="K933" s="45" t="str">
        <f>IF(Table2[[#This Row],[Description]]="","",DATE(Table2[[#This Row],[Year]],Table2[[#This Row],[Month]],1))</f>
        <v/>
      </c>
    </row>
    <row r="934" spans="7:11" x14ac:dyDescent="0.25">
      <c r="G934" s="1" t="str">
        <f>IF(Table2[[#This Row],[Description]]="","",VLOOKUP(Table2[[#This Row],[Description]],$Q$1:$S$101,2,FALSE))</f>
        <v/>
      </c>
      <c r="H934" s="1" t="str">
        <f>IF(Table2[[#This Row],[Description]]="","",VLOOKUP(Table2[[#This Row],[Description]],$Q$1:$S$101,3,FALSE))</f>
        <v/>
      </c>
      <c r="I934" s="1" t="str">
        <f>IF(Table2[[#This Row],[Description]]="","",IF(Table2[[#This Row],[Currency]]=$O$2,$P$2,HLOOKUP(Table2[[#This Row],[Date]],Funds!$C$10:$GV$11,2,FALSE)))</f>
        <v/>
      </c>
      <c r="J934" s="215" t="str">
        <f>IF(Table2[[#This Row],[Description]]="","",Table2[[#This Row],[Value]]/Table2[[#This Row],[Conversion]])</f>
        <v/>
      </c>
      <c r="K934" s="45" t="str">
        <f>IF(Table2[[#This Row],[Description]]="","",DATE(Table2[[#This Row],[Year]],Table2[[#This Row],[Month]],1))</f>
        <v/>
      </c>
    </row>
    <row r="935" spans="7:11" x14ac:dyDescent="0.25">
      <c r="G935" s="1" t="str">
        <f>IF(Table2[[#This Row],[Description]]="","",VLOOKUP(Table2[[#This Row],[Description]],$Q$1:$S$101,2,FALSE))</f>
        <v/>
      </c>
      <c r="H935" s="1" t="str">
        <f>IF(Table2[[#This Row],[Description]]="","",VLOOKUP(Table2[[#This Row],[Description]],$Q$1:$S$101,3,FALSE))</f>
        <v/>
      </c>
      <c r="I935" s="1" t="str">
        <f>IF(Table2[[#This Row],[Description]]="","",IF(Table2[[#This Row],[Currency]]=$O$2,$P$2,HLOOKUP(Table2[[#This Row],[Date]],Funds!$C$10:$GV$11,2,FALSE)))</f>
        <v/>
      </c>
      <c r="J935" s="215" t="str">
        <f>IF(Table2[[#This Row],[Description]]="","",Table2[[#This Row],[Value]]/Table2[[#This Row],[Conversion]])</f>
        <v/>
      </c>
      <c r="K935" s="45" t="str">
        <f>IF(Table2[[#This Row],[Description]]="","",DATE(Table2[[#This Row],[Year]],Table2[[#This Row],[Month]],1))</f>
        <v/>
      </c>
    </row>
    <row r="936" spans="7:11" x14ac:dyDescent="0.25">
      <c r="G936" s="1" t="str">
        <f>IF(Table2[[#This Row],[Description]]="","",VLOOKUP(Table2[[#This Row],[Description]],$Q$1:$S$101,2,FALSE))</f>
        <v/>
      </c>
      <c r="H936" s="1" t="str">
        <f>IF(Table2[[#This Row],[Description]]="","",VLOOKUP(Table2[[#This Row],[Description]],$Q$1:$S$101,3,FALSE))</f>
        <v/>
      </c>
      <c r="I936" s="1" t="str">
        <f>IF(Table2[[#This Row],[Description]]="","",IF(Table2[[#This Row],[Currency]]=$O$2,$P$2,HLOOKUP(Table2[[#This Row],[Date]],Funds!$C$10:$GV$11,2,FALSE)))</f>
        <v/>
      </c>
      <c r="J936" s="215" t="str">
        <f>IF(Table2[[#This Row],[Description]]="","",Table2[[#This Row],[Value]]/Table2[[#This Row],[Conversion]])</f>
        <v/>
      </c>
      <c r="K936" s="45" t="str">
        <f>IF(Table2[[#This Row],[Description]]="","",DATE(Table2[[#This Row],[Year]],Table2[[#This Row],[Month]],1))</f>
        <v/>
      </c>
    </row>
    <row r="937" spans="7:11" x14ac:dyDescent="0.25">
      <c r="G937" s="1" t="str">
        <f>IF(Table2[[#This Row],[Description]]="","",VLOOKUP(Table2[[#This Row],[Description]],$Q$1:$S$101,2,FALSE))</f>
        <v/>
      </c>
      <c r="H937" s="1" t="str">
        <f>IF(Table2[[#This Row],[Description]]="","",VLOOKUP(Table2[[#This Row],[Description]],$Q$1:$S$101,3,FALSE))</f>
        <v/>
      </c>
      <c r="I937" s="1" t="str">
        <f>IF(Table2[[#This Row],[Description]]="","",IF(Table2[[#This Row],[Currency]]=$O$2,$P$2,HLOOKUP(Table2[[#This Row],[Date]],Funds!$C$10:$GV$11,2,FALSE)))</f>
        <v/>
      </c>
      <c r="J937" s="215" t="str">
        <f>IF(Table2[[#This Row],[Description]]="","",Table2[[#This Row],[Value]]/Table2[[#This Row],[Conversion]])</f>
        <v/>
      </c>
      <c r="K937" s="45" t="str">
        <f>IF(Table2[[#This Row],[Description]]="","",DATE(Table2[[#This Row],[Year]],Table2[[#This Row],[Month]],1))</f>
        <v/>
      </c>
    </row>
    <row r="938" spans="7:11" x14ac:dyDescent="0.25">
      <c r="G938" s="1" t="str">
        <f>IF(Table2[[#This Row],[Description]]="","",VLOOKUP(Table2[[#This Row],[Description]],$Q$1:$S$101,2,FALSE))</f>
        <v/>
      </c>
      <c r="H938" s="1" t="str">
        <f>IF(Table2[[#This Row],[Description]]="","",VLOOKUP(Table2[[#This Row],[Description]],$Q$1:$S$101,3,FALSE))</f>
        <v/>
      </c>
      <c r="I938" s="1" t="str">
        <f>IF(Table2[[#This Row],[Description]]="","",IF(Table2[[#This Row],[Currency]]=$O$2,$P$2,HLOOKUP(Table2[[#This Row],[Date]],Funds!$C$10:$GV$11,2,FALSE)))</f>
        <v/>
      </c>
      <c r="J938" s="215" t="str">
        <f>IF(Table2[[#This Row],[Description]]="","",Table2[[#This Row],[Value]]/Table2[[#This Row],[Conversion]])</f>
        <v/>
      </c>
      <c r="K938" s="45" t="str">
        <f>IF(Table2[[#This Row],[Description]]="","",DATE(Table2[[#This Row],[Year]],Table2[[#This Row],[Month]],1))</f>
        <v/>
      </c>
    </row>
    <row r="939" spans="7:11" x14ac:dyDescent="0.25">
      <c r="G939" s="1" t="str">
        <f>IF(Table2[[#This Row],[Description]]="","",VLOOKUP(Table2[[#This Row],[Description]],$Q$1:$S$101,2,FALSE))</f>
        <v/>
      </c>
      <c r="H939" s="1" t="str">
        <f>IF(Table2[[#This Row],[Description]]="","",VLOOKUP(Table2[[#This Row],[Description]],$Q$1:$S$101,3,FALSE))</f>
        <v/>
      </c>
      <c r="I939" s="1" t="str">
        <f>IF(Table2[[#This Row],[Description]]="","",IF(Table2[[#This Row],[Currency]]=$O$2,$P$2,HLOOKUP(Table2[[#This Row],[Date]],Funds!$C$10:$GV$11,2,FALSE)))</f>
        <v/>
      </c>
      <c r="J939" s="215" t="str">
        <f>IF(Table2[[#This Row],[Description]]="","",Table2[[#This Row],[Value]]/Table2[[#This Row],[Conversion]])</f>
        <v/>
      </c>
      <c r="K939" s="45" t="str">
        <f>IF(Table2[[#This Row],[Description]]="","",DATE(Table2[[#This Row],[Year]],Table2[[#This Row],[Month]],1))</f>
        <v/>
      </c>
    </row>
    <row r="940" spans="7:11" x14ac:dyDescent="0.25">
      <c r="G940" s="1" t="str">
        <f>IF(Table2[[#This Row],[Description]]="","",VLOOKUP(Table2[[#This Row],[Description]],$Q$1:$S$101,2,FALSE))</f>
        <v/>
      </c>
      <c r="H940" s="1" t="str">
        <f>IF(Table2[[#This Row],[Description]]="","",VLOOKUP(Table2[[#This Row],[Description]],$Q$1:$S$101,3,FALSE))</f>
        <v/>
      </c>
      <c r="I940" s="1" t="str">
        <f>IF(Table2[[#This Row],[Description]]="","",IF(Table2[[#This Row],[Currency]]=$O$2,$P$2,HLOOKUP(Table2[[#This Row],[Date]],Funds!$C$10:$GV$11,2,FALSE)))</f>
        <v/>
      </c>
      <c r="J940" s="215" t="str">
        <f>IF(Table2[[#This Row],[Description]]="","",Table2[[#This Row],[Value]]/Table2[[#This Row],[Conversion]])</f>
        <v/>
      </c>
      <c r="K940" s="45" t="str">
        <f>IF(Table2[[#This Row],[Description]]="","",DATE(Table2[[#This Row],[Year]],Table2[[#This Row],[Month]],1))</f>
        <v/>
      </c>
    </row>
    <row r="941" spans="7:11" x14ac:dyDescent="0.25">
      <c r="G941" s="1" t="str">
        <f>IF(Table2[[#This Row],[Description]]="","",VLOOKUP(Table2[[#This Row],[Description]],$Q$1:$S$101,2,FALSE))</f>
        <v/>
      </c>
      <c r="H941" s="1" t="str">
        <f>IF(Table2[[#This Row],[Description]]="","",VLOOKUP(Table2[[#This Row],[Description]],$Q$1:$S$101,3,FALSE))</f>
        <v/>
      </c>
      <c r="I941" s="1" t="str">
        <f>IF(Table2[[#This Row],[Description]]="","",IF(Table2[[#This Row],[Currency]]=$O$2,$P$2,HLOOKUP(Table2[[#This Row],[Date]],Funds!$C$10:$GV$11,2,FALSE)))</f>
        <v/>
      </c>
      <c r="J941" s="215" t="str">
        <f>IF(Table2[[#This Row],[Description]]="","",Table2[[#This Row],[Value]]/Table2[[#This Row],[Conversion]])</f>
        <v/>
      </c>
      <c r="K941" s="45" t="str">
        <f>IF(Table2[[#This Row],[Description]]="","",DATE(Table2[[#This Row],[Year]],Table2[[#This Row],[Month]],1))</f>
        <v/>
      </c>
    </row>
    <row r="942" spans="7:11" x14ac:dyDescent="0.25">
      <c r="G942" s="1" t="str">
        <f>IF(Table2[[#This Row],[Description]]="","",VLOOKUP(Table2[[#This Row],[Description]],$Q$1:$S$101,2,FALSE))</f>
        <v/>
      </c>
      <c r="H942" s="1" t="str">
        <f>IF(Table2[[#This Row],[Description]]="","",VLOOKUP(Table2[[#This Row],[Description]],$Q$1:$S$101,3,FALSE))</f>
        <v/>
      </c>
      <c r="I942" s="1" t="str">
        <f>IF(Table2[[#This Row],[Description]]="","",IF(Table2[[#This Row],[Currency]]=$O$2,$P$2,HLOOKUP(Table2[[#This Row],[Date]],Funds!$C$10:$GV$11,2,FALSE)))</f>
        <v/>
      </c>
      <c r="J942" s="215" t="str">
        <f>IF(Table2[[#This Row],[Description]]="","",Table2[[#This Row],[Value]]/Table2[[#This Row],[Conversion]])</f>
        <v/>
      </c>
      <c r="K942" s="45" t="str">
        <f>IF(Table2[[#This Row],[Description]]="","",DATE(Table2[[#This Row],[Year]],Table2[[#This Row],[Month]],1))</f>
        <v/>
      </c>
    </row>
    <row r="943" spans="7:11" x14ac:dyDescent="0.25">
      <c r="G943" s="1" t="str">
        <f>IF(Table2[[#This Row],[Description]]="","",VLOOKUP(Table2[[#This Row],[Description]],$Q$1:$S$101,2,FALSE))</f>
        <v/>
      </c>
      <c r="H943" s="1" t="str">
        <f>IF(Table2[[#This Row],[Description]]="","",VLOOKUP(Table2[[#This Row],[Description]],$Q$1:$S$101,3,FALSE))</f>
        <v/>
      </c>
      <c r="I943" s="1" t="str">
        <f>IF(Table2[[#This Row],[Description]]="","",IF(Table2[[#This Row],[Currency]]=$O$2,$P$2,HLOOKUP(Table2[[#This Row],[Date]],Funds!$C$10:$GV$11,2,FALSE)))</f>
        <v/>
      </c>
      <c r="J943" s="215" t="str">
        <f>IF(Table2[[#This Row],[Description]]="","",Table2[[#This Row],[Value]]/Table2[[#This Row],[Conversion]])</f>
        <v/>
      </c>
      <c r="K943" s="45" t="str">
        <f>IF(Table2[[#This Row],[Description]]="","",DATE(Table2[[#This Row],[Year]],Table2[[#This Row],[Month]],1))</f>
        <v/>
      </c>
    </row>
    <row r="944" spans="7:11" x14ac:dyDescent="0.25">
      <c r="G944" s="1" t="str">
        <f>IF(Table2[[#This Row],[Description]]="","",VLOOKUP(Table2[[#This Row],[Description]],$Q$1:$S$101,2,FALSE))</f>
        <v/>
      </c>
      <c r="H944" s="1" t="str">
        <f>IF(Table2[[#This Row],[Description]]="","",VLOOKUP(Table2[[#This Row],[Description]],$Q$1:$S$101,3,FALSE))</f>
        <v/>
      </c>
      <c r="I944" s="1" t="str">
        <f>IF(Table2[[#This Row],[Description]]="","",IF(Table2[[#This Row],[Currency]]=$O$2,$P$2,HLOOKUP(Table2[[#This Row],[Date]],Funds!$C$10:$GV$11,2,FALSE)))</f>
        <v/>
      </c>
      <c r="J944" s="215" t="str">
        <f>IF(Table2[[#This Row],[Description]]="","",Table2[[#This Row],[Value]]/Table2[[#This Row],[Conversion]])</f>
        <v/>
      </c>
      <c r="K944" s="45" t="str">
        <f>IF(Table2[[#This Row],[Description]]="","",DATE(Table2[[#This Row],[Year]],Table2[[#This Row],[Month]],1))</f>
        <v/>
      </c>
    </row>
    <row r="945" spans="7:11" x14ac:dyDescent="0.25">
      <c r="G945" s="1" t="str">
        <f>IF(Table2[[#This Row],[Description]]="","",VLOOKUP(Table2[[#This Row],[Description]],$Q$1:$S$101,2,FALSE))</f>
        <v/>
      </c>
      <c r="H945" s="1" t="str">
        <f>IF(Table2[[#This Row],[Description]]="","",VLOOKUP(Table2[[#This Row],[Description]],$Q$1:$S$101,3,FALSE))</f>
        <v/>
      </c>
      <c r="I945" s="1" t="str">
        <f>IF(Table2[[#This Row],[Description]]="","",IF(Table2[[#This Row],[Currency]]=$O$2,$P$2,HLOOKUP(Table2[[#This Row],[Date]],Funds!$C$10:$GV$11,2,FALSE)))</f>
        <v/>
      </c>
      <c r="J945" s="215" t="str">
        <f>IF(Table2[[#This Row],[Description]]="","",Table2[[#This Row],[Value]]/Table2[[#This Row],[Conversion]])</f>
        <v/>
      </c>
      <c r="K945" s="45" t="str">
        <f>IF(Table2[[#This Row],[Description]]="","",DATE(Table2[[#This Row],[Year]],Table2[[#This Row],[Month]],1))</f>
        <v/>
      </c>
    </row>
    <row r="946" spans="7:11" x14ac:dyDescent="0.25">
      <c r="G946" s="1" t="str">
        <f>IF(Table2[[#This Row],[Description]]="","",VLOOKUP(Table2[[#This Row],[Description]],$Q$1:$S$101,2,FALSE))</f>
        <v/>
      </c>
      <c r="H946" s="1" t="str">
        <f>IF(Table2[[#This Row],[Description]]="","",VLOOKUP(Table2[[#This Row],[Description]],$Q$1:$S$101,3,FALSE))</f>
        <v/>
      </c>
      <c r="I946" s="1" t="str">
        <f>IF(Table2[[#This Row],[Description]]="","",IF(Table2[[#This Row],[Currency]]=$O$2,$P$2,HLOOKUP(Table2[[#This Row],[Date]],Funds!$C$10:$GV$11,2,FALSE)))</f>
        <v/>
      </c>
      <c r="J946" s="215" t="str">
        <f>IF(Table2[[#This Row],[Description]]="","",Table2[[#This Row],[Value]]/Table2[[#This Row],[Conversion]])</f>
        <v/>
      </c>
      <c r="K946" s="45" t="str">
        <f>IF(Table2[[#This Row],[Description]]="","",DATE(Table2[[#This Row],[Year]],Table2[[#This Row],[Month]],1))</f>
        <v/>
      </c>
    </row>
    <row r="947" spans="7:11" x14ac:dyDescent="0.25">
      <c r="G947" s="1" t="str">
        <f>IF(Table2[[#This Row],[Description]]="","",VLOOKUP(Table2[[#This Row],[Description]],$Q$1:$S$101,2,FALSE))</f>
        <v/>
      </c>
      <c r="H947" s="1" t="str">
        <f>IF(Table2[[#This Row],[Description]]="","",VLOOKUP(Table2[[#This Row],[Description]],$Q$1:$S$101,3,FALSE))</f>
        <v/>
      </c>
      <c r="I947" s="1" t="str">
        <f>IF(Table2[[#This Row],[Description]]="","",IF(Table2[[#This Row],[Currency]]=$O$2,$P$2,HLOOKUP(Table2[[#This Row],[Date]],Funds!$C$10:$GV$11,2,FALSE)))</f>
        <v/>
      </c>
      <c r="J947" s="215" t="str">
        <f>IF(Table2[[#This Row],[Description]]="","",Table2[[#This Row],[Value]]/Table2[[#This Row],[Conversion]])</f>
        <v/>
      </c>
      <c r="K947" s="45" t="str">
        <f>IF(Table2[[#This Row],[Description]]="","",DATE(Table2[[#This Row],[Year]],Table2[[#This Row],[Month]],1))</f>
        <v/>
      </c>
    </row>
    <row r="948" spans="7:11" x14ac:dyDescent="0.25">
      <c r="G948" s="1" t="str">
        <f>IF(Table2[[#This Row],[Description]]="","",VLOOKUP(Table2[[#This Row],[Description]],$Q$1:$S$101,2,FALSE))</f>
        <v/>
      </c>
      <c r="H948" s="1" t="str">
        <f>IF(Table2[[#This Row],[Description]]="","",VLOOKUP(Table2[[#This Row],[Description]],$Q$1:$S$101,3,FALSE))</f>
        <v/>
      </c>
      <c r="I948" s="1" t="str">
        <f>IF(Table2[[#This Row],[Description]]="","",IF(Table2[[#This Row],[Currency]]=$O$2,$P$2,HLOOKUP(Table2[[#This Row],[Date]],Funds!$C$10:$GV$11,2,FALSE)))</f>
        <v/>
      </c>
      <c r="J948" s="215" t="str">
        <f>IF(Table2[[#This Row],[Description]]="","",Table2[[#This Row],[Value]]/Table2[[#This Row],[Conversion]])</f>
        <v/>
      </c>
      <c r="K948" s="45" t="str">
        <f>IF(Table2[[#This Row],[Description]]="","",DATE(Table2[[#This Row],[Year]],Table2[[#This Row],[Month]],1))</f>
        <v/>
      </c>
    </row>
    <row r="949" spans="7:11" x14ac:dyDescent="0.25">
      <c r="G949" s="1" t="str">
        <f>IF(Table2[[#This Row],[Description]]="","",VLOOKUP(Table2[[#This Row],[Description]],$Q$1:$S$101,2,FALSE))</f>
        <v/>
      </c>
      <c r="H949" s="1" t="str">
        <f>IF(Table2[[#This Row],[Description]]="","",VLOOKUP(Table2[[#This Row],[Description]],$Q$1:$S$101,3,FALSE))</f>
        <v/>
      </c>
      <c r="I949" s="1" t="str">
        <f>IF(Table2[[#This Row],[Description]]="","",IF(Table2[[#This Row],[Currency]]=$O$2,$P$2,HLOOKUP(Table2[[#This Row],[Date]],Funds!$C$10:$GV$11,2,FALSE)))</f>
        <v/>
      </c>
      <c r="J949" s="215" t="str">
        <f>IF(Table2[[#This Row],[Description]]="","",Table2[[#This Row],[Value]]/Table2[[#This Row],[Conversion]])</f>
        <v/>
      </c>
      <c r="K949" s="45" t="str">
        <f>IF(Table2[[#This Row],[Description]]="","",DATE(Table2[[#This Row],[Year]],Table2[[#This Row],[Month]],1))</f>
        <v/>
      </c>
    </row>
    <row r="950" spans="7:11" x14ac:dyDescent="0.25">
      <c r="G950" s="1" t="str">
        <f>IF(Table2[[#This Row],[Description]]="","",VLOOKUP(Table2[[#This Row],[Description]],$Q$1:$S$101,2,FALSE))</f>
        <v/>
      </c>
      <c r="H950" s="1" t="str">
        <f>IF(Table2[[#This Row],[Description]]="","",VLOOKUP(Table2[[#This Row],[Description]],$Q$1:$S$101,3,FALSE))</f>
        <v/>
      </c>
      <c r="I950" s="1" t="str">
        <f>IF(Table2[[#This Row],[Description]]="","",IF(Table2[[#This Row],[Currency]]=$O$2,$P$2,HLOOKUP(Table2[[#This Row],[Date]],Funds!$C$10:$GV$11,2,FALSE)))</f>
        <v/>
      </c>
      <c r="J950" s="215" t="str">
        <f>IF(Table2[[#This Row],[Description]]="","",Table2[[#This Row],[Value]]/Table2[[#This Row],[Conversion]])</f>
        <v/>
      </c>
      <c r="K950" s="45" t="str">
        <f>IF(Table2[[#This Row],[Description]]="","",DATE(Table2[[#This Row],[Year]],Table2[[#This Row],[Month]],1))</f>
        <v/>
      </c>
    </row>
    <row r="951" spans="7:11" x14ac:dyDescent="0.25">
      <c r="G951" s="1" t="str">
        <f>IF(Table2[[#This Row],[Description]]="","",VLOOKUP(Table2[[#This Row],[Description]],$Q$1:$S$101,2,FALSE))</f>
        <v/>
      </c>
      <c r="H951" s="1" t="str">
        <f>IF(Table2[[#This Row],[Description]]="","",VLOOKUP(Table2[[#This Row],[Description]],$Q$1:$S$101,3,FALSE))</f>
        <v/>
      </c>
      <c r="I951" s="1" t="str">
        <f>IF(Table2[[#This Row],[Description]]="","",IF(Table2[[#This Row],[Currency]]=$O$2,$P$2,HLOOKUP(Table2[[#This Row],[Date]],Funds!$C$10:$GV$11,2,FALSE)))</f>
        <v/>
      </c>
      <c r="J951" s="215" t="str">
        <f>IF(Table2[[#This Row],[Description]]="","",Table2[[#This Row],[Value]]/Table2[[#This Row],[Conversion]])</f>
        <v/>
      </c>
      <c r="K951" s="45" t="str">
        <f>IF(Table2[[#This Row],[Description]]="","",DATE(Table2[[#This Row],[Year]],Table2[[#This Row],[Month]],1))</f>
        <v/>
      </c>
    </row>
    <row r="952" spans="7:11" x14ac:dyDescent="0.25">
      <c r="G952" s="1" t="str">
        <f>IF(Table2[[#This Row],[Description]]="","",VLOOKUP(Table2[[#This Row],[Description]],$Q$1:$S$101,2,FALSE))</f>
        <v/>
      </c>
      <c r="H952" s="1" t="str">
        <f>IF(Table2[[#This Row],[Description]]="","",VLOOKUP(Table2[[#This Row],[Description]],$Q$1:$S$101,3,FALSE))</f>
        <v/>
      </c>
      <c r="I952" s="1" t="str">
        <f>IF(Table2[[#This Row],[Description]]="","",IF(Table2[[#This Row],[Currency]]=$O$2,$P$2,HLOOKUP(Table2[[#This Row],[Date]],Funds!$C$10:$GV$11,2,FALSE)))</f>
        <v/>
      </c>
      <c r="J952" s="215" t="str">
        <f>IF(Table2[[#This Row],[Description]]="","",Table2[[#This Row],[Value]]/Table2[[#This Row],[Conversion]])</f>
        <v/>
      </c>
      <c r="K952" s="45" t="str">
        <f>IF(Table2[[#This Row],[Description]]="","",DATE(Table2[[#This Row],[Year]],Table2[[#This Row],[Month]],1))</f>
        <v/>
      </c>
    </row>
    <row r="953" spans="7:11" x14ac:dyDescent="0.25">
      <c r="G953" s="1" t="str">
        <f>IF(Table2[[#This Row],[Description]]="","",VLOOKUP(Table2[[#This Row],[Description]],$Q$1:$S$101,2,FALSE))</f>
        <v/>
      </c>
      <c r="H953" s="1" t="str">
        <f>IF(Table2[[#This Row],[Description]]="","",VLOOKUP(Table2[[#This Row],[Description]],$Q$1:$S$101,3,FALSE))</f>
        <v/>
      </c>
      <c r="I953" s="1" t="str">
        <f>IF(Table2[[#This Row],[Description]]="","",IF(Table2[[#This Row],[Currency]]=$O$2,$P$2,HLOOKUP(Table2[[#This Row],[Date]],Funds!$C$10:$GV$11,2,FALSE)))</f>
        <v/>
      </c>
      <c r="J953" s="215" t="str">
        <f>IF(Table2[[#This Row],[Description]]="","",Table2[[#This Row],[Value]]/Table2[[#This Row],[Conversion]])</f>
        <v/>
      </c>
      <c r="K953" s="45" t="str">
        <f>IF(Table2[[#This Row],[Description]]="","",DATE(Table2[[#This Row],[Year]],Table2[[#This Row],[Month]],1))</f>
        <v/>
      </c>
    </row>
    <row r="954" spans="7:11" x14ac:dyDescent="0.25">
      <c r="G954" s="1" t="str">
        <f>IF(Table2[[#This Row],[Description]]="","",VLOOKUP(Table2[[#This Row],[Description]],$Q$1:$S$101,2,FALSE))</f>
        <v/>
      </c>
      <c r="H954" s="1" t="str">
        <f>IF(Table2[[#This Row],[Description]]="","",VLOOKUP(Table2[[#This Row],[Description]],$Q$1:$S$101,3,FALSE))</f>
        <v/>
      </c>
      <c r="I954" s="1" t="str">
        <f>IF(Table2[[#This Row],[Description]]="","",IF(Table2[[#This Row],[Currency]]=$O$2,$P$2,HLOOKUP(Table2[[#This Row],[Date]],Funds!$C$10:$GV$11,2,FALSE)))</f>
        <v/>
      </c>
      <c r="J954" s="215" t="str">
        <f>IF(Table2[[#This Row],[Description]]="","",Table2[[#This Row],[Value]]/Table2[[#This Row],[Conversion]])</f>
        <v/>
      </c>
      <c r="K954" s="45" t="str">
        <f>IF(Table2[[#This Row],[Description]]="","",DATE(Table2[[#This Row],[Year]],Table2[[#This Row],[Month]],1))</f>
        <v/>
      </c>
    </row>
    <row r="955" spans="7:11" x14ac:dyDescent="0.25">
      <c r="G955" s="1" t="str">
        <f>IF(Table2[[#This Row],[Description]]="","",VLOOKUP(Table2[[#This Row],[Description]],$Q$1:$S$101,2,FALSE))</f>
        <v/>
      </c>
      <c r="H955" s="1" t="str">
        <f>IF(Table2[[#This Row],[Description]]="","",VLOOKUP(Table2[[#This Row],[Description]],$Q$1:$S$101,3,FALSE))</f>
        <v/>
      </c>
      <c r="I955" s="1" t="str">
        <f>IF(Table2[[#This Row],[Description]]="","",IF(Table2[[#This Row],[Currency]]=$O$2,$P$2,HLOOKUP(Table2[[#This Row],[Date]],Funds!$C$10:$GV$11,2,FALSE)))</f>
        <v/>
      </c>
      <c r="J955" s="215" t="str">
        <f>IF(Table2[[#This Row],[Description]]="","",Table2[[#This Row],[Value]]/Table2[[#This Row],[Conversion]])</f>
        <v/>
      </c>
      <c r="K955" s="45" t="str">
        <f>IF(Table2[[#This Row],[Description]]="","",DATE(Table2[[#This Row],[Year]],Table2[[#This Row],[Month]],1))</f>
        <v/>
      </c>
    </row>
    <row r="956" spans="7:11" x14ac:dyDescent="0.25">
      <c r="G956" s="1" t="str">
        <f>IF(Table2[[#This Row],[Description]]="","",VLOOKUP(Table2[[#This Row],[Description]],$Q$1:$S$101,2,FALSE))</f>
        <v/>
      </c>
      <c r="H956" s="1" t="str">
        <f>IF(Table2[[#This Row],[Description]]="","",VLOOKUP(Table2[[#This Row],[Description]],$Q$1:$S$101,3,FALSE))</f>
        <v/>
      </c>
      <c r="I956" s="1" t="str">
        <f>IF(Table2[[#This Row],[Description]]="","",IF(Table2[[#This Row],[Currency]]=$O$2,$P$2,HLOOKUP(Table2[[#This Row],[Date]],Funds!$C$10:$GV$11,2,FALSE)))</f>
        <v/>
      </c>
      <c r="J956" s="215" t="str">
        <f>IF(Table2[[#This Row],[Description]]="","",Table2[[#This Row],[Value]]/Table2[[#This Row],[Conversion]])</f>
        <v/>
      </c>
      <c r="K956" s="45" t="str">
        <f>IF(Table2[[#This Row],[Description]]="","",DATE(Table2[[#This Row],[Year]],Table2[[#This Row],[Month]],1))</f>
        <v/>
      </c>
    </row>
    <row r="957" spans="7:11" x14ac:dyDescent="0.25">
      <c r="G957" s="1" t="str">
        <f>IF(Table2[[#This Row],[Description]]="","",VLOOKUP(Table2[[#This Row],[Description]],$Q$1:$S$101,2,FALSE))</f>
        <v/>
      </c>
      <c r="H957" s="1" t="str">
        <f>IF(Table2[[#This Row],[Description]]="","",VLOOKUP(Table2[[#This Row],[Description]],$Q$1:$S$101,3,FALSE))</f>
        <v/>
      </c>
      <c r="I957" s="1" t="str">
        <f>IF(Table2[[#This Row],[Description]]="","",IF(Table2[[#This Row],[Currency]]=$O$2,$P$2,HLOOKUP(Table2[[#This Row],[Date]],Funds!$C$10:$GV$11,2,FALSE)))</f>
        <v/>
      </c>
      <c r="J957" s="215" t="str">
        <f>IF(Table2[[#This Row],[Description]]="","",Table2[[#This Row],[Value]]/Table2[[#This Row],[Conversion]])</f>
        <v/>
      </c>
      <c r="K957" s="45" t="str">
        <f>IF(Table2[[#This Row],[Description]]="","",DATE(Table2[[#This Row],[Year]],Table2[[#This Row],[Month]],1))</f>
        <v/>
      </c>
    </row>
    <row r="958" spans="7:11" x14ac:dyDescent="0.25">
      <c r="G958" s="1" t="str">
        <f>IF(Table2[[#This Row],[Description]]="","",VLOOKUP(Table2[[#This Row],[Description]],$Q$1:$S$101,2,FALSE))</f>
        <v/>
      </c>
      <c r="H958" s="1" t="str">
        <f>IF(Table2[[#This Row],[Description]]="","",VLOOKUP(Table2[[#This Row],[Description]],$Q$1:$S$101,3,FALSE))</f>
        <v/>
      </c>
      <c r="I958" s="1" t="str">
        <f>IF(Table2[[#This Row],[Description]]="","",IF(Table2[[#This Row],[Currency]]=$O$2,$P$2,HLOOKUP(Table2[[#This Row],[Date]],Funds!$C$10:$GV$11,2,FALSE)))</f>
        <v/>
      </c>
      <c r="J958" s="215" t="str">
        <f>IF(Table2[[#This Row],[Description]]="","",Table2[[#This Row],[Value]]/Table2[[#This Row],[Conversion]])</f>
        <v/>
      </c>
      <c r="K958" s="45" t="str">
        <f>IF(Table2[[#This Row],[Description]]="","",DATE(Table2[[#This Row],[Year]],Table2[[#This Row],[Month]],1))</f>
        <v/>
      </c>
    </row>
    <row r="959" spans="7:11" x14ac:dyDescent="0.25">
      <c r="G959" s="1" t="str">
        <f>IF(Table2[[#This Row],[Description]]="","",VLOOKUP(Table2[[#This Row],[Description]],$Q$1:$S$101,2,FALSE))</f>
        <v/>
      </c>
      <c r="H959" s="1" t="str">
        <f>IF(Table2[[#This Row],[Description]]="","",VLOOKUP(Table2[[#This Row],[Description]],$Q$1:$S$101,3,FALSE))</f>
        <v/>
      </c>
      <c r="I959" s="1" t="str">
        <f>IF(Table2[[#This Row],[Description]]="","",IF(Table2[[#This Row],[Currency]]=$O$2,$P$2,HLOOKUP(Table2[[#This Row],[Date]],Funds!$C$10:$GV$11,2,FALSE)))</f>
        <v/>
      </c>
      <c r="J959" s="215" t="str">
        <f>IF(Table2[[#This Row],[Description]]="","",Table2[[#This Row],[Value]]/Table2[[#This Row],[Conversion]])</f>
        <v/>
      </c>
      <c r="K959" s="45" t="str">
        <f>IF(Table2[[#This Row],[Description]]="","",DATE(Table2[[#This Row],[Year]],Table2[[#This Row],[Month]],1))</f>
        <v/>
      </c>
    </row>
    <row r="960" spans="7:11" x14ac:dyDescent="0.25">
      <c r="G960" s="1" t="str">
        <f>IF(Table2[[#This Row],[Description]]="","",VLOOKUP(Table2[[#This Row],[Description]],$Q$1:$S$101,2,FALSE))</f>
        <v/>
      </c>
      <c r="H960" s="1" t="str">
        <f>IF(Table2[[#This Row],[Description]]="","",VLOOKUP(Table2[[#This Row],[Description]],$Q$1:$S$101,3,FALSE))</f>
        <v/>
      </c>
      <c r="I960" s="1" t="str">
        <f>IF(Table2[[#This Row],[Description]]="","",IF(Table2[[#This Row],[Currency]]=$O$2,$P$2,HLOOKUP(Table2[[#This Row],[Date]],Funds!$C$10:$GV$11,2,FALSE)))</f>
        <v/>
      </c>
      <c r="J960" s="215" t="str">
        <f>IF(Table2[[#This Row],[Description]]="","",Table2[[#This Row],[Value]]/Table2[[#This Row],[Conversion]])</f>
        <v/>
      </c>
      <c r="K960" s="45" t="str">
        <f>IF(Table2[[#This Row],[Description]]="","",DATE(Table2[[#This Row],[Year]],Table2[[#This Row],[Month]],1))</f>
        <v/>
      </c>
    </row>
    <row r="961" spans="7:11" x14ac:dyDescent="0.25">
      <c r="G961" s="1" t="str">
        <f>IF(Table2[[#This Row],[Description]]="","",VLOOKUP(Table2[[#This Row],[Description]],$Q$1:$S$101,2,FALSE))</f>
        <v/>
      </c>
      <c r="H961" s="1" t="str">
        <f>IF(Table2[[#This Row],[Description]]="","",VLOOKUP(Table2[[#This Row],[Description]],$Q$1:$S$101,3,FALSE))</f>
        <v/>
      </c>
      <c r="I961" s="1" t="str">
        <f>IF(Table2[[#This Row],[Description]]="","",IF(Table2[[#This Row],[Currency]]=$O$2,$P$2,HLOOKUP(Table2[[#This Row],[Date]],Funds!$C$10:$GV$11,2,FALSE)))</f>
        <v/>
      </c>
      <c r="J961" s="215" t="str">
        <f>IF(Table2[[#This Row],[Description]]="","",Table2[[#This Row],[Value]]/Table2[[#This Row],[Conversion]])</f>
        <v/>
      </c>
      <c r="K961" s="45" t="str">
        <f>IF(Table2[[#This Row],[Description]]="","",DATE(Table2[[#This Row],[Year]],Table2[[#This Row],[Month]],1))</f>
        <v/>
      </c>
    </row>
    <row r="962" spans="7:11" x14ac:dyDescent="0.25">
      <c r="G962" s="1" t="str">
        <f>IF(Table2[[#This Row],[Description]]="","",VLOOKUP(Table2[[#This Row],[Description]],$Q$1:$S$101,2,FALSE))</f>
        <v/>
      </c>
      <c r="H962" s="1" t="str">
        <f>IF(Table2[[#This Row],[Description]]="","",VLOOKUP(Table2[[#This Row],[Description]],$Q$1:$S$101,3,FALSE))</f>
        <v/>
      </c>
      <c r="I962" s="1" t="str">
        <f>IF(Table2[[#This Row],[Description]]="","",IF(Table2[[#This Row],[Currency]]=$O$2,$P$2,HLOOKUP(Table2[[#This Row],[Date]],Funds!$C$10:$GV$11,2,FALSE)))</f>
        <v/>
      </c>
      <c r="J962" s="215" t="str">
        <f>IF(Table2[[#This Row],[Description]]="","",Table2[[#This Row],[Value]]/Table2[[#This Row],[Conversion]])</f>
        <v/>
      </c>
      <c r="K962" s="45" t="str">
        <f>IF(Table2[[#This Row],[Description]]="","",DATE(Table2[[#This Row],[Year]],Table2[[#This Row],[Month]],1))</f>
        <v/>
      </c>
    </row>
    <row r="963" spans="7:11" x14ac:dyDescent="0.25">
      <c r="G963" s="1" t="str">
        <f>IF(Table2[[#This Row],[Description]]="","",VLOOKUP(Table2[[#This Row],[Description]],$Q$1:$S$101,2,FALSE))</f>
        <v/>
      </c>
      <c r="H963" s="1" t="str">
        <f>IF(Table2[[#This Row],[Description]]="","",VLOOKUP(Table2[[#This Row],[Description]],$Q$1:$S$101,3,FALSE))</f>
        <v/>
      </c>
      <c r="I963" s="1" t="str">
        <f>IF(Table2[[#This Row],[Description]]="","",IF(Table2[[#This Row],[Currency]]=$O$2,$P$2,HLOOKUP(Table2[[#This Row],[Date]],Funds!$C$10:$GV$11,2,FALSE)))</f>
        <v/>
      </c>
      <c r="J963" s="215" t="str">
        <f>IF(Table2[[#This Row],[Description]]="","",Table2[[#This Row],[Value]]/Table2[[#This Row],[Conversion]])</f>
        <v/>
      </c>
      <c r="K963" s="45" t="str">
        <f>IF(Table2[[#This Row],[Description]]="","",DATE(Table2[[#This Row],[Year]],Table2[[#This Row],[Month]],1))</f>
        <v/>
      </c>
    </row>
    <row r="964" spans="7:11" x14ac:dyDescent="0.25">
      <c r="G964" s="1" t="str">
        <f>IF(Table2[[#This Row],[Description]]="","",VLOOKUP(Table2[[#This Row],[Description]],$Q$1:$S$101,2,FALSE))</f>
        <v/>
      </c>
      <c r="H964" s="1" t="str">
        <f>IF(Table2[[#This Row],[Description]]="","",VLOOKUP(Table2[[#This Row],[Description]],$Q$1:$S$101,3,FALSE))</f>
        <v/>
      </c>
      <c r="I964" s="1" t="str">
        <f>IF(Table2[[#This Row],[Description]]="","",IF(Table2[[#This Row],[Currency]]=$O$2,$P$2,HLOOKUP(Table2[[#This Row],[Date]],Funds!$C$10:$GV$11,2,FALSE)))</f>
        <v/>
      </c>
      <c r="J964" s="215" t="str">
        <f>IF(Table2[[#This Row],[Description]]="","",Table2[[#This Row],[Value]]/Table2[[#This Row],[Conversion]])</f>
        <v/>
      </c>
      <c r="K964" s="45" t="str">
        <f>IF(Table2[[#This Row],[Description]]="","",DATE(Table2[[#This Row],[Year]],Table2[[#This Row],[Month]],1))</f>
        <v/>
      </c>
    </row>
    <row r="965" spans="7:11" x14ac:dyDescent="0.25">
      <c r="G965" s="1" t="str">
        <f>IF(Table2[[#This Row],[Description]]="","",VLOOKUP(Table2[[#This Row],[Description]],$Q$1:$S$101,2,FALSE))</f>
        <v/>
      </c>
      <c r="H965" s="1" t="str">
        <f>IF(Table2[[#This Row],[Description]]="","",VLOOKUP(Table2[[#This Row],[Description]],$Q$1:$S$101,3,FALSE))</f>
        <v/>
      </c>
      <c r="I965" s="1" t="str">
        <f>IF(Table2[[#This Row],[Description]]="","",IF(Table2[[#This Row],[Currency]]=$O$2,$P$2,HLOOKUP(Table2[[#This Row],[Date]],Funds!$C$10:$GV$11,2,FALSE)))</f>
        <v/>
      </c>
      <c r="J965" s="215" t="str">
        <f>IF(Table2[[#This Row],[Description]]="","",Table2[[#This Row],[Value]]/Table2[[#This Row],[Conversion]])</f>
        <v/>
      </c>
      <c r="K965" s="45" t="str">
        <f>IF(Table2[[#This Row],[Description]]="","",DATE(Table2[[#This Row],[Year]],Table2[[#This Row],[Month]],1))</f>
        <v/>
      </c>
    </row>
    <row r="966" spans="7:11" x14ac:dyDescent="0.25">
      <c r="G966" s="1" t="str">
        <f>IF(Table2[[#This Row],[Description]]="","",VLOOKUP(Table2[[#This Row],[Description]],$Q$1:$S$101,2,FALSE))</f>
        <v/>
      </c>
      <c r="H966" s="1" t="str">
        <f>IF(Table2[[#This Row],[Description]]="","",VLOOKUP(Table2[[#This Row],[Description]],$Q$1:$S$101,3,FALSE))</f>
        <v/>
      </c>
      <c r="I966" s="1" t="str">
        <f>IF(Table2[[#This Row],[Description]]="","",IF(Table2[[#This Row],[Currency]]=$O$2,$P$2,HLOOKUP(Table2[[#This Row],[Date]],Funds!$C$10:$GV$11,2,FALSE)))</f>
        <v/>
      </c>
      <c r="J966" s="215" t="str">
        <f>IF(Table2[[#This Row],[Description]]="","",Table2[[#This Row],[Value]]/Table2[[#This Row],[Conversion]])</f>
        <v/>
      </c>
      <c r="K966" s="45" t="str">
        <f>IF(Table2[[#This Row],[Description]]="","",DATE(Table2[[#This Row],[Year]],Table2[[#This Row],[Month]],1))</f>
        <v/>
      </c>
    </row>
    <row r="967" spans="7:11" x14ac:dyDescent="0.25">
      <c r="G967" s="1" t="str">
        <f>IF(Table2[[#This Row],[Description]]="","",VLOOKUP(Table2[[#This Row],[Description]],$Q$1:$S$101,2,FALSE))</f>
        <v/>
      </c>
      <c r="H967" s="1" t="str">
        <f>IF(Table2[[#This Row],[Description]]="","",VLOOKUP(Table2[[#This Row],[Description]],$Q$1:$S$101,3,FALSE))</f>
        <v/>
      </c>
      <c r="I967" s="1" t="str">
        <f>IF(Table2[[#This Row],[Description]]="","",IF(Table2[[#This Row],[Currency]]=$O$2,$P$2,HLOOKUP(Table2[[#This Row],[Date]],Funds!$C$10:$GV$11,2,FALSE)))</f>
        <v/>
      </c>
      <c r="J967" s="215" t="str">
        <f>IF(Table2[[#This Row],[Description]]="","",Table2[[#This Row],[Value]]/Table2[[#This Row],[Conversion]])</f>
        <v/>
      </c>
      <c r="K967" s="45" t="str">
        <f>IF(Table2[[#This Row],[Description]]="","",DATE(Table2[[#This Row],[Year]],Table2[[#This Row],[Month]],1))</f>
        <v/>
      </c>
    </row>
    <row r="968" spans="7:11" x14ac:dyDescent="0.25">
      <c r="G968" s="1" t="str">
        <f>IF(Table2[[#This Row],[Description]]="","",VLOOKUP(Table2[[#This Row],[Description]],$Q$1:$S$101,2,FALSE))</f>
        <v/>
      </c>
      <c r="H968" s="1" t="str">
        <f>IF(Table2[[#This Row],[Description]]="","",VLOOKUP(Table2[[#This Row],[Description]],$Q$1:$S$101,3,FALSE))</f>
        <v/>
      </c>
      <c r="I968" s="1" t="str">
        <f>IF(Table2[[#This Row],[Description]]="","",IF(Table2[[#This Row],[Currency]]=$O$2,$P$2,HLOOKUP(Table2[[#This Row],[Date]],Funds!$C$10:$GV$11,2,FALSE)))</f>
        <v/>
      </c>
      <c r="J968" s="215" t="str">
        <f>IF(Table2[[#This Row],[Description]]="","",Table2[[#This Row],[Value]]/Table2[[#This Row],[Conversion]])</f>
        <v/>
      </c>
      <c r="K968" s="45" t="str">
        <f>IF(Table2[[#This Row],[Description]]="","",DATE(Table2[[#This Row],[Year]],Table2[[#This Row],[Month]],1))</f>
        <v/>
      </c>
    </row>
    <row r="969" spans="7:11" x14ac:dyDescent="0.25">
      <c r="G969" s="1" t="str">
        <f>IF(Table2[[#This Row],[Description]]="","",VLOOKUP(Table2[[#This Row],[Description]],$Q$1:$S$101,2,FALSE))</f>
        <v/>
      </c>
      <c r="H969" s="1" t="str">
        <f>IF(Table2[[#This Row],[Description]]="","",VLOOKUP(Table2[[#This Row],[Description]],$Q$1:$S$101,3,FALSE))</f>
        <v/>
      </c>
      <c r="I969" s="1" t="str">
        <f>IF(Table2[[#This Row],[Description]]="","",IF(Table2[[#This Row],[Currency]]=$O$2,$P$2,HLOOKUP(Table2[[#This Row],[Date]],Funds!$C$10:$GV$11,2,FALSE)))</f>
        <v/>
      </c>
      <c r="J969" s="215" t="str">
        <f>IF(Table2[[#This Row],[Description]]="","",Table2[[#This Row],[Value]]/Table2[[#This Row],[Conversion]])</f>
        <v/>
      </c>
      <c r="K969" s="45" t="str">
        <f>IF(Table2[[#This Row],[Description]]="","",DATE(Table2[[#This Row],[Year]],Table2[[#This Row],[Month]],1))</f>
        <v/>
      </c>
    </row>
    <row r="970" spans="7:11" x14ac:dyDescent="0.25">
      <c r="G970" s="1" t="str">
        <f>IF(Table2[[#This Row],[Description]]="","",VLOOKUP(Table2[[#This Row],[Description]],$Q$1:$S$101,2,FALSE))</f>
        <v/>
      </c>
      <c r="H970" s="1" t="str">
        <f>IF(Table2[[#This Row],[Description]]="","",VLOOKUP(Table2[[#This Row],[Description]],$Q$1:$S$101,3,FALSE))</f>
        <v/>
      </c>
      <c r="I970" s="1" t="str">
        <f>IF(Table2[[#This Row],[Description]]="","",IF(Table2[[#This Row],[Currency]]=$O$2,$P$2,HLOOKUP(Table2[[#This Row],[Date]],Funds!$C$10:$GV$11,2,FALSE)))</f>
        <v/>
      </c>
      <c r="J970" s="215" t="str">
        <f>IF(Table2[[#This Row],[Description]]="","",Table2[[#This Row],[Value]]/Table2[[#This Row],[Conversion]])</f>
        <v/>
      </c>
      <c r="K970" s="45" t="str">
        <f>IF(Table2[[#This Row],[Description]]="","",DATE(Table2[[#This Row],[Year]],Table2[[#This Row],[Month]],1))</f>
        <v/>
      </c>
    </row>
    <row r="971" spans="7:11" x14ac:dyDescent="0.25">
      <c r="G971" s="1" t="str">
        <f>IF(Table2[[#This Row],[Description]]="","",VLOOKUP(Table2[[#This Row],[Description]],$Q$1:$S$101,2,FALSE))</f>
        <v/>
      </c>
      <c r="H971" s="1" t="str">
        <f>IF(Table2[[#This Row],[Description]]="","",VLOOKUP(Table2[[#This Row],[Description]],$Q$1:$S$101,3,FALSE))</f>
        <v/>
      </c>
      <c r="I971" s="1" t="str">
        <f>IF(Table2[[#This Row],[Description]]="","",IF(Table2[[#This Row],[Currency]]=$O$2,$P$2,HLOOKUP(Table2[[#This Row],[Date]],Funds!$C$10:$GV$11,2,FALSE)))</f>
        <v/>
      </c>
      <c r="J971" s="215" t="str">
        <f>IF(Table2[[#This Row],[Description]]="","",Table2[[#This Row],[Value]]/Table2[[#This Row],[Conversion]])</f>
        <v/>
      </c>
      <c r="K971" s="45" t="str">
        <f>IF(Table2[[#This Row],[Description]]="","",DATE(Table2[[#This Row],[Year]],Table2[[#This Row],[Month]],1))</f>
        <v/>
      </c>
    </row>
    <row r="972" spans="7:11" x14ac:dyDescent="0.25">
      <c r="G972" s="1" t="str">
        <f>IF(Table2[[#This Row],[Description]]="","",VLOOKUP(Table2[[#This Row],[Description]],$Q$1:$S$101,2,FALSE))</f>
        <v/>
      </c>
      <c r="H972" s="1" t="str">
        <f>IF(Table2[[#This Row],[Description]]="","",VLOOKUP(Table2[[#This Row],[Description]],$Q$1:$S$101,3,FALSE))</f>
        <v/>
      </c>
      <c r="I972" s="1" t="str">
        <f>IF(Table2[[#This Row],[Description]]="","",IF(Table2[[#This Row],[Currency]]=$O$2,$P$2,HLOOKUP(Table2[[#This Row],[Date]],Funds!$C$10:$GV$11,2,FALSE)))</f>
        <v/>
      </c>
      <c r="J972" s="215" t="str">
        <f>IF(Table2[[#This Row],[Description]]="","",Table2[[#This Row],[Value]]/Table2[[#This Row],[Conversion]])</f>
        <v/>
      </c>
      <c r="K972" s="45" t="str">
        <f>IF(Table2[[#This Row],[Description]]="","",DATE(Table2[[#This Row],[Year]],Table2[[#This Row],[Month]],1))</f>
        <v/>
      </c>
    </row>
    <row r="973" spans="7:11" x14ac:dyDescent="0.25">
      <c r="G973" s="1" t="str">
        <f>IF(Table2[[#This Row],[Description]]="","",VLOOKUP(Table2[[#This Row],[Description]],$Q$1:$S$101,2,FALSE))</f>
        <v/>
      </c>
      <c r="H973" s="1" t="str">
        <f>IF(Table2[[#This Row],[Description]]="","",VLOOKUP(Table2[[#This Row],[Description]],$Q$1:$S$101,3,FALSE))</f>
        <v/>
      </c>
      <c r="I973" s="1" t="str">
        <f>IF(Table2[[#This Row],[Description]]="","",IF(Table2[[#This Row],[Currency]]=$O$2,$P$2,HLOOKUP(Table2[[#This Row],[Date]],Funds!$C$10:$GV$11,2,FALSE)))</f>
        <v/>
      </c>
      <c r="J973" s="215" t="str">
        <f>IF(Table2[[#This Row],[Description]]="","",Table2[[#This Row],[Value]]/Table2[[#This Row],[Conversion]])</f>
        <v/>
      </c>
      <c r="K973" s="45" t="str">
        <f>IF(Table2[[#This Row],[Description]]="","",DATE(Table2[[#This Row],[Year]],Table2[[#This Row],[Month]],1))</f>
        <v/>
      </c>
    </row>
    <row r="974" spans="7:11" x14ac:dyDescent="0.25">
      <c r="G974" s="1" t="str">
        <f>IF(Table2[[#This Row],[Description]]="","",VLOOKUP(Table2[[#This Row],[Description]],$Q$1:$S$101,2,FALSE))</f>
        <v/>
      </c>
      <c r="H974" s="1" t="str">
        <f>IF(Table2[[#This Row],[Description]]="","",VLOOKUP(Table2[[#This Row],[Description]],$Q$1:$S$101,3,FALSE))</f>
        <v/>
      </c>
      <c r="I974" s="1" t="str">
        <f>IF(Table2[[#This Row],[Description]]="","",IF(Table2[[#This Row],[Currency]]=$O$2,$P$2,HLOOKUP(Table2[[#This Row],[Date]],Funds!$C$10:$GV$11,2,FALSE)))</f>
        <v/>
      </c>
      <c r="J974" s="215" t="str">
        <f>IF(Table2[[#This Row],[Description]]="","",Table2[[#This Row],[Value]]/Table2[[#This Row],[Conversion]])</f>
        <v/>
      </c>
      <c r="K974" s="45" t="str">
        <f>IF(Table2[[#This Row],[Description]]="","",DATE(Table2[[#This Row],[Year]],Table2[[#This Row],[Month]],1))</f>
        <v/>
      </c>
    </row>
    <row r="975" spans="7:11" x14ac:dyDescent="0.25">
      <c r="G975" s="1" t="str">
        <f>IF(Table2[[#This Row],[Description]]="","",VLOOKUP(Table2[[#This Row],[Description]],$Q$1:$S$101,2,FALSE))</f>
        <v/>
      </c>
      <c r="H975" s="1" t="str">
        <f>IF(Table2[[#This Row],[Description]]="","",VLOOKUP(Table2[[#This Row],[Description]],$Q$1:$S$101,3,FALSE))</f>
        <v/>
      </c>
      <c r="I975" s="1" t="str">
        <f>IF(Table2[[#This Row],[Description]]="","",IF(Table2[[#This Row],[Currency]]=$O$2,$P$2,HLOOKUP(Table2[[#This Row],[Date]],Funds!$C$10:$GV$11,2,FALSE)))</f>
        <v/>
      </c>
      <c r="J975" s="215" t="str">
        <f>IF(Table2[[#This Row],[Description]]="","",Table2[[#This Row],[Value]]/Table2[[#This Row],[Conversion]])</f>
        <v/>
      </c>
      <c r="K975" s="45" t="str">
        <f>IF(Table2[[#This Row],[Description]]="","",DATE(Table2[[#This Row],[Year]],Table2[[#This Row],[Month]],1))</f>
        <v/>
      </c>
    </row>
    <row r="976" spans="7:11" x14ac:dyDescent="0.25">
      <c r="G976" s="1" t="str">
        <f>IF(Table2[[#This Row],[Description]]="","",VLOOKUP(Table2[[#This Row],[Description]],$Q$1:$S$101,2,FALSE))</f>
        <v/>
      </c>
      <c r="H976" s="1" t="str">
        <f>IF(Table2[[#This Row],[Description]]="","",VLOOKUP(Table2[[#This Row],[Description]],$Q$1:$S$101,3,FALSE))</f>
        <v/>
      </c>
      <c r="I976" s="1" t="str">
        <f>IF(Table2[[#This Row],[Description]]="","",IF(Table2[[#This Row],[Currency]]=$O$2,$P$2,HLOOKUP(Table2[[#This Row],[Date]],Funds!$C$10:$GV$11,2,FALSE)))</f>
        <v/>
      </c>
      <c r="J976" s="215" t="str">
        <f>IF(Table2[[#This Row],[Description]]="","",Table2[[#This Row],[Value]]/Table2[[#This Row],[Conversion]])</f>
        <v/>
      </c>
      <c r="K976" s="45" t="str">
        <f>IF(Table2[[#This Row],[Description]]="","",DATE(Table2[[#This Row],[Year]],Table2[[#This Row],[Month]],1))</f>
        <v/>
      </c>
    </row>
    <row r="977" spans="7:11" x14ac:dyDescent="0.25">
      <c r="G977" s="1" t="str">
        <f>IF(Table2[[#This Row],[Description]]="","",VLOOKUP(Table2[[#This Row],[Description]],$Q$1:$S$101,2,FALSE))</f>
        <v/>
      </c>
      <c r="H977" s="1" t="str">
        <f>IF(Table2[[#This Row],[Description]]="","",VLOOKUP(Table2[[#This Row],[Description]],$Q$1:$S$101,3,FALSE))</f>
        <v/>
      </c>
      <c r="I977" s="1" t="str">
        <f>IF(Table2[[#This Row],[Description]]="","",IF(Table2[[#This Row],[Currency]]=$O$2,$P$2,HLOOKUP(Table2[[#This Row],[Date]],Funds!$C$10:$GV$11,2,FALSE)))</f>
        <v/>
      </c>
      <c r="J977" s="215" t="str">
        <f>IF(Table2[[#This Row],[Description]]="","",Table2[[#This Row],[Value]]/Table2[[#This Row],[Conversion]])</f>
        <v/>
      </c>
      <c r="K977" s="45" t="str">
        <f>IF(Table2[[#This Row],[Description]]="","",DATE(Table2[[#This Row],[Year]],Table2[[#This Row],[Month]],1))</f>
        <v/>
      </c>
    </row>
    <row r="978" spans="7:11" x14ac:dyDescent="0.25">
      <c r="G978" s="1" t="str">
        <f>IF(Table2[[#This Row],[Description]]="","",VLOOKUP(Table2[[#This Row],[Description]],$Q$1:$S$101,2,FALSE))</f>
        <v/>
      </c>
      <c r="H978" s="1" t="str">
        <f>IF(Table2[[#This Row],[Description]]="","",VLOOKUP(Table2[[#This Row],[Description]],$Q$1:$S$101,3,FALSE))</f>
        <v/>
      </c>
      <c r="I978" s="1" t="str">
        <f>IF(Table2[[#This Row],[Description]]="","",IF(Table2[[#This Row],[Currency]]=$O$2,$P$2,HLOOKUP(Table2[[#This Row],[Date]],Funds!$C$10:$GV$11,2,FALSE)))</f>
        <v/>
      </c>
      <c r="J978" s="215" t="str">
        <f>IF(Table2[[#This Row],[Description]]="","",Table2[[#This Row],[Value]]/Table2[[#This Row],[Conversion]])</f>
        <v/>
      </c>
      <c r="K978" s="45" t="str">
        <f>IF(Table2[[#This Row],[Description]]="","",DATE(Table2[[#This Row],[Year]],Table2[[#This Row],[Month]],1))</f>
        <v/>
      </c>
    </row>
    <row r="979" spans="7:11" x14ac:dyDescent="0.25">
      <c r="G979" s="1" t="str">
        <f>IF(Table2[[#This Row],[Description]]="","",VLOOKUP(Table2[[#This Row],[Description]],$Q$1:$S$101,2,FALSE))</f>
        <v/>
      </c>
      <c r="H979" s="1" t="str">
        <f>IF(Table2[[#This Row],[Description]]="","",VLOOKUP(Table2[[#This Row],[Description]],$Q$1:$S$101,3,FALSE))</f>
        <v/>
      </c>
      <c r="I979" s="1" t="str">
        <f>IF(Table2[[#This Row],[Description]]="","",IF(Table2[[#This Row],[Currency]]=$O$2,$P$2,HLOOKUP(Table2[[#This Row],[Date]],Funds!$C$10:$GV$11,2,FALSE)))</f>
        <v/>
      </c>
      <c r="J979" s="215" t="str">
        <f>IF(Table2[[#This Row],[Description]]="","",Table2[[#This Row],[Value]]/Table2[[#This Row],[Conversion]])</f>
        <v/>
      </c>
      <c r="K979" s="45" t="str">
        <f>IF(Table2[[#This Row],[Description]]="","",DATE(Table2[[#This Row],[Year]],Table2[[#This Row],[Month]],1))</f>
        <v/>
      </c>
    </row>
    <row r="980" spans="7:11" x14ac:dyDescent="0.25">
      <c r="G980" s="1" t="str">
        <f>IF(Table2[[#This Row],[Description]]="","",VLOOKUP(Table2[[#This Row],[Description]],$Q$1:$S$101,2,FALSE))</f>
        <v/>
      </c>
      <c r="H980" s="1" t="str">
        <f>IF(Table2[[#This Row],[Description]]="","",VLOOKUP(Table2[[#This Row],[Description]],$Q$1:$S$101,3,FALSE))</f>
        <v/>
      </c>
      <c r="I980" s="1" t="str">
        <f>IF(Table2[[#This Row],[Description]]="","",IF(Table2[[#This Row],[Currency]]=$O$2,$P$2,HLOOKUP(Table2[[#This Row],[Date]],Funds!$C$10:$GV$11,2,FALSE)))</f>
        <v/>
      </c>
      <c r="J980" s="215" t="str">
        <f>IF(Table2[[#This Row],[Description]]="","",Table2[[#This Row],[Value]]/Table2[[#This Row],[Conversion]])</f>
        <v/>
      </c>
      <c r="K980" s="45" t="str">
        <f>IF(Table2[[#This Row],[Description]]="","",DATE(Table2[[#This Row],[Year]],Table2[[#This Row],[Month]],1))</f>
        <v/>
      </c>
    </row>
    <row r="981" spans="7:11" x14ac:dyDescent="0.25">
      <c r="G981" s="1" t="str">
        <f>IF(Table2[[#This Row],[Description]]="","",VLOOKUP(Table2[[#This Row],[Description]],$Q$1:$S$101,2,FALSE))</f>
        <v/>
      </c>
      <c r="H981" s="1" t="str">
        <f>IF(Table2[[#This Row],[Description]]="","",VLOOKUP(Table2[[#This Row],[Description]],$Q$1:$S$101,3,FALSE))</f>
        <v/>
      </c>
      <c r="I981" s="1" t="str">
        <f>IF(Table2[[#This Row],[Description]]="","",IF(Table2[[#This Row],[Currency]]=$O$2,$P$2,HLOOKUP(Table2[[#This Row],[Date]],Funds!$C$10:$GV$11,2,FALSE)))</f>
        <v/>
      </c>
      <c r="J981" s="215" t="str">
        <f>IF(Table2[[#This Row],[Description]]="","",Table2[[#This Row],[Value]]/Table2[[#This Row],[Conversion]])</f>
        <v/>
      </c>
      <c r="K981" s="45" t="str">
        <f>IF(Table2[[#This Row],[Description]]="","",DATE(Table2[[#This Row],[Year]],Table2[[#This Row],[Month]],1))</f>
        <v/>
      </c>
    </row>
    <row r="982" spans="7:11" x14ac:dyDescent="0.25">
      <c r="G982" s="1" t="str">
        <f>IF(Table2[[#This Row],[Description]]="","",VLOOKUP(Table2[[#This Row],[Description]],$Q$1:$S$101,2,FALSE))</f>
        <v/>
      </c>
      <c r="H982" s="1" t="str">
        <f>IF(Table2[[#This Row],[Description]]="","",VLOOKUP(Table2[[#This Row],[Description]],$Q$1:$S$101,3,FALSE))</f>
        <v/>
      </c>
      <c r="I982" s="1" t="str">
        <f>IF(Table2[[#This Row],[Description]]="","",IF(Table2[[#This Row],[Currency]]=$O$2,$P$2,HLOOKUP(Table2[[#This Row],[Date]],Funds!$C$10:$GV$11,2,FALSE)))</f>
        <v/>
      </c>
      <c r="J982" s="215" t="str">
        <f>IF(Table2[[#This Row],[Description]]="","",Table2[[#This Row],[Value]]/Table2[[#This Row],[Conversion]])</f>
        <v/>
      </c>
      <c r="K982" s="45" t="str">
        <f>IF(Table2[[#This Row],[Description]]="","",DATE(Table2[[#This Row],[Year]],Table2[[#This Row],[Month]],1))</f>
        <v/>
      </c>
    </row>
    <row r="983" spans="7:11" x14ac:dyDescent="0.25">
      <c r="G983" s="1" t="str">
        <f>IF(Table2[[#This Row],[Description]]="","",VLOOKUP(Table2[[#This Row],[Description]],$Q$1:$S$101,2,FALSE))</f>
        <v/>
      </c>
      <c r="H983" s="1" t="str">
        <f>IF(Table2[[#This Row],[Description]]="","",VLOOKUP(Table2[[#This Row],[Description]],$Q$1:$S$101,3,FALSE))</f>
        <v/>
      </c>
      <c r="I983" s="1" t="str">
        <f>IF(Table2[[#This Row],[Description]]="","",IF(Table2[[#This Row],[Currency]]=$O$2,$P$2,HLOOKUP(Table2[[#This Row],[Date]],Funds!$C$10:$GV$11,2,FALSE)))</f>
        <v/>
      </c>
      <c r="J983" s="215" t="str">
        <f>IF(Table2[[#This Row],[Description]]="","",Table2[[#This Row],[Value]]/Table2[[#This Row],[Conversion]])</f>
        <v/>
      </c>
      <c r="K983" s="45" t="str">
        <f>IF(Table2[[#This Row],[Description]]="","",DATE(Table2[[#This Row],[Year]],Table2[[#This Row],[Month]],1))</f>
        <v/>
      </c>
    </row>
    <row r="984" spans="7:11" x14ac:dyDescent="0.25">
      <c r="G984" s="1" t="str">
        <f>IF(Table2[[#This Row],[Description]]="","",VLOOKUP(Table2[[#This Row],[Description]],$Q$1:$S$101,2,FALSE))</f>
        <v/>
      </c>
      <c r="H984" s="1" t="str">
        <f>IF(Table2[[#This Row],[Description]]="","",VLOOKUP(Table2[[#This Row],[Description]],$Q$1:$S$101,3,FALSE))</f>
        <v/>
      </c>
      <c r="I984" s="1" t="str">
        <f>IF(Table2[[#This Row],[Description]]="","",IF(Table2[[#This Row],[Currency]]=$O$2,$P$2,HLOOKUP(Table2[[#This Row],[Date]],Funds!$C$10:$GV$11,2,FALSE)))</f>
        <v/>
      </c>
      <c r="J984" s="215" t="str">
        <f>IF(Table2[[#This Row],[Description]]="","",Table2[[#This Row],[Value]]/Table2[[#This Row],[Conversion]])</f>
        <v/>
      </c>
      <c r="K984" s="45" t="str">
        <f>IF(Table2[[#This Row],[Description]]="","",DATE(Table2[[#This Row],[Year]],Table2[[#This Row],[Month]],1))</f>
        <v/>
      </c>
    </row>
    <row r="985" spans="7:11" x14ac:dyDescent="0.25">
      <c r="G985" s="1" t="str">
        <f>IF(Table2[[#This Row],[Description]]="","",VLOOKUP(Table2[[#This Row],[Description]],$Q$1:$S$101,2,FALSE))</f>
        <v/>
      </c>
      <c r="H985" s="1" t="str">
        <f>IF(Table2[[#This Row],[Description]]="","",VLOOKUP(Table2[[#This Row],[Description]],$Q$1:$S$101,3,FALSE))</f>
        <v/>
      </c>
      <c r="I985" s="1" t="str">
        <f>IF(Table2[[#This Row],[Description]]="","",IF(Table2[[#This Row],[Currency]]=$O$2,$P$2,HLOOKUP(Table2[[#This Row],[Date]],Funds!$C$10:$GV$11,2,FALSE)))</f>
        <v/>
      </c>
      <c r="J985" s="215" t="str">
        <f>IF(Table2[[#This Row],[Description]]="","",Table2[[#This Row],[Value]]/Table2[[#This Row],[Conversion]])</f>
        <v/>
      </c>
      <c r="K985" s="45" t="str">
        <f>IF(Table2[[#This Row],[Description]]="","",DATE(Table2[[#This Row],[Year]],Table2[[#This Row],[Month]],1))</f>
        <v/>
      </c>
    </row>
    <row r="986" spans="7:11" x14ac:dyDescent="0.25">
      <c r="G986" s="1" t="str">
        <f>IF(Table2[[#This Row],[Description]]="","",VLOOKUP(Table2[[#This Row],[Description]],$Q$1:$S$101,2,FALSE))</f>
        <v/>
      </c>
      <c r="H986" s="1" t="str">
        <f>IF(Table2[[#This Row],[Description]]="","",VLOOKUP(Table2[[#This Row],[Description]],$Q$1:$S$101,3,FALSE))</f>
        <v/>
      </c>
      <c r="I986" s="1" t="str">
        <f>IF(Table2[[#This Row],[Description]]="","",IF(Table2[[#This Row],[Currency]]=$O$2,$P$2,HLOOKUP(Table2[[#This Row],[Date]],Funds!$C$10:$GV$11,2,FALSE)))</f>
        <v/>
      </c>
      <c r="J986" s="215" t="str">
        <f>IF(Table2[[#This Row],[Description]]="","",Table2[[#This Row],[Value]]/Table2[[#This Row],[Conversion]])</f>
        <v/>
      </c>
      <c r="K986" s="45" t="str">
        <f>IF(Table2[[#This Row],[Description]]="","",DATE(Table2[[#This Row],[Year]],Table2[[#This Row],[Month]],1))</f>
        <v/>
      </c>
    </row>
    <row r="987" spans="7:11" x14ac:dyDescent="0.25">
      <c r="G987" s="1" t="str">
        <f>IF(Table2[[#This Row],[Description]]="","",VLOOKUP(Table2[[#This Row],[Description]],$Q$1:$S$101,2,FALSE))</f>
        <v/>
      </c>
      <c r="H987" s="1" t="str">
        <f>IF(Table2[[#This Row],[Description]]="","",VLOOKUP(Table2[[#This Row],[Description]],$Q$1:$S$101,3,FALSE))</f>
        <v/>
      </c>
      <c r="I987" s="1" t="str">
        <f>IF(Table2[[#This Row],[Description]]="","",IF(Table2[[#This Row],[Currency]]=$O$2,$P$2,HLOOKUP(Table2[[#This Row],[Date]],Funds!$C$10:$GV$11,2,FALSE)))</f>
        <v/>
      </c>
      <c r="J987" s="215" t="str">
        <f>IF(Table2[[#This Row],[Description]]="","",Table2[[#This Row],[Value]]/Table2[[#This Row],[Conversion]])</f>
        <v/>
      </c>
      <c r="K987" s="45" t="str">
        <f>IF(Table2[[#This Row],[Description]]="","",DATE(Table2[[#This Row],[Year]],Table2[[#This Row],[Month]],1))</f>
        <v/>
      </c>
    </row>
    <row r="988" spans="7:11" x14ac:dyDescent="0.25">
      <c r="G988" s="1" t="str">
        <f>IF(Table2[[#This Row],[Description]]="","",VLOOKUP(Table2[[#This Row],[Description]],$Q$1:$S$101,2,FALSE))</f>
        <v/>
      </c>
      <c r="H988" s="1" t="str">
        <f>IF(Table2[[#This Row],[Description]]="","",VLOOKUP(Table2[[#This Row],[Description]],$Q$1:$S$101,3,FALSE))</f>
        <v/>
      </c>
      <c r="I988" s="1" t="str">
        <f>IF(Table2[[#This Row],[Description]]="","",IF(Table2[[#This Row],[Currency]]=$O$2,$P$2,HLOOKUP(Table2[[#This Row],[Date]],Funds!$C$10:$GV$11,2,FALSE)))</f>
        <v/>
      </c>
      <c r="J988" s="215" t="str">
        <f>IF(Table2[[#This Row],[Description]]="","",Table2[[#This Row],[Value]]/Table2[[#This Row],[Conversion]])</f>
        <v/>
      </c>
      <c r="K988" s="45" t="str">
        <f>IF(Table2[[#This Row],[Description]]="","",DATE(Table2[[#This Row],[Year]],Table2[[#This Row],[Month]],1))</f>
        <v/>
      </c>
    </row>
    <row r="989" spans="7:11" x14ac:dyDescent="0.25">
      <c r="G989" s="1" t="str">
        <f>IF(Table2[[#This Row],[Description]]="","",VLOOKUP(Table2[[#This Row],[Description]],$Q$1:$S$101,2,FALSE))</f>
        <v/>
      </c>
      <c r="H989" s="1" t="str">
        <f>IF(Table2[[#This Row],[Description]]="","",VLOOKUP(Table2[[#This Row],[Description]],$Q$1:$S$101,3,FALSE))</f>
        <v/>
      </c>
      <c r="I989" s="1" t="str">
        <f>IF(Table2[[#This Row],[Description]]="","",IF(Table2[[#This Row],[Currency]]=$O$2,$P$2,HLOOKUP(Table2[[#This Row],[Date]],Funds!$C$10:$GV$11,2,FALSE)))</f>
        <v/>
      </c>
      <c r="J989" s="215" t="str">
        <f>IF(Table2[[#This Row],[Description]]="","",Table2[[#This Row],[Value]]/Table2[[#This Row],[Conversion]])</f>
        <v/>
      </c>
      <c r="K989" s="45" t="str">
        <f>IF(Table2[[#This Row],[Description]]="","",DATE(Table2[[#This Row],[Year]],Table2[[#This Row],[Month]],1))</f>
        <v/>
      </c>
    </row>
    <row r="990" spans="7:11" x14ac:dyDescent="0.25">
      <c r="G990" s="1" t="str">
        <f>IF(Table2[[#This Row],[Description]]="","",VLOOKUP(Table2[[#This Row],[Description]],$Q$1:$S$101,2,FALSE))</f>
        <v/>
      </c>
      <c r="H990" s="1" t="str">
        <f>IF(Table2[[#This Row],[Description]]="","",VLOOKUP(Table2[[#This Row],[Description]],$Q$1:$S$101,3,FALSE))</f>
        <v/>
      </c>
      <c r="I990" s="1" t="str">
        <f>IF(Table2[[#This Row],[Description]]="","",IF(Table2[[#This Row],[Currency]]=$O$2,$P$2,HLOOKUP(Table2[[#This Row],[Date]],Funds!$C$10:$GV$11,2,FALSE)))</f>
        <v/>
      </c>
      <c r="J990" s="215" t="str">
        <f>IF(Table2[[#This Row],[Description]]="","",Table2[[#This Row],[Value]]/Table2[[#This Row],[Conversion]])</f>
        <v/>
      </c>
      <c r="K990" s="45" t="str">
        <f>IF(Table2[[#This Row],[Description]]="","",DATE(Table2[[#This Row],[Year]],Table2[[#This Row],[Month]],1))</f>
        <v/>
      </c>
    </row>
    <row r="991" spans="7:11" x14ac:dyDescent="0.25">
      <c r="G991" s="1" t="str">
        <f>IF(Table2[[#This Row],[Description]]="","",VLOOKUP(Table2[[#This Row],[Description]],$Q$1:$S$101,2,FALSE))</f>
        <v/>
      </c>
      <c r="H991" s="1" t="str">
        <f>IF(Table2[[#This Row],[Description]]="","",VLOOKUP(Table2[[#This Row],[Description]],$Q$1:$S$101,3,FALSE))</f>
        <v/>
      </c>
      <c r="I991" s="1" t="str">
        <f>IF(Table2[[#This Row],[Description]]="","",IF(Table2[[#This Row],[Currency]]=$O$2,$P$2,HLOOKUP(Table2[[#This Row],[Date]],Funds!$C$10:$GV$11,2,FALSE)))</f>
        <v/>
      </c>
      <c r="J991" s="215" t="str">
        <f>IF(Table2[[#This Row],[Description]]="","",Table2[[#This Row],[Value]]/Table2[[#This Row],[Conversion]])</f>
        <v/>
      </c>
      <c r="K991" s="45" t="str">
        <f>IF(Table2[[#This Row],[Description]]="","",DATE(Table2[[#This Row],[Year]],Table2[[#This Row],[Month]],1))</f>
        <v/>
      </c>
    </row>
    <row r="992" spans="7:11" x14ac:dyDescent="0.25">
      <c r="G992" s="1" t="str">
        <f>IF(Table2[[#This Row],[Description]]="","",VLOOKUP(Table2[[#This Row],[Description]],$Q$1:$S$101,2,FALSE))</f>
        <v/>
      </c>
      <c r="H992" s="1" t="str">
        <f>IF(Table2[[#This Row],[Description]]="","",VLOOKUP(Table2[[#This Row],[Description]],$Q$1:$S$101,3,FALSE))</f>
        <v/>
      </c>
      <c r="I992" s="1" t="str">
        <f>IF(Table2[[#This Row],[Description]]="","",IF(Table2[[#This Row],[Currency]]=$O$2,$P$2,HLOOKUP(Table2[[#This Row],[Date]],Funds!$C$10:$GV$11,2,FALSE)))</f>
        <v/>
      </c>
      <c r="J992" s="215" t="str">
        <f>IF(Table2[[#This Row],[Description]]="","",Table2[[#This Row],[Value]]/Table2[[#This Row],[Conversion]])</f>
        <v/>
      </c>
      <c r="K992" s="45" t="str">
        <f>IF(Table2[[#This Row],[Description]]="","",DATE(Table2[[#This Row],[Year]],Table2[[#This Row],[Month]],1))</f>
        <v/>
      </c>
    </row>
    <row r="993" spans="7:11" x14ac:dyDescent="0.25">
      <c r="G993" s="1" t="str">
        <f>IF(Table2[[#This Row],[Description]]="","",VLOOKUP(Table2[[#This Row],[Description]],$Q$1:$S$101,2,FALSE))</f>
        <v/>
      </c>
      <c r="H993" s="1" t="str">
        <f>IF(Table2[[#This Row],[Description]]="","",VLOOKUP(Table2[[#This Row],[Description]],$Q$1:$S$101,3,FALSE))</f>
        <v/>
      </c>
      <c r="I993" s="1" t="str">
        <f>IF(Table2[[#This Row],[Description]]="","",IF(Table2[[#This Row],[Currency]]=$O$2,$P$2,HLOOKUP(Table2[[#This Row],[Date]],Funds!$C$10:$GV$11,2,FALSE)))</f>
        <v/>
      </c>
      <c r="J993" s="215" t="str">
        <f>IF(Table2[[#This Row],[Description]]="","",Table2[[#This Row],[Value]]/Table2[[#This Row],[Conversion]])</f>
        <v/>
      </c>
      <c r="K993" s="45" t="str">
        <f>IF(Table2[[#This Row],[Description]]="","",DATE(Table2[[#This Row],[Year]],Table2[[#This Row],[Month]],1))</f>
        <v/>
      </c>
    </row>
    <row r="994" spans="7:11" x14ac:dyDescent="0.25">
      <c r="G994" s="1" t="str">
        <f>IF(Table2[[#This Row],[Description]]="","",VLOOKUP(Table2[[#This Row],[Description]],$Q$1:$S$101,2,FALSE))</f>
        <v/>
      </c>
      <c r="H994" s="1" t="str">
        <f>IF(Table2[[#This Row],[Description]]="","",VLOOKUP(Table2[[#This Row],[Description]],$Q$1:$S$101,3,FALSE))</f>
        <v/>
      </c>
      <c r="I994" s="1" t="str">
        <f>IF(Table2[[#This Row],[Description]]="","",IF(Table2[[#This Row],[Currency]]=$O$2,$P$2,HLOOKUP(Table2[[#This Row],[Date]],Funds!$C$10:$GV$11,2,FALSE)))</f>
        <v/>
      </c>
      <c r="J994" s="215" t="str">
        <f>IF(Table2[[#This Row],[Description]]="","",Table2[[#This Row],[Value]]/Table2[[#This Row],[Conversion]])</f>
        <v/>
      </c>
      <c r="K994" s="45" t="str">
        <f>IF(Table2[[#This Row],[Description]]="","",DATE(Table2[[#This Row],[Year]],Table2[[#This Row],[Month]],1))</f>
        <v/>
      </c>
    </row>
    <row r="995" spans="7:11" x14ac:dyDescent="0.25">
      <c r="G995" s="1" t="str">
        <f>IF(Table2[[#This Row],[Description]]="","",VLOOKUP(Table2[[#This Row],[Description]],$Q$1:$S$101,2,FALSE))</f>
        <v/>
      </c>
      <c r="H995" s="1" t="str">
        <f>IF(Table2[[#This Row],[Description]]="","",VLOOKUP(Table2[[#This Row],[Description]],$Q$1:$S$101,3,FALSE))</f>
        <v/>
      </c>
      <c r="I995" s="1" t="str">
        <f>IF(Table2[[#This Row],[Description]]="","",IF(Table2[[#This Row],[Currency]]=$O$2,$P$2,HLOOKUP(Table2[[#This Row],[Date]],Funds!$C$10:$GV$11,2,FALSE)))</f>
        <v/>
      </c>
      <c r="J995" s="215" t="str">
        <f>IF(Table2[[#This Row],[Description]]="","",Table2[[#This Row],[Value]]/Table2[[#This Row],[Conversion]])</f>
        <v/>
      </c>
      <c r="K995" s="45" t="str">
        <f>IF(Table2[[#This Row],[Description]]="","",DATE(Table2[[#This Row],[Year]],Table2[[#This Row],[Month]],1))</f>
        <v/>
      </c>
    </row>
    <row r="996" spans="7:11" x14ac:dyDescent="0.25">
      <c r="G996" s="1" t="str">
        <f>IF(Table2[[#This Row],[Description]]="","",VLOOKUP(Table2[[#This Row],[Description]],$Q$1:$S$101,2,FALSE))</f>
        <v/>
      </c>
      <c r="H996" s="1" t="str">
        <f>IF(Table2[[#This Row],[Description]]="","",VLOOKUP(Table2[[#This Row],[Description]],$Q$1:$S$101,3,FALSE))</f>
        <v/>
      </c>
      <c r="I996" s="1" t="str">
        <f>IF(Table2[[#This Row],[Description]]="","",IF(Table2[[#This Row],[Currency]]=$O$2,$P$2,HLOOKUP(Table2[[#This Row],[Date]],Funds!$C$10:$GV$11,2,FALSE)))</f>
        <v/>
      </c>
      <c r="J996" s="215" t="str">
        <f>IF(Table2[[#This Row],[Description]]="","",Table2[[#This Row],[Value]]/Table2[[#This Row],[Conversion]])</f>
        <v/>
      </c>
      <c r="K996" s="45" t="str">
        <f>IF(Table2[[#This Row],[Description]]="","",DATE(Table2[[#This Row],[Year]],Table2[[#This Row],[Month]],1))</f>
        <v/>
      </c>
    </row>
    <row r="997" spans="7:11" x14ac:dyDescent="0.25">
      <c r="G997" s="1" t="str">
        <f>IF(Table2[[#This Row],[Description]]="","",VLOOKUP(Table2[[#This Row],[Description]],$Q$1:$S$101,2,FALSE))</f>
        <v/>
      </c>
      <c r="H997" s="1" t="str">
        <f>IF(Table2[[#This Row],[Description]]="","",VLOOKUP(Table2[[#This Row],[Description]],$Q$1:$S$101,3,FALSE))</f>
        <v/>
      </c>
      <c r="I997" s="1" t="str">
        <f>IF(Table2[[#This Row],[Description]]="","",IF(Table2[[#This Row],[Currency]]=$O$2,$P$2,HLOOKUP(Table2[[#This Row],[Date]],Funds!$C$10:$GV$11,2,FALSE)))</f>
        <v/>
      </c>
      <c r="J997" s="215" t="str">
        <f>IF(Table2[[#This Row],[Description]]="","",Table2[[#This Row],[Value]]/Table2[[#This Row],[Conversion]])</f>
        <v/>
      </c>
      <c r="K997" s="45" t="str">
        <f>IF(Table2[[#This Row],[Description]]="","",DATE(Table2[[#This Row],[Year]],Table2[[#This Row],[Month]],1))</f>
        <v/>
      </c>
    </row>
    <row r="998" spans="7:11" x14ac:dyDescent="0.25">
      <c r="G998" s="1" t="str">
        <f>IF(Table2[[#This Row],[Description]]="","",VLOOKUP(Table2[[#This Row],[Description]],$Q$1:$S$101,2,FALSE))</f>
        <v/>
      </c>
      <c r="H998" s="1" t="str">
        <f>IF(Table2[[#This Row],[Description]]="","",VLOOKUP(Table2[[#This Row],[Description]],$Q$1:$S$101,3,FALSE))</f>
        <v/>
      </c>
      <c r="I998" s="1" t="str">
        <f>IF(Table2[[#This Row],[Description]]="","",IF(Table2[[#This Row],[Currency]]=$O$2,$P$2,HLOOKUP(Table2[[#This Row],[Date]],Funds!$C$10:$GV$11,2,FALSE)))</f>
        <v/>
      </c>
      <c r="J998" s="215" t="str">
        <f>IF(Table2[[#This Row],[Description]]="","",Table2[[#This Row],[Value]]/Table2[[#This Row],[Conversion]])</f>
        <v/>
      </c>
      <c r="K998" s="45" t="str">
        <f>IF(Table2[[#This Row],[Description]]="","",DATE(Table2[[#This Row],[Year]],Table2[[#This Row],[Month]],1))</f>
        <v/>
      </c>
    </row>
    <row r="999" spans="7:11" x14ac:dyDescent="0.25">
      <c r="G999" s="1" t="str">
        <f>IF(Table2[[#This Row],[Description]]="","",VLOOKUP(Table2[[#This Row],[Description]],$Q$1:$S$101,2,FALSE))</f>
        <v/>
      </c>
      <c r="H999" s="1" t="str">
        <f>IF(Table2[[#This Row],[Description]]="","",VLOOKUP(Table2[[#This Row],[Description]],$Q$1:$S$101,3,FALSE))</f>
        <v/>
      </c>
      <c r="I999" s="1" t="str">
        <f>IF(Table2[[#This Row],[Description]]="","",IF(Table2[[#This Row],[Currency]]=$O$2,$P$2,HLOOKUP(Table2[[#This Row],[Date]],Funds!$C$10:$GV$11,2,FALSE)))</f>
        <v/>
      </c>
      <c r="J999" s="215" t="str">
        <f>IF(Table2[[#This Row],[Description]]="","",Table2[[#This Row],[Value]]/Table2[[#This Row],[Conversion]])</f>
        <v/>
      </c>
      <c r="K999" s="45" t="str">
        <f>IF(Table2[[#This Row],[Description]]="","",DATE(Table2[[#This Row],[Year]],Table2[[#This Row],[Month]],1))</f>
        <v/>
      </c>
    </row>
    <row r="1000" spans="7:11" x14ac:dyDescent="0.25">
      <c r="G1000" s="1" t="str">
        <f>IF(Table2[[#This Row],[Description]]="","",VLOOKUP(Table2[[#This Row],[Description]],$Q$1:$S$101,2,FALSE))</f>
        <v/>
      </c>
      <c r="H1000" s="1" t="str">
        <f>IF(Table2[[#This Row],[Description]]="","",VLOOKUP(Table2[[#This Row],[Description]],$Q$1:$S$101,3,FALSE))</f>
        <v/>
      </c>
      <c r="I1000" s="1" t="str">
        <f>IF(Table2[[#This Row],[Description]]="","",IF(Table2[[#This Row],[Currency]]=$O$2,$P$2,HLOOKUP(Table2[[#This Row],[Date]],Funds!$C$10:$GV$11,2,FALSE)))</f>
        <v/>
      </c>
      <c r="J1000" s="215" t="str">
        <f>IF(Table2[[#This Row],[Description]]="","",Table2[[#This Row],[Value]]/Table2[[#This Row],[Conversion]])</f>
        <v/>
      </c>
      <c r="K1000" s="45" t="str">
        <f>IF(Table2[[#This Row],[Description]]="","",DATE(Table2[[#This Row],[Year]],Table2[[#This Row],[Month]],1))</f>
        <v/>
      </c>
    </row>
    <row r="1001" spans="7:11" x14ac:dyDescent="0.25">
      <c r="G1001" s="1" t="str">
        <f>IF(Table2[[#This Row],[Description]]="","",VLOOKUP(Table2[[#This Row],[Description]],$Q$1:$S$101,2,FALSE))</f>
        <v/>
      </c>
      <c r="H1001" s="1" t="str">
        <f>IF(Table2[[#This Row],[Description]]="","",VLOOKUP(Table2[[#This Row],[Description]],$Q$1:$S$101,3,FALSE))</f>
        <v/>
      </c>
      <c r="I1001" s="1" t="str">
        <f>IF(Table2[[#This Row],[Description]]="","",IF(Table2[[#This Row],[Currency]]=$O$2,$P$2,HLOOKUP(Table2[[#This Row],[Date]],Funds!$C$10:$GV$11,2,FALSE)))</f>
        <v/>
      </c>
      <c r="J1001" s="215" t="str">
        <f>IF(Table2[[#This Row],[Description]]="","",Table2[[#This Row],[Value]]/Table2[[#This Row],[Conversion]])</f>
        <v/>
      </c>
      <c r="K1001" s="45" t="str">
        <f>IF(Table2[[#This Row],[Description]]="","",DATE(Table2[[#This Row],[Year]],Table2[[#This Row],[Month]],1))</f>
        <v/>
      </c>
    </row>
    <row r="1002" spans="7:11" x14ac:dyDescent="0.25">
      <c r="G1002" s="1" t="str">
        <f>IF(Table2[[#This Row],[Description]]="","",VLOOKUP(Table2[[#This Row],[Description]],$Q$1:$S$101,2,FALSE))</f>
        <v/>
      </c>
      <c r="H1002" s="1" t="str">
        <f>IF(Table2[[#This Row],[Description]]="","",VLOOKUP(Table2[[#This Row],[Description]],$Q$1:$S$101,3,FALSE))</f>
        <v/>
      </c>
      <c r="I1002" s="1" t="str">
        <f>IF(Table2[[#This Row],[Description]]="","",IF(Table2[[#This Row],[Currency]]=$O$2,$P$2,HLOOKUP(Table2[[#This Row],[Date]],Funds!$C$10:$GV$11,2,FALSE)))</f>
        <v/>
      </c>
      <c r="J1002" s="215" t="str">
        <f>IF(Table2[[#This Row],[Description]]="","",Table2[[#This Row],[Value]]/Table2[[#This Row],[Conversion]])</f>
        <v/>
      </c>
      <c r="K1002" s="45" t="str">
        <f>IF(Table2[[#This Row],[Description]]="","",DATE(Table2[[#This Row],[Year]],Table2[[#This Row],[Month]],1))</f>
        <v/>
      </c>
    </row>
    <row r="1003" spans="7:11" x14ac:dyDescent="0.25">
      <c r="G1003" s="1" t="str">
        <f>IF(Table2[[#This Row],[Description]]="","",VLOOKUP(Table2[[#This Row],[Description]],$Q$1:$S$101,2,FALSE))</f>
        <v/>
      </c>
      <c r="H1003" s="1" t="str">
        <f>IF(Table2[[#This Row],[Description]]="","",VLOOKUP(Table2[[#This Row],[Description]],$Q$1:$S$101,3,FALSE))</f>
        <v/>
      </c>
      <c r="I1003" s="1" t="str">
        <f>IF(Table2[[#This Row],[Description]]="","",IF(Table2[[#This Row],[Currency]]=$O$2,$P$2,HLOOKUP(Table2[[#This Row],[Date]],Funds!$C$10:$GV$11,2,FALSE)))</f>
        <v/>
      </c>
      <c r="J1003" s="215" t="str">
        <f>IF(Table2[[#This Row],[Description]]="","",Table2[[#This Row],[Value]]/Table2[[#This Row],[Conversion]])</f>
        <v/>
      </c>
      <c r="K1003" s="45" t="str">
        <f>IF(Table2[[#This Row],[Description]]="","",DATE(Table2[[#This Row],[Year]],Table2[[#This Row],[Month]],1))</f>
        <v/>
      </c>
    </row>
    <row r="1004" spans="7:11" x14ac:dyDescent="0.25">
      <c r="G1004" s="1" t="str">
        <f>IF(Table2[[#This Row],[Description]]="","",VLOOKUP(Table2[[#This Row],[Description]],$Q$1:$S$101,2,FALSE))</f>
        <v/>
      </c>
      <c r="H1004" s="1" t="str">
        <f>IF(Table2[[#This Row],[Description]]="","",VLOOKUP(Table2[[#This Row],[Description]],$Q$1:$S$101,3,FALSE))</f>
        <v/>
      </c>
      <c r="I1004" s="1" t="str">
        <f>IF(Table2[[#This Row],[Description]]="","",IF(Table2[[#This Row],[Currency]]=$O$2,$P$2,HLOOKUP(Table2[[#This Row],[Date]],Funds!$C$10:$GV$11,2,FALSE)))</f>
        <v/>
      </c>
      <c r="J1004" s="215" t="str">
        <f>IF(Table2[[#This Row],[Description]]="","",Table2[[#This Row],[Value]]/Table2[[#This Row],[Conversion]])</f>
        <v/>
      </c>
      <c r="K1004" s="45" t="str">
        <f>IF(Table2[[#This Row],[Description]]="","",DATE(Table2[[#This Row],[Year]],Table2[[#This Row],[Month]],1))</f>
        <v/>
      </c>
    </row>
    <row r="1005" spans="7:11" x14ac:dyDescent="0.25">
      <c r="G1005" s="1" t="str">
        <f>IF(Table2[[#This Row],[Description]]="","",VLOOKUP(Table2[[#This Row],[Description]],$Q$1:$S$101,2,FALSE))</f>
        <v/>
      </c>
      <c r="H1005" s="1" t="str">
        <f>IF(Table2[[#This Row],[Description]]="","",VLOOKUP(Table2[[#This Row],[Description]],$Q$1:$S$101,3,FALSE))</f>
        <v/>
      </c>
      <c r="I1005" s="1" t="str">
        <f>IF(Table2[[#This Row],[Description]]="","",IF(Table2[[#This Row],[Currency]]=$O$2,$P$2,HLOOKUP(Table2[[#This Row],[Date]],Funds!$C$10:$GV$11,2,FALSE)))</f>
        <v/>
      </c>
      <c r="J1005" s="215" t="str">
        <f>IF(Table2[[#This Row],[Description]]="","",Table2[[#This Row],[Value]]/Table2[[#This Row],[Conversion]])</f>
        <v/>
      </c>
      <c r="K1005" s="45" t="str">
        <f>IF(Table2[[#This Row],[Description]]="","",DATE(Table2[[#This Row],[Year]],Table2[[#This Row],[Month]],1))</f>
        <v/>
      </c>
    </row>
    <row r="1006" spans="7:11" x14ac:dyDescent="0.25">
      <c r="G1006" s="1" t="str">
        <f>IF(Table2[[#This Row],[Description]]="","",VLOOKUP(Table2[[#This Row],[Description]],$Q$1:$S$101,2,FALSE))</f>
        <v/>
      </c>
      <c r="H1006" s="1" t="str">
        <f>IF(Table2[[#This Row],[Description]]="","",VLOOKUP(Table2[[#This Row],[Description]],$Q$1:$S$101,3,FALSE))</f>
        <v/>
      </c>
      <c r="I1006" s="1" t="str">
        <f>IF(Table2[[#This Row],[Description]]="","",IF(Table2[[#This Row],[Currency]]=$O$2,$P$2,HLOOKUP(Table2[[#This Row],[Date]],Funds!$C$10:$GV$11,2,FALSE)))</f>
        <v/>
      </c>
      <c r="J1006" s="215" t="str">
        <f>IF(Table2[[#This Row],[Description]]="","",Table2[[#This Row],[Value]]/Table2[[#This Row],[Conversion]])</f>
        <v/>
      </c>
      <c r="K1006" s="45" t="str">
        <f>IF(Table2[[#This Row],[Description]]="","",DATE(Table2[[#This Row],[Year]],Table2[[#This Row],[Month]],1))</f>
        <v/>
      </c>
    </row>
    <row r="1007" spans="7:11" x14ac:dyDescent="0.25">
      <c r="G1007" s="1" t="str">
        <f>IF(Table2[[#This Row],[Description]]="","",VLOOKUP(Table2[[#This Row],[Description]],$Q$1:$S$101,2,FALSE))</f>
        <v/>
      </c>
      <c r="H1007" s="1" t="str">
        <f>IF(Table2[[#This Row],[Description]]="","",VLOOKUP(Table2[[#This Row],[Description]],$Q$1:$S$101,3,FALSE))</f>
        <v/>
      </c>
      <c r="I1007" s="1" t="str">
        <f>IF(Table2[[#This Row],[Description]]="","",IF(Table2[[#This Row],[Currency]]=$O$2,$P$2,HLOOKUP(Table2[[#This Row],[Date]],Funds!$C$10:$GV$11,2,FALSE)))</f>
        <v/>
      </c>
      <c r="J1007" s="215" t="str">
        <f>IF(Table2[[#This Row],[Description]]="","",Table2[[#This Row],[Value]]/Table2[[#This Row],[Conversion]])</f>
        <v/>
      </c>
      <c r="K1007" s="45" t="str">
        <f>IF(Table2[[#This Row],[Description]]="","",DATE(Table2[[#This Row],[Year]],Table2[[#This Row],[Month]],1))</f>
        <v/>
      </c>
    </row>
    <row r="1008" spans="7:11" x14ac:dyDescent="0.25">
      <c r="G1008" s="1" t="str">
        <f>IF(Table2[[#This Row],[Description]]="","",VLOOKUP(Table2[[#This Row],[Description]],$Q$1:$S$101,2,FALSE))</f>
        <v/>
      </c>
      <c r="H1008" s="1" t="str">
        <f>IF(Table2[[#This Row],[Description]]="","",VLOOKUP(Table2[[#This Row],[Description]],$Q$1:$S$101,3,FALSE))</f>
        <v/>
      </c>
      <c r="I1008" s="1" t="str">
        <f>IF(Table2[[#This Row],[Description]]="","",IF(Table2[[#This Row],[Currency]]=$O$2,$P$2,HLOOKUP(Table2[[#This Row],[Date]],Funds!$C$10:$GV$11,2,FALSE)))</f>
        <v/>
      </c>
      <c r="J1008" s="215" t="str">
        <f>IF(Table2[[#This Row],[Description]]="","",Table2[[#This Row],[Value]]/Table2[[#This Row],[Conversion]])</f>
        <v/>
      </c>
      <c r="K1008" s="45" t="str">
        <f>IF(Table2[[#This Row],[Description]]="","",DATE(Table2[[#This Row],[Year]],Table2[[#This Row],[Month]],1))</f>
        <v/>
      </c>
    </row>
    <row r="1009" spans="7:11" x14ac:dyDescent="0.25">
      <c r="G1009" s="1" t="str">
        <f>IF(Table2[[#This Row],[Description]]="","",VLOOKUP(Table2[[#This Row],[Description]],$Q$1:$S$101,2,FALSE))</f>
        <v/>
      </c>
      <c r="H1009" s="1" t="str">
        <f>IF(Table2[[#This Row],[Description]]="","",VLOOKUP(Table2[[#This Row],[Description]],$Q$1:$S$101,3,FALSE))</f>
        <v/>
      </c>
      <c r="I1009" s="1" t="str">
        <f>IF(Table2[[#This Row],[Description]]="","",IF(Table2[[#This Row],[Currency]]=$O$2,$P$2,HLOOKUP(Table2[[#This Row],[Date]],Funds!$C$10:$GV$11,2,FALSE)))</f>
        <v/>
      </c>
      <c r="J1009" s="215" t="str">
        <f>IF(Table2[[#This Row],[Description]]="","",Table2[[#This Row],[Value]]/Table2[[#This Row],[Conversion]])</f>
        <v/>
      </c>
      <c r="K1009" s="45" t="str">
        <f>IF(Table2[[#This Row],[Description]]="","",DATE(Table2[[#This Row],[Year]],Table2[[#This Row],[Month]],1))</f>
        <v/>
      </c>
    </row>
    <row r="1010" spans="7:11" x14ac:dyDescent="0.25">
      <c r="G1010" s="1" t="str">
        <f>IF(Table2[[#This Row],[Description]]="","",VLOOKUP(Table2[[#This Row],[Description]],$Q$1:$S$101,2,FALSE))</f>
        <v/>
      </c>
      <c r="H1010" s="1" t="str">
        <f>IF(Table2[[#This Row],[Description]]="","",VLOOKUP(Table2[[#This Row],[Description]],$Q$1:$S$101,3,FALSE))</f>
        <v/>
      </c>
      <c r="I1010" s="1" t="str">
        <f>IF(Table2[[#This Row],[Description]]="","",IF(Table2[[#This Row],[Currency]]=$O$2,$P$2,HLOOKUP(Table2[[#This Row],[Date]],Funds!$C$10:$GV$11,2,FALSE)))</f>
        <v/>
      </c>
      <c r="J1010" s="215" t="str">
        <f>IF(Table2[[#This Row],[Description]]="","",Table2[[#This Row],[Value]]/Table2[[#This Row],[Conversion]])</f>
        <v/>
      </c>
      <c r="K1010" s="45" t="str">
        <f>IF(Table2[[#This Row],[Description]]="","",DATE(Table2[[#This Row],[Year]],Table2[[#This Row],[Month]],1))</f>
        <v/>
      </c>
    </row>
    <row r="1011" spans="7:11" x14ac:dyDescent="0.25">
      <c r="G1011" s="1" t="str">
        <f>IF(Table2[[#This Row],[Description]]="","",VLOOKUP(Table2[[#This Row],[Description]],$Q$1:$S$101,2,FALSE))</f>
        <v/>
      </c>
      <c r="H1011" s="1" t="str">
        <f>IF(Table2[[#This Row],[Description]]="","",VLOOKUP(Table2[[#This Row],[Description]],$Q$1:$S$101,3,FALSE))</f>
        <v/>
      </c>
      <c r="I1011" s="1" t="str">
        <f>IF(Table2[[#This Row],[Description]]="","",IF(Table2[[#This Row],[Currency]]=$O$2,$P$2,HLOOKUP(Table2[[#This Row],[Date]],Funds!$C$10:$GV$11,2,FALSE)))</f>
        <v/>
      </c>
      <c r="J1011" s="215" t="str">
        <f>IF(Table2[[#This Row],[Description]]="","",Table2[[#This Row],[Value]]/Table2[[#This Row],[Conversion]])</f>
        <v/>
      </c>
      <c r="K1011" s="45" t="str">
        <f>IF(Table2[[#This Row],[Description]]="","",DATE(Table2[[#This Row],[Year]],Table2[[#This Row],[Month]],1))</f>
        <v/>
      </c>
    </row>
    <row r="1012" spans="7:11" x14ac:dyDescent="0.25">
      <c r="G1012" s="1" t="str">
        <f>IF(Table2[[#This Row],[Description]]="","",VLOOKUP(Table2[[#This Row],[Description]],$Q$1:$S$101,2,FALSE))</f>
        <v/>
      </c>
      <c r="H1012" s="1" t="str">
        <f>IF(Table2[[#This Row],[Description]]="","",VLOOKUP(Table2[[#This Row],[Description]],$Q$1:$S$101,3,FALSE))</f>
        <v/>
      </c>
      <c r="I1012" s="1" t="str">
        <f>IF(Table2[[#This Row],[Description]]="","",IF(Table2[[#This Row],[Currency]]=$O$2,$P$2,HLOOKUP(Table2[[#This Row],[Date]],Funds!$C$10:$GV$11,2,FALSE)))</f>
        <v/>
      </c>
      <c r="J1012" s="215" t="str">
        <f>IF(Table2[[#This Row],[Description]]="","",Table2[[#This Row],[Value]]/Table2[[#This Row],[Conversion]])</f>
        <v/>
      </c>
      <c r="K1012" s="45" t="str">
        <f>IF(Table2[[#This Row],[Description]]="","",DATE(Table2[[#This Row],[Year]],Table2[[#This Row],[Month]],1))</f>
        <v/>
      </c>
    </row>
    <row r="1013" spans="7:11" x14ac:dyDescent="0.25">
      <c r="G1013" s="1" t="str">
        <f>IF(Table2[[#This Row],[Description]]="","",VLOOKUP(Table2[[#This Row],[Description]],$Q$1:$S$101,2,FALSE))</f>
        <v/>
      </c>
      <c r="H1013" s="1" t="str">
        <f>IF(Table2[[#This Row],[Description]]="","",VLOOKUP(Table2[[#This Row],[Description]],$Q$1:$S$101,3,FALSE))</f>
        <v/>
      </c>
      <c r="I1013" s="1" t="str">
        <f>IF(Table2[[#This Row],[Description]]="","",IF(Table2[[#This Row],[Currency]]=$O$2,$P$2,HLOOKUP(Table2[[#This Row],[Date]],Funds!$C$10:$GV$11,2,FALSE)))</f>
        <v/>
      </c>
      <c r="J1013" s="215" t="str">
        <f>IF(Table2[[#This Row],[Description]]="","",Table2[[#This Row],[Value]]/Table2[[#This Row],[Conversion]])</f>
        <v/>
      </c>
      <c r="K1013" s="45" t="str">
        <f>IF(Table2[[#This Row],[Description]]="","",DATE(Table2[[#This Row],[Year]],Table2[[#This Row],[Month]],1))</f>
        <v/>
      </c>
    </row>
    <row r="1014" spans="7:11" x14ac:dyDescent="0.25">
      <c r="G1014" s="1" t="str">
        <f>IF(Table2[[#This Row],[Description]]="","",VLOOKUP(Table2[[#This Row],[Description]],$Q$1:$S$101,2,FALSE))</f>
        <v/>
      </c>
      <c r="H1014" s="1" t="str">
        <f>IF(Table2[[#This Row],[Description]]="","",VLOOKUP(Table2[[#This Row],[Description]],$Q$1:$S$101,3,FALSE))</f>
        <v/>
      </c>
      <c r="I1014" s="1" t="str">
        <f>IF(Table2[[#This Row],[Description]]="","",IF(Table2[[#This Row],[Currency]]=$O$2,$P$2,HLOOKUP(Table2[[#This Row],[Date]],Funds!$C$10:$GV$11,2,FALSE)))</f>
        <v/>
      </c>
      <c r="J1014" s="215" t="str">
        <f>IF(Table2[[#This Row],[Description]]="","",Table2[[#This Row],[Value]]/Table2[[#This Row],[Conversion]])</f>
        <v/>
      </c>
      <c r="K1014" s="45" t="str">
        <f>IF(Table2[[#This Row],[Description]]="","",DATE(Table2[[#This Row],[Year]],Table2[[#This Row],[Month]],1))</f>
        <v/>
      </c>
    </row>
    <row r="1015" spans="7:11" x14ac:dyDescent="0.25">
      <c r="G1015" s="1" t="str">
        <f>IF(Table2[[#This Row],[Description]]="","",VLOOKUP(Table2[[#This Row],[Description]],$Q$1:$S$101,2,FALSE))</f>
        <v/>
      </c>
      <c r="H1015" s="1" t="str">
        <f>IF(Table2[[#This Row],[Description]]="","",VLOOKUP(Table2[[#This Row],[Description]],$Q$1:$S$101,3,FALSE))</f>
        <v/>
      </c>
      <c r="I1015" s="1" t="str">
        <f>IF(Table2[[#This Row],[Description]]="","",IF(Table2[[#This Row],[Currency]]=$O$2,$P$2,HLOOKUP(Table2[[#This Row],[Date]],Funds!$C$10:$GV$11,2,FALSE)))</f>
        <v/>
      </c>
      <c r="J1015" s="215" t="str">
        <f>IF(Table2[[#This Row],[Description]]="","",Table2[[#This Row],[Value]]/Table2[[#This Row],[Conversion]])</f>
        <v/>
      </c>
      <c r="K1015" s="45" t="str">
        <f>IF(Table2[[#This Row],[Description]]="","",DATE(Table2[[#This Row],[Year]],Table2[[#This Row],[Month]],1))</f>
        <v/>
      </c>
    </row>
    <row r="1016" spans="7:11" x14ac:dyDescent="0.25">
      <c r="G1016" s="1" t="str">
        <f>IF(Table2[[#This Row],[Description]]="","",VLOOKUP(Table2[[#This Row],[Description]],$Q$1:$S$101,2,FALSE))</f>
        <v/>
      </c>
      <c r="H1016" s="1" t="str">
        <f>IF(Table2[[#This Row],[Description]]="","",VLOOKUP(Table2[[#This Row],[Description]],$Q$1:$S$101,3,FALSE))</f>
        <v/>
      </c>
      <c r="I1016" s="1" t="str">
        <f>IF(Table2[[#This Row],[Description]]="","",IF(Table2[[#This Row],[Currency]]=$O$2,$P$2,HLOOKUP(Table2[[#This Row],[Date]],Funds!$C$10:$GV$11,2,FALSE)))</f>
        <v/>
      </c>
      <c r="J1016" s="215" t="str">
        <f>IF(Table2[[#This Row],[Description]]="","",Table2[[#This Row],[Value]]/Table2[[#This Row],[Conversion]])</f>
        <v/>
      </c>
      <c r="K1016" s="45" t="str">
        <f>IF(Table2[[#This Row],[Description]]="","",DATE(Table2[[#This Row],[Year]],Table2[[#This Row],[Month]],1))</f>
        <v/>
      </c>
    </row>
    <row r="1017" spans="7:11" x14ac:dyDescent="0.25">
      <c r="G1017" s="1" t="str">
        <f>IF(Table2[[#This Row],[Description]]="","",VLOOKUP(Table2[[#This Row],[Description]],$Q$1:$S$101,2,FALSE))</f>
        <v/>
      </c>
      <c r="H1017" s="1" t="str">
        <f>IF(Table2[[#This Row],[Description]]="","",VLOOKUP(Table2[[#This Row],[Description]],$Q$1:$S$101,3,FALSE))</f>
        <v/>
      </c>
      <c r="I1017" s="1" t="str">
        <f>IF(Table2[[#This Row],[Description]]="","",IF(Table2[[#This Row],[Currency]]=$O$2,$P$2,HLOOKUP(Table2[[#This Row],[Date]],Funds!$C$10:$GV$11,2,FALSE)))</f>
        <v/>
      </c>
      <c r="J1017" s="215" t="str">
        <f>IF(Table2[[#This Row],[Description]]="","",Table2[[#This Row],[Value]]/Table2[[#This Row],[Conversion]])</f>
        <v/>
      </c>
      <c r="K1017" s="45" t="str">
        <f>IF(Table2[[#This Row],[Description]]="","",DATE(Table2[[#This Row],[Year]],Table2[[#This Row],[Month]],1))</f>
        <v/>
      </c>
    </row>
    <row r="1018" spans="7:11" x14ac:dyDescent="0.25">
      <c r="G1018" s="1" t="str">
        <f>IF(Table2[[#This Row],[Description]]="","",VLOOKUP(Table2[[#This Row],[Description]],$Q$1:$S$101,2,FALSE))</f>
        <v/>
      </c>
      <c r="H1018" s="1" t="str">
        <f>IF(Table2[[#This Row],[Description]]="","",VLOOKUP(Table2[[#This Row],[Description]],$Q$1:$S$101,3,FALSE))</f>
        <v/>
      </c>
      <c r="I1018" s="1" t="str">
        <f>IF(Table2[[#This Row],[Description]]="","",IF(Table2[[#This Row],[Currency]]=$O$2,$P$2,HLOOKUP(Table2[[#This Row],[Date]],Funds!$C$10:$GV$11,2,FALSE)))</f>
        <v/>
      </c>
      <c r="J1018" s="215" t="str">
        <f>IF(Table2[[#This Row],[Description]]="","",Table2[[#This Row],[Value]]/Table2[[#This Row],[Conversion]])</f>
        <v/>
      </c>
      <c r="K1018" s="45" t="str">
        <f>IF(Table2[[#This Row],[Description]]="","",DATE(Table2[[#This Row],[Year]],Table2[[#This Row],[Month]],1))</f>
        <v/>
      </c>
    </row>
    <row r="1019" spans="7:11" x14ac:dyDescent="0.25">
      <c r="G1019" s="1" t="str">
        <f>IF(Table2[[#This Row],[Description]]="","",VLOOKUP(Table2[[#This Row],[Description]],$Q$1:$S$101,2,FALSE))</f>
        <v/>
      </c>
      <c r="H1019" s="1" t="str">
        <f>IF(Table2[[#This Row],[Description]]="","",VLOOKUP(Table2[[#This Row],[Description]],$Q$1:$S$101,3,FALSE))</f>
        <v/>
      </c>
      <c r="I1019" s="1" t="str">
        <f>IF(Table2[[#This Row],[Description]]="","",IF(Table2[[#This Row],[Currency]]=$O$2,$P$2,HLOOKUP(Table2[[#This Row],[Date]],Funds!$C$10:$GV$11,2,FALSE)))</f>
        <v/>
      </c>
      <c r="J1019" s="215" t="str">
        <f>IF(Table2[[#This Row],[Description]]="","",Table2[[#This Row],[Value]]/Table2[[#This Row],[Conversion]])</f>
        <v/>
      </c>
      <c r="K1019" s="45" t="str">
        <f>IF(Table2[[#This Row],[Description]]="","",DATE(Table2[[#This Row],[Year]],Table2[[#This Row],[Month]],1))</f>
        <v/>
      </c>
    </row>
    <row r="1020" spans="7:11" x14ac:dyDescent="0.25">
      <c r="G1020" s="1" t="str">
        <f>IF(Table2[[#This Row],[Description]]="","",VLOOKUP(Table2[[#This Row],[Description]],$Q$1:$S$101,2,FALSE))</f>
        <v/>
      </c>
      <c r="H1020" s="1" t="str">
        <f>IF(Table2[[#This Row],[Description]]="","",VLOOKUP(Table2[[#This Row],[Description]],$Q$1:$S$101,3,FALSE))</f>
        <v/>
      </c>
      <c r="I1020" s="1" t="str">
        <f>IF(Table2[[#This Row],[Description]]="","",IF(Table2[[#This Row],[Currency]]=$O$2,$P$2,HLOOKUP(Table2[[#This Row],[Date]],Funds!$C$10:$GV$11,2,FALSE)))</f>
        <v/>
      </c>
      <c r="J1020" s="215" t="str">
        <f>IF(Table2[[#This Row],[Description]]="","",Table2[[#This Row],[Value]]/Table2[[#This Row],[Conversion]])</f>
        <v/>
      </c>
      <c r="K1020" s="45" t="str">
        <f>IF(Table2[[#This Row],[Description]]="","",DATE(Table2[[#This Row],[Year]],Table2[[#This Row],[Month]],1))</f>
        <v/>
      </c>
    </row>
    <row r="1021" spans="7:11" x14ac:dyDescent="0.25">
      <c r="G1021" s="1" t="str">
        <f>IF(Table2[[#This Row],[Description]]="","",VLOOKUP(Table2[[#This Row],[Description]],$Q$1:$S$101,2,FALSE))</f>
        <v/>
      </c>
      <c r="H1021" s="1" t="str">
        <f>IF(Table2[[#This Row],[Description]]="","",VLOOKUP(Table2[[#This Row],[Description]],$Q$1:$S$101,3,FALSE))</f>
        <v/>
      </c>
      <c r="I1021" s="1" t="str">
        <f>IF(Table2[[#This Row],[Description]]="","",IF(Table2[[#This Row],[Currency]]=$O$2,$P$2,HLOOKUP(Table2[[#This Row],[Date]],Funds!$C$10:$GV$11,2,FALSE)))</f>
        <v/>
      </c>
      <c r="J1021" s="215" t="str">
        <f>IF(Table2[[#This Row],[Description]]="","",Table2[[#This Row],[Value]]/Table2[[#This Row],[Conversion]])</f>
        <v/>
      </c>
      <c r="K1021" s="45" t="str">
        <f>IF(Table2[[#This Row],[Description]]="","",DATE(Table2[[#This Row],[Year]],Table2[[#This Row],[Month]],1))</f>
        <v/>
      </c>
    </row>
    <row r="1022" spans="7:11" x14ac:dyDescent="0.25">
      <c r="G1022" s="1" t="str">
        <f>IF(Table2[[#This Row],[Description]]="","",VLOOKUP(Table2[[#This Row],[Description]],$Q$1:$S$101,2,FALSE))</f>
        <v/>
      </c>
      <c r="H1022" s="1" t="str">
        <f>IF(Table2[[#This Row],[Description]]="","",VLOOKUP(Table2[[#This Row],[Description]],$Q$1:$S$101,3,FALSE))</f>
        <v/>
      </c>
      <c r="I1022" s="1" t="str">
        <f>IF(Table2[[#This Row],[Description]]="","",IF(Table2[[#This Row],[Currency]]=$O$2,$P$2,HLOOKUP(Table2[[#This Row],[Date]],Funds!$C$10:$GV$11,2,FALSE)))</f>
        <v/>
      </c>
      <c r="J1022" s="215" t="str">
        <f>IF(Table2[[#This Row],[Description]]="","",Table2[[#This Row],[Value]]/Table2[[#This Row],[Conversion]])</f>
        <v/>
      </c>
      <c r="K1022" s="45" t="str">
        <f>IF(Table2[[#This Row],[Description]]="","",DATE(Table2[[#This Row],[Year]],Table2[[#This Row],[Month]],1))</f>
        <v/>
      </c>
    </row>
    <row r="1023" spans="7:11" x14ac:dyDescent="0.25">
      <c r="G1023" s="1" t="str">
        <f>IF(Table2[[#This Row],[Description]]="","",VLOOKUP(Table2[[#This Row],[Description]],$Q$1:$S$101,2,FALSE))</f>
        <v/>
      </c>
      <c r="H1023" s="1" t="str">
        <f>IF(Table2[[#This Row],[Description]]="","",VLOOKUP(Table2[[#This Row],[Description]],$Q$1:$S$101,3,FALSE))</f>
        <v/>
      </c>
      <c r="I1023" s="1" t="str">
        <f>IF(Table2[[#This Row],[Description]]="","",IF(Table2[[#This Row],[Currency]]=$O$2,$P$2,HLOOKUP(Table2[[#This Row],[Date]],Funds!$C$10:$GV$11,2,FALSE)))</f>
        <v/>
      </c>
      <c r="J1023" s="215" t="str">
        <f>IF(Table2[[#This Row],[Description]]="","",Table2[[#This Row],[Value]]/Table2[[#This Row],[Conversion]])</f>
        <v/>
      </c>
      <c r="K1023" s="45" t="str">
        <f>IF(Table2[[#This Row],[Description]]="","",DATE(Table2[[#This Row],[Year]],Table2[[#This Row],[Month]],1))</f>
        <v/>
      </c>
    </row>
    <row r="1024" spans="7:11" x14ac:dyDescent="0.25">
      <c r="G1024" s="1" t="str">
        <f>IF(Table2[[#This Row],[Description]]="","",VLOOKUP(Table2[[#This Row],[Description]],$Q$1:$S$101,2,FALSE))</f>
        <v/>
      </c>
      <c r="H1024" s="1" t="str">
        <f>IF(Table2[[#This Row],[Description]]="","",VLOOKUP(Table2[[#This Row],[Description]],$Q$1:$S$101,3,FALSE))</f>
        <v/>
      </c>
      <c r="I1024" s="1" t="str">
        <f>IF(Table2[[#This Row],[Description]]="","",IF(Table2[[#This Row],[Currency]]=$O$2,$P$2,HLOOKUP(Table2[[#This Row],[Date]],Funds!$C$10:$GV$11,2,FALSE)))</f>
        <v/>
      </c>
      <c r="J1024" s="215" t="str">
        <f>IF(Table2[[#This Row],[Description]]="","",Table2[[#This Row],[Value]]/Table2[[#This Row],[Conversion]])</f>
        <v/>
      </c>
      <c r="K1024" s="45" t="str">
        <f>IF(Table2[[#This Row],[Description]]="","",DATE(Table2[[#This Row],[Year]],Table2[[#This Row],[Month]],1))</f>
        <v/>
      </c>
    </row>
    <row r="1025" spans="7:11" x14ac:dyDescent="0.25">
      <c r="G1025" s="1" t="str">
        <f>IF(Table2[[#This Row],[Description]]="","",VLOOKUP(Table2[[#This Row],[Description]],$Q$1:$S$101,2,FALSE))</f>
        <v/>
      </c>
      <c r="H1025" s="1" t="str">
        <f>IF(Table2[[#This Row],[Description]]="","",VLOOKUP(Table2[[#This Row],[Description]],$Q$1:$S$101,3,FALSE))</f>
        <v/>
      </c>
      <c r="I1025" s="1" t="str">
        <f>IF(Table2[[#This Row],[Description]]="","",IF(Table2[[#This Row],[Currency]]=$O$2,$P$2,HLOOKUP(Table2[[#This Row],[Date]],Funds!$C$10:$GV$11,2,FALSE)))</f>
        <v/>
      </c>
      <c r="J1025" s="215" t="str">
        <f>IF(Table2[[#This Row],[Description]]="","",Table2[[#This Row],[Value]]/Table2[[#This Row],[Conversion]])</f>
        <v/>
      </c>
      <c r="K1025" s="45" t="str">
        <f>IF(Table2[[#This Row],[Description]]="","",DATE(Table2[[#This Row],[Year]],Table2[[#This Row],[Month]],1))</f>
        <v/>
      </c>
    </row>
    <row r="1026" spans="7:11" x14ac:dyDescent="0.25">
      <c r="G1026" s="1" t="str">
        <f>IF(Table2[[#This Row],[Description]]="","",VLOOKUP(Table2[[#This Row],[Description]],$Q$1:$S$101,2,FALSE))</f>
        <v/>
      </c>
      <c r="H1026" s="1" t="str">
        <f>IF(Table2[[#This Row],[Description]]="","",VLOOKUP(Table2[[#This Row],[Description]],$Q$1:$S$101,3,FALSE))</f>
        <v/>
      </c>
      <c r="I1026" s="1" t="str">
        <f>IF(Table2[[#This Row],[Description]]="","",IF(Table2[[#This Row],[Currency]]=$O$2,$P$2,HLOOKUP(Table2[[#This Row],[Date]],Funds!$C$10:$GV$11,2,FALSE)))</f>
        <v/>
      </c>
      <c r="J1026" s="215" t="str">
        <f>IF(Table2[[#This Row],[Description]]="","",Table2[[#This Row],[Value]]/Table2[[#This Row],[Conversion]])</f>
        <v/>
      </c>
      <c r="K1026" s="45" t="str">
        <f>IF(Table2[[#This Row],[Description]]="","",DATE(Table2[[#This Row],[Year]],Table2[[#This Row],[Month]],1))</f>
        <v/>
      </c>
    </row>
    <row r="1027" spans="7:11" x14ac:dyDescent="0.25">
      <c r="G1027" s="1" t="str">
        <f>IF(Table2[[#This Row],[Description]]="","",VLOOKUP(Table2[[#This Row],[Description]],$Q$1:$S$101,2,FALSE))</f>
        <v/>
      </c>
      <c r="H1027" s="1" t="str">
        <f>IF(Table2[[#This Row],[Description]]="","",VLOOKUP(Table2[[#This Row],[Description]],$Q$1:$S$101,3,FALSE))</f>
        <v/>
      </c>
      <c r="I1027" s="1" t="str">
        <f>IF(Table2[[#This Row],[Description]]="","",IF(Table2[[#This Row],[Currency]]=$O$2,$P$2,HLOOKUP(Table2[[#This Row],[Date]],Funds!$C$10:$GV$11,2,FALSE)))</f>
        <v/>
      </c>
      <c r="J1027" s="215" t="str">
        <f>IF(Table2[[#This Row],[Description]]="","",Table2[[#This Row],[Value]]/Table2[[#This Row],[Conversion]])</f>
        <v/>
      </c>
      <c r="K1027" s="45" t="str">
        <f>IF(Table2[[#This Row],[Description]]="","",DATE(Table2[[#This Row],[Year]],Table2[[#This Row],[Month]],1))</f>
        <v/>
      </c>
    </row>
    <row r="1028" spans="7:11" x14ac:dyDescent="0.25">
      <c r="G1028" s="1" t="str">
        <f>IF(Table2[[#This Row],[Description]]="","",VLOOKUP(Table2[[#This Row],[Description]],$Q$1:$S$101,2,FALSE))</f>
        <v/>
      </c>
      <c r="H1028" s="1" t="str">
        <f>IF(Table2[[#This Row],[Description]]="","",VLOOKUP(Table2[[#This Row],[Description]],$Q$1:$S$101,3,FALSE))</f>
        <v/>
      </c>
      <c r="I1028" s="1" t="str">
        <f>IF(Table2[[#This Row],[Description]]="","",IF(Table2[[#This Row],[Currency]]=$O$2,$P$2,HLOOKUP(Table2[[#This Row],[Date]],Funds!$C$10:$GV$11,2,FALSE)))</f>
        <v/>
      </c>
      <c r="J1028" s="215" t="str">
        <f>IF(Table2[[#This Row],[Description]]="","",Table2[[#This Row],[Value]]/Table2[[#This Row],[Conversion]])</f>
        <v/>
      </c>
      <c r="K1028" s="45" t="str">
        <f>IF(Table2[[#This Row],[Description]]="","",DATE(Table2[[#This Row],[Year]],Table2[[#This Row],[Month]],1))</f>
        <v/>
      </c>
    </row>
    <row r="1029" spans="7:11" x14ac:dyDescent="0.25">
      <c r="G1029" s="1" t="str">
        <f>IF(Table2[[#This Row],[Description]]="","",VLOOKUP(Table2[[#This Row],[Description]],$Q$1:$S$101,2,FALSE))</f>
        <v/>
      </c>
      <c r="H1029" s="1" t="str">
        <f>IF(Table2[[#This Row],[Description]]="","",VLOOKUP(Table2[[#This Row],[Description]],$Q$1:$S$101,3,FALSE))</f>
        <v/>
      </c>
      <c r="I1029" s="1" t="str">
        <f>IF(Table2[[#This Row],[Description]]="","",IF(Table2[[#This Row],[Currency]]=$O$2,$P$2,HLOOKUP(Table2[[#This Row],[Date]],Funds!$C$10:$GV$11,2,FALSE)))</f>
        <v/>
      </c>
      <c r="J1029" s="215" t="str">
        <f>IF(Table2[[#This Row],[Description]]="","",Table2[[#This Row],[Value]]/Table2[[#This Row],[Conversion]])</f>
        <v/>
      </c>
      <c r="K1029" s="45" t="str">
        <f>IF(Table2[[#This Row],[Description]]="","",DATE(Table2[[#This Row],[Year]],Table2[[#This Row],[Month]],1))</f>
        <v/>
      </c>
    </row>
    <row r="1030" spans="7:11" x14ac:dyDescent="0.25">
      <c r="G1030" s="1" t="str">
        <f>IF(Table2[[#This Row],[Description]]="","",VLOOKUP(Table2[[#This Row],[Description]],$Q$1:$S$101,2,FALSE))</f>
        <v/>
      </c>
      <c r="H1030" s="1" t="str">
        <f>IF(Table2[[#This Row],[Description]]="","",VLOOKUP(Table2[[#This Row],[Description]],$Q$1:$S$101,3,FALSE))</f>
        <v/>
      </c>
      <c r="I1030" s="1" t="str">
        <f>IF(Table2[[#This Row],[Description]]="","",IF(Table2[[#This Row],[Currency]]=$O$2,$P$2,HLOOKUP(Table2[[#This Row],[Date]],Funds!$C$10:$GV$11,2,FALSE)))</f>
        <v/>
      </c>
      <c r="J1030" s="215" t="str">
        <f>IF(Table2[[#This Row],[Description]]="","",Table2[[#This Row],[Value]]/Table2[[#This Row],[Conversion]])</f>
        <v/>
      </c>
      <c r="K1030" s="45" t="str">
        <f>IF(Table2[[#This Row],[Description]]="","",DATE(Table2[[#This Row],[Year]],Table2[[#This Row],[Month]],1))</f>
        <v/>
      </c>
    </row>
    <row r="1031" spans="7:11" x14ac:dyDescent="0.25">
      <c r="G1031" s="1" t="str">
        <f>IF(Table2[[#This Row],[Description]]="","",VLOOKUP(Table2[[#This Row],[Description]],$Q$1:$S$101,2,FALSE))</f>
        <v/>
      </c>
      <c r="H1031" s="1" t="str">
        <f>IF(Table2[[#This Row],[Description]]="","",VLOOKUP(Table2[[#This Row],[Description]],$Q$1:$S$101,3,FALSE))</f>
        <v/>
      </c>
      <c r="I1031" s="1" t="str">
        <f>IF(Table2[[#This Row],[Description]]="","",IF(Table2[[#This Row],[Currency]]=$O$2,$P$2,HLOOKUP(Table2[[#This Row],[Date]],Funds!$C$10:$GV$11,2,FALSE)))</f>
        <v/>
      </c>
      <c r="J1031" s="215" t="str">
        <f>IF(Table2[[#This Row],[Description]]="","",Table2[[#This Row],[Value]]/Table2[[#This Row],[Conversion]])</f>
        <v/>
      </c>
      <c r="K1031" s="45" t="str">
        <f>IF(Table2[[#This Row],[Description]]="","",DATE(Table2[[#This Row],[Year]],Table2[[#This Row],[Month]],1))</f>
        <v/>
      </c>
    </row>
    <row r="1032" spans="7:11" x14ac:dyDescent="0.25">
      <c r="G1032" s="1" t="str">
        <f>IF(Table2[[#This Row],[Description]]="","",VLOOKUP(Table2[[#This Row],[Description]],$Q$1:$S$101,2,FALSE))</f>
        <v/>
      </c>
      <c r="H1032" s="1" t="str">
        <f>IF(Table2[[#This Row],[Description]]="","",VLOOKUP(Table2[[#This Row],[Description]],$Q$1:$S$101,3,FALSE))</f>
        <v/>
      </c>
      <c r="I1032" s="1" t="str">
        <f>IF(Table2[[#This Row],[Description]]="","",IF(Table2[[#This Row],[Currency]]=$O$2,$P$2,HLOOKUP(Table2[[#This Row],[Date]],Funds!$C$10:$GV$11,2,FALSE)))</f>
        <v/>
      </c>
      <c r="J1032" s="215" t="str">
        <f>IF(Table2[[#This Row],[Description]]="","",Table2[[#This Row],[Value]]/Table2[[#This Row],[Conversion]])</f>
        <v/>
      </c>
      <c r="K1032" s="45" t="str">
        <f>IF(Table2[[#This Row],[Description]]="","",DATE(Table2[[#This Row],[Year]],Table2[[#This Row],[Month]],1))</f>
        <v/>
      </c>
    </row>
    <row r="1033" spans="7:11" x14ac:dyDescent="0.25">
      <c r="G1033" s="1" t="str">
        <f>IF(Table2[[#This Row],[Description]]="","",VLOOKUP(Table2[[#This Row],[Description]],$Q$1:$S$101,2,FALSE))</f>
        <v/>
      </c>
      <c r="H1033" s="1" t="str">
        <f>IF(Table2[[#This Row],[Description]]="","",VLOOKUP(Table2[[#This Row],[Description]],$Q$1:$S$101,3,FALSE))</f>
        <v/>
      </c>
      <c r="I1033" s="1" t="str">
        <f>IF(Table2[[#This Row],[Description]]="","",IF(Table2[[#This Row],[Currency]]=$O$2,$P$2,HLOOKUP(Table2[[#This Row],[Date]],Funds!$C$10:$GV$11,2,FALSE)))</f>
        <v/>
      </c>
      <c r="J1033" s="215" t="str">
        <f>IF(Table2[[#This Row],[Description]]="","",Table2[[#This Row],[Value]]/Table2[[#This Row],[Conversion]])</f>
        <v/>
      </c>
      <c r="K1033" s="45" t="str">
        <f>IF(Table2[[#This Row],[Description]]="","",DATE(Table2[[#This Row],[Year]],Table2[[#This Row],[Month]],1))</f>
        <v/>
      </c>
    </row>
    <row r="1034" spans="7:11" x14ac:dyDescent="0.25">
      <c r="G1034" s="1" t="str">
        <f>IF(Table2[[#This Row],[Description]]="","",VLOOKUP(Table2[[#This Row],[Description]],$Q$1:$S$101,2,FALSE))</f>
        <v/>
      </c>
      <c r="H1034" s="1" t="str">
        <f>IF(Table2[[#This Row],[Description]]="","",VLOOKUP(Table2[[#This Row],[Description]],$Q$1:$S$101,3,FALSE))</f>
        <v/>
      </c>
      <c r="I1034" s="1" t="str">
        <f>IF(Table2[[#This Row],[Description]]="","",IF(Table2[[#This Row],[Currency]]=$O$2,$P$2,HLOOKUP(Table2[[#This Row],[Date]],Funds!$C$10:$GV$11,2,FALSE)))</f>
        <v/>
      </c>
      <c r="J1034" s="215" t="str">
        <f>IF(Table2[[#This Row],[Description]]="","",Table2[[#This Row],[Value]]/Table2[[#This Row],[Conversion]])</f>
        <v/>
      </c>
      <c r="K1034" s="45" t="str">
        <f>IF(Table2[[#This Row],[Description]]="","",DATE(Table2[[#This Row],[Year]],Table2[[#This Row],[Month]],1))</f>
        <v/>
      </c>
    </row>
    <row r="1035" spans="7:11" x14ac:dyDescent="0.25">
      <c r="G1035" s="1" t="str">
        <f>IF(Table2[[#This Row],[Description]]="","",VLOOKUP(Table2[[#This Row],[Description]],$Q$1:$S$101,2,FALSE))</f>
        <v/>
      </c>
      <c r="H1035" s="1" t="str">
        <f>IF(Table2[[#This Row],[Description]]="","",VLOOKUP(Table2[[#This Row],[Description]],$Q$1:$S$101,3,FALSE))</f>
        <v/>
      </c>
      <c r="I1035" s="1" t="str">
        <f>IF(Table2[[#This Row],[Description]]="","",IF(Table2[[#This Row],[Currency]]=$O$2,$P$2,HLOOKUP(Table2[[#This Row],[Date]],Funds!$C$10:$GV$11,2,FALSE)))</f>
        <v/>
      </c>
      <c r="J1035" s="215" t="str">
        <f>IF(Table2[[#This Row],[Description]]="","",Table2[[#This Row],[Value]]/Table2[[#This Row],[Conversion]])</f>
        <v/>
      </c>
      <c r="K1035" s="45" t="str">
        <f>IF(Table2[[#This Row],[Description]]="","",DATE(Table2[[#This Row],[Year]],Table2[[#This Row],[Month]],1))</f>
        <v/>
      </c>
    </row>
    <row r="1036" spans="7:11" x14ac:dyDescent="0.25">
      <c r="G1036" s="1" t="str">
        <f>IF(Table2[[#This Row],[Description]]="","",VLOOKUP(Table2[[#This Row],[Description]],$Q$1:$S$101,2,FALSE))</f>
        <v/>
      </c>
      <c r="H1036" s="1" t="str">
        <f>IF(Table2[[#This Row],[Description]]="","",VLOOKUP(Table2[[#This Row],[Description]],$Q$1:$S$101,3,FALSE))</f>
        <v/>
      </c>
      <c r="I1036" s="1" t="str">
        <f>IF(Table2[[#This Row],[Description]]="","",IF(Table2[[#This Row],[Currency]]=$O$2,$P$2,HLOOKUP(Table2[[#This Row],[Date]],Funds!$C$10:$GV$11,2,FALSE)))</f>
        <v/>
      </c>
      <c r="J1036" s="215" t="str">
        <f>IF(Table2[[#This Row],[Description]]="","",Table2[[#This Row],[Value]]/Table2[[#This Row],[Conversion]])</f>
        <v/>
      </c>
      <c r="K1036" s="45" t="str">
        <f>IF(Table2[[#This Row],[Description]]="","",DATE(Table2[[#This Row],[Year]],Table2[[#This Row],[Month]],1))</f>
        <v/>
      </c>
    </row>
    <row r="1037" spans="7:11" x14ac:dyDescent="0.25">
      <c r="G1037" s="1" t="str">
        <f>IF(Table2[[#This Row],[Description]]="","",VLOOKUP(Table2[[#This Row],[Description]],$Q$1:$S$101,2,FALSE))</f>
        <v/>
      </c>
      <c r="H1037" s="1" t="str">
        <f>IF(Table2[[#This Row],[Description]]="","",VLOOKUP(Table2[[#This Row],[Description]],$Q$1:$S$101,3,FALSE))</f>
        <v/>
      </c>
      <c r="I1037" s="1" t="str">
        <f>IF(Table2[[#This Row],[Description]]="","",IF(Table2[[#This Row],[Currency]]=$O$2,$P$2,HLOOKUP(Table2[[#This Row],[Date]],Funds!$C$10:$GV$11,2,FALSE)))</f>
        <v/>
      </c>
      <c r="J1037" s="215" t="str">
        <f>IF(Table2[[#This Row],[Description]]="","",Table2[[#This Row],[Value]]/Table2[[#This Row],[Conversion]])</f>
        <v/>
      </c>
      <c r="K1037" s="45" t="str">
        <f>IF(Table2[[#This Row],[Description]]="","",DATE(Table2[[#This Row],[Year]],Table2[[#This Row],[Month]],1))</f>
        <v/>
      </c>
    </row>
    <row r="1038" spans="7:11" x14ac:dyDescent="0.25">
      <c r="G1038" s="1" t="str">
        <f>IF(Table2[[#This Row],[Description]]="","",VLOOKUP(Table2[[#This Row],[Description]],$Q$1:$S$101,2,FALSE))</f>
        <v/>
      </c>
      <c r="H1038" s="1" t="str">
        <f>IF(Table2[[#This Row],[Description]]="","",VLOOKUP(Table2[[#This Row],[Description]],$Q$1:$S$101,3,FALSE))</f>
        <v/>
      </c>
      <c r="I1038" s="1" t="str">
        <f>IF(Table2[[#This Row],[Description]]="","",IF(Table2[[#This Row],[Currency]]=$O$2,$P$2,HLOOKUP(Table2[[#This Row],[Date]],Funds!$C$10:$GV$11,2,FALSE)))</f>
        <v/>
      </c>
      <c r="J1038" s="215" t="str">
        <f>IF(Table2[[#This Row],[Description]]="","",Table2[[#This Row],[Value]]/Table2[[#This Row],[Conversion]])</f>
        <v/>
      </c>
      <c r="K1038" s="45" t="str">
        <f>IF(Table2[[#This Row],[Description]]="","",DATE(Table2[[#This Row],[Year]],Table2[[#This Row],[Month]],1))</f>
        <v/>
      </c>
    </row>
    <row r="1039" spans="7:11" x14ac:dyDescent="0.25">
      <c r="G1039" s="1" t="str">
        <f>IF(Table2[[#This Row],[Description]]="","",VLOOKUP(Table2[[#This Row],[Description]],$Q$1:$S$101,2,FALSE))</f>
        <v/>
      </c>
      <c r="H1039" s="1" t="str">
        <f>IF(Table2[[#This Row],[Description]]="","",VLOOKUP(Table2[[#This Row],[Description]],$Q$1:$S$101,3,FALSE))</f>
        <v/>
      </c>
      <c r="I1039" s="1" t="str">
        <f>IF(Table2[[#This Row],[Description]]="","",IF(Table2[[#This Row],[Currency]]=$O$2,$P$2,HLOOKUP(Table2[[#This Row],[Date]],Funds!$C$10:$GV$11,2,FALSE)))</f>
        <v/>
      </c>
      <c r="J1039" s="215" t="str">
        <f>IF(Table2[[#This Row],[Description]]="","",Table2[[#This Row],[Value]]/Table2[[#This Row],[Conversion]])</f>
        <v/>
      </c>
      <c r="K1039" s="45" t="str">
        <f>IF(Table2[[#This Row],[Description]]="","",DATE(Table2[[#This Row],[Year]],Table2[[#This Row],[Month]],1))</f>
        <v/>
      </c>
    </row>
    <row r="1040" spans="7:11" x14ac:dyDescent="0.25">
      <c r="G1040" s="1" t="str">
        <f>IF(Table2[[#This Row],[Description]]="","",VLOOKUP(Table2[[#This Row],[Description]],$Q$1:$S$101,2,FALSE))</f>
        <v/>
      </c>
      <c r="H1040" s="1" t="str">
        <f>IF(Table2[[#This Row],[Description]]="","",VLOOKUP(Table2[[#This Row],[Description]],$Q$1:$S$101,3,FALSE))</f>
        <v/>
      </c>
      <c r="I1040" s="1" t="str">
        <f>IF(Table2[[#This Row],[Description]]="","",IF(Table2[[#This Row],[Currency]]=$O$2,$P$2,HLOOKUP(Table2[[#This Row],[Date]],Funds!$C$10:$GV$11,2,FALSE)))</f>
        <v/>
      </c>
      <c r="J1040" s="215" t="str">
        <f>IF(Table2[[#This Row],[Description]]="","",Table2[[#This Row],[Value]]/Table2[[#This Row],[Conversion]])</f>
        <v/>
      </c>
      <c r="K1040" s="45" t="str">
        <f>IF(Table2[[#This Row],[Description]]="","",DATE(Table2[[#This Row],[Year]],Table2[[#This Row],[Month]],1))</f>
        <v/>
      </c>
    </row>
    <row r="1041" spans="7:11" x14ac:dyDescent="0.25">
      <c r="G1041" s="1" t="str">
        <f>IF(Table2[[#This Row],[Description]]="","",VLOOKUP(Table2[[#This Row],[Description]],$Q$1:$S$101,2,FALSE))</f>
        <v/>
      </c>
      <c r="H1041" s="1" t="str">
        <f>IF(Table2[[#This Row],[Description]]="","",VLOOKUP(Table2[[#This Row],[Description]],$Q$1:$S$101,3,FALSE))</f>
        <v/>
      </c>
      <c r="I1041" s="1" t="str">
        <f>IF(Table2[[#This Row],[Description]]="","",IF(Table2[[#This Row],[Currency]]=$O$2,$P$2,HLOOKUP(Table2[[#This Row],[Date]],Funds!$C$10:$GV$11,2,FALSE)))</f>
        <v/>
      </c>
      <c r="J1041" s="215" t="str">
        <f>IF(Table2[[#This Row],[Description]]="","",Table2[[#This Row],[Value]]/Table2[[#This Row],[Conversion]])</f>
        <v/>
      </c>
      <c r="K1041" s="45" t="str">
        <f>IF(Table2[[#This Row],[Description]]="","",DATE(Table2[[#This Row],[Year]],Table2[[#This Row],[Month]],1))</f>
        <v/>
      </c>
    </row>
    <row r="1042" spans="7:11" x14ac:dyDescent="0.25">
      <c r="G1042" s="1" t="str">
        <f>IF(Table2[[#This Row],[Description]]="","",VLOOKUP(Table2[[#This Row],[Description]],$Q$1:$S$101,2,FALSE))</f>
        <v/>
      </c>
      <c r="H1042" s="1" t="str">
        <f>IF(Table2[[#This Row],[Description]]="","",VLOOKUP(Table2[[#This Row],[Description]],$Q$1:$S$101,3,FALSE))</f>
        <v/>
      </c>
      <c r="I1042" s="1" t="str">
        <f>IF(Table2[[#This Row],[Description]]="","",IF(Table2[[#This Row],[Currency]]=$O$2,$P$2,HLOOKUP(Table2[[#This Row],[Date]],Funds!$C$10:$GV$11,2,FALSE)))</f>
        <v/>
      </c>
      <c r="J1042" s="215" t="str">
        <f>IF(Table2[[#This Row],[Description]]="","",Table2[[#This Row],[Value]]/Table2[[#This Row],[Conversion]])</f>
        <v/>
      </c>
      <c r="K1042" s="45" t="str">
        <f>IF(Table2[[#This Row],[Description]]="","",DATE(Table2[[#This Row],[Year]],Table2[[#This Row],[Month]],1))</f>
        <v/>
      </c>
    </row>
    <row r="1043" spans="7:11" x14ac:dyDescent="0.25">
      <c r="G1043" s="1" t="str">
        <f>IF(Table2[[#This Row],[Description]]="","",VLOOKUP(Table2[[#This Row],[Description]],$Q$1:$S$101,2,FALSE))</f>
        <v/>
      </c>
      <c r="H1043" s="1" t="str">
        <f>IF(Table2[[#This Row],[Description]]="","",VLOOKUP(Table2[[#This Row],[Description]],$Q$1:$S$101,3,FALSE))</f>
        <v/>
      </c>
      <c r="I1043" s="1" t="str">
        <f>IF(Table2[[#This Row],[Description]]="","",IF(Table2[[#This Row],[Currency]]=$O$2,$P$2,HLOOKUP(Table2[[#This Row],[Date]],Funds!$C$10:$GV$11,2,FALSE)))</f>
        <v/>
      </c>
      <c r="J1043" s="215" t="str">
        <f>IF(Table2[[#This Row],[Description]]="","",Table2[[#This Row],[Value]]/Table2[[#This Row],[Conversion]])</f>
        <v/>
      </c>
      <c r="K1043" s="45" t="str">
        <f>IF(Table2[[#This Row],[Description]]="","",DATE(Table2[[#This Row],[Year]],Table2[[#This Row],[Month]],1))</f>
        <v/>
      </c>
    </row>
    <row r="1044" spans="7:11" x14ac:dyDescent="0.25">
      <c r="G1044" s="1" t="str">
        <f>IF(Table2[[#This Row],[Description]]="","",VLOOKUP(Table2[[#This Row],[Description]],$Q$1:$S$101,2,FALSE))</f>
        <v/>
      </c>
      <c r="H1044" s="1" t="str">
        <f>IF(Table2[[#This Row],[Description]]="","",VLOOKUP(Table2[[#This Row],[Description]],$Q$1:$S$101,3,FALSE))</f>
        <v/>
      </c>
      <c r="I1044" s="1" t="str">
        <f>IF(Table2[[#This Row],[Description]]="","",IF(Table2[[#This Row],[Currency]]=$O$2,$P$2,HLOOKUP(Table2[[#This Row],[Date]],Funds!$C$10:$GV$11,2,FALSE)))</f>
        <v/>
      </c>
      <c r="J1044" s="215" t="str">
        <f>IF(Table2[[#This Row],[Description]]="","",Table2[[#This Row],[Value]]/Table2[[#This Row],[Conversion]])</f>
        <v/>
      </c>
      <c r="K1044" s="45" t="str">
        <f>IF(Table2[[#This Row],[Description]]="","",DATE(Table2[[#This Row],[Year]],Table2[[#This Row],[Month]],1))</f>
        <v/>
      </c>
    </row>
    <row r="1045" spans="7:11" x14ac:dyDescent="0.25">
      <c r="G1045" s="1" t="str">
        <f>IF(Table2[[#This Row],[Description]]="","",VLOOKUP(Table2[[#This Row],[Description]],$Q$1:$S$101,2,FALSE))</f>
        <v/>
      </c>
      <c r="H1045" s="1" t="str">
        <f>IF(Table2[[#This Row],[Description]]="","",VLOOKUP(Table2[[#This Row],[Description]],$Q$1:$S$101,3,FALSE))</f>
        <v/>
      </c>
      <c r="I1045" s="1" t="str">
        <f>IF(Table2[[#This Row],[Description]]="","",IF(Table2[[#This Row],[Currency]]=$O$2,$P$2,HLOOKUP(Table2[[#This Row],[Date]],Funds!$C$10:$GV$11,2,FALSE)))</f>
        <v/>
      </c>
      <c r="J1045" s="215" t="str">
        <f>IF(Table2[[#This Row],[Description]]="","",Table2[[#This Row],[Value]]/Table2[[#This Row],[Conversion]])</f>
        <v/>
      </c>
      <c r="K1045" s="45" t="str">
        <f>IF(Table2[[#This Row],[Description]]="","",DATE(Table2[[#This Row],[Year]],Table2[[#This Row],[Month]],1))</f>
        <v/>
      </c>
    </row>
    <row r="1046" spans="7:11" x14ac:dyDescent="0.25">
      <c r="G1046" s="1" t="str">
        <f>IF(Table2[[#This Row],[Description]]="","",VLOOKUP(Table2[[#This Row],[Description]],$Q$1:$S$101,2,FALSE))</f>
        <v/>
      </c>
      <c r="H1046" s="1" t="str">
        <f>IF(Table2[[#This Row],[Description]]="","",VLOOKUP(Table2[[#This Row],[Description]],$Q$1:$S$101,3,FALSE))</f>
        <v/>
      </c>
      <c r="I1046" s="1" t="str">
        <f>IF(Table2[[#This Row],[Description]]="","",IF(Table2[[#This Row],[Currency]]=$O$2,$P$2,HLOOKUP(Table2[[#This Row],[Date]],Funds!$C$10:$GV$11,2,FALSE)))</f>
        <v/>
      </c>
      <c r="J1046" s="215" t="str">
        <f>IF(Table2[[#This Row],[Description]]="","",Table2[[#This Row],[Value]]/Table2[[#This Row],[Conversion]])</f>
        <v/>
      </c>
      <c r="K1046" s="45" t="str">
        <f>IF(Table2[[#This Row],[Description]]="","",DATE(Table2[[#This Row],[Year]],Table2[[#This Row],[Month]],1))</f>
        <v/>
      </c>
    </row>
    <row r="1047" spans="7:11" x14ac:dyDescent="0.25">
      <c r="G1047" s="1" t="str">
        <f>IF(Table2[[#This Row],[Description]]="","",VLOOKUP(Table2[[#This Row],[Description]],$Q$1:$S$101,2,FALSE))</f>
        <v/>
      </c>
      <c r="H1047" s="1" t="str">
        <f>IF(Table2[[#This Row],[Description]]="","",VLOOKUP(Table2[[#This Row],[Description]],$Q$1:$S$101,3,FALSE))</f>
        <v/>
      </c>
      <c r="I1047" s="1" t="str">
        <f>IF(Table2[[#This Row],[Description]]="","",IF(Table2[[#This Row],[Currency]]=$O$2,$P$2,HLOOKUP(Table2[[#This Row],[Date]],Funds!$C$10:$GV$11,2,FALSE)))</f>
        <v/>
      </c>
      <c r="J1047" s="215" t="str">
        <f>IF(Table2[[#This Row],[Description]]="","",Table2[[#This Row],[Value]]/Table2[[#This Row],[Conversion]])</f>
        <v/>
      </c>
      <c r="K1047" s="45" t="str">
        <f>IF(Table2[[#This Row],[Description]]="","",DATE(Table2[[#This Row],[Year]],Table2[[#This Row],[Month]],1))</f>
        <v/>
      </c>
    </row>
    <row r="1048" spans="7:11" x14ac:dyDescent="0.25">
      <c r="G1048" s="1" t="str">
        <f>IF(Table2[[#This Row],[Description]]="","",VLOOKUP(Table2[[#This Row],[Description]],$Q$1:$S$101,2,FALSE))</f>
        <v/>
      </c>
      <c r="H1048" s="1" t="str">
        <f>IF(Table2[[#This Row],[Description]]="","",VLOOKUP(Table2[[#This Row],[Description]],$Q$1:$S$101,3,FALSE))</f>
        <v/>
      </c>
      <c r="I1048" s="1" t="str">
        <f>IF(Table2[[#This Row],[Description]]="","",IF(Table2[[#This Row],[Currency]]=$O$2,$P$2,HLOOKUP(Table2[[#This Row],[Date]],Funds!$C$10:$GV$11,2,FALSE)))</f>
        <v/>
      </c>
      <c r="J1048" s="215" t="str">
        <f>IF(Table2[[#This Row],[Description]]="","",Table2[[#This Row],[Value]]/Table2[[#This Row],[Conversion]])</f>
        <v/>
      </c>
      <c r="K1048" s="45" t="str">
        <f>IF(Table2[[#This Row],[Description]]="","",DATE(Table2[[#This Row],[Year]],Table2[[#This Row],[Month]],1))</f>
        <v/>
      </c>
    </row>
    <row r="1049" spans="7:11" x14ac:dyDescent="0.25">
      <c r="G1049" s="1" t="str">
        <f>IF(Table2[[#This Row],[Description]]="","",VLOOKUP(Table2[[#This Row],[Description]],$Q$1:$S$101,2,FALSE))</f>
        <v/>
      </c>
      <c r="H1049" s="1" t="str">
        <f>IF(Table2[[#This Row],[Description]]="","",VLOOKUP(Table2[[#This Row],[Description]],$Q$1:$S$101,3,FALSE))</f>
        <v/>
      </c>
      <c r="I1049" s="1" t="str">
        <f>IF(Table2[[#This Row],[Description]]="","",IF(Table2[[#This Row],[Currency]]=$O$2,$P$2,HLOOKUP(Table2[[#This Row],[Date]],Funds!$C$10:$GV$11,2,FALSE)))</f>
        <v/>
      </c>
      <c r="J1049" s="215" t="str">
        <f>IF(Table2[[#This Row],[Description]]="","",Table2[[#This Row],[Value]]/Table2[[#This Row],[Conversion]])</f>
        <v/>
      </c>
      <c r="K1049" s="45" t="str">
        <f>IF(Table2[[#This Row],[Description]]="","",DATE(Table2[[#This Row],[Year]],Table2[[#This Row],[Month]],1))</f>
        <v/>
      </c>
    </row>
    <row r="1050" spans="7:11" x14ac:dyDescent="0.25">
      <c r="G1050" s="1" t="str">
        <f>IF(Table2[[#This Row],[Description]]="","",VLOOKUP(Table2[[#This Row],[Description]],$Q$1:$S$101,2,FALSE))</f>
        <v/>
      </c>
      <c r="H1050" s="1" t="str">
        <f>IF(Table2[[#This Row],[Description]]="","",VLOOKUP(Table2[[#This Row],[Description]],$Q$1:$S$101,3,FALSE))</f>
        <v/>
      </c>
      <c r="I1050" s="1" t="str">
        <f>IF(Table2[[#This Row],[Description]]="","",IF(Table2[[#This Row],[Currency]]=$O$2,$P$2,HLOOKUP(Table2[[#This Row],[Date]],Funds!$C$10:$GV$11,2,FALSE)))</f>
        <v/>
      </c>
      <c r="J1050" s="215" t="str">
        <f>IF(Table2[[#This Row],[Description]]="","",Table2[[#This Row],[Value]]/Table2[[#This Row],[Conversion]])</f>
        <v/>
      </c>
      <c r="K1050" s="45" t="str">
        <f>IF(Table2[[#This Row],[Description]]="","",DATE(Table2[[#This Row],[Year]],Table2[[#This Row],[Month]],1))</f>
        <v/>
      </c>
    </row>
    <row r="1051" spans="7:11" x14ac:dyDescent="0.25">
      <c r="G1051" s="1" t="str">
        <f>IF(Table2[[#This Row],[Description]]="","",VLOOKUP(Table2[[#This Row],[Description]],$Q$1:$S$101,2,FALSE))</f>
        <v/>
      </c>
      <c r="H1051" s="1" t="str">
        <f>IF(Table2[[#This Row],[Description]]="","",VLOOKUP(Table2[[#This Row],[Description]],$Q$1:$S$101,3,FALSE))</f>
        <v/>
      </c>
      <c r="I1051" s="1" t="str">
        <f>IF(Table2[[#This Row],[Description]]="","",IF(Table2[[#This Row],[Currency]]=$O$2,$P$2,HLOOKUP(Table2[[#This Row],[Date]],Funds!$C$10:$GV$11,2,FALSE)))</f>
        <v/>
      </c>
      <c r="J1051" s="215" t="str">
        <f>IF(Table2[[#This Row],[Description]]="","",Table2[[#This Row],[Value]]/Table2[[#This Row],[Conversion]])</f>
        <v/>
      </c>
      <c r="K1051" s="45" t="str">
        <f>IF(Table2[[#This Row],[Description]]="","",DATE(Table2[[#This Row],[Year]],Table2[[#This Row],[Month]],1))</f>
        <v/>
      </c>
    </row>
    <row r="1052" spans="7:11" x14ac:dyDescent="0.25">
      <c r="G1052" s="1" t="str">
        <f>IF(Table2[[#This Row],[Description]]="","",VLOOKUP(Table2[[#This Row],[Description]],$Q$1:$S$101,2,FALSE))</f>
        <v/>
      </c>
      <c r="H1052" s="1" t="str">
        <f>IF(Table2[[#This Row],[Description]]="","",VLOOKUP(Table2[[#This Row],[Description]],$Q$1:$S$101,3,FALSE))</f>
        <v/>
      </c>
      <c r="I1052" s="1" t="str">
        <f>IF(Table2[[#This Row],[Description]]="","",IF(Table2[[#This Row],[Currency]]=$O$2,$P$2,HLOOKUP(Table2[[#This Row],[Date]],Funds!$C$10:$GV$11,2,FALSE)))</f>
        <v/>
      </c>
      <c r="J1052" s="215" t="str">
        <f>IF(Table2[[#This Row],[Description]]="","",Table2[[#This Row],[Value]]/Table2[[#This Row],[Conversion]])</f>
        <v/>
      </c>
      <c r="K1052" s="45" t="str">
        <f>IF(Table2[[#This Row],[Description]]="","",DATE(Table2[[#This Row],[Year]],Table2[[#This Row],[Month]],1))</f>
        <v/>
      </c>
    </row>
    <row r="1053" spans="7:11" x14ac:dyDescent="0.25">
      <c r="G1053" s="1" t="str">
        <f>IF(Table2[[#This Row],[Description]]="","",VLOOKUP(Table2[[#This Row],[Description]],$Q$1:$S$101,2,FALSE))</f>
        <v/>
      </c>
      <c r="H1053" s="1" t="str">
        <f>IF(Table2[[#This Row],[Description]]="","",VLOOKUP(Table2[[#This Row],[Description]],$Q$1:$S$101,3,FALSE))</f>
        <v/>
      </c>
      <c r="I1053" s="1" t="str">
        <f>IF(Table2[[#This Row],[Description]]="","",IF(Table2[[#This Row],[Currency]]=$O$2,$P$2,HLOOKUP(Table2[[#This Row],[Date]],Funds!$C$10:$GV$11,2,FALSE)))</f>
        <v/>
      </c>
      <c r="J1053" s="215" t="str">
        <f>IF(Table2[[#This Row],[Description]]="","",Table2[[#This Row],[Value]]/Table2[[#This Row],[Conversion]])</f>
        <v/>
      </c>
      <c r="K1053" s="45" t="str">
        <f>IF(Table2[[#This Row],[Description]]="","",DATE(Table2[[#This Row],[Year]],Table2[[#This Row],[Month]],1))</f>
        <v/>
      </c>
    </row>
    <row r="1054" spans="7:11" x14ac:dyDescent="0.25">
      <c r="G1054" s="1" t="str">
        <f>IF(Table2[[#This Row],[Description]]="","",VLOOKUP(Table2[[#This Row],[Description]],$Q$1:$S$101,2,FALSE))</f>
        <v/>
      </c>
      <c r="H1054" s="1" t="str">
        <f>IF(Table2[[#This Row],[Description]]="","",VLOOKUP(Table2[[#This Row],[Description]],$Q$1:$S$101,3,FALSE))</f>
        <v/>
      </c>
      <c r="I1054" s="1" t="str">
        <f>IF(Table2[[#This Row],[Description]]="","",IF(Table2[[#This Row],[Currency]]=$O$2,$P$2,HLOOKUP(Table2[[#This Row],[Date]],Funds!$C$10:$GV$11,2,FALSE)))</f>
        <v/>
      </c>
      <c r="J1054" s="215" t="str">
        <f>IF(Table2[[#This Row],[Description]]="","",Table2[[#This Row],[Value]]/Table2[[#This Row],[Conversion]])</f>
        <v/>
      </c>
      <c r="K1054" s="45" t="str">
        <f>IF(Table2[[#This Row],[Description]]="","",DATE(Table2[[#This Row],[Year]],Table2[[#This Row],[Month]],1))</f>
        <v/>
      </c>
    </row>
    <row r="1055" spans="7:11" x14ac:dyDescent="0.25">
      <c r="G1055" s="1" t="str">
        <f>IF(Table2[[#This Row],[Description]]="","",VLOOKUP(Table2[[#This Row],[Description]],$Q$1:$S$101,2,FALSE))</f>
        <v/>
      </c>
      <c r="H1055" s="1" t="str">
        <f>IF(Table2[[#This Row],[Description]]="","",VLOOKUP(Table2[[#This Row],[Description]],$Q$1:$S$101,3,FALSE))</f>
        <v/>
      </c>
      <c r="I1055" s="1" t="str">
        <f>IF(Table2[[#This Row],[Description]]="","",IF(Table2[[#This Row],[Currency]]=$O$2,$P$2,HLOOKUP(Table2[[#This Row],[Date]],Funds!$C$10:$GV$11,2,FALSE)))</f>
        <v/>
      </c>
      <c r="J1055" s="215" t="str">
        <f>IF(Table2[[#This Row],[Description]]="","",Table2[[#This Row],[Value]]/Table2[[#This Row],[Conversion]])</f>
        <v/>
      </c>
      <c r="K1055" s="45" t="str">
        <f>IF(Table2[[#This Row],[Description]]="","",DATE(Table2[[#This Row],[Year]],Table2[[#This Row],[Month]],1))</f>
        <v/>
      </c>
    </row>
    <row r="1056" spans="7:11" x14ac:dyDescent="0.25">
      <c r="G1056" s="1" t="str">
        <f>IF(Table2[[#This Row],[Description]]="","",VLOOKUP(Table2[[#This Row],[Description]],$Q$1:$S$101,2,FALSE))</f>
        <v/>
      </c>
      <c r="H1056" s="1" t="str">
        <f>IF(Table2[[#This Row],[Description]]="","",VLOOKUP(Table2[[#This Row],[Description]],$Q$1:$S$101,3,FALSE))</f>
        <v/>
      </c>
      <c r="I1056" s="1" t="str">
        <f>IF(Table2[[#This Row],[Description]]="","",IF(Table2[[#This Row],[Currency]]=$O$2,$P$2,HLOOKUP(Table2[[#This Row],[Date]],Funds!$C$10:$GV$11,2,FALSE)))</f>
        <v/>
      </c>
      <c r="J1056" s="215" t="str">
        <f>IF(Table2[[#This Row],[Description]]="","",Table2[[#This Row],[Value]]/Table2[[#This Row],[Conversion]])</f>
        <v/>
      </c>
      <c r="K1056" s="45" t="str">
        <f>IF(Table2[[#This Row],[Description]]="","",DATE(Table2[[#This Row],[Year]],Table2[[#This Row],[Month]],1))</f>
        <v/>
      </c>
    </row>
    <row r="1057" spans="7:11" x14ac:dyDescent="0.25">
      <c r="G1057" s="1" t="str">
        <f>IF(Table2[[#This Row],[Description]]="","",VLOOKUP(Table2[[#This Row],[Description]],$Q$1:$S$101,2,FALSE))</f>
        <v/>
      </c>
      <c r="H1057" s="1" t="str">
        <f>IF(Table2[[#This Row],[Description]]="","",VLOOKUP(Table2[[#This Row],[Description]],$Q$1:$S$101,3,FALSE))</f>
        <v/>
      </c>
      <c r="I1057" s="1" t="str">
        <f>IF(Table2[[#This Row],[Description]]="","",IF(Table2[[#This Row],[Currency]]=$O$2,$P$2,HLOOKUP(Table2[[#This Row],[Date]],Funds!$C$10:$GV$11,2,FALSE)))</f>
        <v/>
      </c>
      <c r="J1057" s="215" t="str">
        <f>IF(Table2[[#This Row],[Description]]="","",Table2[[#This Row],[Value]]/Table2[[#This Row],[Conversion]])</f>
        <v/>
      </c>
      <c r="K1057" s="45" t="str">
        <f>IF(Table2[[#This Row],[Description]]="","",DATE(Table2[[#This Row],[Year]],Table2[[#This Row],[Month]],1))</f>
        <v/>
      </c>
    </row>
    <row r="1058" spans="7:11" x14ac:dyDescent="0.25">
      <c r="G1058" s="1" t="str">
        <f>IF(Table2[[#This Row],[Description]]="","",VLOOKUP(Table2[[#This Row],[Description]],$Q$1:$S$101,2,FALSE))</f>
        <v/>
      </c>
      <c r="H1058" s="1" t="str">
        <f>IF(Table2[[#This Row],[Description]]="","",VLOOKUP(Table2[[#This Row],[Description]],$Q$1:$S$101,3,FALSE))</f>
        <v/>
      </c>
      <c r="I1058" s="1" t="str">
        <f>IF(Table2[[#This Row],[Description]]="","",IF(Table2[[#This Row],[Currency]]=$O$2,$P$2,HLOOKUP(Table2[[#This Row],[Date]],Funds!$C$10:$GV$11,2,FALSE)))</f>
        <v/>
      </c>
      <c r="J1058" s="215" t="str">
        <f>IF(Table2[[#This Row],[Description]]="","",Table2[[#This Row],[Value]]/Table2[[#This Row],[Conversion]])</f>
        <v/>
      </c>
      <c r="K1058" s="45" t="str">
        <f>IF(Table2[[#This Row],[Description]]="","",DATE(Table2[[#This Row],[Year]],Table2[[#This Row],[Month]],1))</f>
        <v/>
      </c>
    </row>
    <row r="1059" spans="7:11" x14ac:dyDescent="0.25">
      <c r="G1059" s="1" t="str">
        <f>IF(Table2[[#This Row],[Description]]="","",VLOOKUP(Table2[[#This Row],[Description]],$Q$1:$S$101,2,FALSE))</f>
        <v/>
      </c>
      <c r="H1059" s="1" t="str">
        <f>IF(Table2[[#This Row],[Description]]="","",VLOOKUP(Table2[[#This Row],[Description]],$Q$1:$S$101,3,FALSE))</f>
        <v/>
      </c>
      <c r="I1059" s="1" t="str">
        <f>IF(Table2[[#This Row],[Description]]="","",IF(Table2[[#This Row],[Currency]]=$O$2,$P$2,HLOOKUP(Table2[[#This Row],[Date]],Funds!$C$10:$GV$11,2,FALSE)))</f>
        <v/>
      </c>
      <c r="J1059" s="215" t="str">
        <f>IF(Table2[[#This Row],[Description]]="","",Table2[[#This Row],[Value]]/Table2[[#This Row],[Conversion]])</f>
        <v/>
      </c>
      <c r="K1059" s="45" t="str">
        <f>IF(Table2[[#This Row],[Description]]="","",DATE(Table2[[#This Row],[Year]],Table2[[#This Row],[Month]],1))</f>
        <v/>
      </c>
    </row>
    <row r="1060" spans="7:11" x14ac:dyDescent="0.25">
      <c r="G1060" s="1" t="str">
        <f>IF(Table2[[#This Row],[Description]]="","",VLOOKUP(Table2[[#This Row],[Description]],$Q$1:$S$101,2,FALSE))</f>
        <v/>
      </c>
      <c r="H1060" s="1" t="str">
        <f>IF(Table2[[#This Row],[Description]]="","",VLOOKUP(Table2[[#This Row],[Description]],$Q$1:$S$101,3,FALSE))</f>
        <v/>
      </c>
      <c r="I1060" s="1" t="str">
        <f>IF(Table2[[#This Row],[Description]]="","",IF(Table2[[#This Row],[Currency]]=$O$2,$P$2,HLOOKUP(Table2[[#This Row],[Date]],Funds!$C$10:$GV$11,2,FALSE)))</f>
        <v/>
      </c>
      <c r="J1060" s="215" t="str">
        <f>IF(Table2[[#This Row],[Description]]="","",Table2[[#This Row],[Value]]/Table2[[#This Row],[Conversion]])</f>
        <v/>
      </c>
      <c r="K1060" s="45" t="str">
        <f>IF(Table2[[#This Row],[Description]]="","",DATE(Table2[[#This Row],[Year]],Table2[[#This Row],[Month]],1))</f>
        <v/>
      </c>
    </row>
    <row r="1061" spans="7:11" x14ac:dyDescent="0.25">
      <c r="G1061" s="1" t="str">
        <f>IF(Table2[[#This Row],[Description]]="","",VLOOKUP(Table2[[#This Row],[Description]],$Q$1:$S$101,2,FALSE))</f>
        <v/>
      </c>
      <c r="H1061" s="1" t="str">
        <f>IF(Table2[[#This Row],[Description]]="","",VLOOKUP(Table2[[#This Row],[Description]],$Q$1:$S$101,3,FALSE))</f>
        <v/>
      </c>
      <c r="I1061" s="1" t="str">
        <f>IF(Table2[[#This Row],[Description]]="","",IF(Table2[[#This Row],[Currency]]=$O$2,$P$2,HLOOKUP(Table2[[#This Row],[Date]],Funds!$C$10:$GV$11,2,FALSE)))</f>
        <v/>
      </c>
      <c r="J1061" s="215" t="str">
        <f>IF(Table2[[#This Row],[Description]]="","",Table2[[#This Row],[Value]]/Table2[[#This Row],[Conversion]])</f>
        <v/>
      </c>
      <c r="K1061" s="45" t="str">
        <f>IF(Table2[[#This Row],[Description]]="","",DATE(Table2[[#This Row],[Year]],Table2[[#This Row],[Month]],1))</f>
        <v/>
      </c>
    </row>
    <row r="1062" spans="7:11" x14ac:dyDescent="0.25">
      <c r="G1062" s="1" t="str">
        <f>IF(Table2[[#This Row],[Description]]="","",VLOOKUP(Table2[[#This Row],[Description]],$Q$1:$S$101,2,FALSE))</f>
        <v/>
      </c>
      <c r="H1062" s="1" t="str">
        <f>IF(Table2[[#This Row],[Description]]="","",VLOOKUP(Table2[[#This Row],[Description]],$Q$1:$S$101,3,FALSE))</f>
        <v/>
      </c>
      <c r="I1062" s="1" t="str">
        <f>IF(Table2[[#This Row],[Description]]="","",IF(Table2[[#This Row],[Currency]]=$O$2,$P$2,HLOOKUP(Table2[[#This Row],[Date]],Funds!$C$10:$GV$11,2,FALSE)))</f>
        <v/>
      </c>
      <c r="J1062" s="215" t="str">
        <f>IF(Table2[[#This Row],[Description]]="","",Table2[[#This Row],[Value]]/Table2[[#This Row],[Conversion]])</f>
        <v/>
      </c>
      <c r="K1062" s="45" t="str">
        <f>IF(Table2[[#This Row],[Description]]="","",DATE(Table2[[#This Row],[Year]],Table2[[#This Row],[Month]],1))</f>
        <v/>
      </c>
    </row>
    <row r="1063" spans="7:11" x14ac:dyDescent="0.25">
      <c r="G1063" s="1" t="str">
        <f>IF(Table2[[#This Row],[Description]]="","",VLOOKUP(Table2[[#This Row],[Description]],$Q$1:$S$101,2,FALSE))</f>
        <v/>
      </c>
      <c r="H1063" s="1" t="str">
        <f>IF(Table2[[#This Row],[Description]]="","",VLOOKUP(Table2[[#This Row],[Description]],$Q$1:$S$101,3,FALSE))</f>
        <v/>
      </c>
      <c r="I1063" s="1" t="str">
        <f>IF(Table2[[#This Row],[Description]]="","",IF(Table2[[#This Row],[Currency]]=$O$2,$P$2,HLOOKUP(Table2[[#This Row],[Date]],Funds!$C$10:$GV$11,2,FALSE)))</f>
        <v/>
      </c>
      <c r="J1063" s="215" t="str">
        <f>IF(Table2[[#This Row],[Description]]="","",Table2[[#This Row],[Value]]/Table2[[#This Row],[Conversion]])</f>
        <v/>
      </c>
      <c r="K1063" s="45" t="str">
        <f>IF(Table2[[#This Row],[Description]]="","",DATE(Table2[[#This Row],[Year]],Table2[[#This Row],[Month]],1))</f>
        <v/>
      </c>
    </row>
    <row r="1064" spans="7:11" x14ac:dyDescent="0.25">
      <c r="G1064" s="1" t="str">
        <f>IF(Table2[[#This Row],[Description]]="","",VLOOKUP(Table2[[#This Row],[Description]],$Q$1:$S$101,2,FALSE))</f>
        <v/>
      </c>
      <c r="H1064" s="1" t="str">
        <f>IF(Table2[[#This Row],[Description]]="","",VLOOKUP(Table2[[#This Row],[Description]],$Q$1:$S$101,3,FALSE))</f>
        <v/>
      </c>
      <c r="I1064" s="1" t="str">
        <f>IF(Table2[[#This Row],[Description]]="","",IF(Table2[[#This Row],[Currency]]=$O$2,$P$2,HLOOKUP(Table2[[#This Row],[Date]],Funds!$C$10:$GV$11,2,FALSE)))</f>
        <v/>
      </c>
      <c r="J1064" s="215" t="str">
        <f>IF(Table2[[#This Row],[Description]]="","",Table2[[#This Row],[Value]]/Table2[[#This Row],[Conversion]])</f>
        <v/>
      </c>
      <c r="K1064" s="45" t="str">
        <f>IF(Table2[[#This Row],[Description]]="","",DATE(Table2[[#This Row],[Year]],Table2[[#This Row],[Month]],1))</f>
        <v/>
      </c>
    </row>
    <row r="1065" spans="7:11" x14ac:dyDescent="0.25">
      <c r="G1065" s="1" t="str">
        <f>IF(Table2[[#This Row],[Description]]="","",VLOOKUP(Table2[[#This Row],[Description]],$Q$1:$S$101,2,FALSE))</f>
        <v/>
      </c>
      <c r="H1065" s="1" t="str">
        <f>IF(Table2[[#This Row],[Description]]="","",VLOOKUP(Table2[[#This Row],[Description]],$Q$1:$S$101,3,FALSE))</f>
        <v/>
      </c>
      <c r="I1065" s="1" t="str">
        <f>IF(Table2[[#This Row],[Description]]="","",IF(Table2[[#This Row],[Currency]]=$O$2,$P$2,HLOOKUP(Table2[[#This Row],[Date]],Funds!$C$10:$GV$11,2,FALSE)))</f>
        <v/>
      </c>
      <c r="J1065" s="215" t="str">
        <f>IF(Table2[[#This Row],[Description]]="","",Table2[[#This Row],[Value]]/Table2[[#This Row],[Conversion]])</f>
        <v/>
      </c>
      <c r="K1065" s="45" t="str">
        <f>IF(Table2[[#This Row],[Description]]="","",DATE(Table2[[#This Row],[Year]],Table2[[#This Row],[Month]],1))</f>
        <v/>
      </c>
    </row>
    <row r="1066" spans="7:11" x14ac:dyDescent="0.25">
      <c r="G1066" s="1" t="str">
        <f>IF(Table2[[#This Row],[Description]]="","",VLOOKUP(Table2[[#This Row],[Description]],$Q$1:$S$101,2,FALSE))</f>
        <v/>
      </c>
      <c r="H1066" s="1" t="str">
        <f>IF(Table2[[#This Row],[Description]]="","",VLOOKUP(Table2[[#This Row],[Description]],$Q$1:$S$101,3,FALSE))</f>
        <v/>
      </c>
      <c r="I1066" s="1" t="str">
        <f>IF(Table2[[#This Row],[Description]]="","",IF(Table2[[#This Row],[Currency]]=$O$2,$P$2,HLOOKUP(Table2[[#This Row],[Date]],Funds!$C$10:$GV$11,2,FALSE)))</f>
        <v/>
      </c>
      <c r="J1066" s="215" t="str">
        <f>IF(Table2[[#This Row],[Description]]="","",Table2[[#This Row],[Value]]/Table2[[#This Row],[Conversion]])</f>
        <v/>
      </c>
      <c r="K1066" s="45" t="str">
        <f>IF(Table2[[#This Row],[Description]]="","",DATE(Table2[[#This Row],[Year]],Table2[[#This Row],[Month]],1))</f>
        <v/>
      </c>
    </row>
    <row r="1067" spans="7:11" x14ac:dyDescent="0.25">
      <c r="G1067" s="1" t="str">
        <f>IF(Table2[[#This Row],[Description]]="","",VLOOKUP(Table2[[#This Row],[Description]],$Q$1:$S$101,2,FALSE))</f>
        <v/>
      </c>
      <c r="H1067" s="1" t="str">
        <f>IF(Table2[[#This Row],[Description]]="","",VLOOKUP(Table2[[#This Row],[Description]],$Q$1:$S$101,3,FALSE))</f>
        <v/>
      </c>
      <c r="I1067" s="1" t="str">
        <f>IF(Table2[[#This Row],[Description]]="","",IF(Table2[[#This Row],[Currency]]=$O$2,$P$2,HLOOKUP(Table2[[#This Row],[Date]],Funds!$C$10:$GV$11,2,FALSE)))</f>
        <v/>
      </c>
      <c r="J1067" s="215" t="str">
        <f>IF(Table2[[#This Row],[Description]]="","",Table2[[#This Row],[Value]]/Table2[[#This Row],[Conversion]])</f>
        <v/>
      </c>
      <c r="K1067" s="45" t="str">
        <f>IF(Table2[[#This Row],[Description]]="","",DATE(Table2[[#This Row],[Year]],Table2[[#This Row],[Month]],1))</f>
        <v/>
      </c>
    </row>
    <row r="1068" spans="7:11" x14ac:dyDescent="0.25">
      <c r="G1068" s="1" t="str">
        <f>IF(Table2[[#This Row],[Description]]="","",VLOOKUP(Table2[[#This Row],[Description]],$Q$1:$S$101,2,FALSE))</f>
        <v/>
      </c>
      <c r="H1068" s="1" t="str">
        <f>IF(Table2[[#This Row],[Description]]="","",VLOOKUP(Table2[[#This Row],[Description]],$Q$1:$S$101,3,FALSE))</f>
        <v/>
      </c>
      <c r="I1068" s="1" t="str">
        <f>IF(Table2[[#This Row],[Description]]="","",IF(Table2[[#This Row],[Currency]]=$O$2,$P$2,HLOOKUP(Table2[[#This Row],[Date]],Funds!$C$10:$GV$11,2,FALSE)))</f>
        <v/>
      </c>
      <c r="J1068" s="215" t="str">
        <f>IF(Table2[[#This Row],[Description]]="","",Table2[[#This Row],[Value]]/Table2[[#This Row],[Conversion]])</f>
        <v/>
      </c>
      <c r="K1068" s="45" t="str">
        <f>IF(Table2[[#This Row],[Description]]="","",DATE(Table2[[#This Row],[Year]],Table2[[#This Row],[Month]],1))</f>
        <v/>
      </c>
    </row>
    <row r="1069" spans="7:11" x14ac:dyDescent="0.25">
      <c r="G1069" s="1" t="str">
        <f>IF(Table2[[#This Row],[Description]]="","",VLOOKUP(Table2[[#This Row],[Description]],$Q$1:$S$101,2,FALSE))</f>
        <v/>
      </c>
      <c r="H1069" s="1" t="str">
        <f>IF(Table2[[#This Row],[Description]]="","",VLOOKUP(Table2[[#This Row],[Description]],$Q$1:$S$101,3,FALSE))</f>
        <v/>
      </c>
      <c r="I1069" s="1" t="str">
        <f>IF(Table2[[#This Row],[Description]]="","",IF(Table2[[#This Row],[Currency]]=$O$2,$P$2,HLOOKUP(Table2[[#This Row],[Date]],Funds!$C$10:$GV$11,2,FALSE)))</f>
        <v/>
      </c>
      <c r="J1069" s="215" t="str">
        <f>IF(Table2[[#This Row],[Description]]="","",Table2[[#This Row],[Value]]/Table2[[#This Row],[Conversion]])</f>
        <v/>
      </c>
      <c r="K1069" s="45" t="str">
        <f>IF(Table2[[#This Row],[Description]]="","",DATE(Table2[[#This Row],[Year]],Table2[[#This Row],[Month]],1))</f>
        <v/>
      </c>
    </row>
    <row r="1070" spans="7:11" x14ac:dyDescent="0.25">
      <c r="G1070" s="1" t="str">
        <f>IF(Table2[[#This Row],[Description]]="","",VLOOKUP(Table2[[#This Row],[Description]],$Q$1:$S$101,2,FALSE))</f>
        <v/>
      </c>
      <c r="H1070" s="1" t="str">
        <f>IF(Table2[[#This Row],[Description]]="","",VLOOKUP(Table2[[#This Row],[Description]],$Q$1:$S$101,3,FALSE))</f>
        <v/>
      </c>
      <c r="I1070" s="1" t="str">
        <f>IF(Table2[[#This Row],[Description]]="","",IF(Table2[[#This Row],[Currency]]=$O$2,$P$2,HLOOKUP(Table2[[#This Row],[Date]],Funds!$C$10:$GV$11,2,FALSE)))</f>
        <v/>
      </c>
      <c r="J1070" s="215" t="str">
        <f>IF(Table2[[#This Row],[Description]]="","",Table2[[#This Row],[Value]]/Table2[[#This Row],[Conversion]])</f>
        <v/>
      </c>
      <c r="K1070" s="45" t="str">
        <f>IF(Table2[[#This Row],[Description]]="","",DATE(Table2[[#This Row],[Year]],Table2[[#This Row],[Month]],1))</f>
        <v/>
      </c>
    </row>
    <row r="1071" spans="7:11" x14ac:dyDescent="0.25">
      <c r="G1071" s="1" t="str">
        <f>IF(Table2[[#This Row],[Description]]="","",VLOOKUP(Table2[[#This Row],[Description]],$Q$1:$S$101,2,FALSE))</f>
        <v/>
      </c>
      <c r="H1071" s="1" t="str">
        <f>IF(Table2[[#This Row],[Description]]="","",VLOOKUP(Table2[[#This Row],[Description]],$Q$1:$S$101,3,FALSE))</f>
        <v/>
      </c>
      <c r="I1071" s="1" t="str">
        <f>IF(Table2[[#This Row],[Description]]="","",IF(Table2[[#This Row],[Currency]]=$O$2,$P$2,HLOOKUP(Table2[[#This Row],[Date]],Funds!$C$10:$GV$11,2,FALSE)))</f>
        <v/>
      </c>
      <c r="J1071" s="215" t="str">
        <f>IF(Table2[[#This Row],[Description]]="","",Table2[[#This Row],[Value]]/Table2[[#This Row],[Conversion]])</f>
        <v/>
      </c>
      <c r="K1071" s="45" t="str">
        <f>IF(Table2[[#This Row],[Description]]="","",DATE(Table2[[#This Row],[Year]],Table2[[#This Row],[Month]],1))</f>
        <v/>
      </c>
    </row>
    <row r="1072" spans="7:11" x14ac:dyDescent="0.25">
      <c r="G1072" s="1" t="str">
        <f>IF(Table2[[#This Row],[Description]]="","",VLOOKUP(Table2[[#This Row],[Description]],$Q$1:$S$101,2,FALSE))</f>
        <v/>
      </c>
      <c r="H1072" s="1" t="str">
        <f>IF(Table2[[#This Row],[Description]]="","",VLOOKUP(Table2[[#This Row],[Description]],$Q$1:$S$101,3,FALSE))</f>
        <v/>
      </c>
      <c r="I1072" s="1" t="str">
        <f>IF(Table2[[#This Row],[Description]]="","",IF(Table2[[#This Row],[Currency]]=$O$2,$P$2,HLOOKUP(Table2[[#This Row],[Date]],Funds!$C$10:$GV$11,2,FALSE)))</f>
        <v/>
      </c>
      <c r="J1072" s="215" t="str">
        <f>IF(Table2[[#This Row],[Description]]="","",Table2[[#This Row],[Value]]/Table2[[#This Row],[Conversion]])</f>
        <v/>
      </c>
      <c r="K1072" s="45" t="str">
        <f>IF(Table2[[#This Row],[Description]]="","",DATE(Table2[[#This Row],[Year]],Table2[[#This Row],[Month]],1))</f>
        <v/>
      </c>
    </row>
    <row r="1073" spans="7:11" x14ac:dyDescent="0.25">
      <c r="G1073" s="1" t="str">
        <f>IF(Table2[[#This Row],[Description]]="","",VLOOKUP(Table2[[#This Row],[Description]],$Q$1:$S$101,2,FALSE))</f>
        <v/>
      </c>
      <c r="H1073" s="1" t="str">
        <f>IF(Table2[[#This Row],[Description]]="","",VLOOKUP(Table2[[#This Row],[Description]],$Q$1:$S$101,3,FALSE))</f>
        <v/>
      </c>
      <c r="I1073" s="1" t="str">
        <f>IF(Table2[[#This Row],[Description]]="","",IF(Table2[[#This Row],[Currency]]=$O$2,$P$2,HLOOKUP(Table2[[#This Row],[Date]],Funds!$C$10:$GV$11,2,FALSE)))</f>
        <v/>
      </c>
      <c r="J1073" s="215" t="str">
        <f>IF(Table2[[#This Row],[Description]]="","",Table2[[#This Row],[Value]]/Table2[[#This Row],[Conversion]])</f>
        <v/>
      </c>
      <c r="K1073" s="45" t="str">
        <f>IF(Table2[[#This Row],[Description]]="","",DATE(Table2[[#This Row],[Year]],Table2[[#This Row],[Month]],1))</f>
        <v/>
      </c>
    </row>
    <row r="1074" spans="7:11" x14ac:dyDescent="0.25">
      <c r="G1074" s="1" t="str">
        <f>IF(Table2[[#This Row],[Description]]="","",VLOOKUP(Table2[[#This Row],[Description]],$Q$1:$S$101,2,FALSE))</f>
        <v/>
      </c>
      <c r="H1074" s="1" t="str">
        <f>IF(Table2[[#This Row],[Description]]="","",VLOOKUP(Table2[[#This Row],[Description]],$Q$1:$S$101,3,FALSE))</f>
        <v/>
      </c>
      <c r="I1074" s="1" t="str">
        <f>IF(Table2[[#This Row],[Description]]="","",IF(Table2[[#This Row],[Currency]]=$O$2,$P$2,HLOOKUP(Table2[[#This Row],[Date]],Funds!$C$10:$GV$11,2,FALSE)))</f>
        <v/>
      </c>
      <c r="J1074" s="215" t="str">
        <f>IF(Table2[[#This Row],[Description]]="","",Table2[[#This Row],[Value]]/Table2[[#This Row],[Conversion]])</f>
        <v/>
      </c>
      <c r="K1074" s="45" t="str">
        <f>IF(Table2[[#This Row],[Description]]="","",DATE(Table2[[#This Row],[Year]],Table2[[#This Row],[Month]],1))</f>
        <v/>
      </c>
    </row>
    <row r="1075" spans="7:11" x14ac:dyDescent="0.25">
      <c r="G1075" s="1" t="str">
        <f>IF(Table2[[#This Row],[Description]]="","",VLOOKUP(Table2[[#This Row],[Description]],$Q$1:$S$101,2,FALSE))</f>
        <v/>
      </c>
      <c r="H1075" s="1" t="str">
        <f>IF(Table2[[#This Row],[Description]]="","",VLOOKUP(Table2[[#This Row],[Description]],$Q$1:$S$101,3,FALSE))</f>
        <v/>
      </c>
      <c r="I1075" s="1" t="str">
        <f>IF(Table2[[#This Row],[Description]]="","",IF(Table2[[#This Row],[Currency]]=$O$2,$P$2,HLOOKUP(Table2[[#This Row],[Date]],Funds!$C$10:$GV$11,2,FALSE)))</f>
        <v/>
      </c>
      <c r="J1075" s="215" t="str">
        <f>IF(Table2[[#This Row],[Description]]="","",Table2[[#This Row],[Value]]/Table2[[#This Row],[Conversion]])</f>
        <v/>
      </c>
      <c r="K1075" s="45" t="str">
        <f>IF(Table2[[#This Row],[Description]]="","",DATE(Table2[[#This Row],[Year]],Table2[[#This Row],[Month]],1))</f>
        <v/>
      </c>
    </row>
    <row r="1076" spans="7:11" x14ac:dyDescent="0.25">
      <c r="G1076" s="1" t="str">
        <f>IF(Table2[[#This Row],[Description]]="","",VLOOKUP(Table2[[#This Row],[Description]],$Q$1:$S$101,2,FALSE))</f>
        <v/>
      </c>
      <c r="H1076" s="1" t="str">
        <f>IF(Table2[[#This Row],[Description]]="","",VLOOKUP(Table2[[#This Row],[Description]],$Q$1:$S$101,3,FALSE))</f>
        <v/>
      </c>
      <c r="I1076" s="1" t="str">
        <f>IF(Table2[[#This Row],[Description]]="","",IF(Table2[[#This Row],[Currency]]=$O$2,$P$2,HLOOKUP(Table2[[#This Row],[Date]],Funds!$C$10:$GV$11,2,FALSE)))</f>
        <v/>
      </c>
      <c r="J1076" s="215" t="str">
        <f>IF(Table2[[#This Row],[Description]]="","",Table2[[#This Row],[Value]]/Table2[[#This Row],[Conversion]])</f>
        <v/>
      </c>
      <c r="K1076" s="45" t="str">
        <f>IF(Table2[[#This Row],[Description]]="","",DATE(Table2[[#This Row],[Year]],Table2[[#This Row],[Month]],1))</f>
        <v/>
      </c>
    </row>
    <row r="1077" spans="7:11" x14ac:dyDescent="0.25">
      <c r="G1077" s="1" t="str">
        <f>IF(Table2[[#This Row],[Description]]="","",VLOOKUP(Table2[[#This Row],[Description]],$Q$1:$S$101,2,FALSE))</f>
        <v/>
      </c>
      <c r="H1077" s="1" t="str">
        <f>IF(Table2[[#This Row],[Description]]="","",VLOOKUP(Table2[[#This Row],[Description]],$Q$1:$S$101,3,FALSE))</f>
        <v/>
      </c>
      <c r="I1077" s="1" t="str">
        <f>IF(Table2[[#This Row],[Description]]="","",IF(Table2[[#This Row],[Currency]]=$O$2,$P$2,HLOOKUP(Table2[[#This Row],[Date]],Funds!$C$10:$GV$11,2,FALSE)))</f>
        <v/>
      </c>
      <c r="J1077" s="215" t="str">
        <f>IF(Table2[[#This Row],[Description]]="","",Table2[[#This Row],[Value]]/Table2[[#This Row],[Conversion]])</f>
        <v/>
      </c>
      <c r="K1077" s="45" t="str">
        <f>IF(Table2[[#This Row],[Description]]="","",DATE(Table2[[#This Row],[Year]],Table2[[#This Row],[Month]],1))</f>
        <v/>
      </c>
    </row>
    <row r="1078" spans="7:11" x14ac:dyDescent="0.25">
      <c r="G1078" s="1" t="str">
        <f>IF(Table2[[#This Row],[Description]]="","",VLOOKUP(Table2[[#This Row],[Description]],$Q$1:$S$101,2,FALSE))</f>
        <v/>
      </c>
      <c r="H1078" s="1" t="str">
        <f>IF(Table2[[#This Row],[Description]]="","",VLOOKUP(Table2[[#This Row],[Description]],$Q$1:$S$101,3,FALSE))</f>
        <v/>
      </c>
      <c r="I1078" s="1" t="str">
        <f>IF(Table2[[#This Row],[Description]]="","",IF(Table2[[#This Row],[Currency]]=$O$2,$P$2,HLOOKUP(Table2[[#This Row],[Date]],Funds!$C$10:$GV$11,2,FALSE)))</f>
        <v/>
      </c>
      <c r="J1078" s="215" t="str">
        <f>IF(Table2[[#This Row],[Description]]="","",Table2[[#This Row],[Value]]/Table2[[#This Row],[Conversion]])</f>
        <v/>
      </c>
      <c r="K1078" s="45" t="str">
        <f>IF(Table2[[#This Row],[Description]]="","",DATE(Table2[[#This Row],[Year]],Table2[[#This Row],[Month]],1))</f>
        <v/>
      </c>
    </row>
    <row r="1079" spans="7:11" x14ac:dyDescent="0.25">
      <c r="G1079" s="1" t="str">
        <f>IF(Table2[[#This Row],[Description]]="","",VLOOKUP(Table2[[#This Row],[Description]],$Q$1:$S$101,2,FALSE))</f>
        <v/>
      </c>
      <c r="H1079" s="1" t="str">
        <f>IF(Table2[[#This Row],[Description]]="","",VLOOKUP(Table2[[#This Row],[Description]],$Q$1:$S$101,3,FALSE))</f>
        <v/>
      </c>
      <c r="I1079" s="1" t="str">
        <f>IF(Table2[[#This Row],[Description]]="","",IF(Table2[[#This Row],[Currency]]=$O$2,$P$2,HLOOKUP(Table2[[#This Row],[Date]],Funds!$C$10:$GV$11,2,FALSE)))</f>
        <v/>
      </c>
      <c r="J1079" s="215" t="str">
        <f>IF(Table2[[#This Row],[Description]]="","",Table2[[#This Row],[Value]]/Table2[[#This Row],[Conversion]])</f>
        <v/>
      </c>
      <c r="K1079" s="45" t="str">
        <f>IF(Table2[[#This Row],[Description]]="","",DATE(Table2[[#This Row],[Year]],Table2[[#This Row],[Month]],1))</f>
        <v/>
      </c>
    </row>
    <row r="1080" spans="7:11" x14ac:dyDescent="0.25">
      <c r="G1080" s="1" t="str">
        <f>IF(Table2[[#This Row],[Description]]="","",VLOOKUP(Table2[[#This Row],[Description]],$Q$1:$S$101,2,FALSE))</f>
        <v/>
      </c>
      <c r="H1080" s="1" t="str">
        <f>IF(Table2[[#This Row],[Description]]="","",VLOOKUP(Table2[[#This Row],[Description]],$Q$1:$S$101,3,FALSE))</f>
        <v/>
      </c>
      <c r="I1080" s="1" t="str">
        <f>IF(Table2[[#This Row],[Description]]="","",IF(Table2[[#This Row],[Currency]]=$O$2,$P$2,HLOOKUP(Table2[[#This Row],[Date]],Funds!$C$10:$GV$11,2,FALSE)))</f>
        <v/>
      </c>
      <c r="J1080" s="215" t="str">
        <f>IF(Table2[[#This Row],[Description]]="","",Table2[[#This Row],[Value]]/Table2[[#This Row],[Conversion]])</f>
        <v/>
      </c>
      <c r="K1080" s="45" t="str">
        <f>IF(Table2[[#This Row],[Description]]="","",DATE(Table2[[#This Row],[Year]],Table2[[#This Row],[Month]],1))</f>
        <v/>
      </c>
    </row>
    <row r="1081" spans="7:11" x14ac:dyDescent="0.25">
      <c r="G1081" s="1" t="str">
        <f>IF(Table2[[#This Row],[Description]]="","",VLOOKUP(Table2[[#This Row],[Description]],$Q$1:$S$101,2,FALSE))</f>
        <v/>
      </c>
      <c r="H1081" s="1" t="str">
        <f>IF(Table2[[#This Row],[Description]]="","",VLOOKUP(Table2[[#This Row],[Description]],$Q$1:$S$101,3,FALSE))</f>
        <v/>
      </c>
      <c r="I1081" s="1" t="str">
        <f>IF(Table2[[#This Row],[Description]]="","",IF(Table2[[#This Row],[Currency]]=$O$2,$P$2,HLOOKUP(Table2[[#This Row],[Date]],Funds!$C$10:$GV$11,2,FALSE)))</f>
        <v/>
      </c>
      <c r="J1081" s="215" t="str">
        <f>IF(Table2[[#This Row],[Description]]="","",Table2[[#This Row],[Value]]/Table2[[#This Row],[Conversion]])</f>
        <v/>
      </c>
      <c r="K1081" s="45" t="str">
        <f>IF(Table2[[#This Row],[Description]]="","",DATE(Table2[[#This Row],[Year]],Table2[[#This Row],[Month]],1))</f>
        <v/>
      </c>
    </row>
    <row r="1082" spans="7:11" x14ac:dyDescent="0.25">
      <c r="G1082" s="1" t="str">
        <f>IF(Table2[[#This Row],[Description]]="","",VLOOKUP(Table2[[#This Row],[Description]],$Q$1:$S$101,2,FALSE))</f>
        <v/>
      </c>
      <c r="H1082" s="1" t="str">
        <f>IF(Table2[[#This Row],[Description]]="","",VLOOKUP(Table2[[#This Row],[Description]],$Q$1:$S$101,3,FALSE))</f>
        <v/>
      </c>
      <c r="I1082" s="1" t="str">
        <f>IF(Table2[[#This Row],[Description]]="","",IF(Table2[[#This Row],[Currency]]=$O$2,$P$2,HLOOKUP(Table2[[#This Row],[Date]],Funds!$C$10:$GV$11,2,FALSE)))</f>
        <v/>
      </c>
      <c r="J1082" s="215" t="str">
        <f>IF(Table2[[#This Row],[Description]]="","",Table2[[#This Row],[Value]]/Table2[[#This Row],[Conversion]])</f>
        <v/>
      </c>
      <c r="K1082" s="45" t="str">
        <f>IF(Table2[[#This Row],[Description]]="","",DATE(Table2[[#This Row],[Year]],Table2[[#This Row],[Month]],1))</f>
        <v/>
      </c>
    </row>
    <row r="1083" spans="7:11" x14ac:dyDescent="0.25">
      <c r="G1083" s="1" t="str">
        <f>IF(Table2[[#This Row],[Description]]="","",VLOOKUP(Table2[[#This Row],[Description]],$Q$1:$S$101,2,FALSE))</f>
        <v/>
      </c>
      <c r="H1083" s="1" t="str">
        <f>IF(Table2[[#This Row],[Description]]="","",VLOOKUP(Table2[[#This Row],[Description]],$Q$1:$S$101,3,FALSE))</f>
        <v/>
      </c>
      <c r="I1083" s="1" t="str">
        <f>IF(Table2[[#This Row],[Description]]="","",IF(Table2[[#This Row],[Currency]]=$O$2,$P$2,HLOOKUP(Table2[[#This Row],[Date]],Funds!$C$10:$GV$11,2,FALSE)))</f>
        <v/>
      </c>
      <c r="J1083" s="215" t="str">
        <f>IF(Table2[[#This Row],[Description]]="","",Table2[[#This Row],[Value]]/Table2[[#This Row],[Conversion]])</f>
        <v/>
      </c>
      <c r="K1083" s="45" t="str">
        <f>IF(Table2[[#This Row],[Description]]="","",DATE(Table2[[#This Row],[Year]],Table2[[#This Row],[Month]],1))</f>
        <v/>
      </c>
    </row>
    <row r="1084" spans="7:11" x14ac:dyDescent="0.25">
      <c r="G1084" s="1" t="str">
        <f>IF(Table2[[#This Row],[Description]]="","",VLOOKUP(Table2[[#This Row],[Description]],$Q$1:$S$101,2,FALSE))</f>
        <v/>
      </c>
      <c r="H1084" s="1" t="str">
        <f>IF(Table2[[#This Row],[Description]]="","",VLOOKUP(Table2[[#This Row],[Description]],$Q$1:$S$101,3,FALSE))</f>
        <v/>
      </c>
      <c r="I1084" s="1" t="str">
        <f>IF(Table2[[#This Row],[Description]]="","",IF(Table2[[#This Row],[Currency]]=$O$2,$P$2,HLOOKUP(Table2[[#This Row],[Date]],Funds!$C$10:$GV$11,2,FALSE)))</f>
        <v/>
      </c>
      <c r="J1084" s="215" t="str">
        <f>IF(Table2[[#This Row],[Description]]="","",Table2[[#This Row],[Value]]/Table2[[#This Row],[Conversion]])</f>
        <v/>
      </c>
      <c r="K1084" s="45" t="str">
        <f>IF(Table2[[#This Row],[Description]]="","",DATE(Table2[[#This Row],[Year]],Table2[[#This Row],[Month]],1))</f>
        <v/>
      </c>
    </row>
    <row r="1085" spans="7:11" x14ac:dyDescent="0.25">
      <c r="G1085" s="1" t="str">
        <f>IF(Table2[[#This Row],[Description]]="","",VLOOKUP(Table2[[#This Row],[Description]],$Q$1:$S$101,2,FALSE))</f>
        <v/>
      </c>
      <c r="H1085" s="1" t="str">
        <f>IF(Table2[[#This Row],[Description]]="","",VLOOKUP(Table2[[#This Row],[Description]],$Q$1:$S$101,3,FALSE))</f>
        <v/>
      </c>
      <c r="I1085" s="1" t="str">
        <f>IF(Table2[[#This Row],[Description]]="","",IF(Table2[[#This Row],[Currency]]=$O$2,$P$2,HLOOKUP(Table2[[#This Row],[Date]],Funds!$C$10:$GV$11,2,FALSE)))</f>
        <v/>
      </c>
      <c r="J1085" s="215" t="str">
        <f>IF(Table2[[#This Row],[Description]]="","",Table2[[#This Row],[Value]]/Table2[[#This Row],[Conversion]])</f>
        <v/>
      </c>
      <c r="K1085" s="45" t="str">
        <f>IF(Table2[[#This Row],[Description]]="","",DATE(Table2[[#This Row],[Year]],Table2[[#This Row],[Month]],1))</f>
        <v/>
      </c>
    </row>
    <row r="1086" spans="7:11" x14ac:dyDescent="0.25">
      <c r="G1086" s="1" t="str">
        <f>IF(Table2[[#This Row],[Description]]="","",VLOOKUP(Table2[[#This Row],[Description]],$Q$1:$S$101,2,FALSE))</f>
        <v/>
      </c>
      <c r="H1086" s="1" t="str">
        <f>IF(Table2[[#This Row],[Description]]="","",VLOOKUP(Table2[[#This Row],[Description]],$Q$1:$S$101,3,FALSE))</f>
        <v/>
      </c>
      <c r="I1086" s="1" t="str">
        <f>IF(Table2[[#This Row],[Description]]="","",IF(Table2[[#This Row],[Currency]]=$O$2,$P$2,HLOOKUP(Table2[[#This Row],[Date]],Funds!$C$10:$GV$11,2,FALSE)))</f>
        <v/>
      </c>
      <c r="J1086" s="215" t="str">
        <f>IF(Table2[[#This Row],[Description]]="","",Table2[[#This Row],[Value]]/Table2[[#This Row],[Conversion]])</f>
        <v/>
      </c>
      <c r="K1086" s="45" t="str">
        <f>IF(Table2[[#This Row],[Description]]="","",DATE(Table2[[#This Row],[Year]],Table2[[#This Row],[Month]],1))</f>
        <v/>
      </c>
    </row>
    <row r="1087" spans="7:11" x14ac:dyDescent="0.25">
      <c r="G1087" s="1" t="str">
        <f>IF(Table2[[#This Row],[Description]]="","",VLOOKUP(Table2[[#This Row],[Description]],$Q$1:$S$101,2,FALSE))</f>
        <v/>
      </c>
      <c r="H1087" s="1" t="str">
        <f>IF(Table2[[#This Row],[Description]]="","",VLOOKUP(Table2[[#This Row],[Description]],$Q$1:$S$101,3,FALSE))</f>
        <v/>
      </c>
      <c r="I1087" s="1" t="str">
        <f>IF(Table2[[#This Row],[Description]]="","",IF(Table2[[#This Row],[Currency]]=$O$2,$P$2,HLOOKUP(Table2[[#This Row],[Date]],Funds!$C$10:$GV$11,2,FALSE)))</f>
        <v/>
      </c>
      <c r="J1087" s="215" t="str">
        <f>IF(Table2[[#This Row],[Description]]="","",Table2[[#This Row],[Value]]/Table2[[#This Row],[Conversion]])</f>
        <v/>
      </c>
      <c r="K1087" s="45" t="str">
        <f>IF(Table2[[#This Row],[Description]]="","",DATE(Table2[[#This Row],[Year]],Table2[[#This Row],[Month]],1))</f>
        <v/>
      </c>
    </row>
    <row r="1088" spans="7:11" x14ac:dyDescent="0.25">
      <c r="G1088" s="1" t="str">
        <f>IF(Table2[[#This Row],[Description]]="","",VLOOKUP(Table2[[#This Row],[Description]],$Q$1:$S$101,2,FALSE))</f>
        <v/>
      </c>
      <c r="H1088" s="1" t="str">
        <f>IF(Table2[[#This Row],[Description]]="","",VLOOKUP(Table2[[#This Row],[Description]],$Q$1:$S$101,3,FALSE))</f>
        <v/>
      </c>
      <c r="I1088" s="1" t="str">
        <f>IF(Table2[[#This Row],[Description]]="","",IF(Table2[[#This Row],[Currency]]=$O$2,$P$2,HLOOKUP(Table2[[#This Row],[Date]],Funds!$C$10:$GV$11,2,FALSE)))</f>
        <v/>
      </c>
      <c r="J1088" s="215" t="str">
        <f>IF(Table2[[#This Row],[Description]]="","",Table2[[#This Row],[Value]]/Table2[[#This Row],[Conversion]])</f>
        <v/>
      </c>
      <c r="K1088" s="45" t="str">
        <f>IF(Table2[[#This Row],[Description]]="","",DATE(Table2[[#This Row],[Year]],Table2[[#This Row],[Month]],1))</f>
        <v/>
      </c>
    </row>
    <row r="1089" spans="7:11" x14ac:dyDescent="0.25">
      <c r="G1089" s="1" t="str">
        <f>IF(Table2[[#This Row],[Description]]="","",VLOOKUP(Table2[[#This Row],[Description]],$Q$1:$S$101,2,FALSE))</f>
        <v/>
      </c>
      <c r="H1089" s="1" t="str">
        <f>IF(Table2[[#This Row],[Description]]="","",VLOOKUP(Table2[[#This Row],[Description]],$Q$1:$S$101,3,FALSE))</f>
        <v/>
      </c>
      <c r="I1089" s="1" t="str">
        <f>IF(Table2[[#This Row],[Description]]="","",IF(Table2[[#This Row],[Currency]]=$O$2,$P$2,HLOOKUP(Table2[[#This Row],[Date]],Funds!$C$10:$GV$11,2,FALSE)))</f>
        <v/>
      </c>
      <c r="J1089" s="215" t="str">
        <f>IF(Table2[[#This Row],[Description]]="","",Table2[[#This Row],[Value]]/Table2[[#This Row],[Conversion]])</f>
        <v/>
      </c>
      <c r="K1089" s="45" t="str">
        <f>IF(Table2[[#This Row],[Description]]="","",DATE(Table2[[#This Row],[Year]],Table2[[#This Row],[Month]],1))</f>
        <v/>
      </c>
    </row>
    <row r="1090" spans="7:11" x14ac:dyDescent="0.25">
      <c r="G1090" s="1" t="str">
        <f>IF(Table2[[#This Row],[Description]]="","",VLOOKUP(Table2[[#This Row],[Description]],$Q$1:$S$101,2,FALSE))</f>
        <v/>
      </c>
      <c r="H1090" s="1" t="str">
        <f>IF(Table2[[#This Row],[Description]]="","",VLOOKUP(Table2[[#This Row],[Description]],$Q$1:$S$101,3,FALSE))</f>
        <v/>
      </c>
      <c r="I1090" s="1" t="str">
        <f>IF(Table2[[#This Row],[Description]]="","",IF(Table2[[#This Row],[Currency]]=$O$2,$P$2,HLOOKUP(Table2[[#This Row],[Date]],Funds!$C$10:$GV$11,2,FALSE)))</f>
        <v/>
      </c>
      <c r="J1090" s="215" t="str">
        <f>IF(Table2[[#This Row],[Description]]="","",Table2[[#This Row],[Value]]/Table2[[#This Row],[Conversion]])</f>
        <v/>
      </c>
      <c r="K1090" s="45" t="str">
        <f>IF(Table2[[#This Row],[Description]]="","",DATE(Table2[[#This Row],[Year]],Table2[[#This Row],[Month]],1))</f>
        <v/>
      </c>
    </row>
    <row r="1091" spans="7:11" x14ac:dyDescent="0.25">
      <c r="G1091" s="1" t="str">
        <f>IF(Table2[[#This Row],[Description]]="","",VLOOKUP(Table2[[#This Row],[Description]],$Q$1:$S$101,2,FALSE))</f>
        <v/>
      </c>
      <c r="H1091" s="1" t="str">
        <f>IF(Table2[[#This Row],[Description]]="","",VLOOKUP(Table2[[#This Row],[Description]],$Q$1:$S$101,3,FALSE))</f>
        <v/>
      </c>
      <c r="I1091" s="1" t="str">
        <f>IF(Table2[[#This Row],[Description]]="","",IF(Table2[[#This Row],[Currency]]=$O$2,$P$2,HLOOKUP(Table2[[#This Row],[Date]],Funds!$C$10:$GV$11,2,FALSE)))</f>
        <v/>
      </c>
      <c r="J1091" s="215" t="str">
        <f>IF(Table2[[#This Row],[Description]]="","",Table2[[#This Row],[Value]]/Table2[[#This Row],[Conversion]])</f>
        <v/>
      </c>
      <c r="K1091" s="45" t="str">
        <f>IF(Table2[[#This Row],[Description]]="","",DATE(Table2[[#This Row],[Year]],Table2[[#This Row],[Month]],1))</f>
        <v/>
      </c>
    </row>
    <row r="1092" spans="7:11" x14ac:dyDescent="0.25">
      <c r="G1092" s="1" t="str">
        <f>IF(Table2[[#This Row],[Description]]="","",VLOOKUP(Table2[[#This Row],[Description]],$Q$1:$S$101,2,FALSE))</f>
        <v/>
      </c>
      <c r="H1092" s="1" t="str">
        <f>IF(Table2[[#This Row],[Description]]="","",VLOOKUP(Table2[[#This Row],[Description]],$Q$1:$S$101,3,FALSE))</f>
        <v/>
      </c>
      <c r="I1092" s="1" t="str">
        <f>IF(Table2[[#This Row],[Description]]="","",IF(Table2[[#This Row],[Currency]]=$O$2,$P$2,HLOOKUP(Table2[[#This Row],[Date]],Funds!$C$10:$GV$11,2,FALSE)))</f>
        <v/>
      </c>
      <c r="J1092" s="215" t="str">
        <f>IF(Table2[[#This Row],[Description]]="","",Table2[[#This Row],[Value]]/Table2[[#This Row],[Conversion]])</f>
        <v/>
      </c>
      <c r="K1092" s="45" t="str">
        <f>IF(Table2[[#This Row],[Description]]="","",DATE(Table2[[#This Row],[Year]],Table2[[#This Row],[Month]],1))</f>
        <v/>
      </c>
    </row>
    <row r="1093" spans="7:11" x14ac:dyDescent="0.25">
      <c r="G1093" s="1" t="str">
        <f>IF(Table2[[#This Row],[Description]]="","",VLOOKUP(Table2[[#This Row],[Description]],$Q$1:$S$101,2,FALSE))</f>
        <v/>
      </c>
      <c r="H1093" s="1" t="str">
        <f>IF(Table2[[#This Row],[Description]]="","",VLOOKUP(Table2[[#This Row],[Description]],$Q$1:$S$101,3,FALSE))</f>
        <v/>
      </c>
      <c r="I1093" s="1" t="str">
        <f>IF(Table2[[#This Row],[Description]]="","",IF(Table2[[#This Row],[Currency]]=$O$2,$P$2,HLOOKUP(Table2[[#This Row],[Date]],Funds!$C$10:$GV$11,2,FALSE)))</f>
        <v/>
      </c>
      <c r="J1093" s="215" t="str">
        <f>IF(Table2[[#This Row],[Description]]="","",Table2[[#This Row],[Value]]/Table2[[#This Row],[Conversion]])</f>
        <v/>
      </c>
      <c r="K1093" s="45" t="str">
        <f>IF(Table2[[#This Row],[Description]]="","",DATE(Table2[[#This Row],[Year]],Table2[[#This Row],[Month]],1))</f>
        <v/>
      </c>
    </row>
    <row r="1094" spans="7:11" x14ac:dyDescent="0.25">
      <c r="G1094" s="1" t="str">
        <f>IF(Table2[[#This Row],[Description]]="","",VLOOKUP(Table2[[#This Row],[Description]],$Q$1:$S$101,2,FALSE))</f>
        <v/>
      </c>
      <c r="H1094" s="1" t="str">
        <f>IF(Table2[[#This Row],[Description]]="","",VLOOKUP(Table2[[#This Row],[Description]],$Q$1:$S$101,3,FALSE))</f>
        <v/>
      </c>
      <c r="I1094" s="1" t="str">
        <f>IF(Table2[[#This Row],[Description]]="","",IF(Table2[[#This Row],[Currency]]=$O$2,$P$2,HLOOKUP(Table2[[#This Row],[Date]],Funds!$C$10:$GV$11,2,FALSE)))</f>
        <v/>
      </c>
      <c r="J1094" s="215" t="str">
        <f>IF(Table2[[#This Row],[Description]]="","",Table2[[#This Row],[Value]]/Table2[[#This Row],[Conversion]])</f>
        <v/>
      </c>
      <c r="K1094" s="45" t="str">
        <f>IF(Table2[[#This Row],[Description]]="","",DATE(Table2[[#This Row],[Year]],Table2[[#This Row],[Month]],1))</f>
        <v/>
      </c>
    </row>
    <row r="1095" spans="7:11" x14ac:dyDescent="0.25">
      <c r="G1095" s="1" t="str">
        <f>IF(Table2[[#This Row],[Description]]="","",VLOOKUP(Table2[[#This Row],[Description]],$Q$1:$S$101,2,FALSE))</f>
        <v/>
      </c>
      <c r="H1095" s="1" t="str">
        <f>IF(Table2[[#This Row],[Description]]="","",VLOOKUP(Table2[[#This Row],[Description]],$Q$1:$S$101,3,FALSE))</f>
        <v/>
      </c>
      <c r="I1095" s="1" t="str">
        <f>IF(Table2[[#This Row],[Description]]="","",IF(Table2[[#This Row],[Currency]]=$O$2,$P$2,HLOOKUP(Table2[[#This Row],[Date]],Funds!$C$10:$GV$11,2,FALSE)))</f>
        <v/>
      </c>
      <c r="J1095" s="215" t="str">
        <f>IF(Table2[[#This Row],[Description]]="","",Table2[[#This Row],[Value]]/Table2[[#This Row],[Conversion]])</f>
        <v/>
      </c>
      <c r="K1095" s="45" t="str">
        <f>IF(Table2[[#This Row],[Description]]="","",DATE(Table2[[#This Row],[Year]],Table2[[#This Row],[Month]],1))</f>
        <v/>
      </c>
    </row>
    <row r="1096" spans="7:11" x14ac:dyDescent="0.25">
      <c r="G1096" s="1" t="str">
        <f>IF(Table2[[#This Row],[Description]]="","",VLOOKUP(Table2[[#This Row],[Description]],$Q$1:$S$101,2,FALSE))</f>
        <v/>
      </c>
      <c r="H1096" s="1" t="str">
        <f>IF(Table2[[#This Row],[Description]]="","",VLOOKUP(Table2[[#This Row],[Description]],$Q$1:$S$101,3,FALSE))</f>
        <v/>
      </c>
      <c r="I1096" s="1" t="str">
        <f>IF(Table2[[#This Row],[Description]]="","",IF(Table2[[#This Row],[Currency]]=$O$2,$P$2,HLOOKUP(Table2[[#This Row],[Date]],Funds!$C$10:$GV$11,2,FALSE)))</f>
        <v/>
      </c>
      <c r="J1096" s="215" t="str">
        <f>IF(Table2[[#This Row],[Description]]="","",Table2[[#This Row],[Value]]/Table2[[#This Row],[Conversion]])</f>
        <v/>
      </c>
      <c r="K1096" s="45" t="str">
        <f>IF(Table2[[#This Row],[Description]]="","",DATE(Table2[[#This Row],[Year]],Table2[[#This Row],[Month]],1))</f>
        <v/>
      </c>
    </row>
    <row r="1097" spans="7:11" x14ac:dyDescent="0.25">
      <c r="G1097" s="1" t="str">
        <f>IF(Table2[[#This Row],[Description]]="","",VLOOKUP(Table2[[#This Row],[Description]],$Q$1:$S$101,2,FALSE))</f>
        <v/>
      </c>
      <c r="H1097" s="1" t="str">
        <f>IF(Table2[[#This Row],[Description]]="","",VLOOKUP(Table2[[#This Row],[Description]],$Q$1:$S$101,3,FALSE))</f>
        <v/>
      </c>
      <c r="I1097" s="1" t="str">
        <f>IF(Table2[[#This Row],[Description]]="","",IF(Table2[[#This Row],[Currency]]=$O$2,$P$2,HLOOKUP(Table2[[#This Row],[Date]],Funds!$C$10:$GV$11,2,FALSE)))</f>
        <v/>
      </c>
      <c r="J1097" s="215" t="str">
        <f>IF(Table2[[#This Row],[Description]]="","",Table2[[#This Row],[Value]]/Table2[[#This Row],[Conversion]])</f>
        <v/>
      </c>
      <c r="K1097" s="45" t="str">
        <f>IF(Table2[[#This Row],[Description]]="","",DATE(Table2[[#This Row],[Year]],Table2[[#This Row],[Month]],1))</f>
        <v/>
      </c>
    </row>
    <row r="1098" spans="7:11" x14ac:dyDescent="0.25">
      <c r="G1098" s="1" t="str">
        <f>IF(Table2[[#This Row],[Description]]="","",VLOOKUP(Table2[[#This Row],[Description]],$Q$1:$S$101,2,FALSE))</f>
        <v/>
      </c>
      <c r="H1098" s="1" t="str">
        <f>IF(Table2[[#This Row],[Description]]="","",VLOOKUP(Table2[[#This Row],[Description]],$Q$1:$S$101,3,FALSE))</f>
        <v/>
      </c>
      <c r="I1098" s="1" t="str">
        <f>IF(Table2[[#This Row],[Description]]="","",IF(Table2[[#This Row],[Currency]]=$O$2,$P$2,HLOOKUP(Table2[[#This Row],[Date]],Funds!$C$10:$GV$11,2,FALSE)))</f>
        <v/>
      </c>
      <c r="J1098" s="215" t="str">
        <f>IF(Table2[[#This Row],[Description]]="","",Table2[[#This Row],[Value]]/Table2[[#This Row],[Conversion]])</f>
        <v/>
      </c>
      <c r="K1098" s="45" t="str">
        <f>IF(Table2[[#This Row],[Description]]="","",DATE(Table2[[#This Row],[Year]],Table2[[#This Row],[Month]],1))</f>
        <v/>
      </c>
    </row>
    <row r="1099" spans="7:11" x14ac:dyDescent="0.25">
      <c r="G1099" s="1" t="str">
        <f>IF(Table2[[#This Row],[Description]]="","",VLOOKUP(Table2[[#This Row],[Description]],$Q$1:$S$101,2,FALSE))</f>
        <v/>
      </c>
      <c r="H1099" s="1" t="str">
        <f>IF(Table2[[#This Row],[Description]]="","",VLOOKUP(Table2[[#This Row],[Description]],$Q$1:$S$101,3,FALSE))</f>
        <v/>
      </c>
      <c r="I1099" s="1" t="str">
        <f>IF(Table2[[#This Row],[Description]]="","",IF(Table2[[#This Row],[Currency]]=$O$2,$P$2,HLOOKUP(Table2[[#This Row],[Date]],Funds!$C$10:$GV$11,2,FALSE)))</f>
        <v/>
      </c>
      <c r="J1099" s="215" t="str">
        <f>IF(Table2[[#This Row],[Description]]="","",Table2[[#This Row],[Value]]/Table2[[#This Row],[Conversion]])</f>
        <v/>
      </c>
      <c r="K1099" s="45" t="str">
        <f>IF(Table2[[#This Row],[Description]]="","",DATE(Table2[[#This Row],[Year]],Table2[[#This Row],[Month]],1))</f>
        <v/>
      </c>
    </row>
    <row r="1100" spans="7:11" x14ac:dyDescent="0.25">
      <c r="G1100" s="1" t="str">
        <f>IF(Table2[[#This Row],[Description]]="","",VLOOKUP(Table2[[#This Row],[Description]],$Q$1:$S$101,2,FALSE))</f>
        <v/>
      </c>
      <c r="H1100" s="1" t="str">
        <f>IF(Table2[[#This Row],[Description]]="","",VLOOKUP(Table2[[#This Row],[Description]],$Q$1:$S$101,3,FALSE))</f>
        <v/>
      </c>
      <c r="I1100" s="1" t="str">
        <f>IF(Table2[[#This Row],[Description]]="","",IF(Table2[[#This Row],[Currency]]=$O$2,$P$2,HLOOKUP(Table2[[#This Row],[Date]],Funds!$C$10:$GV$11,2,FALSE)))</f>
        <v/>
      </c>
      <c r="J1100" s="215" t="str">
        <f>IF(Table2[[#This Row],[Description]]="","",Table2[[#This Row],[Value]]/Table2[[#This Row],[Conversion]])</f>
        <v/>
      </c>
      <c r="K1100" s="45" t="str">
        <f>IF(Table2[[#This Row],[Description]]="","",DATE(Table2[[#This Row],[Year]],Table2[[#This Row],[Month]],1))</f>
        <v/>
      </c>
    </row>
    <row r="1101" spans="7:11" x14ac:dyDescent="0.25">
      <c r="G1101" s="1" t="str">
        <f>IF(Table2[[#This Row],[Description]]="","",VLOOKUP(Table2[[#This Row],[Description]],$Q$1:$S$101,2,FALSE))</f>
        <v/>
      </c>
      <c r="H1101" s="1" t="str">
        <f>IF(Table2[[#This Row],[Description]]="","",VLOOKUP(Table2[[#This Row],[Description]],$Q$1:$S$101,3,FALSE))</f>
        <v/>
      </c>
      <c r="I1101" s="1" t="str">
        <f>IF(Table2[[#This Row],[Description]]="","",IF(Table2[[#This Row],[Currency]]=$O$2,$P$2,HLOOKUP(Table2[[#This Row],[Date]],Funds!$C$10:$GV$11,2,FALSE)))</f>
        <v/>
      </c>
      <c r="J1101" s="215" t="str">
        <f>IF(Table2[[#This Row],[Description]]="","",Table2[[#This Row],[Value]]/Table2[[#This Row],[Conversion]])</f>
        <v/>
      </c>
      <c r="K1101" s="45" t="str">
        <f>IF(Table2[[#This Row],[Description]]="","",DATE(Table2[[#This Row],[Year]],Table2[[#This Row],[Month]],1))</f>
        <v/>
      </c>
    </row>
    <row r="1102" spans="7:11" x14ac:dyDescent="0.25">
      <c r="G1102" s="1" t="str">
        <f>IF(Table2[[#This Row],[Description]]="","",VLOOKUP(Table2[[#This Row],[Description]],$Q$1:$S$101,2,FALSE))</f>
        <v/>
      </c>
      <c r="H1102" s="1" t="str">
        <f>IF(Table2[[#This Row],[Description]]="","",VLOOKUP(Table2[[#This Row],[Description]],$Q$1:$S$101,3,FALSE))</f>
        <v/>
      </c>
      <c r="I1102" s="1" t="str">
        <f>IF(Table2[[#This Row],[Description]]="","",IF(Table2[[#This Row],[Currency]]=$O$2,$P$2,HLOOKUP(Table2[[#This Row],[Date]],Funds!$C$10:$GV$11,2,FALSE)))</f>
        <v/>
      </c>
      <c r="J1102" s="215" t="str">
        <f>IF(Table2[[#This Row],[Description]]="","",Table2[[#This Row],[Value]]/Table2[[#This Row],[Conversion]])</f>
        <v/>
      </c>
      <c r="K1102" s="45" t="str">
        <f>IF(Table2[[#This Row],[Description]]="","",DATE(Table2[[#This Row],[Year]],Table2[[#This Row],[Month]],1))</f>
        <v/>
      </c>
    </row>
    <row r="1103" spans="7:11" x14ac:dyDescent="0.25">
      <c r="G1103" s="1" t="str">
        <f>IF(Table2[[#This Row],[Description]]="","",VLOOKUP(Table2[[#This Row],[Description]],$Q$1:$S$101,2,FALSE))</f>
        <v/>
      </c>
      <c r="H1103" s="1" t="str">
        <f>IF(Table2[[#This Row],[Description]]="","",VLOOKUP(Table2[[#This Row],[Description]],$Q$1:$S$101,3,FALSE))</f>
        <v/>
      </c>
      <c r="I1103" s="1" t="str">
        <f>IF(Table2[[#This Row],[Description]]="","",IF(Table2[[#This Row],[Currency]]=$O$2,$P$2,HLOOKUP(Table2[[#This Row],[Date]],Funds!$C$10:$GV$11,2,FALSE)))</f>
        <v/>
      </c>
      <c r="J1103" s="215" t="str">
        <f>IF(Table2[[#This Row],[Description]]="","",Table2[[#This Row],[Value]]/Table2[[#This Row],[Conversion]])</f>
        <v/>
      </c>
      <c r="K1103" s="45" t="str">
        <f>IF(Table2[[#This Row],[Description]]="","",DATE(Table2[[#This Row],[Year]],Table2[[#This Row],[Month]],1))</f>
        <v/>
      </c>
    </row>
    <row r="1104" spans="7:11" x14ac:dyDescent="0.25">
      <c r="G1104" s="1" t="str">
        <f>IF(Table2[[#This Row],[Description]]="","",VLOOKUP(Table2[[#This Row],[Description]],$Q$1:$S$101,2,FALSE))</f>
        <v/>
      </c>
      <c r="H1104" s="1" t="str">
        <f>IF(Table2[[#This Row],[Description]]="","",VLOOKUP(Table2[[#This Row],[Description]],$Q$1:$S$101,3,FALSE))</f>
        <v/>
      </c>
      <c r="I1104" s="1" t="str">
        <f>IF(Table2[[#This Row],[Description]]="","",IF(Table2[[#This Row],[Currency]]=$O$2,$P$2,HLOOKUP(Table2[[#This Row],[Date]],Funds!$C$10:$GV$11,2,FALSE)))</f>
        <v/>
      </c>
      <c r="J1104" s="215" t="str">
        <f>IF(Table2[[#This Row],[Description]]="","",Table2[[#This Row],[Value]]/Table2[[#This Row],[Conversion]])</f>
        <v/>
      </c>
      <c r="K1104" s="45" t="str">
        <f>IF(Table2[[#This Row],[Description]]="","",DATE(Table2[[#This Row],[Year]],Table2[[#This Row],[Month]],1))</f>
        <v/>
      </c>
    </row>
    <row r="1105" spans="7:11" x14ac:dyDescent="0.25">
      <c r="G1105" s="1" t="str">
        <f>IF(Table2[[#This Row],[Description]]="","",VLOOKUP(Table2[[#This Row],[Description]],$Q$1:$S$101,2,FALSE))</f>
        <v/>
      </c>
      <c r="H1105" s="1" t="str">
        <f>IF(Table2[[#This Row],[Description]]="","",VLOOKUP(Table2[[#This Row],[Description]],$Q$1:$S$101,3,FALSE))</f>
        <v/>
      </c>
      <c r="I1105" s="1" t="str">
        <f>IF(Table2[[#This Row],[Description]]="","",IF(Table2[[#This Row],[Currency]]=$O$2,$P$2,HLOOKUP(Table2[[#This Row],[Date]],Funds!$C$10:$GV$11,2,FALSE)))</f>
        <v/>
      </c>
      <c r="J1105" s="215" t="str">
        <f>IF(Table2[[#This Row],[Description]]="","",Table2[[#This Row],[Value]]/Table2[[#This Row],[Conversion]])</f>
        <v/>
      </c>
      <c r="K1105" s="45" t="str">
        <f>IF(Table2[[#This Row],[Description]]="","",DATE(Table2[[#This Row],[Year]],Table2[[#This Row],[Month]],1))</f>
        <v/>
      </c>
    </row>
    <row r="1106" spans="7:11" x14ac:dyDescent="0.25">
      <c r="G1106" s="1" t="str">
        <f>IF(Table2[[#This Row],[Description]]="","",VLOOKUP(Table2[[#This Row],[Description]],$Q$1:$S$101,2,FALSE))</f>
        <v/>
      </c>
      <c r="H1106" s="1" t="str">
        <f>IF(Table2[[#This Row],[Description]]="","",VLOOKUP(Table2[[#This Row],[Description]],$Q$1:$S$101,3,FALSE))</f>
        <v/>
      </c>
      <c r="I1106" s="1" t="str">
        <f>IF(Table2[[#This Row],[Description]]="","",IF(Table2[[#This Row],[Currency]]=$O$2,$P$2,HLOOKUP(Table2[[#This Row],[Date]],Funds!$C$10:$GV$11,2,FALSE)))</f>
        <v/>
      </c>
      <c r="J1106" s="215" t="str">
        <f>IF(Table2[[#This Row],[Description]]="","",Table2[[#This Row],[Value]]/Table2[[#This Row],[Conversion]])</f>
        <v/>
      </c>
      <c r="K1106" s="45" t="str">
        <f>IF(Table2[[#This Row],[Description]]="","",DATE(Table2[[#This Row],[Year]],Table2[[#This Row],[Month]],1))</f>
        <v/>
      </c>
    </row>
    <row r="1107" spans="7:11" x14ac:dyDescent="0.25">
      <c r="G1107" s="1" t="str">
        <f>IF(Table2[[#This Row],[Description]]="","",VLOOKUP(Table2[[#This Row],[Description]],$Q$1:$S$101,2,FALSE))</f>
        <v/>
      </c>
      <c r="H1107" s="1" t="str">
        <f>IF(Table2[[#This Row],[Description]]="","",VLOOKUP(Table2[[#This Row],[Description]],$Q$1:$S$101,3,FALSE))</f>
        <v/>
      </c>
      <c r="I1107" s="1" t="str">
        <f>IF(Table2[[#This Row],[Description]]="","",IF(Table2[[#This Row],[Currency]]=$O$2,$P$2,HLOOKUP(Table2[[#This Row],[Date]],Funds!$C$10:$GV$11,2,FALSE)))</f>
        <v/>
      </c>
      <c r="J1107" s="215" t="str">
        <f>IF(Table2[[#This Row],[Description]]="","",Table2[[#This Row],[Value]]/Table2[[#This Row],[Conversion]])</f>
        <v/>
      </c>
      <c r="K1107" s="45" t="str">
        <f>IF(Table2[[#This Row],[Description]]="","",DATE(Table2[[#This Row],[Year]],Table2[[#This Row],[Month]],1))</f>
        <v/>
      </c>
    </row>
    <row r="1108" spans="7:11" x14ac:dyDescent="0.25">
      <c r="G1108" s="1" t="str">
        <f>IF(Table2[[#This Row],[Description]]="","",VLOOKUP(Table2[[#This Row],[Description]],$Q$1:$S$101,2,FALSE))</f>
        <v/>
      </c>
      <c r="H1108" s="1" t="str">
        <f>IF(Table2[[#This Row],[Description]]="","",VLOOKUP(Table2[[#This Row],[Description]],$Q$1:$S$101,3,FALSE))</f>
        <v/>
      </c>
      <c r="I1108" s="1" t="str">
        <f>IF(Table2[[#This Row],[Description]]="","",IF(Table2[[#This Row],[Currency]]=$O$2,$P$2,HLOOKUP(Table2[[#This Row],[Date]],Funds!$C$10:$GV$11,2,FALSE)))</f>
        <v/>
      </c>
      <c r="J1108" s="215" t="str">
        <f>IF(Table2[[#This Row],[Description]]="","",Table2[[#This Row],[Value]]/Table2[[#This Row],[Conversion]])</f>
        <v/>
      </c>
      <c r="K1108" s="45" t="str">
        <f>IF(Table2[[#This Row],[Description]]="","",DATE(Table2[[#This Row],[Year]],Table2[[#This Row],[Month]],1))</f>
        <v/>
      </c>
    </row>
    <row r="1109" spans="7:11" x14ac:dyDescent="0.25">
      <c r="G1109" s="1" t="str">
        <f>IF(Table2[[#This Row],[Description]]="","",VLOOKUP(Table2[[#This Row],[Description]],$Q$1:$S$101,2,FALSE))</f>
        <v/>
      </c>
      <c r="H1109" s="1" t="str">
        <f>IF(Table2[[#This Row],[Description]]="","",VLOOKUP(Table2[[#This Row],[Description]],$Q$1:$S$101,3,FALSE))</f>
        <v/>
      </c>
      <c r="I1109" s="1" t="str">
        <f>IF(Table2[[#This Row],[Description]]="","",IF(Table2[[#This Row],[Currency]]=$O$2,$P$2,HLOOKUP(Table2[[#This Row],[Date]],Funds!$C$10:$GV$11,2,FALSE)))</f>
        <v/>
      </c>
      <c r="J1109" s="215" t="str">
        <f>IF(Table2[[#This Row],[Description]]="","",Table2[[#This Row],[Value]]/Table2[[#This Row],[Conversion]])</f>
        <v/>
      </c>
      <c r="K1109" s="45" t="str">
        <f>IF(Table2[[#This Row],[Description]]="","",DATE(Table2[[#This Row],[Year]],Table2[[#This Row],[Month]],1))</f>
        <v/>
      </c>
    </row>
    <row r="1110" spans="7:11" x14ac:dyDescent="0.25">
      <c r="G1110" s="1" t="str">
        <f>IF(Table2[[#This Row],[Description]]="","",VLOOKUP(Table2[[#This Row],[Description]],$Q$1:$S$101,2,FALSE))</f>
        <v/>
      </c>
      <c r="H1110" s="1" t="str">
        <f>IF(Table2[[#This Row],[Description]]="","",VLOOKUP(Table2[[#This Row],[Description]],$Q$1:$S$101,3,FALSE))</f>
        <v/>
      </c>
      <c r="I1110" s="1" t="str">
        <f>IF(Table2[[#This Row],[Description]]="","",IF(Table2[[#This Row],[Currency]]=$O$2,$P$2,HLOOKUP(Table2[[#This Row],[Date]],Funds!$C$10:$GV$11,2,FALSE)))</f>
        <v/>
      </c>
      <c r="J1110" s="215" t="str">
        <f>IF(Table2[[#This Row],[Description]]="","",Table2[[#This Row],[Value]]/Table2[[#This Row],[Conversion]])</f>
        <v/>
      </c>
      <c r="K1110" s="45" t="str">
        <f>IF(Table2[[#This Row],[Description]]="","",DATE(Table2[[#This Row],[Year]],Table2[[#This Row],[Month]],1))</f>
        <v/>
      </c>
    </row>
    <row r="1111" spans="7:11" x14ac:dyDescent="0.25">
      <c r="G1111" s="1" t="str">
        <f>IF(Table2[[#This Row],[Description]]="","",VLOOKUP(Table2[[#This Row],[Description]],$Q$1:$S$101,2,FALSE))</f>
        <v/>
      </c>
      <c r="H1111" s="1" t="str">
        <f>IF(Table2[[#This Row],[Description]]="","",VLOOKUP(Table2[[#This Row],[Description]],$Q$1:$S$101,3,FALSE))</f>
        <v/>
      </c>
      <c r="I1111" s="1" t="str">
        <f>IF(Table2[[#This Row],[Description]]="","",IF(Table2[[#This Row],[Currency]]=$O$2,$P$2,HLOOKUP(Table2[[#This Row],[Date]],Funds!$C$10:$GV$11,2,FALSE)))</f>
        <v/>
      </c>
      <c r="J1111" s="215" t="str">
        <f>IF(Table2[[#This Row],[Description]]="","",Table2[[#This Row],[Value]]/Table2[[#This Row],[Conversion]])</f>
        <v/>
      </c>
      <c r="K1111" s="45" t="str">
        <f>IF(Table2[[#This Row],[Description]]="","",DATE(Table2[[#This Row],[Year]],Table2[[#This Row],[Month]],1))</f>
        <v/>
      </c>
    </row>
    <row r="1112" spans="7:11" x14ac:dyDescent="0.25">
      <c r="G1112" s="1" t="str">
        <f>IF(Table2[[#This Row],[Description]]="","",VLOOKUP(Table2[[#This Row],[Description]],$Q$1:$S$101,2,FALSE))</f>
        <v/>
      </c>
      <c r="H1112" s="1" t="str">
        <f>IF(Table2[[#This Row],[Description]]="","",VLOOKUP(Table2[[#This Row],[Description]],$Q$1:$S$101,3,FALSE))</f>
        <v/>
      </c>
      <c r="I1112" s="1" t="str">
        <f>IF(Table2[[#This Row],[Description]]="","",IF(Table2[[#This Row],[Currency]]=$O$2,$P$2,HLOOKUP(Table2[[#This Row],[Date]],Funds!$C$10:$GV$11,2,FALSE)))</f>
        <v/>
      </c>
      <c r="J1112" s="215" t="str">
        <f>IF(Table2[[#This Row],[Description]]="","",Table2[[#This Row],[Value]]/Table2[[#This Row],[Conversion]])</f>
        <v/>
      </c>
      <c r="K1112" s="45" t="str">
        <f>IF(Table2[[#This Row],[Description]]="","",DATE(Table2[[#This Row],[Year]],Table2[[#This Row],[Month]],1))</f>
        <v/>
      </c>
    </row>
    <row r="1113" spans="7:11" x14ac:dyDescent="0.25">
      <c r="G1113" s="1" t="str">
        <f>IF(Table2[[#This Row],[Description]]="","",VLOOKUP(Table2[[#This Row],[Description]],$Q$1:$S$101,2,FALSE))</f>
        <v/>
      </c>
      <c r="H1113" s="1" t="str">
        <f>IF(Table2[[#This Row],[Description]]="","",VLOOKUP(Table2[[#This Row],[Description]],$Q$1:$S$101,3,FALSE))</f>
        <v/>
      </c>
      <c r="I1113" s="1" t="str">
        <f>IF(Table2[[#This Row],[Description]]="","",IF(Table2[[#This Row],[Currency]]=$O$2,$P$2,HLOOKUP(Table2[[#This Row],[Date]],Funds!$C$10:$GV$11,2,FALSE)))</f>
        <v/>
      </c>
      <c r="J1113" s="215" t="str">
        <f>IF(Table2[[#This Row],[Description]]="","",Table2[[#This Row],[Value]]/Table2[[#This Row],[Conversion]])</f>
        <v/>
      </c>
      <c r="K1113" s="45" t="str">
        <f>IF(Table2[[#This Row],[Description]]="","",DATE(Table2[[#This Row],[Year]],Table2[[#This Row],[Month]],1))</f>
        <v/>
      </c>
    </row>
    <row r="1114" spans="7:11" x14ac:dyDescent="0.25">
      <c r="G1114" s="1" t="str">
        <f>IF(Table2[[#This Row],[Description]]="","",VLOOKUP(Table2[[#This Row],[Description]],$Q$1:$S$101,2,FALSE))</f>
        <v/>
      </c>
      <c r="H1114" s="1" t="str">
        <f>IF(Table2[[#This Row],[Description]]="","",VLOOKUP(Table2[[#This Row],[Description]],$Q$1:$S$101,3,FALSE))</f>
        <v/>
      </c>
      <c r="I1114" s="1" t="str">
        <f>IF(Table2[[#This Row],[Description]]="","",IF(Table2[[#This Row],[Currency]]=$O$2,$P$2,HLOOKUP(Table2[[#This Row],[Date]],Funds!$C$10:$GV$11,2,FALSE)))</f>
        <v/>
      </c>
      <c r="J1114" s="215" t="str">
        <f>IF(Table2[[#This Row],[Description]]="","",Table2[[#This Row],[Value]]/Table2[[#This Row],[Conversion]])</f>
        <v/>
      </c>
      <c r="K1114" s="45" t="str">
        <f>IF(Table2[[#This Row],[Description]]="","",DATE(Table2[[#This Row],[Year]],Table2[[#This Row],[Month]],1))</f>
        <v/>
      </c>
    </row>
    <row r="1115" spans="7:11" x14ac:dyDescent="0.25">
      <c r="G1115" s="1" t="str">
        <f>IF(Table2[[#This Row],[Description]]="","",VLOOKUP(Table2[[#This Row],[Description]],$Q$1:$S$101,2,FALSE))</f>
        <v/>
      </c>
      <c r="H1115" s="1" t="str">
        <f>IF(Table2[[#This Row],[Description]]="","",VLOOKUP(Table2[[#This Row],[Description]],$Q$1:$S$101,3,FALSE))</f>
        <v/>
      </c>
      <c r="I1115" s="1" t="str">
        <f>IF(Table2[[#This Row],[Description]]="","",IF(Table2[[#This Row],[Currency]]=$O$2,$P$2,HLOOKUP(Table2[[#This Row],[Date]],Funds!$C$10:$GV$11,2,FALSE)))</f>
        <v/>
      </c>
      <c r="J1115" s="215" t="str">
        <f>IF(Table2[[#This Row],[Description]]="","",Table2[[#This Row],[Value]]/Table2[[#This Row],[Conversion]])</f>
        <v/>
      </c>
      <c r="K1115" s="45" t="str">
        <f>IF(Table2[[#This Row],[Description]]="","",DATE(Table2[[#This Row],[Year]],Table2[[#This Row],[Month]],1))</f>
        <v/>
      </c>
    </row>
    <row r="1116" spans="7:11" x14ac:dyDescent="0.25">
      <c r="G1116" s="1" t="str">
        <f>IF(Table2[[#This Row],[Description]]="","",VLOOKUP(Table2[[#This Row],[Description]],$Q$1:$S$101,2,FALSE))</f>
        <v/>
      </c>
      <c r="H1116" s="1" t="str">
        <f>IF(Table2[[#This Row],[Description]]="","",VLOOKUP(Table2[[#This Row],[Description]],$Q$1:$S$101,3,FALSE))</f>
        <v/>
      </c>
      <c r="I1116" s="1" t="str">
        <f>IF(Table2[[#This Row],[Description]]="","",IF(Table2[[#This Row],[Currency]]=$O$2,$P$2,HLOOKUP(Table2[[#This Row],[Date]],Funds!$C$10:$GV$11,2,FALSE)))</f>
        <v/>
      </c>
      <c r="J1116" s="215" t="str">
        <f>IF(Table2[[#This Row],[Description]]="","",Table2[[#This Row],[Value]]/Table2[[#This Row],[Conversion]])</f>
        <v/>
      </c>
      <c r="K1116" s="45" t="str">
        <f>IF(Table2[[#This Row],[Description]]="","",DATE(Table2[[#This Row],[Year]],Table2[[#This Row],[Month]],1))</f>
        <v/>
      </c>
    </row>
    <row r="1117" spans="7:11" x14ac:dyDescent="0.25">
      <c r="G1117" s="1" t="str">
        <f>IF(Table2[[#This Row],[Description]]="","",VLOOKUP(Table2[[#This Row],[Description]],$Q$1:$S$101,2,FALSE))</f>
        <v/>
      </c>
      <c r="H1117" s="1" t="str">
        <f>IF(Table2[[#This Row],[Description]]="","",VLOOKUP(Table2[[#This Row],[Description]],$Q$1:$S$101,3,FALSE))</f>
        <v/>
      </c>
      <c r="I1117" s="1" t="str">
        <f>IF(Table2[[#This Row],[Description]]="","",IF(Table2[[#This Row],[Currency]]=$O$2,$P$2,HLOOKUP(Table2[[#This Row],[Date]],Funds!$C$10:$GV$11,2,FALSE)))</f>
        <v/>
      </c>
      <c r="J1117" s="215" t="str">
        <f>IF(Table2[[#This Row],[Description]]="","",Table2[[#This Row],[Value]]/Table2[[#This Row],[Conversion]])</f>
        <v/>
      </c>
      <c r="K1117" s="45" t="str">
        <f>IF(Table2[[#This Row],[Description]]="","",DATE(Table2[[#This Row],[Year]],Table2[[#This Row],[Month]],1))</f>
        <v/>
      </c>
    </row>
    <row r="1118" spans="7:11" x14ac:dyDescent="0.25">
      <c r="G1118" s="1" t="str">
        <f>IF(Table2[[#This Row],[Description]]="","",VLOOKUP(Table2[[#This Row],[Description]],$Q$1:$S$101,2,FALSE))</f>
        <v/>
      </c>
      <c r="H1118" s="1" t="str">
        <f>IF(Table2[[#This Row],[Description]]="","",VLOOKUP(Table2[[#This Row],[Description]],$Q$1:$S$101,3,FALSE))</f>
        <v/>
      </c>
      <c r="I1118" s="1" t="str">
        <f>IF(Table2[[#This Row],[Description]]="","",IF(Table2[[#This Row],[Currency]]=$O$2,$P$2,HLOOKUP(Table2[[#This Row],[Date]],Funds!$C$10:$GV$11,2,FALSE)))</f>
        <v/>
      </c>
      <c r="J1118" s="215" t="str">
        <f>IF(Table2[[#This Row],[Description]]="","",Table2[[#This Row],[Value]]/Table2[[#This Row],[Conversion]])</f>
        <v/>
      </c>
      <c r="K1118" s="45" t="str">
        <f>IF(Table2[[#This Row],[Description]]="","",DATE(Table2[[#This Row],[Year]],Table2[[#This Row],[Month]],1))</f>
        <v/>
      </c>
    </row>
    <row r="1119" spans="7:11" x14ac:dyDescent="0.25">
      <c r="G1119" s="1" t="str">
        <f>IF(Table2[[#This Row],[Description]]="","",VLOOKUP(Table2[[#This Row],[Description]],$Q$1:$S$101,2,FALSE))</f>
        <v/>
      </c>
      <c r="H1119" s="1" t="str">
        <f>IF(Table2[[#This Row],[Description]]="","",VLOOKUP(Table2[[#This Row],[Description]],$Q$1:$S$101,3,FALSE))</f>
        <v/>
      </c>
      <c r="I1119" s="1" t="str">
        <f>IF(Table2[[#This Row],[Description]]="","",IF(Table2[[#This Row],[Currency]]=$O$2,$P$2,HLOOKUP(Table2[[#This Row],[Date]],Funds!$C$10:$GV$11,2,FALSE)))</f>
        <v/>
      </c>
      <c r="J1119" s="215" t="str">
        <f>IF(Table2[[#This Row],[Description]]="","",Table2[[#This Row],[Value]]/Table2[[#This Row],[Conversion]])</f>
        <v/>
      </c>
      <c r="K1119" s="45" t="str">
        <f>IF(Table2[[#This Row],[Description]]="","",DATE(Table2[[#This Row],[Year]],Table2[[#This Row],[Month]],1))</f>
        <v/>
      </c>
    </row>
    <row r="1120" spans="7:11" x14ac:dyDescent="0.25">
      <c r="G1120" s="1" t="str">
        <f>IF(Table2[[#This Row],[Description]]="","",VLOOKUP(Table2[[#This Row],[Description]],$Q$1:$S$101,2,FALSE))</f>
        <v/>
      </c>
      <c r="H1120" s="1" t="str">
        <f>IF(Table2[[#This Row],[Description]]="","",VLOOKUP(Table2[[#This Row],[Description]],$Q$1:$S$101,3,FALSE))</f>
        <v/>
      </c>
      <c r="I1120" s="1" t="str">
        <f>IF(Table2[[#This Row],[Description]]="","",IF(Table2[[#This Row],[Currency]]=$O$2,$P$2,HLOOKUP(Table2[[#This Row],[Date]],Funds!$C$10:$GV$11,2,FALSE)))</f>
        <v/>
      </c>
      <c r="J1120" s="215" t="str">
        <f>IF(Table2[[#This Row],[Description]]="","",Table2[[#This Row],[Value]]/Table2[[#This Row],[Conversion]])</f>
        <v/>
      </c>
      <c r="K1120" s="45" t="str">
        <f>IF(Table2[[#This Row],[Description]]="","",DATE(Table2[[#This Row],[Year]],Table2[[#This Row],[Month]],1))</f>
        <v/>
      </c>
    </row>
    <row r="1121" spans="7:11" x14ac:dyDescent="0.25">
      <c r="G1121" s="1" t="str">
        <f>IF(Table2[[#This Row],[Description]]="","",VLOOKUP(Table2[[#This Row],[Description]],$Q$1:$S$101,2,FALSE))</f>
        <v/>
      </c>
      <c r="H1121" s="1" t="str">
        <f>IF(Table2[[#This Row],[Description]]="","",VLOOKUP(Table2[[#This Row],[Description]],$Q$1:$S$101,3,FALSE))</f>
        <v/>
      </c>
      <c r="I1121" s="1" t="str">
        <f>IF(Table2[[#This Row],[Description]]="","",IF(Table2[[#This Row],[Currency]]=$O$2,$P$2,HLOOKUP(Table2[[#This Row],[Date]],Funds!$C$10:$GV$11,2,FALSE)))</f>
        <v/>
      </c>
      <c r="J1121" s="215" t="str">
        <f>IF(Table2[[#This Row],[Description]]="","",Table2[[#This Row],[Value]]/Table2[[#This Row],[Conversion]])</f>
        <v/>
      </c>
      <c r="K1121" s="45" t="str">
        <f>IF(Table2[[#This Row],[Description]]="","",DATE(Table2[[#This Row],[Year]],Table2[[#This Row],[Month]],1))</f>
        <v/>
      </c>
    </row>
    <row r="1122" spans="7:11" x14ac:dyDescent="0.25">
      <c r="G1122" s="1" t="str">
        <f>IF(Table2[[#This Row],[Description]]="","",VLOOKUP(Table2[[#This Row],[Description]],$Q$1:$S$101,2,FALSE))</f>
        <v/>
      </c>
      <c r="H1122" s="1" t="str">
        <f>IF(Table2[[#This Row],[Description]]="","",VLOOKUP(Table2[[#This Row],[Description]],$Q$1:$S$101,3,FALSE))</f>
        <v/>
      </c>
      <c r="I1122" s="1" t="str">
        <f>IF(Table2[[#This Row],[Description]]="","",IF(Table2[[#This Row],[Currency]]=$O$2,$P$2,HLOOKUP(Table2[[#This Row],[Date]],Funds!$C$10:$GV$11,2,FALSE)))</f>
        <v/>
      </c>
      <c r="J1122" s="215" t="str">
        <f>IF(Table2[[#This Row],[Description]]="","",Table2[[#This Row],[Value]]/Table2[[#This Row],[Conversion]])</f>
        <v/>
      </c>
      <c r="K1122" s="45" t="str">
        <f>IF(Table2[[#This Row],[Description]]="","",DATE(Table2[[#This Row],[Year]],Table2[[#This Row],[Month]],1))</f>
        <v/>
      </c>
    </row>
    <row r="1123" spans="7:11" x14ac:dyDescent="0.25">
      <c r="G1123" s="1" t="str">
        <f>IF(Table2[[#This Row],[Description]]="","",VLOOKUP(Table2[[#This Row],[Description]],$Q$1:$S$101,2,FALSE))</f>
        <v/>
      </c>
      <c r="H1123" s="1" t="str">
        <f>IF(Table2[[#This Row],[Description]]="","",VLOOKUP(Table2[[#This Row],[Description]],$Q$1:$S$101,3,FALSE))</f>
        <v/>
      </c>
      <c r="I1123" s="1" t="str">
        <f>IF(Table2[[#This Row],[Description]]="","",IF(Table2[[#This Row],[Currency]]=$O$2,$P$2,HLOOKUP(Table2[[#This Row],[Date]],Funds!$C$10:$GV$11,2,FALSE)))</f>
        <v/>
      </c>
      <c r="J1123" s="215" t="str">
        <f>IF(Table2[[#This Row],[Description]]="","",Table2[[#This Row],[Value]]/Table2[[#This Row],[Conversion]])</f>
        <v/>
      </c>
      <c r="K1123" s="45" t="str">
        <f>IF(Table2[[#This Row],[Description]]="","",DATE(Table2[[#This Row],[Year]],Table2[[#This Row],[Month]],1))</f>
        <v/>
      </c>
    </row>
    <row r="1124" spans="7:11" x14ac:dyDescent="0.25">
      <c r="G1124" s="1" t="str">
        <f>IF(Table2[[#This Row],[Description]]="","",VLOOKUP(Table2[[#This Row],[Description]],$Q$1:$S$101,2,FALSE))</f>
        <v/>
      </c>
      <c r="H1124" s="1" t="str">
        <f>IF(Table2[[#This Row],[Description]]="","",VLOOKUP(Table2[[#This Row],[Description]],$Q$1:$S$101,3,FALSE))</f>
        <v/>
      </c>
      <c r="I1124" s="1" t="str">
        <f>IF(Table2[[#This Row],[Description]]="","",IF(Table2[[#This Row],[Currency]]=$O$2,$P$2,HLOOKUP(Table2[[#This Row],[Date]],Funds!$C$10:$GV$11,2,FALSE)))</f>
        <v/>
      </c>
      <c r="J1124" s="215" t="str">
        <f>IF(Table2[[#This Row],[Description]]="","",Table2[[#This Row],[Value]]/Table2[[#This Row],[Conversion]])</f>
        <v/>
      </c>
      <c r="K1124" s="45" t="str">
        <f>IF(Table2[[#This Row],[Description]]="","",DATE(Table2[[#This Row],[Year]],Table2[[#This Row],[Month]],1))</f>
        <v/>
      </c>
    </row>
    <row r="1125" spans="7:11" x14ac:dyDescent="0.25">
      <c r="G1125" s="1" t="str">
        <f>IF(Table2[[#This Row],[Description]]="","",VLOOKUP(Table2[[#This Row],[Description]],$Q$1:$S$101,2,FALSE))</f>
        <v/>
      </c>
      <c r="H1125" s="1" t="str">
        <f>IF(Table2[[#This Row],[Description]]="","",VLOOKUP(Table2[[#This Row],[Description]],$Q$1:$S$101,3,FALSE))</f>
        <v/>
      </c>
      <c r="I1125" s="1" t="str">
        <f>IF(Table2[[#This Row],[Description]]="","",IF(Table2[[#This Row],[Currency]]=$O$2,$P$2,HLOOKUP(Table2[[#This Row],[Date]],Funds!$C$10:$GV$11,2,FALSE)))</f>
        <v/>
      </c>
      <c r="J1125" s="215" t="str">
        <f>IF(Table2[[#This Row],[Description]]="","",Table2[[#This Row],[Value]]/Table2[[#This Row],[Conversion]])</f>
        <v/>
      </c>
      <c r="K1125" s="45" t="str">
        <f>IF(Table2[[#This Row],[Description]]="","",DATE(Table2[[#This Row],[Year]],Table2[[#This Row],[Month]],1))</f>
        <v/>
      </c>
    </row>
    <row r="1126" spans="7:11" x14ac:dyDescent="0.25">
      <c r="G1126" s="1" t="str">
        <f>IF(Table2[[#This Row],[Description]]="","",VLOOKUP(Table2[[#This Row],[Description]],$Q$1:$S$101,2,FALSE))</f>
        <v/>
      </c>
      <c r="H1126" s="1" t="str">
        <f>IF(Table2[[#This Row],[Description]]="","",VLOOKUP(Table2[[#This Row],[Description]],$Q$1:$S$101,3,FALSE))</f>
        <v/>
      </c>
      <c r="I1126" s="1" t="str">
        <f>IF(Table2[[#This Row],[Description]]="","",IF(Table2[[#This Row],[Currency]]=$O$2,$P$2,HLOOKUP(Table2[[#This Row],[Date]],Funds!$C$10:$GV$11,2,FALSE)))</f>
        <v/>
      </c>
      <c r="J1126" s="215" t="str">
        <f>IF(Table2[[#This Row],[Description]]="","",Table2[[#This Row],[Value]]/Table2[[#This Row],[Conversion]])</f>
        <v/>
      </c>
      <c r="K1126" s="45" t="str">
        <f>IF(Table2[[#This Row],[Description]]="","",DATE(Table2[[#This Row],[Year]],Table2[[#This Row],[Month]],1))</f>
        <v/>
      </c>
    </row>
    <row r="1127" spans="7:11" x14ac:dyDescent="0.25">
      <c r="G1127" s="1" t="str">
        <f>IF(Table2[[#This Row],[Description]]="","",VLOOKUP(Table2[[#This Row],[Description]],$Q$1:$S$101,2,FALSE))</f>
        <v/>
      </c>
      <c r="H1127" s="1" t="str">
        <f>IF(Table2[[#This Row],[Description]]="","",VLOOKUP(Table2[[#This Row],[Description]],$Q$1:$S$101,3,FALSE))</f>
        <v/>
      </c>
      <c r="I1127" s="1" t="str">
        <f>IF(Table2[[#This Row],[Description]]="","",IF(Table2[[#This Row],[Currency]]=$O$2,$P$2,HLOOKUP(Table2[[#This Row],[Date]],Funds!$C$10:$GV$11,2,FALSE)))</f>
        <v/>
      </c>
      <c r="J1127" s="215" t="str">
        <f>IF(Table2[[#This Row],[Description]]="","",Table2[[#This Row],[Value]]/Table2[[#This Row],[Conversion]])</f>
        <v/>
      </c>
      <c r="K1127" s="45" t="str">
        <f>IF(Table2[[#This Row],[Description]]="","",DATE(Table2[[#This Row],[Year]],Table2[[#This Row],[Month]],1))</f>
        <v/>
      </c>
    </row>
    <row r="1128" spans="7:11" x14ac:dyDescent="0.25">
      <c r="G1128" s="1" t="str">
        <f>IF(Table2[[#This Row],[Description]]="","",VLOOKUP(Table2[[#This Row],[Description]],$Q$1:$S$101,2,FALSE))</f>
        <v/>
      </c>
      <c r="H1128" s="1" t="str">
        <f>IF(Table2[[#This Row],[Description]]="","",VLOOKUP(Table2[[#This Row],[Description]],$Q$1:$S$101,3,FALSE))</f>
        <v/>
      </c>
      <c r="I1128" s="1" t="str">
        <f>IF(Table2[[#This Row],[Description]]="","",IF(Table2[[#This Row],[Currency]]=$O$2,$P$2,HLOOKUP(Table2[[#This Row],[Date]],Funds!$C$10:$GV$11,2,FALSE)))</f>
        <v/>
      </c>
      <c r="J1128" s="215" t="str">
        <f>IF(Table2[[#This Row],[Description]]="","",Table2[[#This Row],[Value]]/Table2[[#This Row],[Conversion]])</f>
        <v/>
      </c>
      <c r="K1128" s="45" t="str">
        <f>IF(Table2[[#This Row],[Description]]="","",DATE(Table2[[#This Row],[Year]],Table2[[#This Row],[Month]],1))</f>
        <v/>
      </c>
    </row>
    <row r="1129" spans="7:11" x14ac:dyDescent="0.25">
      <c r="G1129" s="1" t="str">
        <f>IF(Table2[[#This Row],[Description]]="","",VLOOKUP(Table2[[#This Row],[Description]],$Q$1:$S$101,2,FALSE))</f>
        <v/>
      </c>
      <c r="H1129" s="1" t="str">
        <f>IF(Table2[[#This Row],[Description]]="","",VLOOKUP(Table2[[#This Row],[Description]],$Q$1:$S$101,3,FALSE))</f>
        <v/>
      </c>
      <c r="I1129" s="1" t="str">
        <f>IF(Table2[[#This Row],[Description]]="","",IF(Table2[[#This Row],[Currency]]=$O$2,$P$2,HLOOKUP(Table2[[#This Row],[Date]],Funds!$C$10:$GV$11,2,FALSE)))</f>
        <v/>
      </c>
      <c r="J1129" s="215" t="str">
        <f>IF(Table2[[#This Row],[Description]]="","",Table2[[#This Row],[Value]]/Table2[[#This Row],[Conversion]])</f>
        <v/>
      </c>
      <c r="K1129" s="45" t="str">
        <f>IF(Table2[[#This Row],[Description]]="","",DATE(Table2[[#This Row],[Year]],Table2[[#This Row],[Month]],1))</f>
        <v/>
      </c>
    </row>
    <row r="1130" spans="7:11" x14ac:dyDescent="0.25">
      <c r="G1130" s="1" t="str">
        <f>IF(Table2[[#This Row],[Description]]="","",VLOOKUP(Table2[[#This Row],[Description]],$Q$1:$S$101,2,FALSE))</f>
        <v/>
      </c>
      <c r="H1130" s="1" t="str">
        <f>IF(Table2[[#This Row],[Description]]="","",VLOOKUP(Table2[[#This Row],[Description]],$Q$1:$S$101,3,FALSE))</f>
        <v/>
      </c>
      <c r="I1130" s="1" t="str">
        <f>IF(Table2[[#This Row],[Description]]="","",IF(Table2[[#This Row],[Currency]]=$O$2,$P$2,HLOOKUP(Table2[[#This Row],[Date]],Funds!$C$10:$GV$11,2,FALSE)))</f>
        <v/>
      </c>
      <c r="J1130" s="215" t="str">
        <f>IF(Table2[[#This Row],[Description]]="","",Table2[[#This Row],[Value]]/Table2[[#This Row],[Conversion]])</f>
        <v/>
      </c>
      <c r="K1130" s="45" t="str">
        <f>IF(Table2[[#This Row],[Description]]="","",DATE(Table2[[#This Row],[Year]],Table2[[#This Row],[Month]],1))</f>
        <v/>
      </c>
    </row>
    <row r="1131" spans="7:11" x14ac:dyDescent="0.25">
      <c r="G1131" s="1" t="str">
        <f>IF(Table2[[#This Row],[Description]]="","",VLOOKUP(Table2[[#This Row],[Description]],$Q$1:$S$101,2,FALSE))</f>
        <v/>
      </c>
      <c r="H1131" s="1" t="str">
        <f>IF(Table2[[#This Row],[Description]]="","",VLOOKUP(Table2[[#This Row],[Description]],$Q$1:$S$101,3,FALSE))</f>
        <v/>
      </c>
      <c r="I1131" s="1" t="str">
        <f>IF(Table2[[#This Row],[Description]]="","",IF(Table2[[#This Row],[Currency]]=$O$2,$P$2,HLOOKUP(Table2[[#This Row],[Date]],Funds!$C$10:$GV$11,2,FALSE)))</f>
        <v/>
      </c>
      <c r="J1131" s="215" t="str">
        <f>IF(Table2[[#This Row],[Description]]="","",Table2[[#This Row],[Value]]/Table2[[#This Row],[Conversion]])</f>
        <v/>
      </c>
      <c r="K1131" s="45" t="str">
        <f>IF(Table2[[#This Row],[Description]]="","",DATE(Table2[[#This Row],[Year]],Table2[[#This Row],[Month]],1))</f>
        <v/>
      </c>
    </row>
    <row r="1132" spans="7:11" x14ac:dyDescent="0.25">
      <c r="G1132" s="1" t="str">
        <f>IF(Table2[[#This Row],[Description]]="","",VLOOKUP(Table2[[#This Row],[Description]],$Q$1:$S$101,2,FALSE))</f>
        <v/>
      </c>
      <c r="H1132" s="1" t="str">
        <f>IF(Table2[[#This Row],[Description]]="","",VLOOKUP(Table2[[#This Row],[Description]],$Q$1:$S$101,3,FALSE))</f>
        <v/>
      </c>
      <c r="I1132" s="1" t="str">
        <f>IF(Table2[[#This Row],[Description]]="","",IF(Table2[[#This Row],[Currency]]=$O$2,$P$2,HLOOKUP(Table2[[#This Row],[Date]],Funds!$C$10:$GV$11,2,FALSE)))</f>
        <v/>
      </c>
      <c r="J1132" s="215" t="str">
        <f>IF(Table2[[#This Row],[Description]]="","",Table2[[#This Row],[Value]]/Table2[[#This Row],[Conversion]])</f>
        <v/>
      </c>
      <c r="K1132" s="45" t="str">
        <f>IF(Table2[[#This Row],[Description]]="","",DATE(Table2[[#This Row],[Year]],Table2[[#This Row],[Month]],1))</f>
        <v/>
      </c>
    </row>
    <row r="1133" spans="7:11" x14ac:dyDescent="0.25">
      <c r="G1133" s="1" t="str">
        <f>IF(Table2[[#This Row],[Description]]="","",VLOOKUP(Table2[[#This Row],[Description]],$Q$1:$S$101,2,FALSE))</f>
        <v/>
      </c>
      <c r="H1133" s="1" t="str">
        <f>IF(Table2[[#This Row],[Description]]="","",VLOOKUP(Table2[[#This Row],[Description]],$Q$1:$S$101,3,FALSE))</f>
        <v/>
      </c>
      <c r="I1133" s="1" t="str">
        <f>IF(Table2[[#This Row],[Description]]="","",IF(Table2[[#This Row],[Currency]]=$O$2,$P$2,HLOOKUP(Table2[[#This Row],[Date]],Funds!$C$10:$GV$11,2,FALSE)))</f>
        <v/>
      </c>
      <c r="J1133" s="215" t="str">
        <f>IF(Table2[[#This Row],[Description]]="","",Table2[[#This Row],[Value]]/Table2[[#This Row],[Conversion]])</f>
        <v/>
      </c>
      <c r="K1133" s="45" t="str">
        <f>IF(Table2[[#This Row],[Description]]="","",DATE(Table2[[#This Row],[Year]],Table2[[#This Row],[Month]],1))</f>
        <v/>
      </c>
    </row>
    <row r="1134" spans="7:11" x14ac:dyDescent="0.25">
      <c r="G1134" s="1" t="str">
        <f>IF(Table2[[#This Row],[Description]]="","",VLOOKUP(Table2[[#This Row],[Description]],$Q$1:$S$101,2,FALSE))</f>
        <v/>
      </c>
      <c r="H1134" s="1" t="str">
        <f>IF(Table2[[#This Row],[Description]]="","",VLOOKUP(Table2[[#This Row],[Description]],$Q$1:$S$101,3,FALSE))</f>
        <v/>
      </c>
      <c r="I1134" s="1" t="str">
        <f>IF(Table2[[#This Row],[Description]]="","",IF(Table2[[#This Row],[Currency]]=$O$2,$P$2,HLOOKUP(Table2[[#This Row],[Date]],Funds!$C$10:$GV$11,2,FALSE)))</f>
        <v/>
      </c>
      <c r="J1134" s="215" t="str">
        <f>IF(Table2[[#This Row],[Description]]="","",Table2[[#This Row],[Value]]/Table2[[#This Row],[Conversion]])</f>
        <v/>
      </c>
      <c r="K1134" s="45" t="str">
        <f>IF(Table2[[#This Row],[Description]]="","",DATE(Table2[[#This Row],[Year]],Table2[[#This Row],[Month]],1))</f>
        <v/>
      </c>
    </row>
    <row r="1135" spans="7:11" x14ac:dyDescent="0.25">
      <c r="G1135" s="1" t="str">
        <f>IF(Table2[[#This Row],[Description]]="","",VLOOKUP(Table2[[#This Row],[Description]],$Q$1:$S$101,2,FALSE))</f>
        <v/>
      </c>
      <c r="H1135" s="1" t="str">
        <f>IF(Table2[[#This Row],[Description]]="","",VLOOKUP(Table2[[#This Row],[Description]],$Q$1:$S$101,3,FALSE))</f>
        <v/>
      </c>
      <c r="I1135" s="1" t="str">
        <f>IF(Table2[[#This Row],[Description]]="","",IF(Table2[[#This Row],[Currency]]=$O$2,$P$2,HLOOKUP(Table2[[#This Row],[Date]],Funds!$C$10:$GV$11,2,FALSE)))</f>
        <v/>
      </c>
      <c r="J1135" s="215" t="str">
        <f>IF(Table2[[#This Row],[Description]]="","",Table2[[#This Row],[Value]]/Table2[[#This Row],[Conversion]])</f>
        <v/>
      </c>
      <c r="K1135" s="45" t="str">
        <f>IF(Table2[[#This Row],[Description]]="","",DATE(Table2[[#This Row],[Year]],Table2[[#This Row],[Month]],1))</f>
        <v/>
      </c>
    </row>
    <row r="1136" spans="7:11" x14ac:dyDescent="0.25">
      <c r="G1136" s="1" t="str">
        <f>IF(Table2[[#This Row],[Description]]="","",VLOOKUP(Table2[[#This Row],[Description]],$Q$1:$S$101,2,FALSE))</f>
        <v/>
      </c>
      <c r="H1136" s="1" t="str">
        <f>IF(Table2[[#This Row],[Description]]="","",VLOOKUP(Table2[[#This Row],[Description]],$Q$1:$S$101,3,FALSE))</f>
        <v/>
      </c>
      <c r="I1136" s="1" t="str">
        <f>IF(Table2[[#This Row],[Description]]="","",IF(Table2[[#This Row],[Currency]]=$O$2,$P$2,HLOOKUP(Table2[[#This Row],[Date]],Funds!$C$10:$GV$11,2,FALSE)))</f>
        <v/>
      </c>
      <c r="J1136" s="215" t="str">
        <f>IF(Table2[[#This Row],[Description]]="","",Table2[[#This Row],[Value]]/Table2[[#This Row],[Conversion]])</f>
        <v/>
      </c>
      <c r="K1136" s="45" t="str">
        <f>IF(Table2[[#This Row],[Description]]="","",DATE(Table2[[#This Row],[Year]],Table2[[#This Row],[Month]],1))</f>
        <v/>
      </c>
    </row>
    <row r="1137" spans="7:11" x14ac:dyDescent="0.25">
      <c r="G1137" s="1" t="str">
        <f>IF(Table2[[#This Row],[Description]]="","",VLOOKUP(Table2[[#This Row],[Description]],$Q$1:$S$101,2,FALSE))</f>
        <v/>
      </c>
      <c r="H1137" s="1" t="str">
        <f>IF(Table2[[#This Row],[Description]]="","",VLOOKUP(Table2[[#This Row],[Description]],$Q$1:$S$101,3,FALSE))</f>
        <v/>
      </c>
      <c r="I1137" s="1" t="str">
        <f>IF(Table2[[#This Row],[Description]]="","",IF(Table2[[#This Row],[Currency]]=$O$2,$P$2,HLOOKUP(Table2[[#This Row],[Date]],Funds!$C$10:$GV$11,2,FALSE)))</f>
        <v/>
      </c>
      <c r="J1137" s="215" t="str">
        <f>IF(Table2[[#This Row],[Description]]="","",Table2[[#This Row],[Value]]/Table2[[#This Row],[Conversion]])</f>
        <v/>
      </c>
      <c r="K1137" s="45" t="str">
        <f>IF(Table2[[#This Row],[Description]]="","",DATE(Table2[[#This Row],[Year]],Table2[[#This Row],[Month]],1))</f>
        <v/>
      </c>
    </row>
    <row r="1138" spans="7:11" x14ac:dyDescent="0.25">
      <c r="G1138" s="1" t="str">
        <f>IF(Table2[[#This Row],[Description]]="","",VLOOKUP(Table2[[#This Row],[Description]],$Q$1:$S$101,2,FALSE))</f>
        <v/>
      </c>
      <c r="H1138" s="1" t="str">
        <f>IF(Table2[[#This Row],[Description]]="","",VLOOKUP(Table2[[#This Row],[Description]],$Q$1:$S$101,3,FALSE))</f>
        <v/>
      </c>
      <c r="I1138" s="1" t="str">
        <f>IF(Table2[[#This Row],[Description]]="","",IF(Table2[[#This Row],[Currency]]=$O$2,$P$2,HLOOKUP(Table2[[#This Row],[Date]],Funds!$C$10:$GV$11,2,FALSE)))</f>
        <v/>
      </c>
      <c r="J1138" s="215" t="str">
        <f>IF(Table2[[#This Row],[Description]]="","",Table2[[#This Row],[Value]]/Table2[[#This Row],[Conversion]])</f>
        <v/>
      </c>
      <c r="K1138" s="45" t="str">
        <f>IF(Table2[[#This Row],[Description]]="","",DATE(Table2[[#This Row],[Year]],Table2[[#This Row],[Month]],1))</f>
        <v/>
      </c>
    </row>
    <row r="1139" spans="7:11" x14ac:dyDescent="0.25">
      <c r="G1139" s="1" t="str">
        <f>IF(Table2[[#This Row],[Description]]="","",VLOOKUP(Table2[[#This Row],[Description]],$Q$1:$S$101,2,FALSE))</f>
        <v/>
      </c>
      <c r="H1139" s="1" t="str">
        <f>IF(Table2[[#This Row],[Description]]="","",VLOOKUP(Table2[[#This Row],[Description]],$Q$1:$S$101,3,FALSE))</f>
        <v/>
      </c>
      <c r="I1139" s="1" t="str">
        <f>IF(Table2[[#This Row],[Description]]="","",IF(Table2[[#This Row],[Currency]]=$O$2,$P$2,HLOOKUP(Table2[[#This Row],[Date]],Funds!$C$10:$GV$11,2,FALSE)))</f>
        <v/>
      </c>
      <c r="J1139" s="215" t="str">
        <f>IF(Table2[[#This Row],[Description]]="","",Table2[[#This Row],[Value]]/Table2[[#This Row],[Conversion]])</f>
        <v/>
      </c>
      <c r="K1139" s="45" t="str">
        <f>IF(Table2[[#This Row],[Description]]="","",DATE(Table2[[#This Row],[Year]],Table2[[#This Row],[Month]],1))</f>
        <v/>
      </c>
    </row>
    <row r="1140" spans="7:11" x14ac:dyDescent="0.25">
      <c r="G1140" s="1" t="str">
        <f>IF(Table2[[#This Row],[Description]]="","",VLOOKUP(Table2[[#This Row],[Description]],$Q$1:$S$101,2,FALSE))</f>
        <v/>
      </c>
      <c r="H1140" s="1" t="str">
        <f>IF(Table2[[#This Row],[Description]]="","",VLOOKUP(Table2[[#This Row],[Description]],$Q$1:$S$101,3,FALSE))</f>
        <v/>
      </c>
      <c r="I1140" s="1" t="str">
        <f>IF(Table2[[#This Row],[Description]]="","",IF(Table2[[#This Row],[Currency]]=$O$2,$P$2,HLOOKUP(Table2[[#This Row],[Date]],Funds!$C$10:$GV$11,2,FALSE)))</f>
        <v/>
      </c>
      <c r="J1140" s="215" t="str">
        <f>IF(Table2[[#This Row],[Description]]="","",Table2[[#This Row],[Value]]/Table2[[#This Row],[Conversion]])</f>
        <v/>
      </c>
      <c r="K1140" s="45" t="str">
        <f>IF(Table2[[#This Row],[Description]]="","",DATE(Table2[[#This Row],[Year]],Table2[[#This Row],[Month]],1))</f>
        <v/>
      </c>
    </row>
    <row r="1141" spans="7:11" x14ac:dyDescent="0.25">
      <c r="G1141" s="1" t="str">
        <f>IF(Table2[[#This Row],[Description]]="","",VLOOKUP(Table2[[#This Row],[Description]],$Q$1:$S$101,2,FALSE))</f>
        <v/>
      </c>
      <c r="H1141" s="1" t="str">
        <f>IF(Table2[[#This Row],[Description]]="","",VLOOKUP(Table2[[#This Row],[Description]],$Q$1:$S$101,3,FALSE))</f>
        <v/>
      </c>
      <c r="I1141" s="1" t="str">
        <f>IF(Table2[[#This Row],[Description]]="","",IF(Table2[[#This Row],[Currency]]=$O$2,$P$2,HLOOKUP(Table2[[#This Row],[Date]],Funds!$C$10:$GV$11,2,FALSE)))</f>
        <v/>
      </c>
      <c r="J1141" s="215" t="str">
        <f>IF(Table2[[#This Row],[Description]]="","",Table2[[#This Row],[Value]]/Table2[[#This Row],[Conversion]])</f>
        <v/>
      </c>
      <c r="K1141" s="45" t="str">
        <f>IF(Table2[[#This Row],[Description]]="","",DATE(Table2[[#This Row],[Year]],Table2[[#This Row],[Month]],1))</f>
        <v/>
      </c>
    </row>
    <row r="1142" spans="7:11" x14ac:dyDescent="0.25">
      <c r="G1142" s="1" t="str">
        <f>IF(Table2[[#This Row],[Description]]="","",VLOOKUP(Table2[[#This Row],[Description]],$Q$1:$S$101,2,FALSE))</f>
        <v/>
      </c>
      <c r="H1142" s="1" t="str">
        <f>IF(Table2[[#This Row],[Description]]="","",VLOOKUP(Table2[[#This Row],[Description]],$Q$1:$S$101,3,FALSE))</f>
        <v/>
      </c>
      <c r="I1142" s="1" t="str">
        <f>IF(Table2[[#This Row],[Description]]="","",IF(Table2[[#This Row],[Currency]]=$O$2,$P$2,HLOOKUP(Table2[[#This Row],[Date]],Funds!$C$10:$GV$11,2,FALSE)))</f>
        <v/>
      </c>
      <c r="J1142" s="215" t="str">
        <f>IF(Table2[[#This Row],[Description]]="","",Table2[[#This Row],[Value]]/Table2[[#This Row],[Conversion]])</f>
        <v/>
      </c>
      <c r="K1142" s="45" t="str">
        <f>IF(Table2[[#This Row],[Description]]="","",DATE(Table2[[#This Row],[Year]],Table2[[#This Row],[Month]],1))</f>
        <v/>
      </c>
    </row>
    <row r="1143" spans="7:11" x14ac:dyDescent="0.25">
      <c r="G1143" s="1" t="str">
        <f>IF(Table2[[#This Row],[Description]]="","",VLOOKUP(Table2[[#This Row],[Description]],$Q$1:$S$101,2,FALSE))</f>
        <v/>
      </c>
      <c r="H1143" s="1" t="str">
        <f>IF(Table2[[#This Row],[Description]]="","",VLOOKUP(Table2[[#This Row],[Description]],$Q$1:$S$101,3,FALSE))</f>
        <v/>
      </c>
      <c r="I1143" s="1" t="str">
        <f>IF(Table2[[#This Row],[Description]]="","",IF(Table2[[#This Row],[Currency]]=$O$2,$P$2,HLOOKUP(Table2[[#This Row],[Date]],Funds!$C$10:$GV$11,2,FALSE)))</f>
        <v/>
      </c>
      <c r="J1143" s="215" t="str">
        <f>IF(Table2[[#This Row],[Description]]="","",Table2[[#This Row],[Value]]/Table2[[#This Row],[Conversion]])</f>
        <v/>
      </c>
      <c r="K1143" s="45" t="str">
        <f>IF(Table2[[#This Row],[Description]]="","",DATE(Table2[[#This Row],[Year]],Table2[[#This Row],[Month]],1))</f>
        <v/>
      </c>
    </row>
    <row r="1144" spans="7:11" x14ac:dyDescent="0.25">
      <c r="G1144" s="1" t="str">
        <f>IF(Table2[[#This Row],[Description]]="","",VLOOKUP(Table2[[#This Row],[Description]],$Q$1:$S$101,2,FALSE))</f>
        <v/>
      </c>
      <c r="H1144" s="1" t="str">
        <f>IF(Table2[[#This Row],[Description]]="","",VLOOKUP(Table2[[#This Row],[Description]],$Q$1:$S$101,3,FALSE))</f>
        <v/>
      </c>
      <c r="I1144" s="1" t="str">
        <f>IF(Table2[[#This Row],[Description]]="","",IF(Table2[[#This Row],[Currency]]=$O$2,$P$2,HLOOKUP(Table2[[#This Row],[Date]],Funds!$C$10:$GV$11,2,FALSE)))</f>
        <v/>
      </c>
      <c r="J1144" s="215" t="str">
        <f>IF(Table2[[#This Row],[Description]]="","",Table2[[#This Row],[Value]]/Table2[[#This Row],[Conversion]])</f>
        <v/>
      </c>
      <c r="K1144" s="45" t="str">
        <f>IF(Table2[[#This Row],[Description]]="","",DATE(Table2[[#This Row],[Year]],Table2[[#This Row],[Month]],1))</f>
        <v/>
      </c>
    </row>
    <row r="1145" spans="7:11" x14ac:dyDescent="0.25">
      <c r="G1145" s="1" t="str">
        <f>IF(Table2[[#This Row],[Description]]="","",VLOOKUP(Table2[[#This Row],[Description]],$Q$1:$S$101,2,FALSE))</f>
        <v/>
      </c>
      <c r="H1145" s="1" t="str">
        <f>IF(Table2[[#This Row],[Description]]="","",VLOOKUP(Table2[[#This Row],[Description]],$Q$1:$S$101,3,FALSE))</f>
        <v/>
      </c>
      <c r="I1145" s="1" t="str">
        <f>IF(Table2[[#This Row],[Description]]="","",IF(Table2[[#This Row],[Currency]]=$O$2,$P$2,HLOOKUP(Table2[[#This Row],[Date]],Funds!$C$10:$GV$11,2,FALSE)))</f>
        <v/>
      </c>
      <c r="J1145" s="215" t="str">
        <f>IF(Table2[[#This Row],[Description]]="","",Table2[[#This Row],[Value]]/Table2[[#This Row],[Conversion]])</f>
        <v/>
      </c>
      <c r="K1145" s="45" t="str">
        <f>IF(Table2[[#This Row],[Description]]="","",DATE(Table2[[#This Row],[Year]],Table2[[#This Row],[Month]],1))</f>
        <v/>
      </c>
    </row>
    <row r="1146" spans="7:11" x14ac:dyDescent="0.25">
      <c r="G1146" s="1" t="str">
        <f>IF(Table2[[#This Row],[Description]]="","",VLOOKUP(Table2[[#This Row],[Description]],$Q$1:$S$101,2,FALSE))</f>
        <v/>
      </c>
      <c r="H1146" s="1" t="str">
        <f>IF(Table2[[#This Row],[Description]]="","",VLOOKUP(Table2[[#This Row],[Description]],$Q$1:$S$101,3,FALSE))</f>
        <v/>
      </c>
      <c r="I1146" s="1" t="str">
        <f>IF(Table2[[#This Row],[Description]]="","",IF(Table2[[#This Row],[Currency]]=$O$2,$P$2,HLOOKUP(Table2[[#This Row],[Date]],Funds!$C$10:$GV$11,2,FALSE)))</f>
        <v/>
      </c>
      <c r="J1146" s="215" t="str">
        <f>IF(Table2[[#This Row],[Description]]="","",Table2[[#This Row],[Value]]/Table2[[#This Row],[Conversion]])</f>
        <v/>
      </c>
      <c r="K1146" s="45" t="str">
        <f>IF(Table2[[#This Row],[Description]]="","",DATE(Table2[[#This Row],[Year]],Table2[[#This Row],[Month]],1))</f>
        <v/>
      </c>
    </row>
    <row r="1147" spans="7:11" x14ac:dyDescent="0.25">
      <c r="G1147" s="1" t="str">
        <f>IF(Table2[[#This Row],[Description]]="","",VLOOKUP(Table2[[#This Row],[Description]],$Q$1:$S$101,2,FALSE))</f>
        <v/>
      </c>
      <c r="H1147" s="1" t="str">
        <f>IF(Table2[[#This Row],[Description]]="","",VLOOKUP(Table2[[#This Row],[Description]],$Q$1:$S$101,3,FALSE))</f>
        <v/>
      </c>
      <c r="I1147" s="1" t="str">
        <f>IF(Table2[[#This Row],[Description]]="","",IF(Table2[[#This Row],[Currency]]=$O$2,$P$2,HLOOKUP(Table2[[#This Row],[Date]],Funds!$C$10:$GV$11,2,FALSE)))</f>
        <v/>
      </c>
      <c r="J1147" s="215" t="str">
        <f>IF(Table2[[#This Row],[Description]]="","",Table2[[#This Row],[Value]]/Table2[[#This Row],[Conversion]])</f>
        <v/>
      </c>
      <c r="K1147" s="45" t="str">
        <f>IF(Table2[[#This Row],[Description]]="","",DATE(Table2[[#This Row],[Year]],Table2[[#This Row],[Month]],1))</f>
        <v/>
      </c>
    </row>
    <row r="1148" spans="7:11" x14ac:dyDescent="0.25">
      <c r="G1148" s="1" t="str">
        <f>IF(Table2[[#This Row],[Description]]="","",VLOOKUP(Table2[[#This Row],[Description]],$Q$1:$S$101,2,FALSE))</f>
        <v/>
      </c>
      <c r="H1148" s="1" t="str">
        <f>IF(Table2[[#This Row],[Description]]="","",VLOOKUP(Table2[[#This Row],[Description]],$Q$1:$S$101,3,FALSE))</f>
        <v/>
      </c>
      <c r="I1148" s="1" t="str">
        <f>IF(Table2[[#This Row],[Description]]="","",IF(Table2[[#This Row],[Currency]]=$O$2,$P$2,HLOOKUP(Table2[[#This Row],[Date]],Funds!$C$10:$GV$11,2,FALSE)))</f>
        <v/>
      </c>
      <c r="J1148" s="215" t="str">
        <f>IF(Table2[[#This Row],[Description]]="","",Table2[[#This Row],[Value]]/Table2[[#This Row],[Conversion]])</f>
        <v/>
      </c>
      <c r="K1148" s="45" t="str">
        <f>IF(Table2[[#This Row],[Description]]="","",DATE(Table2[[#This Row],[Year]],Table2[[#This Row],[Month]],1))</f>
        <v/>
      </c>
    </row>
    <row r="1149" spans="7:11" x14ac:dyDescent="0.25">
      <c r="G1149" s="1" t="str">
        <f>IF(Table2[[#This Row],[Description]]="","",VLOOKUP(Table2[[#This Row],[Description]],$Q$1:$S$101,2,FALSE))</f>
        <v/>
      </c>
      <c r="H1149" s="1" t="str">
        <f>IF(Table2[[#This Row],[Description]]="","",VLOOKUP(Table2[[#This Row],[Description]],$Q$1:$S$101,3,FALSE))</f>
        <v/>
      </c>
      <c r="I1149" s="1" t="str">
        <f>IF(Table2[[#This Row],[Description]]="","",IF(Table2[[#This Row],[Currency]]=$O$2,$P$2,HLOOKUP(Table2[[#This Row],[Date]],Funds!$C$10:$GV$11,2,FALSE)))</f>
        <v/>
      </c>
      <c r="J1149" s="215" t="str">
        <f>IF(Table2[[#This Row],[Description]]="","",Table2[[#This Row],[Value]]/Table2[[#This Row],[Conversion]])</f>
        <v/>
      </c>
      <c r="K1149" s="45" t="str">
        <f>IF(Table2[[#This Row],[Description]]="","",DATE(Table2[[#This Row],[Year]],Table2[[#This Row],[Month]],1))</f>
        <v/>
      </c>
    </row>
    <row r="1150" spans="7:11" x14ac:dyDescent="0.25">
      <c r="G1150" s="1" t="str">
        <f>IF(Table2[[#This Row],[Description]]="","",VLOOKUP(Table2[[#This Row],[Description]],$Q$1:$S$101,2,FALSE))</f>
        <v/>
      </c>
      <c r="H1150" s="1" t="str">
        <f>IF(Table2[[#This Row],[Description]]="","",VLOOKUP(Table2[[#This Row],[Description]],$Q$1:$S$101,3,FALSE))</f>
        <v/>
      </c>
      <c r="I1150" s="1" t="str">
        <f>IF(Table2[[#This Row],[Description]]="","",IF(Table2[[#This Row],[Currency]]=$O$2,$P$2,HLOOKUP(Table2[[#This Row],[Date]],Funds!$C$10:$GV$11,2,FALSE)))</f>
        <v/>
      </c>
      <c r="J1150" s="215" t="str">
        <f>IF(Table2[[#This Row],[Description]]="","",Table2[[#This Row],[Value]]/Table2[[#This Row],[Conversion]])</f>
        <v/>
      </c>
      <c r="K1150" s="45" t="str">
        <f>IF(Table2[[#This Row],[Description]]="","",DATE(Table2[[#This Row],[Year]],Table2[[#This Row],[Month]],1))</f>
        <v/>
      </c>
    </row>
    <row r="1151" spans="7:11" x14ac:dyDescent="0.25">
      <c r="G1151" s="1" t="str">
        <f>IF(Table2[[#This Row],[Description]]="","",VLOOKUP(Table2[[#This Row],[Description]],$Q$1:$S$101,2,FALSE))</f>
        <v/>
      </c>
      <c r="H1151" s="1" t="str">
        <f>IF(Table2[[#This Row],[Description]]="","",VLOOKUP(Table2[[#This Row],[Description]],$Q$1:$S$101,3,FALSE))</f>
        <v/>
      </c>
      <c r="I1151" s="1" t="str">
        <f>IF(Table2[[#This Row],[Description]]="","",IF(Table2[[#This Row],[Currency]]=$O$2,$P$2,HLOOKUP(Table2[[#This Row],[Date]],Funds!$C$10:$GV$11,2,FALSE)))</f>
        <v/>
      </c>
      <c r="J1151" s="215" t="str">
        <f>IF(Table2[[#This Row],[Description]]="","",Table2[[#This Row],[Value]]/Table2[[#This Row],[Conversion]])</f>
        <v/>
      </c>
      <c r="K1151" s="45" t="str">
        <f>IF(Table2[[#This Row],[Description]]="","",DATE(Table2[[#This Row],[Year]],Table2[[#This Row],[Month]],1))</f>
        <v/>
      </c>
    </row>
    <row r="1152" spans="7:11" x14ac:dyDescent="0.25">
      <c r="G1152" s="1" t="str">
        <f>IF(Table2[[#This Row],[Description]]="","",VLOOKUP(Table2[[#This Row],[Description]],$Q$1:$S$101,2,FALSE))</f>
        <v/>
      </c>
      <c r="H1152" s="1" t="str">
        <f>IF(Table2[[#This Row],[Description]]="","",VLOOKUP(Table2[[#This Row],[Description]],$Q$1:$S$101,3,FALSE))</f>
        <v/>
      </c>
      <c r="I1152" s="1" t="str">
        <f>IF(Table2[[#This Row],[Description]]="","",IF(Table2[[#This Row],[Currency]]=$O$2,$P$2,HLOOKUP(Table2[[#This Row],[Date]],Funds!$C$10:$GV$11,2,FALSE)))</f>
        <v/>
      </c>
      <c r="J1152" s="215" t="str">
        <f>IF(Table2[[#This Row],[Description]]="","",Table2[[#This Row],[Value]]/Table2[[#This Row],[Conversion]])</f>
        <v/>
      </c>
      <c r="K1152" s="45" t="str">
        <f>IF(Table2[[#This Row],[Description]]="","",DATE(Table2[[#This Row],[Year]],Table2[[#This Row],[Month]],1))</f>
        <v/>
      </c>
    </row>
    <row r="1153" spans="7:11" x14ac:dyDescent="0.25">
      <c r="G1153" s="1" t="str">
        <f>IF(Table2[[#This Row],[Description]]="","",VLOOKUP(Table2[[#This Row],[Description]],$Q$1:$S$101,2,FALSE))</f>
        <v/>
      </c>
      <c r="H1153" s="1" t="str">
        <f>IF(Table2[[#This Row],[Description]]="","",VLOOKUP(Table2[[#This Row],[Description]],$Q$1:$S$101,3,FALSE))</f>
        <v/>
      </c>
      <c r="I1153" s="1" t="str">
        <f>IF(Table2[[#This Row],[Description]]="","",IF(Table2[[#This Row],[Currency]]=$O$2,$P$2,HLOOKUP(Table2[[#This Row],[Date]],Funds!$C$10:$GV$11,2,FALSE)))</f>
        <v/>
      </c>
      <c r="J1153" s="215" t="str">
        <f>IF(Table2[[#This Row],[Description]]="","",Table2[[#This Row],[Value]]/Table2[[#This Row],[Conversion]])</f>
        <v/>
      </c>
      <c r="K1153" s="45" t="str">
        <f>IF(Table2[[#This Row],[Description]]="","",DATE(Table2[[#This Row],[Year]],Table2[[#This Row],[Month]],1))</f>
        <v/>
      </c>
    </row>
    <row r="1154" spans="7:11" x14ac:dyDescent="0.25">
      <c r="G1154" s="1" t="str">
        <f>IF(Table2[[#This Row],[Description]]="","",VLOOKUP(Table2[[#This Row],[Description]],$Q$1:$S$101,2,FALSE))</f>
        <v/>
      </c>
      <c r="H1154" s="1" t="str">
        <f>IF(Table2[[#This Row],[Description]]="","",VLOOKUP(Table2[[#This Row],[Description]],$Q$1:$S$101,3,FALSE))</f>
        <v/>
      </c>
      <c r="I1154" s="1" t="str">
        <f>IF(Table2[[#This Row],[Description]]="","",IF(Table2[[#This Row],[Currency]]=$O$2,$P$2,HLOOKUP(Table2[[#This Row],[Date]],Funds!$C$10:$GV$11,2,FALSE)))</f>
        <v/>
      </c>
      <c r="J1154" s="215" t="str">
        <f>IF(Table2[[#This Row],[Description]]="","",Table2[[#This Row],[Value]]/Table2[[#This Row],[Conversion]])</f>
        <v/>
      </c>
      <c r="K1154" s="45" t="str">
        <f>IF(Table2[[#This Row],[Description]]="","",DATE(Table2[[#This Row],[Year]],Table2[[#This Row],[Month]],1))</f>
        <v/>
      </c>
    </row>
    <row r="1155" spans="7:11" x14ac:dyDescent="0.25">
      <c r="G1155" s="1" t="str">
        <f>IF(Table2[[#This Row],[Description]]="","",VLOOKUP(Table2[[#This Row],[Description]],$Q$1:$S$101,2,FALSE))</f>
        <v/>
      </c>
      <c r="H1155" s="1" t="str">
        <f>IF(Table2[[#This Row],[Description]]="","",VLOOKUP(Table2[[#This Row],[Description]],$Q$1:$S$101,3,FALSE))</f>
        <v/>
      </c>
      <c r="I1155" s="1" t="str">
        <f>IF(Table2[[#This Row],[Description]]="","",IF(Table2[[#This Row],[Currency]]=$O$2,$P$2,HLOOKUP(Table2[[#This Row],[Date]],Funds!$C$10:$GV$11,2,FALSE)))</f>
        <v/>
      </c>
      <c r="J1155" s="215" t="str">
        <f>IF(Table2[[#This Row],[Description]]="","",Table2[[#This Row],[Value]]/Table2[[#This Row],[Conversion]])</f>
        <v/>
      </c>
      <c r="K1155" s="45" t="str">
        <f>IF(Table2[[#This Row],[Description]]="","",DATE(Table2[[#This Row],[Year]],Table2[[#This Row],[Month]],1))</f>
        <v/>
      </c>
    </row>
    <row r="1156" spans="7:11" x14ac:dyDescent="0.25">
      <c r="G1156" s="1" t="str">
        <f>IF(Table2[[#This Row],[Description]]="","",VLOOKUP(Table2[[#This Row],[Description]],$Q$1:$S$101,2,FALSE))</f>
        <v/>
      </c>
      <c r="H1156" s="1" t="str">
        <f>IF(Table2[[#This Row],[Description]]="","",VLOOKUP(Table2[[#This Row],[Description]],$Q$1:$S$101,3,FALSE))</f>
        <v/>
      </c>
      <c r="I1156" s="1" t="str">
        <f>IF(Table2[[#This Row],[Description]]="","",IF(Table2[[#This Row],[Currency]]=$O$2,$P$2,HLOOKUP(Table2[[#This Row],[Date]],Funds!$C$10:$GV$11,2,FALSE)))</f>
        <v/>
      </c>
      <c r="J1156" s="215" t="str">
        <f>IF(Table2[[#This Row],[Description]]="","",Table2[[#This Row],[Value]]/Table2[[#This Row],[Conversion]])</f>
        <v/>
      </c>
      <c r="K1156" s="45" t="str">
        <f>IF(Table2[[#This Row],[Description]]="","",DATE(Table2[[#This Row],[Year]],Table2[[#This Row],[Month]],1))</f>
        <v/>
      </c>
    </row>
    <row r="1157" spans="7:11" x14ac:dyDescent="0.25">
      <c r="G1157" s="1" t="str">
        <f>IF(Table2[[#This Row],[Description]]="","",VLOOKUP(Table2[[#This Row],[Description]],$Q$1:$S$101,2,FALSE))</f>
        <v/>
      </c>
      <c r="H1157" s="1" t="str">
        <f>IF(Table2[[#This Row],[Description]]="","",VLOOKUP(Table2[[#This Row],[Description]],$Q$1:$S$101,3,FALSE))</f>
        <v/>
      </c>
      <c r="I1157" s="1" t="str">
        <f>IF(Table2[[#This Row],[Description]]="","",IF(Table2[[#This Row],[Currency]]=$O$2,$P$2,HLOOKUP(Table2[[#This Row],[Date]],Funds!$C$10:$GV$11,2,FALSE)))</f>
        <v/>
      </c>
      <c r="J1157" s="215" t="str">
        <f>IF(Table2[[#This Row],[Description]]="","",Table2[[#This Row],[Value]]/Table2[[#This Row],[Conversion]])</f>
        <v/>
      </c>
      <c r="K1157" s="45" t="str">
        <f>IF(Table2[[#This Row],[Description]]="","",DATE(Table2[[#This Row],[Year]],Table2[[#This Row],[Month]],1))</f>
        <v/>
      </c>
    </row>
    <row r="1158" spans="7:11" x14ac:dyDescent="0.25">
      <c r="G1158" s="1" t="str">
        <f>IF(Table2[[#This Row],[Description]]="","",VLOOKUP(Table2[[#This Row],[Description]],$Q$1:$S$101,2,FALSE))</f>
        <v/>
      </c>
      <c r="H1158" s="1" t="str">
        <f>IF(Table2[[#This Row],[Description]]="","",VLOOKUP(Table2[[#This Row],[Description]],$Q$1:$S$101,3,FALSE))</f>
        <v/>
      </c>
      <c r="I1158" s="1" t="str">
        <f>IF(Table2[[#This Row],[Description]]="","",IF(Table2[[#This Row],[Currency]]=$O$2,$P$2,HLOOKUP(Table2[[#This Row],[Date]],Funds!$C$10:$GV$11,2,FALSE)))</f>
        <v/>
      </c>
      <c r="J1158" s="215" t="str">
        <f>IF(Table2[[#This Row],[Description]]="","",Table2[[#This Row],[Value]]/Table2[[#This Row],[Conversion]])</f>
        <v/>
      </c>
      <c r="K1158" s="45" t="str">
        <f>IF(Table2[[#This Row],[Description]]="","",DATE(Table2[[#This Row],[Year]],Table2[[#This Row],[Month]],1))</f>
        <v/>
      </c>
    </row>
    <row r="1159" spans="7:11" x14ac:dyDescent="0.25">
      <c r="G1159" s="1" t="str">
        <f>IF(Table2[[#This Row],[Description]]="","",VLOOKUP(Table2[[#This Row],[Description]],$Q$1:$S$101,2,FALSE))</f>
        <v/>
      </c>
      <c r="H1159" s="1" t="str">
        <f>IF(Table2[[#This Row],[Description]]="","",VLOOKUP(Table2[[#This Row],[Description]],$Q$1:$S$101,3,FALSE))</f>
        <v/>
      </c>
      <c r="I1159" s="1" t="str">
        <f>IF(Table2[[#This Row],[Description]]="","",IF(Table2[[#This Row],[Currency]]=$O$2,$P$2,HLOOKUP(Table2[[#This Row],[Date]],Funds!$C$10:$GV$11,2,FALSE)))</f>
        <v/>
      </c>
      <c r="J1159" s="215" t="str">
        <f>IF(Table2[[#This Row],[Description]]="","",Table2[[#This Row],[Value]]/Table2[[#This Row],[Conversion]])</f>
        <v/>
      </c>
      <c r="K1159" s="45" t="str">
        <f>IF(Table2[[#This Row],[Description]]="","",DATE(Table2[[#This Row],[Year]],Table2[[#This Row],[Month]],1))</f>
        <v/>
      </c>
    </row>
    <row r="1160" spans="7:11" x14ac:dyDescent="0.25">
      <c r="G1160" s="1" t="str">
        <f>IF(Table2[[#This Row],[Description]]="","",VLOOKUP(Table2[[#This Row],[Description]],$Q$1:$S$101,2,FALSE))</f>
        <v/>
      </c>
      <c r="H1160" s="1" t="str">
        <f>IF(Table2[[#This Row],[Description]]="","",VLOOKUP(Table2[[#This Row],[Description]],$Q$1:$S$101,3,FALSE))</f>
        <v/>
      </c>
      <c r="I1160" s="1" t="str">
        <f>IF(Table2[[#This Row],[Description]]="","",IF(Table2[[#This Row],[Currency]]=$O$2,$P$2,HLOOKUP(Table2[[#This Row],[Date]],Funds!$C$10:$GV$11,2,FALSE)))</f>
        <v/>
      </c>
      <c r="J1160" s="215" t="str">
        <f>IF(Table2[[#This Row],[Description]]="","",Table2[[#This Row],[Value]]/Table2[[#This Row],[Conversion]])</f>
        <v/>
      </c>
      <c r="K1160" s="45" t="str">
        <f>IF(Table2[[#This Row],[Description]]="","",DATE(Table2[[#This Row],[Year]],Table2[[#This Row],[Month]],1))</f>
        <v/>
      </c>
    </row>
    <row r="1161" spans="7:11" x14ac:dyDescent="0.25">
      <c r="G1161" s="1" t="str">
        <f>IF(Table2[[#This Row],[Description]]="","",VLOOKUP(Table2[[#This Row],[Description]],$Q$1:$S$101,2,FALSE))</f>
        <v/>
      </c>
      <c r="H1161" s="1" t="str">
        <f>IF(Table2[[#This Row],[Description]]="","",VLOOKUP(Table2[[#This Row],[Description]],$Q$1:$S$101,3,FALSE))</f>
        <v/>
      </c>
      <c r="I1161" s="1" t="str">
        <f>IF(Table2[[#This Row],[Description]]="","",IF(Table2[[#This Row],[Currency]]=$O$2,$P$2,HLOOKUP(Table2[[#This Row],[Date]],Funds!$C$10:$GV$11,2,FALSE)))</f>
        <v/>
      </c>
      <c r="J1161" s="215" t="str">
        <f>IF(Table2[[#This Row],[Description]]="","",Table2[[#This Row],[Value]]/Table2[[#This Row],[Conversion]])</f>
        <v/>
      </c>
      <c r="K1161" s="45" t="str">
        <f>IF(Table2[[#This Row],[Description]]="","",DATE(Table2[[#This Row],[Year]],Table2[[#This Row],[Month]],1))</f>
        <v/>
      </c>
    </row>
    <row r="1162" spans="7:11" x14ac:dyDescent="0.25">
      <c r="G1162" s="1" t="str">
        <f>IF(Table2[[#This Row],[Description]]="","",VLOOKUP(Table2[[#This Row],[Description]],$Q$1:$S$101,2,FALSE))</f>
        <v/>
      </c>
      <c r="H1162" s="1" t="str">
        <f>IF(Table2[[#This Row],[Description]]="","",VLOOKUP(Table2[[#This Row],[Description]],$Q$1:$S$101,3,FALSE))</f>
        <v/>
      </c>
      <c r="I1162" s="1" t="str">
        <f>IF(Table2[[#This Row],[Description]]="","",IF(Table2[[#This Row],[Currency]]=$O$2,$P$2,HLOOKUP(Table2[[#This Row],[Date]],Funds!$C$10:$GV$11,2,FALSE)))</f>
        <v/>
      </c>
      <c r="J1162" s="215" t="str">
        <f>IF(Table2[[#This Row],[Description]]="","",Table2[[#This Row],[Value]]/Table2[[#This Row],[Conversion]])</f>
        <v/>
      </c>
      <c r="K1162" s="45" t="str">
        <f>IF(Table2[[#This Row],[Description]]="","",DATE(Table2[[#This Row],[Year]],Table2[[#This Row],[Month]],1))</f>
        <v/>
      </c>
    </row>
    <row r="1163" spans="7:11" x14ac:dyDescent="0.25">
      <c r="G1163" s="1" t="str">
        <f>IF(Table2[[#This Row],[Description]]="","",VLOOKUP(Table2[[#This Row],[Description]],$Q$1:$S$101,2,FALSE))</f>
        <v/>
      </c>
      <c r="H1163" s="1" t="str">
        <f>IF(Table2[[#This Row],[Description]]="","",VLOOKUP(Table2[[#This Row],[Description]],$Q$1:$S$101,3,FALSE))</f>
        <v/>
      </c>
      <c r="I1163" s="1" t="str">
        <f>IF(Table2[[#This Row],[Description]]="","",IF(Table2[[#This Row],[Currency]]=$O$2,$P$2,HLOOKUP(Table2[[#This Row],[Date]],Funds!$C$10:$GV$11,2,FALSE)))</f>
        <v/>
      </c>
      <c r="J1163" s="215" t="str">
        <f>IF(Table2[[#This Row],[Description]]="","",Table2[[#This Row],[Value]]/Table2[[#This Row],[Conversion]])</f>
        <v/>
      </c>
      <c r="K1163" s="45" t="str">
        <f>IF(Table2[[#This Row],[Description]]="","",DATE(Table2[[#This Row],[Year]],Table2[[#This Row],[Month]],1))</f>
        <v/>
      </c>
    </row>
    <row r="1164" spans="7:11" x14ac:dyDescent="0.25">
      <c r="G1164" s="1" t="str">
        <f>IF(Table2[[#This Row],[Description]]="","",VLOOKUP(Table2[[#This Row],[Description]],$Q$1:$S$101,2,FALSE))</f>
        <v/>
      </c>
      <c r="H1164" s="1" t="str">
        <f>IF(Table2[[#This Row],[Description]]="","",VLOOKUP(Table2[[#This Row],[Description]],$Q$1:$S$101,3,FALSE))</f>
        <v/>
      </c>
      <c r="I1164" s="1" t="str">
        <f>IF(Table2[[#This Row],[Description]]="","",IF(Table2[[#This Row],[Currency]]=$O$2,$P$2,HLOOKUP(Table2[[#This Row],[Date]],Funds!$C$10:$GV$11,2,FALSE)))</f>
        <v/>
      </c>
      <c r="J1164" s="215" t="str">
        <f>IF(Table2[[#This Row],[Description]]="","",Table2[[#This Row],[Value]]/Table2[[#This Row],[Conversion]])</f>
        <v/>
      </c>
      <c r="K1164" s="45" t="str">
        <f>IF(Table2[[#This Row],[Description]]="","",DATE(Table2[[#This Row],[Year]],Table2[[#This Row],[Month]],1))</f>
        <v/>
      </c>
    </row>
    <row r="1165" spans="7:11" x14ac:dyDescent="0.25">
      <c r="G1165" s="1" t="str">
        <f>IF(Table2[[#This Row],[Description]]="","",VLOOKUP(Table2[[#This Row],[Description]],$Q$1:$S$101,2,FALSE))</f>
        <v/>
      </c>
      <c r="H1165" s="1" t="str">
        <f>IF(Table2[[#This Row],[Description]]="","",VLOOKUP(Table2[[#This Row],[Description]],$Q$1:$S$101,3,FALSE))</f>
        <v/>
      </c>
      <c r="I1165" s="1" t="str">
        <f>IF(Table2[[#This Row],[Description]]="","",IF(Table2[[#This Row],[Currency]]=$O$2,$P$2,HLOOKUP(Table2[[#This Row],[Date]],Funds!$C$10:$GV$11,2,FALSE)))</f>
        <v/>
      </c>
      <c r="J1165" s="215" t="str">
        <f>IF(Table2[[#This Row],[Description]]="","",Table2[[#This Row],[Value]]/Table2[[#This Row],[Conversion]])</f>
        <v/>
      </c>
      <c r="K1165" s="45" t="str">
        <f>IF(Table2[[#This Row],[Description]]="","",DATE(Table2[[#This Row],[Year]],Table2[[#This Row],[Month]],1))</f>
        <v/>
      </c>
    </row>
    <row r="1166" spans="7:11" x14ac:dyDescent="0.25">
      <c r="G1166" s="1" t="str">
        <f>IF(Table2[[#This Row],[Description]]="","",VLOOKUP(Table2[[#This Row],[Description]],$Q$1:$S$101,2,FALSE))</f>
        <v/>
      </c>
      <c r="H1166" s="1" t="str">
        <f>IF(Table2[[#This Row],[Description]]="","",VLOOKUP(Table2[[#This Row],[Description]],$Q$1:$S$101,3,FALSE))</f>
        <v/>
      </c>
      <c r="I1166" s="1" t="str">
        <f>IF(Table2[[#This Row],[Description]]="","",IF(Table2[[#This Row],[Currency]]=$O$2,$P$2,HLOOKUP(Table2[[#This Row],[Date]],Funds!$C$10:$GV$11,2,FALSE)))</f>
        <v/>
      </c>
      <c r="J1166" s="215" t="str">
        <f>IF(Table2[[#This Row],[Description]]="","",Table2[[#This Row],[Value]]/Table2[[#This Row],[Conversion]])</f>
        <v/>
      </c>
      <c r="K1166" s="45" t="str">
        <f>IF(Table2[[#This Row],[Description]]="","",DATE(Table2[[#This Row],[Year]],Table2[[#This Row],[Month]],1))</f>
        <v/>
      </c>
    </row>
    <row r="1167" spans="7:11" x14ac:dyDescent="0.25">
      <c r="G1167" s="1" t="str">
        <f>IF(Table2[[#This Row],[Description]]="","",VLOOKUP(Table2[[#This Row],[Description]],$Q$1:$S$101,2,FALSE))</f>
        <v/>
      </c>
      <c r="H1167" s="1" t="str">
        <f>IF(Table2[[#This Row],[Description]]="","",VLOOKUP(Table2[[#This Row],[Description]],$Q$1:$S$101,3,FALSE))</f>
        <v/>
      </c>
      <c r="I1167" s="1" t="str">
        <f>IF(Table2[[#This Row],[Description]]="","",IF(Table2[[#This Row],[Currency]]=$O$2,$P$2,HLOOKUP(Table2[[#This Row],[Date]],Funds!$C$10:$GV$11,2,FALSE)))</f>
        <v/>
      </c>
      <c r="J1167" s="215" t="str">
        <f>IF(Table2[[#This Row],[Description]]="","",Table2[[#This Row],[Value]]/Table2[[#This Row],[Conversion]])</f>
        <v/>
      </c>
      <c r="K1167" s="45" t="str">
        <f>IF(Table2[[#This Row],[Description]]="","",DATE(Table2[[#This Row],[Year]],Table2[[#This Row],[Month]],1))</f>
        <v/>
      </c>
    </row>
    <row r="1168" spans="7:11" x14ac:dyDescent="0.25">
      <c r="G1168" s="1" t="str">
        <f>IF(Table2[[#This Row],[Description]]="","",VLOOKUP(Table2[[#This Row],[Description]],$Q$1:$S$101,2,FALSE))</f>
        <v/>
      </c>
      <c r="H1168" s="1" t="str">
        <f>IF(Table2[[#This Row],[Description]]="","",VLOOKUP(Table2[[#This Row],[Description]],$Q$1:$S$101,3,FALSE))</f>
        <v/>
      </c>
      <c r="I1168" s="1" t="str">
        <f>IF(Table2[[#This Row],[Description]]="","",IF(Table2[[#This Row],[Currency]]=$O$2,$P$2,HLOOKUP(Table2[[#This Row],[Date]],Funds!$C$10:$GV$11,2,FALSE)))</f>
        <v/>
      </c>
      <c r="J1168" s="215" t="str">
        <f>IF(Table2[[#This Row],[Description]]="","",Table2[[#This Row],[Value]]/Table2[[#This Row],[Conversion]])</f>
        <v/>
      </c>
      <c r="K1168" s="45" t="str">
        <f>IF(Table2[[#This Row],[Description]]="","",DATE(Table2[[#This Row],[Year]],Table2[[#This Row],[Month]],1))</f>
        <v/>
      </c>
    </row>
    <row r="1169" spans="7:11" x14ac:dyDescent="0.25">
      <c r="G1169" s="1" t="str">
        <f>IF(Table2[[#This Row],[Description]]="","",VLOOKUP(Table2[[#This Row],[Description]],$Q$1:$S$101,2,FALSE))</f>
        <v/>
      </c>
      <c r="H1169" s="1" t="str">
        <f>IF(Table2[[#This Row],[Description]]="","",VLOOKUP(Table2[[#This Row],[Description]],$Q$1:$S$101,3,FALSE))</f>
        <v/>
      </c>
      <c r="I1169" s="1" t="str">
        <f>IF(Table2[[#This Row],[Description]]="","",IF(Table2[[#This Row],[Currency]]=$O$2,$P$2,HLOOKUP(Table2[[#This Row],[Date]],Funds!$C$10:$GV$11,2,FALSE)))</f>
        <v/>
      </c>
      <c r="J1169" s="215" t="str">
        <f>IF(Table2[[#This Row],[Description]]="","",Table2[[#This Row],[Value]]/Table2[[#This Row],[Conversion]])</f>
        <v/>
      </c>
      <c r="K1169" s="45" t="str">
        <f>IF(Table2[[#This Row],[Description]]="","",DATE(Table2[[#This Row],[Year]],Table2[[#This Row],[Month]],1))</f>
        <v/>
      </c>
    </row>
    <row r="1170" spans="7:11" x14ac:dyDescent="0.25">
      <c r="G1170" s="1" t="str">
        <f>IF(Table2[[#This Row],[Description]]="","",VLOOKUP(Table2[[#This Row],[Description]],$Q$1:$S$101,2,FALSE))</f>
        <v/>
      </c>
      <c r="H1170" s="1" t="str">
        <f>IF(Table2[[#This Row],[Description]]="","",VLOOKUP(Table2[[#This Row],[Description]],$Q$1:$S$101,3,FALSE))</f>
        <v/>
      </c>
      <c r="I1170" s="1" t="str">
        <f>IF(Table2[[#This Row],[Description]]="","",IF(Table2[[#This Row],[Currency]]=$O$2,$P$2,HLOOKUP(Table2[[#This Row],[Date]],Funds!$C$10:$GV$11,2,FALSE)))</f>
        <v/>
      </c>
      <c r="J1170" s="215" t="str">
        <f>IF(Table2[[#This Row],[Description]]="","",Table2[[#This Row],[Value]]/Table2[[#This Row],[Conversion]])</f>
        <v/>
      </c>
      <c r="K1170" s="45" t="str">
        <f>IF(Table2[[#This Row],[Description]]="","",DATE(Table2[[#This Row],[Year]],Table2[[#This Row],[Month]],1))</f>
        <v/>
      </c>
    </row>
    <row r="1171" spans="7:11" x14ac:dyDescent="0.25">
      <c r="G1171" s="1" t="str">
        <f>IF(Table2[[#This Row],[Description]]="","",VLOOKUP(Table2[[#This Row],[Description]],$Q$1:$S$101,2,FALSE))</f>
        <v/>
      </c>
      <c r="H1171" s="1" t="str">
        <f>IF(Table2[[#This Row],[Description]]="","",VLOOKUP(Table2[[#This Row],[Description]],$Q$1:$S$101,3,FALSE))</f>
        <v/>
      </c>
      <c r="I1171" s="1" t="str">
        <f>IF(Table2[[#This Row],[Description]]="","",IF(Table2[[#This Row],[Currency]]=$O$2,$P$2,HLOOKUP(Table2[[#This Row],[Date]],Funds!$C$10:$GV$11,2,FALSE)))</f>
        <v/>
      </c>
      <c r="J1171" s="215" t="str">
        <f>IF(Table2[[#This Row],[Description]]="","",Table2[[#This Row],[Value]]/Table2[[#This Row],[Conversion]])</f>
        <v/>
      </c>
      <c r="K1171" s="45" t="str">
        <f>IF(Table2[[#This Row],[Description]]="","",DATE(Table2[[#This Row],[Year]],Table2[[#This Row],[Month]],1))</f>
        <v/>
      </c>
    </row>
    <row r="1172" spans="7:11" x14ac:dyDescent="0.25">
      <c r="G1172" s="1" t="str">
        <f>IF(Table2[[#This Row],[Description]]="","",VLOOKUP(Table2[[#This Row],[Description]],$Q$1:$S$101,2,FALSE))</f>
        <v/>
      </c>
      <c r="H1172" s="1" t="str">
        <f>IF(Table2[[#This Row],[Description]]="","",VLOOKUP(Table2[[#This Row],[Description]],$Q$1:$S$101,3,FALSE))</f>
        <v/>
      </c>
      <c r="I1172" s="1" t="str">
        <f>IF(Table2[[#This Row],[Description]]="","",IF(Table2[[#This Row],[Currency]]=$O$2,$P$2,HLOOKUP(Table2[[#This Row],[Date]],Funds!$C$10:$GV$11,2,FALSE)))</f>
        <v/>
      </c>
      <c r="J1172" s="215" t="str">
        <f>IF(Table2[[#This Row],[Description]]="","",Table2[[#This Row],[Value]]/Table2[[#This Row],[Conversion]])</f>
        <v/>
      </c>
      <c r="K1172" s="45" t="str">
        <f>IF(Table2[[#This Row],[Description]]="","",DATE(Table2[[#This Row],[Year]],Table2[[#This Row],[Month]],1))</f>
        <v/>
      </c>
    </row>
    <row r="1173" spans="7:11" x14ac:dyDescent="0.25">
      <c r="G1173" s="1" t="str">
        <f>IF(Table2[[#This Row],[Description]]="","",VLOOKUP(Table2[[#This Row],[Description]],$Q$1:$S$101,2,FALSE))</f>
        <v/>
      </c>
      <c r="H1173" s="1" t="str">
        <f>IF(Table2[[#This Row],[Description]]="","",VLOOKUP(Table2[[#This Row],[Description]],$Q$1:$S$101,3,FALSE))</f>
        <v/>
      </c>
      <c r="I1173" s="1" t="str">
        <f>IF(Table2[[#This Row],[Description]]="","",IF(Table2[[#This Row],[Currency]]=$O$2,$P$2,HLOOKUP(Table2[[#This Row],[Date]],Funds!$C$10:$GV$11,2,FALSE)))</f>
        <v/>
      </c>
      <c r="J1173" s="215" t="str">
        <f>IF(Table2[[#This Row],[Description]]="","",Table2[[#This Row],[Value]]/Table2[[#This Row],[Conversion]])</f>
        <v/>
      </c>
      <c r="K1173" s="45" t="str">
        <f>IF(Table2[[#This Row],[Description]]="","",DATE(Table2[[#This Row],[Year]],Table2[[#This Row],[Month]],1))</f>
        <v/>
      </c>
    </row>
    <row r="1174" spans="7:11" x14ac:dyDescent="0.25">
      <c r="G1174" s="1" t="str">
        <f>IF(Table2[[#This Row],[Description]]="","",VLOOKUP(Table2[[#This Row],[Description]],$Q$1:$S$101,2,FALSE))</f>
        <v/>
      </c>
      <c r="H1174" s="1" t="str">
        <f>IF(Table2[[#This Row],[Description]]="","",VLOOKUP(Table2[[#This Row],[Description]],$Q$1:$S$101,3,FALSE))</f>
        <v/>
      </c>
      <c r="I1174" s="1" t="str">
        <f>IF(Table2[[#This Row],[Description]]="","",IF(Table2[[#This Row],[Currency]]=$O$2,$P$2,HLOOKUP(Table2[[#This Row],[Date]],Funds!$C$10:$GV$11,2,FALSE)))</f>
        <v/>
      </c>
      <c r="J1174" s="215" t="str">
        <f>IF(Table2[[#This Row],[Description]]="","",Table2[[#This Row],[Value]]/Table2[[#This Row],[Conversion]])</f>
        <v/>
      </c>
      <c r="K1174" s="45" t="str">
        <f>IF(Table2[[#This Row],[Description]]="","",DATE(Table2[[#This Row],[Year]],Table2[[#This Row],[Month]],1))</f>
        <v/>
      </c>
    </row>
    <row r="1175" spans="7:11" x14ac:dyDescent="0.25">
      <c r="G1175" s="1" t="str">
        <f>IF(Table2[[#This Row],[Description]]="","",VLOOKUP(Table2[[#This Row],[Description]],$Q$1:$S$101,2,FALSE))</f>
        <v/>
      </c>
      <c r="H1175" s="1" t="str">
        <f>IF(Table2[[#This Row],[Description]]="","",VLOOKUP(Table2[[#This Row],[Description]],$Q$1:$S$101,3,FALSE))</f>
        <v/>
      </c>
      <c r="I1175" s="1" t="str">
        <f>IF(Table2[[#This Row],[Description]]="","",IF(Table2[[#This Row],[Currency]]=$O$2,$P$2,HLOOKUP(Table2[[#This Row],[Date]],Funds!$C$10:$GV$11,2,FALSE)))</f>
        <v/>
      </c>
      <c r="J1175" s="215" t="str">
        <f>IF(Table2[[#This Row],[Description]]="","",Table2[[#This Row],[Value]]/Table2[[#This Row],[Conversion]])</f>
        <v/>
      </c>
      <c r="K1175" s="45" t="str">
        <f>IF(Table2[[#This Row],[Description]]="","",DATE(Table2[[#This Row],[Year]],Table2[[#This Row],[Month]],1))</f>
        <v/>
      </c>
    </row>
    <row r="1176" spans="7:11" x14ac:dyDescent="0.25">
      <c r="G1176" s="1" t="str">
        <f>IF(Table2[[#This Row],[Description]]="","",VLOOKUP(Table2[[#This Row],[Description]],$Q$1:$S$101,2,FALSE))</f>
        <v/>
      </c>
      <c r="H1176" s="1" t="str">
        <f>IF(Table2[[#This Row],[Description]]="","",VLOOKUP(Table2[[#This Row],[Description]],$Q$1:$S$101,3,FALSE))</f>
        <v/>
      </c>
      <c r="I1176" s="1" t="str">
        <f>IF(Table2[[#This Row],[Description]]="","",IF(Table2[[#This Row],[Currency]]=$O$2,$P$2,HLOOKUP(Table2[[#This Row],[Date]],Funds!$C$10:$GV$11,2,FALSE)))</f>
        <v/>
      </c>
      <c r="J1176" s="215" t="str">
        <f>IF(Table2[[#This Row],[Description]]="","",Table2[[#This Row],[Value]]/Table2[[#This Row],[Conversion]])</f>
        <v/>
      </c>
      <c r="K1176" s="45" t="str">
        <f>IF(Table2[[#This Row],[Description]]="","",DATE(Table2[[#This Row],[Year]],Table2[[#This Row],[Month]],1))</f>
        <v/>
      </c>
    </row>
    <row r="1177" spans="7:11" x14ac:dyDescent="0.25">
      <c r="G1177" s="1" t="str">
        <f>IF(Table2[[#This Row],[Description]]="","",VLOOKUP(Table2[[#This Row],[Description]],$Q$1:$S$101,2,FALSE))</f>
        <v/>
      </c>
      <c r="H1177" s="1" t="str">
        <f>IF(Table2[[#This Row],[Description]]="","",VLOOKUP(Table2[[#This Row],[Description]],$Q$1:$S$101,3,FALSE))</f>
        <v/>
      </c>
      <c r="I1177" s="1" t="str">
        <f>IF(Table2[[#This Row],[Description]]="","",IF(Table2[[#This Row],[Currency]]=$O$2,$P$2,HLOOKUP(Table2[[#This Row],[Date]],Funds!$C$10:$GV$11,2,FALSE)))</f>
        <v/>
      </c>
      <c r="J1177" s="215" t="str">
        <f>IF(Table2[[#This Row],[Description]]="","",Table2[[#This Row],[Value]]/Table2[[#This Row],[Conversion]])</f>
        <v/>
      </c>
      <c r="K1177" s="45" t="str">
        <f>IF(Table2[[#This Row],[Description]]="","",DATE(Table2[[#This Row],[Year]],Table2[[#This Row],[Month]],1))</f>
        <v/>
      </c>
    </row>
    <row r="1178" spans="7:11" x14ac:dyDescent="0.25">
      <c r="G1178" s="1" t="str">
        <f>IF(Table2[[#This Row],[Description]]="","",VLOOKUP(Table2[[#This Row],[Description]],$Q$1:$S$101,2,FALSE))</f>
        <v/>
      </c>
      <c r="H1178" s="1" t="str">
        <f>IF(Table2[[#This Row],[Description]]="","",VLOOKUP(Table2[[#This Row],[Description]],$Q$1:$S$101,3,FALSE))</f>
        <v/>
      </c>
      <c r="I1178" s="1" t="str">
        <f>IF(Table2[[#This Row],[Description]]="","",IF(Table2[[#This Row],[Currency]]=$O$2,$P$2,HLOOKUP(Table2[[#This Row],[Date]],Funds!$C$10:$GV$11,2,FALSE)))</f>
        <v/>
      </c>
      <c r="J1178" s="215" t="str">
        <f>IF(Table2[[#This Row],[Description]]="","",Table2[[#This Row],[Value]]/Table2[[#This Row],[Conversion]])</f>
        <v/>
      </c>
      <c r="K1178" s="45" t="str">
        <f>IF(Table2[[#This Row],[Description]]="","",DATE(Table2[[#This Row],[Year]],Table2[[#This Row],[Month]],1))</f>
        <v/>
      </c>
    </row>
    <row r="1179" spans="7:11" x14ac:dyDescent="0.25">
      <c r="G1179" s="1" t="str">
        <f>IF(Table2[[#This Row],[Description]]="","",VLOOKUP(Table2[[#This Row],[Description]],$Q$1:$S$101,2,FALSE))</f>
        <v/>
      </c>
      <c r="H1179" s="1" t="str">
        <f>IF(Table2[[#This Row],[Description]]="","",VLOOKUP(Table2[[#This Row],[Description]],$Q$1:$S$101,3,FALSE))</f>
        <v/>
      </c>
      <c r="I1179" s="1" t="str">
        <f>IF(Table2[[#This Row],[Description]]="","",IF(Table2[[#This Row],[Currency]]=$O$2,$P$2,HLOOKUP(Table2[[#This Row],[Date]],Funds!$C$10:$GV$11,2,FALSE)))</f>
        <v/>
      </c>
      <c r="J1179" s="215" t="str">
        <f>IF(Table2[[#This Row],[Description]]="","",Table2[[#This Row],[Value]]/Table2[[#This Row],[Conversion]])</f>
        <v/>
      </c>
      <c r="K1179" s="45" t="str">
        <f>IF(Table2[[#This Row],[Description]]="","",DATE(Table2[[#This Row],[Year]],Table2[[#This Row],[Month]],1))</f>
        <v/>
      </c>
    </row>
    <row r="1180" spans="7:11" x14ac:dyDescent="0.25">
      <c r="G1180" s="1" t="str">
        <f>IF(Table2[[#This Row],[Description]]="","",VLOOKUP(Table2[[#This Row],[Description]],$Q$1:$S$101,2,FALSE))</f>
        <v/>
      </c>
      <c r="H1180" s="1" t="str">
        <f>IF(Table2[[#This Row],[Description]]="","",VLOOKUP(Table2[[#This Row],[Description]],$Q$1:$S$101,3,FALSE))</f>
        <v/>
      </c>
      <c r="I1180" s="1" t="str">
        <f>IF(Table2[[#This Row],[Description]]="","",IF(Table2[[#This Row],[Currency]]=$O$2,$P$2,HLOOKUP(Table2[[#This Row],[Date]],Funds!$C$10:$GV$11,2,FALSE)))</f>
        <v/>
      </c>
      <c r="J1180" s="215" t="str">
        <f>IF(Table2[[#This Row],[Description]]="","",Table2[[#This Row],[Value]]/Table2[[#This Row],[Conversion]])</f>
        <v/>
      </c>
      <c r="K1180" s="45" t="str">
        <f>IF(Table2[[#This Row],[Description]]="","",DATE(Table2[[#This Row],[Year]],Table2[[#This Row],[Month]],1))</f>
        <v/>
      </c>
    </row>
    <row r="1181" spans="7:11" x14ac:dyDescent="0.25">
      <c r="G1181" s="1" t="str">
        <f>IF(Table2[[#This Row],[Description]]="","",VLOOKUP(Table2[[#This Row],[Description]],$Q$1:$S$101,2,FALSE))</f>
        <v/>
      </c>
      <c r="H1181" s="1" t="str">
        <f>IF(Table2[[#This Row],[Description]]="","",VLOOKUP(Table2[[#This Row],[Description]],$Q$1:$S$101,3,FALSE))</f>
        <v/>
      </c>
      <c r="I1181" s="1" t="str">
        <f>IF(Table2[[#This Row],[Description]]="","",IF(Table2[[#This Row],[Currency]]=$O$2,$P$2,HLOOKUP(Table2[[#This Row],[Date]],Funds!$C$10:$GV$11,2,FALSE)))</f>
        <v/>
      </c>
      <c r="J1181" s="215" t="str">
        <f>IF(Table2[[#This Row],[Description]]="","",Table2[[#This Row],[Value]]/Table2[[#This Row],[Conversion]])</f>
        <v/>
      </c>
      <c r="K1181" s="45" t="str">
        <f>IF(Table2[[#This Row],[Description]]="","",DATE(Table2[[#This Row],[Year]],Table2[[#This Row],[Month]],1))</f>
        <v/>
      </c>
    </row>
    <row r="1182" spans="7:11" x14ac:dyDescent="0.25">
      <c r="G1182" s="1" t="str">
        <f>IF(Table2[[#This Row],[Description]]="","",VLOOKUP(Table2[[#This Row],[Description]],$Q$1:$S$101,2,FALSE))</f>
        <v/>
      </c>
      <c r="H1182" s="1" t="str">
        <f>IF(Table2[[#This Row],[Description]]="","",VLOOKUP(Table2[[#This Row],[Description]],$Q$1:$S$101,3,FALSE))</f>
        <v/>
      </c>
      <c r="I1182" s="1" t="str">
        <f>IF(Table2[[#This Row],[Description]]="","",IF(Table2[[#This Row],[Currency]]=$O$2,$P$2,HLOOKUP(Table2[[#This Row],[Date]],Funds!$C$10:$GV$11,2,FALSE)))</f>
        <v/>
      </c>
      <c r="J1182" s="215" t="str">
        <f>IF(Table2[[#This Row],[Description]]="","",Table2[[#This Row],[Value]]/Table2[[#This Row],[Conversion]])</f>
        <v/>
      </c>
      <c r="K1182" s="45" t="str">
        <f>IF(Table2[[#This Row],[Description]]="","",DATE(Table2[[#This Row],[Year]],Table2[[#This Row],[Month]],1))</f>
        <v/>
      </c>
    </row>
    <row r="1183" spans="7:11" x14ac:dyDescent="0.25">
      <c r="G1183" s="1" t="str">
        <f>IF(Table2[[#This Row],[Description]]="","",VLOOKUP(Table2[[#This Row],[Description]],$Q$1:$S$101,2,FALSE))</f>
        <v/>
      </c>
      <c r="H1183" s="1" t="str">
        <f>IF(Table2[[#This Row],[Description]]="","",VLOOKUP(Table2[[#This Row],[Description]],$Q$1:$S$101,3,FALSE))</f>
        <v/>
      </c>
      <c r="I1183" s="1" t="str">
        <f>IF(Table2[[#This Row],[Description]]="","",IF(Table2[[#This Row],[Currency]]=$O$2,$P$2,HLOOKUP(Table2[[#This Row],[Date]],Funds!$C$10:$GV$11,2,FALSE)))</f>
        <v/>
      </c>
      <c r="J1183" s="215" t="str">
        <f>IF(Table2[[#This Row],[Description]]="","",Table2[[#This Row],[Value]]/Table2[[#This Row],[Conversion]])</f>
        <v/>
      </c>
      <c r="K1183" s="45" t="str">
        <f>IF(Table2[[#This Row],[Description]]="","",DATE(Table2[[#This Row],[Year]],Table2[[#This Row],[Month]],1))</f>
        <v/>
      </c>
    </row>
    <row r="1184" spans="7:11" x14ac:dyDescent="0.25">
      <c r="G1184" s="1" t="str">
        <f>IF(Table2[[#This Row],[Description]]="","",VLOOKUP(Table2[[#This Row],[Description]],$Q$1:$S$101,2,FALSE))</f>
        <v/>
      </c>
      <c r="H1184" s="1" t="str">
        <f>IF(Table2[[#This Row],[Description]]="","",VLOOKUP(Table2[[#This Row],[Description]],$Q$1:$S$101,3,FALSE))</f>
        <v/>
      </c>
      <c r="I1184" s="1" t="str">
        <f>IF(Table2[[#This Row],[Description]]="","",IF(Table2[[#This Row],[Currency]]=$O$2,$P$2,HLOOKUP(Table2[[#This Row],[Date]],Funds!$C$10:$GV$11,2,FALSE)))</f>
        <v/>
      </c>
      <c r="J1184" s="215" t="str">
        <f>IF(Table2[[#This Row],[Description]]="","",Table2[[#This Row],[Value]]/Table2[[#This Row],[Conversion]])</f>
        <v/>
      </c>
      <c r="K1184" s="45" t="str">
        <f>IF(Table2[[#This Row],[Description]]="","",DATE(Table2[[#This Row],[Year]],Table2[[#This Row],[Month]],1))</f>
        <v/>
      </c>
    </row>
    <row r="1185" spans="7:11" x14ac:dyDescent="0.25">
      <c r="G1185" s="1" t="str">
        <f>IF(Table2[[#This Row],[Description]]="","",VLOOKUP(Table2[[#This Row],[Description]],$Q$1:$S$101,2,FALSE))</f>
        <v/>
      </c>
      <c r="H1185" s="1" t="str">
        <f>IF(Table2[[#This Row],[Description]]="","",VLOOKUP(Table2[[#This Row],[Description]],$Q$1:$S$101,3,FALSE))</f>
        <v/>
      </c>
      <c r="I1185" s="1" t="str">
        <f>IF(Table2[[#This Row],[Description]]="","",IF(Table2[[#This Row],[Currency]]=$O$2,$P$2,HLOOKUP(Table2[[#This Row],[Date]],Funds!$C$10:$GV$11,2,FALSE)))</f>
        <v/>
      </c>
      <c r="J1185" s="215" t="str">
        <f>IF(Table2[[#This Row],[Description]]="","",Table2[[#This Row],[Value]]/Table2[[#This Row],[Conversion]])</f>
        <v/>
      </c>
      <c r="K1185" s="45" t="str">
        <f>IF(Table2[[#This Row],[Description]]="","",DATE(Table2[[#This Row],[Year]],Table2[[#This Row],[Month]],1))</f>
        <v/>
      </c>
    </row>
    <row r="1186" spans="7:11" x14ac:dyDescent="0.25">
      <c r="G1186" s="1" t="str">
        <f>IF(Table2[[#This Row],[Description]]="","",VLOOKUP(Table2[[#This Row],[Description]],$Q$1:$S$101,2,FALSE))</f>
        <v/>
      </c>
      <c r="H1186" s="1" t="str">
        <f>IF(Table2[[#This Row],[Description]]="","",VLOOKUP(Table2[[#This Row],[Description]],$Q$1:$S$101,3,FALSE))</f>
        <v/>
      </c>
      <c r="I1186" s="1" t="str">
        <f>IF(Table2[[#This Row],[Description]]="","",IF(Table2[[#This Row],[Currency]]=$O$2,$P$2,HLOOKUP(Table2[[#This Row],[Date]],Funds!$C$10:$GV$11,2,FALSE)))</f>
        <v/>
      </c>
      <c r="J1186" s="215" t="str">
        <f>IF(Table2[[#This Row],[Description]]="","",Table2[[#This Row],[Value]]/Table2[[#This Row],[Conversion]])</f>
        <v/>
      </c>
      <c r="K1186" s="45" t="str">
        <f>IF(Table2[[#This Row],[Description]]="","",DATE(Table2[[#This Row],[Year]],Table2[[#This Row],[Month]],1))</f>
        <v/>
      </c>
    </row>
    <row r="1187" spans="7:11" x14ac:dyDescent="0.25">
      <c r="G1187" s="1" t="str">
        <f>IF(Table2[[#This Row],[Description]]="","",VLOOKUP(Table2[[#This Row],[Description]],$Q$1:$S$101,2,FALSE))</f>
        <v/>
      </c>
      <c r="H1187" s="1" t="str">
        <f>IF(Table2[[#This Row],[Description]]="","",VLOOKUP(Table2[[#This Row],[Description]],$Q$1:$S$101,3,FALSE))</f>
        <v/>
      </c>
      <c r="I1187" s="1" t="str">
        <f>IF(Table2[[#This Row],[Description]]="","",IF(Table2[[#This Row],[Currency]]=$O$2,$P$2,HLOOKUP(Table2[[#This Row],[Date]],Funds!$C$10:$GV$11,2,FALSE)))</f>
        <v/>
      </c>
      <c r="J1187" s="215" t="str">
        <f>IF(Table2[[#This Row],[Description]]="","",Table2[[#This Row],[Value]]/Table2[[#This Row],[Conversion]])</f>
        <v/>
      </c>
      <c r="K1187" s="45" t="str">
        <f>IF(Table2[[#This Row],[Description]]="","",DATE(Table2[[#This Row],[Year]],Table2[[#This Row],[Month]],1))</f>
        <v/>
      </c>
    </row>
    <row r="1188" spans="7:11" x14ac:dyDescent="0.25">
      <c r="G1188" s="1" t="str">
        <f>IF(Table2[[#This Row],[Description]]="","",VLOOKUP(Table2[[#This Row],[Description]],$Q$1:$S$101,2,FALSE))</f>
        <v/>
      </c>
      <c r="H1188" s="1" t="str">
        <f>IF(Table2[[#This Row],[Description]]="","",VLOOKUP(Table2[[#This Row],[Description]],$Q$1:$S$101,3,FALSE))</f>
        <v/>
      </c>
      <c r="I1188" s="1" t="str">
        <f>IF(Table2[[#This Row],[Description]]="","",IF(Table2[[#This Row],[Currency]]=$O$2,$P$2,HLOOKUP(Table2[[#This Row],[Date]],Funds!$C$10:$GV$11,2,FALSE)))</f>
        <v/>
      </c>
      <c r="J1188" s="215" t="str">
        <f>IF(Table2[[#This Row],[Description]]="","",Table2[[#This Row],[Value]]/Table2[[#This Row],[Conversion]])</f>
        <v/>
      </c>
      <c r="K1188" s="45" t="str">
        <f>IF(Table2[[#This Row],[Description]]="","",DATE(Table2[[#This Row],[Year]],Table2[[#This Row],[Month]],1))</f>
        <v/>
      </c>
    </row>
    <row r="1189" spans="7:11" x14ac:dyDescent="0.25">
      <c r="G1189" s="1" t="str">
        <f>IF(Table2[[#This Row],[Description]]="","",VLOOKUP(Table2[[#This Row],[Description]],$Q$1:$S$101,2,FALSE))</f>
        <v/>
      </c>
      <c r="H1189" s="1" t="str">
        <f>IF(Table2[[#This Row],[Description]]="","",VLOOKUP(Table2[[#This Row],[Description]],$Q$1:$S$101,3,FALSE))</f>
        <v/>
      </c>
      <c r="I1189" s="1" t="str">
        <f>IF(Table2[[#This Row],[Description]]="","",IF(Table2[[#This Row],[Currency]]=$O$2,$P$2,HLOOKUP(Table2[[#This Row],[Date]],Funds!$C$10:$GV$11,2,FALSE)))</f>
        <v/>
      </c>
      <c r="J1189" s="215" t="str">
        <f>IF(Table2[[#This Row],[Description]]="","",Table2[[#This Row],[Value]]/Table2[[#This Row],[Conversion]])</f>
        <v/>
      </c>
      <c r="K1189" s="45" t="str">
        <f>IF(Table2[[#This Row],[Description]]="","",DATE(Table2[[#This Row],[Year]],Table2[[#This Row],[Month]],1))</f>
        <v/>
      </c>
    </row>
    <row r="1190" spans="7:11" x14ac:dyDescent="0.25">
      <c r="G1190" s="1" t="str">
        <f>IF(Table2[[#This Row],[Description]]="","",VLOOKUP(Table2[[#This Row],[Description]],$Q$1:$S$101,2,FALSE))</f>
        <v/>
      </c>
      <c r="H1190" s="1" t="str">
        <f>IF(Table2[[#This Row],[Description]]="","",VLOOKUP(Table2[[#This Row],[Description]],$Q$1:$S$101,3,FALSE))</f>
        <v/>
      </c>
      <c r="I1190" s="1" t="str">
        <f>IF(Table2[[#This Row],[Description]]="","",IF(Table2[[#This Row],[Currency]]=$O$2,$P$2,HLOOKUP(Table2[[#This Row],[Date]],Funds!$C$10:$GV$11,2,FALSE)))</f>
        <v/>
      </c>
      <c r="J1190" s="215" t="str">
        <f>IF(Table2[[#This Row],[Description]]="","",Table2[[#This Row],[Value]]/Table2[[#This Row],[Conversion]])</f>
        <v/>
      </c>
      <c r="K1190" s="45" t="str">
        <f>IF(Table2[[#This Row],[Description]]="","",DATE(Table2[[#This Row],[Year]],Table2[[#This Row],[Month]],1))</f>
        <v/>
      </c>
    </row>
    <row r="1191" spans="7:11" x14ac:dyDescent="0.25">
      <c r="G1191" s="1" t="str">
        <f>IF(Table2[[#This Row],[Description]]="","",VLOOKUP(Table2[[#This Row],[Description]],$Q$1:$S$101,2,FALSE))</f>
        <v/>
      </c>
      <c r="H1191" s="1" t="str">
        <f>IF(Table2[[#This Row],[Description]]="","",VLOOKUP(Table2[[#This Row],[Description]],$Q$1:$S$101,3,FALSE))</f>
        <v/>
      </c>
      <c r="I1191" s="1" t="str">
        <f>IF(Table2[[#This Row],[Description]]="","",IF(Table2[[#This Row],[Currency]]=$O$2,$P$2,HLOOKUP(Table2[[#This Row],[Date]],Funds!$C$10:$GV$11,2,FALSE)))</f>
        <v/>
      </c>
      <c r="J1191" s="215" t="str">
        <f>IF(Table2[[#This Row],[Description]]="","",Table2[[#This Row],[Value]]/Table2[[#This Row],[Conversion]])</f>
        <v/>
      </c>
      <c r="K1191" s="45" t="str">
        <f>IF(Table2[[#This Row],[Description]]="","",DATE(Table2[[#This Row],[Year]],Table2[[#This Row],[Month]],1))</f>
        <v/>
      </c>
    </row>
    <row r="1192" spans="7:11" x14ac:dyDescent="0.25">
      <c r="G1192" s="1" t="str">
        <f>IF(Table2[[#This Row],[Description]]="","",VLOOKUP(Table2[[#This Row],[Description]],$Q$1:$S$101,2,FALSE))</f>
        <v/>
      </c>
      <c r="H1192" s="1" t="str">
        <f>IF(Table2[[#This Row],[Description]]="","",VLOOKUP(Table2[[#This Row],[Description]],$Q$1:$S$101,3,FALSE))</f>
        <v/>
      </c>
      <c r="I1192" s="1" t="str">
        <f>IF(Table2[[#This Row],[Description]]="","",IF(Table2[[#This Row],[Currency]]=$O$2,$P$2,HLOOKUP(Table2[[#This Row],[Date]],Funds!$C$10:$GV$11,2,FALSE)))</f>
        <v/>
      </c>
      <c r="J1192" s="215" t="str">
        <f>IF(Table2[[#This Row],[Description]]="","",Table2[[#This Row],[Value]]/Table2[[#This Row],[Conversion]])</f>
        <v/>
      </c>
      <c r="K1192" s="45" t="str">
        <f>IF(Table2[[#This Row],[Description]]="","",DATE(Table2[[#This Row],[Year]],Table2[[#This Row],[Month]],1))</f>
        <v/>
      </c>
    </row>
    <row r="1193" spans="7:11" x14ac:dyDescent="0.25">
      <c r="G1193" s="1" t="str">
        <f>IF(Table2[[#This Row],[Description]]="","",VLOOKUP(Table2[[#This Row],[Description]],$Q$1:$S$101,2,FALSE))</f>
        <v/>
      </c>
      <c r="H1193" s="1" t="str">
        <f>IF(Table2[[#This Row],[Description]]="","",VLOOKUP(Table2[[#This Row],[Description]],$Q$1:$S$101,3,FALSE))</f>
        <v/>
      </c>
      <c r="I1193" s="1" t="str">
        <f>IF(Table2[[#This Row],[Description]]="","",IF(Table2[[#This Row],[Currency]]=$O$2,$P$2,HLOOKUP(Table2[[#This Row],[Date]],Funds!$C$10:$GV$11,2,FALSE)))</f>
        <v/>
      </c>
      <c r="J1193" s="215" t="str">
        <f>IF(Table2[[#This Row],[Description]]="","",Table2[[#This Row],[Value]]/Table2[[#This Row],[Conversion]])</f>
        <v/>
      </c>
      <c r="K1193" s="45" t="str">
        <f>IF(Table2[[#This Row],[Description]]="","",DATE(Table2[[#This Row],[Year]],Table2[[#This Row],[Month]],1))</f>
        <v/>
      </c>
    </row>
    <row r="1194" spans="7:11" x14ac:dyDescent="0.25">
      <c r="G1194" s="1" t="str">
        <f>IF(Table2[[#This Row],[Description]]="","",VLOOKUP(Table2[[#This Row],[Description]],$Q$1:$S$101,2,FALSE))</f>
        <v/>
      </c>
      <c r="H1194" s="1" t="str">
        <f>IF(Table2[[#This Row],[Description]]="","",VLOOKUP(Table2[[#This Row],[Description]],$Q$1:$S$101,3,FALSE))</f>
        <v/>
      </c>
      <c r="I1194" s="1" t="str">
        <f>IF(Table2[[#This Row],[Description]]="","",IF(Table2[[#This Row],[Currency]]=$O$2,$P$2,HLOOKUP(Table2[[#This Row],[Date]],Funds!$C$10:$GV$11,2,FALSE)))</f>
        <v/>
      </c>
      <c r="J1194" s="215" t="str">
        <f>IF(Table2[[#This Row],[Description]]="","",Table2[[#This Row],[Value]]/Table2[[#This Row],[Conversion]])</f>
        <v/>
      </c>
      <c r="K1194" s="45" t="str">
        <f>IF(Table2[[#This Row],[Description]]="","",DATE(Table2[[#This Row],[Year]],Table2[[#This Row],[Month]],1))</f>
        <v/>
      </c>
    </row>
    <row r="1195" spans="7:11" x14ac:dyDescent="0.25">
      <c r="G1195" s="1" t="str">
        <f>IF(Table2[[#This Row],[Description]]="","",VLOOKUP(Table2[[#This Row],[Description]],$Q$1:$S$101,2,FALSE))</f>
        <v/>
      </c>
      <c r="H1195" s="1" t="str">
        <f>IF(Table2[[#This Row],[Description]]="","",VLOOKUP(Table2[[#This Row],[Description]],$Q$1:$S$101,3,FALSE))</f>
        <v/>
      </c>
      <c r="I1195" s="1" t="str">
        <f>IF(Table2[[#This Row],[Description]]="","",IF(Table2[[#This Row],[Currency]]=$O$2,$P$2,HLOOKUP(Table2[[#This Row],[Date]],Funds!$C$10:$GV$11,2,FALSE)))</f>
        <v/>
      </c>
      <c r="J1195" s="215" t="str">
        <f>IF(Table2[[#This Row],[Description]]="","",Table2[[#This Row],[Value]]/Table2[[#This Row],[Conversion]])</f>
        <v/>
      </c>
      <c r="K1195" s="45" t="str">
        <f>IF(Table2[[#This Row],[Description]]="","",DATE(Table2[[#This Row],[Year]],Table2[[#This Row],[Month]],1))</f>
        <v/>
      </c>
    </row>
    <row r="1196" spans="7:11" x14ac:dyDescent="0.25">
      <c r="G1196" s="1" t="str">
        <f>IF(Table2[[#This Row],[Description]]="","",VLOOKUP(Table2[[#This Row],[Description]],$Q$1:$S$101,2,FALSE))</f>
        <v/>
      </c>
      <c r="H1196" s="1" t="str">
        <f>IF(Table2[[#This Row],[Description]]="","",VLOOKUP(Table2[[#This Row],[Description]],$Q$1:$S$101,3,FALSE))</f>
        <v/>
      </c>
      <c r="I1196" s="1" t="str">
        <f>IF(Table2[[#This Row],[Description]]="","",IF(Table2[[#This Row],[Currency]]=$O$2,$P$2,HLOOKUP(Table2[[#This Row],[Date]],Funds!$C$10:$GV$11,2,FALSE)))</f>
        <v/>
      </c>
      <c r="J1196" s="215" t="str">
        <f>IF(Table2[[#This Row],[Description]]="","",Table2[[#This Row],[Value]]/Table2[[#This Row],[Conversion]])</f>
        <v/>
      </c>
      <c r="K1196" s="45" t="str">
        <f>IF(Table2[[#This Row],[Description]]="","",DATE(Table2[[#This Row],[Year]],Table2[[#This Row],[Month]],1))</f>
        <v/>
      </c>
    </row>
    <row r="1197" spans="7:11" x14ac:dyDescent="0.25">
      <c r="G1197" s="1" t="str">
        <f>IF(Table2[[#This Row],[Description]]="","",VLOOKUP(Table2[[#This Row],[Description]],$Q$1:$S$101,2,FALSE))</f>
        <v/>
      </c>
      <c r="H1197" s="1" t="str">
        <f>IF(Table2[[#This Row],[Description]]="","",VLOOKUP(Table2[[#This Row],[Description]],$Q$1:$S$101,3,FALSE))</f>
        <v/>
      </c>
      <c r="I1197" s="1" t="str">
        <f>IF(Table2[[#This Row],[Description]]="","",IF(Table2[[#This Row],[Currency]]=$O$2,$P$2,HLOOKUP(Table2[[#This Row],[Date]],Funds!$C$10:$GV$11,2,FALSE)))</f>
        <v/>
      </c>
      <c r="J1197" s="215" t="str">
        <f>IF(Table2[[#This Row],[Description]]="","",Table2[[#This Row],[Value]]/Table2[[#This Row],[Conversion]])</f>
        <v/>
      </c>
      <c r="K1197" s="45" t="str">
        <f>IF(Table2[[#This Row],[Description]]="","",DATE(Table2[[#This Row],[Year]],Table2[[#This Row],[Month]],1))</f>
        <v/>
      </c>
    </row>
    <row r="1198" spans="7:11" x14ac:dyDescent="0.25">
      <c r="G1198" s="1" t="str">
        <f>IF(Table2[[#This Row],[Description]]="","",VLOOKUP(Table2[[#This Row],[Description]],$Q$1:$S$101,2,FALSE))</f>
        <v/>
      </c>
      <c r="H1198" s="1" t="str">
        <f>IF(Table2[[#This Row],[Description]]="","",VLOOKUP(Table2[[#This Row],[Description]],$Q$1:$S$101,3,FALSE))</f>
        <v/>
      </c>
      <c r="I1198" s="1" t="str">
        <f>IF(Table2[[#This Row],[Description]]="","",IF(Table2[[#This Row],[Currency]]=$O$2,$P$2,HLOOKUP(Table2[[#This Row],[Date]],Funds!$C$10:$GV$11,2,FALSE)))</f>
        <v/>
      </c>
      <c r="J1198" s="215" t="str">
        <f>IF(Table2[[#This Row],[Description]]="","",Table2[[#This Row],[Value]]/Table2[[#This Row],[Conversion]])</f>
        <v/>
      </c>
      <c r="K1198" s="45" t="str">
        <f>IF(Table2[[#This Row],[Description]]="","",DATE(Table2[[#This Row],[Year]],Table2[[#This Row],[Month]],1))</f>
        <v/>
      </c>
    </row>
    <row r="1199" spans="7:11" x14ac:dyDescent="0.25">
      <c r="G1199" s="1" t="str">
        <f>IF(Table2[[#This Row],[Description]]="","",VLOOKUP(Table2[[#This Row],[Description]],$Q$1:$S$101,2,FALSE))</f>
        <v/>
      </c>
      <c r="H1199" s="1" t="str">
        <f>IF(Table2[[#This Row],[Description]]="","",VLOOKUP(Table2[[#This Row],[Description]],$Q$1:$S$101,3,FALSE))</f>
        <v/>
      </c>
      <c r="I1199" s="1" t="str">
        <f>IF(Table2[[#This Row],[Description]]="","",IF(Table2[[#This Row],[Currency]]=$O$2,$P$2,HLOOKUP(Table2[[#This Row],[Date]],Funds!$C$10:$GV$11,2,FALSE)))</f>
        <v/>
      </c>
      <c r="J1199" s="215" t="str">
        <f>IF(Table2[[#This Row],[Description]]="","",Table2[[#This Row],[Value]]/Table2[[#This Row],[Conversion]])</f>
        <v/>
      </c>
      <c r="K1199" s="45" t="str">
        <f>IF(Table2[[#This Row],[Description]]="","",DATE(Table2[[#This Row],[Year]],Table2[[#This Row],[Month]],1))</f>
        <v/>
      </c>
    </row>
    <row r="1200" spans="7:11" x14ac:dyDescent="0.25">
      <c r="G1200" s="1" t="str">
        <f>IF(Table2[[#This Row],[Description]]="","",VLOOKUP(Table2[[#This Row],[Description]],$Q$1:$S$101,2,FALSE))</f>
        <v/>
      </c>
      <c r="H1200" s="1" t="str">
        <f>IF(Table2[[#This Row],[Description]]="","",VLOOKUP(Table2[[#This Row],[Description]],$Q$1:$S$101,3,FALSE))</f>
        <v/>
      </c>
      <c r="I1200" s="1" t="str">
        <f>IF(Table2[[#This Row],[Description]]="","",IF(Table2[[#This Row],[Currency]]=$O$2,$P$2,HLOOKUP(Table2[[#This Row],[Date]],Funds!$C$10:$GV$11,2,FALSE)))</f>
        <v/>
      </c>
      <c r="J1200" s="215" t="str">
        <f>IF(Table2[[#This Row],[Description]]="","",Table2[[#This Row],[Value]]/Table2[[#This Row],[Conversion]])</f>
        <v/>
      </c>
      <c r="K1200" s="45" t="str">
        <f>IF(Table2[[#This Row],[Description]]="","",DATE(Table2[[#This Row],[Year]],Table2[[#This Row],[Month]],1))</f>
        <v/>
      </c>
    </row>
    <row r="1201" spans="7:11" x14ac:dyDescent="0.25">
      <c r="G1201" s="1" t="str">
        <f>IF(Table2[[#This Row],[Description]]="","",VLOOKUP(Table2[[#This Row],[Description]],$Q$1:$S$101,2,FALSE))</f>
        <v/>
      </c>
      <c r="H1201" s="1" t="str">
        <f>IF(Table2[[#This Row],[Description]]="","",VLOOKUP(Table2[[#This Row],[Description]],$Q$1:$S$101,3,FALSE))</f>
        <v/>
      </c>
      <c r="I1201" s="1" t="str">
        <f>IF(Table2[[#This Row],[Description]]="","",IF(Table2[[#This Row],[Currency]]=$O$2,$P$2,HLOOKUP(Table2[[#This Row],[Date]],Funds!$C$10:$GV$11,2,FALSE)))</f>
        <v/>
      </c>
      <c r="J1201" s="215" t="str">
        <f>IF(Table2[[#This Row],[Description]]="","",Table2[[#This Row],[Value]]/Table2[[#This Row],[Conversion]])</f>
        <v/>
      </c>
      <c r="K1201" s="45" t="str">
        <f>IF(Table2[[#This Row],[Description]]="","",DATE(Table2[[#This Row],[Year]],Table2[[#This Row],[Month]],1))</f>
        <v/>
      </c>
    </row>
    <row r="1202" spans="7:11" x14ac:dyDescent="0.25">
      <c r="G1202" s="1" t="str">
        <f>IF(Table2[[#This Row],[Description]]="","",VLOOKUP(Table2[[#This Row],[Description]],$Q$1:$S$101,2,FALSE))</f>
        <v/>
      </c>
      <c r="H1202" s="1" t="str">
        <f>IF(Table2[[#This Row],[Description]]="","",VLOOKUP(Table2[[#This Row],[Description]],$Q$1:$S$101,3,FALSE))</f>
        <v/>
      </c>
      <c r="I1202" s="1" t="str">
        <f>IF(Table2[[#This Row],[Description]]="","",IF(Table2[[#This Row],[Currency]]=$O$2,$P$2,HLOOKUP(Table2[[#This Row],[Date]],Funds!$C$10:$GV$11,2,FALSE)))</f>
        <v/>
      </c>
      <c r="J1202" s="215" t="str">
        <f>IF(Table2[[#This Row],[Description]]="","",Table2[[#This Row],[Value]]/Table2[[#This Row],[Conversion]])</f>
        <v/>
      </c>
      <c r="K1202" s="45" t="str">
        <f>IF(Table2[[#This Row],[Description]]="","",DATE(Table2[[#This Row],[Year]],Table2[[#This Row],[Month]],1))</f>
        <v/>
      </c>
    </row>
    <row r="1203" spans="7:11" x14ac:dyDescent="0.25">
      <c r="G1203" s="1" t="str">
        <f>IF(Table2[[#This Row],[Description]]="","",VLOOKUP(Table2[[#This Row],[Description]],$Q$1:$S$101,2,FALSE))</f>
        <v/>
      </c>
      <c r="H1203" s="1" t="str">
        <f>IF(Table2[[#This Row],[Description]]="","",VLOOKUP(Table2[[#This Row],[Description]],$Q$1:$S$101,3,FALSE))</f>
        <v/>
      </c>
      <c r="I1203" s="1" t="str">
        <f>IF(Table2[[#This Row],[Description]]="","",IF(Table2[[#This Row],[Currency]]=$O$2,$P$2,HLOOKUP(Table2[[#This Row],[Date]],Funds!$C$10:$GV$11,2,FALSE)))</f>
        <v/>
      </c>
      <c r="J1203" s="215" t="str">
        <f>IF(Table2[[#This Row],[Description]]="","",Table2[[#This Row],[Value]]/Table2[[#This Row],[Conversion]])</f>
        <v/>
      </c>
      <c r="K1203" s="45" t="str">
        <f>IF(Table2[[#This Row],[Description]]="","",DATE(Table2[[#This Row],[Year]],Table2[[#This Row],[Month]],1))</f>
        <v/>
      </c>
    </row>
    <row r="1204" spans="7:11" x14ac:dyDescent="0.25">
      <c r="G1204" s="1" t="str">
        <f>IF(Table2[[#This Row],[Description]]="","",VLOOKUP(Table2[[#This Row],[Description]],$Q$1:$S$101,2,FALSE))</f>
        <v/>
      </c>
      <c r="H1204" s="1" t="str">
        <f>IF(Table2[[#This Row],[Description]]="","",VLOOKUP(Table2[[#This Row],[Description]],$Q$1:$S$101,3,FALSE))</f>
        <v/>
      </c>
      <c r="I1204" s="1" t="str">
        <f>IF(Table2[[#This Row],[Description]]="","",IF(Table2[[#This Row],[Currency]]=$O$2,$P$2,HLOOKUP(Table2[[#This Row],[Date]],Funds!$C$10:$GV$11,2,FALSE)))</f>
        <v/>
      </c>
      <c r="J1204" s="215" t="str">
        <f>IF(Table2[[#This Row],[Description]]="","",Table2[[#This Row],[Value]]/Table2[[#This Row],[Conversion]])</f>
        <v/>
      </c>
      <c r="K1204" s="45" t="str">
        <f>IF(Table2[[#This Row],[Description]]="","",DATE(Table2[[#This Row],[Year]],Table2[[#This Row],[Month]],1))</f>
        <v/>
      </c>
    </row>
    <row r="1205" spans="7:11" x14ac:dyDescent="0.25">
      <c r="G1205" s="1" t="str">
        <f>IF(Table2[[#This Row],[Description]]="","",VLOOKUP(Table2[[#This Row],[Description]],$Q$1:$S$101,2,FALSE))</f>
        <v/>
      </c>
      <c r="H1205" s="1" t="str">
        <f>IF(Table2[[#This Row],[Description]]="","",VLOOKUP(Table2[[#This Row],[Description]],$Q$1:$S$101,3,FALSE))</f>
        <v/>
      </c>
      <c r="I1205" s="1" t="str">
        <f>IF(Table2[[#This Row],[Description]]="","",IF(Table2[[#This Row],[Currency]]=$O$2,$P$2,HLOOKUP(Table2[[#This Row],[Date]],Funds!$C$10:$GV$11,2,FALSE)))</f>
        <v/>
      </c>
      <c r="J1205" s="215" t="str">
        <f>IF(Table2[[#This Row],[Description]]="","",Table2[[#This Row],[Value]]/Table2[[#This Row],[Conversion]])</f>
        <v/>
      </c>
      <c r="K1205" s="45" t="str">
        <f>IF(Table2[[#This Row],[Description]]="","",DATE(Table2[[#This Row],[Year]],Table2[[#This Row],[Month]],1))</f>
        <v/>
      </c>
    </row>
    <row r="1206" spans="7:11" x14ac:dyDescent="0.25">
      <c r="G1206" s="1" t="str">
        <f>IF(Table2[[#This Row],[Description]]="","",VLOOKUP(Table2[[#This Row],[Description]],$Q$1:$S$101,2,FALSE))</f>
        <v/>
      </c>
      <c r="H1206" s="1" t="str">
        <f>IF(Table2[[#This Row],[Description]]="","",VLOOKUP(Table2[[#This Row],[Description]],$Q$1:$S$101,3,FALSE))</f>
        <v/>
      </c>
      <c r="I1206" s="1" t="str">
        <f>IF(Table2[[#This Row],[Description]]="","",IF(Table2[[#This Row],[Currency]]=$O$2,$P$2,HLOOKUP(Table2[[#This Row],[Date]],Funds!$C$10:$GV$11,2,FALSE)))</f>
        <v/>
      </c>
      <c r="J1206" s="215" t="str">
        <f>IF(Table2[[#This Row],[Description]]="","",Table2[[#This Row],[Value]]/Table2[[#This Row],[Conversion]])</f>
        <v/>
      </c>
      <c r="K1206" s="45" t="str">
        <f>IF(Table2[[#This Row],[Description]]="","",DATE(Table2[[#This Row],[Year]],Table2[[#This Row],[Month]],1))</f>
        <v/>
      </c>
    </row>
    <row r="1207" spans="7:11" x14ac:dyDescent="0.25">
      <c r="G1207" s="1" t="str">
        <f>IF(Table2[[#This Row],[Description]]="","",VLOOKUP(Table2[[#This Row],[Description]],$Q$1:$S$101,2,FALSE))</f>
        <v/>
      </c>
      <c r="H1207" s="1" t="str">
        <f>IF(Table2[[#This Row],[Description]]="","",VLOOKUP(Table2[[#This Row],[Description]],$Q$1:$S$101,3,FALSE))</f>
        <v/>
      </c>
      <c r="I1207" s="1" t="str">
        <f>IF(Table2[[#This Row],[Description]]="","",IF(Table2[[#This Row],[Currency]]=$O$2,$P$2,HLOOKUP(Table2[[#This Row],[Date]],Funds!$C$10:$GV$11,2,FALSE)))</f>
        <v/>
      </c>
      <c r="J1207" s="215" t="str">
        <f>IF(Table2[[#This Row],[Description]]="","",Table2[[#This Row],[Value]]/Table2[[#This Row],[Conversion]])</f>
        <v/>
      </c>
      <c r="K1207" s="45" t="str">
        <f>IF(Table2[[#This Row],[Description]]="","",DATE(Table2[[#This Row],[Year]],Table2[[#This Row],[Month]],1))</f>
        <v/>
      </c>
    </row>
    <row r="1208" spans="7:11" x14ac:dyDescent="0.25">
      <c r="G1208" s="1" t="str">
        <f>IF(Table2[[#This Row],[Description]]="","",VLOOKUP(Table2[[#This Row],[Description]],$Q$1:$S$101,2,FALSE))</f>
        <v/>
      </c>
      <c r="H1208" s="1" t="str">
        <f>IF(Table2[[#This Row],[Description]]="","",VLOOKUP(Table2[[#This Row],[Description]],$Q$1:$S$101,3,FALSE))</f>
        <v/>
      </c>
      <c r="I1208" s="1" t="str">
        <f>IF(Table2[[#This Row],[Description]]="","",IF(Table2[[#This Row],[Currency]]=$O$2,$P$2,HLOOKUP(Table2[[#This Row],[Date]],Funds!$C$10:$GV$11,2,FALSE)))</f>
        <v/>
      </c>
      <c r="J1208" s="215" t="str">
        <f>IF(Table2[[#This Row],[Description]]="","",Table2[[#This Row],[Value]]/Table2[[#This Row],[Conversion]])</f>
        <v/>
      </c>
      <c r="K1208" s="45" t="str">
        <f>IF(Table2[[#This Row],[Description]]="","",DATE(Table2[[#This Row],[Year]],Table2[[#This Row],[Month]],1))</f>
        <v/>
      </c>
    </row>
    <row r="1209" spans="7:11" x14ac:dyDescent="0.25">
      <c r="G1209" s="1" t="str">
        <f>IF(Table2[[#This Row],[Description]]="","",VLOOKUP(Table2[[#This Row],[Description]],$Q$1:$S$101,2,FALSE))</f>
        <v/>
      </c>
      <c r="H1209" s="1" t="str">
        <f>IF(Table2[[#This Row],[Description]]="","",VLOOKUP(Table2[[#This Row],[Description]],$Q$1:$S$101,3,FALSE))</f>
        <v/>
      </c>
      <c r="I1209" s="1" t="str">
        <f>IF(Table2[[#This Row],[Description]]="","",IF(Table2[[#This Row],[Currency]]=$O$2,$P$2,HLOOKUP(Table2[[#This Row],[Date]],Funds!$C$10:$GV$11,2,FALSE)))</f>
        <v/>
      </c>
      <c r="J1209" s="215" t="str">
        <f>IF(Table2[[#This Row],[Description]]="","",Table2[[#This Row],[Value]]/Table2[[#This Row],[Conversion]])</f>
        <v/>
      </c>
      <c r="K1209" s="45" t="str">
        <f>IF(Table2[[#This Row],[Description]]="","",DATE(Table2[[#This Row],[Year]],Table2[[#This Row],[Month]],1))</f>
        <v/>
      </c>
    </row>
    <row r="1210" spans="7:11" x14ac:dyDescent="0.25">
      <c r="G1210" s="1" t="str">
        <f>IF(Table2[[#This Row],[Description]]="","",VLOOKUP(Table2[[#This Row],[Description]],$Q$1:$S$101,2,FALSE))</f>
        <v/>
      </c>
      <c r="H1210" s="1" t="str">
        <f>IF(Table2[[#This Row],[Description]]="","",VLOOKUP(Table2[[#This Row],[Description]],$Q$1:$S$101,3,FALSE))</f>
        <v/>
      </c>
      <c r="I1210" s="1" t="str">
        <f>IF(Table2[[#This Row],[Description]]="","",IF(Table2[[#This Row],[Currency]]=$O$2,$P$2,HLOOKUP(Table2[[#This Row],[Date]],Funds!$C$10:$GV$11,2,FALSE)))</f>
        <v/>
      </c>
      <c r="J1210" s="215" t="str">
        <f>IF(Table2[[#This Row],[Description]]="","",Table2[[#This Row],[Value]]/Table2[[#This Row],[Conversion]])</f>
        <v/>
      </c>
      <c r="K1210" s="45" t="str">
        <f>IF(Table2[[#This Row],[Description]]="","",DATE(Table2[[#This Row],[Year]],Table2[[#This Row],[Month]],1))</f>
        <v/>
      </c>
    </row>
    <row r="1211" spans="7:11" x14ac:dyDescent="0.25">
      <c r="G1211" s="1" t="str">
        <f>IF(Table2[[#This Row],[Description]]="","",VLOOKUP(Table2[[#This Row],[Description]],$Q$1:$S$101,2,FALSE))</f>
        <v/>
      </c>
      <c r="H1211" s="1" t="str">
        <f>IF(Table2[[#This Row],[Description]]="","",VLOOKUP(Table2[[#This Row],[Description]],$Q$1:$S$101,3,FALSE))</f>
        <v/>
      </c>
      <c r="I1211" s="1" t="str">
        <f>IF(Table2[[#This Row],[Description]]="","",IF(Table2[[#This Row],[Currency]]=$O$2,$P$2,HLOOKUP(Table2[[#This Row],[Date]],Funds!$C$10:$GV$11,2,FALSE)))</f>
        <v/>
      </c>
      <c r="J1211" s="215" t="str">
        <f>IF(Table2[[#This Row],[Description]]="","",Table2[[#This Row],[Value]]/Table2[[#This Row],[Conversion]])</f>
        <v/>
      </c>
      <c r="K1211" s="45" t="str">
        <f>IF(Table2[[#This Row],[Description]]="","",DATE(Table2[[#This Row],[Year]],Table2[[#This Row],[Month]],1))</f>
        <v/>
      </c>
    </row>
    <row r="1212" spans="7:11" x14ac:dyDescent="0.25">
      <c r="G1212" s="1" t="str">
        <f>IF(Table2[[#This Row],[Description]]="","",VLOOKUP(Table2[[#This Row],[Description]],$Q$1:$S$101,2,FALSE))</f>
        <v/>
      </c>
      <c r="H1212" s="1" t="str">
        <f>IF(Table2[[#This Row],[Description]]="","",VLOOKUP(Table2[[#This Row],[Description]],$Q$1:$S$101,3,FALSE))</f>
        <v/>
      </c>
      <c r="I1212" s="1" t="str">
        <f>IF(Table2[[#This Row],[Description]]="","",IF(Table2[[#This Row],[Currency]]=$O$2,$P$2,HLOOKUP(Table2[[#This Row],[Date]],Funds!$C$10:$GV$11,2,FALSE)))</f>
        <v/>
      </c>
      <c r="J1212" s="215" t="str">
        <f>IF(Table2[[#This Row],[Description]]="","",Table2[[#This Row],[Value]]/Table2[[#This Row],[Conversion]])</f>
        <v/>
      </c>
      <c r="K1212" s="45" t="str">
        <f>IF(Table2[[#This Row],[Description]]="","",DATE(Table2[[#This Row],[Year]],Table2[[#This Row],[Month]],1))</f>
        <v/>
      </c>
    </row>
    <row r="1213" spans="7:11" x14ac:dyDescent="0.25">
      <c r="G1213" s="1" t="str">
        <f>IF(Table2[[#This Row],[Description]]="","",VLOOKUP(Table2[[#This Row],[Description]],$Q$1:$S$101,2,FALSE))</f>
        <v/>
      </c>
      <c r="H1213" s="1" t="str">
        <f>IF(Table2[[#This Row],[Description]]="","",VLOOKUP(Table2[[#This Row],[Description]],$Q$1:$S$101,3,FALSE))</f>
        <v/>
      </c>
      <c r="I1213" s="1" t="str">
        <f>IF(Table2[[#This Row],[Description]]="","",IF(Table2[[#This Row],[Currency]]=$O$2,$P$2,HLOOKUP(Table2[[#This Row],[Date]],Funds!$C$10:$GV$11,2,FALSE)))</f>
        <v/>
      </c>
      <c r="J1213" s="215" t="str">
        <f>IF(Table2[[#This Row],[Description]]="","",Table2[[#This Row],[Value]]/Table2[[#This Row],[Conversion]])</f>
        <v/>
      </c>
      <c r="K1213" s="45" t="str">
        <f>IF(Table2[[#This Row],[Description]]="","",DATE(Table2[[#This Row],[Year]],Table2[[#This Row],[Month]],1))</f>
        <v/>
      </c>
    </row>
    <row r="1214" spans="7:11" x14ac:dyDescent="0.25">
      <c r="G1214" s="1" t="str">
        <f>IF(Table2[[#This Row],[Description]]="","",VLOOKUP(Table2[[#This Row],[Description]],$Q$1:$S$101,2,FALSE))</f>
        <v/>
      </c>
      <c r="H1214" s="1" t="str">
        <f>IF(Table2[[#This Row],[Description]]="","",VLOOKUP(Table2[[#This Row],[Description]],$Q$1:$S$101,3,FALSE))</f>
        <v/>
      </c>
      <c r="I1214" s="1" t="str">
        <f>IF(Table2[[#This Row],[Description]]="","",IF(Table2[[#This Row],[Currency]]=$O$2,$P$2,HLOOKUP(Table2[[#This Row],[Date]],Funds!$C$10:$GV$11,2,FALSE)))</f>
        <v/>
      </c>
      <c r="J1214" s="215" t="str">
        <f>IF(Table2[[#This Row],[Description]]="","",Table2[[#This Row],[Value]]/Table2[[#This Row],[Conversion]])</f>
        <v/>
      </c>
      <c r="K1214" s="45" t="str">
        <f>IF(Table2[[#This Row],[Description]]="","",DATE(Table2[[#This Row],[Year]],Table2[[#This Row],[Month]],1))</f>
        <v/>
      </c>
    </row>
    <row r="1215" spans="7:11" x14ac:dyDescent="0.25">
      <c r="G1215" s="1" t="str">
        <f>IF(Table2[[#This Row],[Description]]="","",VLOOKUP(Table2[[#This Row],[Description]],$Q$1:$S$101,2,FALSE))</f>
        <v/>
      </c>
      <c r="H1215" s="1" t="str">
        <f>IF(Table2[[#This Row],[Description]]="","",VLOOKUP(Table2[[#This Row],[Description]],$Q$1:$S$101,3,FALSE))</f>
        <v/>
      </c>
      <c r="I1215" s="1" t="str">
        <f>IF(Table2[[#This Row],[Description]]="","",IF(Table2[[#This Row],[Currency]]=$O$2,$P$2,HLOOKUP(Table2[[#This Row],[Date]],Funds!$C$10:$GV$11,2,FALSE)))</f>
        <v/>
      </c>
      <c r="J1215" s="215" t="str">
        <f>IF(Table2[[#This Row],[Description]]="","",Table2[[#This Row],[Value]]/Table2[[#This Row],[Conversion]])</f>
        <v/>
      </c>
      <c r="K1215" s="45" t="str">
        <f>IF(Table2[[#This Row],[Description]]="","",DATE(Table2[[#This Row],[Year]],Table2[[#This Row],[Month]],1))</f>
        <v/>
      </c>
    </row>
    <row r="1216" spans="7:11" x14ac:dyDescent="0.25">
      <c r="G1216" s="1" t="str">
        <f>IF(Table2[[#This Row],[Description]]="","",VLOOKUP(Table2[[#This Row],[Description]],$Q$1:$S$101,2,FALSE))</f>
        <v/>
      </c>
      <c r="H1216" s="1" t="str">
        <f>IF(Table2[[#This Row],[Description]]="","",VLOOKUP(Table2[[#This Row],[Description]],$Q$1:$S$101,3,FALSE))</f>
        <v/>
      </c>
      <c r="I1216" s="1" t="str">
        <f>IF(Table2[[#This Row],[Description]]="","",IF(Table2[[#This Row],[Currency]]=$O$2,$P$2,HLOOKUP(Table2[[#This Row],[Date]],Funds!$C$10:$GV$11,2,FALSE)))</f>
        <v/>
      </c>
      <c r="J1216" s="215" t="str">
        <f>IF(Table2[[#This Row],[Description]]="","",Table2[[#This Row],[Value]]/Table2[[#This Row],[Conversion]])</f>
        <v/>
      </c>
      <c r="K1216" s="45" t="str">
        <f>IF(Table2[[#This Row],[Description]]="","",DATE(Table2[[#This Row],[Year]],Table2[[#This Row],[Month]],1))</f>
        <v/>
      </c>
    </row>
    <row r="1217" spans="7:11" x14ac:dyDescent="0.25">
      <c r="G1217" s="1" t="str">
        <f>IF(Table2[[#This Row],[Description]]="","",VLOOKUP(Table2[[#This Row],[Description]],$Q$1:$S$101,2,FALSE))</f>
        <v/>
      </c>
      <c r="H1217" s="1" t="str">
        <f>IF(Table2[[#This Row],[Description]]="","",VLOOKUP(Table2[[#This Row],[Description]],$Q$1:$S$101,3,FALSE))</f>
        <v/>
      </c>
      <c r="I1217" s="1" t="str">
        <f>IF(Table2[[#This Row],[Description]]="","",IF(Table2[[#This Row],[Currency]]=$O$2,$P$2,HLOOKUP(Table2[[#This Row],[Date]],Funds!$C$10:$GV$11,2,FALSE)))</f>
        <v/>
      </c>
      <c r="J1217" s="215" t="str">
        <f>IF(Table2[[#This Row],[Description]]="","",Table2[[#This Row],[Value]]/Table2[[#This Row],[Conversion]])</f>
        <v/>
      </c>
      <c r="K1217" s="45" t="str">
        <f>IF(Table2[[#This Row],[Description]]="","",DATE(Table2[[#This Row],[Year]],Table2[[#This Row],[Month]],1))</f>
        <v/>
      </c>
    </row>
    <row r="1218" spans="7:11" x14ac:dyDescent="0.25">
      <c r="G1218" s="1" t="str">
        <f>IF(Table2[[#This Row],[Description]]="","",VLOOKUP(Table2[[#This Row],[Description]],$Q$1:$S$101,2,FALSE))</f>
        <v/>
      </c>
      <c r="H1218" s="1" t="str">
        <f>IF(Table2[[#This Row],[Description]]="","",VLOOKUP(Table2[[#This Row],[Description]],$Q$1:$S$101,3,FALSE))</f>
        <v/>
      </c>
      <c r="I1218" s="1" t="str">
        <f>IF(Table2[[#This Row],[Description]]="","",IF(Table2[[#This Row],[Currency]]=$O$2,$P$2,HLOOKUP(Table2[[#This Row],[Date]],Funds!$C$10:$GV$11,2,FALSE)))</f>
        <v/>
      </c>
      <c r="J1218" s="215" t="str">
        <f>IF(Table2[[#This Row],[Description]]="","",Table2[[#This Row],[Value]]/Table2[[#This Row],[Conversion]])</f>
        <v/>
      </c>
      <c r="K1218" s="45" t="str">
        <f>IF(Table2[[#This Row],[Description]]="","",DATE(Table2[[#This Row],[Year]],Table2[[#This Row],[Month]],1))</f>
        <v/>
      </c>
    </row>
    <row r="1219" spans="7:11" x14ac:dyDescent="0.25">
      <c r="G1219" s="1" t="str">
        <f>IF(Table2[[#This Row],[Description]]="","",VLOOKUP(Table2[[#This Row],[Description]],$Q$1:$S$101,2,FALSE))</f>
        <v/>
      </c>
      <c r="H1219" s="1" t="str">
        <f>IF(Table2[[#This Row],[Description]]="","",VLOOKUP(Table2[[#This Row],[Description]],$Q$1:$S$101,3,FALSE))</f>
        <v/>
      </c>
      <c r="I1219" s="1" t="str">
        <f>IF(Table2[[#This Row],[Description]]="","",IF(Table2[[#This Row],[Currency]]=$O$2,$P$2,HLOOKUP(Table2[[#This Row],[Date]],Funds!$C$10:$GV$11,2,FALSE)))</f>
        <v/>
      </c>
      <c r="J1219" s="215" t="str">
        <f>IF(Table2[[#This Row],[Description]]="","",Table2[[#This Row],[Value]]/Table2[[#This Row],[Conversion]])</f>
        <v/>
      </c>
      <c r="K1219" s="45" t="str">
        <f>IF(Table2[[#This Row],[Description]]="","",DATE(Table2[[#This Row],[Year]],Table2[[#This Row],[Month]],1))</f>
        <v/>
      </c>
    </row>
    <row r="1220" spans="7:11" x14ac:dyDescent="0.25">
      <c r="G1220" s="1" t="str">
        <f>IF(Table2[[#This Row],[Description]]="","",VLOOKUP(Table2[[#This Row],[Description]],$Q$1:$S$101,2,FALSE))</f>
        <v/>
      </c>
      <c r="H1220" s="1" t="str">
        <f>IF(Table2[[#This Row],[Description]]="","",VLOOKUP(Table2[[#This Row],[Description]],$Q$1:$S$101,3,FALSE))</f>
        <v/>
      </c>
      <c r="I1220" s="1" t="str">
        <f>IF(Table2[[#This Row],[Description]]="","",IF(Table2[[#This Row],[Currency]]=$O$2,$P$2,HLOOKUP(Table2[[#This Row],[Date]],Funds!$C$10:$GV$11,2,FALSE)))</f>
        <v/>
      </c>
      <c r="J1220" s="215" t="str">
        <f>IF(Table2[[#This Row],[Description]]="","",Table2[[#This Row],[Value]]/Table2[[#This Row],[Conversion]])</f>
        <v/>
      </c>
      <c r="K1220" s="45" t="str">
        <f>IF(Table2[[#This Row],[Description]]="","",DATE(Table2[[#This Row],[Year]],Table2[[#This Row],[Month]],1))</f>
        <v/>
      </c>
    </row>
    <row r="1221" spans="7:11" x14ac:dyDescent="0.25">
      <c r="G1221" s="1" t="str">
        <f>IF(Table2[[#This Row],[Description]]="","",VLOOKUP(Table2[[#This Row],[Description]],$Q$1:$S$101,2,FALSE))</f>
        <v/>
      </c>
      <c r="H1221" s="1" t="str">
        <f>IF(Table2[[#This Row],[Description]]="","",VLOOKUP(Table2[[#This Row],[Description]],$Q$1:$S$101,3,FALSE))</f>
        <v/>
      </c>
      <c r="I1221" s="1" t="str">
        <f>IF(Table2[[#This Row],[Description]]="","",IF(Table2[[#This Row],[Currency]]=$O$2,$P$2,HLOOKUP(Table2[[#This Row],[Date]],Funds!$C$10:$GV$11,2,FALSE)))</f>
        <v/>
      </c>
      <c r="J1221" s="215" t="str">
        <f>IF(Table2[[#This Row],[Description]]="","",Table2[[#This Row],[Value]]/Table2[[#This Row],[Conversion]])</f>
        <v/>
      </c>
      <c r="K1221" s="45" t="str">
        <f>IF(Table2[[#This Row],[Description]]="","",DATE(Table2[[#This Row],[Year]],Table2[[#This Row],[Month]],1))</f>
        <v/>
      </c>
    </row>
    <row r="1222" spans="7:11" x14ac:dyDescent="0.25">
      <c r="G1222" s="1" t="str">
        <f>IF(Table2[[#This Row],[Description]]="","",VLOOKUP(Table2[[#This Row],[Description]],$Q$1:$S$101,2,FALSE))</f>
        <v/>
      </c>
      <c r="H1222" s="1" t="str">
        <f>IF(Table2[[#This Row],[Description]]="","",VLOOKUP(Table2[[#This Row],[Description]],$Q$1:$S$101,3,FALSE))</f>
        <v/>
      </c>
      <c r="I1222" s="1" t="str">
        <f>IF(Table2[[#This Row],[Description]]="","",IF(Table2[[#This Row],[Currency]]=$O$2,$P$2,HLOOKUP(Table2[[#This Row],[Date]],Funds!$C$10:$GV$11,2,FALSE)))</f>
        <v/>
      </c>
      <c r="J1222" s="215" t="str">
        <f>IF(Table2[[#This Row],[Description]]="","",Table2[[#This Row],[Value]]/Table2[[#This Row],[Conversion]])</f>
        <v/>
      </c>
      <c r="K1222" s="45" t="str">
        <f>IF(Table2[[#This Row],[Description]]="","",DATE(Table2[[#This Row],[Year]],Table2[[#This Row],[Month]],1))</f>
        <v/>
      </c>
    </row>
    <row r="1223" spans="7:11" x14ac:dyDescent="0.25">
      <c r="G1223" s="1" t="str">
        <f>IF(Table2[[#This Row],[Description]]="","",VLOOKUP(Table2[[#This Row],[Description]],$Q$1:$S$101,2,FALSE))</f>
        <v/>
      </c>
      <c r="H1223" s="1" t="str">
        <f>IF(Table2[[#This Row],[Description]]="","",VLOOKUP(Table2[[#This Row],[Description]],$Q$1:$S$101,3,FALSE))</f>
        <v/>
      </c>
      <c r="I1223" s="1" t="str">
        <f>IF(Table2[[#This Row],[Description]]="","",IF(Table2[[#This Row],[Currency]]=$O$2,$P$2,HLOOKUP(Table2[[#This Row],[Date]],Funds!$C$10:$GV$11,2,FALSE)))</f>
        <v/>
      </c>
      <c r="J1223" s="215" t="str">
        <f>IF(Table2[[#This Row],[Description]]="","",Table2[[#This Row],[Value]]/Table2[[#This Row],[Conversion]])</f>
        <v/>
      </c>
      <c r="K1223" s="45" t="str">
        <f>IF(Table2[[#This Row],[Description]]="","",DATE(Table2[[#This Row],[Year]],Table2[[#This Row],[Month]],1))</f>
        <v/>
      </c>
    </row>
    <row r="1224" spans="7:11" x14ac:dyDescent="0.25">
      <c r="G1224" s="1" t="str">
        <f>IF(Table2[[#This Row],[Description]]="","",VLOOKUP(Table2[[#This Row],[Description]],$Q$1:$S$101,2,FALSE))</f>
        <v/>
      </c>
      <c r="H1224" s="1" t="str">
        <f>IF(Table2[[#This Row],[Description]]="","",VLOOKUP(Table2[[#This Row],[Description]],$Q$1:$S$101,3,FALSE))</f>
        <v/>
      </c>
      <c r="I1224" s="1" t="str">
        <f>IF(Table2[[#This Row],[Description]]="","",IF(Table2[[#This Row],[Currency]]=$O$2,$P$2,HLOOKUP(Table2[[#This Row],[Date]],Funds!$C$10:$GV$11,2,FALSE)))</f>
        <v/>
      </c>
      <c r="J1224" s="215" t="str">
        <f>IF(Table2[[#This Row],[Description]]="","",Table2[[#This Row],[Value]]/Table2[[#This Row],[Conversion]])</f>
        <v/>
      </c>
      <c r="K1224" s="45" t="str">
        <f>IF(Table2[[#This Row],[Description]]="","",DATE(Table2[[#This Row],[Year]],Table2[[#This Row],[Month]],1))</f>
        <v/>
      </c>
    </row>
    <row r="1225" spans="7:11" x14ac:dyDescent="0.25">
      <c r="G1225" s="1" t="str">
        <f>IF(Table2[[#This Row],[Description]]="","",VLOOKUP(Table2[[#This Row],[Description]],$Q$1:$S$101,2,FALSE))</f>
        <v/>
      </c>
      <c r="H1225" s="1" t="str">
        <f>IF(Table2[[#This Row],[Description]]="","",VLOOKUP(Table2[[#This Row],[Description]],$Q$1:$S$101,3,FALSE))</f>
        <v/>
      </c>
      <c r="I1225" s="1" t="str">
        <f>IF(Table2[[#This Row],[Description]]="","",IF(Table2[[#This Row],[Currency]]=$O$2,$P$2,HLOOKUP(Table2[[#This Row],[Date]],Funds!$C$10:$GV$11,2,FALSE)))</f>
        <v/>
      </c>
      <c r="J1225" s="215" t="str">
        <f>IF(Table2[[#This Row],[Description]]="","",Table2[[#This Row],[Value]]/Table2[[#This Row],[Conversion]])</f>
        <v/>
      </c>
      <c r="K1225" s="45" t="str">
        <f>IF(Table2[[#This Row],[Description]]="","",DATE(Table2[[#This Row],[Year]],Table2[[#This Row],[Month]],1))</f>
        <v/>
      </c>
    </row>
    <row r="1226" spans="7:11" x14ac:dyDescent="0.25">
      <c r="G1226" s="1" t="str">
        <f>IF(Table2[[#This Row],[Description]]="","",VLOOKUP(Table2[[#This Row],[Description]],$Q$1:$S$101,2,FALSE))</f>
        <v/>
      </c>
      <c r="H1226" s="1" t="str">
        <f>IF(Table2[[#This Row],[Description]]="","",VLOOKUP(Table2[[#This Row],[Description]],$Q$1:$S$101,3,FALSE))</f>
        <v/>
      </c>
      <c r="I1226" s="1" t="str">
        <f>IF(Table2[[#This Row],[Description]]="","",IF(Table2[[#This Row],[Currency]]=$O$2,$P$2,HLOOKUP(Table2[[#This Row],[Date]],Funds!$C$10:$GV$11,2,FALSE)))</f>
        <v/>
      </c>
      <c r="J1226" s="215" t="str">
        <f>IF(Table2[[#This Row],[Description]]="","",Table2[[#This Row],[Value]]/Table2[[#This Row],[Conversion]])</f>
        <v/>
      </c>
      <c r="K1226" s="45" t="str">
        <f>IF(Table2[[#This Row],[Description]]="","",DATE(Table2[[#This Row],[Year]],Table2[[#This Row],[Month]],1))</f>
        <v/>
      </c>
    </row>
    <row r="1227" spans="7:11" x14ac:dyDescent="0.25">
      <c r="G1227" s="1" t="str">
        <f>IF(Table2[[#This Row],[Description]]="","",VLOOKUP(Table2[[#This Row],[Description]],$Q$1:$S$101,2,FALSE))</f>
        <v/>
      </c>
      <c r="H1227" s="1" t="str">
        <f>IF(Table2[[#This Row],[Description]]="","",VLOOKUP(Table2[[#This Row],[Description]],$Q$1:$S$101,3,FALSE))</f>
        <v/>
      </c>
      <c r="I1227" s="1" t="str">
        <f>IF(Table2[[#This Row],[Description]]="","",IF(Table2[[#This Row],[Currency]]=$O$2,$P$2,HLOOKUP(Table2[[#This Row],[Date]],Funds!$C$10:$GV$11,2,FALSE)))</f>
        <v/>
      </c>
      <c r="J1227" s="215" t="str">
        <f>IF(Table2[[#This Row],[Description]]="","",Table2[[#This Row],[Value]]/Table2[[#This Row],[Conversion]])</f>
        <v/>
      </c>
      <c r="K1227" s="45" t="str">
        <f>IF(Table2[[#This Row],[Description]]="","",DATE(Table2[[#This Row],[Year]],Table2[[#This Row],[Month]],1))</f>
        <v/>
      </c>
    </row>
    <row r="1228" spans="7:11" x14ac:dyDescent="0.25">
      <c r="G1228" s="1" t="str">
        <f>IF(Table2[[#This Row],[Description]]="","",VLOOKUP(Table2[[#This Row],[Description]],$Q$1:$S$101,2,FALSE))</f>
        <v/>
      </c>
      <c r="H1228" s="1" t="str">
        <f>IF(Table2[[#This Row],[Description]]="","",VLOOKUP(Table2[[#This Row],[Description]],$Q$1:$S$101,3,FALSE))</f>
        <v/>
      </c>
      <c r="I1228" s="1" t="str">
        <f>IF(Table2[[#This Row],[Description]]="","",IF(Table2[[#This Row],[Currency]]=$O$2,$P$2,HLOOKUP(Table2[[#This Row],[Date]],Funds!$C$10:$GV$11,2,FALSE)))</f>
        <v/>
      </c>
      <c r="J1228" s="215" t="str">
        <f>IF(Table2[[#This Row],[Description]]="","",Table2[[#This Row],[Value]]/Table2[[#This Row],[Conversion]])</f>
        <v/>
      </c>
      <c r="K1228" s="45" t="str">
        <f>IF(Table2[[#This Row],[Description]]="","",DATE(Table2[[#This Row],[Year]],Table2[[#This Row],[Month]],1))</f>
        <v/>
      </c>
    </row>
    <row r="1229" spans="7:11" x14ac:dyDescent="0.25">
      <c r="G1229" s="1" t="str">
        <f>IF(Table2[[#This Row],[Description]]="","",VLOOKUP(Table2[[#This Row],[Description]],$Q$1:$S$101,2,FALSE))</f>
        <v/>
      </c>
      <c r="H1229" s="1" t="str">
        <f>IF(Table2[[#This Row],[Description]]="","",VLOOKUP(Table2[[#This Row],[Description]],$Q$1:$S$101,3,FALSE))</f>
        <v/>
      </c>
      <c r="I1229" s="1" t="str">
        <f>IF(Table2[[#This Row],[Description]]="","",IF(Table2[[#This Row],[Currency]]=$O$2,$P$2,HLOOKUP(Table2[[#This Row],[Date]],Funds!$C$10:$GV$11,2,FALSE)))</f>
        <v/>
      </c>
      <c r="J1229" s="215" t="str">
        <f>IF(Table2[[#This Row],[Description]]="","",Table2[[#This Row],[Value]]/Table2[[#This Row],[Conversion]])</f>
        <v/>
      </c>
      <c r="K1229" s="45" t="str">
        <f>IF(Table2[[#This Row],[Description]]="","",DATE(Table2[[#This Row],[Year]],Table2[[#This Row],[Month]],1))</f>
        <v/>
      </c>
    </row>
    <row r="1230" spans="7:11" x14ac:dyDescent="0.25">
      <c r="G1230" s="1" t="str">
        <f>IF(Table2[[#This Row],[Description]]="","",VLOOKUP(Table2[[#This Row],[Description]],$Q$1:$S$101,2,FALSE))</f>
        <v/>
      </c>
      <c r="H1230" s="1" t="str">
        <f>IF(Table2[[#This Row],[Description]]="","",VLOOKUP(Table2[[#This Row],[Description]],$Q$1:$S$101,3,FALSE))</f>
        <v/>
      </c>
      <c r="I1230" s="1" t="str">
        <f>IF(Table2[[#This Row],[Description]]="","",IF(Table2[[#This Row],[Currency]]=$O$2,$P$2,HLOOKUP(Table2[[#This Row],[Date]],Funds!$C$10:$GV$11,2,FALSE)))</f>
        <v/>
      </c>
      <c r="J1230" s="215" t="str">
        <f>IF(Table2[[#This Row],[Description]]="","",Table2[[#This Row],[Value]]/Table2[[#This Row],[Conversion]])</f>
        <v/>
      </c>
      <c r="K1230" s="45" t="str">
        <f>IF(Table2[[#This Row],[Description]]="","",DATE(Table2[[#This Row],[Year]],Table2[[#This Row],[Month]],1))</f>
        <v/>
      </c>
    </row>
    <row r="1231" spans="7:11" x14ac:dyDescent="0.25">
      <c r="G1231" s="1" t="str">
        <f>IF(Table2[[#This Row],[Description]]="","",VLOOKUP(Table2[[#This Row],[Description]],$Q$1:$S$101,2,FALSE))</f>
        <v/>
      </c>
      <c r="H1231" s="1" t="str">
        <f>IF(Table2[[#This Row],[Description]]="","",VLOOKUP(Table2[[#This Row],[Description]],$Q$1:$S$101,3,FALSE))</f>
        <v/>
      </c>
      <c r="I1231" s="1" t="str">
        <f>IF(Table2[[#This Row],[Description]]="","",IF(Table2[[#This Row],[Currency]]=$O$2,$P$2,HLOOKUP(Table2[[#This Row],[Date]],Funds!$C$10:$GV$11,2,FALSE)))</f>
        <v/>
      </c>
      <c r="J1231" s="215" t="str">
        <f>IF(Table2[[#This Row],[Description]]="","",Table2[[#This Row],[Value]]/Table2[[#This Row],[Conversion]])</f>
        <v/>
      </c>
      <c r="K1231" s="45" t="str">
        <f>IF(Table2[[#This Row],[Description]]="","",DATE(Table2[[#This Row],[Year]],Table2[[#This Row],[Month]],1))</f>
        <v/>
      </c>
    </row>
    <row r="1232" spans="7:11" x14ac:dyDescent="0.25">
      <c r="G1232" s="1" t="str">
        <f>IF(Table2[[#This Row],[Description]]="","",VLOOKUP(Table2[[#This Row],[Description]],$Q$1:$S$101,2,FALSE))</f>
        <v/>
      </c>
      <c r="H1232" s="1" t="str">
        <f>IF(Table2[[#This Row],[Description]]="","",VLOOKUP(Table2[[#This Row],[Description]],$Q$1:$S$101,3,FALSE))</f>
        <v/>
      </c>
      <c r="I1232" s="1" t="str">
        <f>IF(Table2[[#This Row],[Description]]="","",IF(Table2[[#This Row],[Currency]]=$O$2,$P$2,HLOOKUP(Table2[[#This Row],[Date]],Funds!$C$10:$GV$11,2,FALSE)))</f>
        <v/>
      </c>
      <c r="J1232" s="215" t="str">
        <f>IF(Table2[[#This Row],[Description]]="","",Table2[[#This Row],[Value]]/Table2[[#This Row],[Conversion]])</f>
        <v/>
      </c>
      <c r="K1232" s="45" t="str">
        <f>IF(Table2[[#This Row],[Description]]="","",DATE(Table2[[#This Row],[Year]],Table2[[#This Row],[Month]],1))</f>
        <v/>
      </c>
    </row>
    <row r="1233" spans="7:11" x14ac:dyDescent="0.25">
      <c r="G1233" s="1" t="str">
        <f>IF(Table2[[#This Row],[Description]]="","",VLOOKUP(Table2[[#This Row],[Description]],$Q$1:$S$101,2,FALSE))</f>
        <v/>
      </c>
      <c r="H1233" s="1" t="str">
        <f>IF(Table2[[#This Row],[Description]]="","",VLOOKUP(Table2[[#This Row],[Description]],$Q$1:$S$101,3,FALSE))</f>
        <v/>
      </c>
      <c r="I1233" s="1" t="str">
        <f>IF(Table2[[#This Row],[Description]]="","",IF(Table2[[#This Row],[Currency]]=$O$2,$P$2,HLOOKUP(Table2[[#This Row],[Date]],Funds!$C$10:$GV$11,2,FALSE)))</f>
        <v/>
      </c>
      <c r="J1233" s="215" t="str">
        <f>IF(Table2[[#This Row],[Description]]="","",Table2[[#This Row],[Value]]/Table2[[#This Row],[Conversion]])</f>
        <v/>
      </c>
      <c r="K1233" s="45" t="str">
        <f>IF(Table2[[#This Row],[Description]]="","",DATE(Table2[[#This Row],[Year]],Table2[[#This Row],[Month]],1))</f>
        <v/>
      </c>
    </row>
    <row r="1234" spans="7:11" x14ac:dyDescent="0.25">
      <c r="G1234" s="1" t="str">
        <f>IF(Table2[[#This Row],[Description]]="","",VLOOKUP(Table2[[#This Row],[Description]],$Q$1:$S$101,2,FALSE))</f>
        <v/>
      </c>
      <c r="H1234" s="1" t="str">
        <f>IF(Table2[[#This Row],[Description]]="","",VLOOKUP(Table2[[#This Row],[Description]],$Q$1:$S$101,3,FALSE))</f>
        <v/>
      </c>
      <c r="I1234" s="1" t="str">
        <f>IF(Table2[[#This Row],[Description]]="","",IF(Table2[[#This Row],[Currency]]=$O$2,$P$2,HLOOKUP(Table2[[#This Row],[Date]],Funds!$C$10:$GV$11,2,FALSE)))</f>
        <v/>
      </c>
      <c r="J1234" s="215" t="str">
        <f>IF(Table2[[#This Row],[Description]]="","",Table2[[#This Row],[Value]]/Table2[[#This Row],[Conversion]])</f>
        <v/>
      </c>
      <c r="K1234" s="45" t="str">
        <f>IF(Table2[[#This Row],[Description]]="","",DATE(Table2[[#This Row],[Year]],Table2[[#This Row],[Month]],1))</f>
        <v/>
      </c>
    </row>
    <row r="1235" spans="7:11" x14ac:dyDescent="0.25">
      <c r="G1235" s="1" t="str">
        <f>IF(Table2[[#This Row],[Description]]="","",VLOOKUP(Table2[[#This Row],[Description]],$Q$1:$S$101,2,FALSE))</f>
        <v/>
      </c>
      <c r="H1235" s="1" t="str">
        <f>IF(Table2[[#This Row],[Description]]="","",VLOOKUP(Table2[[#This Row],[Description]],$Q$1:$S$101,3,FALSE))</f>
        <v/>
      </c>
      <c r="I1235" s="1" t="str">
        <f>IF(Table2[[#This Row],[Description]]="","",IF(Table2[[#This Row],[Currency]]=$O$2,$P$2,HLOOKUP(Table2[[#This Row],[Date]],Funds!$C$10:$GV$11,2,FALSE)))</f>
        <v/>
      </c>
      <c r="J1235" s="215" t="str">
        <f>IF(Table2[[#This Row],[Description]]="","",Table2[[#This Row],[Value]]/Table2[[#This Row],[Conversion]])</f>
        <v/>
      </c>
      <c r="K1235" s="45" t="str">
        <f>IF(Table2[[#This Row],[Description]]="","",DATE(Table2[[#This Row],[Year]],Table2[[#This Row],[Month]],1))</f>
        <v/>
      </c>
    </row>
    <row r="1236" spans="7:11" x14ac:dyDescent="0.25">
      <c r="G1236" s="1" t="str">
        <f>IF(Table2[[#This Row],[Description]]="","",VLOOKUP(Table2[[#This Row],[Description]],$Q$1:$S$101,2,FALSE))</f>
        <v/>
      </c>
      <c r="H1236" s="1" t="str">
        <f>IF(Table2[[#This Row],[Description]]="","",VLOOKUP(Table2[[#This Row],[Description]],$Q$1:$S$101,3,FALSE))</f>
        <v/>
      </c>
      <c r="I1236" s="1" t="str">
        <f>IF(Table2[[#This Row],[Description]]="","",IF(Table2[[#This Row],[Currency]]=$O$2,$P$2,HLOOKUP(Table2[[#This Row],[Date]],Funds!$C$10:$GV$11,2,FALSE)))</f>
        <v/>
      </c>
      <c r="J1236" s="215" t="str">
        <f>IF(Table2[[#This Row],[Description]]="","",Table2[[#This Row],[Value]]/Table2[[#This Row],[Conversion]])</f>
        <v/>
      </c>
      <c r="K1236" s="45" t="str">
        <f>IF(Table2[[#This Row],[Description]]="","",DATE(Table2[[#This Row],[Year]],Table2[[#This Row],[Month]],1))</f>
        <v/>
      </c>
    </row>
    <row r="1237" spans="7:11" x14ac:dyDescent="0.25">
      <c r="G1237" s="1" t="str">
        <f>IF(Table2[[#This Row],[Description]]="","",VLOOKUP(Table2[[#This Row],[Description]],$Q$1:$S$101,2,FALSE))</f>
        <v/>
      </c>
      <c r="H1237" s="1" t="str">
        <f>IF(Table2[[#This Row],[Description]]="","",VLOOKUP(Table2[[#This Row],[Description]],$Q$1:$S$101,3,FALSE))</f>
        <v/>
      </c>
      <c r="I1237" s="1" t="str">
        <f>IF(Table2[[#This Row],[Description]]="","",IF(Table2[[#This Row],[Currency]]=$O$2,$P$2,HLOOKUP(Table2[[#This Row],[Date]],Funds!$C$10:$GV$11,2,FALSE)))</f>
        <v/>
      </c>
      <c r="J1237" s="215" t="str">
        <f>IF(Table2[[#This Row],[Description]]="","",Table2[[#This Row],[Value]]/Table2[[#This Row],[Conversion]])</f>
        <v/>
      </c>
      <c r="K1237" s="45" t="str">
        <f>IF(Table2[[#This Row],[Description]]="","",DATE(Table2[[#This Row],[Year]],Table2[[#This Row],[Month]],1))</f>
        <v/>
      </c>
    </row>
    <row r="1238" spans="7:11" x14ac:dyDescent="0.25">
      <c r="G1238" s="1" t="str">
        <f>IF(Table2[[#This Row],[Description]]="","",VLOOKUP(Table2[[#This Row],[Description]],$Q$1:$S$101,2,FALSE))</f>
        <v/>
      </c>
      <c r="H1238" s="1" t="str">
        <f>IF(Table2[[#This Row],[Description]]="","",VLOOKUP(Table2[[#This Row],[Description]],$Q$1:$S$101,3,FALSE))</f>
        <v/>
      </c>
      <c r="I1238" s="1" t="str">
        <f>IF(Table2[[#This Row],[Description]]="","",IF(Table2[[#This Row],[Currency]]=$O$2,$P$2,HLOOKUP(Table2[[#This Row],[Date]],Funds!$C$10:$GV$11,2,FALSE)))</f>
        <v/>
      </c>
      <c r="J1238" s="215" t="str">
        <f>IF(Table2[[#This Row],[Description]]="","",Table2[[#This Row],[Value]]/Table2[[#This Row],[Conversion]])</f>
        <v/>
      </c>
      <c r="K1238" s="45" t="str">
        <f>IF(Table2[[#This Row],[Description]]="","",DATE(Table2[[#This Row],[Year]],Table2[[#This Row],[Month]],1))</f>
        <v/>
      </c>
    </row>
    <row r="1239" spans="7:11" x14ac:dyDescent="0.25">
      <c r="G1239" s="1" t="str">
        <f>IF(Table2[[#This Row],[Description]]="","",VLOOKUP(Table2[[#This Row],[Description]],$Q$1:$S$101,2,FALSE))</f>
        <v/>
      </c>
      <c r="H1239" s="1" t="str">
        <f>IF(Table2[[#This Row],[Description]]="","",VLOOKUP(Table2[[#This Row],[Description]],$Q$1:$S$101,3,FALSE))</f>
        <v/>
      </c>
      <c r="I1239" s="1" t="str">
        <f>IF(Table2[[#This Row],[Description]]="","",IF(Table2[[#This Row],[Currency]]=$O$2,$P$2,HLOOKUP(Table2[[#This Row],[Date]],Funds!$C$10:$GV$11,2,FALSE)))</f>
        <v/>
      </c>
      <c r="J1239" s="215" t="str">
        <f>IF(Table2[[#This Row],[Description]]="","",Table2[[#This Row],[Value]]/Table2[[#This Row],[Conversion]])</f>
        <v/>
      </c>
      <c r="K1239" s="45" t="str">
        <f>IF(Table2[[#This Row],[Description]]="","",DATE(Table2[[#This Row],[Year]],Table2[[#This Row],[Month]],1))</f>
        <v/>
      </c>
    </row>
    <row r="1240" spans="7:11" x14ac:dyDescent="0.25">
      <c r="G1240" s="1" t="str">
        <f>IF(Table2[[#This Row],[Description]]="","",VLOOKUP(Table2[[#This Row],[Description]],$Q$1:$S$101,2,FALSE))</f>
        <v/>
      </c>
      <c r="H1240" s="1" t="str">
        <f>IF(Table2[[#This Row],[Description]]="","",VLOOKUP(Table2[[#This Row],[Description]],$Q$1:$S$101,3,FALSE))</f>
        <v/>
      </c>
      <c r="I1240" s="1" t="str">
        <f>IF(Table2[[#This Row],[Description]]="","",IF(Table2[[#This Row],[Currency]]=$O$2,$P$2,HLOOKUP(Table2[[#This Row],[Date]],Funds!$C$10:$GV$11,2,FALSE)))</f>
        <v/>
      </c>
      <c r="J1240" s="215" t="str">
        <f>IF(Table2[[#This Row],[Description]]="","",Table2[[#This Row],[Value]]/Table2[[#This Row],[Conversion]])</f>
        <v/>
      </c>
      <c r="K1240" s="45" t="str">
        <f>IF(Table2[[#This Row],[Description]]="","",DATE(Table2[[#This Row],[Year]],Table2[[#This Row],[Month]],1))</f>
        <v/>
      </c>
    </row>
    <row r="1241" spans="7:11" x14ac:dyDescent="0.25">
      <c r="G1241" s="1" t="str">
        <f>IF(Table2[[#This Row],[Description]]="","",VLOOKUP(Table2[[#This Row],[Description]],$Q$1:$S$101,2,FALSE))</f>
        <v/>
      </c>
      <c r="H1241" s="1" t="str">
        <f>IF(Table2[[#This Row],[Description]]="","",VLOOKUP(Table2[[#This Row],[Description]],$Q$1:$S$101,3,FALSE))</f>
        <v/>
      </c>
      <c r="I1241" s="1" t="str">
        <f>IF(Table2[[#This Row],[Description]]="","",IF(Table2[[#This Row],[Currency]]=$O$2,$P$2,HLOOKUP(Table2[[#This Row],[Date]],Funds!$C$10:$GV$11,2,FALSE)))</f>
        <v/>
      </c>
      <c r="J1241" s="215" t="str">
        <f>IF(Table2[[#This Row],[Description]]="","",Table2[[#This Row],[Value]]/Table2[[#This Row],[Conversion]])</f>
        <v/>
      </c>
      <c r="K1241" s="45" t="str">
        <f>IF(Table2[[#This Row],[Description]]="","",DATE(Table2[[#This Row],[Year]],Table2[[#This Row],[Month]],1))</f>
        <v/>
      </c>
    </row>
    <row r="1242" spans="7:11" x14ac:dyDescent="0.25">
      <c r="G1242" s="1" t="str">
        <f>IF(Table2[[#This Row],[Description]]="","",VLOOKUP(Table2[[#This Row],[Description]],$Q$1:$S$101,2,FALSE))</f>
        <v/>
      </c>
      <c r="H1242" s="1" t="str">
        <f>IF(Table2[[#This Row],[Description]]="","",VLOOKUP(Table2[[#This Row],[Description]],$Q$1:$S$101,3,FALSE))</f>
        <v/>
      </c>
      <c r="I1242" s="1" t="str">
        <f>IF(Table2[[#This Row],[Description]]="","",IF(Table2[[#This Row],[Currency]]=$O$2,$P$2,HLOOKUP(Table2[[#This Row],[Date]],Funds!$C$10:$GV$11,2,FALSE)))</f>
        <v/>
      </c>
      <c r="J1242" s="215" t="str">
        <f>IF(Table2[[#This Row],[Description]]="","",Table2[[#This Row],[Value]]/Table2[[#This Row],[Conversion]])</f>
        <v/>
      </c>
      <c r="K1242" s="45" t="str">
        <f>IF(Table2[[#This Row],[Description]]="","",DATE(Table2[[#This Row],[Year]],Table2[[#This Row],[Month]],1))</f>
        <v/>
      </c>
    </row>
    <row r="1243" spans="7:11" x14ac:dyDescent="0.25">
      <c r="G1243" s="1" t="str">
        <f>IF(Table2[[#This Row],[Description]]="","",VLOOKUP(Table2[[#This Row],[Description]],$Q$1:$S$101,2,FALSE))</f>
        <v/>
      </c>
      <c r="H1243" s="1" t="str">
        <f>IF(Table2[[#This Row],[Description]]="","",VLOOKUP(Table2[[#This Row],[Description]],$Q$1:$S$101,3,FALSE))</f>
        <v/>
      </c>
      <c r="I1243" s="1" t="str">
        <f>IF(Table2[[#This Row],[Description]]="","",IF(Table2[[#This Row],[Currency]]=$O$2,$P$2,HLOOKUP(Table2[[#This Row],[Date]],Funds!$C$10:$GV$11,2,FALSE)))</f>
        <v/>
      </c>
      <c r="J1243" s="215" t="str">
        <f>IF(Table2[[#This Row],[Description]]="","",Table2[[#This Row],[Value]]/Table2[[#This Row],[Conversion]])</f>
        <v/>
      </c>
      <c r="K1243" s="45" t="str">
        <f>IF(Table2[[#This Row],[Description]]="","",DATE(Table2[[#This Row],[Year]],Table2[[#This Row],[Month]],1))</f>
        <v/>
      </c>
    </row>
    <row r="1244" spans="7:11" x14ac:dyDescent="0.25">
      <c r="G1244" s="1" t="str">
        <f>IF(Table2[[#This Row],[Description]]="","",VLOOKUP(Table2[[#This Row],[Description]],$Q$1:$S$101,2,FALSE))</f>
        <v/>
      </c>
      <c r="H1244" s="1" t="str">
        <f>IF(Table2[[#This Row],[Description]]="","",VLOOKUP(Table2[[#This Row],[Description]],$Q$1:$S$101,3,FALSE))</f>
        <v/>
      </c>
      <c r="I1244" s="1" t="str">
        <f>IF(Table2[[#This Row],[Description]]="","",IF(Table2[[#This Row],[Currency]]=$O$2,$P$2,HLOOKUP(Table2[[#This Row],[Date]],Funds!$C$10:$GV$11,2,FALSE)))</f>
        <v/>
      </c>
      <c r="J1244" s="215" t="str">
        <f>IF(Table2[[#This Row],[Description]]="","",Table2[[#This Row],[Value]]/Table2[[#This Row],[Conversion]])</f>
        <v/>
      </c>
      <c r="K1244" s="45" t="str">
        <f>IF(Table2[[#This Row],[Description]]="","",DATE(Table2[[#This Row],[Year]],Table2[[#This Row],[Month]],1))</f>
        <v/>
      </c>
    </row>
    <row r="1245" spans="7:11" x14ac:dyDescent="0.25">
      <c r="G1245" s="1" t="str">
        <f>IF(Table2[[#This Row],[Description]]="","",VLOOKUP(Table2[[#This Row],[Description]],$Q$1:$S$101,2,FALSE))</f>
        <v/>
      </c>
      <c r="H1245" s="1" t="str">
        <f>IF(Table2[[#This Row],[Description]]="","",VLOOKUP(Table2[[#This Row],[Description]],$Q$1:$S$101,3,FALSE))</f>
        <v/>
      </c>
      <c r="I1245" s="1" t="str">
        <f>IF(Table2[[#This Row],[Description]]="","",IF(Table2[[#This Row],[Currency]]=$O$2,$P$2,HLOOKUP(Table2[[#This Row],[Date]],Funds!$C$10:$GV$11,2,FALSE)))</f>
        <v/>
      </c>
      <c r="J1245" s="215" t="str">
        <f>IF(Table2[[#This Row],[Description]]="","",Table2[[#This Row],[Value]]/Table2[[#This Row],[Conversion]])</f>
        <v/>
      </c>
      <c r="K1245" s="45" t="str">
        <f>IF(Table2[[#This Row],[Description]]="","",DATE(Table2[[#This Row],[Year]],Table2[[#This Row],[Month]],1))</f>
        <v/>
      </c>
    </row>
    <row r="1246" spans="7:11" x14ac:dyDescent="0.25">
      <c r="G1246" s="1" t="str">
        <f>IF(Table2[[#This Row],[Description]]="","",VLOOKUP(Table2[[#This Row],[Description]],$Q$1:$S$101,2,FALSE))</f>
        <v/>
      </c>
      <c r="H1246" s="1" t="str">
        <f>IF(Table2[[#This Row],[Description]]="","",VLOOKUP(Table2[[#This Row],[Description]],$Q$1:$S$101,3,FALSE))</f>
        <v/>
      </c>
      <c r="I1246" s="1" t="str">
        <f>IF(Table2[[#This Row],[Description]]="","",IF(Table2[[#This Row],[Currency]]=$O$2,$P$2,HLOOKUP(Table2[[#This Row],[Date]],Funds!$C$10:$GV$11,2,FALSE)))</f>
        <v/>
      </c>
      <c r="J1246" s="215" t="str">
        <f>IF(Table2[[#This Row],[Description]]="","",Table2[[#This Row],[Value]]/Table2[[#This Row],[Conversion]])</f>
        <v/>
      </c>
      <c r="K1246" s="45" t="str">
        <f>IF(Table2[[#This Row],[Description]]="","",DATE(Table2[[#This Row],[Year]],Table2[[#This Row],[Month]],1))</f>
        <v/>
      </c>
    </row>
    <row r="1247" spans="7:11" x14ac:dyDescent="0.25">
      <c r="G1247" s="1" t="str">
        <f>IF(Table2[[#This Row],[Description]]="","",VLOOKUP(Table2[[#This Row],[Description]],$Q$1:$S$101,2,FALSE))</f>
        <v/>
      </c>
      <c r="H1247" s="1" t="str">
        <f>IF(Table2[[#This Row],[Description]]="","",VLOOKUP(Table2[[#This Row],[Description]],$Q$1:$S$101,3,FALSE))</f>
        <v/>
      </c>
      <c r="I1247" s="1" t="str">
        <f>IF(Table2[[#This Row],[Description]]="","",IF(Table2[[#This Row],[Currency]]=$O$2,$P$2,HLOOKUP(Table2[[#This Row],[Date]],Funds!$C$10:$GV$11,2,FALSE)))</f>
        <v/>
      </c>
      <c r="J1247" s="215" t="str">
        <f>IF(Table2[[#This Row],[Description]]="","",Table2[[#This Row],[Value]]/Table2[[#This Row],[Conversion]])</f>
        <v/>
      </c>
      <c r="K1247" s="45" t="str">
        <f>IF(Table2[[#This Row],[Description]]="","",DATE(Table2[[#This Row],[Year]],Table2[[#This Row],[Month]],1))</f>
        <v/>
      </c>
    </row>
    <row r="1248" spans="7:11" x14ac:dyDescent="0.25">
      <c r="G1248" s="1" t="str">
        <f>IF(Table2[[#This Row],[Description]]="","",VLOOKUP(Table2[[#This Row],[Description]],$Q$1:$S$101,2,FALSE))</f>
        <v/>
      </c>
      <c r="H1248" s="1" t="str">
        <f>IF(Table2[[#This Row],[Description]]="","",VLOOKUP(Table2[[#This Row],[Description]],$Q$1:$S$101,3,FALSE))</f>
        <v/>
      </c>
      <c r="I1248" s="1" t="str">
        <f>IF(Table2[[#This Row],[Description]]="","",IF(Table2[[#This Row],[Currency]]=$O$2,$P$2,HLOOKUP(Table2[[#This Row],[Date]],Funds!$C$10:$GV$11,2,FALSE)))</f>
        <v/>
      </c>
      <c r="J1248" s="215" t="str">
        <f>IF(Table2[[#This Row],[Description]]="","",Table2[[#This Row],[Value]]/Table2[[#This Row],[Conversion]])</f>
        <v/>
      </c>
      <c r="K1248" s="45" t="str">
        <f>IF(Table2[[#This Row],[Description]]="","",DATE(Table2[[#This Row],[Year]],Table2[[#This Row],[Month]],1))</f>
        <v/>
      </c>
    </row>
    <row r="1249" spans="7:11" x14ac:dyDescent="0.25">
      <c r="G1249" s="1" t="str">
        <f>IF(Table2[[#This Row],[Description]]="","",VLOOKUP(Table2[[#This Row],[Description]],$Q$1:$S$101,2,FALSE))</f>
        <v/>
      </c>
      <c r="H1249" s="1" t="str">
        <f>IF(Table2[[#This Row],[Description]]="","",VLOOKUP(Table2[[#This Row],[Description]],$Q$1:$S$101,3,FALSE))</f>
        <v/>
      </c>
      <c r="I1249" s="1" t="str">
        <f>IF(Table2[[#This Row],[Description]]="","",IF(Table2[[#This Row],[Currency]]=$O$2,$P$2,HLOOKUP(Table2[[#This Row],[Date]],Funds!$C$10:$GV$11,2,FALSE)))</f>
        <v/>
      </c>
      <c r="J1249" s="215" t="str">
        <f>IF(Table2[[#This Row],[Description]]="","",Table2[[#This Row],[Value]]/Table2[[#This Row],[Conversion]])</f>
        <v/>
      </c>
      <c r="K1249" s="45" t="str">
        <f>IF(Table2[[#This Row],[Description]]="","",DATE(Table2[[#This Row],[Year]],Table2[[#This Row],[Month]],1))</f>
        <v/>
      </c>
    </row>
    <row r="1250" spans="7:11" x14ac:dyDescent="0.25">
      <c r="G1250" s="1" t="str">
        <f>IF(Table2[[#This Row],[Description]]="","",VLOOKUP(Table2[[#This Row],[Description]],$Q$1:$S$101,2,FALSE))</f>
        <v/>
      </c>
      <c r="H1250" s="1" t="str">
        <f>IF(Table2[[#This Row],[Description]]="","",VLOOKUP(Table2[[#This Row],[Description]],$Q$1:$S$101,3,FALSE))</f>
        <v/>
      </c>
      <c r="I1250" s="1" t="str">
        <f>IF(Table2[[#This Row],[Description]]="","",IF(Table2[[#This Row],[Currency]]=$O$2,$P$2,HLOOKUP(Table2[[#This Row],[Date]],Funds!$C$10:$GV$11,2,FALSE)))</f>
        <v/>
      </c>
      <c r="J1250" s="215" t="str">
        <f>IF(Table2[[#This Row],[Description]]="","",Table2[[#This Row],[Value]]/Table2[[#This Row],[Conversion]])</f>
        <v/>
      </c>
      <c r="K1250" s="45" t="str">
        <f>IF(Table2[[#This Row],[Description]]="","",DATE(Table2[[#This Row],[Year]],Table2[[#This Row],[Month]],1))</f>
        <v/>
      </c>
    </row>
    <row r="1251" spans="7:11" x14ac:dyDescent="0.25">
      <c r="G1251" s="1" t="str">
        <f>IF(Table2[[#This Row],[Description]]="","",VLOOKUP(Table2[[#This Row],[Description]],$Q$1:$S$101,2,FALSE))</f>
        <v/>
      </c>
      <c r="H1251" s="1" t="str">
        <f>IF(Table2[[#This Row],[Description]]="","",VLOOKUP(Table2[[#This Row],[Description]],$Q$1:$S$101,3,FALSE))</f>
        <v/>
      </c>
      <c r="I1251" s="1" t="str">
        <f>IF(Table2[[#This Row],[Description]]="","",IF(Table2[[#This Row],[Currency]]=$O$2,$P$2,HLOOKUP(Table2[[#This Row],[Date]],Funds!$C$10:$GV$11,2,FALSE)))</f>
        <v/>
      </c>
      <c r="J1251" s="215" t="str">
        <f>IF(Table2[[#This Row],[Description]]="","",Table2[[#This Row],[Value]]/Table2[[#This Row],[Conversion]])</f>
        <v/>
      </c>
      <c r="K1251" s="45" t="str">
        <f>IF(Table2[[#This Row],[Description]]="","",DATE(Table2[[#This Row],[Year]],Table2[[#This Row],[Month]],1))</f>
        <v/>
      </c>
    </row>
    <row r="1252" spans="7:11" x14ac:dyDescent="0.25">
      <c r="G1252" s="1" t="str">
        <f>IF(Table2[[#This Row],[Description]]="","",VLOOKUP(Table2[[#This Row],[Description]],$Q$1:$S$101,2,FALSE))</f>
        <v/>
      </c>
      <c r="H1252" s="1" t="str">
        <f>IF(Table2[[#This Row],[Description]]="","",VLOOKUP(Table2[[#This Row],[Description]],$Q$1:$S$101,3,FALSE))</f>
        <v/>
      </c>
      <c r="I1252" s="1" t="str">
        <f>IF(Table2[[#This Row],[Description]]="","",IF(Table2[[#This Row],[Currency]]=$O$2,$P$2,HLOOKUP(Table2[[#This Row],[Date]],Funds!$C$10:$GV$11,2,FALSE)))</f>
        <v/>
      </c>
      <c r="J1252" s="215" t="str">
        <f>IF(Table2[[#This Row],[Description]]="","",Table2[[#This Row],[Value]]/Table2[[#This Row],[Conversion]])</f>
        <v/>
      </c>
      <c r="K1252" s="45" t="str">
        <f>IF(Table2[[#This Row],[Description]]="","",DATE(Table2[[#This Row],[Year]],Table2[[#This Row],[Month]],1))</f>
        <v/>
      </c>
    </row>
    <row r="1253" spans="7:11" x14ac:dyDescent="0.25">
      <c r="G1253" s="1" t="str">
        <f>IF(Table2[[#This Row],[Description]]="","",VLOOKUP(Table2[[#This Row],[Description]],$Q$1:$S$101,2,FALSE))</f>
        <v/>
      </c>
      <c r="H1253" s="1" t="str">
        <f>IF(Table2[[#This Row],[Description]]="","",VLOOKUP(Table2[[#This Row],[Description]],$Q$1:$S$101,3,FALSE))</f>
        <v/>
      </c>
      <c r="I1253" s="1" t="str">
        <f>IF(Table2[[#This Row],[Description]]="","",IF(Table2[[#This Row],[Currency]]=$O$2,$P$2,HLOOKUP(Table2[[#This Row],[Date]],Funds!$C$10:$GV$11,2,FALSE)))</f>
        <v/>
      </c>
      <c r="J1253" s="215" t="str">
        <f>IF(Table2[[#This Row],[Description]]="","",Table2[[#This Row],[Value]]/Table2[[#This Row],[Conversion]])</f>
        <v/>
      </c>
      <c r="K1253" s="45" t="str">
        <f>IF(Table2[[#This Row],[Description]]="","",DATE(Table2[[#This Row],[Year]],Table2[[#This Row],[Month]],1))</f>
        <v/>
      </c>
    </row>
    <row r="1254" spans="7:11" x14ac:dyDescent="0.25">
      <c r="G1254" s="1" t="str">
        <f>IF(Table2[[#This Row],[Description]]="","",VLOOKUP(Table2[[#This Row],[Description]],$Q$1:$S$101,2,FALSE))</f>
        <v/>
      </c>
      <c r="H1254" s="1" t="str">
        <f>IF(Table2[[#This Row],[Description]]="","",VLOOKUP(Table2[[#This Row],[Description]],$Q$1:$S$101,3,FALSE))</f>
        <v/>
      </c>
      <c r="I1254" s="1" t="str">
        <f>IF(Table2[[#This Row],[Description]]="","",IF(Table2[[#This Row],[Currency]]=$O$2,$P$2,HLOOKUP(Table2[[#This Row],[Date]],Funds!$C$10:$GV$11,2,FALSE)))</f>
        <v/>
      </c>
      <c r="J1254" s="215" t="str">
        <f>IF(Table2[[#This Row],[Description]]="","",Table2[[#This Row],[Value]]/Table2[[#This Row],[Conversion]])</f>
        <v/>
      </c>
      <c r="K1254" s="45" t="str">
        <f>IF(Table2[[#This Row],[Description]]="","",DATE(Table2[[#This Row],[Year]],Table2[[#This Row],[Month]],1))</f>
        <v/>
      </c>
    </row>
    <row r="1255" spans="7:11" x14ac:dyDescent="0.25">
      <c r="G1255" s="1" t="str">
        <f>IF(Table2[[#This Row],[Description]]="","",VLOOKUP(Table2[[#This Row],[Description]],$Q$1:$S$101,2,FALSE))</f>
        <v/>
      </c>
      <c r="H1255" s="1" t="str">
        <f>IF(Table2[[#This Row],[Description]]="","",VLOOKUP(Table2[[#This Row],[Description]],$Q$1:$S$101,3,FALSE))</f>
        <v/>
      </c>
      <c r="I1255" s="1" t="str">
        <f>IF(Table2[[#This Row],[Description]]="","",IF(Table2[[#This Row],[Currency]]=$O$2,$P$2,HLOOKUP(Table2[[#This Row],[Date]],Funds!$C$10:$GV$11,2,FALSE)))</f>
        <v/>
      </c>
      <c r="J1255" s="215" t="str">
        <f>IF(Table2[[#This Row],[Description]]="","",Table2[[#This Row],[Value]]/Table2[[#This Row],[Conversion]])</f>
        <v/>
      </c>
      <c r="K1255" s="45" t="str">
        <f>IF(Table2[[#This Row],[Description]]="","",DATE(Table2[[#This Row],[Year]],Table2[[#This Row],[Month]],1))</f>
        <v/>
      </c>
    </row>
    <row r="1256" spans="7:11" x14ac:dyDescent="0.25">
      <c r="G1256" s="1" t="str">
        <f>IF(Table2[[#This Row],[Description]]="","",VLOOKUP(Table2[[#This Row],[Description]],$Q$1:$S$101,2,FALSE))</f>
        <v/>
      </c>
      <c r="H1256" s="1" t="str">
        <f>IF(Table2[[#This Row],[Description]]="","",VLOOKUP(Table2[[#This Row],[Description]],$Q$1:$S$101,3,FALSE))</f>
        <v/>
      </c>
      <c r="I1256" s="1" t="str">
        <f>IF(Table2[[#This Row],[Description]]="","",IF(Table2[[#This Row],[Currency]]=$O$2,$P$2,HLOOKUP(Table2[[#This Row],[Date]],Funds!$C$10:$GV$11,2,FALSE)))</f>
        <v/>
      </c>
      <c r="J1256" s="215" t="str">
        <f>IF(Table2[[#This Row],[Description]]="","",Table2[[#This Row],[Value]]/Table2[[#This Row],[Conversion]])</f>
        <v/>
      </c>
      <c r="K1256" s="45" t="str">
        <f>IF(Table2[[#This Row],[Description]]="","",DATE(Table2[[#This Row],[Year]],Table2[[#This Row],[Month]],1))</f>
        <v/>
      </c>
    </row>
    <row r="1257" spans="7:11" x14ac:dyDescent="0.25">
      <c r="G1257" s="1" t="str">
        <f>IF(Table2[[#This Row],[Description]]="","",VLOOKUP(Table2[[#This Row],[Description]],$Q$1:$S$101,2,FALSE))</f>
        <v/>
      </c>
      <c r="H1257" s="1" t="str">
        <f>IF(Table2[[#This Row],[Description]]="","",VLOOKUP(Table2[[#This Row],[Description]],$Q$1:$S$101,3,FALSE))</f>
        <v/>
      </c>
      <c r="I1257" s="1" t="str">
        <f>IF(Table2[[#This Row],[Description]]="","",IF(Table2[[#This Row],[Currency]]=$O$2,$P$2,HLOOKUP(Table2[[#This Row],[Date]],Funds!$C$10:$GV$11,2,FALSE)))</f>
        <v/>
      </c>
      <c r="J1257" s="215" t="str">
        <f>IF(Table2[[#This Row],[Description]]="","",Table2[[#This Row],[Value]]/Table2[[#This Row],[Conversion]])</f>
        <v/>
      </c>
      <c r="K1257" s="45" t="str">
        <f>IF(Table2[[#This Row],[Description]]="","",DATE(Table2[[#This Row],[Year]],Table2[[#This Row],[Month]],1))</f>
        <v/>
      </c>
    </row>
    <row r="1258" spans="7:11" x14ac:dyDescent="0.25">
      <c r="G1258" s="1" t="str">
        <f>IF(Table2[[#This Row],[Description]]="","",VLOOKUP(Table2[[#This Row],[Description]],$Q$1:$S$101,2,FALSE))</f>
        <v/>
      </c>
      <c r="H1258" s="1" t="str">
        <f>IF(Table2[[#This Row],[Description]]="","",VLOOKUP(Table2[[#This Row],[Description]],$Q$1:$S$101,3,FALSE))</f>
        <v/>
      </c>
      <c r="I1258" s="1" t="str">
        <f>IF(Table2[[#This Row],[Description]]="","",IF(Table2[[#This Row],[Currency]]=$O$2,$P$2,HLOOKUP(Table2[[#This Row],[Date]],Funds!$C$10:$GV$11,2,FALSE)))</f>
        <v/>
      </c>
      <c r="J1258" s="215" t="str">
        <f>IF(Table2[[#This Row],[Description]]="","",Table2[[#This Row],[Value]]/Table2[[#This Row],[Conversion]])</f>
        <v/>
      </c>
      <c r="K1258" s="45" t="str">
        <f>IF(Table2[[#This Row],[Description]]="","",DATE(Table2[[#This Row],[Year]],Table2[[#This Row],[Month]],1))</f>
        <v/>
      </c>
    </row>
    <row r="1259" spans="7:11" x14ac:dyDescent="0.25">
      <c r="G1259" s="1" t="str">
        <f>IF(Table2[[#This Row],[Description]]="","",VLOOKUP(Table2[[#This Row],[Description]],$Q$1:$S$101,2,FALSE))</f>
        <v/>
      </c>
      <c r="H1259" s="1" t="str">
        <f>IF(Table2[[#This Row],[Description]]="","",VLOOKUP(Table2[[#This Row],[Description]],$Q$1:$S$101,3,FALSE))</f>
        <v/>
      </c>
      <c r="I1259" s="1" t="str">
        <f>IF(Table2[[#This Row],[Description]]="","",IF(Table2[[#This Row],[Currency]]=$O$2,$P$2,HLOOKUP(Table2[[#This Row],[Date]],Funds!$C$10:$GV$11,2,FALSE)))</f>
        <v/>
      </c>
      <c r="J1259" s="215" t="str">
        <f>IF(Table2[[#This Row],[Description]]="","",Table2[[#This Row],[Value]]/Table2[[#This Row],[Conversion]])</f>
        <v/>
      </c>
      <c r="K1259" s="45" t="str">
        <f>IF(Table2[[#This Row],[Description]]="","",DATE(Table2[[#This Row],[Year]],Table2[[#This Row],[Month]],1))</f>
        <v/>
      </c>
    </row>
    <row r="1260" spans="7:11" x14ac:dyDescent="0.25">
      <c r="G1260" s="1" t="str">
        <f>IF(Table2[[#This Row],[Description]]="","",VLOOKUP(Table2[[#This Row],[Description]],$Q$1:$S$101,2,FALSE))</f>
        <v/>
      </c>
      <c r="H1260" s="1" t="str">
        <f>IF(Table2[[#This Row],[Description]]="","",VLOOKUP(Table2[[#This Row],[Description]],$Q$1:$S$101,3,FALSE))</f>
        <v/>
      </c>
      <c r="I1260" s="1" t="str">
        <f>IF(Table2[[#This Row],[Description]]="","",IF(Table2[[#This Row],[Currency]]=$O$2,$P$2,HLOOKUP(Table2[[#This Row],[Date]],Funds!$C$10:$GV$11,2,FALSE)))</f>
        <v/>
      </c>
      <c r="J1260" s="215" t="str">
        <f>IF(Table2[[#This Row],[Description]]="","",Table2[[#This Row],[Value]]/Table2[[#This Row],[Conversion]])</f>
        <v/>
      </c>
      <c r="K1260" s="45" t="str">
        <f>IF(Table2[[#This Row],[Description]]="","",DATE(Table2[[#This Row],[Year]],Table2[[#This Row],[Month]],1))</f>
        <v/>
      </c>
    </row>
    <row r="1261" spans="7:11" x14ac:dyDescent="0.25">
      <c r="G1261" s="1" t="str">
        <f>IF(Table2[[#This Row],[Description]]="","",VLOOKUP(Table2[[#This Row],[Description]],$Q$1:$S$101,2,FALSE))</f>
        <v/>
      </c>
      <c r="H1261" s="1" t="str">
        <f>IF(Table2[[#This Row],[Description]]="","",VLOOKUP(Table2[[#This Row],[Description]],$Q$1:$S$101,3,FALSE))</f>
        <v/>
      </c>
      <c r="I1261" s="1" t="str">
        <f>IF(Table2[[#This Row],[Description]]="","",IF(Table2[[#This Row],[Currency]]=$O$2,$P$2,HLOOKUP(Table2[[#This Row],[Date]],Funds!$C$10:$GV$11,2,FALSE)))</f>
        <v/>
      </c>
      <c r="J1261" s="215" t="str">
        <f>IF(Table2[[#This Row],[Description]]="","",Table2[[#This Row],[Value]]/Table2[[#This Row],[Conversion]])</f>
        <v/>
      </c>
      <c r="K1261" s="45" t="str">
        <f>IF(Table2[[#This Row],[Description]]="","",DATE(Table2[[#This Row],[Year]],Table2[[#This Row],[Month]],1))</f>
        <v/>
      </c>
    </row>
    <row r="1262" spans="7:11" x14ac:dyDescent="0.25">
      <c r="G1262" s="1" t="str">
        <f>IF(Table2[[#This Row],[Description]]="","",VLOOKUP(Table2[[#This Row],[Description]],$Q$1:$S$101,2,FALSE))</f>
        <v/>
      </c>
      <c r="H1262" s="1" t="str">
        <f>IF(Table2[[#This Row],[Description]]="","",VLOOKUP(Table2[[#This Row],[Description]],$Q$1:$S$101,3,FALSE))</f>
        <v/>
      </c>
      <c r="I1262" s="1" t="str">
        <f>IF(Table2[[#This Row],[Description]]="","",IF(Table2[[#This Row],[Currency]]=$O$2,$P$2,HLOOKUP(Table2[[#This Row],[Date]],Funds!$C$10:$GV$11,2,FALSE)))</f>
        <v/>
      </c>
      <c r="J1262" s="215" t="str">
        <f>IF(Table2[[#This Row],[Description]]="","",Table2[[#This Row],[Value]]/Table2[[#This Row],[Conversion]])</f>
        <v/>
      </c>
      <c r="K1262" s="45" t="str">
        <f>IF(Table2[[#This Row],[Description]]="","",DATE(Table2[[#This Row],[Year]],Table2[[#This Row],[Month]],1))</f>
        <v/>
      </c>
    </row>
    <row r="1263" spans="7:11" x14ac:dyDescent="0.25">
      <c r="G1263" s="1" t="str">
        <f>IF(Table2[[#This Row],[Description]]="","",VLOOKUP(Table2[[#This Row],[Description]],$Q$1:$S$101,2,FALSE))</f>
        <v/>
      </c>
      <c r="H1263" s="1" t="str">
        <f>IF(Table2[[#This Row],[Description]]="","",VLOOKUP(Table2[[#This Row],[Description]],$Q$1:$S$101,3,FALSE))</f>
        <v/>
      </c>
      <c r="I1263" s="1" t="str">
        <f>IF(Table2[[#This Row],[Description]]="","",IF(Table2[[#This Row],[Currency]]=$O$2,$P$2,HLOOKUP(Table2[[#This Row],[Date]],Funds!$C$10:$GV$11,2,FALSE)))</f>
        <v/>
      </c>
      <c r="J1263" s="215" t="str">
        <f>IF(Table2[[#This Row],[Description]]="","",Table2[[#This Row],[Value]]/Table2[[#This Row],[Conversion]])</f>
        <v/>
      </c>
      <c r="K1263" s="45" t="str">
        <f>IF(Table2[[#This Row],[Description]]="","",DATE(Table2[[#This Row],[Year]],Table2[[#This Row],[Month]],1))</f>
        <v/>
      </c>
    </row>
    <row r="1264" spans="7:11" x14ac:dyDescent="0.25">
      <c r="G1264" s="1" t="str">
        <f>IF(Table2[[#This Row],[Description]]="","",VLOOKUP(Table2[[#This Row],[Description]],$Q$1:$S$101,2,FALSE))</f>
        <v/>
      </c>
      <c r="H1264" s="1" t="str">
        <f>IF(Table2[[#This Row],[Description]]="","",VLOOKUP(Table2[[#This Row],[Description]],$Q$1:$S$101,3,FALSE))</f>
        <v/>
      </c>
      <c r="I1264" s="1" t="str">
        <f>IF(Table2[[#This Row],[Description]]="","",IF(Table2[[#This Row],[Currency]]=$O$2,$P$2,HLOOKUP(Table2[[#This Row],[Date]],Funds!$C$10:$GV$11,2,FALSE)))</f>
        <v/>
      </c>
      <c r="J1264" s="215" t="str">
        <f>IF(Table2[[#This Row],[Description]]="","",Table2[[#This Row],[Value]]/Table2[[#This Row],[Conversion]])</f>
        <v/>
      </c>
      <c r="K1264" s="45" t="str">
        <f>IF(Table2[[#This Row],[Description]]="","",DATE(Table2[[#This Row],[Year]],Table2[[#This Row],[Month]],1))</f>
        <v/>
      </c>
    </row>
    <row r="1265" spans="7:11" x14ac:dyDescent="0.25">
      <c r="G1265" s="1" t="str">
        <f>IF(Table2[[#This Row],[Description]]="","",VLOOKUP(Table2[[#This Row],[Description]],$Q$1:$S$101,2,FALSE))</f>
        <v/>
      </c>
      <c r="H1265" s="1" t="str">
        <f>IF(Table2[[#This Row],[Description]]="","",VLOOKUP(Table2[[#This Row],[Description]],$Q$1:$S$101,3,FALSE))</f>
        <v/>
      </c>
      <c r="I1265" s="1" t="str">
        <f>IF(Table2[[#This Row],[Description]]="","",IF(Table2[[#This Row],[Currency]]=$O$2,$P$2,HLOOKUP(Table2[[#This Row],[Date]],Funds!$C$10:$GV$11,2,FALSE)))</f>
        <v/>
      </c>
      <c r="J1265" s="215" t="str">
        <f>IF(Table2[[#This Row],[Description]]="","",Table2[[#This Row],[Value]]/Table2[[#This Row],[Conversion]])</f>
        <v/>
      </c>
      <c r="K1265" s="45" t="str">
        <f>IF(Table2[[#This Row],[Description]]="","",DATE(Table2[[#This Row],[Year]],Table2[[#This Row],[Month]],1))</f>
        <v/>
      </c>
    </row>
    <row r="1266" spans="7:11" x14ac:dyDescent="0.25">
      <c r="G1266" s="1" t="str">
        <f>IF(Table2[[#This Row],[Description]]="","",VLOOKUP(Table2[[#This Row],[Description]],$Q$1:$S$101,2,FALSE))</f>
        <v/>
      </c>
      <c r="H1266" s="1" t="str">
        <f>IF(Table2[[#This Row],[Description]]="","",VLOOKUP(Table2[[#This Row],[Description]],$Q$1:$S$101,3,FALSE))</f>
        <v/>
      </c>
      <c r="I1266" s="1" t="str">
        <f>IF(Table2[[#This Row],[Description]]="","",IF(Table2[[#This Row],[Currency]]=$O$2,$P$2,HLOOKUP(Table2[[#This Row],[Date]],Funds!$C$10:$GV$11,2,FALSE)))</f>
        <v/>
      </c>
      <c r="J1266" s="215" t="str">
        <f>IF(Table2[[#This Row],[Description]]="","",Table2[[#This Row],[Value]]/Table2[[#This Row],[Conversion]])</f>
        <v/>
      </c>
      <c r="K1266" s="45" t="str">
        <f>IF(Table2[[#This Row],[Description]]="","",DATE(Table2[[#This Row],[Year]],Table2[[#This Row],[Month]],1))</f>
        <v/>
      </c>
    </row>
    <row r="1267" spans="7:11" x14ac:dyDescent="0.25">
      <c r="G1267" s="1" t="str">
        <f>IF(Table2[[#This Row],[Description]]="","",VLOOKUP(Table2[[#This Row],[Description]],$Q$1:$S$101,2,FALSE))</f>
        <v/>
      </c>
      <c r="H1267" s="1" t="str">
        <f>IF(Table2[[#This Row],[Description]]="","",VLOOKUP(Table2[[#This Row],[Description]],$Q$1:$S$101,3,FALSE))</f>
        <v/>
      </c>
      <c r="I1267" s="1" t="str">
        <f>IF(Table2[[#This Row],[Description]]="","",IF(Table2[[#This Row],[Currency]]=$O$2,$P$2,HLOOKUP(Table2[[#This Row],[Date]],Funds!$C$10:$GV$11,2,FALSE)))</f>
        <v/>
      </c>
      <c r="J1267" s="215" t="str">
        <f>IF(Table2[[#This Row],[Description]]="","",Table2[[#This Row],[Value]]/Table2[[#This Row],[Conversion]])</f>
        <v/>
      </c>
      <c r="K1267" s="45" t="str">
        <f>IF(Table2[[#This Row],[Description]]="","",DATE(Table2[[#This Row],[Year]],Table2[[#This Row],[Month]],1))</f>
        <v/>
      </c>
    </row>
    <row r="1268" spans="7:11" x14ac:dyDescent="0.25">
      <c r="G1268" s="1" t="str">
        <f>IF(Table2[[#This Row],[Description]]="","",VLOOKUP(Table2[[#This Row],[Description]],$Q$1:$S$101,2,FALSE))</f>
        <v/>
      </c>
      <c r="H1268" s="1" t="str">
        <f>IF(Table2[[#This Row],[Description]]="","",VLOOKUP(Table2[[#This Row],[Description]],$Q$1:$S$101,3,FALSE))</f>
        <v/>
      </c>
      <c r="I1268" s="1" t="str">
        <f>IF(Table2[[#This Row],[Description]]="","",IF(Table2[[#This Row],[Currency]]=$O$2,$P$2,HLOOKUP(Table2[[#This Row],[Date]],Funds!$C$10:$GV$11,2,FALSE)))</f>
        <v/>
      </c>
      <c r="J1268" s="215" t="str">
        <f>IF(Table2[[#This Row],[Description]]="","",Table2[[#This Row],[Value]]/Table2[[#This Row],[Conversion]])</f>
        <v/>
      </c>
      <c r="K1268" s="45" t="str">
        <f>IF(Table2[[#This Row],[Description]]="","",DATE(Table2[[#This Row],[Year]],Table2[[#This Row],[Month]],1))</f>
        <v/>
      </c>
    </row>
    <row r="1269" spans="7:11" x14ac:dyDescent="0.25">
      <c r="G1269" s="1" t="str">
        <f>IF(Table2[[#This Row],[Description]]="","",VLOOKUP(Table2[[#This Row],[Description]],$Q$1:$S$101,2,FALSE))</f>
        <v/>
      </c>
      <c r="H1269" s="1" t="str">
        <f>IF(Table2[[#This Row],[Description]]="","",VLOOKUP(Table2[[#This Row],[Description]],$Q$1:$S$101,3,FALSE))</f>
        <v/>
      </c>
      <c r="I1269" s="1" t="str">
        <f>IF(Table2[[#This Row],[Description]]="","",IF(Table2[[#This Row],[Currency]]=$O$2,$P$2,HLOOKUP(Table2[[#This Row],[Date]],Funds!$C$10:$GV$11,2,FALSE)))</f>
        <v/>
      </c>
      <c r="J1269" s="215" t="str">
        <f>IF(Table2[[#This Row],[Description]]="","",Table2[[#This Row],[Value]]/Table2[[#This Row],[Conversion]])</f>
        <v/>
      </c>
      <c r="K1269" s="45" t="str">
        <f>IF(Table2[[#This Row],[Description]]="","",DATE(Table2[[#This Row],[Year]],Table2[[#This Row],[Month]],1))</f>
        <v/>
      </c>
    </row>
    <row r="1270" spans="7:11" x14ac:dyDescent="0.25">
      <c r="G1270" s="1" t="str">
        <f>IF(Table2[[#This Row],[Description]]="","",VLOOKUP(Table2[[#This Row],[Description]],$Q$1:$S$101,2,FALSE))</f>
        <v/>
      </c>
      <c r="H1270" s="1" t="str">
        <f>IF(Table2[[#This Row],[Description]]="","",VLOOKUP(Table2[[#This Row],[Description]],$Q$1:$S$101,3,FALSE))</f>
        <v/>
      </c>
      <c r="I1270" s="1" t="str">
        <f>IF(Table2[[#This Row],[Description]]="","",IF(Table2[[#This Row],[Currency]]=$O$2,$P$2,HLOOKUP(Table2[[#This Row],[Date]],Funds!$C$10:$GV$11,2,FALSE)))</f>
        <v/>
      </c>
      <c r="J1270" s="215" t="str">
        <f>IF(Table2[[#This Row],[Description]]="","",Table2[[#This Row],[Value]]/Table2[[#This Row],[Conversion]])</f>
        <v/>
      </c>
      <c r="K1270" s="45" t="str">
        <f>IF(Table2[[#This Row],[Description]]="","",DATE(Table2[[#This Row],[Year]],Table2[[#This Row],[Month]],1))</f>
        <v/>
      </c>
    </row>
    <row r="1271" spans="7:11" x14ac:dyDescent="0.25">
      <c r="G1271" s="1" t="str">
        <f>IF(Table2[[#This Row],[Description]]="","",VLOOKUP(Table2[[#This Row],[Description]],$Q$1:$S$101,2,FALSE))</f>
        <v/>
      </c>
      <c r="H1271" s="1" t="str">
        <f>IF(Table2[[#This Row],[Description]]="","",VLOOKUP(Table2[[#This Row],[Description]],$Q$1:$S$101,3,FALSE))</f>
        <v/>
      </c>
      <c r="I1271" s="1" t="str">
        <f>IF(Table2[[#This Row],[Description]]="","",IF(Table2[[#This Row],[Currency]]=$O$2,$P$2,HLOOKUP(Table2[[#This Row],[Date]],Funds!$C$10:$GV$11,2,FALSE)))</f>
        <v/>
      </c>
      <c r="J1271" s="215" t="str">
        <f>IF(Table2[[#This Row],[Description]]="","",Table2[[#This Row],[Value]]/Table2[[#This Row],[Conversion]])</f>
        <v/>
      </c>
      <c r="K1271" s="45" t="str">
        <f>IF(Table2[[#This Row],[Description]]="","",DATE(Table2[[#This Row],[Year]],Table2[[#This Row],[Month]],1))</f>
        <v/>
      </c>
    </row>
    <row r="1272" spans="7:11" x14ac:dyDescent="0.25">
      <c r="G1272" s="1" t="str">
        <f>IF(Table2[[#This Row],[Description]]="","",VLOOKUP(Table2[[#This Row],[Description]],$Q$1:$S$101,2,FALSE))</f>
        <v/>
      </c>
      <c r="H1272" s="1" t="str">
        <f>IF(Table2[[#This Row],[Description]]="","",VLOOKUP(Table2[[#This Row],[Description]],$Q$1:$S$101,3,FALSE))</f>
        <v/>
      </c>
      <c r="I1272" s="1" t="str">
        <f>IF(Table2[[#This Row],[Description]]="","",IF(Table2[[#This Row],[Currency]]=$O$2,$P$2,HLOOKUP(Table2[[#This Row],[Date]],Funds!$C$10:$GV$11,2,FALSE)))</f>
        <v/>
      </c>
      <c r="J1272" s="215" t="str">
        <f>IF(Table2[[#This Row],[Description]]="","",Table2[[#This Row],[Value]]/Table2[[#This Row],[Conversion]])</f>
        <v/>
      </c>
      <c r="K1272" s="45" t="str">
        <f>IF(Table2[[#This Row],[Description]]="","",DATE(Table2[[#This Row],[Year]],Table2[[#This Row],[Month]],1))</f>
        <v/>
      </c>
    </row>
    <row r="1273" spans="7:11" x14ac:dyDescent="0.25">
      <c r="G1273" s="1" t="str">
        <f>IF(Table2[[#This Row],[Description]]="","",VLOOKUP(Table2[[#This Row],[Description]],$Q$1:$S$101,2,FALSE))</f>
        <v/>
      </c>
      <c r="H1273" s="1" t="str">
        <f>IF(Table2[[#This Row],[Description]]="","",VLOOKUP(Table2[[#This Row],[Description]],$Q$1:$S$101,3,FALSE))</f>
        <v/>
      </c>
      <c r="I1273" s="1" t="str">
        <f>IF(Table2[[#This Row],[Description]]="","",IF(Table2[[#This Row],[Currency]]=$O$2,$P$2,HLOOKUP(Table2[[#This Row],[Date]],Funds!$C$10:$GV$11,2,FALSE)))</f>
        <v/>
      </c>
      <c r="J1273" s="215" t="str">
        <f>IF(Table2[[#This Row],[Description]]="","",Table2[[#This Row],[Value]]/Table2[[#This Row],[Conversion]])</f>
        <v/>
      </c>
      <c r="K1273" s="45" t="str">
        <f>IF(Table2[[#This Row],[Description]]="","",DATE(Table2[[#This Row],[Year]],Table2[[#This Row],[Month]],1))</f>
        <v/>
      </c>
    </row>
    <row r="1274" spans="7:11" x14ac:dyDescent="0.25">
      <c r="G1274" s="1" t="str">
        <f>IF(Table2[[#This Row],[Description]]="","",VLOOKUP(Table2[[#This Row],[Description]],$Q$1:$S$101,2,FALSE))</f>
        <v/>
      </c>
      <c r="H1274" s="1" t="str">
        <f>IF(Table2[[#This Row],[Description]]="","",VLOOKUP(Table2[[#This Row],[Description]],$Q$1:$S$101,3,FALSE))</f>
        <v/>
      </c>
      <c r="I1274" s="1" t="str">
        <f>IF(Table2[[#This Row],[Description]]="","",IF(Table2[[#This Row],[Currency]]=$O$2,$P$2,HLOOKUP(Table2[[#This Row],[Date]],Funds!$C$10:$GV$11,2,FALSE)))</f>
        <v/>
      </c>
      <c r="J1274" s="215" t="str">
        <f>IF(Table2[[#This Row],[Description]]="","",Table2[[#This Row],[Value]]/Table2[[#This Row],[Conversion]])</f>
        <v/>
      </c>
      <c r="K1274" s="45" t="str">
        <f>IF(Table2[[#This Row],[Description]]="","",DATE(Table2[[#This Row],[Year]],Table2[[#This Row],[Month]],1))</f>
        <v/>
      </c>
    </row>
    <row r="1275" spans="7:11" x14ac:dyDescent="0.25">
      <c r="G1275" s="1" t="str">
        <f>IF(Table2[[#This Row],[Description]]="","",VLOOKUP(Table2[[#This Row],[Description]],$Q$1:$S$101,2,FALSE))</f>
        <v/>
      </c>
      <c r="H1275" s="1" t="str">
        <f>IF(Table2[[#This Row],[Description]]="","",VLOOKUP(Table2[[#This Row],[Description]],$Q$1:$S$101,3,FALSE))</f>
        <v/>
      </c>
      <c r="I1275" s="1" t="str">
        <f>IF(Table2[[#This Row],[Description]]="","",IF(Table2[[#This Row],[Currency]]=$O$2,$P$2,HLOOKUP(Table2[[#This Row],[Date]],Funds!$C$10:$GV$11,2,FALSE)))</f>
        <v/>
      </c>
      <c r="J1275" s="215" t="str">
        <f>IF(Table2[[#This Row],[Description]]="","",Table2[[#This Row],[Value]]/Table2[[#This Row],[Conversion]])</f>
        <v/>
      </c>
      <c r="K1275" s="45" t="str">
        <f>IF(Table2[[#This Row],[Description]]="","",DATE(Table2[[#This Row],[Year]],Table2[[#This Row],[Month]],1))</f>
        <v/>
      </c>
    </row>
    <row r="1276" spans="7:11" x14ac:dyDescent="0.25">
      <c r="G1276" s="1" t="str">
        <f>IF(Table2[[#This Row],[Description]]="","",VLOOKUP(Table2[[#This Row],[Description]],$Q$1:$S$101,2,FALSE))</f>
        <v/>
      </c>
      <c r="H1276" s="1" t="str">
        <f>IF(Table2[[#This Row],[Description]]="","",VLOOKUP(Table2[[#This Row],[Description]],$Q$1:$S$101,3,FALSE))</f>
        <v/>
      </c>
      <c r="I1276" s="1" t="str">
        <f>IF(Table2[[#This Row],[Description]]="","",IF(Table2[[#This Row],[Currency]]=$O$2,$P$2,HLOOKUP(Table2[[#This Row],[Date]],Funds!$C$10:$GV$11,2,FALSE)))</f>
        <v/>
      </c>
      <c r="J1276" s="215" t="str">
        <f>IF(Table2[[#This Row],[Description]]="","",Table2[[#This Row],[Value]]/Table2[[#This Row],[Conversion]])</f>
        <v/>
      </c>
      <c r="K1276" s="45" t="str">
        <f>IF(Table2[[#This Row],[Description]]="","",DATE(Table2[[#This Row],[Year]],Table2[[#This Row],[Month]],1))</f>
        <v/>
      </c>
    </row>
    <row r="1277" spans="7:11" x14ac:dyDescent="0.25">
      <c r="G1277" s="1" t="str">
        <f>IF(Table2[[#This Row],[Description]]="","",VLOOKUP(Table2[[#This Row],[Description]],$Q$1:$S$101,2,FALSE))</f>
        <v/>
      </c>
      <c r="H1277" s="1" t="str">
        <f>IF(Table2[[#This Row],[Description]]="","",VLOOKUP(Table2[[#This Row],[Description]],$Q$1:$S$101,3,FALSE))</f>
        <v/>
      </c>
      <c r="I1277" s="1" t="str">
        <f>IF(Table2[[#This Row],[Description]]="","",IF(Table2[[#This Row],[Currency]]=$O$2,$P$2,HLOOKUP(Table2[[#This Row],[Date]],Funds!$C$10:$GV$11,2,FALSE)))</f>
        <v/>
      </c>
      <c r="J1277" s="215" t="str">
        <f>IF(Table2[[#This Row],[Description]]="","",Table2[[#This Row],[Value]]/Table2[[#This Row],[Conversion]])</f>
        <v/>
      </c>
      <c r="K1277" s="45" t="str">
        <f>IF(Table2[[#This Row],[Description]]="","",DATE(Table2[[#This Row],[Year]],Table2[[#This Row],[Month]],1))</f>
        <v/>
      </c>
    </row>
    <row r="1278" spans="7:11" x14ac:dyDescent="0.25">
      <c r="G1278" s="1" t="str">
        <f>IF(Table2[[#This Row],[Description]]="","",VLOOKUP(Table2[[#This Row],[Description]],$Q$1:$S$101,2,FALSE))</f>
        <v/>
      </c>
      <c r="H1278" s="1" t="str">
        <f>IF(Table2[[#This Row],[Description]]="","",VLOOKUP(Table2[[#This Row],[Description]],$Q$1:$S$101,3,FALSE))</f>
        <v/>
      </c>
      <c r="I1278" s="1" t="str">
        <f>IF(Table2[[#This Row],[Description]]="","",IF(Table2[[#This Row],[Currency]]=$O$2,$P$2,HLOOKUP(Table2[[#This Row],[Date]],Funds!$C$10:$GV$11,2,FALSE)))</f>
        <v/>
      </c>
      <c r="J1278" s="215" t="str">
        <f>IF(Table2[[#This Row],[Description]]="","",Table2[[#This Row],[Value]]/Table2[[#This Row],[Conversion]])</f>
        <v/>
      </c>
      <c r="K1278" s="45" t="str">
        <f>IF(Table2[[#This Row],[Description]]="","",DATE(Table2[[#This Row],[Year]],Table2[[#This Row],[Month]],1))</f>
        <v/>
      </c>
    </row>
    <row r="1279" spans="7:11" x14ac:dyDescent="0.25">
      <c r="G1279" s="1" t="str">
        <f>IF(Table2[[#This Row],[Description]]="","",VLOOKUP(Table2[[#This Row],[Description]],$Q$1:$S$101,2,FALSE))</f>
        <v/>
      </c>
      <c r="H1279" s="1" t="str">
        <f>IF(Table2[[#This Row],[Description]]="","",VLOOKUP(Table2[[#This Row],[Description]],$Q$1:$S$101,3,FALSE))</f>
        <v/>
      </c>
      <c r="I1279" s="1" t="str">
        <f>IF(Table2[[#This Row],[Description]]="","",IF(Table2[[#This Row],[Currency]]=$O$2,$P$2,HLOOKUP(Table2[[#This Row],[Date]],Funds!$C$10:$GV$11,2,FALSE)))</f>
        <v/>
      </c>
      <c r="J1279" s="215" t="str">
        <f>IF(Table2[[#This Row],[Description]]="","",Table2[[#This Row],[Value]]/Table2[[#This Row],[Conversion]])</f>
        <v/>
      </c>
      <c r="K1279" s="45" t="str">
        <f>IF(Table2[[#This Row],[Description]]="","",DATE(Table2[[#This Row],[Year]],Table2[[#This Row],[Month]],1))</f>
        <v/>
      </c>
    </row>
    <row r="1280" spans="7:11" x14ac:dyDescent="0.25">
      <c r="G1280" s="1" t="str">
        <f>IF(Table2[[#This Row],[Description]]="","",VLOOKUP(Table2[[#This Row],[Description]],$Q$1:$S$101,2,FALSE))</f>
        <v/>
      </c>
      <c r="H1280" s="1" t="str">
        <f>IF(Table2[[#This Row],[Description]]="","",VLOOKUP(Table2[[#This Row],[Description]],$Q$1:$S$101,3,FALSE))</f>
        <v/>
      </c>
      <c r="I1280" s="1" t="str">
        <f>IF(Table2[[#This Row],[Description]]="","",IF(Table2[[#This Row],[Currency]]=$O$2,$P$2,HLOOKUP(Table2[[#This Row],[Date]],Funds!$C$10:$GV$11,2,FALSE)))</f>
        <v/>
      </c>
      <c r="J1280" s="215" t="str">
        <f>IF(Table2[[#This Row],[Description]]="","",Table2[[#This Row],[Value]]/Table2[[#This Row],[Conversion]])</f>
        <v/>
      </c>
      <c r="K1280" s="45" t="str">
        <f>IF(Table2[[#This Row],[Description]]="","",DATE(Table2[[#This Row],[Year]],Table2[[#This Row],[Month]],1))</f>
        <v/>
      </c>
    </row>
    <row r="1281" spans="7:11" x14ac:dyDescent="0.25">
      <c r="G1281" s="1" t="str">
        <f>IF(Table2[[#This Row],[Description]]="","",VLOOKUP(Table2[[#This Row],[Description]],$Q$1:$S$101,2,FALSE))</f>
        <v/>
      </c>
      <c r="H1281" s="1" t="str">
        <f>IF(Table2[[#This Row],[Description]]="","",VLOOKUP(Table2[[#This Row],[Description]],$Q$1:$S$101,3,FALSE))</f>
        <v/>
      </c>
      <c r="I1281" s="1" t="str">
        <f>IF(Table2[[#This Row],[Description]]="","",IF(Table2[[#This Row],[Currency]]=$O$2,$P$2,HLOOKUP(Table2[[#This Row],[Date]],Funds!$C$10:$GV$11,2,FALSE)))</f>
        <v/>
      </c>
      <c r="J1281" s="215" t="str">
        <f>IF(Table2[[#This Row],[Description]]="","",Table2[[#This Row],[Value]]/Table2[[#This Row],[Conversion]])</f>
        <v/>
      </c>
      <c r="K1281" s="45" t="str">
        <f>IF(Table2[[#This Row],[Description]]="","",DATE(Table2[[#This Row],[Year]],Table2[[#This Row],[Month]],1))</f>
        <v/>
      </c>
    </row>
    <row r="1282" spans="7:11" x14ac:dyDescent="0.25">
      <c r="G1282" s="1" t="str">
        <f>IF(Table2[[#This Row],[Description]]="","",VLOOKUP(Table2[[#This Row],[Description]],$Q$1:$S$101,2,FALSE))</f>
        <v/>
      </c>
      <c r="H1282" s="1" t="str">
        <f>IF(Table2[[#This Row],[Description]]="","",VLOOKUP(Table2[[#This Row],[Description]],$Q$1:$S$101,3,FALSE))</f>
        <v/>
      </c>
      <c r="I1282" s="1" t="str">
        <f>IF(Table2[[#This Row],[Description]]="","",IF(Table2[[#This Row],[Currency]]=$O$2,$P$2,HLOOKUP(Table2[[#This Row],[Date]],Funds!$C$10:$GV$11,2,FALSE)))</f>
        <v/>
      </c>
      <c r="J1282" s="215" t="str">
        <f>IF(Table2[[#This Row],[Description]]="","",Table2[[#This Row],[Value]]/Table2[[#This Row],[Conversion]])</f>
        <v/>
      </c>
      <c r="K1282" s="45" t="str">
        <f>IF(Table2[[#This Row],[Description]]="","",DATE(Table2[[#This Row],[Year]],Table2[[#This Row],[Month]],1))</f>
        <v/>
      </c>
    </row>
    <row r="1283" spans="7:11" x14ac:dyDescent="0.25">
      <c r="G1283" s="1" t="str">
        <f>IF(Table2[[#This Row],[Description]]="","",VLOOKUP(Table2[[#This Row],[Description]],$Q$1:$S$101,2,FALSE))</f>
        <v/>
      </c>
      <c r="H1283" s="1" t="str">
        <f>IF(Table2[[#This Row],[Description]]="","",VLOOKUP(Table2[[#This Row],[Description]],$Q$1:$S$101,3,FALSE))</f>
        <v/>
      </c>
      <c r="I1283" s="1" t="str">
        <f>IF(Table2[[#This Row],[Description]]="","",IF(Table2[[#This Row],[Currency]]=$O$2,$P$2,HLOOKUP(Table2[[#This Row],[Date]],Funds!$C$10:$GV$11,2,FALSE)))</f>
        <v/>
      </c>
      <c r="J1283" s="215" t="str">
        <f>IF(Table2[[#This Row],[Description]]="","",Table2[[#This Row],[Value]]/Table2[[#This Row],[Conversion]])</f>
        <v/>
      </c>
      <c r="K1283" s="45" t="str">
        <f>IF(Table2[[#This Row],[Description]]="","",DATE(Table2[[#This Row],[Year]],Table2[[#This Row],[Month]],1))</f>
        <v/>
      </c>
    </row>
    <row r="1284" spans="7:11" x14ac:dyDescent="0.25">
      <c r="G1284" s="1" t="str">
        <f>IF(Table2[[#This Row],[Description]]="","",VLOOKUP(Table2[[#This Row],[Description]],$Q$1:$S$101,2,FALSE))</f>
        <v/>
      </c>
      <c r="H1284" s="1" t="str">
        <f>IF(Table2[[#This Row],[Description]]="","",VLOOKUP(Table2[[#This Row],[Description]],$Q$1:$S$101,3,FALSE))</f>
        <v/>
      </c>
      <c r="I1284" s="1" t="str">
        <f>IF(Table2[[#This Row],[Description]]="","",IF(Table2[[#This Row],[Currency]]=$O$2,$P$2,HLOOKUP(Table2[[#This Row],[Date]],Funds!$C$10:$GV$11,2,FALSE)))</f>
        <v/>
      </c>
      <c r="J1284" s="215" t="str">
        <f>IF(Table2[[#This Row],[Description]]="","",Table2[[#This Row],[Value]]/Table2[[#This Row],[Conversion]])</f>
        <v/>
      </c>
      <c r="K1284" s="45" t="str">
        <f>IF(Table2[[#This Row],[Description]]="","",DATE(Table2[[#This Row],[Year]],Table2[[#This Row],[Month]],1))</f>
        <v/>
      </c>
    </row>
    <row r="1285" spans="7:11" x14ac:dyDescent="0.25">
      <c r="G1285" s="1" t="str">
        <f>IF(Table2[[#This Row],[Description]]="","",VLOOKUP(Table2[[#This Row],[Description]],$Q$1:$S$101,2,FALSE))</f>
        <v/>
      </c>
      <c r="H1285" s="1" t="str">
        <f>IF(Table2[[#This Row],[Description]]="","",VLOOKUP(Table2[[#This Row],[Description]],$Q$1:$S$101,3,FALSE))</f>
        <v/>
      </c>
      <c r="I1285" s="1" t="str">
        <f>IF(Table2[[#This Row],[Description]]="","",IF(Table2[[#This Row],[Currency]]=$O$2,$P$2,HLOOKUP(Table2[[#This Row],[Date]],Funds!$C$10:$GV$11,2,FALSE)))</f>
        <v/>
      </c>
      <c r="J1285" s="215" t="str">
        <f>IF(Table2[[#This Row],[Description]]="","",Table2[[#This Row],[Value]]/Table2[[#This Row],[Conversion]])</f>
        <v/>
      </c>
      <c r="K1285" s="45" t="str">
        <f>IF(Table2[[#This Row],[Description]]="","",DATE(Table2[[#This Row],[Year]],Table2[[#This Row],[Month]],1))</f>
        <v/>
      </c>
    </row>
    <row r="1286" spans="7:11" x14ac:dyDescent="0.25">
      <c r="G1286" s="1" t="str">
        <f>IF(Table2[[#This Row],[Description]]="","",VLOOKUP(Table2[[#This Row],[Description]],$Q$1:$S$101,2,FALSE))</f>
        <v/>
      </c>
      <c r="H1286" s="1" t="str">
        <f>IF(Table2[[#This Row],[Description]]="","",VLOOKUP(Table2[[#This Row],[Description]],$Q$1:$S$101,3,FALSE))</f>
        <v/>
      </c>
      <c r="I1286" s="1" t="str">
        <f>IF(Table2[[#This Row],[Description]]="","",IF(Table2[[#This Row],[Currency]]=$O$2,$P$2,HLOOKUP(Table2[[#This Row],[Date]],Funds!$C$10:$GV$11,2,FALSE)))</f>
        <v/>
      </c>
      <c r="J1286" s="215" t="str">
        <f>IF(Table2[[#This Row],[Description]]="","",Table2[[#This Row],[Value]]/Table2[[#This Row],[Conversion]])</f>
        <v/>
      </c>
      <c r="K1286" s="45" t="str">
        <f>IF(Table2[[#This Row],[Description]]="","",DATE(Table2[[#This Row],[Year]],Table2[[#This Row],[Month]],1))</f>
        <v/>
      </c>
    </row>
    <row r="1287" spans="7:11" x14ac:dyDescent="0.25">
      <c r="G1287" s="1" t="str">
        <f>IF(Table2[[#This Row],[Description]]="","",VLOOKUP(Table2[[#This Row],[Description]],$Q$1:$S$101,2,FALSE))</f>
        <v/>
      </c>
      <c r="H1287" s="1" t="str">
        <f>IF(Table2[[#This Row],[Description]]="","",VLOOKUP(Table2[[#This Row],[Description]],$Q$1:$S$101,3,FALSE))</f>
        <v/>
      </c>
      <c r="I1287" s="1" t="str">
        <f>IF(Table2[[#This Row],[Description]]="","",IF(Table2[[#This Row],[Currency]]=$O$2,$P$2,HLOOKUP(Table2[[#This Row],[Date]],Funds!$C$10:$GV$11,2,FALSE)))</f>
        <v/>
      </c>
      <c r="J1287" s="215" t="str">
        <f>IF(Table2[[#This Row],[Description]]="","",Table2[[#This Row],[Value]]/Table2[[#This Row],[Conversion]])</f>
        <v/>
      </c>
      <c r="K1287" s="45" t="str">
        <f>IF(Table2[[#This Row],[Description]]="","",DATE(Table2[[#This Row],[Year]],Table2[[#This Row],[Month]],1))</f>
        <v/>
      </c>
    </row>
    <row r="1288" spans="7:11" x14ac:dyDescent="0.25">
      <c r="G1288" s="1" t="str">
        <f>IF(Table2[[#This Row],[Description]]="","",VLOOKUP(Table2[[#This Row],[Description]],$Q$1:$S$101,2,FALSE))</f>
        <v/>
      </c>
      <c r="H1288" s="1" t="str">
        <f>IF(Table2[[#This Row],[Description]]="","",VLOOKUP(Table2[[#This Row],[Description]],$Q$1:$S$101,3,FALSE))</f>
        <v/>
      </c>
      <c r="I1288" s="1" t="str">
        <f>IF(Table2[[#This Row],[Description]]="","",IF(Table2[[#This Row],[Currency]]=$O$2,$P$2,HLOOKUP(Table2[[#This Row],[Date]],Funds!$C$10:$GV$11,2,FALSE)))</f>
        <v/>
      </c>
      <c r="J1288" s="215" t="str">
        <f>IF(Table2[[#This Row],[Description]]="","",Table2[[#This Row],[Value]]/Table2[[#This Row],[Conversion]])</f>
        <v/>
      </c>
      <c r="K1288" s="45" t="str">
        <f>IF(Table2[[#This Row],[Description]]="","",DATE(Table2[[#This Row],[Year]],Table2[[#This Row],[Month]],1))</f>
        <v/>
      </c>
    </row>
    <row r="1289" spans="7:11" x14ac:dyDescent="0.25">
      <c r="G1289" s="1" t="str">
        <f>IF(Table2[[#This Row],[Description]]="","",VLOOKUP(Table2[[#This Row],[Description]],$Q$1:$S$101,2,FALSE))</f>
        <v/>
      </c>
      <c r="H1289" s="1" t="str">
        <f>IF(Table2[[#This Row],[Description]]="","",VLOOKUP(Table2[[#This Row],[Description]],$Q$1:$S$101,3,FALSE))</f>
        <v/>
      </c>
      <c r="I1289" s="1" t="str">
        <f>IF(Table2[[#This Row],[Description]]="","",IF(Table2[[#This Row],[Currency]]=$O$2,$P$2,HLOOKUP(Table2[[#This Row],[Date]],Funds!$C$10:$GV$11,2,FALSE)))</f>
        <v/>
      </c>
      <c r="J1289" s="215" t="str">
        <f>IF(Table2[[#This Row],[Description]]="","",Table2[[#This Row],[Value]]/Table2[[#This Row],[Conversion]])</f>
        <v/>
      </c>
      <c r="K1289" s="45" t="str">
        <f>IF(Table2[[#This Row],[Description]]="","",DATE(Table2[[#This Row],[Year]],Table2[[#This Row],[Month]],1))</f>
        <v/>
      </c>
    </row>
    <row r="1290" spans="7:11" x14ac:dyDescent="0.25">
      <c r="G1290" s="1" t="str">
        <f>IF(Table2[[#This Row],[Description]]="","",VLOOKUP(Table2[[#This Row],[Description]],$Q$1:$S$101,2,FALSE))</f>
        <v/>
      </c>
      <c r="H1290" s="1" t="str">
        <f>IF(Table2[[#This Row],[Description]]="","",VLOOKUP(Table2[[#This Row],[Description]],$Q$1:$S$101,3,FALSE))</f>
        <v/>
      </c>
      <c r="I1290" s="1" t="str">
        <f>IF(Table2[[#This Row],[Description]]="","",IF(Table2[[#This Row],[Currency]]=$O$2,$P$2,HLOOKUP(Table2[[#This Row],[Date]],Funds!$C$10:$GV$11,2,FALSE)))</f>
        <v/>
      </c>
      <c r="J1290" s="215" t="str">
        <f>IF(Table2[[#This Row],[Description]]="","",Table2[[#This Row],[Value]]/Table2[[#This Row],[Conversion]])</f>
        <v/>
      </c>
      <c r="K1290" s="45" t="str">
        <f>IF(Table2[[#This Row],[Description]]="","",DATE(Table2[[#This Row],[Year]],Table2[[#This Row],[Month]],1))</f>
        <v/>
      </c>
    </row>
    <row r="1291" spans="7:11" x14ac:dyDescent="0.25">
      <c r="G1291" s="1" t="str">
        <f>IF(Table2[[#This Row],[Description]]="","",VLOOKUP(Table2[[#This Row],[Description]],$Q$1:$S$101,2,FALSE))</f>
        <v/>
      </c>
      <c r="H1291" s="1" t="str">
        <f>IF(Table2[[#This Row],[Description]]="","",VLOOKUP(Table2[[#This Row],[Description]],$Q$1:$S$101,3,FALSE))</f>
        <v/>
      </c>
      <c r="I1291" s="1" t="str">
        <f>IF(Table2[[#This Row],[Description]]="","",IF(Table2[[#This Row],[Currency]]=$O$2,$P$2,HLOOKUP(Table2[[#This Row],[Date]],Funds!$C$10:$GV$11,2,FALSE)))</f>
        <v/>
      </c>
      <c r="J1291" s="215" t="str">
        <f>IF(Table2[[#This Row],[Description]]="","",Table2[[#This Row],[Value]]/Table2[[#This Row],[Conversion]])</f>
        <v/>
      </c>
      <c r="K1291" s="45" t="str">
        <f>IF(Table2[[#This Row],[Description]]="","",DATE(Table2[[#This Row],[Year]],Table2[[#This Row],[Month]],1))</f>
        <v/>
      </c>
    </row>
    <row r="1292" spans="7:11" x14ac:dyDescent="0.25">
      <c r="G1292" s="1" t="str">
        <f>IF(Table2[[#This Row],[Description]]="","",VLOOKUP(Table2[[#This Row],[Description]],$Q$1:$S$101,2,FALSE))</f>
        <v/>
      </c>
      <c r="H1292" s="1" t="str">
        <f>IF(Table2[[#This Row],[Description]]="","",VLOOKUP(Table2[[#This Row],[Description]],$Q$1:$S$101,3,FALSE))</f>
        <v/>
      </c>
      <c r="I1292" s="1" t="str">
        <f>IF(Table2[[#This Row],[Description]]="","",IF(Table2[[#This Row],[Currency]]=$O$2,$P$2,HLOOKUP(Table2[[#This Row],[Date]],Funds!$C$10:$GV$11,2,FALSE)))</f>
        <v/>
      </c>
      <c r="J1292" s="215" t="str">
        <f>IF(Table2[[#This Row],[Description]]="","",Table2[[#This Row],[Value]]/Table2[[#This Row],[Conversion]])</f>
        <v/>
      </c>
      <c r="K1292" s="45" t="str">
        <f>IF(Table2[[#This Row],[Description]]="","",DATE(Table2[[#This Row],[Year]],Table2[[#This Row],[Month]],1))</f>
        <v/>
      </c>
    </row>
    <row r="1293" spans="7:11" x14ac:dyDescent="0.25">
      <c r="G1293" s="1" t="str">
        <f>IF(Table2[[#This Row],[Description]]="","",VLOOKUP(Table2[[#This Row],[Description]],$Q$1:$S$101,2,FALSE))</f>
        <v/>
      </c>
      <c r="H1293" s="1" t="str">
        <f>IF(Table2[[#This Row],[Description]]="","",VLOOKUP(Table2[[#This Row],[Description]],$Q$1:$S$101,3,FALSE))</f>
        <v/>
      </c>
      <c r="I1293" s="1" t="str">
        <f>IF(Table2[[#This Row],[Description]]="","",IF(Table2[[#This Row],[Currency]]=$O$2,$P$2,HLOOKUP(Table2[[#This Row],[Date]],Funds!$C$10:$GV$11,2,FALSE)))</f>
        <v/>
      </c>
      <c r="J1293" s="215" t="str">
        <f>IF(Table2[[#This Row],[Description]]="","",Table2[[#This Row],[Value]]/Table2[[#This Row],[Conversion]])</f>
        <v/>
      </c>
      <c r="K1293" s="45" t="str">
        <f>IF(Table2[[#This Row],[Description]]="","",DATE(Table2[[#This Row],[Year]],Table2[[#This Row],[Month]],1))</f>
        <v/>
      </c>
    </row>
    <row r="1294" spans="7:11" x14ac:dyDescent="0.25">
      <c r="G1294" s="1" t="str">
        <f>IF(Table2[[#This Row],[Description]]="","",VLOOKUP(Table2[[#This Row],[Description]],$Q$1:$S$101,2,FALSE))</f>
        <v/>
      </c>
      <c r="H1294" s="1" t="str">
        <f>IF(Table2[[#This Row],[Description]]="","",VLOOKUP(Table2[[#This Row],[Description]],$Q$1:$S$101,3,FALSE))</f>
        <v/>
      </c>
      <c r="I1294" s="1" t="str">
        <f>IF(Table2[[#This Row],[Description]]="","",IF(Table2[[#This Row],[Currency]]=$O$2,$P$2,HLOOKUP(Table2[[#This Row],[Date]],Funds!$C$10:$GV$11,2,FALSE)))</f>
        <v/>
      </c>
      <c r="J1294" s="215" t="str">
        <f>IF(Table2[[#This Row],[Description]]="","",Table2[[#This Row],[Value]]/Table2[[#This Row],[Conversion]])</f>
        <v/>
      </c>
      <c r="K1294" s="45" t="str">
        <f>IF(Table2[[#This Row],[Description]]="","",DATE(Table2[[#This Row],[Year]],Table2[[#This Row],[Month]],1))</f>
        <v/>
      </c>
    </row>
    <row r="1295" spans="7:11" x14ac:dyDescent="0.25">
      <c r="G1295" s="1" t="str">
        <f>IF(Table2[[#This Row],[Description]]="","",VLOOKUP(Table2[[#This Row],[Description]],$Q$1:$S$101,2,FALSE))</f>
        <v/>
      </c>
      <c r="H1295" s="1" t="str">
        <f>IF(Table2[[#This Row],[Description]]="","",VLOOKUP(Table2[[#This Row],[Description]],$Q$1:$S$101,3,FALSE))</f>
        <v/>
      </c>
      <c r="I1295" s="1" t="str">
        <f>IF(Table2[[#This Row],[Description]]="","",IF(Table2[[#This Row],[Currency]]=$O$2,$P$2,HLOOKUP(Table2[[#This Row],[Date]],Funds!$C$10:$GV$11,2,FALSE)))</f>
        <v/>
      </c>
      <c r="J1295" s="215" t="str">
        <f>IF(Table2[[#This Row],[Description]]="","",Table2[[#This Row],[Value]]/Table2[[#This Row],[Conversion]])</f>
        <v/>
      </c>
      <c r="K1295" s="45" t="str">
        <f>IF(Table2[[#This Row],[Description]]="","",DATE(Table2[[#This Row],[Year]],Table2[[#This Row],[Month]],1))</f>
        <v/>
      </c>
    </row>
    <row r="1296" spans="7:11" x14ac:dyDescent="0.25">
      <c r="G1296" s="1" t="str">
        <f>IF(Table2[[#This Row],[Description]]="","",VLOOKUP(Table2[[#This Row],[Description]],$Q$1:$S$101,2,FALSE))</f>
        <v/>
      </c>
      <c r="H1296" s="1" t="str">
        <f>IF(Table2[[#This Row],[Description]]="","",VLOOKUP(Table2[[#This Row],[Description]],$Q$1:$S$101,3,FALSE))</f>
        <v/>
      </c>
      <c r="I1296" s="1" t="str">
        <f>IF(Table2[[#This Row],[Description]]="","",IF(Table2[[#This Row],[Currency]]=$O$2,$P$2,HLOOKUP(Table2[[#This Row],[Date]],Funds!$C$10:$GV$11,2,FALSE)))</f>
        <v/>
      </c>
      <c r="J1296" s="215" t="str">
        <f>IF(Table2[[#This Row],[Description]]="","",Table2[[#This Row],[Value]]/Table2[[#This Row],[Conversion]])</f>
        <v/>
      </c>
      <c r="K1296" s="45" t="str">
        <f>IF(Table2[[#This Row],[Description]]="","",DATE(Table2[[#This Row],[Year]],Table2[[#This Row],[Month]],1))</f>
        <v/>
      </c>
    </row>
    <row r="1297" spans="7:11" x14ac:dyDescent="0.25">
      <c r="G1297" s="1" t="str">
        <f>IF(Table2[[#This Row],[Description]]="","",VLOOKUP(Table2[[#This Row],[Description]],$Q$1:$S$101,2,FALSE))</f>
        <v/>
      </c>
      <c r="H1297" s="1" t="str">
        <f>IF(Table2[[#This Row],[Description]]="","",VLOOKUP(Table2[[#This Row],[Description]],$Q$1:$S$101,3,FALSE))</f>
        <v/>
      </c>
      <c r="I1297" s="1" t="str">
        <f>IF(Table2[[#This Row],[Description]]="","",IF(Table2[[#This Row],[Currency]]=$O$2,$P$2,HLOOKUP(Table2[[#This Row],[Date]],Funds!$C$10:$GV$11,2,FALSE)))</f>
        <v/>
      </c>
      <c r="J1297" s="215" t="str">
        <f>IF(Table2[[#This Row],[Description]]="","",Table2[[#This Row],[Value]]/Table2[[#This Row],[Conversion]])</f>
        <v/>
      </c>
      <c r="K1297" s="45" t="str">
        <f>IF(Table2[[#This Row],[Description]]="","",DATE(Table2[[#This Row],[Year]],Table2[[#This Row],[Month]],1))</f>
        <v/>
      </c>
    </row>
    <row r="1298" spans="7:11" x14ac:dyDescent="0.25">
      <c r="G1298" s="1" t="str">
        <f>IF(Table2[[#This Row],[Description]]="","",VLOOKUP(Table2[[#This Row],[Description]],$Q$1:$S$101,2,FALSE))</f>
        <v/>
      </c>
      <c r="H1298" s="1" t="str">
        <f>IF(Table2[[#This Row],[Description]]="","",VLOOKUP(Table2[[#This Row],[Description]],$Q$1:$S$101,3,FALSE))</f>
        <v/>
      </c>
      <c r="I1298" s="1" t="str">
        <f>IF(Table2[[#This Row],[Description]]="","",IF(Table2[[#This Row],[Currency]]=$O$2,$P$2,HLOOKUP(Table2[[#This Row],[Date]],Funds!$C$10:$GV$11,2,FALSE)))</f>
        <v/>
      </c>
      <c r="J1298" s="215" t="str">
        <f>IF(Table2[[#This Row],[Description]]="","",Table2[[#This Row],[Value]]/Table2[[#This Row],[Conversion]])</f>
        <v/>
      </c>
      <c r="K1298" s="45" t="str">
        <f>IF(Table2[[#This Row],[Description]]="","",DATE(Table2[[#This Row],[Year]],Table2[[#This Row],[Month]],1))</f>
        <v/>
      </c>
    </row>
    <row r="1299" spans="7:11" x14ac:dyDescent="0.25">
      <c r="G1299" s="1" t="str">
        <f>IF(Table2[[#This Row],[Description]]="","",VLOOKUP(Table2[[#This Row],[Description]],$Q$1:$S$101,2,FALSE))</f>
        <v/>
      </c>
      <c r="H1299" s="1" t="str">
        <f>IF(Table2[[#This Row],[Description]]="","",VLOOKUP(Table2[[#This Row],[Description]],$Q$1:$S$101,3,FALSE))</f>
        <v/>
      </c>
      <c r="I1299" s="1" t="str">
        <f>IF(Table2[[#This Row],[Description]]="","",IF(Table2[[#This Row],[Currency]]=$O$2,$P$2,HLOOKUP(Table2[[#This Row],[Date]],Funds!$C$10:$GV$11,2,FALSE)))</f>
        <v/>
      </c>
      <c r="J1299" s="215" t="str">
        <f>IF(Table2[[#This Row],[Description]]="","",Table2[[#This Row],[Value]]/Table2[[#This Row],[Conversion]])</f>
        <v/>
      </c>
      <c r="K1299" s="45" t="str">
        <f>IF(Table2[[#This Row],[Description]]="","",DATE(Table2[[#This Row],[Year]],Table2[[#This Row],[Month]],1))</f>
        <v/>
      </c>
    </row>
    <row r="1300" spans="7:11" x14ac:dyDescent="0.25">
      <c r="G1300" s="1" t="str">
        <f>IF(Table2[[#This Row],[Description]]="","",VLOOKUP(Table2[[#This Row],[Description]],$Q$1:$S$101,2,FALSE))</f>
        <v/>
      </c>
      <c r="H1300" s="1" t="str">
        <f>IF(Table2[[#This Row],[Description]]="","",VLOOKUP(Table2[[#This Row],[Description]],$Q$1:$S$101,3,FALSE))</f>
        <v/>
      </c>
      <c r="I1300" s="1" t="str">
        <f>IF(Table2[[#This Row],[Description]]="","",IF(Table2[[#This Row],[Currency]]=$O$2,$P$2,HLOOKUP(Table2[[#This Row],[Date]],Funds!$C$10:$GV$11,2,FALSE)))</f>
        <v/>
      </c>
      <c r="J1300" s="215" t="str">
        <f>IF(Table2[[#This Row],[Description]]="","",Table2[[#This Row],[Value]]/Table2[[#This Row],[Conversion]])</f>
        <v/>
      </c>
      <c r="K1300" s="45" t="str">
        <f>IF(Table2[[#This Row],[Description]]="","",DATE(Table2[[#This Row],[Year]],Table2[[#This Row],[Month]],1))</f>
        <v/>
      </c>
    </row>
    <row r="1301" spans="7:11" x14ac:dyDescent="0.25">
      <c r="G1301" s="1" t="str">
        <f>IF(Table2[[#This Row],[Description]]="","",VLOOKUP(Table2[[#This Row],[Description]],$Q$1:$S$101,2,FALSE))</f>
        <v/>
      </c>
      <c r="H1301" s="1" t="str">
        <f>IF(Table2[[#This Row],[Description]]="","",VLOOKUP(Table2[[#This Row],[Description]],$Q$1:$S$101,3,FALSE))</f>
        <v/>
      </c>
      <c r="I1301" s="1" t="str">
        <f>IF(Table2[[#This Row],[Description]]="","",IF(Table2[[#This Row],[Currency]]=$O$2,$P$2,HLOOKUP(Table2[[#This Row],[Date]],Funds!$C$10:$GV$11,2,FALSE)))</f>
        <v/>
      </c>
      <c r="J1301" s="215" t="str">
        <f>IF(Table2[[#This Row],[Description]]="","",Table2[[#This Row],[Value]]/Table2[[#This Row],[Conversion]])</f>
        <v/>
      </c>
      <c r="K1301" s="45" t="str">
        <f>IF(Table2[[#This Row],[Description]]="","",DATE(Table2[[#This Row],[Year]],Table2[[#This Row],[Month]],1))</f>
        <v/>
      </c>
    </row>
    <row r="1302" spans="7:11" x14ac:dyDescent="0.25">
      <c r="G1302" s="1" t="str">
        <f>IF(Table2[[#This Row],[Description]]="","",VLOOKUP(Table2[[#This Row],[Description]],$Q$1:$S$101,2,FALSE))</f>
        <v/>
      </c>
      <c r="H1302" s="1" t="str">
        <f>IF(Table2[[#This Row],[Description]]="","",VLOOKUP(Table2[[#This Row],[Description]],$Q$1:$S$101,3,FALSE))</f>
        <v/>
      </c>
      <c r="I1302" s="1" t="str">
        <f>IF(Table2[[#This Row],[Description]]="","",IF(Table2[[#This Row],[Currency]]=$O$2,$P$2,HLOOKUP(Table2[[#This Row],[Date]],Funds!$C$10:$GV$11,2,FALSE)))</f>
        <v/>
      </c>
      <c r="J1302" s="215" t="str">
        <f>IF(Table2[[#This Row],[Description]]="","",Table2[[#This Row],[Value]]/Table2[[#This Row],[Conversion]])</f>
        <v/>
      </c>
      <c r="K1302" s="45" t="str">
        <f>IF(Table2[[#This Row],[Description]]="","",DATE(Table2[[#This Row],[Year]],Table2[[#This Row],[Month]],1))</f>
        <v/>
      </c>
    </row>
    <row r="1303" spans="7:11" x14ac:dyDescent="0.25">
      <c r="G1303" s="1" t="str">
        <f>IF(Table2[[#This Row],[Description]]="","",VLOOKUP(Table2[[#This Row],[Description]],$Q$1:$S$101,2,FALSE))</f>
        <v/>
      </c>
      <c r="H1303" s="1" t="str">
        <f>IF(Table2[[#This Row],[Description]]="","",VLOOKUP(Table2[[#This Row],[Description]],$Q$1:$S$101,3,FALSE))</f>
        <v/>
      </c>
      <c r="I1303" s="1" t="str">
        <f>IF(Table2[[#This Row],[Description]]="","",IF(Table2[[#This Row],[Currency]]=$O$2,$P$2,HLOOKUP(Table2[[#This Row],[Date]],Funds!$C$10:$GV$11,2,FALSE)))</f>
        <v/>
      </c>
      <c r="J1303" s="215" t="str">
        <f>IF(Table2[[#This Row],[Description]]="","",Table2[[#This Row],[Value]]/Table2[[#This Row],[Conversion]])</f>
        <v/>
      </c>
      <c r="K1303" s="45" t="str">
        <f>IF(Table2[[#This Row],[Description]]="","",DATE(Table2[[#This Row],[Year]],Table2[[#This Row],[Month]],1))</f>
        <v/>
      </c>
    </row>
    <row r="1304" spans="7:11" x14ac:dyDescent="0.25">
      <c r="G1304" s="1" t="str">
        <f>IF(Table2[[#This Row],[Description]]="","",VLOOKUP(Table2[[#This Row],[Description]],$Q$1:$S$101,2,FALSE))</f>
        <v/>
      </c>
      <c r="H1304" s="1" t="str">
        <f>IF(Table2[[#This Row],[Description]]="","",VLOOKUP(Table2[[#This Row],[Description]],$Q$1:$S$101,3,FALSE))</f>
        <v/>
      </c>
      <c r="I1304" s="1" t="str">
        <f>IF(Table2[[#This Row],[Description]]="","",IF(Table2[[#This Row],[Currency]]=$O$2,$P$2,HLOOKUP(Table2[[#This Row],[Date]],Funds!$C$10:$GV$11,2,FALSE)))</f>
        <v/>
      </c>
      <c r="J1304" s="215" t="str">
        <f>IF(Table2[[#This Row],[Description]]="","",Table2[[#This Row],[Value]]/Table2[[#This Row],[Conversion]])</f>
        <v/>
      </c>
      <c r="K1304" s="45" t="str">
        <f>IF(Table2[[#This Row],[Description]]="","",DATE(Table2[[#This Row],[Year]],Table2[[#This Row],[Month]],1))</f>
        <v/>
      </c>
    </row>
    <row r="1305" spans="7:11" x14ac:dyDescent="0.25">
      <c r="G1305" s="1" t="str">
        <f>IF(Table2[[#This Row],[Description]]="","",VLOOKUP(Table2[[#This Row],[Description]],$Q$1:$S$101,2,FALSE))</f>
        <v/>
      </c>
      <c r="H1305" s="1" t="str">
        <f>IF(Table2[[#This Row],[Description]]="","",VLOOKUP(Table2[[#This Row],[Description]],$Q$1:$S$101,3,FALSE))</f>
        <v/>
      </c>
      <c r="I1305" s="1" t="str">
        <f>IF(Table2[[#This Row],[Description]]="","",IF(Table2[[#This Row],[Currency]]=$O$2,$P$2,HLOOKUP(Table2[[#This Row],[Date]],Funds!$C$10:$GV$11,2,FALSE)))</f>
        <v/>
      </c>
      <c r="J1305" s="215" t="str">
        <f>IF(Table2[[#This Row],[Description]]="","",Table2[[#This Row],[Value]]/Table2[[#This Row],[Conversion]])</f>
        <v/>
      </c>
      <c r="K1305" s="45" t="str">
        <f>IF(Table2[[#This Row],[Description]]="","",DATE(Table2[[#This Row],[Year]],Table2[[#This Row],[Month]],1))</f>
        <v/>
      </c>
    </row>
    <row r="1306" spans="7:11" x14ac:dyDescent="0.25">
      <c r="G1306" s="1" t="str">
        <f>IF(Table2[[#This Row],[Description]]="","",VLOOKUP(Table2[[#This Row],[Description]],$Q$1:$S$101,2,FALSE))</f>
        <v/>
      </c>
      <c r="H1306" s="1" t="str">
        <f>IF(Table2[[#This Row],[Description]]="","",VLOOKUP(Table2[[#This Row],[Description]],$Q$1:$S$101,3,FALSE))</f>
        <v/>
      </c>
      <c r="I1306" s="1" t="str">
        <f>IF(Table2[[#This Row],[Description]]="","",IF(Table2[[#This Row],[Currency]]=$O$2,$P$2,HLOOKUP(Table2[[#This Row],[Date]],Funds!$C$10:$GV$11,2,FALSE)))</f>
        <v/>
      </c>
      <c r="J1306" s="215" t="str">
        <f>IF(Table2[[#This Row],[Description]]="","",Table2[[#This Row],[Value]]/Table2[[#This Row],[Conversion]])</f>
        <v/>
      </c>
      <c r="K1306" s="45" t="str">
        <f>IF(Table2[[#This Row],[Description]]="","",DATE(Table2[[#This Row],[Year]],Table2[[#This Row],[Month]],1))</f>
        <v/>
      </c>
    </row>
    <row r="1307" spans="7:11" x14ac:dyDescent="0.25">
      <c r="G1307" s="1" t="str">
        <f>IF(Table2[[#This Row],[Description]]="","",VLOOKUP(Table2[[#This Row],[Description]],$Q$1:$S$101,2,FALSE))</f>
        <v/>
      </c>
      <c r="H1307" s="1" t="str">
        <f>IF(Table2[[#This Row],[Description]]="","",VLOOKUP(Table2[[#This Row],[Description]],$Q$1:$S$101,3,FALSE))</f>
        <v/>
      </c>
      <c r="I1307" s="1" t="str">
        <f>IF(Table2[[#This Row],[Description]]="","",IF(Table2[[#This Row],[Currency]]=$O$2,$P$2,HLOOKUP(Table2[[#This Row],[Date]],Funds!$C$10:$GV$11,2,FALSE)))</f>
        <v/>
      </c>
      <c r="J1307" s="215" t="str">
        <f>IF(Table2[[#This Row],[Description]]="","",Table2[[#This Row],[Value]]/Table2[[#This Row],[Conversion]])</f>
        <v/>
      </c>
      <c r="K1307" s="45" t="str">
        <f>IF(Table2[[#This Row],[Description]]="","",DATE(Table2[[#This Row],[Year]],Table2[[#This Row],[Month]],1))</f>
        <v/>
      </c>
    </row>
    <row r="1308" spans="7:11" x14ac:dyDescent="0.25">
      <c r="G1308" s="1" t="str">
        <f>IF(Table2[[#This Row],[Description]]="","",VLOOKUP(Table2[[#This Row],[Description]],$Q$1:$S$101,2,FALSE))</f>
        <v/>
      </c>
      <c r="H1308" s="1" t="str">
        <f>IF(Table2[[#This Row],[Description]]="","",VLOOKUP(Table2[[#This Row],[Description]],$Q$1:$S$101,3,FALSE))</f>
        <v/>
      </c>
      <c r="I1308" s="1" t="str">
        <f>IF(Table2[[#This Row],[Description]]="","",IF(Table2[[#This Row],[Currency]]=$O$2,$P$2,HLOOKUP(Table2[[#This Row],[Date]],Funds!$C$10:$GV$11,2,FALSE)))</f>
        <v/>
      </c>
      <c r="J1308" s="215" t="str">
        <f>IF(Table2[[#This Row],[Description]]="","",Table2[[#This Row],[Value]]/Table2[[#This Row],[Conversion]])</f>
        <v/>
      </c>
      <c r="K1308" s="45" t="str">
        <f>IF(Table2[[#This Row],[Description]]="","",DATE(Table2[[#This Row],[Year]],Table2[[#This Row],[Month]],1))</f>
        <v/>
      </c>
    </row>
    <row r="1309" spans="7:11" x14ac:dyDescent="0.25">
      <c r="G1309" s="1" t="str">
        <f>IF(Table2[[#This Row],[Description]]="","",VLOOKUP(Table2[[#This Row],[Description]],$Q$1:$S$101,2,FALSE))</f>
        <v/>
      </c>
      <c r="H1309" s="1" t="str">
        <f>IF(Table2[[#This Row],[Description]]="","",VLOOKUP(Table2[[#This Row],[Description]],$Q$1:$S$101,3,FALSE))</f>
        <v/>
      </c>
      <c r="I1309" s="1" t="str">
        <f>IF(Table2[[#This Row],[Description]]="","",IF(Table2[[#This Row],[Currency]]=$O$2,$P$2,HLOOKUP(Table2[[#This Row],[Date]],Funds!$C$10:$GV$11,2,FALSE)))</f>
        <v/>
      </c>
      <c r="J1309" s="215" t="str">
        <f>IF(Table2[[#This Row],[Description]]="","",Table2[[#This Row],[Value]]/Table2[[#This Row],[Conversion]])</f>
        <v/>
      </c>
      <c r="K1309" s="45" t="str">
        <f>IF(Table2[[#This Row],[Description]]="","",DATE(Table2[[#This Row],[Year]],Table2[[#This Row],[Month]],1))</f>
        <v/>
      </c>
    </row>
    <row r="1310" spans="7:11" x14ac:dyDescent="0.25">
      <c r="G1310" s="1" t="str">
        <f>IF(Table2[[#This Row],[Description]]="","",VLOOKUP(Table2[[#This Row],[Description]],$Q$1:$S$101,2,FALSE))</f>
        <v/>
      </c>
      <c r="H1310" s="1" t="str">
        <f>IF(Table2[[#This Row],[Description]]="","",VLOOKUP(Table2[[#This Row],[Description]],$Q$1:$S$101,3,FALSE))</f>
        <v/>
      </c>
      <c r="I1310" s="1" t="str">
        <f>IF(Table2[[#This Row],[Description]]="","",IF(Table2[[#This Row],[Currency]]=$O$2,$P$2,HLOOKUP(Table2[[#This Row],[Date]],Funds!$C$10:$GV$11,2,FALSE)))</f>
        <v/>
      </c>
      <c r="J1310" s="215" t="str">
        <f>IF(Table2[[#This Row],[Description]]="","",Table2[[#This Row],[Value]]/Table2[[#This Row],[Conversion]])</f>
        <v/>
      </c>
      <c r="K1310" s="45" t="str">
        <f>IF(Table2[[#This Row],[Description]]="","",DATE(Table2[[#This Row],[Year]],Table2[[#This Row],[Month]],1))</f>
        <v/>
      </c>
    </row>
    <row r="1311" spans="7:11" x14ac:dyDescent="0.25">
      <c r="G1311" s="1" t="str">
        <f>IF(Table2[[#This Row],[Description]]="","",VLOOKUP(Table2[[#This Row],[Description]],$Q$1:$S$101,2,FALSE))</f>
        <v/>
      </c>
      <c r="H1311" s="1" t="str">
        <f>IF(Table2[[#This Row],[Description]]="","",VLOOKUP(Table2[[#This Row],[Description]],$Q$1:$S$101,3,FALSE))</f>
        <v/>
      </c>
      <c r="I1311" s="1" t="str">
        <f>IF(Table2[[#This Row],[Description]]="","",IF(Table2[[#This Row],[Currency]]=$O$2,$P$2,HLOOKUP(Table2[[#This Row],[Date]],Funds!$C$10:$GV$11,2,FALSE)))</f>
        <v/>
      </c>
      <c r="J1311" s="215" t="str">
        <f>IF(Table2[[#This Row],[Description]]="","",Table2[[#This Row],[Value]]/Table2[[#This Row],[Conversion]])</f>
        <v/>
      </c>
      <c r="K1311" s="45" t="str">
        <f>IF(Table2[[#This Row],[Description]]="","",DATE(Table2[[#This Row],[Year]],Table2[[#This Row],[Month]],1))</f>
        <v/>
      </c>
    </row>
    <row r="1312" spans="7:11" x14ac:dyDescent="0.25">
      <c r="G1312" s="1" t="str">
        <f>IF(Table2[[#This Row],[Description]]="","",VLOOKUP(Table2[[#This Row],[Description]],$Q$1:$S$101,2,FALSE))</f>
        <v/>
      </c>
      <c r="H1312" s="1" t="str">
        <f>IF(Table2[[#This Row],[Description]]="","",VLOOKUP(Table2[[#This Row],[Description]],$Q$1:$S$101,3,FALSE))</f>
        <v/>
      </c>
      <c r="I1312" s="1" t="str">
        <f>IF(Table2[[#This Row],[Description]]="","",IF(Table2[[#This Row],[Currency]]=$O$2,$P$2,HLOOKUP(Table2[[#This Row],[Date]],Funds!$C$10:$GV$11,2,FALSE)))</f>
        <v/>
      </c>
      <c r="J1312" s="215" t="str">
        <f>IF(Table2[[#This Row],[Description]]="","",Table2[[#This Row],[Value]]/Table2[[#This Row],[Conversion]])</f>
        <v/>
      </c>
      <c r="K1312" s="45" t="str">
        <f>IF(Table2[[#This Row],[Description]]="","",DATE(Table2[[#This Row],[Year]],Table2[[#This Row],[Month]],1))</f>
        <v/>
      </c>
    </row>
    <row r="1313" spans="7:11" x14ac:dyDescent="0.25">
      <c r="G1313" s="1" t="str">
        <f>IF(Table2[[#This Row],[Description]]="","",VLOOKUP(Table2[[#This Row],[Description]],$Q$1:$S$101,2,FALSE))</f>
        <v/>
      </c>
      <c r="H1313" s="1" t="str">
        <f>IF(Table2[[#This Row],[Description]]="","",VLOOKUP(Table2[[#This Row],[Description]],$Q$1:$S$101,3,FALSE))</f>
        <v/>
      </c>
      <c r="I1313" s="1" t="str">
        <f>IF(Table2[[#This Row],[Description]]="","",IF(Table2[[#This Row],[Currency]]=$O$2,$P$2,HLOOKUP(Table2[[#This Row],[Date]],Funds!$C$10:$GV$11,2,FALSE)))</f>
        <v/>
      </c>
      <c r="J1313" s="215" t="str">
        <f>IF(Table2[[#This Row],[Description]]="","",Table2[[#This Row],[Value]]/Table2[[#This Row],[Conversion]])</f>
        <v/>
      </c>
      <c r="K1313" s="45" t="str">
        <f>IF(Table2[[#This Row],[Description]]="","",DATE(Table2[[#This Row],[Year]],Table2[[#This Row],[Month]],1))</f>
        <v/>
      </c>
    </row>
    <row r="1314" spans="7:11" x14ac:dyDescent="0.25">
      <c r="G1314" s="1" t="str">
        <f>IF(Table2[[#This Row],[Description]]="","",VLOOKUP(Table2[[#This Row],[Description]],$Q$1:$S$101,2,FALSE))</f>
        <v/>
      </c>
      <c r="H1314" s="1" t="str">
        <f>IF(Table2[[#This Row],[Description]]="","",VLOOKUP(Table2[[#This Row],[Description]],$Q$1:$S$101,3,FALSE))</f>
        <v/>
      </c>
      <c r="I1314" s="1" t="str">
        <f>IF(Table2[[#This Row],[Description]]="","",IF(Table2[[#This Row],[Currency]]=$O$2,$P$2,HLOOKUP(Table2[[#This Row],[Date]],Funds!$C$10:$GV$11,2,FALSE)))</f>
        <v/>
      </c>
      <c r="J1314" s="215" t="str">
        <f>IF(Table2[[#This Row],[Description]]="","",Table2[[#This Row],[Value]]/Table2[[#This Row],[Conversion]])</f>
        <v/>
      </c>
      <c r="K1314" s="45" t="str">
        <f>IF(Table2[[#This Row],[Description]]="","",DATE(Table2[[#This Row],[Year]],Table2[[#This Row],[Month]],1))</f>
        <v/>
      </c>
    </row>
    <row r="1315" spans="7:11" x14ac:dyDescent="0.25">
      <c r="G1315" s="1" t="str">
        <f>IF(Table2[[#This Row],[Description]]="","",VLOOKUP(Table2[[#This Row],[Description]],$Q$1:$S$101,2,FALSE))</f>
        <v/>
      </c>
      <c r="H1315" s="1" t="str">
        <f>IF(Table2[[#This Row],[Description]]="","",VLOOKUP(Table2[[#This Row],[Description]],$Q$1:$S$101,3,FALSE))</f>
        <v/>
      </c>
      <c r="I1315" s="1" t="str">
        <f>IF(Table2[[#This Row],[Description]]="","",IF(Table2[[#This Row],[Currency]]=$O$2,$P$2,HLOOKUP(Table2[[#This Row],[Date]],Funds!$C$10:$GV$11,2,FALSE)))</f>
        <v/>
      </c>
      <c r="J1315" s="215" t="str">
        <f>IF(Table2[[#This Row],[Description]]="","",Table2[[#This Row],[Value]]/Table2[[#This Row],[Conversion]])</f>
        <v/>
      </c>
      <c r="K1315" s="45" t="str">
        <f>IF(Table2[[#This Row],[Description]]="","",DATE(Table2[[#This Row],[Year]],Table2[[#This Row],[Month]],1))</f>
        <v/>
      </c>
    </row>
    <row r="1316" spans="7:11" x14ac:dyDescent="0.25">
      <c r="G1316" s="1" t="str">
        <f>IF(Table2[[#This Row],[Description]]="","",VLOOKUP(Table2[[#This Row],[Description]],$Q$1:$S$101,2,FALSE))</f>
        <v/>
      </c>
      <c r="H1316" s="1" t="str">
        <f>IF(Table2[[#This Row],[Description]]="","",VLOOKUP(Table2[[#This Row],[Description]],$Q$1:$S$101,3,FALSE))</f>
        <v/>
      </c>
      <c r="I1316" s="1" t="str">
        <f>IF(Table2[[#This Row],[Description]]="","",IF(Table2[[#This Row],[Currency]]=$O$2,$P$2,HLOOKUP(Table2[[#This Row],[Date]],Funds!$C$10:$GV$11,2,FALSE)))</f>
        <v/>
      </c>
      <c r="J1316" s="215" t="str">
        <f>IF(Table2[[#This Row],[Description]]="","",Table2[[#This Row],[Value]]/Table2[[#This Row],[Conversion]])</f>
        <v/>
      </c>
      <c r="K1316" s="45" t="str">
        <f>IF(Table2[[#This Row],[Description]]="","",DATE(Table2[[#This Row],[Year]],Table2[[#This Row],[Month]],1))</f>
        <v/>
      </c>
    </row>
    <row r="1317" spans="7:11" x14ac:dyDescent="0.25">
      <c r="G1317" s="1" t="str">
        <f>IF(Table2[[#This Row],[Description]]="","",VLOOKUP(Table2[[#This Row],[Description]],$Q$1:$S$101,2,FALSE))</f>
        <v/>
      </c>
      <c r="H1317" s="1" t="str">
        <f>IF(Table2[[#This Row],[Description]]="","",VLOOKUP(Table2[[#This Row],[Description]],$Q$1:$S$101,3,FALSE))</f>
        <v/>
      </c>
      <c r="I1317" s="1" t="str">
        <f>IF(Table2[[#This Row],[Description]]="","",IF(Table2[[#This Row],[Currency]]=$O$2,$P$2,HLOOKUP(Table2[[#This Row],[Date]],Funds!$C$10:$GV$11,2,FALSE)))</f>
        <v/>
      </c>
      <c r="J1317" s="215" t="str">
        <f>IF(Table2[[#This Row],[Description]]="","",Table2[[#This Row],[Value]]/Table2[[#This Row],[Conversion]])</f>
        <v/>
      </c>
      <c r="K1317" s="45" t="str">
        <f>IF(Table2[[#This Row],[Description]]="","",DATE(Table2[[#This Row],[Year]],Table2[[#This Row],[Month]],1))</f>
        <v/>
      </c>
    </row>
    <row r="1318" spans="7:11" x14ac:dyDescent="0.25">
      <c r="G1318" s="1" t="str">
        <f>IF(Table2[[#This Row],[Description]]="","",VLOOKUP(Table2[[#This Row],[Description]],$Q$1:$S$101,2,FALSE))</f>
        <v/>
      </c>
      <c r="H1318" s="1" t="str">
        <f>IF(Table2[[#This Row],[Description]]="","",VLOOKUP(Table2[[#This Row],[Description]],$Q$1:$S$101,3,FALSE))</f>
        <v/>
      </c>
      <c r="I1318" s="1" t="str">
        <f>IF(Table2[[#This Row],[Description]]="","",IF(Table2[[#This Row],[Currency]]=$O$2,$P$2,HLOOKUP(Table2[[#This Row],[Date]],Funds!$C$10:$GV$11,2,FALSE)))</f>
        <v/>
      </c>
      <c r="J1318" s="215" t="str">
        <f>IF(Table2[[#This Row],[Description]]="","",Table2[[#This Row],[Value]]/Table2[[#This Row],[Conversion]])</f>
        <v/>
      </c>
      <c r="K1318" s="45" t="str">
        <f>IF(Table2[[#This Row],[Description]]="","",DATE(Table2[[#This Row],[Year]],Table2[[#This Row],[Month]],1))</f>
        <v/>
      </c>
    </row>
    <row r="1319" spans="7:11" x14ac:dyDescent="0.25">
      <c r="G1319" s="1" t="str">
        <f>IF(Table2[[#This Row],[Description]]="","",VLOOKUP(Table2[[#This Row],[Description]],$Q$1:$S$101,2,FALSE))</f>
        <v/>
      </c>
      <c r="H1319" s="1" t="str">
        <f>IF(Table2[[#This Row],[Description]]="","",VLOOKUP(Table2[[#This Row],[Description]],$Q$1:$S$101,3,FALSE))</f>
        <v/>
      </c>
      <c r="I1319" s="1" t="str">
        <f>IF(Table2[[#This Row],[Description]]="","",IF(Table2[[#This Row],[Currency]]=$O$2,$P$2,HLOOKUP(Table2[[#This Row],[Date]],Funds!$C$10:$GV$11,2,FALSE)))</f>
        <v/>
      </c>
      <c r="J1319" s="215" t="str">
        <f>IF(Table2[[#This Row],[Description]]="","",Table2[[#This Row],[Value]]/Table2[[#This Row],[Conversion]])</f>
        <v/>
      </c>
      <c r="K1319" s="45" t="str">
        <f>IF(Table2[[#This Row],[Description]]="","",DATE(Table2[[#This Row],[Year]],Table2[[#This Row],[Month]],1))</f>
        <v/>
      </c>
    </row>
    <row r="1320" spans="7:11" x14ac:dyDescent="0.25">
      <c r="G1320" s="1" t="str">
        <f>IF(Table2[[#This Row],[Description]]="","",VLOOKUP(Table2[[#This Row],[Description]],$Q$1:$S$101,2,FALSE))</f>
        <v/>
      </c>
      <c r="H1320" s="1" t="str">
        <f>IF(Table2[[#This Row],[Description]]="","",VLOOKUP(Table2[[#This Row],[Description]],$Q$1:$S$101,3,FALSE))</f>
        <v/>
      </c>
      <c r="I1320" s="1" t="str">
        <f>IF(Table2[[#This Row],[Description]]="","",IF(Table2[[#This Row],[Currency]]=$O$2,$P$2,HLOOKUP(Table2[[#This Row],[Date]],Funds!$C$10:$GV$11,2,FALSE)))</f>
        <v/>
      </c>
      <c r="J1320" s="215" t="str">
        <f>IF(Table2[[#This Row],[Description]]="","",Table2[[#This Row],[Value]]/Table2[[#This Row],[Conversion]])</f>
        <v/>
      </c>
      <c r="K1320" s="45" t="str">
        <f>IF(Table2[[#This Row],[Description]]="","",DATE(Table2[[#This Row],[Year]],Table2[[#This Row],[Month]],1))</f>
        <v/>
      </c>
    </row>
    <row r="1321" spans="7:11" x14ac:dyDescent="0.25">
      <c r="G1321" s="1" t="str">
        <f>IF(Table2[[#This Row],[Description]]="","",VLOOKUP(Table2[[#This Row],[Description]],$Q$1:$S$101,2,FALSE))</f>
        <v/>
      </c>
      <c r="H1321" s="1" t="str">
        <f>IF(Table2[[#This Row],[Description]]="","",VLOOKUP(Table2[[#This Row],[Description]],$Q$1:$S$101,3,FALSE))</f>
        <v/>
      </c>
      <c r="I1321" s="1" t="str">
        <f>IF(Table2[[#This Row],[Description]]="","",IF(Table2[[#This Row],[Currency]]=$O$2,$P$2,HLOOKUP(Table2[[#This Row],[Date]],Funds!$C$10:$GV$11,2,FALSE)))</f>
        <v/>
      </c>
      <c r="J1321" s="215" t="str">
        <f>IF(Table2[[#This Row],[Description]]="","",Table2[[#This Row],[Value]]/Table2[[#This Row],[Conversion]])</f>
        <v/>
      </c>
      <c r="K1321" s="45" t="str">
        <f>IF(Table2[[#This Row],[Description]]="","",DATE(Table2[[#This Row],[Year]],Table2[[#This Row],[Month]],1))</f>
        <v/>
      </c>
    </row>
    <row r="1322" spans="7:11" x14ac:dyDescent="0.25">
      <c r="G1322" s="1" t="str">
        <f>IF(Table2[[#This Row],[Description]]="","",VLOOKUP(Table2[[#This Row],[Description]],$Q$1:$S$101,2,FALSE))</f>
        <v/>
      </c>
      <c r="H1322" s="1" t="str">
        <f>IF(Table2[[#This Row],[Description]]="","",VLOOKUP(Table2[[#This Row],[Description]],$Q$1:$S$101,3,FALSE))</f>
        <v/>
      </c>
      <c r="I1322" s="1" t="str">
        <f>IF(Table2[[#This Row],[Description]]="","",IF(Table2[[#This Row],[Currency]]=$O$2,$P$2,HLOOKUP(Table2[[#This Row],[Date]],Funds!$C$10:$GV$11,2,FALSE)))</f>
        <v/>
      </c>
      <c r="J1322" s="215" t="str">
        <f>IF(Table2[[#This Row],[Description]]="","",Table2[[#This Row],[Value]]/Table2[[#This Row],[Conversion]])</f>
        <v/>
      </c>
      <c r="K1322" s="45" t="str">
        <f>IF(Table2[[#This Row],[Description]]="","",DATE(Table2[[#This Row],[Year]],Table2[[#This Row],[Month]],1))</f>
        <v/>
      </c>
    </row>
    <row r="1323" spans="7:11" x14ac:dyDescent="0.25">
      <c r="G1323" s="1" t="str">
        <f>IF(Table2[[#This Row],[Description]]="","",VLOOKUP(Table2[[#This Row],[Description]],$Q$1:$S$101,2,FALSE))</f>
        <v/>
      </c>
      <c r="H1323" s="1" t="str">
        <f>IF(Table2[[#This Row],[Description]]="","",VLOOKUP(Table2[[#This Row],[Description]],$Q$1:$S$101,3,FALSE))</f>
        <v/>
      </c>
      <c r="I1323" s="1" t="str">
        <f>IF(Table2[[#This Row],[Description]]="","",IF(Table2[[#This Row],[Currency]]=$O$2,$P$2,HLOOKUP(Table2[[#This Row],[Date]],Funds!$C$10:$GV$11,2,FALSE)))</f>
        <v/>
      </c>
      <c r="J1323" s="215" t="str">
        <f>IF(Table2[[#This Row],[Description]]="","",Table2[[#This Row],[Value]]/Table2[[#This Row],[Conversion]])</f>
        <v/>
      </c>
      <c r="K1323" s="45" t="str">
        <f>IF(Table2[[#This Row],[Description]]="","",DATE(Table2[[#This Row],[Year]],Table2[[#This Row],[Month]],1))</f>
        <v/>
      </c>
    </row>
    <row r="1324" spans="7:11" x14ac:dyDescent="0.25">
      <c r="G1324" s="1" t="str">
        <f>IF(Table2[[#This Row],[Description]]="","",VLOOKUP(Table2[[#This Row],[Description]],$Q$1:$S$101,2,FALSE))</f>
        <v/>
      </c>
      <c r="H1324" s="1" t="str">
        <f>IF(Table2[[#This Row],[Description]]="","",VLOOKUP(Table2[[#This Row],[Description]],$Q$1:$S$101,3,FALSE))</f>
        <v/>
      </c>
      <c r="I1324" s="1" t="str">
        <f>IF(Table2[[#This Row],[Description]]="","",IF(Table2[[#This Row],[Currency]]=$O$2,$P$2,HLOOKUP(Table2[[#This Row],[Date]],Funds!$C$10:$GV$11,2,FALSE)))</f>
        <v/>
      </c>
      <c r="J1324" s="215" t="str">
        <f>IF(Table2[[#This Row],[Description]]="","",Table2[[#This Row],[Value]]/Table2[[#This Row],[Conversion]])</f>
        <v/>
      </c>
      <c r="K1324" s="45" t="str">
        <f>IF(Table2[[#This Row],[Description]]="","",DATE(Table2[[#This Row],[Year]],Table2[[#This Row],[Month]],1))</f>
        <v/>
      </c>
    </row>
    <row r="1325" spans="7:11" x14ac:dyDescent="0.25">
      <c r="G1325" s="1" t="str">
        <f>IF(Table2[[#This Row],[Description]]="","",VLOOKUP(Table2[[#This Row],[Description]],$Q$1:$S$101,2,FALSE))</f>
        <v/>
      </c>
      <c r="H1325" s="1" t="str">
        <f>IF(Table2[[#This Row],[Description]]="","",VLOOKUP(Table2[[#This Row],[Description]],$Q$1:$S$101,3,FALSE))</f>
        <v/>
      </c>
      <c r="I1325" s="1" t="str">
        <f>IF(Table2[[#This Row],[Description]]="","",IF(Table2[[#This Row],[Currency]]=$O$2,$P$2,HLOOKUP(Table2[[#This Row],[Date]],Funds!$C$10:$GV$11,2,FALSE)))</f>
        <v/>
      </c>
      <c r="J1325" s="215" t="str">
        <f>IF(Table2[[#This Row],[Description]]="","",Table2[[#This Row],[Value]]/Table2[[#This Row],[Conversion]])</f>
        <v/>
      </c>
      <c r="K1325" s="45" t="str">
        <f>IF(Table2[[#This Row],[Description]]="","",DATE(Table2[[#This Row],[Year]],Table2[[#This Row],[Month]],1))</f>
        <v/>
      </c>
    </row>
    <row r="1326" spans="7:11" x14ac:dyDescent="0.25">
      <c r="G1326" s="1" t="str">
        <f>IF(Table2[[#This Row],[Description]]="","",VLOOKUP(Table2[[#This Row],[Description]],$Q$1:$S$101,2,FALSE))</f>
        <v/>
      </c>
      <c r="H1326" s="1" t="str">
        <f>IF(Table2[[#This Row],[Description]]="","",VLOOKUP(Table2[[#This Row],[Description]],$Q$1:$S$101,3,FALSE))</f>
        <v/>
      </c>
      <c r="I1326" s="1" t="str">
        <f>IF(Table2[[#This Row],[Description]]="","",IF(Table2[[#This Row],[Currency]]=$O$2,$P$2,HLOOKUP(Table2[[#This Row],[Date]],Funds!$C$10:$GV$11,2,FALSE)))</f>
        <v/>
      </c>
      <c r="J1326" s="215" t="str">
        <f>IF(Table2[[#This Row],[Description]]="","",Table2[[#This Row],[Value]]/Table2[[#This Row],[Conversion]])</f>
        <v/>
      </c>
      <c r="K1326" s="45" t="str">
        <f>IF(Table2[[#This Row],[Description]]="","",DATE(Table2[[#This Row],[Year]],Table2[[#This Row],[Month]],1))</f>
        <v/>
      </c>
    </row>
    <row r="1327" spans="7:11" x14ac:dyDescent="0.25">
      <c r="G1327" s="1" t="str">
        <f>IF(Table2[[#This Row],[Description]]="","",VLOOKUP(Table2[[#This Row],[Description]],$Q$1:$S$101,2,FALSE))</f>
        <v/>
      </c>
      <c r="H1327" s="1" t="str">
        <f>IF(Table2[[#This Row],[Description]]="","",VLOOKUP(Table2[[#This Row],[Description]],$Q$1:$S$101,3,FALSE))</f>
        <v/>
      </c>
      <c r="I1327" s="1" t="str">
        <f>IF(Table2[[#This Row],[Description]]="","",IF(Table2[[#This Row],[Currency]]=$O$2,$P$2,HLOOKUP(Table2[[#This Row],[Date]],Funds!$C$10:$GV$11,2,FALSE)))</f>
        <v/>
      </c>
      <c r="J1327" s="215" t="str">
        <f>IF(Table2[[#This Row],[Description]]="","",Table2[[#This Row],[Value]]/Table2[[#This Row],[Conversion]])</f>
        <v/>
      </c>
      <c r="K1327" s="45" t="str">
        <f>IF(Table2[[#This Row],[Description]]="","",DATE(Table2[[#This Row],[Year]],Table2[[#This Row],[Month]],1))</f>
        <v/>
      </c>
    </row>
    <row r="1328" spans="7:11" x14ac:dyDescent="0.25">
      <c r="G1328" s="1" t="str">
        <f>IF(Table2[[#This Row],[Description]]="","",VLOOKUP(Table2[[#This Row],[Description]],$Q$1:$S$101,2,FALSE))</f>
        <v/>
      </c>
      <c r="H1328" s="1" t="str">
        <f>IF(Table2[[#This Row],[Description]]="","",VLOOKUP(Table2[[#This Row],[Description]],$Q$1:$S$101,3,FALSE))</f>
        <v/>
      </c>
      <c r="I1328" s="1" t="str">
        <f>IF(Table2[[#This Row],[Description]]="","",IF(Table2[[#This Row],[Currency]]=$O$2,$P$2,HLOOKUP(Table2[[#This Row],[Date]],Funds!$C$10:$GV$11,2,FALSE)))</f>
        <v/>
      </c>
      <c r="J1328" s="215" t="str">
        <f>IF(Table2[[#This Row],[Description]]="","",Table2[[#This Row],[Value]]/Table2[[#This Row],[Conversion]])</f>
        <v/>
      </c>
      <c r="K1328" s="45" t="str">
        <f>IF(Table2[[#This Row],[Description]]="","",DATE(Table2[[#This Row],[Year]],Table2[[#This Row],[Month]],1))</f>
        <v/>
      </c>
    </row>
    <row r="1329" spans="7:11" x14ac:dyDescent="0.25">
      <c r="G1329" s="1" t="str">
        <f>IF(Table2[[#This Row],[Description]]="","",VLOOKUP(Table2[[#This Row],[Description]],$Q$1:$S$101,2,FALSE))</f>
        <v/>
      </c>
      <c r="H1329" s="1" t="str">
        <f>IF(Table2[[#This Row],[Description]]="","",VLOOKUP(Table2[[#This Row],[Description]],$Q$1:$S$101,3,FALSE))</f>
        <v/>
      </c>
      <c r="I1329" s="1" t="str">
        <f>IF(Table2[[#This Row],[Description]]="","",IF(Table2[[#This Row],[Currency]]=$O$2,$P$2,HLOOKUP(Table2[[#This Row],[Date]],Funds!$C$10:$GV$11,2,FALSE)))</f>
        <v/>
      </c>
      <c r="J1329" s="215" t="str">
        <f>IF(Table2[[#This Row],[Description]]="","",Table2[[#This Row],[Value]]/Table2[[#This Row],[Conversion]])</f>
        <v/>
      </c>
      <c r="K1329" s="45" t="str">
        <f>IF(Table2[[#This Row],[Description]]="","",DATE(Table2[[#This Row],[Year]],Table2[[#This Row],[Month]],1))</f>
        <v/>
      </c>
    </row>
    <row r="1330" spans="7:11" x14ac:dyDescent="0.25">
      <c r="G1330" s="1" t="str">
        <f>IF(Table2[[#This Row],[Description]]="","",VLOOKUP(Table2[[#This Row],[Description]],$Q$1:$S$101,2,FALSE))</f>
        <v/>
      </c>
      <c r="H1330" s="1" t="str">
        <f>IF(Table2[[#This Row],[Description]]="","",VLOOKUP(Table2[[#This Row],[Description]],$Q$1:$S$101,3,FALSE))</f>
        <v/>
      </c>
      <c r="I1330" s="1" t="str">
        <f>IF(Table2[[#This Row],[Description]]="","",IF(Table2[[#This Row],[Currency]]=$O$2,$P$2,HLOOKUP(Table2[[#This Row],[Date]],Funds!$C$10:$GV$11,2,FALSE)))</f>
        <v/>
      </c>
      <c r="J1330" s="215" t="str">
        <f>IF(Table2[[#This Row],[Description]]="","",Table2[[#This Row],[Value]]/Table2[[#This Row],[Conversion]])</f>
        <v/>
      </c>
      <c r="K1330" s="45" t="str">
        <f>IF(Table2[[#This Row],[Description]]="","",DATE(Table2[[#This Row],[Year]],Table2[[#This Row],[Month]],1))</f>
        <v/>
      </c>
    </row>
    <row r="1331" spans="7:11" x14ac:dyDescent="0.25">
      <c r="G1331" s="1" t="str">
        <f>IF(Table2[[#This Row],[Description]]="","",VLOOKUP(Table2[[#This Row],[Description]],$Q$1:$S$101,2,FALSE))</f>
        <v/>
      </c>
      <c r="H1331" s="1" t="str">
        <f>IF(Table2[[#This Row],[Description]]="","",VLOOKUP(Table2[[#This Row],[Description]],$Q$1:$S$101,3,FALSE))</f>
        <v/>
      </c>
      <c r="I1331" s="1" t="str">
        <f>IF(Table2[[#This Row],[Description]]="","",IF(Table2[[#This Row],[Currency]]=$O$2,$P$2,HLOOKUP(Table2[[#This Row],[Date]],Funds!$C$10:$GV$11,2,FALSE)))</f>
        <v/>
      </c>
      <c r="J1331" s="215" t="str">
        <f>IF(Table2[[#This Row],[Description]]="","",Table2[[#This Row],[Value]]/Table2[[#This Row],[Conversion]])</f>
        <v/>
      </c>
      <c r="K1331" s="45" t="str">
        <f>IF(Table2[[#This Row],[Description]]="","",DATE(Table2[[#This Row],[Year]],Table2[[#This Row],[Month]],1))</f>
        <v/>
      </c>
    </row>
    <row r="1332" spans="7:11" x14ac:dyDescent="0.25">
      <c r="G1332" s="1" t="str">
        <f>IF(Table2[[#This Row],[Description]]="","",VLOOKUP(Table2[[#This Row],[Description]],$Q$1:$S$101,2,FALSE))</f>
        <v/>
      </c>
      <c r="H1332" s="1" t="str">
        <f>IF(Table2[[#This Row],[Description]]="","",VLOOKUP(Table2[[#This Row],[Description]],$Q$1:$S$101,3,FALSE))</f>
        <v/>
      </c>
      <c r="I1332" s="1" t="str">
        <f>IF(Table2[[#This Row],[Description]]="","",IF(Table2[[#This Row],[Currency]]=$O$2,$P$2,HLOOKUP(Table2[[#This Row],[Date]],Funds!$C$10:$GV$11,2,FALSE)))</f>
        <v/>
      </c>
      <c r="J1332" s="215" t="str">
        <f>IF(Table2[[#This Row],[Description]]="","",Table2[[#This Row],[Value]]/Table2[[#This Row],[Conversion]])</f>
        <v/>
      </c>
      <c r="K1332" s="45" t="str">
        <f>IF(Table2[[#This Row],[Description]]="","",DATE(Table2[[#This Row],[Year]],Table2[[#This Row],[Month]],1))</f>
        <v/>
      </c>
    </row>
    <row r="1333" spans="7:11" x14ac:dyDescent="0.25">
      <c r="G1333" s="1" t="str">
        <f>IF(Table2[[#This Row],[Description]]="","",VLOOKUP(Table2[[#This Row],[Description]],$Q$1:$S$101,2,FALSE))</f>
        <v/>
      </c>
      <c r="H1333" s="1" t="str">
        <f>IF(Table2[[#This Row],[Description]]="","",VLOOKUP(Table2[[#This Row],[Description]],$Q$1:$S$101,3,FALSE))</f>
        <v/>
      </c>
      <c r="I1333" s="1" t="str">
        <f>IF(Table2[[#This Row],[Description]]="","",IF(Table2[[#This Row],[Currency]]=$O$2,$P$2,HLOOKUP(Table2[[#This Row],[Date]],Funds!$C$10:$GV$11,2,FALSE)))</f>
        <v/>
      </c>
      <c r="J1333" s="215" t="str">
        <f>IF(Table2[[#This Row],[Description]]="","",Table2[[#This Row],[Value]]/Table2[[#This Row],[Conversion]])</f>
        <v/>
      </c>
      <c r="K1333" s="45" t="str">
        <f>IF(Table2[[#This Row],[Description]]="","",DATE(Table2[[#This Row],[Year]],Table2[[#This Row],[Month]],1))</f>
        <v/>
      </c>
    </row>
    <row r="1334" spans="7:11" x14ac:dyDescent="0.25">
      <c r="G1334" s="1" t="str">
        <f>IF(Table2[[#This Row],[Description]]="","",VLOOKUP(Table2[[#This Row],[Description]],$Q$1:$S$101,2,FALSE))</f>
        <v/>
      </c>
      <c r="H1334" s="1" t="str">
        <f>IF(Table2[[#This Row],[Description]]="","",VLOOKUP(Table2[[#This Row],[Description]],$Q$1:$S$101,3,FALSE))</f>
        <v/>
      </c>
      <c r="I1334" s="1" t="str">
        <f>IF(Table2[[#This Row],[Description]]="","",IF(Table2[[#This Row],[Currency]]=$O$2,$P$2,HLOOKUP(Table2[[#This Row],[Date]],Funds!$C$10:$GV$11,2,FALSE)))</f>
        <v/>
      </c>
      <c r="J1334" s="215" t="str">
        <f>IF(Table2[[#This Row],[Description]]="","",Table2[[#This Row],[Value]]/Table2[[#This Row],[Conversion]])</f>
        <v/>
      </c>
      <c r="K1334" s="45" t="str">
        <f>IF(Table2[[#This Row],[Description]]="","",DATE(Table2[[#This Row],[Year]],Table2[[#This Row],[Month]],1))</f>
        <v/>
      </c>
    </row>
    <row r="1335" spans="7:11" x14ac:dyDescent="0.25">
      <c r="G1335" s="1" t="str">
        <f>IF(Table2[[#This Row],[Description]]="","",VLOOKUP(Table2[[#This Row],[Description]],$Q$1:$S$101,2,FALSE))</f>
        <v/>
      </c>
      <c r="H1335" s="1" t="str">
        <f>IF(Table2[[#This Row],[Description]]="","",VLOOKUP(Table2[[#This Row],[Description]],$Q$1:$S$101,3,FALSE))</f>
        <v/>
      </c>
      <c r="I1335" s="1" t="str">
        <f>IF(Table2[[#This Row],[Description]]="","",IF(Table2[[#This Row],[Currency]]=$O$2,$P$2,HLOOKUP(Table2[[#This Row],[Date]],Funds!$C$10:$GV$11,2,FALSE)))</f>
        <v/>
      </c>
      <c r="J1335" s="215" t="str">
        <f>IF(Table2[[#This Row],[Description]]="","",Table2[[#This Row],[Value]]/Table2[[#This Row],[Conversion]])</f>
        <v/>
      </c>
      <c r="K1335" s="45" t="str">
        <f>IF(Table2[[#This Row],[Description]]="","",DATE(Table2[[#This Row],[Year]],Table2[[#This Row],[Month]],1))</f>
        <v/>
      </c>
    </row>
    <row r="1336" spans="7:11" x14ac:dyDescent="0.25">
      <c r="G1336" s="1" t="str">
        <f>IF(Table2[[#This Row],[Description]]="","",VLOOKUP(Table2[[#This Row],[Description]],$Q$1:$S$101,2,FALSE))</f>
        <v/>
      </c>
      <c r="H1336" s="1" t="str">
        <f>IF(Table2[[#This Row],[Description]]="","",VLOOKUP(Table2[[#This Row],[Description]],$Q$1:$S$101,3,FALSE))</f>
        <v/>
      </c>
      <c r="I1336" s="1" t="str">
        <f>IF(Table2[[#This Row],[Description]]="","",IF(Table2[[#This Row],[Currency]]=$O$2,$P$2,HLOOKUP(Table2[[#This Row],[Date]],Funds!$C$10:$GV$11,2,FALSE)))</f>
        <v/>
      </c>
      <c r="J1336" s="215" t="str">
        <f>IF(Table2[[#This Row],[Description]]="","",Table2[[#This Row],[Value]]/Table2[[#This Row],[Conversion]])</f>
        <v/>
      </c>
      <c r="K1336" s="45" t="str">
        <f>IF(Table2[[#This Row],[Description]]="","",DATE(Table2[[#This Row],[Year]],Table2[[#This Row],[Month]],1))</f>
        <v/>
      </c>
    </row>
    <row r="1337" spans="7:11" x14ac:dyDescent="0.25">
      <c r="G1337" s="1" t="str">
        <f>IF(Table2[[#This Row],[Description]]="","",VLOOKUP(Table2[[#This Row],[Description]],$Q$1:$S$101,2,FALSE))</f>
        <v/>
      </c>
      <c r="H1337" s="1" t="str">
        <f>IF(Table2[[#This Row],[Description]]="","",VLOOKUP(Table2[[#This Row],[Description]],$Q$1:$S$101,3,FALSE))</f>
        <v/>
      </c>
      <c r="I1337" s="1" t="str">
        <f>IF(Table2[[#This Row],[Description]]="","",IF(Table2[[#This Row],[Currency]]=$O$2,$P$2,HLOOKUP(Table2[[#This Row],[Date]],Funds!$C$10:$GV$11,2,FALSE)))</f>
        <v/>
      </c>
      <c r="J1337" s="215" t="str">
        <f>IF(Table2[[#This Row],[Description]]="","",Table2[[#This Row],[Value]]/Table2[[#This Row],[Conversion]])</f>
        <v/>
      </c>
      <c r="K1337" s="45" t="str">
        <f>IF(Table2[[#This Row],[Description]]="","",DATE(Table2[[#This Row],[Year]],Table2[[#This Row],[Month]],1))</f>
        <v/>
      </c>
    </row>
    <row r="1338" spans="7:11" x14ac:dyDescent="0.25">
      <c r="G1338" s="1" t="str">
        <f>IF(Table2[[#This Row],[Description]]="","",VLOOKUP(Table2[[#This Row],[Description]],$Q$1:$S$101,2,FALSE))</f>
        <v/>
      </c>
      <c r="H1338" s="1" t="str">
        <f>IF(Table2[[#This Row],[Description]]="","",VLOOKUP(Table2[[#This Row],[Description]],$Q$1:$S$101,3,FALSE))</f>
        <v/>
      </c>
      <c r="I1338" s="1" t="str">
        <f>IF(Table2[[#This Row],[Description]]="","",IF(Table2[[#This Row],[Currency]]=$O$2,$P$2,HLOOKUP(Table2[[#This Row],[Date]],Funds!$C$10:$GV$11,2,FALSE)))</f>
        <v/>
      </c>
      <c r="J1338" s="215" t="str">
        <f>IF(Table2[[#This Row],[Description]]="","",Table2[[#This Row],[Value]]/Table2[[#This Row],[Conversion]])</f>
        <v/>
      </c>
      <c r="K1338" s="45" t="str">
        <f>IF(Table2[[#This Row],[Description]]="","",DATE(Table2[[#This Row],[Year]],Table2[[#This Row],[Month]],1))</f>
        <v/>
      </c>
    </row>
    <row r="1339" spans="7:11" x14ac:dyDescent="0.25">
      <c r="G1339" s="1" t="str">
        <f>IF(Table2[[#This Row],[Description]]="","",VLOOKUP(Table2[[#This Row],[Description]],$Q$1:$S$101,2,FALSE))</f>
        <v/>
      </c>
      <c r="H1339" s="1" t="str">
        <f>IF(Table2[[#This Row],[Description]]="","",VLOOKUP(Table2[[#This Row],[Description]],$Q$1:$S$101,3,FALSE))</f>
        <v/>
      </c>
      <c r="I1339" s="1" t="str">
        <f>IF(Table2[[#This Row],[Description]]="","",IF(Table2[[#This Row],[Currency]]=$O$2,$P$2,HLOOKUP(Table2[[#This Row],[Date]],Funds!$C$10:$GV$11,2,FALSE)))</f>
        <v/>
      </c>
      <c r="J1339" s="215" t="str">
        <f>IF(Table2[[#This Row],[Description]]="","",Table2[[#This Row],[Value]]/Table2[[#This Row],[Conversion]])</f>
        <v/>
      </c>
      <c r="K1339" s="45" t="str">
        <f>IF(Table2[[#This Row],[Description]]="","",DATE(Table2[[#This Row],[Year]],Table2[[#This Row],[Month]],1))</f>
        <v/>
      </c>
    </row>
    <row r="1340" spans="7:11" x14ac:dyDescent="0.25">
      <c r="G1340" s="1" t="str">
        <f>IF(Table2[[#This Row],[Description]]="","",VLOOKUP(Table2[[#This Row],[Description]],$Q$1:$S$101,2,FALSE))</f>
        <v/>
      </c>
      <c r="H1340" s="1" t="str">
        <f>IF(Table2[[#This Row],[Description]]="","",VLOOKUP(Table2[[#This Row],[Description]],$Q$1:$S$101,3,FALSE))</f>
        <v/>
      </c>
      <c r="I1340" s="1" t="str">
        <f>IF(Table2[[#This Row],[Description]]="","",IF(Table2[[#This Row],[Currency]]=$O$2,$P$2,HLOOKUP(Table2[[#This Row],[Date]],Funds!$C$10:$GV$11,2,FALSE)))</f>
        <v/>
      </c>
      <c r="J1340" s="215" t="str">
        <f>IF(Table2[[#This Row],[Description]]="","",Table2[[#This Row],[Value]]/Table2[[#This Row],[Conversion]])</f>
        <v/>
      </c>
      <c r="K1340" s="45" t="str">
        <f>IF(Table2[[#This Row],[Description]]="","",DATE(Table2[[#This Row],[Year]],Table2[[#This Row],[Month]],1))</f>
        <v/>
      </c>
    </row>
    <row r="1341" spans="7:11" x14ac:dyDescent="0.25">
      <c r="G1341" s="1" t="str">
        <f>IF(Table2[[#This Row],[Description]]="","",VLOOKUP(Table2[[#This Row],[Description]],$Q$1:$S$101,2,FALSE))</f>
        <v/>
      </c>
      <c r="H1341" s="1" t="str">
        <f>IF(Table2[[#This Row],[Description]]="","",VLOOKUP(Table2[[#This Row],[Description]],$Q$1:$S$101,3,FALSE))</f>
        <v/>
      </c>
      <c r="I1341" s="1" t="str">
        <f>IF(Table2[[#This Row],[Description]]="","",IF(Table2[[#This Row],[Currency]]=$O$2,$P$2,HLOOKUP(Table2[[#This Row],[Date]],Funds!$C$10:$GV$11,2,FALSE)))</f>
        <v/>
      </c>
      <c r="J1341" s="215" t="str">
        <f>IF(Table2[[#This Row],[Description]]="","",Table2[[#This Row],[Value]]/Table2[[#This Row],[Conversion]])</f>
        <v/>
      </c>
      <c r="K1341" s="45" t="str">
        <f>IF(Table2[[#This Row],[Description]]="","",DATE(Table2[[#This Row],[Year]],Table2[[#This Row],[Month]],1))</f>
        <v/>
      </c>
    </row>
    <row r="1342" spans="7:11" x14ac:dyDescent="0.25">
      <c r="G1342" s="1" t="str">
        <f>IF(Table2[[#This Row],[Description]]="","",VLOOKUP(Table2[[#This Row],[Description]],$Q$1:$S$101,2,FALSE))</f>
        <v/>
      </c>
      <c r="H1342" s="1" t="str">
        <f>IF(Table2[[#This Row],[Description]]="","",VLOOKUP(Table2[[#This Row],[Description]],$Q$1:$S$101,3,FALSE))</f>
        <v/>
      </c>
      <c r="I1342" s="1" t="str">
        <f>IF(Table2[[#This Row],[Description]]="","",IF(Table2[[#This Row],[Currency]]=$O$2,$P$2,HLOOKUP(Table2[[#This Row],[Date]],Funds!$C$10:$GV$11,2,FALSE)))</f>
        <v/>
      </c>
      <c r="J1342" s="215" t="str">
        <f>IF(Table2[[#This Row],[Description]]="","",Table2[[#This Row],[Value]]/Table2[[#This Row],[Conversion]])</f>
        <v/>
      </c>
      <c r="K1342" s="45" t="str">
        <f>IF(Table2[[#This Row],[Description]]="","",DATE(Table2[[#This Row],[Year]],Table2[[#This Row],[Month]],1))</f>
        <v/>
      </c>
    </row>
    <row r="1343" spans="7:11" x14ac:dyDescent="0.25">
      <c r="G1343" s="1" t="str">
        <f>IF(Table2[[#This Row],[Description]]="","",VLOOKUP(Table2[[#This Row],[Description]],$Q$1:$S$101,2,FALSE))</f>
        <v/>
      </c>
      <c r="H1343" s="1" t="str">
        <f>IF(Table2[[#This Row],[Description]]="","",VLOOKUP(Table2[[#This Row],[Description]],$Q$1:$S$101,3,FALSE))</f>
        <v/>
      </c>
      <c r="I1343" s="1" t="str">
        <f>IF(Table2[[#This Row],[Description]]="","",IF(Table2[[#This Row],[Currency]]=$O$2,$P$2,HLOOKUP(Table2[[#This Row],[Date]],Funds!$C$10:$GV$11,2,FALSE)))</f>
        <v/>
      </c>
      <c r="J1343" s="215" t="str">
        <f>IF(Table2[[#This Row],[Description]]="","",Table2[[#This Row],[Value]]/Table2[[#This Row],[Conversion]])</f>
        <v/>
      </c>
      <c r="K1343" s="45" t="str">
        <f>IF(Table2[[#This Row],[Description]]="","",DATE(Table2[[#This Row],[Year]],Table2[[#This Row],[Month]],1))</f>
        <v/>
      </c>
    </row>
    <row r="1344" spans="7:11" x14ac:dyDescent="0.25">
      <c r="G1344" s="1" t="str">
        <f>IF(Table2[[#This Row],[Description]]="","",VLOOKUP(Table2[[#This Row],[Description]],$Q$1:$S$101,2,FALSE))</f>
        <v/>
      </c>
      <c r="H1344" s="1" t="str">
        <f>IF(Table2[[#This Row],[Description]]="","",VLOOKUP(Table2[[#This Row],[Description]],$Q$1:$S$101,3,FALSE))</f>
        <v/>
      </c>
      <c r="I1344" s="1" t="str">
        <f>IF(Table2[[#This Row],[Description]]="","",IF(Table2[[#This Row],[Currency]]=$O$2,$P$2,HLOOKUP(Table2[[#This Row],[Date]],Funds!$C$10:$GV$11,2,FALSE)))</f>
        <v/>
      </c>
      <c r="J1344" s="215" t="str">
        <f>IF(Table2[[#This Row],[Description]]="","",Table2[[#This Row],[Value]]/Table2[[#This Row],[Conversion]])</f>
        <v/>
      </c>
      <c r="K1344" s="45" t="str">
        <f>IF(Table2[[#This Row],[Description]]="","",DATE(Table2[[#This Row],[Year]],Table2[[#This Row],[Month]],1))</f>
        <v/>
      </c>
    </row>
    <row r="1345" spans="7:11" x14ac:dyDescent="0.25">
      <c r="G1345" s="1" t="str">
        <f>IF(Table2[[#This Row],[Description]]="","",VLOOKUP(Table2[[#This Row],[Description]],$Q$1:$S$101,2,FALSE))</f>
        <v/>
      </c>
      <c r="H1345" s="1" t="str">
        <f>IF(Table2[[#This Row],[Description]]="","",VLOOKUP(Table2[[#This Row],[Description]],$Q$1:$S$101,3,FALSE))</f>
        <v/>
      </c>
      <c r="I1345" s="1" t="str">
        <f>IF(Table2[[#This Row],[Description]]="","",IF(Table2[[#This Row],[Currency]]=$O$2,$P$2,HLOOKUP(Table2[[#This Row],[Date]],Funds!$C$10:$GV$11,2,FALSE)))</f>
        <v/>
      </c>
      <c r="J1345" s="215" t="str">
        <f>IF(Table2[[#This Row],[Description]]="","",Table2[[#This Row],[Value]]/Table2[[#This Row],[Conversion]])</f>
        <v/>
      </c>
      <c r="K1345" s="45" t="str">
        <f>IF(Table2[[#This Row],[Description]]="","",DATE(Table2[[#This Row],[Year]],Table2[[#This Row],[Month]],1))</f>
        <v/>
      </c>
    </row>
    <row r="1346" spans="7:11" x14ac:dyDescent="0.25">
      <c r="G1346" s="1" t="str">
        <f>IF(Table2[[#This Row],[Description]]="","",VLOOKUP(Table2[[#This Row],[Description]],$Q$1:$S$101,2,FALSE))</f>
        <v/>
      </c>
      <c r="H1346" s="1" t="str">
        <f>IF(Table2[[#This Row],[Description]]="","",VLOOKUP(Table2[[#This Row],[Description]],$Q$1:$S$101,3,FALSE))</f>
        <v/>
      </c>
      <c r="I1346" s="1" t="str">
        <f>IF(Table2[[#This Row],[Description]]="","",IF(Table2[[#This Row],[Currency]]=$O$2,$P$2,HLOOKUP(Table2[[#This Row],[Date]],Funds!$C$10:$GV$11,2,FALSE)))</f>
        <v/>
      </c>
      <c r="J1346" s="215" t="str">
        <f>IF(Table2[[#This Row],[Description]]="","",Table2[[#This Row],[Value]]/Table2[[#This Row],[Conversion]])</f>
        <v/>
      </c>
      <c r="K1346" s="45" t="str">
        <f>IF(Table2[[#This Row],[Description]]="","",DATE(Table2[[#This Row],[Year]],Table2[[#This Row],[Month]],1))</f>
        <v/>
      </c>
    </row>
    <row r="1347" spans="7:11" x14ac:dyDescent="0.25">
      <c r="G1347" s="1" t="str">
        <f>IF(Table2[[#This Row],[Description]]="","",VLOOKUP(Table2[[#This Row],[Description]],$Q$1:$S$101,2,FALSE))</f>
        <v/>
      </c>
      <c r="H1347" s="1" t="str">
        <f>IF(Table2[[#This Row],[Description]]="","",VLOOKUP(Table2[[#This Row],[Description]],$Q$1:$S$101,3,FALSE))</f>
        <v/>
      </c>
      <c r="I1347" s="1" t="str">
        <f>IF(Table2[[#This Row],[Description]]="","",IF(Table2[[#This Row],[Currency]]=$O$2,$P$2,HLOOKUP(Table2[[#This Row],[Date]],Funds!$C$10:$GV$11,2,FALSE)))</f>
        <v/>
      </c>
      <c r="J1347" s="215" t="str">
        <f>IF(Table2[[#This Row],[Description]]="","",Table2[[#This Row],[Value]]/Table2[[#This Row],[Conversion]])</f>
        <v/>
      </c>
      <c r="K1347" s="45" t="str">
        <f>IF(Table2[[#This Row],[Description]]="","",DATE(Table2[[#This Row],[Year]],Table2[[#This Row],[Month]],1))</f>
        <v/>
      </c>
    </row>
    <row r="1348" spans="7:11" x14ac:dyDescent="0.25">
      <c r="G1348" s="1" t="str">
        <f>IF(Table2[[#This Row],[Description]]="","",VLOOKUP(Table2[[#This Row],[Description]],$Q$1:$S$101,2,FALSE))</f>
        <v/>
      </c>
      <c r="H1348" s="1" t="str">
        <f>IF(Table2[[#This Row],[Description]]="","",VLOOKUP(Table2[[#This Row],[Description]],$Q$1:$S$101,3,FALSE))</f>
        <v/>
      </c>
      <c r="I1348" s="1" t="str">
        <f>IF(Table2[[#This Row],[Description]]="","",IF(Table2[[#This Row],[Currency]]=$O$2,$P$2,HLOOKUP(Table2[[#This Row],[Date]],Funds!$C$10:$GV$11,2,FALSE)))</f>
        <v/>
      </c>
      <c r="J1348" s="215" t="str">
        <f>IF(Table2[[#This Row],[Description]]="","",Table2[[#This Row],[Value]]/Table2[[#This Row],[Conversion]])</f>
        <v/>
      </c>
      <c r="K1348" s="45" t="str">
        <f>IF(Table2[[#This Row],[Description]]="","",DATE(Table2[[#This Row],[Year]],Table2[[#This Row],[Month]],1))</f>
        <v/>
      </c>
    </row>
    <row r="1349" spans="7:11" x14ac:dyDescent="0.25">
      <c r="G1349" s="1" t="str">
        <f>IF(Table2[[#This Row],[Description]]="","",VLOOKUP(Table2[[#This Row],[Description]],$Q$1:$S$101,2,FALSE))</f>
        <v/>
      </c>
      <c r="H1349" s="1" t="str">
        <f>IF(Table2[[#This Row],[Description]]="","",VLOOKUP(Table2[[#This Row],[Description]],$Q$1:$S$101,3,FALSE))</f>
        <v/>
      </c>
      <c r="I1349" s="1" t="str">
        <f>IF(Table2[[#This Row],[Description]]="","",IF(Table2[[#This Row],[Currency]]=$O$2,$P$2,HLOOKUP(Table2[[#This Row],[Date]],Funds!$C$10:$GV$11,2,FALSE)))</f>
        <v/>
      </c>
      <c r="J1349" s="215" t="str">
        <f>IF(Table2[[#This Row],[Description]]="","",Table2[[#This Row],[Value]]/Table2[[#This Row],[Conversion]])</f>
        <v/>
      </c>
      <c r="K1349" s="45" t="str">
        <f>IF(Table2[[#This Row],[Description]]="","",DATE(Table2[[#This Row],[Year]],Table2[[#This Row],[Month]],1))</f>
        <v/>
      </c>
    </row>
    <row r="1350" spans="7:11" x14ac:dyDescent="0.25">
      <c r="G1350" s="1" t="str">
        <f>IF(Table2[[#This Row],[Description]]="","",VLOOKUP(Table2[[#This Row],[Description]],$Q$1:$S$101,2,FALSE))</f>
        <v/>
      </c>
      <c r="H1350" s="1" t="str">
        <f>IF(Table2[[#This Row],[Description]]="","",VLOOKUP(Table2[[#This Row],[Description]],$Q$1:$S$101,3,FALSE))</f>
        <v/>
      </c>
      <c r="I1350" s="1" t="str">
        <f>IF(Table2[[#This Row],[Description]]="","",IF(Table2[[#This Row],[Currency]]=$O$2,$P$2,HLOOKUP(Table2[[#This Row],[Date]],Funds!$C$10:$GV$11,2,FALSE)))</f>
        <v/>
      </c>
      <c r="J1350" s="215" t="str">
        <f>IF(Table2[[#This Row],[Description]]="","",Table2[[#This Row],[Value]]/Table2[[#This Row],[Conversion]])</f>
        <v/>
      </c>
      <c r="K1350" s="45" t="str">
        <f>IF(Table2[[#This Row],[Description]]="","",DATE(Table2[[#This Row],[Year]],Table2[[#This Row],[Month]],1))</f>
        <v/>
      </c>
    </row>
    <row r="1351" spans="7:11" x14ac:dyDescent="0.25">
      <c r="G1351" s="1" t="str">
        <f>IF(Table2[[#This Row],[Description]]="","",VLOOKUP(Table2[[#This Row],[Description]],$Q$1:$S$101,2,FALSE))</f>
        <v/>
      </c>
      <c r="H1351" s="1" t="str">
        <f>IF(Table2[[#This Row],[Description]]="","",VLOOKUP(Table2[[#This Row],[Description]],$Q$1:$S$101,3,FALSE))</f>
        <v/>
      </c>
      <c r="I1351" s="1" t="str">
        <f>IF(Table2[[#This Row],[Description]]="","",IF(Table2[[#This Row],[Currency]]=$O$2,$P$2,HLOOKUP(Table2[[#This Row],[Date]],Funds!$C$10:$GV$11,2,FALSE)))</f>
        <v/>
      </c>
      <c r="J1351" s="215" t="str">
        <f>IF(Table2[[#This Row],[Description]]="","",Table2[[#This Row],[Value]]/Table2[[#This Row],[Conversion]])</f>
        <v/>
      </c>
      <c r="K1351" s="45" t="str">
        <f>IF(Table2[[#This Row],[Description]]="","",DATE(Table2[[#This Row],[Year]],Table2[[#This Row],[Month]],1))</f>
        <v/>
      </c>
    </row>
    <row r="1352" spans="7:11" x14ac:dyDescent="0.25">
      <c r="G1352" s="1" t="str">
        <f>IF(Table2[[#This Row],[Description]]="","",VLOOKUP(Table2[[#This Row],[Description]],$Q$1:$S$101,2,FALSE))</f>
        <v/>
      </c>
      <c r="H1352" s="1" t="str">
        <f>IF(Table2[[#This Row],[Description]]="","",VLOOKUP(Table2[[#This Row],[Description]],$Q$1:$S$101,3,FALSE))</f>
        <v/>
      </c>
      <c r="I1352" s="1" t="str">
        <f>IF(Table2[[#This Row],[Description]]="","",IF(Table2[[#This Row],[Currency]]=$O$2,$P$2,HLOOKUP(Table2[[#This Row],[Date]],Funds!$C$10:$GV$11,2,FALSE)))</f>
        <v/>
      </c>
      <c r="J1352" s="215" t="str">
        <f>IF(Table2[[#This Row],[Description]]="","",Table2[[#This Row],[Value]]/Table2[[#This Row],[Conversion]])</f>
        <v/>
      </c>
      <c r="K1352" s="45" t="str">
        <f>IF(Table2[[#This Row],[Description]]="","",DATE(Table2[[#This Row],[Year]],Table2[[#This Row],[Month]],1))</f>
        <v/>
      </c>
    </row>
    <row r="1353" spans="7:11" x14ac:dyDescent="0.25">
      <c r="G1353" s="1" t="str">
        <f>IF(Table2[[#This Row],[Description]]="","",VLOOKUP(Table2[[#This Row],[Description]],$Q$1:$S$101,2,FALSE))</f>
        <v/>
      </c>
      <c r="H1353" s="1" t="str">
        <f>IF(Table2[[#This Row],[Description]]="","",VLOOKUP(Table2[[#This Row],[Description]],$Q$1:$S$101,3,FALSE))</f>
        <v/>
      </c>
      <c r="I1353" s="1" t="str">
        <f>IF(Table2[[#This Row],[Description]]="","",IF(Table2[[#This Row],[Currency]]=$O$2,$P$2,HLOOKUP(Table2[[#This Row],[Date]],Funds!$C$10:$GV$11,2,FALSE)))</f>
        <v/>
      </c>
      <c r="J1353" s="215" t="str">
        <f>IF(Table2[[#This Row],[Description]]="","",Table2[[#This Row],[Value]]/Table2[[#This Row],[Conversion]])</f>
        <v/>
      </c>
      <c r="K1353" s="45" t="str">
        <f>IF(Table2[[#This Row],[Description]]="","",DATE(Table2[[#This Row],[Year]],Table2[[#This Row],[Month]],1))</f>
        <v/>
      </c>
    </row>
    <row r="1354" spans="7:11" x14ac:dyDescent="0.25">
      <c r="G1354" s="1" t="str">
        <f>IF(Table2[[#This Row],[Description]]="","",VLOOKUP(Table2[[#This Row],[Description]],$Q$1:$S$101,2,FALSE))</f>
        <v/>
      </c>
      <c r="H1354" s="1" t="str">
        <f>IF(Table2[[#This Row],[Description]]="","",VLOOKUP(Table2[[#This Row],[Description]],$Q$1:$S$101,3,FALSE))</f>
        <v/>
      </c>
      <c r="I1354" s="1" t="str">
        <f>IF(Table2[[#This Row],[Description]]="","",IF(Table2[[#This Row],[Currency]]=$O$2,$P$2,HLOOKUP(Table2[[#This Row],[Date]],Funds!$C$10:$GV$11,2,FALSE)))</f>
        <v/>
      </c>
      <c r="J1354" s="215" t="str">
        <f>IF(Table2[[#This Row],[Description]]="","",Table2[[#This Row],[Value]]/Table2[[#This Row],[Conversion]])</f>
        <v/>
      </c>
      <c r="K1354" s="45" t="str">
        <f>IF(Table2[[#This Row],[Description]]="","",DATE(Table2[[#This Row],[Year]],Table2[[#This Row],[Month]],1))</f>
        <v/>
      </c>
    </row>
    <row r="1355" spans="7:11" x14ac:dyDescent="0.25">
      <c r="G1355" s="1" t="str">
        <f>IF(Table2[[#This Row],[Description]]="","",VLOOKUP(Table2[[#This Row],[Description]],$Q$1:$S$101,2,FALSE))</f>
        <v/>
      </c>
      <c r="H1355" s="1" t="str">
        <f>IF(Table2[[#This Row],[Description]]="","",VLOOKUP(Table2[[#This Row],[Description]],$Q$1:$S$101,3,FALSE))</f>
        <v/>
      </c>
      <c r="I1355" s="1" t="str">
        <f>IF(Table2[[#This Row],[Description]]="","",IF(Table2[[#This Row],[Currency]]=$O$2,$P$2,HLOOKUP(Table2[[#This Row],[Date]],Funds!$C$10:$GV$11,2,FALSE)))</f>
        <v/>
      </c>
      <c r="J1355" s="215" t="str">
        <f>IF(Table2[[#This Row],[Description]]="","",Table2[[#This Row],[Value]]/Table2[[#This Row],[Conversion]])</f>
        <v/>
      </c>
      <c r="K1355" s="45" t="str">
        <f>IF(Table2[[#This Row],[Description]]="","",DATE(Table2[[#This Row],[Year]],Table2[[#This Row],[Month]],1))</f>
        <v/>
      </c>
    </row>
    <row r="1356" spans="7:11" x14ac:dyDescent="0.25">
      <c r="G1356" s="1" t="str">
        <f>IF(Table2[[#This Row],[Description]]="","",VLOOKUP(Table2[[#This Row],[Description]],$Q$1:$S$101,2,FALSE))</f>
        <v/>
      </c>
      <c r="H1356" s="1" t="str">
        <f>IF(Table2[[#This Row],[Description]]="","",VLOOKUP(Table2[[#This Row],[Description]],$Q$1:$S$101,3,FALSE))</f>
        <v/>
      </c>
      <c r="I1356" s="1" t="str">
        <f>IF(Table2[[#This Row],[Description]]="","",IF(Table2[[#This Row],[Currency]]=$O$2,$P$2,HLOOKUP(Table2[[#This Row],[Date]],Funds!$C$10:$GV$11,2,FALSE)))</f>
        <v/>
      </c>
      <c r="J1356" s="215" t="str">
        <f>IF(Table2[[#This Row],[Description]]="","",Table2[[#This Row],[Value]]/Table2[[#This Row],[Conversion]])</f>
        <v/>
      </c>
      <c r="K1356" s="45" t="str">
        <f>IF(Table2[[#This Row],[Description]]="","",DATE(Table2[[#This Row],[Year]],Table2[[#This Row],[Month]],1))</f>
        <v/>
      </c>
    </row>
    <row r="1357" spans="7:11" x14ac:dyDescent="0.25">
      <c r="G1357" s="1" t="str">
        <f>IF(Table2[[#This Row],[Description]]="","",VLOOKUP(Table2[[#This Row],[Description]],$Q$1:$S$101,2,FALSE))</f>
        <v/>
      </c>
      <c r="H1357" s="1" t="str">
        <f>IF(Table2[[#This Row],[Description]]="","",VLOOKUP(Table2[[#This Row],[Description]],$Q$1:$S$101,3,FALSE))</f>
        <v/>
      </c>
      <c r="I1357" s="1" t="str">
        <f>IF(Table2[[#This Row],[Description]]="","",IF(Table2[[#This Row],[Currency]]=$O$2,$P$2,HLOOKUP(Table2[[#This Row],[Date]],Funds!$C$10:$GV$11,2,FALSE)))</f>
        <v/>
      </c>
      <c r="J1357" s="215" t="str">
        <f>IF(Table2[[#This Row],[Description]]="","",Table2[[#This Row],[Value]]/Table2[[#This Row],[Conversion]])</f>
        <v/>
      </c>
      <c r="K1357" s="45" t="str">
        <f>IF(Table2[[#This Row],[Description]]="","",DATE(Table2[[#This Row],[Year]],Table2[[#This Row],[Month]],1))</f>
        <v/>
      </c>
    </row>
    <row r="1358" spans="7:11" x14ac:dyDescent="0.25">
      <c r="G1358" s="1" t="str">
        <f>IF(Table2[[#This Row],[Description]]="","",VLOOKUP(Table2[[#This Row],[Description]],$Q$1:$S$101,2,FALSE))</f>
        <v/>
      </c>
      <c r="H1358" s="1" t="str">
        <f>IF(Table2[[#This Row],[Description]]="","",VLOOKUP(Table2[[#This Row],[Description]],$Q$1:$S$101,3,FALSE))</f>
        <v/>
      </c>
      <c r="I1358" s="1" t="str">
        <f>IF(Table2[[#This Row],[Description]]="","",IF(Table2[[#This Row],[Currency]]=$O$2,$P$2,HLOOKUP(Table2[[#This Row],[Date]],Funds!$C$10:$GV$11,2,FALSE)))</f>
        <v/>
      </c>
      <c r="J1358" s="215" t="str">
        <f>IF(Table2[[#This Row],[Description]]="","",Table2[[#This Row],[Value]]/Table2[[#This Row],[Conversion]])</f>
        <v/>
      </c>
      <c r="K1358" s="45" t="str">
        <f>IF(Table2[[#This Row],[Description]]="","",DATE(Table2[[#This Row],[Year]],Table2[[#This Row],[Month]],1))</f>
        <v/>
      </c>
    </row>
    <row r="1359" spans="7:11" x14ac:dyDescent="0.25">
      <c r="G1359" s="1" t="str">
        <f>IF(Table2[[#This Row],[Description]]="","",VLOOKUP(Table2[[#This Row],[Description]],$Q$1:$S$101,2,FALSE))</f>
        <v/>
      </c>
      <c r="H1359" s="1" t="str">
        <f>IF(Table2[[#This Row],[Description]]="","",VLOOKUP(Table2[[#This Row],[Description]],$Q$1:$S$101,3,FALSE))</f>
        <v/>
      </c>
      <c r="I1359" s="1" t="str">
        <f>IF(Table2[[#This Row],[Description]]="","",IF(Table2[[#This Row],[Currency]]=$O$2,$P$2,HLOOKUP(Table2[[#This Row],[Date]],Funds!$C$10:$GV$11,2,FALSE)))</f>
        <v/>
      </c>
      <c r="J1359" s="215" t="str">
        <f>IF(Table2[[#This Row],[Description]]="","",Table2[[#This Row],[Value]]/Table2[[#This Row],[Conversion]])</f>
        <v/>
      </c>
      <c r="K1359" s="45" t="str">
        <f>IF(Table2[[#This Row],[Description]]="","",DATE(Table2[[#This Row],[Year]],Table2[[#This Row],[Month]],1))</f>
        <v/>
      </c>
    </row>
    <row r="1360" spans="7:11" x14ac:dyDescent="0.25">
      <c r="G1360" s="1" t="str">
        <f>IF(Table2[[#This Row],[Description]]="","",VLOOKUP(Table2[[#This Row],[Description]],$Q$1:$S$101,2,FALSE))</f>
        <v/>
      </c>
      <c r="H1360" s="1" t="str">
        <f>IF(Table2[[#This Row],[Description]]="","",VLOOKUP(Table2[[#This Row],[Description]],$Q$1:$S$101,3,FALSE))</f>
        <v/>
      </c>
      <c r="I1360" s="1" t="str">
        <f>IF(Table2[[#This Row],[Description]]="","",IF(Table2[[#This Row],[Currency]]=$O$2,$P$2,HLOOKUP(Table2[[#This Row],[Date]],Funds!$C$10:$GV$11,2,FALSE)))</f>
        <v/>
      </c>
      <c r="J1360" s="215" t="str">
        <f>IF(Table2[[#This Row],[Description]]="","",Table2[[#This Row],[Value]]/Table2[[#This Row],[Conversion]])</f>
        <v/>
      </c>
      <c r="K1360" s="45" t="str">
        <f>IF(Table2[[#This Row],[Description]]="","",DATE(Table2[[#This Row],[Year]],Table2[[#This Row],[Month]],1))</f>
        <v/>
      </c>
    </row>
    <row r="1361" spans="7:11" x14ac:dyDescent="0.25">
      <c r="G1361" s="1" t="str">
        <f>IF(Table2[[#This Row],[Description]]="","",VLOOKUP(Table2[[#This Row],[Description]],$Q$1:$S$101,2,FALSE))</f>
        <v/>
      </c>
      <c r="H1361" s="1" t="str">
        <f>IF(Table2[[#This Row],[Description]]="","",VLOOKUP(Table2[[#This Row],[Description]],$Q$1:$S$101,3,FALSE))</f>
        <v/>
      </c>
      <c r="I1361" s="1" t="str">
        <f>IF(Table2[[#This Row],[Description]]="","",IF(Table2[[#This Row],[Currency]]=$O$2,$P$2,HLOOKUP(Table2[[#This Row],[Date]],Funds!$C$10:$GV$11,2,FALSE)))</f>
        <v/>
      </c>
      <c r="J1361" s="215" t="str">
        <f>IF(Table2[[#This Row],[Description]]="","",Table2[[#This Row],[Value]]/Table2[[#This Row],[Conversion]])</f>
        <v/>
      </c>
      <c r="K1361" s="45" t="str">
        <f>IF(Table2[[#This Row],[Description]]="","",DATE(Table2[[#This Row],[Year]],Table2[[#This Row],[Month]],1))</f>
        <v/>
      </c>
    </row>
    <row r="1362" spans="7:11" x14ac:dyDescent="0.25">
      <c r="G1362" s="1" t="str">
        <f>IF(Table2[[#This Row],[Description]]="","",VLOOKUP(Table2[[#This Row],[Description]],$Q$1:$S$101,2,FALSE))</f>
        <v/>
      </c>
      <c r="H1362" s="1" t="str">
        <f>IF(Table2[[#This Row],[Description]]="","",VLOOKUP(Table2[[#This Row],[Description]],$Q$1:$S$101,3,FALSE))</f>
        <v/>
      </c>
      <c r="I1362" s="1" t="str">
        <f>IF(Table2[[#This Row],[Description]]="","",IF(Table2[[#This Row],[Currency]]=$O$2,$P$2,HLOOKUP(Table2[[#This Row],[Date]],Funds!$C$10:$GV$11,2,FALSE)))</f>
        <v/>
      </c>
      <c r="J1362" s="215" t="str">
        <f>IF(Table2[[#This Row],[Description]]="","",Table2[[#This Row],[Value]]/Table2[[#This Row],[Conversion]])</f>
        <v/>
      </c>
      <c r="K1362" s="45" t="str">
        <f>IF(Table2[[#This Row],[Description]]="","",DATE(Table2[[#This Row],[Year]],Table2[[#This Row],[Month]],1))</f>
        <v/>
      </c>
    </row>
    <row r="1363" spans="7:11" x14ac:dyDescent="0.25">
      <c r="G1363" s="1" t="str">
        <f>IF(Table2[[#This Row],[Description]]="","",VLOOKUP(Table2[[#This Row],[Description]],$Q$1:$S$101,2,FALSE))</f>
        <v/>
      </c>
      <c r="H1363" s="1" t="str">
        <f>IF(Table2[[#This Row],[Description]]="","",VLOOKUP(Table2[[#This Row],[Description]],$Q$1:$S$101,3,FALSE))</f>
        <v/>
      </c>
      <c r="I1363" s="1" t="str">
        <f>IF(Table2[[#This Row],[Description]]="","",IF(Table2[[#This Row],[Currency]]=$O$2,$P$2,HLOOKUP(Table2[[#This Row],[Date]],Funds!$C$10:$GV$11,2,FALSE)))</f>
        <v/>
      </c>
      <c r="J1363" s="215" t="str">
        <f>IF(Table2[[#This Row],[Description]]="","",Table2[[#This Row],[Value]]/Table2[[#This Row],[Conversion]])</f>
        <v/>
      </c>
      <c r="K1363" s="45" t="str">
        <f>IF(Table2[[#This Row],[Description]]="","",DATE(Table2[[#This Row],[Year]],Table2[[#This Row],[Month]],1))</f>
        <v/>
      </c>
    </row>
    <row r="1364" spans="7:11" x14ac:dyDescent="0.25">
      <c r="G1364" s="1" t="str">
        <f>IF(Table2[[#This Row],[Description]]="","",VLOOKUP(Table2[[#This Row],[Description]],$Q$1:$S$101,2,FALSE))</f>
        <v/>
      </c>
      <c r="H1364" s="1" t="str">
        <f>IF(Table2[[#This Row],[Description]]="","",VLOOKUP(Table2[[#This Row],[Description]],$Q$1:$S$101,3,FALSE))</f>
        <v/>
      </c>
      <c r="I1364" s="1" t="str">
        <f>IF(Table2[[#This Row],[Description]]="","",IF(Table2[[#This Row],[Currency]]=$O$2,$P$2,HLOOKUP(Table2[[#This Row],[Date]],Funds!$C$10:$GV$11,2,FALSE)))</f>
        <v/>
      </c>
      <c r="J1364" s="215" t="str">
        <f>IF(Table2[[#This Row],[Description]]="","",Table2[[#This Row],[Value]]/Table2[[#This Row],[Conversion]])</f>
        <v/>
      </c>
      <c r="K1364" s="45" t="str">
        <f>IF(Table2[[#This Row],[Description]]="","",DATE(Table2[[#This Row],[Year]],Table2[[#This Row],[Month]],1))</f>
        <v/>
      </c>
    </row>
    <row r="1365" spans="7:11" x14ac:dyDescent="0.25">
      <c r="G1365" s="1" t="str">
        <f>IF(Table2[[#This Row],[Description]]="","",VLOOKUP(Table2[[#This Row],[Description]],$Q$1:$S$101,2,FALSE))</f>
        <v/>
      </c>
      <c r="H1365" s="1" t="str">
        <f>IF(Table2[[#This Row],[Description]]="","",VLOOKUP(Table2[[#This Row],[Description]],$Q$1:$S$101,3,FALSE))</f>
        <v/>
      </c>
      <c r="I1365" s="1" t="str">
        <f>IF(Table2[[#This Row],[Description]]="","",IF(Table2[[#This Row],[Currency]]=$O$2,$P$2,HLOOKUP(Table2[[#This Row],[Date]],Funds!$C$10:$GV$11,2,FALSE)))</f>
        <v/>
      </c>
      <c r="J1365" s="215" t="str">
        <f>IF(Table2[[#This Row],[Description]]="","",Table2[[#This Row],[Value]]/Table2[[#This Row],[Conversion]])</f>
        <v/>
      </c>
      <c r="K1365" s="45" t="str">
        <f>IF(Table2[[#This Row],[Description]]="","",DATE(Table2[[#This Row],[Year]],Table2[[#This Row],[Month]],1))</f>
        <v/>
      </c>
    </row>
    <row r="1366" spans="7:11" x14ac:dyDescent="0.25">
      <c r="G1366" s="1" t="str">
        <f>IF(Table2[[#This Row],[Description]]="","",VLOOKUP(Table2[[#This Row],[Description]],$Q$1:$S$101,2,FALSE))</f>
        <v/>
      </c>
      <c r="H1366" s="1" t="str">
        <f>IF(Table2[[#This Row],[Description]]="","",VLOOKUP(Table2[[#This Row],[Description]],$Q$1:$S$101,3,FALSE))</f>
        <v/>
      </c>
      <c r="I1366" s="1" t="str">
        <f>IF(Table2[[#This Row],[Description]]="","",IF(Table2[[#This Row],[Currency]]=$O$2,$P$2,HLOOKUP(Table2[[#This Row],[Date]],Funds!$C$10:$GV$11,2,FALSE)))</f>
        <v/>
      </c>
      <c r="J1366" s="215" t="str">
        <f>IF(Table2[[#This Row],[Description]]="","",Table2[[#This Row],[Value]]/Table2[[#This Row],[Conversion]])</f>
        <v/>
      </c>
      <c r="K1366" s="45" t="str">
        <f>IF(Table2[[#This Row],[Description]]="","",DATE(Table2[[#This Row],[Year]],Table2[[#This Row],[Month]],1))</f>
        <v/>
      </c>
    </row>
    <row r="1367" spans="7:11" x14ac:dyDescent="0.25">
      <c r="G1367" s="1" t="str">
        <f>IF(Table2[[#This Row],[Description]]="","",VLOOKUP(Table2[[#This Row],[Description]],$Q$1:$S$101,2,FALSE))</f>
        <v/>
      </c>
      <c r="H1367" s="1" t="str">
        <f>IF(Table2[[#This Row],[Description]]="","",VLOOKUP(Table2[[#This Row],[Description]],$Q$1:$S$101,3,FALSE))</f>
        <v/>
      </c>
      <c r="I1367" s="1" t="str">
        <f>IF(Table2[[#This Row],[Description]]="","",IF(Table2[[#This Row],[Currency]]=$O$2,$P$2,HLOOKUP(Table2[[#This Row],[Date]],Funds!$C$10:$GV$11,2,FALSE)))</f>
        <v/>
      </c>
      <c r="J1367" s="215" t="str">
        <f>IF(Table2[[#This Row],[Description]]="","",Table2[[#This Row],[Value]]/Table2[[#This Row],[Conversion]])</f>
        <v/>
      </c>
      <c r="K1367" s="45" t="str">
        <f>IF(Table2[[#This Row],[Description]]="","",DATE(Table2[[#This Row],[Year]],Table2[[#This Row],[Month]],1))</f>
        <v/>
      </c>
    </row>
    <row r="1368" spans="7:11" x14ac:dyDescent="0.25">
      <c r="G1368" s="1" t="str">
        <f>IF(Table2[[#This Row],[Description]]="","",VLOOKUP(Table2[[#This Row],[Description]],$Q$1:$S$101,2,FALSE))</f>
        <v/>
      </c>
      <c r="H1368" s="1" t="str">
        <f>IF(Table2[[#This Row],[Description]]="","",VLOOKUP(Table2[[#This Row],[Description]],$Q$1:$S$101,3,FALSE))</f>
        <v/>
      </c>
      <c r="I1368" s="1" t="str">
        <f>IF(Table2[[#This Row],[Description]]="","",IF(Table2[[#This Row],[Currency]]=$O$2,$P$2,HLOOKUP(Table2[[#This Row],[Date]],Funds!$C$10:$GV$11,2,FALSE)))</f>
        <v/>
      </c>
      <c r="J1368" s="215" t="str">
        <f>IF(Table2[[#This Row],[Description]]="","",Table2[[#This Row],[Value]]/Table2[[#This Row],[Conversion]])</f>
        <v/>
      </c>
      <c r="K1368" s="45" t="str">
        <f>IF(Table2[[#This Row],[Description]]="","",DATE(Table2[[#This Row],[Year]],Table2[[#This Row],[Month]],1))</f>
        <v/>
      </c>
    </row>
    <row r="1369" spans="7:11" x14ac:dyDescent="0.25">
      <c r="G1369" s="1" t="str">
        <f>IF(Table2[[#This Row],[Description]]="","",VLOOKUP(Table2[[#This Row],[Description]],$Q$1:$S$101,2,FALSE))</f>
        <v/>
      </c>
      <c r="H1369" s="1" t="str">
        <f>IF(Table2[[#This Row],[Description]]="","",VLOOKUP(Table2[[#This Row],[Description]],$Q$1:$S$101,3,FALSE))</f>
        <v/>
      </c>
      <c r="I1369" s="1" t="str">
        <f>IF(Table2[[#This Row],[Description]]="","",IF(Table2[[#This Row],[Currency]]=$O$2,$P$2,HLOOKUP(Table2[[#This Row],[Date]],Funds!$C$10:$GV$11,2,FALSE)))</f>
        <v/>
      </c>
      <c r="J1369" s="215" t="str">
        <f>IF(Table2[[#This Row],[Description]]="","",Table2[[#This Row],[Value]]/Table2[[#This Row],[Conversion]])</f>
        <v/>
      </c>
      <c r="K1369" s="45" t="str">
        <f>IF(Table2[[#This Row],[Description]]="","",DATE(Table2[[#This Row],[Year]],Table2[[#This Row],[Month]],1))</f>
        <v/>
      </c>
    </row>
    <row r="1370" spans="7:11" x14ac:dyDescent="0.25">
      <c r="G1370" s="1" t="str">
        <f>IF(Table2[[#This Row],[Description]]="","",VLOOKUP(Table2[[#This Row],[Description]],$Q$1:$S$101,2,FALSE))</f>
        <v/>
      </c>
      <c r="H1370" s="1" t="str">
        <f>IF(Table2[[#This Row],[Description]]="","",VLOOKUP(Table2[[#This Row],[Description]],$Q$1:$S$101,3,FALSE))</f>
        <v/>
      </c>
      <c r="I1370" s="1" t="str">
        <f>IF(Table2[[#This Row],[Description]]="","",IF(Table2[[#This Row],[Currency]]=$O$2,$P$2,HLOOKUP(Table2[[#This Row],[Date]],Funds!$C$10:$GV$11,2,FALSE)))</f>
        <v/>
      </c>
      <c r="J1370" s="215" t="str">
        <f>IF(Table2[[#This Row],[Description]]="","",Table2[[#This Row],[Value]]/Table2[[#This Row],[Conversion]])</f>
        <v/>
      </c>
      <c r="K1370" s="45" t="str">
        <f>IF(Table2[[#This Row],[Description]]="","",DATE(Table2[[#This Row],[Year]],Table2[[#This Row],[Month]],1))</f>
        <v/>
      </c>
    </row>
    <row r="1371" spans="7:11" x14ac:dyDescent="0.25">
      <c r="G1371" s="1" t="str">
        <f>IF(Table2[[#This Row],[Description]]="","",VLOOKUP(Table2[[#This Row],[Description]],$Q$1:$S$101,2,FALSE))</f>
        <v/>
      </c>
      <c r="H1371" s="1" t="str">
        <f>IF(Table2[[#This Row],[Description]]="","",VLOOKUP(Table2[[#This Row],[Description]],$Q$1:$S$101,3,FALSE))</f>
        <v/>
      </c>
      <c r="I1371" s="1" t="str">
        <f>IF(Table2[[#This Row],[Description]]="","",IF(Table2[[#This Row],[Currency]]=$O$2,$P$2,HLOOKUP(Table2[[#This Row],[Date]],Funds!$C$10:$GV$11,2,FALSE)))</f>
        <v/>
      </c>
      <c r="J1371" s="215" t="str">
        <f>IF(Table2[[#This Row],[Description]]="","",Table2[[#This Row],[Value]]/Table2[[#This Row],[Conversion]])</f>
        <v/>
      </c>
      <c r="K1371" s="45" t="str">
        <f>IF(Table2[[#This Row],[Description]]="","",DATE(Table2[[#This Row],[Year]],Table2[[#This Row],[Month]],1))</f>
        <v/>
      </c>
    </row>
    <row r="1372" spans="7:11" x14ac:dyDescent="0.25">
      <c r="G1372" s="1" t="str">
        <f>IF(Table2[[#This Row],[Description]]="","",VLOOKUP(Table2[[#This Row],[Description]],$Q$1:$S$101,2,FALSE))</f>
        <v/>
      </c>
      <c r="H1372" s="1" t="str">
        <f>IF(Table2[[#This Row],[Description]]="","",VLOOKUP(Table2[[#This Row],[Description]],$Q$1:$S$101,3,FALSE))</f>
        <v/>
      </c>
      <c r="I1372" s="1" t="str">
        <f>IF(Table2[[#This Row],[Description]]="","",IF(Table2[[#This Row],[Currency]]=$O$2,$P$2,HLOOKUP(Table2[[#This Row],[Date]],Funds!$C$10:$GV$11,2,FALSE)))</f>
        <v/>
      </c>
      <c r="J1372" s="215" t="str">
        <f>IF(Table2[[#This Row],[Description]]="","",Table2[[#This Row],[Value]]/Table2[[#This Row],[Conversion]])</f>
        <v/>
      </c>
      <c r="K1372" s="45" t="str">
        <f>IF(Table2[[#This Row],[Description]]="","",DATE(Table2[[#This Row],[Year]],Table2[[#This Row],[Month]],1))</f>
        <v/>
      </c>
    </row>
    <row r="1373" spans="7:11" x14ac:dyDescent="0.25">
      <c r="G1373" s="1" t="str">
        <f>IF(Table2[[#This Row],[Description]]="","",VLOOKUP(Table2[[#This Row],[Description]],$Q$1:$S$101,2,FALSE))</f>
        <v/>
      </c>
      <c r="H1373" s="1" t="str">
        <f>IF(Table2[[#This Row],[Description]]="","",VLOOKUP(Table2[[#This Row],[Description]],$Q$1:$S$101,3,FALSE))</f>
        <v/>
      </c>
      <c r="I1373" s="1" t="str">
        <f>IF(Table2[[#This Row],[Description]]="","",IF(Table2[[#This Row],[Currency]]=$O$2,$P$2,HLOOKUP(Table2[[#This Row],[Date]],Funds!$C$10:$GV$11,2,FALSE)))</f>
        <v/>
      </c>
      <c r="J1373" s="215" t="str">
        <f>IF(Table2[[#This Row],[Description]]="","",Table2[[#This Row],[Value]]/Table2[[#This Row],[Conversion]])</f>
        <v/>
      </c>
      <c r="K1373" s="45" t="str">
        <f>IF(Table2[[#This Row],[Description]]="","",DATE(Table2[[#This Row],[Year]],Table2[[#This Row],[Month]],1))</f>
        <v/>
      </c>
    </row>
    <row r="1374" spans="7:11" x14ac:dyDescent="0.25">
      <c r="G1374" s="1" t="str">
        <f>IF(Table2[[#This Row],[Description]]="","",VLOOKUP(Table2[[#This Row],[Description]],$Q$1:$S$101,2,FALSE))</f>
        <v/>
      </c>
      <c r="H1374" s="1" t="str">
        <f>IF(Table2[[#This Row],[Description]]="","",VLOOKUP(Table2[[#This Row],[Description]],$Q$1:$S$101,3,FALSE))</f>
        <v/>
      </c>
      <c r="I1374" s="1" t="str">
        <f>IF(Table2[[#This Row],[Description]]="","",IF(Table2[[#This Row],[Currency]]=$O$2,$P$2,HLOOKUP(Table2[[#This Row],[Date]],Funds!$C$10:$GV$11,2,FALSE)))</f>
        <v/>
      </c>
      <c r="J1374" s="215" t="str">
        <f>IF(Table2[[#This Row],[Description]]="","",Table2[[#This Row],[Value]]/Table2[[#This Row],[Conversion]])</f>
        <v/>
      </c>
      <c r="K1374" s="45" t="str">
        <f>IF(Table2[[#This Row],[Description]]="","",DATE(Table2[[#This Row],[Year]],Table2[[#This Row],[Month]],1))</f>
        <v/>
      </c>
    </row>
    <row r="1375" spans="7:11" x14ac:dyDescent="0.25">
      <c r="G1375" s="1" t="str">
        <f>IF(Table2[[#This Row],[Description]]="","",VLOOKUP(Table2[[#This Row],[Description]],$Q$1:$S$101,2,FALSE))</f>
        <v/>
      </c>
      <c r="H1375" s="1" t="str">
        <f>IF(Table2[[#This Row],[Description]]="","",VLOOKUP(Table2[[#This Row],[Description]],$Q$1:$S$101,3,FALSE))</f>
        <v/>
      </c>
      <c r="I1375" s="1" t="str">
        <f>IF(Table2[[#This Row],[Description]]="","",IF(Table2[[#This Row],[Currency]]=$O$2,$P$2,HLOOKUP(Table2[[#This Row],[Date]],Funds!$C$10:$GV$11,2,FALSE)))</f>
        <v/>
      </c>
      <c r="J1375" s="215" t="str">
        <f>IF(Table2[[#This Row],[Description]]="","",Table2[[#This Row],[Value]]/Table2[[#This Row],[Conversion]])</f>
        <v/>
      </c>
      <c r="K1375" s="45" t="str">
        <f>IF(Table2[[#This Row],[Description]]="","",DATE(Table2[[#This Row],[Year]],Table2[[#This Row],[Month]],1))</f>
        <v/>
      </c>
    </row>
    <row r="1376" spans="7:11" x14ac:dyDescent="0.25">
      <c r="G1376" s="1" t="str">
        <f>IF(Table2[[#This Row],[Description]]="","",VLOOKUP(Table2[[#This Row],[Description]],$Q$1:$S$101,2,FALSE))</f>
        <v/>
      </c>
      <c r="H1376" s="1" t="str">
        <f>IF(Table2[[#This Row],[Description]]="","",VLOOKUP(Table2[[#This Row],[Description]],$Q$1:$S$101,3,FALSE))</f>
        <v/>
      </c>
      <c r="I1376" s="1" t="str">
        <f>IF(Table2[[#This Row],[Description]]="","",IF(Table2[[#This Row],[Currency]]=$O$2,$P$2,HLOOKUP(Table2[[#This Row],[Date]],Funds!$C$10:$GV$11,2,FALSE)))</f>
        <v/>
      </c>
      <c r="J1376" s="215" t="str">
        <f>IF(Table2[[#This Row],[Description]]="","",Table2[[#This Row],[Value]]/Table2[[#This Row],[Conversion]])</f>
        <v/>
      </c>
      <c r="K1376" s="45" t="str">
        <f>IF(Table2[[#This Row],[Description]]="","",DATE(Table2[[#This Row],[Year]],Table2[[#This Row],[Month]],1))</f>
        <v/>
      </c>
    </row>
    <row r="1377" spans="7:11" x14ac:dyDescent="0.25">
      <c r="G1377" s="1" t="str">
        <f>IF(Table2[[#This Row],[Description]]="","",VLOOKUP(Table2[[#This Row],[Description]],$Q$1:$S$101,2,FALSE))</f>
        <v/>
      </c>
      <c r="H1377" s="1" t="str">
        <f>IF(Table2[[#This Row],[Description]]="","",VLOOKUP(Table2[[#This Row],[Description]],$Q$1:$S$101,3,FALSE))</f>
        <v/>
      </c>
      <c r="I1377" s="1" t="str">
        <f>IF(Table2[[#This Row],[Description]]="","",IF(Table2[[#This Row],[Currency]]=$O$2,$P$2,HLOOKUP(Table2[[#This Row],[Date]],Funds!$C$10:$GV$11,2,FALSE)))</f>
        <v/>
      </c>
      <c r="J1377" s="215" t="str">
        <f>IF(Table2[[#This Row],[Description]]="","",Table2[[#This Row],[Value]]/Table2[[#This Row],[Conversion]])</f>
        <v/>
      </c>
      <c r="K1377" s="45" t="str">
        <f>IF(Table2[[#This Row],[Description]]="","",DATE(Table2[[#This Row],[Year]],Table2[[#This Row],[Month]],1))</f>
        <v/>
      </c>
    </row>
    <row r="1378" spans="7:11" x14ac:dyDescent="0.25">
      <c r="G1378" s="1" t="str">
        <f>IF(Table2[[#This Row],[Description]]="","",VLOOKUP(Table2[[#This Row],[Description]],$Q$1:$S$101,2,FALSE))</f>
        <v/>
      </c>
      <c r="H1378" s="1" t="str">
        <f>IF(Table2[[#This Row],[Description]]="","",VLOOKUP(Table2[[#This Row],[Description]],$Q$1:$S$101,3,FALSE))</f>
        <v/>
      </c>
      <c r="I1378" s="1" t="str">
        <f>IF(Table2[[#This Row],[Description]]="","",IF(Table2[[#This Row],[Currency]]=$O$2,$P$2,HLOOKUP(Table2[[#This Row],[Date]],Funds!$C$10:$GV$11,2,FALSE)))</f>
        <v/>
      </c>
      <c r="J1378" s="215" t="str">
        <f>IF(Table2[[#This Row],[Description]]="","",Table2[[#This Row],[Value]]/Table2[[#This Row],[Conversion]])</f>
        <v/>
      </c>
      <c r="K1378" s="45" t="str">
        <f>IF(Table2[[#This Row],[Description]]="","",DATE(Table2[[#This Row],[Year]],Table2[[#This Row],[Month]],1))</f>
        <v/>
      </c>
    </row>
    <row r="1379" spans="7:11" x14ac:dyDescent="0.25">
      <c r="G1379" s="1" t="str">
        <f>IF(Table2[[#This Row],[Description]]="","",VLOOKUP(Table2[[#This Row],[Description]],$Q$1:$S$101,2,FALSE))</f>
        <v/>
      </c>
      <c r="H1379" s="1" t="str">
        <f>IF(Table2[[#This Row],[Description]]="","",VLOOKUP(Table2[[#This Row],[Description]],$Q$1:$S$101,3,FALSE))</f>
        <v/>
      </c>
      <c r="I1379" s="1" t="str">
        <f>IF(Table2[[#This Row],[Description]]="","",IF(Table2[[#This Row],[Currency]]=$O$2,$P$2,HLOOKUP(Table2[[#This Row],[Date]],Funds!$C$10:$GV$11,2,FALSE)))</f>
        <v/>
      </c>
      <c r="J1379" s="215" t="str">
        <f>IF(Table2[[#This Row],[Description]]="","",Table2[[#This Row],[Value]]/Table2[[#This Row],[Conversion]])</f>
        <v/>
      </c>
      <c r="K1379" s="45" t="str">
        <f>IF(Table2[[#This Row],[Description]]="","",DATE(Table2[[#This Row],[Year]],Table2[[#This Row],[Month]],1))</f>
        <v/>
      </c>
    </row>
    <row r="1380" spans="7:11" x14ac:dyDescent="0.25">
      <c r="G1380" s="1" t="str">
        <f>IF(Table2[[#This Row],[Description]]="","",VLOOKUP(Table2[[#This Row],[Description]],$Q$1:$S$101,2,FALSE))</f>
        <v/>
      </c>
      <c r="H1380" s="1" t="str">
        <f>IF(Table2[[#This Row],[Description]]="","",VLOOKUP(Table2[[#This Row],[Description]],$Q$1:$S$101,3,FALSE))</f>
        <v/>
      </c>
      <c r="I1380" s="1" t="str">
        <f>IF(Table2[[#This Row],[Description]]="","",IF(Table2[[#This Row],[Currency]]=$O$2,$P$2,HLOOKUP(Table2[[#This Row],[Date]],Funds!$C$10:$GV$11,2,FALSE)))</f>
        <v/>
      </c>
      <c r="J1380" s="215" t="str">
        <f>IF(Table2[[#This Row],[Description]]="","",Table2[[#This Row],[Value]]/Table2[[#This Row],[Conversion]])</f>
        <v/>
      </c>
      <c r="K1380" s="45" t="str">
        <f>IF(Table2[[#This Row],[Description]]="","",DATE(Table2[[#This Row],[Year]],Table2[[#This Row],[Month]],1))</f>
        <v/>
      </c>
    </row>
    <row r="1381" spans="7:11" x14ac:dyDescent="0.25">
      <c r="G1381" s="1" t="str">
        <f>IF(Table2[[#This Row],[Description]]="","",VLOOKUP(Table2[[#This Row],[Description]],$Q$1:$S$101,2,FALSE))</f>
        <v/>
      </c>
      <c r="H1381" s="1" t="str">
        <f>IF(Table2[[#This Row],[Description]]="","",VLOOKUP(Table2[[#This Row],[Description]],$Q$1:$S$101,3,FALSE))</f>
        <v/>
      </c>
      <c r="I1381" s="1" t="str">
        <f>IF(Table2[[#This Row],[Description]]="","",IF(Table2[[#This Row],[Currency]]=$O$2,$P$2,HLOOKUP(Table2[[#This Row],[Date]],Funds!$C$10:$GV$11,2,FALSE)))</f>
        <v/>
      </c>
      <c r="J1381" s="215" t="str">
        <f>IF(Table2[[#This Row],[Description]]="","",Table2[[#This Row],[Value]]/Table2[[#This Row],[Conversion]])</f>
        <v/>
      </c>
      <c r="K1381" s="45" t="str">
        <f>IF(Table2[[#This Row],[Description]]="","",DATE(Table2[[#This Row],[Year]],Table2[[#This Row],[Month]],1))</f>
        <v/>
      </c>
    </row>
    <row r="1382" spans="7:11" x14ac:dyDescent="0.25">
      <c r="G1382" s="1" t="str">
        <f>IF(Table2[[#This Row],[Description]]="","",VLOOKUP(Table2[[#This Row],[Description]],$Q$1:$S$101,2,FALSE))</f>
        <v/>
      </c>
      <c r="H1382" s="1" t="str">
        <f>IF(Table2[[#This Row],[Description]]="","",VLOOKUP(Table2[[#This Row],[Description]],$Q$1:$S$101,3,FALSE))</f>
        <v/>
      </c>
      <c r="I1382" s="1" t="str">
        <f>IF(Table2[[#This Row],[Description]]="","",IF(Table2[[#This Row],[Currency]]=$O$2,$P$2,HLOOKUP(Table2[[#This Row],[Date]],Funds!$C$10:$GV$11,2,FALSE)))</f>
        <v/>
      </c>
      <c r="J1382" s="215" t="str">
        <f>IF(Table2[[#This Row],[Description]]="","",Table2[[#This Row],[Value]]/Table2[[#This Row],[Conversion]])</f>
        <v/>
      </c>
      <c r="K1382" s="45" t="str">
        <f>IF(Table2[[#This Row],[Description]]="","",DATE(Table2[[#This Row],[Year]],Table2[[#This Row],[Month]],1))</f>
        <v/>
      </c>
    </row>
    <row r="1383" spans="7:11" x14ac:dyDescent="0.25">
      <c r="G1383" s="1" t="str">
        <f>IF(Table2[[#This Row],[Description]]="","",VLOOKUP(Table2[[#This Row],[Description]],$Q$1:$S$101,2,FALSE))</f>
        <v/>
      </c>
      <c r="H1383" s="1" t="str">
        <f>IF(Table2[[#This Row],[Description]]="","",VLOOKUP(Table2[[#This Row],[Description]],$Q$1:$S$101,3,FALSE))</f>
        <v/>
      </c>
      <c r="I1383" s="1" t="str">
        <f>IF(Table2[[#This Row],[Description]]="","",IF(Table2[[#This Row],[Currency]]=$O$2,$P$2,HLOOKUP(Table2[[#This Row],[Date]],Funds!$C$10:$GV$11,2,FALSE)))</f>
        <v/>
      </c>
      <c r="J1383" s="215" t="str">
        <f>IF(Table2[[#This Row],[Description]]="","",Table2[[#This Row],[Value]]/Table2[[#This Row],[Conversion]])</f>
        <v/>
      </c>
      <c r="K1383" s="45" t="str">
        <f>IF(Table2[[#This Row],[Description]]="","",DATE(Table2[[#This Row],[Year]],Table2[[#This Row],[Month]],1))</f>
        <v/>
      </c>
    </row>
    <row r="1384" spans="7:11" x14ac:dyDescent="0.25">
      <c r="G1384" s="1" t="str">
        <f>IF(Table2[[#This Row],[Description]]="","",VLOOKUP(Table2[[#This Row],[Description]],$Q$1:$S$101,2,FALSE))</f>
        <v/>
      </c>
      <c r="H1384" s="1" t="str">
        <f>IF(Table2[[#This Row],[Description]]="","",VLOOKUP(Table2[[#This Row],[Description]],$Q$1:$S$101,3,FALSE))</f>
        <v/>
      </c>
      <c r="I1384" s="1" t="str">
        <f>IF(Table2[[#This Row],[Description]]="","",IF(Table2[[#This Row],[Currency]]=$O$2,$P$2,HLOOKUP(Table2[[#This Row],[Date]],Funds!$C$10:$GV$11,2,FALSE)))</f>
        <v/>
      </c>
      <c r="J1384" s="215" t="str">
        <f>IF(Table2[[#This Row],[Description]]="","",Table2[[#This Row],[Value]]/Table2[[#This Row],[Conversion]])</f>
        <v/>
      </c>
      <c r="K1384" s="45" t="str">
        <f>IF(Table2[[#This Row],[Description]]="","",DATE(Table2[[#This Row],[Year]],Table2[[#This Row],[Month]],1))</f>
        <v/>
      </c>
    </row>
    <row r="1385" spans="7:11" x14ac:dyDescent="0.25">
      <c r="G1385" s="1" t="str">
        <f>IF(Table2[[#This Row],[Description]]="","",VLOOKUP(Table2[[#This Row],[Description]],$Q$1:$S$101,2,FALSE))</f>
        <v/>
      </c>
      <c r="H1385" s="1" t="str">
        <f>IF(Table2[[#This Row],[Description]]="","",VLOOKUP(Table2[[#This Row],[Description]],$Q$1:$S$101,3,FALSE))</f>
        <v/>
      </c>
      <c r="I1385" s="1" t="str">
        <f>IF(Table2[[#This Row],[Description]]="","",IF(Table2[[#This Row],[Currency]]=$O$2,$P$2,HLOOKUP(Table2[[#This Row],[Date]],Funds!$C$10:$GV$11,2,FALSE)))</f>
        <v/>
      </c>
      <c r="J1385" s="215" t="str">
        <f>IF(Table2[[#This Row],[Description]]="","",Table2[[#This Row],[Value]]/Table2[[#This Row],[Conversion]])</f>
        <v/>
      </c>
      <c r="K1385" s="45" t="str">
        <f>IF(Table2[[#This Row],[Description]]="","",DATE(Table2[[#This Row],[Year]],Table2[[#This Row],[Month]],1))</f>
        <v/>
      </c>
    </row>
    <row r="1386" spans="7:11" x14ac:dyDescent="0.25">
      <c r="G1386" s="1" t="str">
        <f>IF(Table2[[#This Row],[Description]]="","",VLOOKUP(Table2[[#This Row],[Description]],$Q$1:$S$101,2,FALSE))</f>
        <v/>
      </c>
      <c r="H1386" s="1" t="str">
        <f>IF(Table2[[#This Row],[Description]]="","",VLOOKUP(Table2[[#This Row],[Description]],$Q$1:$S$101,3,FALSE))</f>
        <v/>
      </c>
      <c r="I1386" s="1" t="str">
        <f>IF(Table2[[#This Row],[Description]]="","",IF(Table2[[#This Row],[Currency]]=$O$2,$P$2,HLOOKUP(Table2[[#This Row],[Date]],Funds!$C$10:$GV$11,2,FALSE)))</f>
        <v/>
      </c>
      <c r="J1386" s="215" t="str">
        <f>IF(Table2[[#This Row],[Description]]="","",Table2[[#This Row],[Value]]/Table2[[#This Row],[Conversion]])</f>
        <v/>
      </c>
      <c r="K1386" s="45" t="str">
        <f>IF(Table2[[#This Row],[Description]]="","",DATE(Table2[[#This Row],[Year]],Table2[[#This Row],[Month]],1))</f>
        <v/>
      </c>
    </row>
    <row r="1387" spans="7:11" x14ac:dyDescent="0.25">
      <c r="G1387" s="1" t="str">
        <f>IF(Table2[[#This Row],[Description]]="","",VLOOKUP(Table2[[#This Row],[Description]],$Q$1:$S$101,2,FALSE))</f>
        <v/>
      </c>
      <c r="H1387" s="1" t="str">
        <f>IF(Table2[[#This Row],[Description]]="","",VLOOKUP(Table2[[#This Row],[Description]],$Q$1:$S$101,3,FALSE))</f>
        <v/>
      </c>
      <c r="I1387" s="1" t="str">
        <f>IF(Table2[[#This Row],[Description]]="","",IF(Table2[[#This Row],[Currency]]=$O$2,$P$2,HLOOKUP(Table2[[#This Row],[Date]],Funds!$C$10:$GV$11,2,FALSE)))</f>
        <v/>
      </c>
      <c r="J1387" s="215" t="str">
        <f>IF(Table2[[#This Row],[Description]]="","",Table2[[#This Row],[Value]]/Table2[[#This Row],[Conversion]])</f>
        <v/>
      </c>
      <c r="K1387" s="45" t="str">
        <f>IF(Table2[[#This Row],[Description]]="","",DATE(Table2[[#This Row],[Year]],Table2[[#This Row],[Month]],1))</f>
        <v/>
      </c>
    </row>
    <row r="1388" spans="7:11" x14ac:dyDescent="0.25">
      <c r="G1388" s="1" t="str">
        <f>IF(Table2[[#This Row],[Description]]="","",VLOOKUP(Table2[[#This Row],[Description]],$Q$1:$S$101,2,FALSE))</f>
        <v/>
      </c>
      <c r="H1388" s="1" t="str">
        <f>IF(Table2[[#This Row],[Description]]="","",VLOOKUP(Table2[[#This Row],[Description]],$Q$1:$S$101,3,FALSE))</f>
        <v/>
      </c>
      <c r="I1388" s="1" t="str">
        <f>IF(Table2[[#This Row],[Description]]="","",IF(Table2[[#This Row],[Currency]]=$O$2,$P$2,HLOOKUP(Table2[[#This Row],[Date]],Funds!$C$10:$GV$11,2,FALSE)))</f>
        <v/>
      </c>
      <c r="J1388" s="215" t="str">
        <f>IF(Table2[[#This Row],[Description]]="","",Table2[[#This Row],[Value]]/Table2[[#This Row],[Conversion]])</f>
        <v/>
      </c>
      <c r="K1388" s="45" t="str">
        <f>IF(Table2[[#This Row],[Description]]="","",DATE(Table2[[#This Row],[Year]],Table2[[#This Row],[Month]],1))</f>
        <v/>
      </c>
    </row>
    <row r="1389" spans="7:11" x14ac:dyDescent="0.25">
      <c r="G1389" s="1" t="str">
        <f>IF(Table2[[#This Row],[Description]]="","",VLOOKUP(Table2[[#This Row],[Description]],$Q$1:$S$101,2,FALSE))</f>
        <v/>
      </c>
      <c r="H1389" s="1" t="str">
        <f>IF(Table2[[#This Row],[Description]]="","",VLOOKUP(Table2[[#This Row],[Description]],$Q$1:$S$101,3,FALSE))</f>
        <v/>
      </c>
      <c r="I1389" s="1" t="str">
        <f>IF(Table2[[#This Row],[Description]]="","",IF(Table2[[#This Row],[Currency]]=$O$2,$P$2,HLOOKUP(Table2[[#This Row],[Date]],Funds!$C$10:$GV$11,2,FALSE)))</f>
        <v/>
      </c>
      <c r="J1389" s="215" t="str">
        <f>IF(Table2[[#This Row],[Description]]="","",Table2[[#This Row],[Value]]/Table2[[#This Row],[Conversion]])</f>
        <v/>
      </c>
      <c r="K1389" s="45" t="str">
        <f>IF(Table2[[#This Row],[Description]]="","",DATE(Table2[[#This Row],[Year]],Table2[[#This Row],[Month]],1))</f>
        <v/>
      </c>
    </row>
    <row r="1390" spans="7:11" x14ac:dyDescent="0.25">
      <c r="G1390" s="1" t="str">
        <f>IF(Table2[[#This Row],[Description]]="","",VLOOKUP(Table2[[#This Row],[Description]],$Q$1:$S$101,2,FALSE))</f>
        <v/>
      </c>
      <c r="H1390" s="1" t="str">
        <f>IF(Table2[[#This Row],[Description]]="","",VLOOKUP(Table2[[#This Row],[Description]],$Q$1:$S$101,3,FALSE))</f>
        <v/>
      </c>
      <c r="I1390" s="1" t="str">
        <f>IF(Table2[[#This Row],[Description]]="","",IF(Table2[[#This Row],[Currency]]=$O$2,$P$2,HLOOKUP(Table2[[#This Row],[Date]],Funds!$C$10:$GV$11,2,FALSE)))</f>
        <v/>
      </c>
      <c r="J1390" s="215" t="str">
        <f>IF(Table2[[#This Row],[Description]]="","",Table2[[#This Row],[Value]]/Table2[[#This Row],[Conversion]])</f>
        <v/>
      </c>
      <c r="K1390" s="45" t="str">
        <f>IF(Table2[[#This Row],[Description]]="","",DATE(Table2[[#This Row],[Year]],Table2[[#This Row],[Month]],1))</f>
        <v/>
      </c>
    </row>
    <row r="1391" spans="7:11" x14ac:dyDescent="0.25">
      <c r="G1391" s="1" t="str">
        <f>IF(Table2[[#This Row],[Description]]="","",VLOOKUP(Table2[[#This Row],[Description]],$Q$1:$S$101,2,FALSE))</f>
        <v/>
      </c>
      <c r="H1391" s="1" t="str">
        <f>IF(Table2[[#This Row],[Description]]="","",VLOOKUP(Table2[[#This Row],[Description]],$Q$1:$S$101,3,FALSE))</f>
        <v/>
      </c>
      <c r="I1391" s="1" t="str">
        <f>IF(Table2[[#This Row],[Description]]="","",IF(Table2[[#This Row],[Currency]]=$O$2,$P$2,HLOOKUP(Table2[[#This Row],[Date]],Funds!$C$10:$GV$11,2,FALSE)))</f>
        <v/>
      </c>
      <c r="J1391" s="215" t="str">
        <f>IF(Table2[[#This Row],[Description]]="","",Table2[[#This Row],[Value]]/Table2[[#This Row],[Conversion]])</f>
        <v/>
      </c>
      <c r="K1391" s="45" t="str">
        <f>IF(Table2[[#This Row],[Description]]="","",DATE(Table2[[#This Row],[Year]],Table2[[#This Row],[Month]],1))</f>
        <v/>
      </c>
    </row>
    <row r="1392" spans="7:11" x14ac:dyDescent="0.25">
      <c r="G1392" s="1" t="str">
        <f>IF(Table2[[#This Row],[Description]]="","",VLOOKUP(Table2[[#This Row],[Description]],$Q$1:$S$101,2,FALSE))</f>
        <v/>
      </c>
      <c r="H1392" s="1" t="str">
        <f>IF(Table2[[#This Row],[Description]]="","",VLOOKUP(Table2[[#This Row],[Description]],$Q$1:$S$101,3,FALSE))</f>
        <v/>
      </c>
      <c r="I1392" s="1" t="str">
        <f>IF(Table2[[#This Row],[Description]]="","",IF(Table2[[#This Row],[Currency]]=$O$2,$P$2,HLOOKUP(Table2[[#This Row],[Date]],Funds!$C$10:$GV$11,2,FALSE)))</f>
        <v/>
      </c>
      <c r="J1392" s="215" t="str">
        <f>IF(Table2[[#This Row],[Description]]="","",Table2[[#This Row],[Value]]/Table2[[#This Row],[Conversion]])</f>
        <v/>
      </c>
      <c r="K1392" s="45" t="str">
        <f>IF(Table2[[#This Row],[Description]]="","",DATE(Table2[[#This Row],[Year]],Table2[[#This Row],[Month]],1))</f>
        <v/>
      </c>
    </row>
    <row r="1393" spans="7:11" x14ac:dyDescent="0.25">
      <c r="G1393" s="1" t="str">
        <f>IF(Table2[[#This Row],[Description]]="","",VLOOKUP(Table2[[#This Row],[Description]],$Q$1:$S$101,2,FALSE))</f>
        <v/>
      </c>
      <c r="H1393" s="1" t="str">
        <f>IF(Table2[[#This Row],[Description]]="","",VLOOKUP(Table2[[#This Row],[Description]],$Q$1:$S$101,3,FALSE))</f>
        <v/>
      </c>
      <c r="I1393" s="1" t="str">
        <f>IF(Table2[[#This Row],[Description]]="","",IF(Table2[[#This Row],[Currency]]=$O$2,$P$2,HLOOKUP(Table2[[#This Row],[Date]],Funds!$C$10:$GV$11,2,FALSE)))</f>
        <v/>
      </c>
      <c r="J1393" s="215" t="str">
        <f>IF(Table2[[#This Row],[Description]]="","",Table2[[#This Row],[Value]]/Table2[[#This Row],[Conversion]])</f>
        <v/>
      </c>
      <c r="K1393" s="45" t="str">
        <f>IF(Table2[[#This Row],[Description]]="","",DATE(Table2[[#This Row],[Year]],Table2[[#This Row],[Month]],1))</f>
        <v/>
      </c>
    </row>
    <row r="1394" spans="7:11" x14ac:dyDescent="0.25">
      <c r="G1394" s="1" t="str">
        <f>IF(Table2[[#This Row],[Description]]="","",VLOOKUP(Table2[[#This Row],[Description]],$Q$1:$S$101,2,FALSE))</f>
        <v/>
      </c>
      <c r="H1394" s="1" t="str">
        <f>IF(Table2[[#This Row],[Description]]="","",VLOOKUP(Table2[[#This Row],[Description]],$Q$1:$S$101,3,FALSE))</f>
        <v/>
      </c>
      <c r="I1394" s="1" t="str">
        <f>IF(Table2[[#This Row],[Description]]="","",IF(Table2[[#This Row],[Currency]]=$O$2,$P$2,HLOOKUP(Table2[[#This Row],[Date]],Funds!$C$10:$GV$11,2,FALSE)))</f>
        <v/>
      </c>
      <c r="J1394" s="215" t="str">
        <f>IF(Table2[[#This Row],[Description]]="","",Table2[[#This Row],[Value]]/Table2[[#This Row],[Conversion]])</f>
        <v/>
      </c>
      <c r="K1394" s="45" t="str">
        <f>IF(Table2[[#This Row],[Description]]="","",DATE(Table2[[#This Row],[Year]],Table2[[#This Row],[Month]],1))</f>
        <v/>
      </c>
    </row>
    <row r="1395" spans="7:11" x14ac:dyDescent="0.25">
      <c r="G1395" s="1" t="str">
        <f>IF(Table2[[#This Row],[Description]]="","",VLOOKUP(Table2[[#This Row],[Description]],$Q$1:$S$101,2,FALSE))</f>
        <v/>
      </c>
      <c r="H1395" s="1" t="str">
        <f>IF(Table2[[#This Row],[Description]]="","",VLOOKUP(Table2[[#This Row],[Description]],$Q$1:$S$101,3,FALSE))</f>
        <v/>
      </c>
      <c r="I1395" s="1" t="str">
        <f>IF(Table2[[#This Row],[Description]]="","",IF(Table2[[#This Row],[Currency]]=$O$2,$P$2,HLOOKUP(Table2[[#This Row],[Date]],Funds!$C$10:$GV$11,2,FALSE)))</f>
        <v/>
      </c>
      <c r="J1395" s="215" t="str">
        <f>IF(Table2[[#This Row],[Description]]="","",Table2[[#This Row],[Value]]/Table2[[#This Row],[Conversion]])</f>
        <v/>
      </c>
      <c r="K1395" s="45" t="str">
        <f>IF(Table2[[#This Row],[Description]]="","",DATE(Table2[[#This Row],[Year]],Table2[[#This Row],[Month]],1))</f>
        <v/>
      </c>
    </row>
    <row r="1396" spans="7:11" x14ac:dyDescent="0.25">
      <c r="G1396" s="1" t="str">
        <f>IF(Table2[[#This Row],[Description]]="","",VLOOKUP(Table2[[#This Row],[Description]],$Q$1:$S$101,2,FALSE))</f>
        <v/>
      </c>
      <c r="H1396" s="1" t="str">
        <f>IF(Table2[[#This Row],[Description]]="","",VLOOKUP(Table2[[#This Row],[Description]],$Q$1:$S$101,3,FALSE))</f>
        <v/>
      </c>
      <c r="I1396" s="1" t="str">
        <f>IF(Table2[[#This Row],[Description]]="","",IF(Table2[[#This Row],[Currency]]=$O$2,$P$2,HLOOKUP(Table2[[#This Row],[Date]],Funds!$C$10:$GV$11,2,FALSE)))</f>
        <v/>
      </c>
      <c r="J1396" s="215" t="str">
        <f>IF(Table2[[#This Row],[Description]]="","",Table2[[#This Row],[Value]]/Table2[[#This Row],[Conversion]])</f>
        <v/>
      </c>
      <c r="K1396" s="45" t="str">
        <f>IF(Table2[[#This Row],[Description]]="","",DATE(Table2[[#This Row],[Year]],Table2[[#This Row],[Month]],1))</f>
        <v/>
      </c>
    </row>
    <row r="1397" spans="7:11" x14ac:dyDescent="0.25">
      <c r="G1397" s="1" t="str">
        <f>IF(Table2[[#This Row],[Description]]="","",VLOOKUP(Table2[[#This Row],[Description]],$Q$1:$S$101,2,FALSE))</f>
        <v/>
      </c>
      <c r="H1397" s="1" t="str">
        <f>IF(Table2[[#This Row],[Description]]="","",VLOOKUP(Table2[[#This Row],[Description]],$Q$1:$S$101,3,FALSE))</f>
        <v/>
      </c>
      <c r="I1397" s="1" t="str">
        <f>IF(Table2[[#This Row],[Description]]="","",IF(Table2[[#This Row],[Currency]]=$O$2,$P$2,HLOOKUP(Table2[[#This Row],[Date]],Funds!$C$10:$GV$11,2,FALSE)))</f>
        <v/>
      </c>
      <c r="J1397" s="215" t="str">
        <f>IF(Table2[[#This Row],[Description]]="","",Table2[[#This Row],[Value]]/Table2[[#This Row],[Conversion]])</f>
        <v/>
      </c>
      <c r="K1397" s="45" t="str">
        <f>IF(Table2[[#This Row],[Description]]="","",DATE(Table2[[#This Row],[Year]],Table2[[#This Row],[Month]],1))</f>
        <v/>
      </c>
    </row>
    <row r="1398" spans="7:11" x14ac:dyDescent="0.25">
      <c r="G1398" s="1" t="str">
        <f>IF(Table2[[#This Row],[Description]]="","",VLOOKUP(Table2[[#This Row],[Description]],$Q$1:$S$101,2,FALSE))</f>
        <v/>
      </c>
      <c r="H1398" s="1" t="str">
        <f>IF(Table2[[#This Row],[Description]]="","",VLOOKUP(Table2[[#This Row],[Description]],$Q$1:$S$101,3,FALSE))</f>
        <v/>
      </c>
      <c r="I1398" s="1" t="str">
        <f>IF(Table2[[#This Row],[Description]]="","",IF(Table2[[#This Row],[Currency]]=$O$2,$P$2,HLOOKUP(Table2[[#This Row],[Date]],Funds!$C$10:$GV$11,2,FALSE)))</f>
        <v/>
      </c>
      <c r="J1398" s="215" t="str">
        <f>IF(Table2[[#This Row],[Description]]="","",Table2[[#This Row],[Value]]/Table2[[#This Row],[Conversion]])</f>
        <v/>
      </c>
      <c r="K1398" s="45" t="str">
        <f>IF(Table2[[#This Row],[Description]]="","",DATE(Table2[[#This Row],[Year]],Table2[[#This Row],[Month]],1))</f>
        <v/>
      </c>
    </row>
    <row r="1399" spans="7:11" x14ac:dyDescent="0.25">
      <c r="G1399" s="1" t="str">
        <f>IF(Table2[[#This Row],[Description]]="","",VLOOKUP(Table2[[#This Row],[Description]],$Q$1:$S$101,2,FALSE))</f>
        <v/>
      </c>
      <c r="H1399" s="1" t="str">
        <f>IF(Table2[[#This Row],[Description]]="","",VLOOKUP(Table2[[#This Row],[Description]],$Q$1:$S$101,3,FALSE))</f>
        <v/>
      </c>
      <c r="I1399" s="1" t="str">
        <f>IF(Table2[[#This Row],[Description]]="","",IF(Table2[[#This Row],[Currency]]=$O$2,$P$2,HLOOKUP(Table2[[#This Row],[Date]],Funds!$C$10:$GV$11,2,FALSE)))</f>
        <v/>
      </c>
      <c r="J1399" s="215" t="str">
        <f>IF(Table2[[#This Row],[Description]]="","",Table2[[#This Row],[Value]]/Table2[[#This Row],[Conversion]])</f>
        <v/>
      </c>
      <c r="K1399" s="45" t="str">
        <f>IF(Table2[[#This Row],[Description]]="","",DATE(Table2[[#This Row],[Year]],Table2[[#This Row],[Month]],1))</f>
        <v/>
      </c>
    </row>
    <row r="1400" spans="7:11" x14ac:dyDescent="0.25">
      <c r="G1400" s="1" t="str">
        <f>IF(Table2[[#This Row],[Description]]="","",VLOOKUP(Table2[[#This Row],[Description]],$Q$1:$S$101,2,FALSE))</f>
        <v/>
      </c>
      <c r="H1400" s="1" t="str">
        <f>IF(Table2[[#This Row],[Description]]="","",VLOOKUP(Table2[[#This Row],[Description]],$Q$1:$S$101,3,FALSE))</f>
        <v/>
      </c>
      <c r="I1400" s="1" t="str">
        <f>IF(Table2[[#This Row],[Description]]="","",IF(Table2[[#This Row],[Currency]]=$O$2,$P$2,HLOOKUP(Table2[[#This Row],[Date]],Funds!$C$10:$GV$11,2,FALSE)))</f>
        <v/>
      </c>
      <c r="J1400" s="215" t="str">
        <f>IF(Table2[[#This Row],[Description]]="","",Table2[[#This Row],[Value]]/Table2[[#This Row],[Conversion]])</f>
        <v/>
      </c>
      <c r="K1400" s="45" t="str">
        <f>IF(Table2[[#This Row],[Description]]="","",DATE(Table2[[#This Row],[Year]],Table2[[#This Row],[Month]],1))</f>
        <v/>
      </c>
    </row>
    <row r="1401" spans="7:11" x14ac:dyDescent="0.25">
      <c r="G1401" s="1" t="str">
        <f>IF(Table2[[#This Row],[Description]]="","",VLOOKUP(Table2[[#This Row],[Description]],$Q$1:$S$101,2,FALSE))</f>
        <v/>
      </c>
      <c r="H1401" s="1" t="str">
        <f>IF(Table2[[#This Row],[Description]]="","",VLOOKUP(Table2[[#This Row],[Description]],$Q$1:$S$101,3,FALSE))</f>
        <v/>
      </c>
      <c r="I1401" s="1" t="str">
        <f>IF(Table2[[#This Row],[Description]]="","",IF(Table2[[#This Row],[Currency]]=$O$2,$P$2,HLOOKUP(Table2[[#This Row],[Date]],Funds!$C$10:$GV$11,2,FALSE)))</f>
        <v/>
      </c>
      <c r="J1401" s="215" t="str">
        <f>IF(Table2[[#This Row],[Description]]="","",Table2[[#This Row],[Value]]/Table2[[#This Row],[Conversion]])</f>
        <v/>
      </c>
      <c r="K1401" s="45" t="str">
        <f>IF(Table2[[#This Row],[Description]]="","",DATE(Table2[[#This Row],[Year]],Table2[[#This Row],[Month]],1))</f>
        <v/>
      </c>
    </row>
    <row r="1402" spans="7:11" x14ac:dyDescent="0.25">
      <c r="G1402" s="1" t="str">
        <f>IF(Table2[[#This Row],[Description]]="","",VLOOKUP(Table2[[#This Row],[Description]],$Q$1:$S$101,2,FALSE))</f>
        <v/>
      </c>
      <c r="H1402" s="1" t="str">
        <f>IF(Table2[[#This Row],[Description]]="","",VLOOKUP(Table2[[#This Row],[Description]],$Q$1:$S$101,3,FALSE))</f>
        <v/>
      </c>
      <c r="I1402" s="1" t="str">
        <f>IF(Table2[[#This Row],[Description]]="","",IF(Table2[[#This Row],[Currency]]=$O$2,$P$2,HLOOKUP(Table2[[#This Row],[Date]],Funds!$C$10:$GV$11,2,FALSE)))</f>
        <v/>
      </c>
      <c r="J1402" s="215" t="str">
        <f>IF(Table2[[#This Row],[Description]]="","",Table2[[#This Row],[Value]]/Table2[[#This Row],[Conversion]])</f>
        <v/>
      </c>
      <c r="K1402" s="45" t="str">
        <f>IF(Table2[[#This Row],[Description]]="","",DATE(Table2[[#This Row],[Year]],Table2[[#This Row],[Month]],1))</f>
        <v/>
      </c>
    </row>
    <row r="1403" spans="7:11" x14ac:dyDescent="0.25">
      <c r="G1403" s="1" t="str">
        <f>IF(Table2[[#This Row],[Description]]="","",VLOOKUP(Table2[[#This Row],[Description]],$Q$1:$S$101,2,FALSE))</f>
        <v/>
      </c>
      <c r="H1403" s="1" t="str">
        <f>IF(Table2[[#This Row],[Description]]="","",VLOOKUP(Table2[[#This Row],[Description]],$Q$1:$S$101,3,FALSE))</f>
        <v/>
      </c>
      <c r="I1403" s="1" t="str">
        <f>IF(Table2[[#This Row],[Description]]="","",IF(Table2[[#This Row],[Currency]]=$O$2,$P$2,HLOOKUP(Table2[[#This Row],[Date]],Funds!$C$10:$GV$11,2,FALSE)))</f>
        <v/>
      </c>
      <c r="J1403" s="215" t="str">
        <f>IF(Table2[[#This Row],[Description]]="","",Table2[[#This Row],[Value]]/Table2[[#This Row],[Conversion]])</f>
        <v/>
      </c>
      <c r="K1403" s="45" t="str">
        <f>IF(Table2[[#This Row],[Description]]="","",DATE(Table2[[#This Row],[Year]],Table2[[#This Row],[Month]],1))</f>
        <v/>
      </c>
    </row>
    <row r="1404" spans="7:11" x14ac:dyDescent="0.25">
      <c r="G1404" s="1" t="str">
        <f>IF(Table2[[#This Row],[Description]]="","",VLOOKUP(Table2[[#This Row],[Description]],$Q$1:$S$101,2,FALSE))</f>
        <v/>
      </c>
      <c r="H1404" s="1" t="str">
        <f>IF(Table2[[#This Row],[Description]]="","",VLOOKUP(Table2[[#This Row],[Description]],$Q$1:$S$101,3,FALSE))</f>
        <v/>
      </c>
      <c r="I1404" s="1" t="str">
        <f>IF(Table2[[#This Row],[Description]]="","",IF(Table2[[#This Row],[Currency]]=$O$2,$P$2,HLOOKUP(Table2[[#This Row],[Date]],Funds!$C$10:$GV$11,2,FALSE)))</f>
        <v/>
      </c>
      <c r="J1404" s="215" t="str">
        <f>IF(Table2[[#This Row],[Description]]="","",Table2[[#This Row],[Value]]/Table2[[#This Row],[Conversion]])</f>
        <v/>
      </c>
      <c r="K1404" s="45" t="str">
        <f>IF(Table2[[#This Row],[Description]]="","",DATE(Table2[[#This Row],[Year]],Table2[[#This Row],[Month]],1))</f>
        <v/>
      </c>
    </row>
    <row r="1405" spans="7:11" x14ac:dyDescent="0.25">
      <c r="G1405" s="1" t="str">
        <f>IF(Table2[[#This Row],[Description]]="","",VLOOKUP(Table2[[#This Row],[Description]],$Q$1:$S$101,2,FALSE))</f>
        <v/>
      </c>
      <c r="H1405" s="1" t="str">
        <f>IF(Table2[[#This Row],[Description]]="","",VLOOKUP(Table2[[#This Row],[Description]],$Q$1:$S$101,3,FALSE))</f>
        <v/>
      </c>
      <c r="I1405" s="1" t="str">
        <f>IF(Table2[[#This Row],[Description]]="","",IF(Table2[[#This Row],[Currency]]=$O$2,$P$2,HLOOKUP(Table2[[#This Row],[Date]],Funds!$C$10:$GV$11,2,FALSE)))</f>
        <v/>
      </c>
      <c r="J1405" s="215" t="str">
        <f>IF(Table2[[#This Row],[Description]]="","",Table2[[#This Row],[Value]]/Table2[[#This Row],[Conversion]])</f>
        <v/>
      </c>
      <c r="K1405" s="45" t="str">
        <f>IF(Table2[[#This Row],[Description]]="","",DATE(Table2[[#This Row],[Year]],Table2[[#This Row],[Month]],1))</f>
        <v/>
      </c>
    </row>
    <row r="1406" spans="7:11" x14ac:dyDescent="0.25">
      <c r="G1406" s="1" t="str">
        <f>IF(Table2[[#This Row],[Description]]="","",VLOOKUP(Table2[[#This Row],[Description]],$Q$1:$S$101,2,FALSE))</f>
        <v/>
      </c>
      <c r="H1406" s="1" t="str">
        <f>IF(Table2[[#This Row],[Description]]="","",VLOOKUP(Table2[[#This Row],[Description]],$Q$1:$S$101,3,FALSE))</f>
        <v/>
      </c>
      <c r="I1406" s="1" t="str">
        <f>IF(Table2[[#This Row],[Description]]="","",IF(Table2[[#This Row],[Currency]]=$O$2,$P$2,HLOOKUP(Table2[[#This Row],[Date]],Funds!$C$10:$GV$11,2,FALSE)))</f>
        <v/>
      </c>
      <c r="J1406" s="215" t="str">
        <f>IF(Table2[[#This Row],[Description]]="","",Table2[[#This Row],[Value]]/Table2[[#This Row],[Conversion]])</f>
        <v/>
      </c>
      <c r="K1406" s="45" t="str">
        <f>IF(Table2[[#This Row],[Description]]="","",DATE(Table2[[#This Row],[Year]],Table2[[#This Row],[Month]],1))</f>
        <v/>
      </c>
    </row>
    <row r="1407" spans="7:11" x14ac:dyDescent="0.25">
      <c r="G1407" s="1" t="str">
        <f>IF(Table2[[#This Row],[Description]]="","",VLOOKUP(Table2[[#This Row],[Description]],$Q$1:$S$101,2,FALSE))</f>
        <v/>
      </c>
      <c r="H1407" s="1" t="str">
        <f>IF(Table2[[#This Row],[Description]]="","",VLOOKUP(Table2[[#This Row],[Description]],$Q$1:$S$101,3,FALSE))</f>
        <v/>
      </c>
      <c r="I1407" s="1" t="str">
        <f>IF(Table2[[#This Row],[Description]]="","",IF(Table2[[#This Row],[Currency]]=$O$2,$P$2,HLOOKUP(Table2[[#This Row],[Date]],Funds!$C$10:$GV$11,2,FALSE)))</f>
        <v/>
      </c>
      <c r="J1407" s="215" t="str">
        <f>IF(Table2[[#This Row],[Description]]="","",Table2[[#This Row],[Value]]/Table2[[#This Row],[Conversion]])</f>
        <v/>
      </c>
      <c r="K1407" s="45" t="str">
        <f>IF(Table2[[#This Row],[Description]]="","",DATE(Table2[[#This Row],[Year]],Table2[[#This Row],[Month]],1))</f>
        <v/>
      </c>
    </row>
    <row r="1408" spans="7:11" x14ac:dyDescent="0.25">
      <c r="G1408" s="1" t="str">
        <f>IF(Table2[[#This Row],[Description]]="","",VLOOKUP(Table2[[#This Row],[Description]],$Q$1:$S$101,2,FALSE))</f>
        <v/>
      </c>
      <c r="H1408" s="1" t="str">
        <f>IF(Table2[[#This Row],[Description]]="","",VLOOKUP(Table2[[#This Row],[Description]],$Q$1:$S$101,3,FALSE))</f>
        <v/>
      </c>
      <c r="I1408" s="1" t="str">
        <f>IF(Table2[[#This Row],[Description]]="","",IF(Table2[[#This Row],[Currency]]=$O$2,$P$2,HLOOKUP(Table2[[#This Row],[Date]],Funds!$C$10:$GV$11,2,FALSE)))</f>
        <v/>
      </c>
      <c r="J1408" s="215" t="str">
        <f>IF(Table2[[#This Row],[Description]]="","",Table2[[#This Row],[Value]]/Table2[[#This Row],[Conversion]])</f>
        <v/>
      </c>
      <c r="K1408" s="45" t="str">
        <f>IF(Table2[[#This Row],[Description]]="","",DATE(Table2[[#This Row],[Year]],Table2[[#This Row],[Month]],1))</f>
        <v/>
      </c>
    </row>
    <row r="1409" spans="7:11" x14ac:dyDescent="0.25">
      <c r="G1409" s="1" t="str">
        <f>IF(Table2[[#This Row],[Description]]="","",VLOOKUP(Table2[[#This Row],[Description]],$Q$1:$S$101,2,FALSE))</f>
        <v/>
      </c>
      <c r="H1409" s="1" t="str">
        <f>IF(Table2[[#This Row],[Description]]="","",VLOOKUP(Table2[[#This Row],[Description]],$Q$1:$S$101,3,FALSE))</f>
        <v/>
      </c>
      <c r="I1409" s="1" t="str">
        <f>IF(Table2[[#This Row],[Description]]="","",IF(Table2[[#This Row],[Currency]]=$O$2,$P$2,HLOOKUP(Table2[[#This Row],[Date]],Funds!$C$10:$GV$11,2,FALSE)))</f>
        <v/>
      </c>
      <c r="J1409" s="215" t="str">
        <f>IF(Table2[[#This Row],[Description]]="","",Table2[[#This Row],[Value]]/Table2[[#This Row],[Conversion]])</f>
        <v/>
      </c>
      <c r="K1409" s="45" t="str">
        <f>IF(Table2[[#This Row],[Description]]="","",DATE(Table2[[#This Row],[Year]],Table2[[#This Row],[Month]],1))</f>
        <v/>
      </c>
    </row>
    <row r="1410" spans="7:11" x14ac:dyDescent="0.25">
      <c r="G1410" s="1" t="str">
        <f>IF(Table2[[#This Row],[Description]]="","",VLOOKUP(Table2[[#This Row],[Description]],$Q$1:$S$101,2,FALSE))</f>
        <v/>
      </c>
      <c r="H1410" s="1" t="str">
        <f>IF(Table2[[#This Row],[Description]]="","",VLOOKUP(Table2[[#This Row],[Description]],$Q$1:$S$101,3,FALSE))</f>
        <v/>
      </c>
      <c r="I1410" s="1" t="str">
        <f>IF(Table2[[#This Row],[Description]]="","",IF(Table2[[#This Row],[Currency]]=$O$2,$P$2,HLOOKUP(Table2[[#This Row],[Date]],Funds!$C$10:$GV$11,2,FALSE)))</f>
        <v/>
      </c>
      <c r="J1410" s="215" t="str">
        <f>IF(Table2[[#This Row],[Description]]="","",Table2[[#This Row],[Value]]/Table2[[#This Row],[Conversion]])</f>
        <v/>
      </c>
      <c r="K1410" s="45" t="str">
        <f>IF(Table2[[#This Row],[Description]]="","",DATE(Table2[[#This Row],[Year]],Table2[[#This Row],[Month]],1))</f>
        <v/>
      </c>
    </row>
    <row r="1411" spans="7:11" x14ac:dyDescent="0.25">
      <c r="G1411" s="1" t="str">
        <f>IF(Table2[[#This Row],[Description]]="","",VLOOKUP(Table2[[#This Row],[Description]],$Q$1:$S$101,2,FALSE))</f>
        <v/>
      </c>
      <c r="H1411" s="1" t="str">
        <f>IF(Table2[[#This Row],[Description]]="","",VLOOKUP(Table2[[#This Row],[Description]],$Q$1:$S$101,3,FALSE))</f>
        <v/>
      </c>
      <c r="I1411" s="1" t="str">
        <f>IF(Table2[[#This Row],[Description]]="","",IF(Table2[[#This Row],[Currency]]=$O$2,$P$2,HLOOKUP(Table2[[#This Row],[Date]],Funds!$C$10:$GV$11,2,FALSE)))</f>
        <v/>
      </c>
      <c r="J1411" s="215" t="str">
        <f>IF(Table2[[#This Row],[Description]]="","",Table2[[#This Row],[Value]]/Table2[[#This Row],[Conversion]])</f>
        <v/>
      </c>
      <c r="K1411" s="45" t="str">
        <f>IF(Table2[[#This Row],[Description]]="","",DATE(Table2[[#This Row],[Year]],Table2[[#This Row],[Month]],1))</f>
        <v/>
      </c>
    </row>
    <row r="1412" spans="7:11" x14ac:dyDescent="0.25">
      <c r="G1412" s="1" t="str">
        <f>IF(Table2[[#This Row],[Description]]="","",VLOOKUP(Table2[[#This Row],[Description]],$Q$1:$S$101,2,FALSE))</f>
        <v/>
      </c>
      <c r="H1412" s="1" t="str">
        <f>IF(Table2[[#This Row],[Description]]="","",VLOOKUP(Table2[[#This Row],[Description]],$Q$1:$S$101,3,FALSE))</f>
        <v/>
      </c>
      <c r="I1412" s="1" t="str">
        <f>IF(Table2[[#This Row],[Description]]="","",IF(Table2[[#This Row],[Currency]]=$O$2,$P$2,HLOOKUP(Table2[[#This Row],[Date]],Funds!$C$10:$GV$11,2,FALSE)))</f>
        <v/>
      </c>
      <c r="J1412" s="215" t="str">
        <f>IF(Table2[[#This Row],[Description]]="","",Table2[[#This Row],[Value]]/Table2[[#This Row],[Conversion]])</f>
        <v/>
      </c>
      <c r="K1412" s="45" t="str">
        <f>IF(Table2[[#This Row],[Description]]="","",DATE(Table2[[#This Row],[Year]],Table2[[#This Row],[Month]],1))</f>
        <v/>
      </c>
    </row>
    <row r="1413" spans="7:11" x14ac:dyDescent="0.25">
      <c r="G1413" s="1" t="str">
        <f>IF(Table2[[#This Row],[Description]]="","",VLOOKUP(Table2[[#This Row],[Description]],$Q$1:$S$101,2,FALSE))</f>
        <v/>
      </c>
      <c r="H1413" s="1" t="str">
        <f>IF(Table2[[#This Row],[Description]]="","",VLOOKUP(Table2[[#This Row],[Description]],$Q$1:$S$101,3,FALSE))</f>
        <v/>
      </c>
      <c r="I1413" s="1" t="str">
        <f>IF(Table2[[#This Row],[Description]]="","",IF(Table2[[#This Row],[Currency]]=$O$2,$P$2,HLOOKUP(Table2[[#This Row],[Date]],Funds!$C$10:$GV$11,2,FALSE)))</f>
        <v/>
      </c>
      <c r="J1413" s="215" t="str">
        <f>IF(Table2[[#This Row],[Description]]="","",Table2[[#This Row],[Value]]/Table2[[#This Row],[Conversion]])</f>
        <v/>
      </c>
      <c r="K1413" s="45" t="str">
        <f>IF(Table2[[#This Row],[Description]]="","",DATE(Table2[[#This Row],[Year]],Table2[[#This Row],[Month]],1))</f>
        <v/>
      </c>
    </row>
    <row r="1414" spans="7:11" x14ac:dyDescent="0.25">
      <c r="G1414" s="1" t="str">
        <f>IF(Table2[[#This Row],[Description]]="","",VLOOKUP(Table2[[#This Row],[Description]],$Q$1:$S$101,2,FALSE))</f>
        <v/>
      </c>
      <c r="H1414" s="1" t="str">
        <f>IF(Table2[[#This Row],[Description]]="","",VLOOKUP(Table2[[#This Row],[Description]],$Q$1:$S$101,3,FALSE))</f>
        <v/>
      </c>
      <c r="I1414" s="1" t="str">
        <f>IF(Table2[[#This Row],[Description]]="","",IF(Table2[[#This Row],[Currency]]=$O$2,$P$2,HLOOKUP(Table2[[#This Row],[Date]],Funds!$C$10:$GV$11,2,FALSE)))</f>
        <v/>
      </c>
      <c r="J1414" s="215" t="str">
        <f>IF(Table2[[#This Row],[Description]]="","",Table2[[#This Row],[Value]]/Table2[[#This Row],[Conversion]])</f>
        <v/>
      </c>
      <c r="K1414" s="45" t="str">
        <f>IF(Table2[[#This Row],[Description]]="","",DATE(Table2[[#This Row],[Year]],Table2[[#This Row],[Month]],1))</f>
        <v/>
      </c>
    </row>
    <row r="1415" spans="7:11" x14ac:dyDescent="0.25">
      <c r="G1415" s="1" t="str">
        <f>IF(Table2[[#This Row],[Description]]="","",VLOOKUP(Table2[[#This Row],[Description]],$Q$1:$S$101,2,FALSE))</f>
        <v/>
      </c>
      <c r="H1415" s="1" t="str">
        <f>IF(Table2[[#This Row],[Description]]="","",VLOOKUP(Table2[[#This Row],[Description]],$Q$1:$S$101,3,FALSE))</f>
        <v/>
      </c>
      <c r="I1415" s="1" t="str">
        <f>IF(Table2[[#This Row],[Description]]="","",IF(Table2[[#This Row],[Currency]]=$O$2,$P$2,HLOOKUP(Table2[[#This Row],[Date]],Funds!$C$10:$GV$11,2,FALSE)))</f>
        <v/>
      </c>
      <c r="J1415" s="215" t="str">
        <f>IF(Table2[[#This Row],[Description]]="","",Table2[[#This Row],[Value]]/Table2[[#This Row],[Conversion]])</f>
        <v/>
      </c>
      <c r="K1415" s="45" t="str">
        <f>IF(Table2[[#This Row],[Description]]="","",DATE(Table2[[#This Row],[Year]],Table2[[#This Row],[Month]],1))</f>
        <v/>
      </c>
    </row>
    <row r="1416" spans="7:11" x14ac:dyDescent="0.25">
      <c r="G1416" s="1" t="str">
        <f>IF(Table2[[#This Row],[Description]]="","",VLOOKUP(Table2[[#This Row],[Description]],$Q$1:$S$101,2,FALSE))</f>
        <v/>
      </c>
      <c r="H1416" s="1" t="str">
        <f>IF(Table2[[#This Row],[Description]]="","",VLOOKUP(Table2[[#This Row],[Description]],$Q$1:$S$101,3,FALSE))</f>
        <v/>
      </c>
      <c r="I1416" s="1" t="str">
        <f>IF(Table2[[#This Row],[Description]]="","",IF(Table2[[#This Row],[Currency]]=$O$2,$P$2,HLOOKUP(Table2[[#This Row],[Date]],Funds!$C$10:$GV$11,2,FALSE)))</f>
        <v/>
      </c>
      <c r="J1416" s="215" t="str">
        <f>IF(Table2[[#This Row],[Description]]="","",Table2[[#This Row],[Value]]/Table2[[#This Row],[Conversion]])</f>
        <v/>
      </c>
      <c r="K1416" s="45" t="str">
        <f>IF(Table2[[#This Row],[Description]]="","",DATE(Table2[[#This Row],[Year]],Table2[[#This Row],[Month]],1))</f>
        <v/>
      </c>
    </row>
    <row r="1417" spans="7:11" x14ac:dyDescent="0.25">
      <c r="G1417" s="1" t="str">
        <f>IF(Table2[[#This Row],[Description]]="","",VLOOKUP(Table2[[#This Row],[Description]],$Q$1:$S$101,2,FALSE))</f>
        <v/>
      </c>
      <c r="H1417" s="1" t="str">
        <f>IF(Table2[[#This Row],[Description]]="","",VLOOKUP(Table2[[#This Row],[Description]],$Q$1:$S$101,3,FALSE))</f>
        <v/>
      </c>
      <c r="I1417" s="1" t="str">
        <f>IF(Table2[[#This Row],[Description]]="","",IF(Table2[[#This Row],[Currency]]=$O$2,$P$2,HLOOKUP(Table2[[#This Row],[Date]],Funds!$C$10:$GV$11,2,FALSE)))</f>
        <v/>
      </c>
      <c r="J1417" s="215" t="str">
        <f>IF(Table2[[#This Row],[Description]]="","",Table2[[#This Row],[Value]]/Table2[[#This Row],[Conversion]])</f>
        <v/>
      </c>
      <c r="K1417" s="45" t="str">
        <f>IF(Table2[[#This Row],[Description]]="","",DATE(Table2[[#This Row],[Year]],Table2[[#This Row],[Month]],1))</f>
        <v/>
      </c>
    </row>
    <row r="1418" spans="7:11" x14ac:dyDescent="0.25">
      <c r="G1418" s="1" t="str">
        <f>IF(Table2[[#This Row],[Description]]="","",VLOOKUP(Table2[[#This Row],[Description]],$Q$1:$S$101,2,FALSE))</f>
        <v/>
      </c>
      <c r="H1418" s="1" t="str">
        <f>IF(Table2[[#This Row],[Description]]="","",VLOOKUP(Table2[[#This Row],[Description]],$Q$1:$S$101,3,FALSE))</f>
        <v/>
      </c>
      <c r="I1418" s="1" t="str">
        <f>IF(Table2[[#This Row],[Description]]="","",IF(Table2[[#This Row],[Currency]]=$O$2,$P$2,HLOOKUP(Table2[[#This Row],[Date]],Funds!$C$10:$GV$11,2,FALSE)))</f>
        <v/>
      </c>
      <c r="J1418" s="215" t="str">
        <f>IF(Table2[[#This Row],[Description]]="","",Table2[[#This Row],[Value]]/Table2[[#This Row],[Conversion]])</f>
        <v/>
      </c>
      <c r="K1418" s="45" t="str">
        <f>IF(Table2[[#This Row],[Description]]="","",DATE(Table2[[#This Row],[Year]],Table2[[#This Row],[Month]],1))</f>
        <v/>
      </c>
    </row>
    <row r="1419" spans="7:11" x14ac:dyDescent="0.25">
      <c r="G1419" s="1" t="str">
        <f>IF(Table2[[#This Row],[Description]]="","",VLOOKUP(Table2[[#This Row],[Description]],$Q$1:$S$101,2,FALSE))</f>
        <v/>
      </c>
      <c r="H1419" s="1" t="str">
        <f>IF(Table2[[#This Row],[Description]]="","",VLOOKUP(Table2[[#This Row],[Description]],$Q$1:$S$101,3,FALSE))</f>
        <v/>
      </c>
      <c r="I1419" s="1" t="str">
        <f>IF(Table2[[#This Row],[Description]]="","",IF(Table2[[#This Row],[Currency]]=$O$2,$P$2,HLOOKUP(Table2[[#This Row],[Date]],Funds!$C$10:$GV$11,2,FALSE)))</f>
        <v/>
      </c>
      <c r="J1419" s="215" t="str">
        <f>IF(Table2[[#This Row],[Description]]="","",Table2[[#This Row],[Value]]/Table2[[#This Row],[Conversion]])</f>
        <v/>
      </c>
      <c r="K1419" s="45" t="str">
        <f>IF(Table2[[#This Row],[Description]]="","",DATE(Table2[[#This Row],[Year]],Table2[[#This Row],[Month]],1))</f>
        <v/>
      </c>
    </row>
    <row r="1420" spans="7:11" x14ac:dyDescent="0.25">
      <c r="G1420" s="1" t="str">
        <f>IF(Table2[[#This Row],[Description]]="","",VLOOKUP(Table2[[#This Row],[Description]],$Q$1:$S$101,2,FALSE))</f>
        <v/>
      </c>
      <c r="H1420" s="1" t="str">
        <f>IF(Table2[[#This Row],[Description]]="","",VLOOKUP(Table2[[#This Row],[Description]],$Q$1:$S$101,3,FALSE))</f>
        <v/>
      </c>
      <c r="I1420" s="1" t="str">
        <f>IF(Table2[[#This Row],[Description]]="","",IF(Table2[[#This Row],[Currency]]=$O$2,$P$2,HLOOKUP(Table2[[#This Row],[Date]],Funds!$C$10:$GV$11,2,FALSE)))</f>
        <v/>
      </c>
      <c r="J1420" s="215" t="str">
        <f>IF(Table2[[#This Row],[Description]]="","",Table2[[#This Row],[Value]]/Table2[[#This Row],[Conversion]])</f>
        <v/>
      </c>
      <c r="K1420" s="45" t="str">
        <f>IF(Table2[[#This Row],[Description]]="","",DATE(Table2[[#This Row],[Year]],Table2[[#This Row],[Month]],1))</f>
        <v/>
      </c>
    </row>
    <row r="1421" spans="7:11" x14ac:dyDescent="0.25">
      <c r="G1421" s="1" t="str">
        <f>IF(Table2[[#This Row],[Description]]="","",VLOOKUP(Table2[[#This Row],[Description]],$Q$1:$S$101,2,FALSE))</f>
        <v/>
      </c>
      <c r="H1421" s="1" t="str">
        <f>IF(Table2[[#This Row],[Description]]="","",VLOOKUP(Table2[[#This Row],[Description]],$Q$1:$S$101,3,FALSE))</f>
        <v/>
      </c>
      <c r="I1421" s="1" t="str">
        <f>IF(Table2[[#This Row],[Description]]="","",IF(Table2[[#This Row],[Currency]]=$O$2,$P$2,HLOOKUP(Table2[[#This Row],[Date]],Funds!$C$10:$GV$11,2,FALSE)))</f>
        <v/>
      </c>
      <c r="J1421" s="215" t="str">
        <f>IF(Table2[[#This Row],[Description]]="","",Table2[[#This Row],[Value]]/Table2[[#This Row],[Conversion]])</f>
        <v/>
      </c>
      <c r="K1421" s="45" t="str">
        <f>IF(Table2[[#This Row],[Description]]="","",DATE(Table2[[#This Row],[Year]],Table2[[#This Row],[Month]],1))</f>
        <v/>
      </c>
    </row>
    <row r="1422" spans="7:11" x14ac:dyDescent="0.25">
      <c r="G1422" s="1" t="str">
        <f>IF(Table2[[#This Row],[Description]]="","",VLOOKUP(Table2[[#This Row],[Description]],$Q$1:$S$101,2,FALSE))</f>
        <v/>
      </c>
      <c r="H1422" s="1" t="str">
        <f>IF(Table2[[#This Row],[Description]]="","",VLOOKUP(Table2[[#This Row],[Description]],$Q$1:$S$101,3,FALSE))</f>
        <v/>
      </c>
      <c r="I1422" s="1" t="str">
        <f>IF(Table2[[#This Row],[Description]]="","",IF(Table2[[#This Row],[Currency]]=$O$2,$P$2,HLOOKUP(Table2[[#This Row],[Date]],Funds!$C$10:$GV$11,2,FALSE)))</f>
        <v/>
      </c>
      <c r="J1422" s="215" t="str">
        <f>IF(Table2[[#This Row],[Description]]="","",Table2[[#This Row],[Value]]/Table2[[#This Row],[Conversion]])</f>
        <v/>
      </c>
      <c r="K1422" s="45" t="str">
        <f>IF(Table2[[#This Row],[Description]]="","",DATE(Table2[[#This Row],[Year]],Table2[[#This Row],[Month]],1))</f>
        <v/>
      </c>
    </row>
    <row r="1423" spans="7:11" x14ac:dyDescent="0.25">
      <c r="G1423" s="1" t="str">
        <f>IF(Table2[[#This Row],[Description]]="","",VLOOKUP(Table2[[#This Row],[Description]],$Q$1:$S$101,2,FALSE))</f>
        <v/>
      </c>
      <c r="H1423" s="1" t="str">
        <f>IF(Table2[[#This Row],[Description]]="","",VLOOKUP(Table2[[#This Row],[Description]],$Q$1:$S$101,3,FALSE))</f>
        <v/>
      </c>
      <c r="I1423" s="1" t="str">
        <f>IF(Table2[[#This Row],[Description]]="","",IF(Table2[[#This Row],[Currency]]=$O$2,$P$2,HLOOKUP(Table2[[#This Row],[Date]],Funds!$C$10:$GV$11,2,FALSE)))</f>
        <v/>
      </c>
      <c r="J1423" s="215" t="str">
        <f>IF(Table2[[#This Row],[Description]]="","",Table2[[#This Row],[Value]]/Table2[[#This Row],[Conversion]])</f>
        <v/>
      </c>
      <c r="K1423" s="45" t="str">
        <f>IF(Table2[[#This Row],[Description]]="","",DATE(Table2[[#This Row],[Year]],Table2[[#This Row],[Month]],1))</f>
        <v/>
      </c>
    </row>
    <row r="1424" spans="7:11" x14ac:dyDescent="0.25">
      <c r="G1424" s="1" t="str">
        <f>IF(Table2[[#This Row],[Description]]="","",VLOOKUP(Table2[[#This Row],[Description]],$Q$1:$S$101,2,FALSE))</f>
        <v/>
      </c>
      <c r="H1424" s="1" t="str">
        <f>IF(Table2[[#This Row],[Description]]="","",VLOOKUP(Table2[[#This Row],[Description]],$Q$1:$S$101,3,FALSE))</f>
        <v/>
      </c>
      <c r="I1424" s="1" t="str">
        <f>IF(Table2[[#This Row],[Description]]="","",IF(Table2[[#This Row],[Currency]]=$O$2,$P$2,HLOOKUP(Table2[[#This Row],[Date]],Funds!$C$10:$GV$11,2,FALSE)))</f>
        <v/>
      </c>
      <c r="J1424" s="215" t="str">
        <f>IF(Table2[[#This Row],[Description]]="","",Table2[[#This Row],[Value]]/Table2[[#This Row],[Conversion]])</f>
        <v/>
      </c>
      <c r="K1424" s="45" t="str">
        <f>IF(Table2[[#This Row],[Description]]="","",DATE(Table2[[#This Row],[Year]],Table2[[#This Row],[Month]],1))</f>
        <v/>
      </c>
    </row>
    <row r="1425" spans="7:11" x14ac:dyDescent="0.25">
      <c r="G1425" s="1" t="str">
        <f>IF(Table2[[#This Row],[Description]]="","",VLOOKUP(Table2[[#This Row],[Description]],$Q$1:$S$101,2,FALSE))</f>
        <v/>
      </c>
      <c r="H1425" s="1" t="str">
        <f>IF(Table2[[#This Row],[Description]]="","",VLOOKUP(Table2[[#This Row],[Description]],$Q$1:$S$101,3,FALSE))</f>
        <v/>
      </c>
      <c r="I1425" s="1" t="str">
        <f>IF(Table2[[#This Row],[Description]]="","",IF(Table2[[#This Row],[Currency]]=$O$2,$P$2,HLOOKUP(Table2[[#This Row],[Date]],Funds!$C$10:$GV$11,2,FALSE)))</f>
        <v/>
      </c>
      <c r="J1425" s="215" t="str">
        <f>IF(Table2[[#This Row],[Description]]="","",Table2[[#This Row],[Value]]/Table2[[#This Row],[Conversion]])</f>
        <v/>
      </c>
      <c r="K1425" s="45" t="str">
        <f>IF(Table2[[#This Row],[Description]]="","",DATE(Table2[[#This Row],[Year]],Table2[[#This Row],[Month]],1))</f>
        <v/>
      </c>
    </row>
    <row r="1426" spans="7:11" x14ac:dyDescent="0.25">
      <c r="G1426" s="1" t="str">
        <f>IF(Table2[[#This Row],[Description]]="","",VLOOKUP(Table2[[#This Row],[Description]],$Q$1:$S$101,2,FALSE))</f>
        <v/>
      </c>
      <c r="H1426" s="1" t="str">
        <f>IF(Table2[[#This Row],[Description]]="","",VLOOKUP(Table2[[#This Row],[Description]],$Q$1:$S$101,3,FALSE))</f>
        <v/>
      </c>
      <c r="I1426" s="1" t="str">
        <f>IF(Table2[[#This Row],[Description]]="","",IF(Table2[[#This Row],[Currency]]=$O$2,$P$2,HLOOKUP(Table2[[#This Row],[Date]],Funds!$C$10:$GV$11,2,FALSE)))</f>
        <v/>
      </c>
      <c r="J1426" s="215" t="str">
        <f>IF(Table2[[#This Row],[Description]]="","",Table2[[#This Row],[Value]]/Table2[[#This Row],[Conversion]])</f>
        <v/>
      </c>
      <c r="K1426" s="45" t="str">
        <f>IF(Table2[[#This Row],[Description]]="","",DATE(Table2[[#This Row],[Year]],Table2[[#This Row],[Month]],1))</f>
        <v/>
      </c>
    </row>
    <row r="1427" spans="7:11" x14ac:dyDescent="0.25">
      <c r="G1427" s="1" t="str">
        <f>IF(Table2[[#This Row],[Description]]="","",VLOOKUP(Table2[[#This Row],[Description]],$Q$1:$S$101,2,FALSE))</f>
        <v/>
      </c>
      <c r="H1427" s="1" t="str">
        <f>IF(Table2[[#This Row],[Description]]="","",VLOOKUP(Table2[[#This Row],[Description]],$Q$1:$S$101,3,FALSE))</f>
        <v/>
      </c>
      <c r="I1427" s="1" t="str">
        <f>IF(Table2[[#This Row],[Description]]="","",IF(Table2[[#This Row],[Currency]]=$O$2,$P$2,HLOOKUP(Table2[[#This Row],[Date]],Funds!$C$10:$GV$11,2,FALSE)))</f>
        <v/>
      </c>
      <c r="J1427" s="215" t="str">
        <f>IF(Table2[[#This Row],[Description]]="","",Table2[[#This Row],[Value]]/Table2[[#This Row],[Conversion]])</f>
        <v/>
      </c>
      <c r="K1427" s="45" t="str">
        <f>IF(Table2[[#This Row],[Description]]="","",DATE(Table2[[#This Row],[Year]],Table2[[#This Row],[Month]],1))</f>
        <v/>
      </c>
    </row>
    <row r="1428" spans="7:11" x14ac:dyDescent="0.25">
      <c r="G1428" s="1" t="str">
        <f>IF(Table2[[#This Row],[Description]]="","",VLOOKUP(Table2[[#This Row],[Description]],$Q$1:$S$101,2,FALSE))</f>
        <v/>
      </c>
      <c r="H1428" s="1" t="str">
        <f>IF(Table2[[#This Row],[Description]]="","",VLOOKUP(Table2[[#This Row],[Description]],$Q$1:$S$101,3,FALSE))</f>
        <v/>
      </c>
      <c r="I1428" s="1" t="str">
        <f>IF(Table2[[#This Row],[Description]]="","",IF(Table2[[#This Row],[Currency]]=$O$2,$P$2,HLOOKUP(Table2[[#This Row],[Date]],Funds!$C$10:$GV$11,2,FALSE)))</f>
        <v/>
      </c>
      <c r="J1428" s="215" t="str">
        <f>IF(Table2[[#This Row],[Description]]="","",Table2[[#This Row],[Value]]/Table2[[#This Row],[Conversion]])</f>
        <v/>
      </c>
      <c r="K1428" s="45" t="str">
        <f>IF(Table2[[#This Row],[Description]]="","",DATE(Table2[[#This Row],[Year]],Table2[[#This Row],[Month]],1))</f>
        <v/>
      </c>
    </row>
    <row r="1429" spans="7:11" x14ac:dyDescent="0.25">
      <c r="G1429" s="1" t="str">
        <f>IF(Table2[[#This Row],[Description]]="","",VLOOKUP(Table2[[#This Row],[Description]],$Q$1:$S$101,2,FALSE))</f>
        <v/>
      </c>
      <c r="H1429" s="1" t="str">
        <f>IF(Table2[[#This Row],[Description]]="","",VLOOKUP(Table2[[#This Row],[Description]],$Q$1:$S$101,3,FALSE))</f>
        <v/>
      </c>
      <c r="I1429" s="1" t="str">
        <f>IF(Table2[[#This Row],[Description]]="","",IF(Table2[[#This Row],[Currency]]=$O$2,$P$2,HLOOKUP(Table2[[#This Row],[Date]],Funds!$C$10:$GV$11,2,FALSE)))</f>
        <v/>
      </c>
      <c r="J1429" s="215" t="str">
        <f>IF(Table2[[#This Row],[Description]]="","",Table2[[#This Row],[Value]]/Table2[[#This Row],[Conversion]])</f>
        <v/>
      </c>
      <c r="K1429" s="45" t="str">
        <f>IF(Table2[[#This Row],[Description]]="","",DATE(Table2[[#This Row],[Year]],Table2[[#This Row],[Month]],1))</f>
        <v/>
      </c>
    </row>
    <row r="1430" spans="7:11" x14ac:dyDescent="0.25">
      <c r="G1430" s="1" t="str">
        <f>IF(Table2[[#This Row],[Description]]="","",VLOOKUP(Table2[[#This Row],[Description]],$Q$1:$S$101,2,FALSE))</f>
        <v/>
      </c>
      <c r="H1430" s="1" t="str">
        <f>IF(Table2[[#This Row],[Description]]="","",VLOOKUP(Table2[[#This Row],[Description]],$Q$1:$S$101,3,FALSE))</f>
        <v/>
      </c>
      <c r="I1430" s="1" t="str">
        <f>IF(Table2[[#This Row],[Description]]="","",IF(Table2[[#This Row],[Currency]]=$O$2,$P$2,HLOOKUP(Table2[[#This Row],[Date]],Funds!$C$10:$GV$11,2,FALSE)))</f>
        <v/>
      </c>
      <c r="J1430" s="215" t="str">
        <f>IF(Table2[[#This Row],[Description]]="","",Table2[[#This Row],[Value]]/Table2[[#This Row],[Conversion]])</f>
        <v/>
      </c>
      <c r="K1430" s="45" t="str">
        <f>IF(Table2[[#This Row],[Description]]="","",DATE(Table2[[#This Row],[Year]],Table2[[#This Row],[Month]],1))</f>
        <v/>
      </c>
    </row>
    <row r="1431" spans="7:11" x14ac:dyDescent="0.25">
      <c r="G1431" s="1" t="str">
        <f>IF(Table2[[#This Row],[Description]]="","",VLOOKUP(Table2[[#This Row],[Description]],$Q$1:$S$101,2,FALSE))</f>
        <v/>
      </c>
      <c r="H1431" s="1" t="str">
        <f>IF(Table2[[#This Row],[Description]]="","",VLOOKUP(Table2[[#This Row],[Description]],$Q$1:$S$101,3,FALSE))</f>
        <v/>
      </c>
      <c r="I1431" s="1" t="str">
        <f>IF(Table2[[#This Row],[Description]]="","",IF(Table2[[#This Row],[Currency]]=$O$2,$P$2,HLOOKUP(Table2[[#This Row],[Date]],Funds!$C$10:$GV$11,2,FALSE)))</f>
        <v/>
      </c>
      <c r="J1431" s="215" t="str">
        <f>IF(Table2[[#This Row],[Description]]="","",Table2[[#This Row],[Value]]/Table2[[#This Row],[Conversion]])</f>
        <v/>
      </c>
      <c r="K1431" s="45" t="str">
        <f>IF(Table2[[#This Row],[Description]]="","",DATE(Table2[[#This Row],[Year]],Table2[[#This Row],[Month]],1))</f>
        <v/>
      </c>
    </row>
    <row r="1432" spans="7:11" x14ac:dyDescent="0.25">
      <c r="G1432" s="1" t="str">
        <f>IF(Table2[[#This Row],[Description]]="","",VLOOKUP(Table2[[#This Row],[Description]],$Q$1:$S$101,2,FALSE))</f>
        <v/>
      </c>
      <c r="H1432" s="1" t="str">
        <f>IF(Table2[[#This Row],[Description]]="","",VLOOKUP(Table2[[#This Row],[Description]],$Q$1:$S$101,3,FALSE))</f>
        <v/>
      </c>
      <c r="I1432" s="1" t="str">
        <f>IF(Table2[[#This Row],[Description]]="","",IF(Table2[[#This Row],[Currency]]=$O$2,$P$2,HLOOKUP(Table2[[#This Row],[Date]],Funds!$C$10:$GV$11,2,FALSE)))</f>
        <v/>
      </c>
      <c r="J1432" s="215" t="str">
        <f>IF(Table2[[#This Row],[Description]]="","",Table2[[#This Row],[Value]]/Table2[[#This Row],[Conversion]])</f>
        <v/>
      </c>
      <c r="K1432" s="45" t="str">
        <f>IF(Table2[[#This Row],[Description]]="","",DATE(Table2[[#This Row],[Year]],Table2[[#This Row],[Month]],1))</f>
        <v/>
      </c>
    </row>
    <row r="1433" spans="7:11" x14ac:dyDescent="0.25">
      <c r="G1433" s="1" t="str">
        <f>IF(Table2[[#This Row],[Description]]="","",VLOOKUP(Table2[[#This Row],[Description]],$Q$1:$S$101,2,FALSE))</f>
        <v/>
      </c>
      <c r="H1433" s="1" t="str">
        <f>IF(Table2[[#This Row],[Description]]="","",VLOOKUP(Table2[[#This Row],[Description]],$Q$1:$S$101,3,FALSE))</f>
        <v/>
      </c>
      <c r="I1433" s="1" t="str">
        <f>IF(Table2[[#This Row],[Description]]="","",IF(Table2[[#This Row],[Currency]]=$O$2,$P$2,HLOOKUP(Table2[[#This Row],[Date]],Funds!$C$10:$GV$11,2,FALSE)))</f>
        <v/>
      </c>
      <c r="J1433" s="215" t="str">
        <f>IF(Table2[[#This Row],[Description]]="","",Table2[[#This Row],[Value]]/Table2[[#This Row],[Conversion]])</f>
        <v/>
      </c>
      <c r="K1433" s="45" t="str">
        <f>IF(Table2[[#This Row],[Description]]="","",DATE(Table2[[#This Row],[Year]],Table2[[#This Row],[Month]],1))</f>
        <v/>
      </c>
    </row>
    <row r="1434" spans="7:11" x14ac:dyDescent="0.25">
      <c r="G1434" s="1" t="str">
        <f>IF(Table2[[#This Row],[Description]]="","",VLOOKUP(Table2[[#This Row],[Description]],$Q$1:$S$101,2,FALSE))</f>
        <v/>
      </c>
      <c r="H1434" s="1" t="str">
        <f>IF(Table2[[#This Row],[Description]]="","",VLOOKUP(Table2[[#This Row],[Description]],$Q$1:$S$101,3,FALSE))</f>
        <v/>
      </c>
      <c r="I1434" s="1" t="str">
        <f>IF(Table2[[#This Row],[Description]]="","",IF(Table2[[#This Row],[Currency]]=$O$2,$P$2,HLOOKUP(Table2[[#This Row],[Date]],Funds!$C$10:$GV$11,2,FALSE)))</f>
        <v/>
      </c>
      <c r="J1434" s="215" t="str">
        <f>IF(Table2[[#This Row],[Description]]="","",Table2[[#This Row],[Value]]/Table2[[#This Row],[Conversion]])</f>
        <v/>
      </c>
      <c r="K1434" s="45" t="str">
        <f>IF(Table2[[#This Row],[Description]]="","",DATE(Table2[[#This Row],[Year]],Table2[[#This Row],[Month]],1))</f>
        <v/>
      </c>
    </row>
    <row r="1435" spans="7:11" x14ac:dyDescent="0.25">
      <c r="G1435" s="1" t="str">
        <f>IF(Table2[[#This Row],[Description]]="","",VLOOKUP(Table2[[#This Row],[Description]],$Q$1:$S$101,2,FALSE))</f>
        <v/>
      </c>
      <c r="H1435" s="1" t="str">
        <f>IF(Table2[[#This Row],[Description]]="","",VLOOKUP(Table2[[#This Row],[Description]],$Q$1:$S$101,3,FALSE))</f>
        <v/>
      </c>
      <c r="I1435" s="1" t="str">
        <f>IF(Table2[[#This Row],[Description]]="","",IF(Table2[[#This Row],[Currency]]=$O$2,$P$2,HLOOKUP(Table2[[#This Row],[Date]],Funds!$C$10:$GV$11,2,FALSE)))</f>
        <v/>
      </c>
      <c r="J1435" s="215" t="str">
        <f>IF(Table2[[#This Row],[Description]]="","",Table2[[#This Row],[Value]]/Table2[[#This Row],[Conversion]])</f>
        <v/>
      </c>
      <c r="K1435" s="45" t="str">
        <f>IF(Table2[[#This Row],[Description]]="","",DATE(Table2[[#This Row],[Year]],Table2[[#This Row],[Month]],1))</f>
        <v/>
      </c>
    </row>
    <row r="1436" spans="7:11" x14ac:dyDescent="0.25">
      <c r="G1436" s="1" t="str">
        <f>IF(Table2[[#This Row],[Description]]="","",VLOOKUP(Table2[[#This Row],[Description]],$Q$1:$S$101,2,FALSE))</f>
        <v/>
      </c>
      <c r="H1436" s="1" t="str">
        <f>IF(Table2[[#This Row],[Description]]="","",VLOOKUP(Table2[[#This Row],[Description]],$Q$1:$S$101,3,FALSE))</f>
        <v/>
      </c>
      <c r="I1436" s="1" t="str">
        <f>IF(Table2[[#This Row],[Description]]="","",IF(Table2[[#This Row],[Currency]]=$O$2,$P$2,HLOOKUP(Table2[[#This Row],[Date]],Funds!$C$10:$GV$11,2,FALSE)))</f>
        <v/>
      </c>
      <c r="J1436" s="215" t="str">
        <f>IF(Table2[[#This Row],[Description]]="","",Table2[[#This Row],[Value]]/Table2[[#This Row],[Conversion]])</f>
        <v/>
      </c>
      <c r="K1436" s="45" t="str">
        <f>IF(Table2[[#This Row],[Description]]="","",DATE(Table2[[#This Row],[Year]],Table2[[#This Row],[Month]],1))</f>
        <v/>
      </c>
    </row>
    <row r="1437" spans="7:11" x14ac:dyDescent="0.25">
      <c r="G1437" s="1" t="str">
        <f>IF(Table2[[#This Row],[Description]]="","",VLOOKUP(Table2[[#This Row],[Description]],$Q$1:$S$101,2,FALSE))</f>
        <v/>
      </c>
      <c r="H1437" s="1" t="str">
        <f>IF(Table2[[#This Row],[Description]]="","",VLOOKUP(Table2[[#This Row],[Description]],$Q$1:$S$101,3,FALSE))</f>
        <v/>
      </c>
      <c r="I1437" s="1" t="str">
        <f>IF(Table2[[#This Row],[Description]]="","",IF(Table2[[#This Row],[Currency]]=$O$2,$P$2,HLOOKUP(Table2[[#This Row],[Date]],Funds!$C$10:$GV$11,2,FALSE)))</f>
        <v/>
      </c>
      <c r="J1437" s="215" t="str">
        <f>IF(Table2[[#This Row],[Description]]="","",Table2[[#This Row],[Value]]/Table2[[#This Row],[Conversion]])</f>
        <v/>
      </c>
      <c r="K1437" s="45" t="str">
        <f>IF(Table2[[#This Row],[Description]]="","",DATE(Table2[[#This Row],[Year]],Table2[[#This Row],[Month]],1))</f>
        <v/>
      </c>
    </row>
    <row r="1438" spans="7:11" x14ac:dyDescent="0.25">
      <c r="G1438" s="1" t="str">
        <f>IF(Table2[[#This Row],[Description]]="","",VLOOKUP(Table2[[#This Row],[Description]],$Q$1:$S$101,2,FALSE))</f>
        <v/>
      </c>
      <c r="H1438" s="1" t="str">
        <f>IF(Table2[[#This Row],[Description]]="","",VLOOKUP(Table2[[#This Row],[Description]],$Q$1:$S$101,3,FALSE))</f>
        <v/>
      </c>
      <c r="I1438" s="1" t="str">
        <f>IF(Table2[[#This Row],[Description]]="","",IF(Table2[[#This Row],[Currency]]=$O$2,$P$2,HLOOKUP(Table2[[#This Row],[Date]],Funds!$C$10:$GV$11,2,FALSE)))</f>
        <v/>
      </c>
      <c r="J1438" s="215" t="str">
        <f>IF(Table2[[#This Row],[Description]]="","",Table2[[#This Row],[Value]]/Table2[[#This Row],[Conversion]])</f>
        <v/>
      </c>
      <c r="K1438" s="45" t="str">
        <f>IF(Table2[[#This Row],[Description]]="","",DATE(Table2[[#This Row],[Year]],Table2[[#This Row],[Month]],1))</f>
        <v/>
      </c>
    </row>
    <row r="1439" spans="7:11" x14ac:dyDescent="0.25">
      <c r="G1439" s="1" t="str">
        <f>IF(Table2[[#This Row],[Description]]="","",VLOOKUP(Table2[[#This Row],[Description]],$Q$1:$S$101,2,FALSE))</f>
        <v/>
      </c>
      <c r="H1439" s="1" t="str">
        <f>IF(Table2[[#This Row],[Description]]="","",VLOOKUP(Table2[[#This Row],[Description]],$Q$1:$S$101,3,FALSE))</f>
        <v/>
      </c>
      <c r="I1439" s="1" t="str">
        <f>IF(Table2[[#This Row],[Description]]="","",IF(Table2[[#This Row],[Currency]]=$O$2,$P$2,HLOOKUP(Table2[[#This Row],[Date]],Funds!$C$10:$GV$11,2,FALSE)))</f>
        <v/>
      </c>
      <c r="J1439" s="215" t="str">
        <f>IF(Table2[[#This Row],[Description]]="","",Table2[[#This Row],[Value]]/Table2[[#This Row],[Conversion]])</f>
        <v/>
      </c>
      <c r="K1439" s="45" t="str">
        <f>IF(Table2[[#This Row],[Description]]="","",DATE(Table2[[#This Row],[Year]],Table2[[#This Row],[Month]],1))</f>
        <v/>
      </c>
    </row>
    <row r="1440" spans="7:11" x14ac:dyDescent="0.25">
      <c r="G1440" s="1" t="str">
        <f>IF(Table2[[#This Row],[Description]]="","",VLOOKUP(Table2[[#This Row],[Description]],$Q$1:$S$101,2,FALSE))</f>
        <v/>
      </c>
      <c r="H1440" s="1" t="str">
        <f>IF(Table2[[#This Row],[Description]]="","",VLOOKUP(Table2[[#This Row],[Description]],$Q$1:$S$101,3,FALSE))</f>
        <v/>
      </c>
      <c r="I1440" s="1" t="str">
        <f>IF(Table2[[#This Row],[Description]]="","",IF(Table2[[#This Row],[Currency]]=$O$2,$P$2,HLOOKUP(Table2[[#This Row],[Date]],Funds!$C$10:$GV$11,2,FALSE)))</f>
        <v/>
      </c>
      <c r="J1440" s="215" t="str">
        <f>IF(Table2[[#This Row],[Description]]="","",Table2[[#This Row],[Value]]/Table2[[#This Row],[Conversion]])</f>
        <v/>
      </c>
      <c r="K1440" s="45" t="str">
        <f>IF(Table2[[#This Row],[Description]]="","",DATE(Table2[[#This Row],[Year]],Table2[[#This Row],[Month]],1))</f>
        <v/>
      </c>
    </row>
    <row r="1441" spans="7:11" x14ac:dyDescent="0.25">
      <c r="G1441" s="1" t="str">
        <f>IF(Table2[[#This Row],[Description]]="","",VLOOKUP(Table2[[#This Row],[Description]],$Q$1:$S$101,2,FALSE))</f>
        <v/>
      </c>
      <c r="H1441" s="1" t="str">
        <f>IF(Table2[[#This Row],[Description]]="","",VLOOKUP(Table2[[#This Row],[Description]],$Q$1:$S$101,3,FALSE))</f>
        <v/>
      </c>
      <c r="I1441" s="1" t="str">
        <f>IF(Table2[[#This Row],[Description]]="","",IF(Table2[[#This Row],[Currency]]=$O$2,$P$2,HLOOKUP(Table2[[#This Row],[Date]],Funds!$C$10:$GV$11,2,FALSE)))</f>
        <v/>
      </c>
      <c r="J1441" s="215" t="str">
        <f>IF(Table2[[#This Row],[Description]]="","",Table2[[#This Row],[Value]]/Table2[[#This Row],[Conversion]])</f>
        <v/>
      </c>
      <c r="K1441" s="45" t="str">
        <f>IF(Table2[[#This Row],[Description]]="","",DATE(Table2[[#This Row],[Year]],Table2[[#This Row],[Month]],1))</f>
        <v/>
      </c>
    </row>
    <row r="1442" spans="7:11" x14ac:dyDescent="0.25">
      <c r="G1442" s="1" t="str">
        <f>IF(Table2[[#This Row],[Description]]="","",VLOOKUP(Table2[[#This Row],[Description]],$Q$1:$S$101,2,FALSE))</f>
        <v/>
      </c>
      <c r="H1442" s="1" t="str">
        <f>IF(Table2[[#This Row],[Description]]="","",VLOOKUP(Table2[[#This Row],[Description]],$Q$1:$S$101,3,FALSE))</f>
        <v/>
      </c>
      <c r="I1442" s="1" t="str">
        <f>IF(Table2[[#This Row],[Description]]="","",IF(Table2[[#This Row],[Currency]]=$O$2,$P$2,HLOOKUP(Table2[[#This Row],[Date]],Funds!$C$10:$GV$11,2,FALSE)))</f>
        <v/>
      </c>
      <c r="J1442" s="215" t="str">
        <f>IF(Table2[[#This Row],[Description]]="","",Table2[[#This Row],[Value]]/Table2[[#This Row],[Conversion]])</f>
        <v/>
      </c>
      <c r="K1442" s="45" t="str">
        <f>IF(Table2[[#This Row],[Description]]="","",DATE(Table2[[#This Row],[Year]],Table2[[#This Row],[Month]],1))</f>
        <v/>
      </c>
    </row>
    <row r="1443" spans="7:11" x14ac:dyDescent="0.25">
      <c r="G1443" s="1" t="str">
        <f>IF(Table2[[#This Row],[Description]]="","",VLOOKUP(Table2[[#This Row],[Description]],$Q$1:$S$101,2,FALSE))</f>
        <v/>
      </c>
      <c r="H1443" s="1" t="str">
        <f>IF(Table2[[#This Row],[Description]]="","",VLOOKUP(Table2[[#This Row],[Description]],$Q$1:$S$101,3,FALSE))</f>
        <v/>
      </c>
      <c r="I1443" s="1" t="str">
        <f>IF(Table2[[#This Row],[Description]]="","",IF(Table2[[#This Row],[Currency]]=$O$2,$P$2,HLOOKUP(Table2[[#This Row],[Date]],Funds!$C$10:$GV$11,2,FALSE)))</f>
        <v/>
      </c>
      <c r="J1443" s="215" t="str">
        <f>IF(Table2[[#This Row],[Description]]="","",Table2[[#This Row],[Value]]/Table2[[#This Row],[Conversion]])</f>
        <v/>
      </c>
      <c r="K1443" s="45" t="str">
        <f>IF(Table2[[#This Row],[Description]]="","",DATE(Table2[[#This Row],[Year]],Table2[[#This Row],[Month]],1))</f>
        <v/>
      </c>
    </row>
    <row r="1444" spans="7:11" x14ac:dyDescent="0.25">
      <c r="G1444" s="1" t="str">
        <f>IF(Table2[[#This Row],[Description]]="","",VLOOKUP(Table2[[#This Row],[Description]],$Q$1:$S$101,2,FALSE))</f>
        <v/>
      </c>
      <c r="H1444" s="1" t="str">
        <f>IF(Table2[[#This Row],[Description]]="","",VLOOKUP(Table2[[#This Row],[Description]],$Q$1:$S$101,3,FALSE))</f>
        <v/>
      </c>
      <c r="I1444" s="1" t="str">
        <f>IF(Table2[[#This Row],[Description]]="","",IF(Table2[[#This Row],[Currency]]=$O$2,$P$2,HLOOKUP(Table2[[#This Row],[Date]],Funds!$C$10:$GV$11,2,FALSE)))</f>
        <v/>
      </c>
      <c r="J1444" s="215" t="str">
        <f>IF(Table2[[#This Row],[Description]]="","",Table2[[#This Row],[Value]]/Table2[[#This Row],[Conversion]])</f>
        <v/>
      </c>
      <c r="K1444" s="45" t="str">
        <f>IF(Table2[[#This Row],[Description]]="","",DATE(Table2[[#This Row],[Year]],Table2[[#This Row],[Month]],1))</f>
        <v/>
      </c>
    </row>
    <row r="1445" spans="7:11" x14ac:dyDescent="0.25">
      <c r="G1445" s="1" t="str">
        <f>IF(Table2[[#This Row],[Description]]="","",VLOOKUP(Table2[[#This Row],[Description]],$Q$1:$S$101,2,FALSE))</f>
        <v/>
      </c>
      <c r="H1445" s="1" t="str">
        <f>IF(Table2[[#This Row],[Description]]="","",VLOOKUP(Table2[[#This Row],[Description]],$Q$1:$S$101,3,FALSE))</f>
        <v/>
      </c>
      <c r="I1445" s="1" t="str">
        <f>IF(Table2[[#This Row],[Description]]="","",IF(Table2[[#This Row],[Currency]]=$O$2,$P$2,HLOOKUP(Table2[[#This Row],[Date]],Funds!$C$10:$GV$11,2,FALSE)))</f>
        <v/>
      </c>
      <c r="J1445" s="215" t="str">
        <f>IF(Table2[[#This Row],[Description]]="","",Table2[[#This Row],[Value]]/Table2[[#This Row],[Conversion]])</f>
        <v/>
      </c>
      <c r="K1445" s="45" t="str">
        <f>IF(Table2[[#This Row],[Description]]="","",DATE(Table2[[#This Row],[Year]],Table2[[#This Row],[Month]],1))</f>
        <v/>
      </c>
    </row>
    <row r="1446" spans="7:11" x14ac:dyDescent="0.25">
      <c r="G1446" s="1" t="str">
        <f>IF(Table2[[#This Row],[Description]]="","",VLOOKUP(Table2[[#This Row],[Description]],$Q$1:$S$101,2,FALSE))</f>
        <v/>
      </c>
      <c r="H1446" s="1" t="str">
        <f>IF(Table2[[#This Row],[Description]]="","",VLOOKUP(Table2[[#This Row],[Description]],$Q$1:$S$101,3,FALSE))</f>
        <v/>
      </c>
      <c r="I1446" s="1" t="str">
        <f>IF(Table2[[#This Row],[Description]]="","",IF(Table2[[#This Row],[Currency]]=$O$2,$P$2,HLOOKUP(Table2[[#This Row],[Date]],Funds!$C$10:$GV$11,2,FALSE)))</f>
        <v/>
      </c>
      <c r="J1446" s="215" t="str">
        <f>IF(Table2[[#This Row],[Description]]="","",Table2[[#This Row],[Value]]/Table2[[#This Row],[Conversion]])</f>
        <v/>
      </c>
      <c r="K1446" s="45" t="str">
        <f>IF(Table2[[#This Row],[Description]]="","",DATE(Table2[[#This Row],[Year]],Table2[[#This Row],[Month]],1))</f>
        <v/>
      </c>
    </row>
    <row r="1447" spans="7:11" x14ac:dyDescent="0.25">
      <c r="G1447" s="1" t="str">
        <f>IF(Table2[[#This Row],[Description]]="","",VLOOKUP(Table2[[#This Row],[Description]],$Q$1:$S$101,2,FALSE))</f>
        <v/>
      </c>
      <c r="H1447" s="1" t="str">
        <f>IF(Table2[[#This Row],[Description]]="","",VLOOKUP(Table2[[#This Row],[Description]],$Q$1:$S$101,3,FALSE))</f>
        <v/>
      </c>
      <c r="I1447" s="1" t="str">
        <f>IF(Table2[[#This Row],[Description]]="","",IF(Table2[[#This Row],[Currency]]=$O$2,$P$2,HLOOKUP(Table2[[#This Row],[Date]],Funds!$C$10:$GV$11,2,FALSE)))</f>
        <v/>
      </c>
      <c r="J1447" s="215" t="str">
        <f>IF(Table2[[#This Row],[Description]]="","",Table2[[#This Row],[Value]]/Table2[[#This Row],[Conversion]])</f>
        <v/>
      </c>
      <c r="K1447" s="45" t="str">
        <f>IF(Table2[[#This Row],[Description]]="","",DATE(Table2[[#This Row],[Year]],Table2[[#This Row],[Month]],1))</f>
        <v/>
      </c>
    </row>
    <row r="1448" spans="7:11" x14ac:dyDescent="0.25">
      <c r="G1448" s="1" t="str">
        <f>IF(Table2[[#This Row],[Description]]="","",VLOOKUP(Table2[[#This Row],[Description]],$Q$1:$S$101,2,FALSE))</f>
        <v/>
      </c>
      <c r="H1448" s="1" t="str">
        <f>IF(Table2[[#This Row],[Description]]="","",VLOOKUP(Table2[[#This Row],[Description]],$Q$1:$S$101,3,FALSE))</f>
        <v/>
      </c>
      <c r="I1448" s="1" t="str">
        <f>IF(Table2[[#This Row],[Description]]="","",IF(Table2[[#This Row],[Currency]]=$O$2,$P$2,HLOOKUP(Table2[[#This Row],[Date]],Funds!$C$10:$GV$11,2,FALSE)))</f>
        <v/>
      </c>
      <c r="J1448" s="215" t="str">
        <f>IF(Table2[[#This Row],[Description]]="","",Table2[[#This Row],[Value]]/Table2[[#This Row],[Conversion]])</f>
        <v/>
      </c>
      <c r="K1448" s="45" t="str">
        <f>IF(Table2[[#This Row],[Description]]="","",DATE(Table2[[#This Row],[Year]],Table2[[#This Row],[Month]],1))</f>
        <v/>
      </c>
    </row>
    <row r="1449" spans="7:11" x14ac:dyDescent="0.25">
      <c r="G1449" s="1" t="str">
        <f>IF(Table2[[#This Row],[Description]]="","",VLOOKUP(Table2[[#This Row],[Description]],$Q$1:$S$101,2,FALSE))</f>
        <v/>
      </c>
      <c r="H1449" s="1" t="str">
        <f>IF(Table2[[#This Row],[Description]]="","",VLOOKUP(Table2[[#This Row],[Description]],$Q$1:$S$101,3,FALSE))</f>
        <v/>
      </c>
      <c r="I1449" s="1" t="str">
        <f>IF(Table2[[#This Row],[Description]]="","",IF(Table2[[#This Row],[Currency]]=$O$2,$P$2,HLOOKUP(Table2[[#This Row],[Date]],Funds!$C$10:$GV$11,2,FALSE)))</f>
        <v/>
      </c>
      <c r="J1449" s="215" t="str">
        <f>IF(Table2[[#This Row],[Description]]="","",Table2[[#This Row],[Value]]/Table2[[#This Row],[Conversion]])</f>
        <v/>
      </c>
      <c r="K1449" s="45" t="str">
        <f>IF(Table2[[#This Row],[Description]]="","",DATE(Table2[[#This Row],[Year]],Table2[[#This Row],[Month]],1))</f>
        <v/>
      </c>
    </row>
    <row r="1450" spans="7:11" x14ac:dyDescent="0.25">
      <c r="G1450" s="1" t="str">
        <f>IF(Table2[[#This Row],[Description]]="","",VLOOKUP(Table2[[#This Row],[Description]],$Q$1:$S$101,2,FALSE))</f>
        <v/>
      </c>
      <c r="H1450" s="1" t="str">
        <f>IF(Table2[[#This Row],[Description]]="","",VLOOKUP(Table2[[#This Row],[Description]],$Q$1:$S$101,3,FALSE))</f>
        <v/>
      </c>
      <c r="I1450" s="1" t="str">
        <f>IF(Table2[[#This Row],[Description]]="","",IF(Table2[[#This Row],[Currency]]=$O$2,$P$2,HLOOKUP(Table2[[#This Row],[Date]],Funds!$C$10:$GV$11,2,FALSE)))</f>
        <v/>
      </c>
      <c r="J1450" s="215" t="str">
        <f>IF(Table2[[#This Row],[Description]]="","",Table2[[#This Row],[Value]]/Table2[[#This Row],[Conversion]])</f>
        <v/>
      </c>
      <c r="K1450" s="45" t="str">
        <f>IF(Table2[[#This Row],[Description]]="","",DATE(Table2[[#This Row],[Year]],Table2[[#This Row],[Month]],1))</f>
        <v/>
      </c>
    </row>
    <row r="1451" spans="7:11" x14ac:dyDescent="0.25">
      <c r="G1451" s="1" t="str">
        <f>IF(Table2[[#This Row],[Description]]="","",VLOOKUP(Table2[[#This Row],[Description]],$Q$1:$S$101,2,FALSE))</f>
        <v/>
      </c>
      <c r="H1451" s="1" t="str">
        <f>IF(Table2[[#This Row],[Description]]="","",VLOOKUP(Table2[[#This Row],[Description]],$Q$1:$S$101,3,FALSE))</f>
        <v/>
      </c>
      <c r="I1451" s="1" t="str">
        <f>IF(Table2[[#This Row],[Description]]="","",IF(Table2[[#This Row],[Currency]]=$O$2,$P$2,HLOOKUP(Table2[[#This Row],[Date]],Funds!$C$10:$GV$11,2,FALSE)))</f>
        <v/>
      </c>
      <c r="J1451" s="215" t="str">
        <f>IF(Table2[[#This Row],[Description]]="","",Table2[[#This Row],[Value]]/Table2[[#This Row],[Conversion]])</f>
        <v/>
      </c>
      <c r="K1451" s="45" t="str">
        <f>IF(Table2[[#This Row],[Description]]="","",DATE(Table2[[#This Row],[Year]],Table2[[#This Row],[Month]],1))</f>
        <v/>
      </c>
    </row>
    <row r="1452" spans="7:11" x14ac:dyDescent="0.25">
      <c r="G1452" s="1" t="str">
        <f>IF(Table2[[#This Row],[Description]]="","",VLOOKUP(Table2[[#This Row],[Description]],$Q$1:$S$101,2,FALSE))</f>
        <v/>
      </c>
      <c r="H1452" s="1" t="str">
        <f>IF(Table2[[#This Row],[Description]]="","",VLOOKUP(Table2[[#This Row],[Description]],$Q$1:$S$101,3,FALSE))</f>
        <v/>
      </c>
      <c r="I1452" s="1" t="str">
        <f>IF(Table2[[#This Row],[Description]]="","",IF(Table2[[#This Row],[Currency]]=$O$2,$P$2,HLOOKUP(Table2[[#This Row],[Date]],Funds!$C$10:$GV$11,2,FALSE)))</f>
        <v/>
      </c>
      <c r="J1452" s="215" t="str">
        <f>IF(Table2[[#This Row],[Description]]="","",Table2[[#This Row],[Value]]/Table2[[#This Row],[Conversion]])</f>
        <v/>
      </c>
      <c r="K1452" s="45" t="str">
        <f>IF(Table2[[#This Row],[Description]]="","",DATE(Table2[[#This Row],[Year]],Table2[[#This Row],[Month]],1))</f>
        <v/>
      </c>
    </row>
    <row r="1453" spans="7:11" x14ac:dyDescent="0.25">
      <c r="G1453" s="1" t="str">
        <f>IF(Table2[[#This Row],[Description]]="","",VLOOKUP(Table2[[#This Row],[Description]],$Q$1:$S$101,2,FALSE))</f>
        <v/>
      </c>
      <c r="H1453" s="1" t="str">
        <f>IF(Table2[[#This Row],[Description]]="","",VLOOKUP(Table2[[#This Row],[Description]],$Q$1:$S$101,3,FALSE))</f>
        <v/>
      </c>
      <c r="I1453" s="1" t="str">
        <f>IF(Table2[[#This Row],[Description]]="","",IF(Table2[[#This Row],[Currency]]=$O$2,$P$2,HLOOKUP(Table2[[#This Row],[Date]],Funds!$C$10:$GV$11,2,FALSE)))</f>
        <v/>
      </c>
      <c r="J1453" s="215" t="str">
        <f>IF(Table2[[#This Row],[Description]]="","",Table2[[#This Row],[Value]]/Table2[[#This Row],[Conversion]])</f>
        <v/>
      </c>
      <c r="K1453" s="45" t="str">
        <f>IF(Table2[[#This Row],[Description]]="","",DATE(Table2[[#This Row],[Year]],Table2[[#This Row],[Month]],1))</f>
        <v/>
      </c>
    </row>
    <row r="1454" spans="7:11" x14ac:dyDescent="0.25">
      <c r="G1454" s="1" t="str">
        <f>IF(Table2[[#This Row],[Description]]="","",VLOOKUP(Table2[[#This Row],[Description]],$Q$1:$S$101,2,FALSE))</f>
        <v/>
      </c>
      <c r="H1454" s="1" t="str">
        <f>IF(Table2[[#This Row],[Description]]="","",VLOOKUP(Table2[[#This Row],[Description]],$Q$1:$S$101,3,FALSE))</f>
        <v/>
      </c>
      <c r="I1454" s="1" t="str">
        <f>IF(Table2[[#This Row],[Description]]="","",IF(Table2[[#This Row],[Currency]]=$O$2,$P$2,HLOOKUP(Table2[[#This Row],[Date]],Funds!$C$10:$GV$11,2,FALSE)))</f>
        <v/>
      </c>
      <c r="J1454" s="215" t="str">
        <f>IF(Table2[[#This Row],[Description]]="","",Table2[[#This Row],[Value]]/Table2[[#This Row],[Conversion]])</f>
        <v/>
      </c>
      <c r="K1454" s="45" t="str">
        <f>IF(Table2[[#This Row],[Description]]="","",DATE(Table2[[#This Row],[Year]],Table2[[#This Row],[Month]],1))</f>
        <v/>
      </c>
    </row>
    <row r="1455" spans="7:11" x14ac:dyDescent="0.25">
      <c r="G1455" s="1" t="str">
        <f>IF(Table2[[#This Row],[Description]]="","",VLOOKUP(Table2[[#This Row],[Description]],$Q$1:$S$101,2,FALSE))</f>
        <v/>
      </c>
      <c r="H1455" s="1" t="str">
        <f>IF(Table2[[#This Row],[Description]]="","",VLOOKUP(Table2[[#This Row],[Description]],$Q$1:$S$101,3,FALSE))</f>
        <v/>
      </c>
      <c r="I1455" s="1" t="str">
        <f>IF(Table2[[#This Row],[Description]]="","",IF(Table2[[#This Row],[Currency]]=$O$2,$P$2,HLOOKUP(Table2[[#This Row],[Date]],Funds!$C$10:$GV$11,2,FALSE)))</f>
        <v/>
      </c>
      <c r="J1455" s="215" t="str">
        <f>IF(Table2[[#This Row],[Description]]="","",Table2[[#This Row],[Value]]/Table2[[#This Row],[Conversion]])</f>
        <v/>
      </c>
      <c r="K1455" s="45" t="str">
        <f>IF(Table2[[#This Row],[Description]]="","",DATE(Table2[[#This Row],[Year]],Table2[[#This Row],[Month]],1))</f>
        <v/>
      </c>
    </row>
    <row r="1456" spans="7:11" x14ac:dyDescent="0.25">
      <c r="G1456" s="1" t="str">
        <f>IF(Table2[[#This Row],[Description]]="","",VLOOKUP(Table2[[#This Row],[Description]],$Q$1:$S$101,2,FALSE))</f>
        <v/>
      </c>
      <c r="H1456" s="1" t="str">
        <f>IF(Table2[[#This Row],[Description]]="","",VLOOKUP(Table2[[#This Row],[Description]],$Q$1:$S$101,3,FALSE))</f>
        <v/>
      </c>
      <c r="I1456" s="1" t="str">
        <f>IF(Table2[[#This Row],[Description]]="","",IF(Table2[[#This Row],[Currency]]=$O$2,$P$2,HLOOKUP(Table2[[#This Row],[Date]],Funds!$C$10:$GV$11,2,FALSE)))</f>
        <v/>
      </c>
      <c r="J1456" s="215" t="str">
        <f>IF(Table2[[#This Row],[Description]]="","",Table2[[#This Row],[Value]]/Table2[[#This Row],[Conversion]])</f>
        <v/>
      </c>
      <c r="K1456" s="45" t="str">
        <f>IF(Table2[[#This Row],[Description]]="","",DATE(Table2[[#This Row],[Year]],Table2[[#This Row],[Month]],1))</f>
        <v/>
      </c>
    </row>
    <row r="1457" spans="7:11" x14ac:dyDescent="0.25">
      <c r="G1457" s="1" t="str">
        <f>IF(Table2[[#This Row],[Description]]="","",VLOOKUP(Table2[[#This Row],[Description]],$Q$1:$S$101,2,FALSE))</f>
        <v/>
      </c>
      <c r="H1457" s="1" t="str">
        <f>IF(Table2[[#This Row],[Description]]="","",VLOOKUP(Table2[[#This Row],[Description]],$Q$1:$S$101,3,FALSE))</f>
        <v/>
      </c>
      <c r="I1457" s="1" t="str">
        <f>IF(Table2[[#This Row],[Description]]="","",IF(Table2[[#This Row],[Currency]]=$O$2,$P$2,HLOOKUP(Table2[[#This Row],[Date]],Funds!$C$10:$GV$11,2,FALSE)))</f>
        <v/>
      </c>
      <c r="J1457" s="215" t="str">
        <f>IF(Table2[[#This Row],[Description]]="","",Table2[[#This Row],[Value]]/Table2[[#This Row],[Conversion]])</f>
        <v/>
      </c>
      <c r="K1457" s="45" t="str">
        <f>IF(Table2[[#This Row],[Description]]="","",DATE(Table2[[#This Row],[Year]],Table2[[#This Row],[Month]],1))</f>
        <v/>
      </c>
    </row>
    <row r="1458" spans="7:11" x14ac:dyDescent="0.25">
      <c r="G1458" s="1" t="str">
        <f>IF(Table2[[#This Row],[Description]]="","",VLOOKUP(Table2[[#This Row],[Description]],$Q$1:$S$101,2,FALSE))</f>
        <v/>
      </c>
      <c r="H1458" s="1" t="str">
        <f>IF(Table2[[#This Row],[Description]]="","",VLOOKUP(Table2[[#This Row],[Description]],$Q$1:$S$101,3,FALSE))</f>
        <v/>
      </c>
      <c r="I1458" s="1" t="str">
        <f>IF(Table2[[#This Row],[Description]]="","",IF(Table2[[#This Row],[Currency]]=$O$2,$P$2,HLOOKUP(Table2[[#This Row],[Date]],Funds!$C$10:$GV$11,2,FALSE)))</f>
        <v/>
      </c>
      <c r="J1458" s="215" t="str">
        <f>IF(Table2[[#This Row],[Description]]="","",Table2[[#This Row],[Value]]/Table2[[#This Row],[Conversion]])</f>
        <v/>
      </c>
      <c r="K1458" s="45" t="str">
        <f>IF(Table2[[#This Row],[Description]]="","",DATE(Table2[[#This Row],[Year]],Table2[[#This Row],[Month]],1))</f>
        <v/>
      </c>
    </row>
    <row r="1459" spans="7:11" x14ac:dyDescent="0.25">
      <c r="G1459" s="1" t="str">
        <f>IF(Table2[[#This Row],[Description]]="","",VLOOKUP(Table2[[#This Row],[Description]],$Q$1:$S$101,2,FALSE))</f>
        <v/>
      </c>
      <c r="H1459" s="1" t="str">
        <f>IF(Table2[[#This Row],[Description]]="","",VLOOKUP(Table2[[#This Row],[Description]],$Q$1:$S$101,3,FALSE))</f>
        <v/>
      </c>
      <c r="I1459" s="1" t="str">
        <f>IF(Table2[[#This Row],[Description]]="","",IF(Table2[[#This Row],[Currency]]=$O$2,$P$2,HLOOKUP(Table2[[#This Row],[Date]],Funds!$C$10:$GV$11,2,FALSE)))</f>
        <v/>
      </c>
      <c r="J1459" s="215" t="str">
        <f>IF(Table2[[#This Row],[Description]]="","",Table2[[#This Row],[Value]]/Table2[[#This Row],[Conversion]])</f>
        <v/>
      </c>
      <c r="K1459" s="45" t="str">
        <f>IF(Table2[[#This Row],[Description]]="","",DATE(Table2[[#This Row],[Year]],Table2[[#This Row],[Month]],1))</f>
        <v/>
      </c>
    </row>
    <row r="1460" spans="7:11" x14ac:dyDescent="0.25">
      <c r="G1460" s="1" t="str">
        <f>IF(Table2[[#This Row],[Description]]="","",VLOOKUP(Table2[[#This Row],[Description]],$Q$1:$S$101,2,FALSE))</f>
        <v/>
      </c>
      <c r="H1460" s="1" t="str">
        <f>IF(Table2[[#This Row],[Description]]="","",VLOOKUP(Table2[[#This Row],[Description]],$Q$1:$S$101,3,FALSE))</f>
        <v/>
      </c>
      <c r="I1460" s="1" t="str">
        <f>IF(Table2[[#This Row],[Description]]="","",IF(Table2[[#This Row],[Currency]]=$O$2,$P$2,HLOOKUP(Table2[[#This Row],[Date]],Funds!$C$10:$GV$11,2,FALSE)))</f>
        <v/>
      </c>
      <c r="J1460" s="215" t="str">
        <f>IF(Table2[[#This Row],[Description]]="","",Table2[[#This Row],[Value]]/Table2[[#This Row],[Conversion]])</f>
        <v/>
      </c>
      <c r="K1460" s="45" t="str">
        <f>IF(Table2[[#This Row],[Description]]="","",DATE(Table2[[#This Row],[Year]],Table2[[#This Row],[Month]],1))</f>
        <v/>
      </c>
    </row>
    <row r="1461" spans="7:11" x14ac:dyDescent="0.25">
      <c r="G1461" s="1" t="str">
        <f>IF(Table2[[#This Row],[Description]]="","",VLOOKUP(Table2[[#This Row],[Description]],$Q$1:$S$101,2,FALSE))</f>
        <v/>
      </c>
      <c r="H1461" s="1" t="str">
        <f>IF(Table2[[#This Row],[Description]]="","",VLOOKUP(Table2[[#This Row],[Description]],$Q$1:$S$101,3,FALSE))</f>
        <v/>
      </c>
      <c r="I1461" s="1" t="str">
        <f>IF(Table2[[#This Row],[Description]]="","",IF(Table2[[#This Row],[Currency]]=$O$2,$P$2,HLOOKUP(Table2[[#This Row],[Date]],Funds!$C$10:$GV$11,2,FALSE)))</f>
        <v/>
      </c>
      <c r="J1461" s="215" t="str">
        <f>IF(Table2[[#This Row],[Description]]="","",Table2[[#This Row],[Value]]/Table2[[#This Row],[Conversion]])</f>
        <v/>
      </c>
      <c r="K1461" s="45" t="str">
        <f>IF(Table2[[#This Row],[Description]]="","",DATE(Table2[[#This Row],[Year]],Table2[[#This Row],[Month]],1))</f>
        <v/>
      </c>
    </row>
    <row r="1462" spans="7:11" x14ac:dyDescent="0.25">
      <c r="G1462" s="1" t="str">
        <f>IF(Table2[[#This Row],[Description]]="","",VLOOKUP(Table2[[#This Row],[Description]],$Q$1:$S$101,2,FALSE))</f>
        <v/>
      </c>
      <c r="H1462" s="1" t="str">
        <f>IF(Table2[[#This Row],[Description]]="","",VLOOKUP(Table2[[#This Row],[Description]],$Q$1:$S$101,3,FALSE))</f>
        <v/>
      </c>
      <c r="I1462" s="1" t="str">
        <f>IF(Table2[[#This Row],[Description]]="","",IF(Table2[[#This Row],[Currency]]=$O$2,$P$2,HLOOKUP(Table2[[#This Row],[Date]],Funds!$C$10:$GV$11,2,FALSE)))</f>
        <v/>
      </c>
      <c r="J1462" s="215" t="str">
        <f>IF(Table2[[#This Row],[Description]]="","",Table2[[#This Row],[Value]]/Table2[[#This Row],[Conversion]])</f>
        <v/>
      </c>
      <c r="K1462" s="45" t="str">
        <f>IF(Table2[[#This Row],[Description]]="","",DATE(Table2[[#This Row],[Year]],Table2[[#This Row],[Month]],1))</f>
        <v/>
      </c>
    </row>
    <row r="1463" spans="7:11" x14ac:dyDescent="0.25">
      <c r="G1463" s="1" t="str">
        <f>IF(Table2[[#This Row],[Description]]="","",VLOOKUP(Table2[[#This Row],[Description]],$Q$1:$S$101,2,FALSE))</f>
        <v/>
      </c>
      <c r="H1463" s="1" t="str">
        <f>IF(Table2[[#This Row],[Description]]="","",VLOOKUP(Table2[[#This Row],[Description]],$Q$1:$S$101,3,FALSE))</f>
        <v/>
      </c>
      <c r="I1463" s="1" t="str">
        <f>IF(Table2[[#This Row],[Description]]="","",IF(Table2[[#This Row],[Currency]]=$O$2,$P$2,HLOOKUP(Table2[[#This Row],[Date]],Funds!$C$10:$GV$11,2,FALSE)))</f>
        <v/>
      </c>
      <c r="J1463" s="215" t="str">
        <f>IF(Table2[[#This Row],[Description]]="","",Table2[[#This Row],[Value]]/Table2[[#This Row],[Conversion]])</f>
        <v/>
      </c>
      <c r="K1463" s="45" t="str">
        <f>IF(Table2[[#This Row],[Description]]="","",DATE(Table2[[#This Row],[Year]],Table2[[#This Row],[Month]],1))</f>
        <v/>
      </c>
    </row>
    <row r="1464" spans="7:11" x14ac:dyDescent="0.25">
      <c r="G1464" s="1" t="str">
        <f>IF(Table2[[#This Row],[Description]]="","",VLOOKUP(Table2[[#This Row],[Description]],$Q$1:$S$101,2,FALSE))</f>
        <v/>
      </c>
      <c r="H1464" s="1" t="str">
        <f>IF(Table2[[#This Row],[Description]]="","",VLOOKUP(Table2[[#This Row],[Description]],$Q$1:$S$101,3,FALSE))</f>
        <v/>
      </c>
      <c r="I1464" s="1" t="str">
        <f>IF(Table2[[#This Row],[Description]]="","",IF(Table2[[#This Row],[Currency]]=$O$2,$P$2,HLOOKUP(Table2[[#This Row],[Date]],Funds!$C$10:$GV$11,2,FALSE)))</f>
        <v/>
      </c>
      <c r="J1464" s="215" t="str">
        <f>IF(Table2[[#This Row],[Description]]="","",Table2[[#This Row],[Value]]/Table2[[#This Row],[Conversion]])</f>
        <v/>
      </c>
      <c r="K1464" s="45" t="str">
        <f>IF(Table2[[#This Row],[Description]]="","",DATE(Table2[[#This Row],[Year]],Table2[[#This Row],[Month]],1))</f>
        <v/>
      </c>
    </row>
    <row r="1465" spans="7:11" x14ac:dyDescent="0.25">
      <c r="G1465" s="1" t="str">
        <f>IF(Table2[[#This Row],[Description]]="","",VLOOKUP(Table2[[#This Row],[Description]],$Q$1:$S$101,2,FALSE))</f>
        <v/>
      </c>
      <c r="H1465" s="1" t="str">
        <f>IF(Table2[[#This Row],[Description]]="","",VLOOKUP(Table2[[#This Row],[Description]],$Q$1:$S$101,3,FALSE))</f>
        <v/>
      </c>
      <c r="I1465" s="1" t="str">
        <f>IF(Table2[[#This Row],[Description]]="","",IF(Table2[[#This Row],[Currency]]=$O$2,$P$2,HLOOKUP(Table2[[#This Row],[Date]],Funds!$C$10:$GV$11,2,FALSE)))</f>
        <v/>
      </c>
      <c r="J1465" s="215" t="str">
        <f>IF(Table2[[#This Row],[Description]]="","",Table2[[#This Row],[Value]]/Table2[[#This Row],[Conversion]])</f>
        <v/>
      </c>
      <c r="K1465" s="45" t="str">
        <f>IF(Table2[[#This Row],[Description]]="","",DATE(Table2[[#This Row],[Year]],Table2[[#This Row],[Month]],1))</f>
        <v/>
      </c>
    </row>
    <row r="1466" spans="7:11" x14ac:dyDescent="0.25">
      <c r="G1466" s="1" t="str">
        <f>IF(Table2[[#This Row],[Description]]="","",VLOOKUP(Table2[[#This Row],[Description]],$Q$1:$S$101,2,FALSE))</f>
        <v/>
      </c>
      <c r="H1466" s="1" t="str">
        <f>IF(Table2[[#This Row],[Description]]="","",VLOOKUP(Table2[[#This Row],[Description]],$Q$1:$S$101,3,FALSE))</f>
        <v/>
      </c>
      <c r="I1466" s="1" t="str">
        <f>IF(Table2[[#This Row],[Description]]="","",IF(Table2[[#This Row],[Currency]]=$O$2,$P$2,HLOOKUP(Table2[[#This Row],[Date]],Funds!$C$10:$GV$11,2,FALSE)))</f>
        <v/>
      </c>
      <c r="J1466" s="215" t="str">
        <f>IF(Table2[[#This Row],[Description]]="","",Table2[[#This Row],[Value]]/Table2[[#This Row],[Conversion]])</f>
        <v/>
      </c>
      <c r="K1466" s="45" t="str">
        <f>IF(Table2[[#This Row],[Description]]="","",DATE(Table2[[#This Row],[Year]],Table2[[#This Row],[Month]],1))</f>
        <v/>
      </c>
    </row>
    <row r="1467" spans="7:11" x14ac:dyDescent="0.25">
      <c r="G1467" s="1" t="str">
        <f>IF(Table2[[#This Row],[Description]]="","",VLOOKUP(Table2[[#This Row],[Description]],$Q$1:$S$101,2,FALSE))</f>
        <v/>
      </c>
      <c r="H1467" s="1" t="str">
        <f>IF(Table2[[#This Row],[Description]]="","",VLOOKUP(Table2[[#This Row],[Description]],$Q$1:$S$101,3,FALSE))</f>
        <v/>
      </c>
      <c r="I1467" s="1" t="str">
        <f>IF(Table2[[#This Row],[Description]]="","",IF(Table2[[#This Row],[Currency]]=$O$2,$P$2,HLOOKUP(Table2[[#This Row],[Date]],Funds!$C$10:$GV$11,2,FALSE)))</f>
        <v/>
      </c>
      <c r="J1467" s="215" t="str">
        <f>IF(Table2[[#This Row],[Description]]="","",Table2[[#This Row],[Value]]/Table2[[#This Row],[Conversion]])</f>
        <v/>
      </c>
      <c r="K1467" s="45" t="str">
        <f>IF(Table2[[#This Row],[Description]]="","",DATE(Table2[[#This Row],[Year]],Table2[[#This Row],[Month]],1))</f>
        <v/>
      </c>
    </row>
    <row r="1468" spans="7:11" x14ac:dyDescent="0.25">
      <c r="G1468" s="1" t="str">
        <f>IF(Table2[[#This Row],[Description]]="","",VLOOKUP(Table2[[#This Row],[Description]],$Q$1:$S$101,2,FALSE))</f>
        <v/>
      </c>
      <c r="H1468" s="1" t="str">
        <f>IF(Table2[[#This Row],[Description]]="","",VLOOKUP(Table2[[#This Row],[Description]],$Q$1:$S$101,3,FALSE))</f>
        <v/>
      </c>
      <c r="I1468" s="1" t="str">
        <f>IF(Table2[[#This Row],[Description]]="","",IF(Table2[[#This Row],[Currency]]=$O$2,$P$2,HLOOKUP(Table2[[#This Row],[Date]],Funds!$C$10:$GV$11,2,FALSE)))</f>
        <v/>
      </c>
      <c r="J1468" s="215" t="str">
        <f>IF(Table2[[#This Row],[Description]]="","",Table2[[#This Row],[Value]]/Table2[[#This Row],[Conversion]])</f>
        <v/>
      </c>
      <c r="K1468" s="45" t="str">
        <f>IF(Table2[[#This Row],[Description]]="","",DATE(Table2[[#This Row],[Year]],Table2[[#This Row],[Month]],1))</f>
        <v/>
      </c>
    </row>
    <row r="1469" spans="7:11" x14ac:dyDescent="0.25">
      <c r="G1469" s="1" t="str">
        <f>IF(Table2[[#This Row],[Description]]="","",VLOOKUP(Table2[[#This Row],[Description]],$Q$1:$S$101,2,FALSE))</f>
        <v/>
      </c>
      <c r="H1469" s="1" t="str">
        <f>IF(Table2[[#This Row],[Description]]="","",VLOOKUP(Table2[[#This Row],[Description]],$Q$1:$S$101,3,FALSE))</f>
        <v/>
      </c>
      <c r="I1469" s="1" t="str">
        <f>IF(Table2[[#This Row],[Description]]="","",IF(Table2[[#This Row],[Currency]]=$O$2,$P$2,HLOOKUP(Table2[[#This Row],[Date]],Funds!$C$10:$GV$11,2,FALSE)))</f>
        <v/>
      </c>
      <c r="J1469" s="215" t="str">
        <f>IF(Table2[[#This Row],[Description]]="","",Table2[[#This Row],[Value]]/Table2[[#This Row],[Conversion]])</f>
        <v/>
      </c>
      <c r="K1469" s="45" t="str">
        <f>IF(Table2[[#This Row],[Description]]="","",DATE(Table2[[#This Row],[Year]],Table2[[#This Row],[Month]],1))</f>
        <v/>
      </c>
    </row>
    <row r="1470" spans="7:11" x14ac:dyDescent="0.25">
      <c r="G1470" s="1" t="str">
        <f>IF(Table2[[#This Row],[Description]]="","",VLOOKUP(Table2[[#This Row],[Description]],$Q$1:$S$101,2,FALSE))</f>
        <v/>
      </c>
      <c r="H1470" s="1" t="str">
        <f>IF(Table2[[#This Row],[Description]]="","",VLOOKUP(Table2[[#This Row],[Description]],$Q$1:$S$101,3,FALSE))</f>
        <v/>
      </c>
      <c r="I1470" s="1" t="str">
        <f>IF(Table2[[#This Row],[Description]]="","",IF(Table2[[#This Row],[Currency]]=$O$2,$P$2,HLOOKUP(Table2[[#This Row],[Date]],Funds!$C$10:$GV$11,2,FALSE)))</f>
        <v/>
      </c>
      <c r="J1470" s="215" t="str">
        <f>IF(Table2[[#This Row],[Description]]="","",Table2[[#This Row],[Value]]/Table2[[#This Row],[Conversion]])</f>
        <v/>
      </c>
      <c r="K1470" s="45" t="str">
        <f>IF(Table2[[#This Row],[Description]]="","",DATE(Table2[[#This Row],[Year]],Table2[[#This Row],[Month]],1))</f>
        <v/>
      </c>
    </row>
    <row r="1471" spans="7:11" x14ac:dyDescent="0.25">
      <c r="G1471" s="1" t="str">
        <f>IF(Table2[[#This Row],[Description]]="","",VLOOKUP(Table2[[#This Row],[Description]],$Q$1:$S$101,2,FALSE))</f>
        <v/>
      </c>
      <c r="H1471" s="1" t="str">
        <f>IF(Table2[[#This Row],[Description]]="","",VLOOKUP(Table2[[#This Row],[Description]],$Q$1:$S$101,3,FALSE))</f>
        <v/>
      </c>
      <c r="I1471" s="1" t="str">
        <f>IF(Table2[[#This Row],[Description]]="","",IF(Table2[[#This Row],[Currency]]=$O$2,$P$2,HLOOKUP(Table2[[#This Row],[Date]],Funds!$C$10:$GV$11,2,FALSE)))</f>
        <v/>
      </c>
      <c r="J1471" s="215" t="str">
        <f>IF(Table2[[#This Row],[Description]]="","",Table2[[#This Row],[Value]]/Table2[[#This Row],[Conversion]])</f>
        <v/>
      </c>
      <c r="K1471" s="45" t="str">
        <f>IF(Table2[[#This Row],[Description]]="","",DATE(Table2[[#This Row],[Year]],Table2[[#This Row],[Month]],1))</f>
        <v/>
      </c>
    </row>
    <row r="1472" spans="7:11" x14ac:dyDescent="0.25">
      <c r="G1472" s="1" t="str">
        <f>IF(Table2[[#This Row],[Description]]="","",VLOOKUP(Table2[[#This Row],[Description]],$Q$1:$S$101,2,FALSE))</f>
        <v/>
      </c>
      <c r="H1472" s="1" t="str">
        <f>IF(Table2[[#This Row],[Description]]="","",VLOOKUP(Table2[[#This Row],[Description]],$Q$1:$S$101,3,FALSE))</f>
        <v/>
      </c>
      <c r="I1472" s="1" t="str">
        <f>IF(Table2[[#This Row],[Description]]="","",IF(Table2[[#This Row],[Currency]]=$O$2,$P$2,HLOOKUP(Table2[[#This Row],[Date]],Funds!$C$10:$GV$11,2,FALSE)))</f>
        <v/>
      </c>
      <c r="J1472" s="215" t="str">
        <f>IF(Table2[[#This Row],[Description]]="","",Table2[[#This Row],[Value]]/Table2[[#This Row],[Conversion]])</f>
        <v/>
      </c>
      <c r="K1472" s="45" t="str">
        <f>IF(Table2[[#This Row],[Description]]="","",DATE(Table2[[#This Row],[Year]],Table2[[#This Row],[Month]],1))</f>
        <v/>
      </c>
    </row>
    <row r="1473" spans="7:11" x14ac:dyDescent="0.25">
      <c r="G1473" s="1" t="str">
        <f>IF(Table2[[#This Row],[Description]]="","",VLOOKUP(Table2[[#This Row],[Description]],$Q$1:$S$101,2,FALSE))</f>
        <v/>
      </c>
      <c r="H1473" s="1" t="str">
        <f>IF(Table2[[#This Row],[Description]]="","",VLOOKUP(Table2[[#This Row],[Description]],$Q$1:$S$101,3,FALSE))</f>
        <v/>
      </c>
      <c r="I1473" s="1" t="str">
        <f>IF(Table2[[#This Row],[Description]]="","",IF(Table2[[#This Row],[Currency]]=$O$2,$P$2,HLOOKUP(Table2[[#This Row],[Date]],Funds!$C$10:$GV$11,2,FALSE)))</f>
        <v/>
      </c>
      <c r="J1473" s="215" t="str">
        <f>IF(Table2[[#This Row],[Description]]="","",Table2[[#This Row],[Value]]/Table2[[#This Row],[Conversion]])</f>
        <v/>
      </c>
      <c r="K1473" s="45" t="str">
        <f>IF(Table2[[#This Row],[Description]]="","",DATE(Table2[[#This Row],[Year]],Table2[[#This Row],[Month]],1))</f>
        <v/>
      </c>
    </row>
    <row r="1474" spans="7:11" x14ac:dyDescent="0.25">
      <c r="G1474" s="1" t="str">
        <f>IF(Table2[[#This Row],[Description]]="","",VLOOKUP(Table2[[#This Row],[Description]],$Q$1:$S$101,2,FALSE))</f>
        <v/>
      </c>
      <c r="H1474" s="1" t="str">
        <f>IF(Table2[[#This Row],[Description]]="","",VLOOKUP(Table2[[#This Row],[Description]],$Q$1:$S$101,3,FALSE))</f>
        <v/>
      </c>
      <c r="I1474" s="1" t="str">
        <f>IF(Table2[[#This Row],[Description]]="","",IF(Table2[[#This Row],[Currency]]=$O$2,$P$2,HLOOKUP(Table2[[#This Row],[Date]],Funds!$C$10:$GV$11,2,FALSE)))</f>
        <v/>
      </c>
      <c r="J1474" s="215" t="str">
        <f>IF(Table2[[#This Row],[Description]]="","",Table2[[#This Row],[Value]]/Table2[[#This Row],[Conversion]])</f>
        <v/>
      </c>
      <c r="K1474" s="45" t="str">
        <f>IF(Table2[[#This Row],[Description]]="","",DATE(Table2[[#This Row],[Year]],Table2[[#This Row],[Month]],1))</f>
        <v/>
      </c>
    </row>
    <row r="1475" spans="7:11" x14ac:dyDescent="0.25">
      <c r="G1475" s="1" t="str">
        <f>IF(Table2[[#This Row],[Description]]="","",VLOOKUP(Table2[[#This Row],[Description]],$Q$1:$S$101,2,FALSE))</f>
        <v/>
      </c>
      <c r="H1475" s="1" t="str">
        <f>IF(Table2[[#This Row],[Description]]="","",VLOOKUP(Table2[[#This Row],[Description]],$Q$1:$S$101,3,FALSE))</f>
        <v/>
      </c>
      <c r="I1475" s="1" t="str">
        <f>IF(Table2[[#This Row],[Description]]="","",IF(Table2[[#This Row],[Currency]]=$O$2,$P$2,HLOOKUP(Table2[[#This Row],[Date]],Funds!$C$10:$GV$11,2,FALSE)))</f>
        <v/>
      </c>
      <c r="J1475" s="215" t="str">
        <f>IF(Table2[[#This Row],[Description]]="","",Table2[[#This Row],[Value]]/Table2[[#This Row],[Conversion]])</f>
        <v/>
      </c>
      <c r="K1475" s="45" t="str">
        <f>IF(Table2[[#This Row],[Description]]="","",DATE(Table2[[#This Row],[Year]],Table2[[#This Row],[Month]],1))</f>
        <v/>
      </c>
    </row>
    <row r="1476" spans="7:11" x14ac:dyDescent="0.25">
      <c r="G1476" s="1" t="str">
        <f>IF(Table2[[#This Row],[Description]]="","",VLOOKUP(Table2[[#This Row],[Description]],$Q$1:$S$101,2,FALSE))</f>
        <v/>
      </c>
      <c r="H1476" s="1" t="str">
        <f>IF(Table2[[#This Row],[Description]]="","",VLOOKUP(Table2[[#This Row],[Description]],$Q$1:$S$101,3,FALSE))</f>
        <v/>
      </c>
      <c r="I1476" s="1" t="str">
        <f>IF(Table2[[#This Row],[Description]]="","",IF(Table2[[#This Row],[Currency]]=$O$2,$P$2,HLOOKUP(Table2[[#This Row],[Date]],Funds!$C$10:$GV$11,2,FALSE)))</f>
        <v/>
      </c>
      <c r="J1476" s="215" t="str">
        <f>IF(Table2[[#This Row],[Description]]="","",Table2[[#This Row],[Value]]/Table2[[#This Row],[Conversion]])</f>
        <v/>
      </c>
      <c r="K1476" s="45" t="str">
        <f>IF(Table2[[#This Row],[Description]]="","",DATE(Table2[[#This Row],[Year]],Table2[[#This Row],[Month]],1))</f>
        <v/>
      </c>
    </row>
    <row r="1477" spans="7:11" x14ac:dyDescent="0.25">
      <c r="G1477" s="1" t="str">
        <f>IF(Table2[[#This Row],[Description]]="","",VLOOKUP(Table2[[#This Row],[Description]],$Q$1:$S$101,2,FALSE))</f>
        <v/>
      </c>
      <c r="H1477" s="1" t="str">
        <f>IF(Table2[[#This Row],[Description]]="","",VLOOKUP(Table2[[#This Row],[Description]],$Q$1:$S$101,3,FALSE))</f>
        <v/>
      </c>
      <c r="I1477" s="1" t="str">
        <f>IF(Table2[[#This Row],[Description]]="","",IF(Table2[[#This Row],[Currency]]=$O$2,$P$2,HLOOKUP(Table2[[#This Row],[Date]],Funds!$C$10:$GV$11,2,FALSE)))</f>
        <v/>
      </c>
      <c r="J1477" s="215" t="str">
        <f>IF(Table2[[#This Row],[Description]]="","",Table2[[#This Row],[Value]]/Table2[[#This Row],[Conversion]])</f>
        <v/>
      </c>
      <c r="K1477" s="45" t="str">
        <f>IF(Table2[[#This Row],[Description]]="","",DATE(Table2[[#This Row],[Year]],Table2[[#This Row],[Month]],1))</f>
        <v/>
      </c>
    </row>
    <row r="1478" spans="7:11" x14ac:dyDescent="0.25">
      <c r="G1478" s="1" t="str">
        <f>IF(Table2[[#This Row],[Description]]="","",VLOOKUP(Table2[[#This Row],[Description]],$Q$1:$S$101,2,FALSE))</f>
        <v/>
      </c>
      <c r="H1478" s="1" t="str">
        <f>IF(Table2[[#This Row],[Description]]="","",VLOOKUP(Table2[[#This Row],[Description]],$Q$1:$S$101,3,FALSE))</f>
        <v/>
      </c>
      <c r="I1478" s="1" t="str">
        <f>IF(Table2[[#This Row],[Description]]="","",IF(Table2[[#This Row],[Currency]]=$O$2,$P$2,HLOOKUP(Table2[[#This Row],[Date]],Funds!$C$10:$GV$11,2,FALSE)))</f>
        <v/>
      </c>
      <c r="J1478" s="215" t="str">
        <f>IF(Table2[[#This Row],[Description]]="","",Table2[[#This Row],[Value]]/Table2[[#This Row],[Conversion]])</f>
        <v/>
      </c>
      <c r="K1478" s="45" t="str">
        <f>IF(Table2[[#This Row],[Description]]="","",DATE(Table2[[#This Row],[Year]],Table2[[#This Row],[Month]],1))</f>
        <v/>
      </c>
    </row>
    <row r="1479" spans="7:11" x14ac:dyDescent="0.25">
      <c r="G1479" s="1" t="str">
        <f>IF(Table2[[#This Row],[Description]]="","",VLOOKUP(Table2[[#This Row],[Description]],$Q$1:$S$101,2,FALSE))</f>
        <v/>
      </c>
      <c r="H1479" s="1" t="str">
        <f>IF(Table2[[#This Row],[Description]]="","",VLOOKUP(Table2[[#This Row],[Description]],$Q$1:$S$101,3,FALSE))</f>
        <v/>
      </c>
      <c r="I1479" s="1" t="str">
        <f>IF(Table2[[#This Row],[Description]]="","",IF(Table2[[#This Row],[Currency]]=$O$2,$P$2,HLOOKUP(Table2[[#This Row],[Date]],Funds!$C$10:$GV$11,2,FALSE)))</f>
        <v/>
      </c>
      <c r="J1479" s="215" t="str">
        <f>IF(Table2[[#This Row],[Description]]="","",Table2[[#This Row],[Value]]/Table2[[#This Row],[Conversion]])</f>
        <v/>
      </c>
      <c r="K1479" s="45" t="str">
        <f>IF(Table2[[#This Row],[Description]]="","",DATE(Table2[[#This Row],[Year]],Table2[[#This Row],[Month]],1))</f>
        <v/>
      </c>
    </row>
    <row r="1480" spans="7:11" x14ac:dyDescent="0.25">
      <c r="G1480" s="1" t="str">
        <f>IF(Table2[[#This Row],[Description]]="","",VLOOKUP(Table2[[#This Row],[Description]],$Q$1:$S$101,2,FALSE))</f>
        <v/>
      </c>
      <c r="H1480" s="1" t="str">
        <f>IF(Table2[[#This Row],[Description]]="","",VLOOKUP(Table2[[#This Row],[Description]],$Q$1:$S$101,3,FALSE))</f>
        <v/>
      </c>
      <c r="I1480" s="1" t="str">
        <f>IF(Table2[[#This Row],[Description]]="","",IF(Table2[[#This Row],[Currency]]=$O$2,$P$2,HLOOKUP(Table2[[#This Row],[Date]],Funds!$C$10:$GV$11,2,FALSE)))</f>
        <v/>
      </c>
      <c r="J1480" s="215" t="str">
        <f>IF(Table2[[#This Row],[Description]]="","",Table2[[#This Row],[Value]]/Table2[[#This Row],[Conversion]])</f>
        <v/>
      </c>
      <c r="K1480" s="45" t="str">
        <f>IF(Table2[[#This Row],[Description]]="","",DATE(Table2[[#This Row],[Year]],Table2[[#This Row],[Month]],1))</f>
        <v/>
      </c>
    </row>
    <row r="1481" spans="7:11" x14ac:dyDescent="0.25">
      <c r="G1481" s="1" t="str">
        <f>IF(Table2[[#This Row],[Description]]="","",VLOOKUP(Table2[[#This Row],[Description]],$Q$1:$S$101,2,FALSE))</f>
        <v/>
      </c>
      <c r="H1481" s="1" t="str">
        <f>IF(Table2[[#This Row],[Description]]="","",VLOOKUP(Table2[[#This Row],[Description]],$Q$1:$S$101,3,FALSE))</f>
        <v/>
      </c>
      <c r="I1481" s="1" t="str">
        <f>IF(Table2[[#This Row],[Description]]="","",IF(Table2[[#This Row],[Currency]]=$O$2,$P$2,HLOOKUP(Table2[[#This Row],[Date]],Funds!$C$10:$GV$11,2,FALSE)))</f>
        <v/>
      </c>
      <c r="J1481" s="215" t="str">
        <f>IF(Table2[[#This Row],[Description]]="","",Table2[[#This Row],[Value]]/Table2[[#This Row],[Conversion]])</f>
        <v/>
      </c>
      <c r="K1481" s="45" t="str">
        <f>IF(Table2[[#This Row],[Description]]="","",DATE(Table2[[#This Row],[Year]],Table2[[#This Row],[Month]],1))</f>
        <v/>
      </c>
    </row>
    <row r="1482" spans="7:11" x14ac:dyDescent="0.25">
      <c r="G1482" s="1" t="str">
        <f>IF(Table2[[#This Row],[Description]]="","",VLOOKUP(Table2[[#This Row],[Description]],$Q$1:$S$101,2,FALSE))</f>
        <v/>
      </c>
      <c r="H1482" s="1" t="str">
        <f>IF(Table2[[#This Row],[Description]]="","",VLOOKUP(Table2[[#This Row],[Description]],$Q$1:$S$101,3,FALSE))</f>
        <v/>
      </c>
      <c r="I1482" s="1" t="str">
        <f>IF(Table2[[#This Row],[Description]]="","",IF(Table2[[#This Row],[Currency]]=$O$2,$P$2,HLOOKUP(Table2[[#This Row],[Date]],Funds!$C$10:$GV$11,2,FALSE)))</f>
        <v/>
      </c>
      <c r="J1482" s="215" t="str">
        <f>IF(Table2[[#This Row],[Description]]="","",Table2[[#This Row],[Value]]/Table2[[#This Row],[Conversion]])</f>
        <v/>
      </c>
      <c r="K1482" s="45" t="str">
        <f>IF(Table2[[#This Row],[Description]]="","",DATE(Table2[[#This Row],[Year]],Table2[[#This Row],[Month]],1))</f>
        <v/>
      </c>
    </row>
    <row r="1483" spans="7:11" x14ac:dyDescent="0.25">
      <c r="G1483" s="1" t="str">
        <f>IF(Table2[[#This Row],[Description]]="","",VLOOKUP(Table2[[#This Row],[Description]],$Q$1:$S$101,2,FALSE))</f>
        <v/>
      </c>
      <c r="H1483" s="1" t="str">
        <f>IF(Table2[[#This Row],[Description]]="","",VLOOKUP(Table2[[#This Row],[Description]],$Q$1:$S$101,3,FALSE))</f>
        <v/>
      </c>
      <c r="I1483" s="1" t="str">
        <f>IF(Table2[[#This Row],[Description]]="","",IF(Table2[[#This Row],[Currency]]=$O$2,$P$2,HLOOKUP(Table2[[#This Row],[Date]],Funds!$C$10:$GV$11,2,FALSE)))</f>
        <v/>
      </c>
      <c r="J1483" s="215" t="str">
        <f>IF(Table2[[#This Row],[Description]]="","",Table2[[#This Row],[Value]]/Table2[[#This Row],[Conversion]])</f>
        <v/>
      </c>
      <c r="K1483" s="45" t="str">
        <f>IF(Table2[[#This Row],[Description]]="","",DATE(Table2[[#This Row],[Year]],Table2[[#This Row],[Month]],1))</f>
        <v/>
      </c>
    </row>
    <row r="1484" spans="7:11" x14ac:dyDescent="0.25">
      <c r="G1484" s="1" t="str">
        <f>IF(Table2[[#This Row],[Description]]="","",VLOOKUP(Table2[[#This Row],[Description]],$Q$1:$S$101,2,FALSE))</f>
        <v/>
      </c>
      <c r="H1484" s="1" t="str">
        <f>IF(Table2[[#This Row],[Description]]="","",VLOOKUP(Table2[[#This Row],[Description]],$Q$1:$S$101,3,FALSE))</f>
        <v/>
      </c>
      <c r="I1484" s="1" t="str">
        <f>IF(Table2[[#This Row],[Description]]="","",IF(Table2[[#This Row],[Currency]]=$O$2,$P$2,HLOOKUP(Table2[[#This Row],[Date]],Funds!$C$10:$GV$11,2,FALSE)))</f>
        <v/>
      </c>
      <c r="J1484" s="215" t="str">
        <f>IF(Table2[[#This Row],[Description]]="","",Table2[[#This Row],[Value]]/Table2[[#This Row],[Conversion]])</f>
        <v/>
      </c>
      <c r="K1484" s="45" t="str">
        <f>IF(Table2[[#This Row],[Description]]="","",DATE(Table2[[#This Row],[Year]],Table2[[#This Row],[Month]],1))</f>
        <v/>
      </c>
    </row>
    <row r="1485" spans="7:11" x14ac:dyDescent="0.25">
      <c r="G1485" s="1" t="str">
        <f>IF(Table2[[#This Row],[Description]]="","",VLOOKUP(Table2[[#This Row],[Description]],$Q$1:$S$101,2,FALSE))</f>
        <v/>
      </c>
      <c r="H1485" s="1" t="str">
        <f>IF(Table2[[#This Row],[Description]]="","",VLOOKUP(Table2[[#This Row],[Description]],$Q$1:$S$101,3,FALSE))</f>
        <v/>
      </c>
      <c r="I1485" s="1" t="str">
        <f>IF(Table2[[#This Row],[Description]]="","",IF(Table2[[#This Row],[Currency]]=$O$2,$P$2,HLOOKUP(Table2[[#This Row],[Date]],Funds!$C$10:$GV$11,2,FALSE)))</f>
        <v/>
      </c>
      <c r="J1485" s="215" t="str">
        <f>IF(Table2[[#This Row],[Description]]="","",Table2[[#This Row],[Value]]/Table2[[#This Row],[Conversion]])</f>
        <v/>
      </c>
      <c r="K1485" s="45" t="str">
        <f>IF(Table2[[#This Row],[Description]]="","",DATE(Table2[[#This Row],[Year]],Table2[[#This Row],[Month]],1))</f>
        <v/>
      </c>
    </row>
    <row r="1486" spans="7:11" x14ac:dyDescent="0.25">
      <c r="G1486" s="1" t="str">
        <f>IF(Table2[[#This Row],[Description]]="","",VLOOKUP(Table2[[#This Row],[Description]],$Q$1:$S$101,2,FALSE))</f>
        <v/>
      </c>
      <c r="H1486" s="1" t="str">
        <f>IF(Table2[[#This Row],[Description]]="","",VLOOKUP(Table2[[#This Row],[Description]],$Q$1:$S$101,3,FALSE))</f>
        <v/>
      </c>
      <c r="I1486" s="1" t="str">
        <f>IF(Table2[[#This Row],[Description]]="","",IF(Table2[[#This Row],[Currency]]=$O$2,$P$2,HLOOKUP(Table2[[#This Row],[Date]],Funds!$C$10:$GV$11,2,FALSE)))</f>
        <v/>
      </c>
      <c r="J1486" s="215" t="str">
        <f>IF(Table2[[#This Row],[Description]]="","",Table2[[#This Row],[Value]]/Table2[[#This Row],[Conversion]])</f>
        <v/>
      </c>
      <c r="K1486" s="45" t="str">
        <f>IF(Table2[[#This Row],[Description]]="","",DATE(Table2[[#This Row],[Year]],Table2[[#This Row],[Month]],1))</f>
        <v/>
      </c>
    </row>
    <row r="1487" spans="7:11" x14ac:dyDescent="0.25">
      <c r="G1487" s="1" t="str">
        <f>IF(Table2[[#This Row],[Description]]="","",VLOOKUP(Table2[[#This Row],[Description]],$Q$1:$S$101,2,FALSE))</f>
        <v/>
      </c>
      <c r="H1487" s="1" t="str">
        <f>IF(Table2[[#This Row],[Description]]="","",VLOOKUP(Table2[[#This Row],[Description]],$Q$1:$S$101,3,FALSE))</f>
        <v/>
      </c>
      <c r="I1487" s="1" t="str">
        <f>IF(Table2[[#This Row],[Description]]="","",IF(Table2[[#This Row],[Currency]]=$O$2,$P$2,HLOOKUP(Table2[[#This Row],[Date]],Funds!$C$10:$GV$11,2,FALSE)))</f>
        <v/>
      </c>
      <c r="J1487" s="215" t="str">
        <f>IF(Table2[[#This Row],[Description]]="","",Table2[[#This Row],[Value]]/Table2[[#This Row],[Conversion]])</f>
        <v/>
      </c>
      <c r="K1487" s="45" t="str">
        <f>IF(Table2[[#This Row],[Description]]="","",DATE(Table2[[#This Row],[Year]],Table2[[#This Row],[Month]],1))</f>
        <v/>
      </c>
    </row>
    <row r="1488" spans="7:11" x14ac:dyDescent="0.25">
      <c r="G1488" s="1" t="str">
        <f>IF(Table2[[#This Row],[Description]]="","",VLOOKUP(Table2[[#This Row],[Description]],$Q$1:$S$101,2,FALSE))</f>
        <v/>
      </c>
      <c r="H1488" s="1" t="str">
        <f>IF(Table2[[#This Row],[Description]]="","",VLOOKUP(Table2[[#This Row],[Description]],$Q$1:$S$101,3,FALSE))</f>
        <v/>
      </c>
      <c r="I1488" s="1" t="str">
        <f>IF(Table2[[#This Row],[Description]]="","",IF(Table2[[#This Row],[Currency]]=$O$2,$P$2,HLOOKUP(Table2[[#This Row],[Date]],Funds!$C$10:$GV$11,2,FALSE)))</f>
        <v/>
      </c>
      <c r="J1488" s="215" t="str">
        <f>IF(Table2[[#This Row],[Description]]="","",Table2[[#This Row],[Value]]/Table2[[#This Row],[Conversion]])</f>
        <v/>
      </c>
      <c r="K1488" s="45" t="str">
        <f>IF(Table2[[#This Row],[Description]]="","",DATE(Table2[[#This Row],[Year]],Table2[[#This Row],[Month]],1))</f>
        <v/>
      </c>
    </row>
    <row r="1489" spans="7:11" x14ac:dyDescent="0.25">
      <c r="G1489" s="1" t="str">
        <f>IF(Table2[[#This Row],[Description]]="","",VLOOKUP(Table2[[#This Row],[Description]],$Q$1:$S$101,2,FALSE))</f>
        <v/>
      </c>
      <c r="H1489" s="1" t="str">
        <f>IF(Table2[[#This Row],[Description]]="","",VLOOKUP(Table2[[#This Row],[Description]],$Q$1:$S$101,3,FALSE))</f>
        <v/>
      </c>
      <c r="I1489" s="1" t="str">
        <f>IF(Table2[[#This Row],[Description]]="","",IF(Table2[[#This Row],[Currency]]=$O$2,$P$2,HLOOKUP(Table2[[#This Row],[Date]],Funds!$C$10:$GV$11,2,FALSE)))</f>
        <v/>
      </c>
      <c r="J1489" s="215" t="str">
        <f>IF(Table2[[#This Row],[Description]]="","",Table2[[#This Row],[Value]]/Table2[[#This Row],[Conversion]])</f>
        <v/>
      </c>
      <c r="K1489" s="45" t="str">
        <f>IF(Table2[[#This Row],[Description]]="","",DATE(Table2[[#This Row],[Year]],Table2[[#This Row],[Month]],1))</f>
        <v/>
      </c>
    </row>
    <row r="1490" spans="7:11" x14ac:dyDescent="0.25">
      <c r="G1490" s="1" t="str">
        <f>IF(Table2[[#This Row],[Description]]="","",VLOOKUP(Table2[[#This Row],[Description]],$Q$1:$S$101,2,FALSE))</f>
        <v/>
      </c>
      <c r="H1490" s="1" t="str">
        <f>IF(Table2[[#This Row],[Description]]="","",VLOOKUP(Table2[[#This Row],[Description]],$Q$1:$S$101,3,FALSE))</f>
        <v/>
      </c>
      <c r="I1490" s="1" t="str">
        <f>IF(Table2[[#This Row],[Description]]="","",IF(Table2[[#This Row],[Currency]]=$O$2,$P$2,HLOOKUP(Table2[[#This Row],[Date]],Funds!$C$10:$GV$11,2,FALSE)))</f>
        <v/>
      </c>
      <c r="J1490" s="215" t="str">
        <f>IF(Table2[[#This Row],[Description]]="","",Table2[[#This Row],[Value]]/Table2[[#This Row],[Conversion]])</f>
        <v/>
      </c>
      <c r="K1490" s="45" t="str">
        <f>IF(Table2[[#This Row],[Description]]="","",DATE(Table2[[#This Row],[Year]],Table2[[#This Row],[Month]],1))</f>
        <v/>
      </c>
    </row>
    <row r="1491" spans="7:11" x14ac:dyDescent="0.25">
      <c r="G1491" s="1" t="str">
        <f>IF(Table2[[#This Row],[Description]]="","",VLOOKUP(Table2[[#This Row],[Description]],$Q$1:$S$101,2,FALSE))</f>
        <v/>
      </c>
      <c r="H1491" s="1" t="str">
        <f>IF(Table2[[#This Row],[Description]]="","",VLOOKUP(Table2[[#This Row],[Description]],$Q$1:$S$101,3,FALSE))</f>
        <v/>
      </c>
      <c r="I1491" s="1" t="str">
        <f>IF(Table2[[#This Row],[Description]]="","",IF(Table2[[#This Row],[Currency]]=$O$2,$P$2,HLOOKUP(Table2[[#This Row],[Date]],Funds!$C$10:$GV$11,2,FALSE)))</f>
        <v/>
      </c>
      <c r="J1491" s="215" t="str">
        <f>IF(Table2[[#This Row],[Description]]="","",Table2[[#This Row],[Value]]/Table2[[#This Row],[Conversion]])</f>
        <v/>
      </c>
      <c r="K1491" s="45" t="str">
        <f>IF(Table2[[#This Row],[Description]]="","",DATE(Table2[[#This Row],[Year]],Table2[[#This Row],[Month]],1))</f>
        <v/>
      </c>
    </row>
    <row r="1492" spans="7:11" x14ac:dyDescent="0.25">
      <c r="G1492" s="1" t="str">
        <f>IF(Table2[[#This Row],[Description]]="","",VLOOKUP(Table2[[#This Row],[Description]],$Q$1:$S$101,2,FALSE))</f>
        <v/>
      </c>
      <c r="H1492" s="1" t="str">
        <f>IF(Table2[[#This Row],[Description]]="","",VLOOKUP(Table2[[#This Row],[Description]],$Q$1:$S$101,3,FALSE))</f>
        <v/>
      </c>
      <c r="I1492" s="1" t="str">
        <f>IF(Table2[[#This Row],[Description]]="","",IF(Table2[[#This Row],[Currency]]=$O$2,$P$2,HLOOKUP(Table2[[#This Row],[Date]],Funds!$C$10:$GV$11,2,FALSE)))</f>
        <v/>
      </c>
      <c r="J1492" s="215" t="str">
        <f>IF(Table2[[#This Row],[Description]]="","",Table2[[#This Row],[Value]]/Table2[[#This Row],[Conversion]])</f>
        <v/>
      </c>
      <c r="K1492" s="45" t="str">
        <f>IF(Table2[[#This Row],[Description]]="","",DATE(Table2[[#This Row],[Year]],Table2[[#This Row],[Month]],1))</f>
        <v/>
      </c>
    </row>
    <row r="1493" spans="7:11" x14ac:dyDescent="0.25">
      <c r="G1493" s="1" t="str">
        <f>IF(Table2[[#This Row],[Description]]="","",VLOOKUP(Table2[[#This Row],[Description]],$Q$1:$S$101,2,FALSE))</f>
        <v/>
      </c>
      <c r="H1493" s="1" t="str">
        <f>IF(Table2[[#This Row],[Description]]="","",VLOOKUP(Table2[[#This Row],[Description]],$Q$1:$S$101,3,FALSE))</f>
        <v/>
      </c>
      <c r="I1493" s="1" t="str">
        <f>IF(Table2[[#This Row],[Description]]="","",IF(Table2[[#This Row],[Currency]]=$O$2,$P$2,HLOOKUP(Table2[[#This Row],[Date]],Funds!$C$10:$GV$11,2,FALSE)))</f>
        <v/>
      </c>
      <c r="J1493" s="215" t="str">
        <f>IF(Table2[[#This Row],[Description]]="","",Table2[[#This Row],[Value]]/Table2[[#This Row],[Conversion]])</f>
        <v/>
      </c>
      <c r="K1493" s="45" t="str">
        <f>IF(Table2[[#This Row],[Description]]="","",DATE(Table2[[#This Row],[Year]],Table2[[#This Row],[Month]],1))</f>
        <v/>
      </c>
    </row>
    <row r="1494" spans="7:11" x14ac:dyDescent="0.25">
      <c r="G1494" s="1" t="str">
        <f>IF(Table2[[#This Row],[Description]]="","",VLOOKUP(Table2[[#This Row],[Description]],$Q$1:$S$101,2,FALSE))</f>
        <v/>
      </c>
      <c r="H1494" s="1" t="str">
        <f>IF(Table2[[#This Row],[Description]]="","",VLOOKUP(Table2[[#This Row],[Description]],$Q$1:$S$101,3,FALSE))</f>
        <v/>
      </c>
      <c r="I1494" s="1" t="str">
        <f>IF(Table2[[#This Row],[Description]]="","",IF(Table2[[#This Row],[Currency]]=$O$2,$P$2,HLOOKUP(Table2[[#This Row],[Date]],Funds!$C$10:$GV$11,2,FALSE)))</f>
        <v/>
      </c>
      <c r="J1494" s="215" t="str">
        <f>IF(Table2[[#This Row],[Description]]="","",Table2[[#This Row],[Value]]/Table2[[#This Row],[Conversion]])</f>
        <v/>
      </c>
      <c r="K1494" s="45" t="str">
        <f>IF(Table2[[#This Row],[Description]]="","",DATE(Table2[[#This Row],[Year]],Table2[[#This Row],[Month]],1))</f>
        <v/>
      </c>
    </row>
    <row r="1495" spans="7:11" x14ac:dyDescent="0.25">
      <c r="G1495" s="1" t="str">
        <f>IF(Table2[[#This Row],[Description]]="","",VLOOKUP(Table2[[#This Row],[Description]],$Q$1:$S$101,2,FALSE))</f>
        <v/>
      </c>
      <c r="H1495" s="1" t="str">
        <f>IF(Table2[[#This Row],[Description]]="","",VLOOKUP(Table2[[#This Row],[Description]],$Q$1:$S$101,3,FALSE))</f>
        <v/>
      </c>
      <c r="I1495" s="1" t="str">
        <f>IF(Table2[[#This Row],[Description]]="","",IF(Table2[[#This Row],[Currency]]=$O$2,$P$2,HLOOKUP(Table2[[#This Row],[Date]],Funds!$C$10:$GV$11,2,FALSE)))</f>
        <v/>
      </c>
      <c r="J1495" s="215" t="str">
        <f>IF(Table2[[#This Row],[Description]]="","",Table2[[#This Row],[Value]]/Table2[[#This Row],[Conversion]])</f>
        <v/>
      </c>
      <c r="K1495" s="45" t="str">
        <f>IF(Table2[[#This Row],[Description]]="","",DATE(Table2[[#This Row],[Year]],Table2[[#This Row],[Month]],1))</f>
        <v/>
      </c>
    </row>
    <row r="1496" spans="7:11" x14ac:dyDescent="0.25">
      <c r="G1496" s="1" t="str">
        <f>IF(Table2[[#This Row],[Description]]="","",VLOOKUP(Table2[[#This Row],[Description]],$Q$1:$S$101,2,FALSE))</f>
        <v/>
      </c>
      <c r="H1496" s="1" t="str">
        <f>IF(Table2[[#This Row],[Description]]="","",VLOOKUP(Table2[[#This Row],[Description]],$Q$1:$S$101,3,FALSE))</f>
        <v/>
      </c>
      <c r="I1496" s="1" t="str">
        <f>IF(Table2[[#This Row],[Description]]="","",IF(Table2[[#This Row],[Currency]]=$O$2,$P$2,HLOOKUP(Table2[[#This Row],[Date]],Funds!$C$10:$GV$11,2,FALSE)))</f>
        <v/>
      </c>
      <c r="J1496" s="215" t="str">
        <f>IF(Table2[[#This Row],[Description]]="","",Table2[[#This Row],[Value]]/Table2[[#This Row],[Conversion]])</f>
        <v/>
      </c>
      <c r="K1496" s="45" t="str">
        <f>IF(Table2[[#This Row],[Description]]="","",DATE(Table2[[#This Row],[Year]],Table2[[#This Row],[Month]],1))</f>
        <v/>
      </c>
    </row>
    <row r="1497" spans="7:11" x14ac:dyDescent="0.25">
      <c r="G1497" s="1" t="str">
        <f>IF(Table2[[#This Row],[Description]]="","",VLOOKUP(Table2[[#This Row],[Description]],$Q$1:$S$101,2,FALSE))</f>
        <v/>
      </c>
      <c r="H1497" s="1" t="str">
        <f>IF(Table2[[#This Row],[Description]]="","",VLOOKUP(Table2[[#This Row],[Description]],$Q$1:$S$101,3,FALSE))</f>
        <v/>
      </c>
      <c r="I1497" s="1" t="str">
        <f>IF(Table2[[#This Row],[Description]]="","",IF(Table2[[#This Row],[Currency]]=$O$2,$P$2,HLOOKUP(Table2[[#This Row],[Date]],Funds!$C$10:$GV$11,2,FALSE)))</f>
        <v/>
      </c>
      <c r="J1497" s="215" t="str">
        <f>IF(Table2[[#This Row],[Description]]="","",Table2[[#This Row],[Value]]/Table2[[#This Row],[Conversion]])</f>
        <v/>
      </c>
      <c r="K1497" s="45" t="str">
        <f>IF(Table2[[#This Row],[Description]]="","",DATE(Table2[[#This Row],[Year]],Table2[[#This Row],[Month]],1))</f>
        <v/>
      </c>
    </row>
    <row r="1498" spans="7:11" x14ac:dyDescent="0.25">
      <c r="G1498" s="1" t="str">
        <f>IF(Table2[[#This Row],[Description]]="","",VLOOKUP(Table2[[#This Row],[Description]],$Q$1:$S$101,2,FALSE))</f>
        <v/>
      </c>
      <c r="H1498" s="1" t="str">
        <f>IF(Table2[[#This Row],[Description]]="","",VLOOKUP(Table2[[#This Row],[Description]],$Q$1:$S$101,3,FALSE))</f>
        <v/>
      </c>
      <c r="I1498" s="1" t="str">
        <f>IF(Table2[[#This Row],[Description]]="","",IF(Table2[[#This Row],[Currency]]=$O$2,$P$2,HLOOKUP(Table2[[#This Row],[Date]],Funds!$C$10:$GV$11,2,FALSE)))</f>
        <v/>
      </c>
      <c r="J1498" s="215" t="str">
        <f>IF(Table2[[#This Row],[Description]]="","",Table2[[#This Row],[Value]]/Table2[[#This Row],[Conversion]])</f>
        <v/>
      </c>
      <c r="K1498" s="45" t="str">
        <f>IF(Table2[[#This Row],[Description]]="","",DATE(Table2[[#This Row],[Year]],Table2[[#This Row],[Month]],1))</f>
        <v/>
      </c>
    </row>
    <row r="1499" spans="7:11" x14ac:dyDescent="0.25">
      <c r="G1499" s="1" t="str">
        <f>IF(Table2[[#This Row],[Description]]="","",VLOOKUP(Table2[[#This Row],[Description]],$Q$1:$S$101,2,FALSE))</f>
        <v/>
      </c>
      <c r="H1499" s="1" t="str">
        <f>IF(Table2[[#This Row],[Description]]="","",VLOOKUP(Table2[[#This Row],[Description]],$Q$1:$S$101,3,FALSE))</f>
        <v/>
      </c>
      <c r="I1499" s="1" t="str">
        <f>IF(Table2[[#This Row],[Description]]="","",IF(Table2[[#This Row],[Currency]]=$O$2,$P$2,HLOOKUP(Table2[[#This Row],[Date]],Funds!$C$10:$GV$11,2,FALSE)))</f>
        <v/>
      </c>
      <c r="J1499" s="215" t="str">
        <f>IF(Table2[[#This Row],[Description]]="","",Table2[[#This Row],[Value]]/Table2[[#This Row],[Conversion]])</f>
        <v/>
      </c>
      <c r="K1499" s="45" t="str">
        <f>IF(Table2[[#This Row],[Description]]="","",DATE(Table2[[#This Row],[Year]],Table2[[#This Row],[Month]],1))</f>
        <v/>
      </c>
    </row>
    <row r="1500" spans="7:11" x14ac:dyDescent="0.25">
      <c r="G1500" s="1" t="str">
        <f>IF(Table2[[#This Row],[Description]]="","",VLOOKUP(Table2[[#This Row],[Description]],$Q$1:$S$101,2,FALSE))</f>
        <v/>
      </c>
      <c r="H1500" s="1" t="str">
        <f>IF(Table2[[#This Row],[Description]]="","",VLOOKUP(Table2[[#This Row],[Description]],$Q$1:$S$101,3,FALSE))</f>
        <v/>
      </c>
      <c r="I1500" s="1" t="str">
        <f>IF(Table2[[#This Row],[Description]]="","",IF(Table2[[#This Row],[Currency]]=$O$2,$P$2,HLOOKUP(Table2[[#This Row],[Date]],Funds!$C$10:$GV$11,2,FALSE)))</f>
        <v/>
      </c>
      <c r="J1500" s="215" t="str">
        <f>IF(Table2[[#This Row],[Description]]="","",Table2[[#This Row],[Value]]/Table2[[#This Row],[Conversion]])</f>
        <v/>
      </c>
      <c r="K1500" s="45" t="str">
        <f>IF(Table2[[#This Row],[Description]]="","",DATE(Table2[[#This Row],[Year]],Table2[[#This Row],[Month]],1))</f>
        <v/>
      </c>
    </row>
    <row r="1501" spans="7:11" x14ac:dyDescent="0.25">
      <c r="G1501" s="1" t="str">
        <f>IF(Table2[[#This Row],[Description]]="","",VLOOKUP(Table2[[#This Row],[Description]],$Q$1:$S$101,2,FALSE))</f>
        <v/>
      </c>
      <c r="H1501" s="1" t="str">
        <f>IF(Table2[[#This Row],[Description]]="","",VLOOKUP(Table2[[#This Row],[Description]],$Q$1:$S$101,3,FALSE))</f>
        <v/>
      </c>
      <c r="I1501" s="1" t="str">
        <f>IF(Table2[[#This Row],[Description]]="","",IF(Table2[[#This Row],[Currency]]=$O$2,$P$2,HLOOKUP(Table2[[#This Row],[Date]],Funds!$C$10:$GV$11,2,FALSE)))</f>
        <v/>
      </c>
      <c r="J1501" s="215" t="str">
        <f>IF(Table2[[#This Row],[Description]]="","",Table2[[#This Row],[Value]]/Table2[[#This Row],[Conversion]])</f>
        <v/>
      </c>
      <c r="K1501" s="45" t="str">
        <f>IF(Table2[[#This Row],[Description]]="","",DATE(Table2[[#This Row],[Year]],Table2[[#This Row],[Month]],1))</f>
        <v/>
      </c>
    </row>
    <row r="1502" spans="7:11" x14ac:dyDescent="0.25">
      <c r="G1502" s="1" t="str">
        <f>IF(Table2[[#This Row],[Description]]="","",VLOOKUP(Table2[[#This Row],[Description]],$Q$1:$S$101,2,FALSE))</f>
        <v/>
      </c>
      <c r="H1502" s="1" t="str">
        <f>IF(Table2[[#This Row],[Description]]="","",VLOOKUP(Table2[[#This Row],[Description]],$Q$1:$S$101,3,FALSE))</f>
        <v/>
      </c>
      <c r="I1502" s="1" t="str">
        <f>IF(Table2[[#This Row],[Description]]="","",IF(Table2[[#This Row],[Currency]]=$O$2,$P$2,HLOOKUP(Table2[[#This Row],[Date]],Funds!$C$10:$GV$11,2,FALSE)))</f>
        <v/>
      </c>
      <c r="J1502" s="215" t="str">
        <f>IF(Table2[[#This Row],[Description]]="","",Table2[[#This Row],[Value]]/Table2[[#This Row],[Conversion]])</f>
        <v/>
      </c>
      <c r="K1502" s="45" t="str">
        <f>IF(Table2[[#This Row],[Description]]="","",DATE(Table2[[#This Row],[Year]],Table2[[#This Row],[Month]],1))</f>
        <v/>
      </c>
    </row>
    <row r="1503" spans="7:11" x14ac:dyDescent="0.25">
      <c r="G1503" s="1" t="str">
        <f>IF(Table2[[#This Row],[Description]]="","",VLOOKUP(Table2[[#This Row],[Description]],$Q$1:$S$101,2,FALSE))</f>
        <v/>
      </c>
      <c r="H1503" s="1" t="str">
        <f>IF(Table2[[#This Row],[Description]]="","",VLOOKUP(Table2[[#This Row],[Description]],$Q$1:$S$101,3,FALSE))</f>
        <v/>
      </c>
      <c r="I1503" s="1" t="str">
        <f>IF(Table2[[#This Row],[Description]]="","",IF(Table2[[#This Row],[Currency]]=$O$2,$P$2,HLOOKUP(Table2[[#This Row],[Date]],Funds!$C$10:$GV$11,2,FALSE)))</f>
        <v/>
      </c>
      <c r="J1503" s="215" t="str">
        <f>IF(Table2[[#This Row],[Description]]="","",Table2[[#This Row],[Value]]/Table2[[#This Row],[Conversion]])</f>
        <v/>
      </c>
      <c r="K1503" s="45" t="str">
        <f>IF(Table2[[#This Row],[Description]]="","",DATE(Table2[[#This Row],[Year]],Table2[[#This Row],[Month]],1))</f>
        <v/>
      </c>
    </row>
    <row r="1504" spans="7:11" x14ac:dyDescent="0.25">
      <c r="G1504" s="1" t="str">
        <f>IF(Table2[[#This Row],[Description]]="","",VLOOKUP(Table2[[#This Row],[Description]],$Q$1:$S$101,2,FALSE))</f>
        <v/>
      </c>
      <c r="H1504" s="1" t="str">
        <f>IF(Table2[[#This Row],[Description]]="","",VLOOKUP(Table2[[#This Row],[Description]],$Q$1:$S$101,3,FALSE))</f>
        <v/>
      </c>
      <c r="I1504" s="1" t="str">
        <f>IF(Table2[[#This Row],[Description]]="","",IF(Table2[[#This Row],[Currency]]=$O$2,$P$2,HLOOKUP(Table2[[#This Row],[Date]],Funds!$C$10:$GV$11,2,FALSE)))</f>
        <v/>
      </c>
      <c r="J1504" s="215" t="str">
        <f>IF(Table2[[#This Row],[Description]]="","",Table2[[#This Row],[Value]]/Table2[[#This Row],[Conversion]])</f>
        <v/>
      </c>
      <c r="K1504" s="45" t="str">
        <f>IF(Table2[[#This Row],[Description]]="","",DATE(Table2[[#This Row],[Year]],Table2[[#This Row],[Month]],1))</f>
        <v/>
      </c>
    </row>
    <row r="1505" spans="7:11" x14ac:dyDescent="0.25">
      <c r="G1505" s="1" t="str">
        <f>IF(Table2[[#This Row],[Description]]="","",VLOOKUP(Table2[[#This Row],[Description]],$Q$1:$S$101,2,FALSE))</f>
        <v/>
      </c>
      <c r="H1505" s="1" t="str">
        <f>IF(Table2[[#This Row],[Description]]="","",VLOOKUP(Table2[[#This Row],[Description]],$Q$1:$S$101,3,FALSE))</f>
        <v/>
      </c>
      <c r="I1505" s="1" t="str">
        <f>IF(Table2[[#This Row],[Description]]="","",IF(Table2[[#This Row],[Currency]]=$O$2,$P$2,HLOOKUP(Table2[[#This Row],[Date]],Funds!$C$10:$GV$11,2,FALSE)))</f>
        <v/>
      </c>
      <c r="J1505" s="215" t="str">
        <f>IF(Table2[[#This Row],[Description]]="","",Table2[[#This Row],[Value]]/Table2[[#This Row],[Conversion]])</f>
        <v/>
      </c>
      <c r="K1505" s="45" t="str">
        <f>IF(Table2[[#This Row],[Description]]="","",DATE(Table2[[#This Row],[Year]],Table2[[#This Row],[Month]],1))</f>
        <v/>
      </c>
    </row>
    <row r="1506" spans="7:11" x14ac:dyDescent="0.25">
      <c r="G1506" s="1" t="str">
        <f>IF(Table2[[#This Row],[Description]]="","",VLOOKUP(Table2[[#This Row],[Description]],$Q$1:$S$101,2,FALSE))</f>
        <v/>
      </c>
      <c r="H1506" s="1" t="str">
        <f>IF(Table2[[#This Row],[Description]]="","",VLOOKUP(Table2[[#This Row],[Description]],$Q$1:$S$101,3,FALSE))</f>
        <v/>
      </c>
      <c r="I1506" s="1" t="str">
        <f>IF(Table2[[#This Row],[Description]]="","",IF(Table2[[#This Row],[Currency]]=$O$2,$P$2,HLOOKUP(Table2[[#This Row],[Date]],Funds!$C$10:$GV$11,2,FALSE)))</f>
        <v/>
      </c>
      <c r="J1506" s="215" t="str">
        <f>IF(Table2[[#This Row],[Description]]="","",Table2[[#This Row],[Value]]/Table2[[#This Row],[Conversion]])</f>
        <v/>
      </c>
      <c r="K1506" s="45" t="str">
        <f>IF(Table2[[#This Row],[Description]]="","",DATE(Table2[[#This Row],[Year]],Table2[[#This Row],[Month]],1))</f>
        <v/>
      </c>
    </row>
    <row r="1507" spans="7:11" x14ac:dyDescent="0.25">
      <c r="G1507" s="1" t="str">
        <f>IF(Table2[[#This Row],[Description]]="","",VLOOKUP(Table2[[#This Row],[Description]],$Q$1:$S$101,2,FALSE))</f>
        <v/>
      </c>
      <c r="H1507" s="1" t="str">
        <f>IF(Table2[[#This Row],[Description]]="","",VLOOKUP(Table2[[#This Row],[Description]],$Q$1:$S$101,3,FALSE))</f>
        <v/>
      </c>
      <c r="I1507" s="1" t="str">
        <f>IF(Table2[[#This Row],[Description]]="","",IF(Table2[[#This Row],[Currency]]=$O$2,$P$2,HLOOKUP(Table2[[#This Row],[Date]],Funds!$C$10:$GV$11,2,FALSE)))</f>
        <v/>
      </c>
      <c r="J1507" s="215" t="str">
        <f>IF(Table2[[#This Row],[Description]]="","",Table2[[#This Row],[Value]]/Table2[[#This Row],[Conversion]])</f>
        <v/>
      </c>
      <c r="K1507" s="45" t="str">
        <f>IF(Table2[[#This Row],[Description]]="","",DATE(Table2[[#This Row],[Year]],Table2[[#This Row],[Month]],1))</f>
        <v/>
      </c>
    </row>
    <row r="1508" spans="7:11" x14ac:dyDescent="0.25">
      <c r="G1508" s="1" t="str">
        <f>IF(Table2[[#This Row],[Description]]="","",VLOOKUP(Table2[[#This Row],[Description]],$Q$1:$S$101,2,FALSE))</f>
        <v/>
      </c>
      <c r="H1508" s="1" t="str">
        <f>IF(Table2[[#This Row],[Description]]="","",VLOOKUP(Table2[[#This Row],[Description]],$Q$1:$S$101,3,FALSE))</f>
        <v/>
      </c>
      <c r="I1508" s="1" t="str">
        <f>IF(Table2[[#This Row],[Description]]="","",IF(Table2[[#This Row],[Currency]]=$O$2,$P$2,HLOOKUP(Table2[[#This Row],[Date]],Funds!$C$10:$GV$11,2,FALSE)))</f>
        <v/>
      </c>
      <c r="J1508" s="215" t="str">
        <f>IF(Table2[[#This Row],[Description]]="","",Table2[[#This Row],[Value]]/Table2[[#This Row],[Conversion]])</f>
        <v/>
      </c>
      <c r="K1508" s="45" t="str">
        <f>IF(Table2[[#This Row],[Description]]="","",DATE(Table2[[#This Row],[Year]],Table2[[#This Row],[Month]],1))</f>
        <v/>
      </c>
    </row>
    <row r="1509" spans="7:11" x14ac:dyDescent="0.25">
      <c r="G1509" s="1" t="str">
        <f>IF(Table2[[#This Row],[Description]]="","",VLOOKUP(Table2[[#This Row],[Description]],$Q$1:$S$101,2,FALSE))</f>
        <v/>
      </c>
      <c r="H1509" s="1" t="str">
        <f>IF(Table2[[#This Row],[Description]]="","",VLOOKUP(Table2[[#This Row],[Description]],$Q$1:$S$101,3,FALSE))</f>
        <v/>
      </c>
      <c r="I1509" s="1" t="str">
        <f>IF(Table2[[#This Row],[Description]]="","",IF(Table2[[#This Row],[Currency]]=$O$2,$P$2,HLOOKUP(Table2[[#This Row],[Date]],Funds!$C$10:$GV$11,2,FALSE)))</f>
        <v/>
      </c>
      <c r="J1509" s="215" t="str">
        <f>IF(Table2[[#This Row],[Description]]="","",Table2[[#This Row],[Value]]/Table2[[#This Row],[Conversion]])</f>
        <v/>
      </c>
      <c r="K1509" s="45" t="str">
        <f>IF(Table2[[#This Row],[Description]]="","",DATE(Table2[[#This Row],[Year]],Table2[[#This Row],[Month]],1))</f>
        <v/>
      </c>
    </row>
    <row r="1510" spans="7:11" x14ac:dyDescent="0.25">
      <c r="G1510" s="1" t="str">
        <f>IF(Table2[[#This Row],[Description]]="","",VLOOKUP(Table2[[#This Row],[Description]],$Q$1:$S$101,2,FALSE))</f>
        <v/>
      </c>
      <c r="H1510" s="1" t="str">
        <f>IF(Table2[[#This Row],[Description]]="","",VLOOKUP(Table2[[#This Row],[Description]],$Q$1:$S$101,3,FALSE))</f>
        <v/>
      </c>
      <c r="I1510" s="1" t="str">
        <f>IF(Table2[[#This Row],[Description]]="","",IF(Table2[[#This Row],[Currency]]=$O$2,$P$2,HLOOKUP(Table2[[#This Row],[Date]],Funds!$C$10:$GV$11,2,FALSE)))</f>
        <v/>
      </c>
      <c r="J1510" s="215" t="str">
        <f>IF(Table2[[#This Row],[Description]]="","",Table2[[#This Row],[Value]]/Table2[[#This Row],[Conversion]])</f>
        <v/>
      </c>
      <c r="K1510" s="45" t="str">
        <f>IF(Table2[[#This Row],[Description]]="","",DATE(Table2[[#This Row],[Year]],Table2[[#This Row],[Month]],1))</f>
        <v/>
      </c>
    </row>
    <row r="1511" spans="7:11" x14ac:dyDescent="0.25">
      <c r="G1511" s="1" t="str">
        <f>IF(Table2[[#This Row],[Description]]="","",VLOOKUP(Table2[[#This Row],[Description]],$Q$1:$S$101,2,FALSE))</f>
        <v/>
      </c>
      <c r="H1511" s="1" t="str">
        <f>IF(Table2[[#This Row],[Description]]="","",VLOOKUP(Table2[[#This Row],[Description]],$Q$1:$S$101,3,FALSE))</f>
        <v/>
      </c>
      <c r="I1511" s="1" t="str">
        <f>IF(Table2[[#This Row],[Description]]="","",IF(Table2[[#This Row],[Currency]]=$O$2,$P$2,HLOOKUP(Table2[[#This Row],[Date]],Funds!$C$10:$GV$11,2,FALSE)))</f>
        <v/>
      </c>
      <c r="J1511" s="215" t="str">
        <f>IF(Table2[[#This Row],[Description]]="","",Table2[[#This Row],[Value]]/Table2[[#This Row],[Conversion]])</f>
        <v/>
      </c>
      <c r="K1511" s="45" t="str">
        <f>IF(Table2[[#This Row],[Description]]="","",DATE(Table2[[#This Row],[Year]],Table2[[#This Row],[Month]],1))</f>
        <v/>
      </c>
    </row>
    <row r="1512" spans="7:11" x14ac:dyDescent="0.25">
      <c r="G1512" s="1" t="str">
        <f>IF(Table2[[#This Row],[Description]]="","",VLOOKUP(Table2[[#This Row],[Description]],$Q$1:$S$101,2,FALSE))</f>
        <v/>
      </c>
      <c r="H1512" s="1" t="str">
        <f>IF(Table2[[#This Row],[Description]]="","",VLOOKUP(Table2[[#This Row],[Description]],$Q$1:$S$101,3,FALSE))</f>
        <v/>
      </c>
      <c r="I1512" s="1" t="str">
        <f>IF(Table2[[#This Row],[Description]]="","",IF(Table2[[#This Row],[Currency]]=$O$2,$P$2,HLOOKUP(Table2[[#This Row],[Date]],Funds!$C$10:$GV$11,2,FALSE)))</f>
        <v/>
      </c>
      <c r="J1512" s="215" t="str">
        <f>IF(Table2[[#This Row],[Description]]="","",Table2[[#This Row],[Value]]/Table2[[#This Row],[Conversion]])</f>
        <v/>
      </c>
      <c r="K1512" s="45" t="str">
        <f>IF(Table2[[#This Row],[Description]]="","",DATE(Table2[[#This Row],[Year]],Table2[[#This Row],[Month]],1))</f>
        <v/>
      </c>
    </row>
    <row r="1513" spans="7:11" x14ac:dyDescent="0.25">
      <c r="G1513" s="1" t="str">
        <f>IF(Table2[[#This Row],[Description]]="","",VLOOKUP(Table2[[#This Row],[Description]],$Q$1:$S$101,2,FALSE))</f>
        <v/>
      </c>
      <c r="H1513" s="1" t="str">
        <f>IF(Table2[[#This Row],[Description]]="","",VLOOKUP(Table2[[#This Row],[Description]],$Q$1:$S$101,3,FALSE))</f>
        <v/>
      </c>
      <c r="I1513" s="1" t="str">
        <f>IF(Table2[[#This Row],[Description]]="","",IF(Table2[[#This Row],[Currency]]=$O$2,$P$2,HLOOKUP(Table2[[#This Row],[Date]],Funds!$C$10:$GV$11,2,FALSE)))</f>
        <v/>
      </c>
      <c r="J1513" s="215" t="str">
        <f>IF(Table2[[#This Row],[Description]]="","",Table2[[#This Row],[Value]]/Table2[[#This Row],[Conversion]])</f>
        <v/>
      </c>
      <c r="K1513" s="45" t="str">
        <f>IF(Table2[[#This Row],[Description]]="","",DATE(Table2[[#This Row],[Year]],Table2[[#This Row],[Month]],1))</f>
        <v/>
      </c>
    </row>
    <row r="1514" spans="7:11" x14ac:dyDescent="0.25">
      <c r="G1514" s="1" t="str">
        <f>IF(Table2[[#This Row],[Description]]="","",VLOOKUP(Table2[[#This Row],[Description]],$Q$1:$S$101,2,FALSE))</f>
        <v/>
      </c>
      <c r="H1514" s="1" t="str">
        <f>IF(Table2[[#This Row],[Description]]="","",VLOOKUP(Table2[[#This Row],[Description]],$Q$1:$S$101,3,FALSE))</f>
        <v/>
      </c>
      <c r="I1514" s="1" t="str">
        <f>IF(Table2[[#This Row],[Description]]="","",IF(Table2[[#This Row],[Currency]]=$O$2,$P$2,HLOOKUP(Table2[[#This Row],[Date]],Funds!$C$10:$GV$11,2,FALSE)))</f>
        <v/>
      </c>
      <c r="J1514" s="215" t="str">
        <f>IF(Table2[[#This Row],[Description]]="","",Table2[[#This Row],[Value]]/Table2[[#This Row],[Conversion]])</f>
        <v/>
      </c>
      <c r="K1514" s="45" t="str">
        <f>IF(Table2[[#This Row],[Description]]="","",DATE(Table2[[#This Row],[Year]],Table2[[#This Row],[Month]],1))</f>
        <v/>
      </c>
    </row>
    <row r="1515" spans="7:11" x14ac:dyDescent="0.25">
      <c r="G1515" s="1" t="str">
        <f>IF(Table2[[#This Row],[Description]]="","",VLOOKUP(Table2[[#This Row],[Description]],$Q$1:$S$101,2,FALSE))</f>
        <v/>
      </c>
      <c r="H1515" s="1" t="str">
        <f>IF(Table2[[#This Row],[Description]]="","",VLOOKUP(Table2[[#This Row],[Description]],$Q$1:$S$101,3,FALSE))</f>
        <v/>
      </c>
      <c r="I1515" s="1" t="str">
        <f>IF(Table2[[#This Row],[Description]]="","",IF(Table2[[#This Row],[Currency]]=$O$2,$P$2,HLOOKUP(Table2[[#This Row],[Date]],Funds!$C$10:$GV$11,2,FALSE)))</f>
        <v/>
      </c>
      <c r="J1515" s="215" t="str">
        <f>IF(Table2[[#This Row],[Description]]="","",Table2[[#This Row],[Value]]/Table2[[#This Row],[Conversion]])</f>
        <v/>
      </c>
      <c r="K1515" s="45" t="str">
        <f>IF(Table2[[#This Row],[Description]]="","",DATE(Table2[[#This Row],[Year]],Table2[[#This Row],[Month]],1))</f>
        <v/>
      </c>
    </row>
    <row r="1516" spans="7:11" x14ac:dyDescent="0.25">
      <c r="G1516" s="1" t="str">
        <f>IF(Table2[[#This Row],[Description]]="","",VLOOKUP(Table2[[#This Row],[Description]],$Q$1:$S$101,2,FALSE))</f>
        <v/>
      </c>
      <c r="H1516" s="1" t="str">
        <f>IF(Table2[[#This Row],[Description]]="","",VLOOKUP(Table2[[#This Row],[Description]],$Q$1:$S$101,3,FALSE))</f>
        <v/>
      </c>
      <c r="I1516" s="1" t="str">
        <f>IF(Table2[[#This Row],[Description]]="","",IF(Table2[[#This Row],[Currency]]=$O$2,$P$2,HLOOKUP(Table2[[#This Row],[Date]],Funds!$C$10:$GV$11,2,FALSE)))</f>
        <v/>
      </c>
      <c r="J1516" s="215" t="str">
        <f>IF(Table2[[#This Row],[Description]]="","",Table2[[#This Row],[Value]]/Table2[[#This Row],[Conversion]])</f>
        <v/>
      </c>
      <c r="K1516" s="45" t="str">
        <f>IF(Table2[[#This Row],[Description]]="","",DATE(Table2[[#This Row],[Year]],Table2[[#This Row],[Month]],1))</f>
        <v/>
      </c>
    </row>
    <row r="1517" spans="7:11" x14ac:dyDescent="0.25">
      <c r="G1517" s="1" t="str">
        <f>IF(Table2[[#This Row],[Description]]="","",VLOOKUP(Table2[[#This Row],[Description]],$Q$1:$S$101,2,FALSE))</f>
        <v/>
      </c>
      <c r="H1517" s="1" t="str">
        <f>IF(Table2[[#This Row],[Description]]="","",VLOOKUP(Table2[[#This Row],[Description]],$Q$1:$S$101,3,FALSE))</f>
        <v/>
      </c>
      <c r="I1517" s="1" t="str">
        <f>IF(Table2[[#This Row],[Description]]="","",IF(Table2[[#This Row],[Currency]]=$O$2,$P$2,HLOOKUP(Table2[[#This Row],[Date]],Funds!$C$10:$GV$11,2,FALSE)))</f>
        <v/>
      </c>
      <c r="J1517" s="215" t="str">
        <f>IF(Table2[[#This Row],[Description]]="","",Table2[[#This Row],[Value]]/Table2[[#This Row],[Conversion]])</f>
        <v/>
      </c>
      <c r="K1517" s="45" t="str">
        <f>IF(Table2[[#This Row],[Description]]="","",DATE(Table2[[#This Row],[Year]],Table2[[#This Row],[Month]],1))</f>
        <v/>
      </c>
    </row>
    <row r="1518" spans="7:11" x14ac:dyDescent="0.25">
      <c r="G1518" s="1" t="str">
        <f>IF(Table2[[#This Row],[Description]]="","",VLOOKUP(Table2[[#This Row],[Description]],$Q$1:$S$101,2,FALSE))</f>
        <v/>
      </c>
      <c r="H1518" s="1" t="str">
        <f>IF(Table2[[#This Row],[Description]]="","",VLOOKUP(Table2[[#This Row],[Description]],$Q$1:$S$101,3,FALSE))</f>
        <v/>
      </c>
      <c r="I1518" s="1" t="str">
        <f>IF(Table2[[#This Row],[Description]]="","",IF(Table2[[#This Row],[Currency]]=$O$2,$P$2,HLOOKUP(Table2[[#This Row],[Date]],Funds!$C$10:$GV$11,2,FALSE)))</f>
        <v/>
      </c>
      <c r="J1518" s="215" t="str">
        <f>IF(Table2[[#This Row],[Description]]="","",Table2[[#This Row],[Value]]/Table2[[#This Row],[Conversion]])</f>
        <v/>
      </c>
      <c r="K1518" s="45" t="str">
        <f>IF(Table2[[#This Row],[Description]]="","",DATE(Table2[[#This Row],[Year]],Table2[[#This Row],[Month]],1))</f>
        <v/>
      </c>
    </row>
    <row r="1519" spans="7:11" x14ac:dyDescent="0.25">
      <c r="G1519" s="1" t="str">
        <f>IF(Table2[[#This Row],[Description]]="","",VLOOKUP(Table2[[#This Row],[Description]],$Q$1:$S$101,2,FALSE))</f>
        <v/>
      </c>
      <c r="H1519" s="1" t="str">
        <f>IF(Table2[[#This Row],[Description]]="","",VLOOKUP(Table2[[#This Row],[Description]],$Q$1:$S$101,3,FALSE))</f>
        <v/>
      </c>
      <c r="I1519" s="1" t="str">
        <f>IF(Table2[[#This Row],[Description]]="","",IF(Table2[[#This Row],[Currency]]=$O$2,$P$2,HLOOKUP(Table2[[#This Row],[Date]],Funds!$C$10:$GV$11,2,FALSE)))</f>
        <v/>
      </c>
      <c r="J1519" s="215" t="str">
        <f>IF(Table2[[#This Row],[Description]]="","",Table2[[#This Row],[Value]]/Table2[[#This Row],[Conversion]])</f>
        <v/>
      </c>
      <c r="K1519" s="45" t="str">
        <f>IF(Table2[[#This Row],[Description]]="","",DATE(Table2[[#This Row],[Year]],Table2[[#This Row],[Month]],1))</f>
        <v/>
      </c>
    </row>
    <row r="1520" spans="7:11" x14ac:dyDescent="0.25">
      <c r="G1520" s="1" t="str">
        <f>IF(Table2[[#This Row],[Description]]="","",VLOOKUP(Table2[[#This Row],[Description]],$Q$1:$S$101,2,FALSE))</f>
        <v/>
      </c>
      <c r="H1520" s="1" t="str">
        <f>IF(Table2[[#This Row],[Description]]="","",VLOOKUP(Table2[[#This Row],[Description]],$Q$1:$S$101,3,FALSE))</f>
        <v/>
      </c>
      <c r="I1520" s="1" t="str">
        <f>IF(Table2[[#This Row],[Description]]="","",IF(Table2[[#This Row],[Currency]]=$O$2,$P$2,HLOOKUP(Table2[[#This Row],[Date]],Funds!$C$10:$GV$11,2,FALSE)))</f>
        <v/>
      </c>
      <c r="J1520" s="215" t="str">
        <f>IF(Table2[[#This Row],[Description]]="","",Table2[[#This Row],[Value]]/Table2[[#This Row],[Conversion]])</f>
        <v/>
      </c>
      <c r="K1520" s="45" t="str">
        <f>IF(Table2[[#This Row],[Description]]="","",DATE(Table2[[#This Row],[Year]],Table2[[#This Row],[Month]],1))</f>
        <v/>
      </c>
    </row>
    <row r="1521" spans="7:11" x14ac:dyDescent="0.25">
      <c r="G1521" s="1" t="str">
        <f>IF(Table2[[#This Row],[Description]]="","",VLOOKUP(Table2[[#This Row],[Description]],$Q$1:$S$101,2,FALSE))</f>
        <v/>
      </c>
      <c r="H1521" s="1" t="str">
        <f>IF(Table2[[#This Row],[Description]]="","",VLOOKUP(Table2[[#This Row],[Description]],$Q$1:$S$101,3,FALSE))</f>
        <v/>
      </c>
      <c r="I1521" s="1" t="str">
        <f>IF(Table2[[#This Row],[Description]]="","",IF(Table2[[#This Row],[Currency]]=$O$2,$P$2,HLOOKUP(Table2[[#This Row],[Date]],Funds!$C$10:$GV$11,2,FALSE)))</f>
        <v/>
      </c>
      <c r="J1521" s="215" t="str">
        <f>IF(Table2[[#This Row],[Description]]="","",Table2[[#This Row],[Value]]/Table2[[#This Row],[Conversion]])</f>
        <v/>
      </c>
      <c r="K1521" s="45" t="str">
        <f>IF(Table2[[#This Row],[Description]]="","",DATE(Table2[[#This Row],[Year]],Table2[[#This Row],[Month]],1))</f>
        <v/>
      </c>
    </row>
    <row r="1522" spans="7:11" x14ac:dyDescent="0.25">
      <c r="G1522" s="1" t="str">
        <f>IF(Table2[[#This Row],[Description]]="","",VLOOKUP(Table2[[#This Row],[Description]],$Q$1:$S$101,2,FALSE))</f>
        <v/>
      </c>
      <c r="H1522" s="1" t="str">
        <f>IF(Table2[[#This Row],[Description]]="","",VLOOKUP(Table2[[#This Row],[Description]],$Q$1:$S$101,3,FALSE))</f>
        <v/>
      </c>
      <c r="I1522" s="1" t="str">
        <f>IF(Table2[[#This Row],[Description]]="","",IF(Table2[[#This Row],[Currency]]=$O$2,$P$2,HLOOKUP(Table2[[#This Row],[Date]],Funds!$C$10:$GV$11,2,FALSE)))</f>
        <v/>
      </c>
      <c r="J1522" s="215" t="str">
        <f>IF(Table2[[#This Row],[Description]]="","",Table2[[#This Row],[Value]]/Table2[[#This Row],[Conversion]])</f>
        <v/>
      </c>
      <c r="K1522" s="45" t="str">
        <f>IF(Table2[[#This Row],[Description]]="","",DATE(Table2[[#This Row],[Year]],Table2[[#This Row],[Month]],1))</f>
        <v/>
      </c>
    </row>
    <row r="1523" spans="7:11" x14ac:dyDescent="0.25">
      <c r="G1523" s="1" t="str">
        <f>IF(Table2[[#This Row],[Description]]="","",VLOOKUP(Table2[[#This Row],[Description]],$Q$1:$S$101,2,FALSE))</f>
        <v/>
      </c>
      <c r="H1523" s="1" t="str">
        <f>IF(Table2[[#This Row],[Description]]="","",VLOOKUP(Table2[[#This Row],[Description]],$Q$1:$S$101,3,FALSE))</f>
        <v/>
      </c>
      <c r="I1523" s="1" t="str">
        <f>IF(Table2[[#This Row],[Description]]="","",IF(Table2[[#This Row],[Currency]]=$O$2,$P$2,HLOOKUP(Table2[[#This Row],[Date]],Funds!$C$10:$GV$11,2,FALSE)))</f>
        <v/>
      </c>
      <c r="J1523" s="215" t="str">
        <f>IF(Table2[[#This Row],[Description]]="","",Table2[[#This Row],[Value]]/Table2[[#This Row],[Conversion]])</f>
        <v/>
      </c>
      <c r="K1523" s="45" t="str">
        <f>IF(Table2[[#This Row],[Description]]="","",DATE(Table2[[#This Row],[Year]],Table2[[#This Row],[Month]],1))</f>
        <v/>
      </c>
    </row>
    <row r="1524" spans="7:11" x14ac:dyDescent="0.25">
      <c r="G1524" s="1" t="str">
        <f>IF(Table2[[#This Row],[Description]]="","",VLOOKUP(Table2[[#This Row],[Description]],$Q$1:$S$101,2,FALSE))</f>
        <v/>
      </c>
      <c r="H1524" s="1" t="str">
        <f>IF(Table2[[#This Row],[Description]]="","",VLOOKUP(Table2[[#This Row],[Description]],$Q$1:$S$101,3,FALSE))</f>
        <v/>
      </c>
      <c r="I1524" s="1" t="str">
        <f>IF(Table2[[#This Row],[Description]]="","",IF(Table2[[#This Row],[Currency]]=$O$2,$P$2,HLOOKUP(Table2[[#This Row],[Date]],Funds!$C$10:$GV$11,2,FALSE)))</f>
        <v/>
      </c>
      <c r="J1524" s="215" t="str">
        <f>IF(Table2[[#This Row],[Description]]="","",Table2[[#This Row],[Value]]/Table2[[#This Row],[Conversion]])</f>
        <v/>
      </c>
      <c r="K1524" s="45" t="str">
        <f>IF(Table2[[#This Row],[Description]]="","",DATE(Table2[[#This Row],[Year]],Table2[[#This Row],[Month]],1))</f>
        <v/>
      </c>
    </row>
    <row r="1525" spans="7:11" x14ac:dyDescent="0.25">
      <c r="G1525" s="1" t="str">
        <f>IF(Table2[[#This Row],[Description]]="","",VLOOKUP(Table2[[#This Row],[Description]],$Q$1:$S$101,2,FALSE))</f>
        <v/>
      </c>
      <c r="H1525" s="1" t="str">
        <f>IF(Table2[[#This Row],[Description]]="","",VLOOKUP(Table2[[#This Row],[Description]],$Q$1:$S$101,3,FALSE))</f>
        <v/>
      </c>
      <c r="I1525" s="1" t="str">
        <f>IF(Table2[[#This Row],[Description]]="","",IF(Table2[[#This Row],[Currency]]=$O$2,$P$2,HLOOKUP(Table2[[#This Row],[Date]],Funds!$C$10:$GV$11,2,FALSE)))</f>
        <v/>
      </c>
      <c r="J1525" s="215" t="str">
        <f>IF(Table2[[#This Row],[Description]]="","",Table2[[#This Row],[Value]]/Table2[[#This Row],[Conversion]])</f>
        <v/>
      </c>
      <c r="K1525" s="45" t="str">
        <f>IF(Table2[[#This Row],[Description]]="","",DATE(Table2[[#This Row],[Year]],Table2[[#This Row],[Month]],1))</f>
        <v/>
      </c>
    </row>
    <row r="1526" spans="7:11" x14ac:dyDescent="0.25">
      <c r="G1526" s="1" t="str">
        <f>IF(Table2[[#This Row],[Description]]="","",VLOOKUP(Table2[[#This Row],[Description]],$Q$1:$S$101,2,FALSE))</f>
        <v/>
      </c>
      <c r="H1526" s="1" t="str">
        <f>IF(Table2[[#This Row],[Description]]="","",VLOOKUP(Table2[[#This Row],[Description]],$Q$1:$S$101,3,FALSE))</f>
        <v/>
      </c>
      <c r="I1526" s="1" t="str">
        <f>IF(Table2[[#This Row],[Description]]="","",IF(Table2[[#This Row],[Currency]]=$O$2,$P$2,HLOOKUP(Table2[[#This Row],[Date]],Funds!$C$10:$GV$11,2,FALSE)))</f>
        <v/>
      </c>
      <c r="J1526" s="215" t="str">
        <f>IF(Table2[[#This Row],[Description]]="","",Table2[[#This Row],[Value]]/Table2[[#This Row],[Conversion]])</f>
        <v/>
      </c>
      <c r="K1526" s="45" t="str">
        <f>IF(Table2[[#This Row],[Description]]="","",DATE(Table2[[#This Row],[Year]],Table2[[#This Row],[Month]],1))</f>
        <v/>
      </c>
    </row>
    <row r="1527" spans="7:11" x14ac:dyDescent="0.25">
      <c r="G1527" s="1" t="str">
        <f>IF(Table2[[#This Row],[Description]]="","",VLOOKUP(Table2[[#This Row],[Description]],$Q$1:$S$101,2,FALSE))</f>
        <v/>
      </c>
      <c r="H1527" s="1" t="str">
        <f>IF(Table2[[#This Row],[Description]]="","",VLOOKUP(Table2[[#This Row],[Description]],$Q$1:$S$101,3,FALSE))</f>
        <v/>
      </c>
      <c r="I1527" s="1" t="str">
        <f>IF(Table2[[#This Row],[Description]]="","",IF(Table2[[#This Row],[Currency]]=$O$2,$P$2,HLOOKUP(Table2[[#This Row],[Date]],Funds!$C$10:$GV$11,2,FALSE)))</f>
        <v/>
      </c>
      <c r="J1527" s="215" t="str">
        <f>IF(Table2[[#This Row],[Description]]="","",Table2[[#This Row],[Value]]/Table2[[#This Row],[Conversion]])</f>
        <v/>
      </c>
      <c r="K1527" s="45" t="str">
        <f>IF(Table2[[#This Row],[Description]]="","",DATE(Table2[[#This Row],[Year]],Table2[[#This Row],[Month]],1))</f>
        <v/>
      </c>
    </row>
    <row r="1528" spans="7:11" x14ac:dyDescent="0.25">
      <c r="G1528" s="1" t="str">
        <f>IF(Table2[[#This Row],[Description]]="","",VLOOKUP(Table2[[#This Row],[Description]],$Q$1:$S$101,2,FALSE))</f>
        <v/>
      </c>
      <c r="H1528" s="1" t="str">
        <f>IF(Table2[[#This Row],[Description]]="","",VLOOKUP(Table2[[#This Row],[Description]],$Q$1:$S$101,3,FALSE))</f>
        <v/>
      </c>
      <c r="I1528" s="1" t="str">
        <f>IF(Table2[[#This Row],[Description]]="","",IF(Table2[[#This Row],[Currency]]=$O$2,$P$2,HLOOKUP(Table2[[#This Row],[Date]],Funds!$C$10:$GV$11,2,FALSE)))</f>
        <v/>
      </c>
      <c r="J1528" s="215" t="str">
        <f>IF(Table2[[#This Row],[Description]]="","",Table2[[#This Row],[Value]]/Table2[[#This Row],[Conversion]])</f>
        <v/>
      </c>
      <c r="K1528" s="45" t="str">
        <f>IF(Table2[[#This Row],[Description]]="","",DATE(Table2[[#This Row],[Year]],Table2[[#This Row],[Month]],1))</f>
        <v/>
      </c>
    </row>
    <row r="1529" spans="7:11" x14ac:dyDescent="0.25">
      <c r="G1529" s="1" t="str">
        <f>IF(Table2[[#This Row],[Description]]="","",VLOOKUP(Table2[[#This Row],[Description]],$Q$1:$S$101,2,FALSE))</f>
        <v/>
      </c>
      <c r="H1529" s="1" t="str">
        <f>IF(Table2[[#This Row],[Description]]="","",VLOOKUP(Table2[[#This Row],[Description]],$Q$1:$S$101,3,FALSE))</f>
        <v/>
      </c>
      <c r="I1529" s="1" t="str">
        <f>IF(Table2[[#This Row],[Description]]="","",IF(Table2[[#This Row],[Currency]]=$O$2,$P$2,HLOOKUP(Table2[[#This Row],[Date]],Funds!$C$10:$GV$11,2,FALSE)))</f>
        <v/>
      </c>
      <c r="J1529" s="215" t="str">
        <f>IF(Table2[[#This Row],[Description]]="","",Table2[[#This Row],[Value]]/Table2[[#This Row],[Conversion]])</f>
        <v/>
      </c>
      <c r="K1529" s="45" t="str">
        <f>IF(Table2[[#This Row],[Description]]="","",DATE(Table2[[#This Row],[Year]],Table2[[#This Row],[Month]],1))</f>
        <v/>
      </c>
    </row>
    <row r="1530" spans="7:11" x14ac:dyDescent="0.25">
      <c r="G1530" s="1" t="str">
        <f>IF(Table2[[#This Row],[Description]]="","",VLOOKUP(Table2[[#This Row],[Description]],$Q$1:$S$101,2,FALSE))</f>
        <v/>
      </c>
      <c r="H1530" s="1" t="str">
        <f>IF(Table2[[#This Row],[Description]]="","",VLOOKUP(Table2[[#This Row],[Description]],$Q$1:$S$101,3,FALSE))</f>
        <v/>
      </c>
      <c r="I1530" s="1" t="str">
        <f>IF(Table2[[#This Row],[Description]]="","",IF(Table2[[#This Row],[Currency]]=$O$2,$P$2,HLOOKUP(Table2[[#This Row],[Date]],Funds!$C$10:$GV$11,2,FALSE)))</f>
        <v/>
      </c>
      <c r="J1530" s="215" t="str">
        <f>IF(Table2[[#This Row],[Description]]="","",Table2[[#This Row],[Value]]/Table2[[#This Row],[Conversion]])</f>
        <v/>
      </c>
      <c r="K1530" s="45" t="str">
        <f>IF(Table2[[#This Row],[Description]]="","",DATE(Table2[[#This Row],[Year]],Table2[[#This Row],[Month]],1))</f>
        <v/>
      </c>
    </row>
    <row r="1531" spans="7:11" x14ac:dyDescent="0.25">
      <c r="G1531" s="1" t="str">
        <f>IF(Table2[[#This Row],[Description]]="","",VLOOKUP(Table2[[#This Row],[Description]],$Q$1:$S$101,2,FALSE))</f>
        <v/>
      </c>
      <c r="H1531" s="1" t="str">
        <f>IF(Table2[[#This Row],[Description]]="","",VLOOKUP(Table2[[#This Row],[Description]],$Q$1:$S$101,3,FALSE))</f>
        <v/>
      </c>
      <c r="I1531" s="1" t="str">
        <f>IF(Table2[[#This Row],[Description]]="","",IF(Table2[[#This Row],[Currency]]=$O$2,$P$2,HLOOKUP(Table2[[#This Row],[Date]],Funds!$C$10:$GV$11,2,FALSE)))</f>
        <v/>
      </c>
      <c r="J1531" s="215" t="str">
        <f>IF(Table2[[#This Row],[Description]]="","",Table2[[#This Row],[Value]]/Table2[[#This Row],[Conversion]])</f>
        <v/>
      </c>
      <c r="K1531" s="45" t="str">
        <f>IF(Table2[[#This Row],[Description]]="","",DATE(Table2[[#This Row],[Year]],Table2[[#This Row],[Month]],1))</f>
        <v/>
      </c>
    </row>
    <row r="1532" spans="7:11" x14ac:dyDescent="0.25">
      <c r="G1532" s="1" t="str">
        <f>IF(Table2[[#This Row],[Description]]="","",VLOOKUP(Table2[[#This Row],[Description]],$Q$1:$S$101,2,FALSE))</f>
        <v/>
      </c>
      <c r="H1532" s="1" t="str">
        <f>IF(Table2[[#This Row],[Description]]="","",VLOOKUP(Table2[[#This Row],[Description]],$Q$1:$S$101,3,FALSE))</f>
        <v/>
      </c>
      <c r="I1532" s="1" t="str">
        <f>IF(Table2[[#This Row],[Description]]="","",IF(Table2[[#This Row],[Currency]]=$O$2,$P$2,HLOOKUP(Table2[[#This Row],[Date]],Funds!$C$10:$GV$11,2,FALSE)))</f>
        <v/>
      </c>
      <c r="J1532" s="215" t="str">
        <f>IF(Table2[[#This Row],[Description]]="","",Table2[[#This Row],[Value]]/Table2[[#This Row],[Conversion]])</f>
        <v/>
      </c>
      <c r="K1532" s="45" t="str">
        <f>IF(Table2[[#This Row],[Description]]="","",DATE(Table2[[#This Row],[Year]],Table2[[#This Row],[Month]],1))</f>
        <v/>
      </c>
    </row>
    <row r="1533" spans="7:11" x14ac:dyDescent="0.25">
      <c r="G1533" s="1" t="str">
        <f>IF(Table2[[#This Row],[Description]]="","",VLOOKUP(Table2[[#This Row],[Description]],$Q$1:$S$101,2,FALSE))</f>
        <v/>
      </c>
      <c r="H1533" s="1" t="str">
        <f>IF(Table2[[#This Row],[Description]]="","",VLOOKUP(Table2[[#This Row],[Description]],$Q$1:$S$101,3,FALSE))</f>
        <v/>
      </c>
      <c r="I1533" s="1" t="str">
        <f>IF(Table2[[#This Row],[Description]]="","",IF(Table2[[#This Row],[Currency]]=$O$2,$P$2,HLOOKUP(Table2[[#This Row],[Date]],Funds!$C$10:$GV$11,2,FALSE)))</f>
        <v/>
      </c>
      <c r="J1533" s="215" t="str">
        <f>IF(Table2[[#This Row],[Description]]="","",Table2[[#This Row],[Value]]/Table2[[#This Row],[Conversion]])</f>
        <v/>
      </c>
      <c r="K1533" s="45" t="str">
        <f>IF(Table2[[#This Row],[Description]]="","",DATE(Table2[[#This Row],[Year]],Table2[[#This Row],[Month]],1))</f>
        <v/>
      </c>
    </row>
    <row r="1534" spans="7:11" x14ac:dyDescent="0.25">
      <c r="G1534" s="1" t="str">
        <f>IF(Table2[[#This Row],[Description]]="","",VLOOKUP(Table2[[#This Row],[Description]],$Q$1:$S$101,2,FALSE))</f>
        <v/>
      </c>
      <c r="H1534" s="1" t="str">
        <f>IF(Table2[[#This Row],[Description]]="","",VLOOKUP(Table2[[#This Row],[Description]],$Q$1:$S$101,3,FALSE))</f>
        <v/>
      </c>
      <c r="I1534" s="1" t="str">
        <f>IF(Table2[[#This Row],[Description]]="","",IF(Table2[[#This Row],[Currency]]=$O$2,$P$2,HLOOKUP(Table2[[#This Row],[Date]],Funds!$C$10:$GV$11,2,FALSE)))</f>
        <v/>
      </c>
      <c r="J1534" s="215" t="str">
        <f>IF(Table2[[#This Row],[Description]]="","",Table2[[#This Row],[Value]]/Table2[[#This Row],[Conversion]])</f>
        <v/>
      </c>
      <c r="K1534" s="45" t="str">
        <f>IF(Table2[[#This Row],[Description]]="","",DATE(Table2[[#This Row],[Year]],Table2[[#This Row],[Month]],1))</f>
        <v/>
      </c>
    </row>
    <row r="1535" spans="7:11" x14ac:dyDescent="0.25">
      <c r="G1535" s="1" t="str">
        <f>IF(Table2[[#This Row],[Description]]="","",VLOOKUP(Table2[[#This Row],[Description]],$Q$1:$S$101,2,FALSE))</f>
        <v/>
      </c>
      <c r="H1535" s="1" t="str">
        <f>IF(Table2[[#This Row],[Description]]="","",VLOOKUP(Table2[[#This Row],[Description]],$Q$1:$S$101,3,FALSE))</f>
        <v/>
      </c>
      <c r="I1535" s="1" t="str">
        <f>IF(Table2[[#This Row],[Description]]="","",IF(Table2[[#This Row],[Currency]]=$O$2,$P$2,HLOOKUP(Table2[[#This Row],[Date]],Funds!$C$10:$GV$11,2,FALSE)))</f>
        <v/>
      </c>
      <c r="J1535" s="215" t="str">
        <f>IF(Table2[[#This Row],[Description]]="","",Table2[[#This Row],[Value]]/Table2[[#This Row],[Conversion]])</f>
        <v/>
      </c>
      <c r="K1535" s="45" t="str">
        <f>IF(Table2[[#This Row],[Description]]="","",DATE(Table2[[#This Row],[Year]],Table2[[#This Row],[Month]],1))</f>
        <v/>
      </c>
    </row>
    <row r="1536" spans="7:11" x14ac:dyDescent="0.25">
      <c r="G1536" s="1" t="str">
        <f>IF(Table2[[#This Row],[Description]]="","",VLOOKUP(Table2[[#This Row],[Description]],$Q$1:$S$101,2,FALSE))</f>
        <v/>
      </c>
      <c r="H1536" s="1" t="str">
        <f>IF(Table2[[#This Row],[Description]]="","",VLOOKUP(Table2[[#This Row],[Description]],$Q$1:$S$101,3,FALSE))</f>
        <v/>
      </c>
      <c r="I1536" s="1" t="str">
        <f>IF(Table2[[#This Row],[Description]]="","",IF(Table2[[#This Row],[Currency]]=$O$2,$P$2,HLOOKUP(Table2[[#This Row],[Date]],Funds!$C$10:$GV$11,2,FALSE)))</f>
        <v/>
      </c>
      <c r="J1536" s="215" t="str">
        <f>IF(Table2[[#This Row],[Description]]="","",Table2[[#This Row],[Value]]/Table2[[#This Row],[Conversion]])</f>
        <v/>
      </c>
      <c r="K1536" s="45" t="str">
        <f>IF(Table2[[#This Row],[Description]]="","",DATE(Table2[[#This Row],[Year]],Table2[[#This Row],[Month]],1))</f>
        <v/>
      </c>
    </row>
    <row r="1537" spans="7:11" x14ac:dyDescent="0.25">
      <c r="G1537" s="1" t="str">
        <f>IF(Table2[[#This Row],[Description]]="","",VLOOKUP(Table2[[#This Row],[Description]],$Q$1:$S$101,2,FALSE))</f>
        <v/>
      </c>
      <c r="H1537" s="1" t="str">
        <f>IF(Table2[[#This Row],[Description]]="","",VLOOKUP(Table2[[#This Row],[Description]],$Q$1:$S$101,3,FALSE))</f>
        <v/>
      </c>
      <c r="I1537" s="1" t="str">
        <f>IF(Table2[[#This Row],[Description]]="","",IF(Table2[[#This Row],[Currency]]=$O$2,$P$2,HLOOKUP(Table2[[#This Row],[Date]],Funds!$C$10:$GV$11,2,FALSE)))</f>
        <v/>
      </c>
      <c r="J1537" s="215" t="str">
        <f>IF(Table2[[#This Row],[Description]]="","",Table2[[#This Row],[Value]]/Table2[[#This Row],[Conversion]])</f>
        <v/>
      </c>
      <c r="K1537" s="45" t="str">
        <f>IF(Table2[[#This Row],[Description]]="","",DATE(Table2[[#This Row],[Year]],Table2[[#This Row],[Month]],1))</f>
        <v/>
      </c>
    </row>
    <row r="1538" spans="7:11" x14ac:dyDescent="0.25">
      <c r="G1538" s="1" t="str">
        <f>IF(Table2[[#This Row],[Description]]="","",VLOOKUP(Table2[[#This Row],[Description]],$Q$1:$S$101,2,FALSE))</f>
        <v/>
      </c>
      <c r="H1538" s="1" t="str">
        <f>IF(Table2[[#This Row],[Description]]="","",VLOOKUP(Table2[[#This Row],[Description]],$Q$1:$S$101,3,FALSE))</f>
        <v/>
      </c>
      <c r="I1538" s="1" t="str">
        <f>IF(Table2[[#This Row],[Description]]="","",IF(Table2[[#This Row],[Currency]]=$O$2,$P$2,HLOOKUP(Table2[[#This Row],[Date]],Funds!$C$10:$GV$11,2,FALSE)))</f>
        <v/>
      </c>
      <c r="J1538" s="215" t="str">
        <f>IF(Table2[[#This Row],[Description]]="","",Table2[[#This Row],[Value]]/Table2[[#This Row],[Conversion]])</f>
        <v/>
      </c>
      <c r="K1538" s="45" t="str">
        <f>IF(Table2[[#This Row],[Description]]="","",DATE(Table2[[#This Row],[Year]],Table2[[#This Row],[Month]],1))</f>
        <v/>
      </c>
    </row>
    <row r="1539" spans="7:11" x14ac:dyDescent="0.25">
      <c r="G1539" s="1" t="str">
        <f>IF(Table2[[#This Row],[Description]]="","",VLOOKUP(Table2[[#This Row],[Description]],$Q$1:$S$101,2,FALSE))</f>
        <v/>
      </c>
      <c r="H1539" s="1" t="str">
        <f>IF(Table2[[#This Row],[Description]]="","",VLOOKUP(Table2[[#This Row],[Description]],$Q$1:$S$101,3,FALSE))</f>
        <v/>
      </c>
      <c r="I1539" s="1" t="str">
        <f>IF(Table2[[#This Row],[Description]]="","",IF(Table2[[#This Row],[Currency]]=$O$2,$P$2,HLOOKUP(Table2[[#This Row],[Date]],Funds!$C$10:$GV$11,2,FALSE)))</f>
        <v/>
      </c>
      <c r="J1539" s="215" t="str">
        <f>IF(Table2[[#This Row],[Description]]="","",Table2[[#This Row],[Value]]/Table2[[#This Row],[Conversion]])</f>
        <v/>
      </c>
      <c r="K1539" s="45" t="str">
        <f>IF(Table2[[#This Row],[Description]]="","",DATE(Table2[[#This Row],[Year]],Table2[[#This Row],[Month]],1))</f>
        <v/>
      </c>
    </row>
    <row r="1540" spans="7:11" x14ac:dyDescent="0.25">
      <c r="G1540" s="1" t="str">
        <f>IF(Table2[[#This Row],[Description]]="","",VLOOKUP(Table2[[#This Row],[Description]],$Q$1:$S$101,2,FALSE))</f>
        <v/>
      </c>
      <c r="H1540" s="1" t="str">
        <f>IF(Table2[[#This Row],[Description]]="","",VLOOKUP(Table2[[#This Row],[Description]],$Q$1:$S$101,3,FALSE))</f>
        <v/>
      </c>
      <c r="I1540" s="1" t="str">
        <f>IF(Table2[[#This Row],[Description]]="","",IF(Table2[[#This Row],[Currency]]=$O$2,$P$2,HLOOKUP(Table2[[#This Row],[Date]],Funds!$C$10:$GV$11,2,FALSE)))</f>
        <v/>
      </c>
      <c r="J1540" s="215" t="str">
        <f>IF(Table2[[#This Row],[Description]]="","",Table2[[#This Row],[Value]]/Table2[[#This Row],[Conversion]])</f>
        <v/>
      </c>
      <c r="K1540" s="45" t="str">
        <f>IF(Table2[[#This Row],[Description]]="","",DATE(Table2[[#This Row],[Year]],Table2[[#This Row],[Month]],1))</f>
        <v/>
      </c>
    </row>
    <row r="1541" spans="7:11" x14ac:dyDescent="0.25">
      <c r="G1541" s="1" t="str">
        <f>IF(Table2[[#This Row],[Description]]="","",VLOOKUP(Table2[[#This Row],[Description]],$Q$1:$S$101,2,FALSE))</f>
        <v/>
      </c>
      <c r="H1541" s="1" t="str">
        <f>IF(Table2[[#This Row],[Description]]="","",VLOOKUP(Table2[[#This Row],[Description]],$Q$1:$S$101,3,FALSE))</f>
        <v/>
      </c>
      <c r="I1541" s="1" t="str">
        <f>IF(Table2[[#This Row],[Description]]="","",IF(Table2[[#This Row],[Currency]]=$O$2,$P$2,HLOOKUP(Table2[[#This Row],[Date]],Funds!$C$10:$GV$11,2,FALSE)))</f>
        <v/>
      </c>
      <c r="J1541" s="215" t="str">
        <f>IF(Table2[[#This Row],[Description]]="","",Table2[[#This Row],[Value]]/Table2[[#This Row],[Conversion]])</f>
        <v/>
      </c>
      <c r="K1541" s="45" t="str">
        <f>IF(Table2[[#This Row],[Description]]="","",DATE(Table2[[#This Row],[Year]],Table2[[#This Row],[Month]],1))</f>
        <v/>
      </c>
    </row>
    <row r="1542" spans="7:11" x14ac:dyDescent="0.25">
      <c r="G1542" s="1" t="str">
        <f>IF(Table2[[#This Row],[Description]]="","",VLOOKUP(Table2[[#This Row],[Description]],$Q$1:$S$101,2,FALSE))</f>
        <v/>
      </c>
      <c r="H1542" s="1" t="str">
        <f>IF(Table2[[#This Row],[Description]]="","",VLOOKUP(Table2[[#This Row],[Description]],$Q$1:$S$101,3,FALSE))</f>
        <v/>
      </c>
      <c r="I1542" s="1" t="str">
        <f>IF(Table2[[#This Row],[Description]]="","",IF(Table2[[#This Row],[Currency]]=$O$2,$P$2,HLOOKUP(Table2[[#This Row],[Date]],Funds!$C$10:$GV$11,2,FALSE)))</f>
        <v/>
      </c>
      <c r="J1542" s="215" t="str">
        <f>IF(Table2[[#This Row],[Description]]="","",Table2[[#This Row],[Value]]/Table2[[#This Row],[Conversion]])</f>
        <v/>
      </c>
      <c r="K1542" s="45" t="str">
        <f>IF(Table2[[#This Row],[Description]]="","",DATE(Table2[[#This Row],[Year]],Table2[[#This Row],[Month]],1))</f>
        <v/>
      </c>
    </row>
    <row r="1543" spans="7:11" x14ac:dyDescent="0.25">
      <c r="G1543" s="1" t="str">
        <f>IF(Table2[[#This Row],[Description]]="","",VLOOKUP(Table2[[#This Row],[Description]],$Q$1:$S$101,2,FALSE))</f>
        <v/>
      </c>
      <c r="H1543" s="1" t="str">
        <f>IF(Table2[[#This Row],[Description]]="","",VLOOKUP(Table2[[#This Row],[Description]],$Q$1:$S$101,3,FALSE))</f>
        <v/>
      </c>
      <c r="I1543" s="1" t="str">
        <f>IF(Table2[[#This Row],[Description]]="","",IF(Table2[[#This Row],[Currency]]=$O$2,$P$2,HLOOKUP(Table2[[#This Row],[Date]],Funds!$C$10:$GV$11,2,FALSE)))</f>
        <v/>
      </c>
      <c r="J1543" s="215" t="str">
        <f>IF(Table2[[#This Row],[Description]]="","",Table2[[#This Row],[Value]]/Table2[[#This Row],[Conversion]])</f>
        <v/>
      </c>
      <c r="K1543" s="45" t="str">
        <f>IF(Table2[[#This Row],[Description]]="","",DATE(Table2[[#This Row],[Year]],Table2[[#This Row],[Month]],1))</f>
        <v/>
      </c>
    </row>
    <row r="1544" spans="7:11" x14ac:dyDescent="0.25">
      <c r="G1544" s="1" t="str">
        <f>IF(Table2[[#This Row],[Description]]="","",VLOOKUP(Table2[[#This Row],[Description]],$Q$1:$S$101,2,FALSE))</f>
        <v/>
      </c>
      <c r="H1544" s="1" t="str">
        <f>IF(Table2[[#This Row],[Description]]="","",VLOOKUP(Table2[[#This Row],[Description]],$Q$1:$S$101,3,FALSE))</f>
        <v/>
      </c>
      <c r="I1544" s="1" t="str">
        <f>IF(Table2[[#This Row],[Description]]="","",IF(Table2[[#This Row],[Currency]]=$O$2,$P$2,HLOOKUP(Table2[[#This Row],[Date]],Funds!$C$10:$GV$11,2,FALSE)))</f>
        <v/>
      </c>
      <c r="J1544" s="215" t="str">
        <f>IF(Table2[[#This Row],[Description]]="","",Table2[[#This Row],[Value]]/Table2[[#This Row],[Conversion]])</f>
        <v/>
      </c>
      <c r="K1544" s="45" t="str">
        <f>IF(Table2[[#This Row],[Description]]="","",DATE(Table2[[#This Row],[Year]],Table2[[#This Row],[Month]],1))</f>
        <v/>
      </c>
    </row>
    <row r="1545" spans="7:11" x14ac:dyDescent="0.25">
      <c r="G1545" s="1" t="str">
        <f>IF(Table2[[#This Row],[Description]]="","",VLOOKUP(Table2[[#This Row],[Description]],$Q$1:$S$101,2,FALSE))</f>
        <v/>
      </c>
      <c r="H1545" s="1" t="str">
        <f>IF(Table2[[#This Row],[Description]]="","",VLOOKUP(Table2[[#This Row],[Description]],$Q$1:$S$101,3,FALSE))</f>
        <v/>
      </c>
      <c r="I1545" s="1" t="str">
        <f>IF(Table2[[#This Row],[Description]]="","",IF(Table2[[#This Row],[Currency]]=$O$2,$P$2,HLOOKUP(Table2[[#This Row],[Date]],Funds!$C$10:$GV$11,2,FALSE)))</f>
        <v/>
      </c>
      <c r="J1545" s="215" t="str">
        <f>IF(Table2[[#This Row],[Description]]="","",Table2[[#This Row],[Value]]/Table2[[#This Row],[Conversion]])</f>
        <v/>
      </c>
      <c r="K1545" s="45" t="str">
        <f>IF(Table2[[#This Row],[Description]]="","",DATE(Table2[[#This Row],[Year]],Table2[[#This Row],[Month]],1))</f>
        <v/>
      </c>
    </row>
    <row r="1546" spans="7:11" x14ac:dyDescent="0.25">
      <c r="G1546" s="1" t="str">
        <f>IF(Table2[[#This Row],[Description]]="","",VLOOKUP(Table2[[#This Row],[Description]],$Q$1:$S$101,2,FALSE))</f>
        <v/>
      </c>
      <c r="H1546" s="1" t="str">
        <f>IF(Table2[[#This Row],[Description]]="","",VLOOKUP(Table2[[#This Row],[Description]],$Q$1:$S$101,3,FALSE))</f>
        <v/>
      </c>
      <c r="I1546" s="1" t="str">
        <f>IF(Table2[[#This Row],[Description]]="","",IF(Table2[[#This Row],[Currency]]=$O$2,$P$2,HLOOKUP(Table2[[#This Row],[Date]],Funds!$C$10:$GV$11,2,FALSE)))</f>
        <v/>
      </c>
      <c r="J1546" s="215" t="str">
        <f>IF(Table2[[#This Row],[Description]]="","",Table2[[#This Row],[Value]]/Table2[[#This Row],[Conversion]])</f>
        <v/>
      </c>
      <c r="K1546" s="45" t="str">
        <f>IF(Table2[[#This Row],[Description]]="","",DATE(Table2[[#This Row],[Year]],Table2[[#This Row],[Month]],1))</f>
        <v/>
      </c>
    </row>
    <row r="1547" spans="7:11" x14ac:dyDescent="0.25">
      <c r="G1547" s="1" t="str">
        <f>IF(Table2[[#This Row],[Description]]="","",VLOOKUP(Table2[[#This Row],[Description]],$Q$1:$S$101,2,FALSE))</f>
        <v/>
      </c>
      <c r="H1547" s="1" t="str">
        <f>IF(Table2[[#This Row],[Description]]="","",VLOOKUP(Table2[[#This Row],[Description]],$Q$1:$S$101,3,FALSE))</f>
        <v/>
      </c>
      <c r="I1547" s="1" t="str">
        <f>IF(Table2[[#This Row],[Description]]="","",IF(Table2[[#This Row],[Currency]]=$O$2,$P$2,HLOOKUP(Table2[[#This Row],[Date]],Funds!$C$10:$GV$11,2,FALSE)))</f>
        <v/>
      </c>
      <c r="J1547" s="215" t="str">
        <f>IF(Table2[[#This Row],[Description]]="","",Table2[[#This Row],[Value]]/Table2[[#This Row],[Conversion]])</f>
        <v/>
      </c>
      <c r="K1547" s="45" t="str">
        <f>IF(Table2[[#This Row],[Description]]="","",DATE(Table2[[#This Row],[Year]],Table2[[#This Row],[Month]],1))</f>
        <v/>
      </c>
    </row>
    <row r="1548" spans="7:11" x14ac:dyDescent="0.25">
      <c r="G1548" s="1" t="str">
        <f>IF(Table2[[#This Row],[Description]]="","",VLOOKUP(Table2[[#This Row],[Description]],$Q$1:$S$101,2,FALSE))</f>
        <v/>
      </c>
      <c r="H1548" s="1" t="str">
        <f>IF(Table2[[#This Row],[Description]]="","",VLOOKUP(Table2[[#This Row],[Description]],$Q$1:$S$101,3,FALSE))</f>
        <v/>
      </c>
      <c r="I1548" s="1" t="str">
        <f>IF(Table2[[#This Row],[Description]]="","",IF(Table2[[#This Row],[Currency]]=$O$2,$P$2,HLOOKUP(Table2[[#This Row],[Date]],Funds!$C$10:$GV$11,2,FALSE)))</f>
        <v/>
      </c>
      <c r="J1548" s="215" t="str">
        <f>IF(Table2[[#This Row],[Description]]="","",Table2[[#This Row],[Value]]/Table2[[#This Row],[Conversion]])</f>
        <v/>
      </c>
      <c r="K1548" s="45" t="str">
        <f>IF(Table2[[#This Row],[Description]]="","",DATE(Table2[[#This Row],[Year]],Table2[[#This Row],[Month]],1))</f>
        <v/>
      </c>
    </row>
    <row r="1549" spans="7:11" x14ac:dyDescent="0.25">
      <c r="G1549" s="1" t="str">
        <f>IF(Table2[[#This Row],[Description]]="","",VLOOKUP(Table2[[#This Row],[Description]],$Q$1:$S$101,2,FALSE))</f>
        <v/>
      </c>
      <c r="H1549" s="1" t="str">
        <f>IF(Table2[[#This Row],[Description]]="","",VLOOKUP(Table2[[#This Row],[Description]],$Q$1:$S$101,3,FALSE))</f>
        <v/>
      </c>
      <c r="I1549" s="1" t="str">
        <f>IF(Table2[[#This Row],[Description]]="","",IF(Table2[[#This Row],[Currency]]=$O$2,$P$2,HLOOKUP(Table2[[#This Row],[Date]],Funds!$C$10:$GV$11,2,FALSE)))</f>
        <v/>
      </c>
      <c r="J1549" s="215" t="str">
        <f>IF(Table2[[#This Row],[Description]]="","",Table2[[#This Row],[Value]]/Table2[[#This Row],[Conversion]])</f>
        <v/>
      </c>
      <c r="K1549" s="45" t="str">
        <f>IF(Table2[[#This Row],[Description]]="","",DATE(Table2[[#This Row],[Year]],Table2[[#This Row],[Month]],1))</f>
        <v/>
      </c>
    </row>
    <row r="1550" spans="7:11" x14ac:dyDescent="0.25">
      <c r="G1550" s="1" t="str">
        <f>IF(Table2[[#This Row],[Description]]="","",VLOOKUP(Table2[[#This Row],[Description]],$Q$1:$S$101,2,FALSE))</f>
        <v/>
      </c>
      <c r="H1550" s="1" t="str">
        <f>IF(Table2[[#This Row],[Description]]="","",VLOOKUP(Table2[[#This Row],[Description]],$Q$1:$S$101,3,FALSE))</f>
        <v/>
      </c>
      <c r="I1550" s="1" t="str">
        <f>IF(Table2[[#This Row],[Description]]="","",IF(Table2[[#This Row],[Currency]]=$O$2,$P$2,HLOOKUP(Table2[[#This Row],[Date]],Funds!$C$10:$GV$11,2,FALSE)))</f>
        <v/>
      </c>
      <c r="J1550" s="215" t="str">
        <f>IF(Table2[[#This Row],[Description]]="","",Table2[[#This Row],[Value]]/Table2[[#This Row],[Conversion]])</f>
        <v/>
      </c>
      <c r="K1550" s="45" t="str">
        <f>IF(Table2[[#This Row],[Description]]="","",DATE(Table2[[#This Row],[Year]],Table2[[#This Row],[Month]],1))</f>
        <v/>
      </c>
    </row>
    <row r="1551" spans="7:11" x14ac:dyDescent="0.25">
      <c r="G1551" s="1" t="str">
        <f>IF(Table2[[#This Row],[Description]]="","",VLOOKUP(Table2[[#This Row],[Description]],$Q$1:$S$101,2,FALSE))</f>
        <v/>
      </c>
      <c r="H1551" s="1" t="str">
        <f>IF(Table2[[#This Row],[Description]]="","",VLOOKUP(Table2[[#This Row],[Description]],$Q$1:$S$101,3,FALSE))</f>
        <v/>
      </c>
      <c r="I1551" s="1" t="str">
        <f>IF(Table2[[#This Row],[Description]]="","",IF(Table2[[#This Row],[Currency]]=$O$2,$P$2,HLOOKUP(Table2[[#This Row],[Date]],Funds!$C$10:$GV$11,2,FALSE)))</f>
        <v/>
      </c>
      <c r="J1551" s="215" t="str">
        <f>IF(Table2[[#This Row],[Description]]="","",Table2[[#This Row],[Value]]/Table2[[#This Row],[Conversion]])</f>
        <v/>
      </c>
      <c r="K1551" s="45" t="str">
        <f>IF(Table2[[#This Row],[Description]]="","",DATE(Table2[[#This Row],[Year]],Table2[[#This Row],[Month]],1))</f>
        <v/>
      </c>
    </row>
    <row r="1552" spans="7:11" x14ac:dyDescent="0.25">
      <c r="G1552" s="1" t="str">
        <f>IF(Table2[[#This Row],[Description]]="","",VLOOKUP(Table2[[#This Row],[Description]],$Q$1:$S$101,2,FALSE))</f>
        <v/>
      </c>
      <c r="H1552" s="1" t="str">
        <f>IF(Table2[[#This Row],[Description]]="","",VLOOKUP(Table2[[#This Row],[Description]],$Q$1:$S$101,3,FALSE))</f>
        <v/>
      </c>
      <c r="I1552" s="1" t="str">
        <f>IF(Table2[[#This Row],[Description]]="","",IF(Table2[[#This Row],[Currency]]=$O$2,$P$2,HLOOKUP(Table2[[#This Row],[Date]],Funds!$C$10:$GV$11,2,FALSE)))</f>
        <v/>
      </c>
      <c r="J1552" s="215" t="str">
        <f>IF(Table2[[#This Row],[Description]]="","",Table2[[#This Row],[Value]]/Table2[[#This Row],[Conversion]])</f>
        <v/>
      </c>
      <c r="K1552" s="45" t="str">
        <f>IF(Table2[[#This Row],[Description]]="","",DATE(Table2[[#This Row],[Year]],Table2[[#This Row],[Month]],1))</f>
        <v/>
      </c>
    </row>
    <row r="1553" spans="7:11" x14ac:dyDescent="0.25">
      <c r="G1553" s="1" t="str">
        <f>IF(Table2[[#This Row],[Description]]="","",VLOOKUP(Table2[[#This Row],[Description]],$Q$1:$S$101,2,FALSE))</f>
        <v/>
      </c>
      <c r="H1553" s="1" t="str">
        <f>IF(Table2[[#This Row],[Description]]="","",VLOOKUP(Table2[[#This Row],[Description]],$Q$1:$S$101,3,FALSE))</f>
        <v/>
      </c>
      <c r="I1553" s="1" t="str">
        <f>IF(Table2[[#This Row],[Description]]="","",IF(Table2[[#This Row],[Currency]]=$O$2,$P$2,HLOOKUP(Table2[[#This Row],[Date]],Funds!$C$10:$GV$11,2,FALSE)))</f>
        <v/>
      </c>
      <c r="J1553" s="215" t="str">
        <f>IF(Table2[[#This Row],[Description]]="","",Table2[[#This Row],[Value]]/Table2[[#This Row],[Conversion]])</f>
        <v/>
      </c>
      <c r="K1553" s="45" t="str">
        <f>IF(Table2[[#This Row],[Description]]="","",DATE(Table2[[#This Row],[Year]],Table2[[#This Row],[Month]],1))</f>
        <v/>
      </c>
    </row>
    <row r="1554" spans="7:11" x14ac:dyDescent="0.25">
      <c r="G1554" s="1" t="str">
        <f>IF(Table2[[#This Row],[Description]]="","",VLOOKUP(Table2[[#This Row],[Description]],$Q$1:$S$101,2,FALSE))</f>
        <v/>
      </c>
      <c r="H1554" s="1" t="str">
        <f>IF(Table2[[#This Row],[Description]]="","",VLOOKUP(Table2[[#This Row],[Description]],$Q$1:$S$101,3,FALSE))</f>
        <v/>
      </c>
      <c r="I1554" s="1" t="str">
        <f>IF(Table2[[#This Row],[Description]]="","",IF(Table2[[#This Row],[Currency]]=$O$2,$P$2,HLOOKUP(Table2[[#This Row],[Date]],Funds!$C$10:$GV$11,2,FALSE)))</f>
        <v/>
      </c>
      <c r="J1554" s="215" t="str">
        <f>IF(Table2[[#This Row],[Description]]="","",Table2[[#This Row],[Value]]/Table2[[#This Row],[Conversion]])</f>
        <v/>
      </c>
      <c r="K1554" s="45" t="str">
        <f>IF(Table2[[#This Row],[Description]]="","",DATE(Table2[[#This Row],[Year]],Table2[[#This Row],[Month]],1))</f>
        <v/>
      </c>
    </row>
    <row r="1555" spans="7:11" x14ac:dyDescent="0.25">
      <c r="G1555" s="1" t="str">
        <f>IF(Table2[[#This Row],[Description]]="","",VLOOKUP(Table2[[#This Row],[Description]],$Q$1:$S$101,2,FALSE))</f>
        <v/>
      </c>
      <c r="H1555" s="1" t="str">
        <f>IF(Table2[[#This Row],[Description]]="","",VLOOKUP(Table2[[#This Row],[Description]],$Q$1:$S$101,3,FALSE))</f>
        <v/>
      </c>
      <c r="I1555" s="1" t="str">
        <f>IF(Table2[[#This Row],[Description]]="","",IF(Table2[[#This Row],[Currency]]=$O$2,$P$2,HLOOKUP(Table2[[#This Row],[Date]],Funds!$C$10:$GV$11,2,FALSE)))</f>
        <v/>
      </c>
      <c r="J1555" s="215" t="str">
        <f>IF(Table2[[#This Row],[Description]]="","",Table2[[#This Row],[Value]]/Table2[[#This Row],[Conversion]])</f>
        <v/>
      </c>
      <c r="K1555" s="45" t="str">
        <f>IF(Table2[[#This Row],[Description]]="","",DATE(Table2[[#This Row],[Year]],Table2[[#This Row],[Month]],1))</f>
        <v/>
      </c>
    </row>
    <row r="1556" spans="7:11" x14ac:dyDescent="0.25">
      <c r="G1556" s="1" t="str">
        <f>IF(Table2[[#This Row],[Description]]="","",VLOOKUP(Table2[[#This Row],[Description]],$Q$1:$S$101,2,FALSE))</f>
        <v/>
      </c>
      <c r="H1556" s="1" t="str">
        <f>IF(Table2[[#This Row],[Description]]="","",VLOOKUP(Table2[[#This Row],[Description]],$Q$1:$S$101,3,FALSE))</f>
        <v/>
      </c>
      <c r="I1556" s="1" t="str">
        <f>IF(Table2[[#This Row],[Description]]="","",IF(Table2[[#This Row],[Currency]]=$O$2,$P$2,HLOOKUP(Table2[[#This Row],[Date]],Funds!$C$10:$GV$11,2,FALSE)))</f>
        <v/>
      </c>
      <c r="J1556" s="215" t="str">
        <f>IF(Table2[[#This Row],[Description]]="","",Table2[[#This Row],[Value]]/Table2[[#This Row],[Conversion]])</f>
        <v/>
      </c>
      <c r="K1556" s="45" t="str">
        <f>IF(Table2[[#This Row],[Description]]="","",DATE(Table2[[#This Row],[Year]],Table2[[#This Row],[Month]],1))</f>
        <v/>
      </c>
    </row>
    <row r="1557" spans="7:11" x14ac:dyDescent="0.25">
      <c r="G1557" s="1" t="str">
        <f>IF(Table2[[#This Row],[Description]]="","",VLOOKUP(Table2[[#This Row],[Description]],$Q$1:$S$101,2,FALSE))</f>
        <v/>
      </c>
      <c r="H1557" s="1" t="str">
        <f>IF(Table2[[#This Row],[Description]]="","",VLOOKUP(Table2[[#This Row],[Description]],$Q$1:$S$101,3,FALSE))</f>
        <v/>
      </c>
      <c r="I1557" s="1" t="str">
        <f>IF(Table2[[#This Row],[Description]]="","",IF(Table2[[#This Row],[Currency]]=$O$2,$P$2,HLOOKUP(Table2[[#This Row],[Date]],Funds!$C$10:$GV$11,2,FALSE)))</f>
        <v/>
      </c>
      <c r="J1557" s="215" t="str">
        <f>IF(Table2[[#This Row],[Description]]="","",Table2[[#This Row],[Value]]/Table2[[#This Row],[Conversion]])</f>
        <v/>
      </c>
      <c r="K1557" s="45" t="str">
        <f>IF(Table2[[#This Row],[Description]]="","",DATE(Table2[[#This Row],[Year]],Table2[[#This Row],[Month]],1))</f>
        <v/>
      </c>
    </row>
    <row r="1558" spans="7:11" x14ac:dyDescent="0.25">
      <c r="G1558" s="1" t="str">
        <f>IF(Table2[[#This Row],[Description]]="","",VLOOKUP(Table2[[#This Row],[Description]],$Q$1:$S$101,2,FALSE))</f>
        <v/>
      </c>
      <c r="H1558" s="1" t="str">
        <f>IF(Table2[[#This Row],[Description]]="","",VLOOKUP(Table2[[#This Row],[Description]],$Q$1:$S$101,3,FALSE))</f>
        <v/>
      </c>
      <c r="I1558" s="1" t="str">
        <f>IF(Table2[[#This Row],[Description]]="","",IF(Table2[[#This Row],[Currency]]=$O$2,$P$2,HLOOKUP(Table2[[#This Row],[Date]],Funds!$C$10:$GV$11,2,FALSE)))</f>
        <v/>
      </c>
      <c r="J1558" s="215" t="str">
        <f>IF(Table2[[#This Row],[Description]]="","",Table2[[#This Row],[Value]]/Table2[[#This Row],[Conversion]])</f>
        <v/>
      </c>
      <c r="K1558" s="45" t="str">
        <f>IF(Table2[[#This Row],[Description]]="","",DATE(Table2[[#This Row],[Year]],Table2[[#This Row],[Month]],1))</f>
        <v/>
      </c>
    </row>
    <row r="1559" spans="7:11" x14ac:dyDescent="0.25">
      <c r="G1559" s="1" t="str">
        <f>IF(Table2[[#This Row],[Description]]="","",VLOOKUP(Table2[[#This Row],[Description]],$Q$1:$S$101,2,FALSE))</f>
        <v/>
      </c>
      <c r="H1559" s="1" t="str">
        <f>IF(Table2[[#This Row],[Description]]="","",VLOOKUP(Table2[[#This Row],[Description]],$Q$1:$S$101,3,FALSE))</f>
        <v/>
      </c>
      <c r="I1559" s="1" t="str">
        <f>IF(Table2[[#This Row],[Description]]="","",IF(Table2[[#This Row],[Currency]]=$O$2,$P$2,HLOOKUP(Table2[[#This Row],[Date]],Funds!$C$10:$GV$11,2,FALSE)))</f>
        <v/>
      </c>
      <c r="J1559" s="215" t="str">
        <f>IF(Table2[[#This Row],[Description]]="","",Table2[[#This Row],[Value]]/Table2[[#This Row],[Conversion]])</f>
        <v/>
      </c>
      <c r="K1559" s="45" t="str">
        <f>IF(Table2[[#This Row],[Description]]="","",DATE(Table2[[#This Row],[Year]],Table2[[#This Row],[Month]],1))</f>
        <v/>
      </c>
    </row>
    <row r="1560" spans="7:11" x14ac:dyDescent="0.25">
      <c r="G1560" s="1" t="str">
        <f>IF(Table2[[#This Row],[Description]]="","",VLOOKUP(Table2[[#This Row],[Description]],$Q$1:$S$101,2,FALSE))</f>
        <v/>
      </c>
      <c r="H1560" s="1" t="str">
        <f>IF(Table2[[#This Row],[Description]]="","",VLOOKUP(Table2[[#This Row],[Description]],$Q$1:$S$101,3,FALSE))</f>
        <v/>
      </c>
      <c r="I1560" s="1" t="str">
        <f>IF(Table2[[#This Row],[Description]]="","",IF(Table2[[#This Row],[Currency]]=$O$2,$P$2,HLOOKUP(Table2[[#This Row],[Date]],Funds!$C$10:$GV$11,2,FALSE)))</f>
        <v/>
      </c>
      <c r="J1560" s="215" t="str">
        <f>IF(Table2[[#This Row],[Description]]="","",Table2[[#This Row],[Value]]/Table2[[#This Row],[Conversion]])</f>
        <v/>
      </c>
      <c r="K1560" s="45" t="str">
        <f>IF(Table2[[#This Row],[Description]]="","",DATE(Table2[[#This Row],[Year]],Table2[[#This Row],[Month]],1))</f>
        <v/>
      </c>
    </row>
    <row r="1561" spans="7:11" x14ac:dyDescent="0.25">
      <c r="G1561" s="1" t="str">
        <f>IF(Table2[[#This Row],[Description]]="","",VLOOKUP(Table2[[#This Row],[Description]],$Q$1:$S$101,2,FALSE))</f>
        <v/>
      </c>
      <c r="H1561" s="1" t="str">
        <f>IF(Table2[[#This Row],[Description]]="","",VLOOKUP(Table2[[#This Row],[Description]],$Q$1:$S$101,3,FALSE))</f>
        <v/>
      </c>
      <c r="I1561" s="1" t="str">
        <f>IF(Table2[[#This Row],[Description]]="","",IF(Table2[[#This Row],[Currency]]=$O$2,$P$2,HLOOKUP(Table2[[#This Row],[Date]],Funds!$C$10:$GV$11,2,FALSE)))</f>
        <v/>
      </c>
      <c r="J1561" s="215" t="str">
        <f>IF(Table2[[#This Row],[Description]]="","",Table2[[#This Row],[Value]]/Table2[[#This Row],[Conversion]])</f>
        <v/>
      </c>
      <c r="K1561" s="45" t="str">
        <f>IF(Table2[[#This Row],[Description]]="","",DATE(Table2[[#This Row],[Year]],Table2[[#This Row],[Month]],1))</f>
        <v/>
      </c>
    </row>
    <row r="1562" spans="7:11" x14ac:dyDescent="0.25">
      <c r="G1562" s="1" t="str">
        <f>IF(Table2[[#This Row],[Description]]="","",VLOOKUP(Table2[[#This Row],[Description]],$Q$1:$S$101,2,FALSE))</f>
        <v/>
      </c>
      <c r="H1562" s="1" t="str">
        <f>IF(Table2[[#This Row],[Description]]="","",VLOOKUP(Table2[[#This Row],[Description]],$Q$1:$S$101,3,FALSE))</f>
        <v/>
      </c>
      <c r="I1562" s="1" t="str">
        <f>IF(Table2[[#This Row],[Description]]="","",IF(Table2[[#This Row],[Currency]]=$O$2,$P$2,HLOOKUP(Table2[[#This Row],[Date]],Funds!$C$10:$GV$11,2,FALSE)))</f>
        <v/>
      </c>
      <c r="J1562" s="215" t="str">
        <f>IF(Table2[[#This Row],[Description]]="","",Table2[[#This Row],[Value]]/Table2[[#This Row],[Conversion]])</f>
        <v/>
      </c>
      <c r="K1562" s="45" t="str">
        <f>IF(Table2[[#This Row],[Description]]="","",DATE(Table2[[#This Row],[Year]],Table2[[#This Row],[Month]],1))</f>
        <v/>
      </c>
    </row>
    <row r="1563" spans="7:11" x14ac:dyDescent="0.25">
      <c r="G1563" s="1" t="str">
        <f>IF(Table2[[#This Row],[Description]]="","",VLOOKUP(Table2[[#This Row],[Description]],$Q$1:$S$101,2,FALSE))</f>
        <v/>
      </c>
      <c r="H1563" s="1" t="str">
        <f>IF(Table2[[#This Row],[Description]]="","",VLOOKUP(Table2[[#This Row],[Description]],$Q$1:$S$101,3,FALSE))</f>
        <v/>
      </c>
      <c r="I1563" s="1" t="str">
        <f>IF(Table2[[#This Row],[Description]]="","",IF(Table2[[#This Row],[Currency]]=$O$2,$P$2,HLOOKUP(Table2[[#This Row],[Date]],Funds!$C$10:$GV$11,2,FALSE)))</f>
        <v/>
      </c>
      <c r="J1563" s="215" t="str">
        <f>IF(Table2[[#This Row],[Description]]="","",Table2[[#This Row],[Value]]/Table2[[#This Row],[Conversion]])</f>
        <v/>
      </c>
      <c r="K1563" s="45" t="str">
        <f>IF(Table2[[#This Row],[Description]]="","",DATE(Table2[[#This Row],[Year]],Table2[[#This Row],[Month]],1))</f>
        <v/>
      </c>
    </row>
    <row r="1564" spans="7:11" x14ac:dyDescent="0.25">
      <c r="G1564" s="1" t="str">
        <f>IF(Table2[[#This Row],[Description]]="","",VLOOKUP(Table2[[#This Row],[Description]],$Q$1:$S$101,2,FALSE))</f>
        <v/>
      </c>
      <c r="H1564" s="1" t="str">
        <f>IF(Table2[[#This Row],[Description]]="","",VLOOKUP(Table2[[#This Row],[Description]],$Q$1:$S$101,3,FALSE))</f>
        <v/>
      </c>
      <c r="I1564" s="1" t="str">
        <f>IF(Table2[[#This Row],[Description]]="","",IF(Table2[[#This Row],[Currency]]=$O$2,$P$2,HLOOKUP(Table2[[#This Row],[Date]],Funds!$C$10:$GV$11,2,FALSE)))</f>
        <v/>
      </c>
      <c r="J1564" s="215" t="str">
        <f>IF(Table2[[#This Row],[Description]]="","",Table2[[#This Row],[Value]]/Table2[[#This Row],[Conversion]])</f>
        <v/>
      </c>
      <c r="K1564" s="45" t="str">
        <f>IF(Table2[[#This Row],[Description]]="","",DATE(Table2[[#This Row],[Year]],Table2[[#This Row],[Month]],1))</f>
        <v/>
      </c>
    </row>
    <row r="1565" spans="7:11" x14ac:dyDescent="0.25">
      <c r="G1565" s="1" t="str">
        <f>IF(Table2[[#This Row],[Description]]="","",VLOOKUP(Table2[[#This Row],[Description]],$Q$1:$S$101,2,FALSE))</f>
        <v/>
      </c>
      <c r="H1565" s="1" t="str">
        <f>IF(Table2[[#This Row],[Description]]="","",VLOOKUP(Table2[[#This Row],[Description]],$Q$1:$S$101,3,FALSE))</f>
        <v/>
      </c>
      <c r="I1565" s="1" t="str">
        <f>IF(Table2[[#This Row],[Description]]="","",IF(Table2[[#This Row],[Currency]]=$O$2,$P$2,HLOOKUP(Table2[[#This Row],[Date]],Funds!$C$10:$GV$11,2,FALSE)))</f>
        <v/>
      </c>
      <c r="J1565" s="215" t="str">
        <f>IF(Table2[[#This Row],[Description]]="","",Table2[[#This Row],[Value]]/Table2[[#This Row],[Conversion]])</f>
        <v/>
      </c>
      <c r="K1565" s="45" t="str">
        <f>IF(Table2[[#This Row],[Description]]="","",DATE(Table2[[#This Row],[Year]],Table2[[#This Row],[Month]],1))</f>
        <v/>
      </c>
    </row>
    <row r="1566" spans="7:11" x14ac:dyDescent="0.25">
      <c r="G1566" s="1" t="str">
        <f>IF(Table2[[#This Row],[Description]]="","",VLOOKUP(Table2[[#This Row],[Description]],$Q$1:$S$101,2,FALSE))</f>
        <v/>
      </c>
      <c r="H1566" s="1" t="str">
        <f>IF(Table2[[#This Row],[Description]]="","",VLOOKUP(Table2[[#This Row],[Description]],$Q$1:$S$101,3,FALSE))</f>
        <v/>
      </c>
      <c r="I1566" s="1" t="str">
        <f>IF(Table2[[#This Row],[Description]]="","",IF(Table2[[#This Row],[Currency]]=$O$2,$P$2,HLOOKUP(Table2[[#This Row],[Date]],Funds!$C$10:$GV$11,2,FALSE)))</f>
        <v/>
      </c>
      <c r="J1566" s="215" t="str">
        <f>IF(Table2[[#This Row],[Description]]="","",Table2[[#This Row],[Value]]/Table2[[#This Row],[Conversion]])</f>
        <v/>
      </c>
      <c r="K1566" s="45" t="str">
        <f>IF(Table2[[#This Row],[Description]]="","",DATE(Table2[[#This Row],[Year]],Table2[[#This Row],[Month]],1))</f>
        <v/>
      </c>
    </row>
    <row r="1567" spans="7:11" x14ac:dyDescent="0.25">
      <c r="G1567" s="1" t="str">
        <f>IF(Table2[[#This Row],[Description]]="","",VLOOKUP(Table2[[#This Row],[Description]],$Q$1:$S$101,2,FALSE))</f>
        <v/>
      </c>
      <c r="H1567" s="1" t="str">
        <f>IF(Table2[[#This Row],[Description]]="","",VLOOKUP(Table2[[#This Row],[Description]],$Q$1:$S$101,3,FALSE))</f>
        <v/>
      </c>
      <c r="I1567" s="1" t="str">
        <f>IF(Table2[[#This Row],[Description]]="","",IF(Table2[[#This Row],[Currency]]=$O$2,$P$2,HLOOKUP(Table2[[#This Row],[Date]],Funds!$C$10:$GV$11,2,FALSE)))</f>
        <v/>
      </c>
      <c r="J1567" s="215" t="str">
        <f>IF(Table2[[#This Row],[Description]]="","",Table2[[#This Row],[Value]]/Table2[[#This Row],[Conversion]])</f>
        <v/>
      </c>
      <c r="K1567" s="45" t="str">
        <f>IF(Table2[[#This Row],[Description]]="","",DATE(Table2[[#This Row],[Year]],Table2[[#This Row],[Month]],1))</f>
        <v/>
      </c>
    </row>
    <row r="1568" spans="7:11" x14ac:dyDescent="0.25">
      <c r="G1568" s="1" t="str">
        <f>IF(Table2[[#This Row],[Description]]="","",VLOOKUP(Table2[[#This Row],[Description]],$Q$1:$S$101,2,FALSE))</f>
        <v/>
      </c>
      <c r="H1568" s="1" t="str">
        <f>IF(Table2[[#This Row],[Description]]="","",VLOOKUP(Table2[[#This Row],[Description]],$Q$1:$S$101,3,FALSE))</f>
        <v/>
      </c>
      <c r="I1568" s="1" t="str">
        <f>IF(Table2[[#This Row],[Description]]="","",IF(Table2[[#This Row],[Currency]]=$O$2,$P$2,HLOOKUP(Table2[[#This Row],[Date]],Funds!$C$10:$GV$11,2,FALSE)))</f>
        <v/>
      </c>
      <c r="J1568" s="215" t="str">
        <f>IF(Table2[[#This Row],[Description]]="","",Table2[[#This Row],[Value]]/Table2[[#This Row],[Conversion]])</f>
        <v/>
      </c>
      <c r="K1568" s="45" t="str">
        <f>IF(Table2[[#This Row],[Description]]="","",DATE(Table2[[#This Row],[Year]],Table2[[#This Row],[Month]],1))</f>
        <v/>
      </c>
    </row>
    <row r="1569" spans="7:11" x14ac:dyDescent="0.25">
      <c r="G1569" s="1" t="str">
        <f>IF(Table2[[#This Row],[Description]]="","",VLOOKUP(Table2[[#This Row],[Description]],$Q$1:$S$101,2,FALSE))</f>
        <v/>
      </c>
      <c r="H1569" s="1" t="str">
        <f>IF(Table2[[#This Row],[Description]]="","",VLOOKUP(Table2[[#This Row],[Description]],$Q$1:$S$101,3,FALSE))</f>
        <v/>
      </c>
      <c r="I1569" s="1" t="str">
        <f>IF(Table2[[#This Row],[Description]]="","",IF(Table2[[#This Row],[Currency]]=$O$2,$P$2,HLOOKUP(Table2[[#This Row],[Date]],Funds!$C$10:$GV$11,2,FALSE)))</f>
        <v/>
      </c>
      <c r="J1569" s="215" t="str">
        <f>IF(Table2[[#This Row],[Description]]="","",Table2[[#This Row],[Value]]/Table2[[#This Row],[Conversion]])</f>
        <v/>
      </c>
      <c r="K1569" s="45" t="str">
        <f>IF(Table2[[#This Row],[Description]]="","",DATE(Table2[[#This Row],[Year]],Table2[[#This Row],[Month]],1))</f>
        <v/>
      </c>
    </row>
    <row r="1570" spans="7:11" x14ac:dyDescent="0.25">
      <c r="G1570" s="1" t="str">
        <f>IF(Table2[[#This Row],[Description]]="","",VLOOKUP(Table2[[#This Row],[Description]],$Q$1:$S$101,2,FALSE))</f>
        <v/>
      </c>
      <c r="H1570" s="1" t="str">
        <f>IF(Table2[[#This Row],[Description]]="","",VLOOKUP(Table2[[#This Row],[Description]],$Q$1:$S$101,3,FALSE))</f>
        <v/>
      </c>
      <c r="I1570" s="1" t="str">
        <f>IF(Table2[[#This Row],[Description]]="","",IF(Table2[[#This Row],[Currency]]=$O$2,$P$2,HLOOKUP(Table2[[#This Row],[Date]],Funds!$C$10:$GV$11,2,FALSE)))</f>
        <v/>
      </c>
      <c r="J1570" s="215" t="str">
        <f>IF(Table2[[#This Row],[Description]]="","",Table2[[#This Row],[Value]]/Table2[[#This Row],[Conversion]])</f>
        <v/>
      </c>
      <c r="K1570" s="45" t="str">
        <f>IF(Table2[[#This Row],[Description]]="","",DATE(Table2[[#This Row],[Year]],Table2[[#This Row],[Month]],1))</f>
        <v/>
      </c>
    </row>
    <row r="1571" spans="7:11" x14ac:dyDescent="0.25">
      <c r="G1571" s="1" t="str">
        <f>IF(Table2[[#This Row],[Description]]="","",VLOOKUP(Table2[[#This Row],[Description]],$Q$1:$S$101,2,FALSE))</f>
        <v/>
      </c>
      <c r="H1571" s="1" t="str">
        <f>IF(Table2[[#This Row],[Description]]="","",VLOOKUP(Table2[[#This Row],[Description]],$Q$1:$S$101,3,FALSE))</f>
        <v/>
      </c>
      <c r="I1571" s="1" t="str">
        <f>IF(Table2[[#This Row],[Description]]="","",IF(Table2[[#This Row],[Currency]]=$O$2,$P$2,HLOOKUP(Table2[[#This Row],[Date]],Funds!$C$10:$GV$11,2,FALSE)))</f>
        <v/>
      </c>
      <c r="J1571" s="215" t="str">
        <f>IF(Table2[[#This Row],[Description]]="","",Table2[[#This Row],[Value]]/Table2[[#This Row],[Conversion]])</f>
        <v/>
      </c>
      <c r="K1571" s="45" t="str">
        <f>IF(Table2[[#This Row],[Description]]="","",DATE(Table2[[#This Row],[Year]],Table2[[#This Row],[Month]],1))</f>
        <v/>
      </c>
    </row>
    <row r="1572" spans="7:11" x14ac:dyDescent="0.25">
      <c r="G1572" s="1" t="str">
        <f>IF(Table2[[#This Row],[Description]]="","",VLOOKUP(Table2[[#This Row],[Description]],$Q$1:$S$101,2,FALSE))</f>
        <v/>
      </c>
      <c r="H1572" s="1" t="str">
        <f>IF(Table2[[#This Row],[Description]]="","",VLOOKUP(Table2[[#This Row],[Description]],$Q$1:$S$101,3,FALSE))</f>
        <v/>
      </c>
      <c r="I1572" s="1" t="str">
        <f>IF(Table2[[#This Row],[Description]]="","",IF(Table2[[#This Row],[Currency]]=$O$2,$P$2,HLOOKUP(Table2[[#This Row],[Date]],Funds!$C$10:$GV$11,2,FALSE)))</f>
        <v/>
      </c>
      <c r="J1572" s="215" t="str">
        <f>IF(Table2[[#This Row],[Description]]="","",Table2[[#This Row],[Value]]/Table2[[#This Row],[Conversion]])</f>
        <v/>
      </c>
      <c r="K1572" s="45" t="str">
        <f>IF(Table2[[#This Row],[Description]]="","",DATE(Table2[[#This Row],[Year]],Table2[[#This Row],[Month]],1))</f>
        <v/>
      </c>
    </row>
    <row r="1573" spans="7:11" x14ac:dyDescent="0.25">
      <c r="G1573" s="1" t="str">
        <f>IF(Table2[[#This Row],[Description]]="","",VLOOKUP(Table2[[#This Row],[Description]],$Q$1:$S$101,2,FALSE))</f>
        <v/>
      </c>
      <c r="H1573" s="1" t="str">
        <f>IF(Table2[[#This Row],[Description]]="","",VLOOKUP(Table2[[#This Row],[Description]],$Q$1:$S$101,3,FALSE))</f>
        <v/>
      </c>
      <c r="I1573" s="1" t="str">
        <f>IF(Table2[[#This Row],[Description]]="","",IF(Table2[[#This Row],[Currency]]=$O$2,$P$2,HLOOKUP(Table2[[#This Row],[Date]],Funds!$C$10:$GV$11,2,FALSE)))</f>
        <v/>
      </c>
      <c r="J1573" s="215" t="str">
        <f>IF(Table2[[#This Row],[Description]]="","",Table2[[#This Row],[Value]]/Table2[[#This Row],[Conversion]])</f>
        <v/>
      </c>
      <c r="K1573" s="45" t="str">
        <f>IF(Table2[[#This Row],[Description]]="","",DATE(Table2[[#This Row],[Year]],Table2[[#This Row],[Month]],1))</f>
        <v/>
      </c>
    </row>
    <row r="1574" spans="7:11" x14ac:dyDescent="0.25">
      <c r="G1574" s="1" t="str">
        <f>IF(Table2[[#This Row],[Description]]="","",VLOOKUP(Table2[[#This Row],[Description]],$Q$1:$S$101,2,FALSE))</f>
        <v/>
      </c>
      <c r="H1574" s="1" t="str">
        <f>IF(Table2[[#This Row],[Description]]="","",VLOOKUP(Table2[[#This Row],[Description]],$Q$1:$S$101,3,FALSE))</f>
        <v/>
      </c>
      <c r="I1574" s="1" t="str">
        <f>IF(Table2[[#This Row],[Description]]="","",IF(Table2[[#This Row],[Currency]]=$O$2,$P$2,HLOOKUP(Table2[[#This Row],[Date]],Funds!$C$10:$GV$11,2,FALSE)))</f>
        <v/>
      </c>
      <c r="J1574" s="215" t="str">
        <f>IF(Table2[[#This Row],[Description]]="","",Table2[[#This Row],[Value]]/Table2[[#This Row],[Conversion]])</f>
        <v/>
      </c>
      <c r="K1574" s="45" t="str">
        <f>IF(Table2[[#This Row],[Description]]="","",DATE(Table2[[#This Row],[Year]],Table2[[#This Row],[Month]],1))</f>
        <v/>
      </c>
    </row>
    <row r="1575" spans="7:11" x14ac:dyDescent="0.25">
      <c r="G1575" s="1" t="str">
        <f>IF(Table2[[#This Row],[Description]]="","",VLOOKUP(Table2[[#This Row],[Description]],$Q$1:$S$101,2,FALSE))</f>
        <v/>
      </c>
      <c r="H1575" s="1" t="str">
        <f>IF(Table2[[#This Row],[Description]]="","",VLOOKUP(Table2[[#This Row],[Description]],$Q$1:$S$101,3,FALSE))</f>
        <v/>
      </c>
      <c r="I1575" s="1" t="str">
        <f>IF(Table2[[#This Row],[Description]]="","",IF(Table2[[#This Row],[Currency]]=$O$2,$P$2,HLOOKUP(Table2[[#This Row],[Date]],Funds!$C$10:$GV$11,2,FALSE)))</f>
        <v/>
      </c>
      <c r="J1575" s="215" t="str">
        <f>IF(Table2[[#This Row],[Description]]="","",Table2[[#This Row],[Value]]/Table2[[#This Row],[Conversion]])</f>
        <v/>
      </c>
      <c r="K1575" s="45" t="str">
        <f>IF(Table2[[#This Row],[Description]]="","",DATE(Table2[[#This Row],[Year]],Table2[[#This Row],[Month]],1))</f>
        <v/>
      </c>
    </row>
    <row r="1576" spans="7:11" x14ac:dyDescent="0.25">
      <c r="G1576" s="1" t="str">
        <f>IF(Table2[[#This Row],[Description]]="","",VLOOKUP(Table2[[#This Row],[Description]],$Q$1:$S$101,2,FALSE))</f>
        <v/>
      </c>
      <c r="H1576" s="1" t="str">
        <f>IF(Table2[[#This Row],[Description]]="","",VLOOKUP(Table2[[#This Row],[Description]],$Q$1:$S$101,3,FALSE))</f>
        <v/>
      </c>
      <c r="I1576" s="1" t="str">
        <f>IF(Table2[[#This Row],[Description]]="","",IF(Table2[[#This Row],[Currency]]=$O$2,$P$2,HLOOKUP(Table2[[#This Row],[Date]],Funds!$C$10:$GV$11,2,FALSE)))</f>
        <v/>
      </c>
      <c r="J1576" s="215" t="str">
        <f>IF(Table2[[#This Row],[Description]]="","",Table2[[#This Row],[Value]]/Table2[[#This Row],[Conversion]])</f>
        <v/>
      </c>
      <c r="K1576" s="45" t="str">
        <f>IF(Table2[[#This Row],[Description]]="","",DATE(Table2[[#This Row],[Year]],Table2[[#This Row],[Month]],1))</f>
        <v/>
      </c>
    </row>
    <row r="1577" spans="7:11" x14ac:dyDescent="0.25">
      <c r="G1577" s="1" t="str">
        <f>IF(Table2[[#This Row],[Description]]="","",VLOOKUP(Table2[[#This Row],[Description]],$Q$1:$S$101,2,FALSE))</f>
        <v/>
      </c>
      <c r="H1577" s="1" t="str">
        <f>IF(Table2[[#This Row],[Description]]="","",VLOOKUP(Table2[[#This Row],[Description]],$Q$1:$S$101,3,FALSE))</f>
        <v/>
      </c>
      <c r="I1577" s="1" t="str">
        <f>IF(Table2[[#This Row],[Description]]="","",IF(Table2[[#This Row],[Currency]]=$O$2,$P$2,HLOOKUP(Table2[[#This Row],[Date]],Funds!$C$10:$GV$11,2,FALSE)))</f>
        <v/>
      </c>
      <c r="J1577" s="215" t="str">
        <f>IF(Table2[[#This Row],[Description]]="","",Table2[[#This Row],[Value]]/Table2[[#This Row],[Conversion]])</f>
        <v/>
      </c>
      <c r="K1577" s="45" t="str">
        <f>IF(Table2[[#This Row],[Description]]="","",DATE(Table2[[#This Row],[Year]],Table2[[#This Row],[Month]],1))</f>
        <v/>
      </c>
    </row>
    <row r="1578" spans="7:11" x14ac:dyDescent="0.25">
      <c r="G1578" s="1" t="str">
        <f>IF(Table2[[#This Row],[Description]]="","",VLOOKUP(Table2[[#This Row],[Description]],$Q$1:$S$101,2,FALSE))</f>
        <v/>
      </c>
      <c r="H1578" s="1" t="str">
        <f>IF(Table2[[#This Row],[Description]]="","",VLOOKUP(Table2[[#This Row],[Description]],$Q$1:$S$101,3,FALSE))</f>
        <v/>
      </c>
      <c r="I1578" s="1" t="str">
        <f>IF(Table2[[#This Row],[Description]]="","",IF(Table2[[#This Row],[Currency]]=$O$2,$P$2,HLOOKUP(Table2[[#This Row],[Date]],Funds!$C$10:$GV$11,2,FALSE)))</f>
        <v/>
      </c>
      <c r="J1578" s="215" t="str">
        <f>IF(Table2[[#This Row],[Description]]="","",Table2[[#This Row],[Value]]/Table2[[#This Row],[Conversion]])</f>
        <v/>
      </c>
      <c r="K1578" s="45" t="str">
        <f>IF(Table2[[#This Row],[Description]]="","",DATE(Table2[[#This Row],[Year]],Table2[[#This Row],[Month]],1))</f>
        <v/>
      </c>
    </row>
    <row r="1579" spans="7:11" x14ac:dyDescent="0.25">
      <c r="G1579" s="1" t="str">
        <f>IF(Table2[[#This Row],[Description]]="","",VLOOKUP(Table2[[#This Row],[Description]],$Q$1:$S$101,2,FALSE))</f>
        <v/>
      </c>
      <c r="H1579" s="1" t="str">
        <f>IF(Table2[[#This Row],[Description]]="","",VLOOKUP(Table2[[#This Row],[Description]],$Q$1:$S$101,3,FALSE))</f>
        <v/>
      </c>
      <c r="I1579" s="1" t="str">
        <f>IF(Table2[[#This Row],[Description]]="","",IF(Table2[[#This Row],[Currency]]=$O$2,$P$2,HLOOKUP(Table2[[#This Row],[Date]],Funds!$C$10:$GV$11,2,FALSE)))</f>
        <v/>
      </c>
      <c r="J1579" s="215" t="str">
        <f>IF(Table2[[#This Row],[Description]]="","",Table2[[#This Row],[Value]]/Table2[[#This Row],[Conversion]])</f>
        <v/>
      </c>
      <c r="K1579" s="45" t="str">
        <f>IF(Table2[[#This Row],[Description]]="","",DATE(Table2[[#This Row],[Year]],Table2[[#This Row],[Month]],1))</f>
        <v/>
      </c>
    </row>
    <row r="1580" spans="7:11" x14ac:dyDescent="0.25">
      <c r="G1580" s="1" t="str">
        <f>IF(Table2[[#This Row],[Description]]="","",VLOOKUP(Table2[[#This Row],[Description]],$Q$1:$S$101,2,FALSE))</f>
        <v/>
      </c>
      <c r="H1580" s="1" t="str">
        <f>IF(Table2[[#This Row],[Description]]="","",VLOOKUP(Table2[[#This Row],[Description]],$Q$1:$S$101,3,FALSE))</f>
        <v/>
      </c>
      <c r="I1580" s="1" t="str">
        <f>IF(Table2[[#This Row],[Description]]="","",IF(Table2[[#This Row],[Currency]]=$O$2,$P$2,HLOOKUP(Table2[[#This Row],[Date]],Funds!$C$10:$GV$11,2,FALSE)))</f>
        <v/>
      </c>
      <c r="J1580" s="215" t="str">
        <f>IF(Table2[[#This Row],[Description]]="","",Table2[[#This Row],[Value]]/Table2[[#This Row],[Conversion]])</f>
        <v/>
      </c>
      <c r="K1580" s="45" t="str">
        <f>IF(Table2[[#This Row],[Description]]="","",DATE(Table2[[#This Row],[Year]],Table2[[#This Row],[Month]],1))</f>
        <v/>
      </c>
    </row>
    <row r="1581" spans="7:11" x14ac:dyDescent="0.25">
      <c r="G1581" s="1" t="str">
        <f>IF(Table2[[#This Row],[Description]]="","",VLOOKUP(Table2[[#This Row],[Description]],$Q$1:$S$101,2,FALSE))</f>
        <v/>
      </c>
      <c r="H1581" s="1" t="str">
        <f>IF(Table2[[#This Row],[Description]]="","",VLOOKUP(Table2[[#This Row],[Description]],$Q$1:$S$101,3,FALSE))</f>
        <v/>
      </c>
      <c r="I1581" s="1" t="str">
        <f>IF(Table2[[#This Row],[Description]]="","",IF(Table2[[#This Row],[Currency]]=$O$2,$P$2,HLOOKUP(Table2[[#This Row],[Date]],Funds!$C$10:$GV$11,2,FALSE)))</f>
        <v/>
      </c>
      <c r="J1581" s="215" t="str">
        <f>IF(Table2[[#This Row],[Description]]="","",Table2[[#This Row],[Value]]/Table2[[#This Row],[Conversion]])</f>
        <v/>
      </c>
      <c r="K1581" s="45" t="str">
        <f>IF(Table2[[#This Row],[Description]]="","",DATE(Table2[[#This Row],[Year]],Table2[[#This Row],[Month]],1))</f>
        <v/>
      </c>
    </row>
    <row r="1582" spans="7:11" x14ac:dyDescent="0.25">
      <c r="G1582" s="1" t="str">
        <f>IF(Table2[[#This Row],[Description]]="","",VLOOKUP(Table2[[#This Row],[Description]],$Q$1:$S$101,2,FALSE))</f>
        <v/>
      </c>
      <c r="H1582" s="1" t="str">
        <f>IF(Table2[[#This Row],[Description]]="","",VLOOKUP(Table2[[#This Row],[Description]],$Q$1:$S$101,3,FALSE))</f>
        <v/>
      </c>
      <c r="I1582" s="1" t="str">
        <f>IF(Table2[[#This Row],[Description]]="","",IF(Table2[[#This Row],[Currency]]=$O$2,$P$2,HLOOKUP(Table2[[#This Row],[Date]],Funds!$C$10:$GV$11,2,FALSE)))</f>
        <v/>
      </c>
      <c r="J1582" s="215" t="str">
        <f>IF(Table2[[#This Row],[Description]]="","",Table2[[#This Row],[Value]]/Table2[[#This Row],[Conversion]])</f>
        <v/>
      </c>
      <c r="K1582" s="45" t="str">
        <f>IF(Table2[[#This Row],[Description]]="","",DATE(Table2[[#This Row],[Year]],Table2[[#This Row],[Month]],1))</f>
        <v/>
      </c>
    </row>
    <row r="1583" spans="7:11" x14ac:dyDescent="0.25">
      <c r="G1583" s="1" t="str">
        <f>IF(Table2[[#This Row],[Description]]="","",VLOOKUP(Table2[[#This Row],[Description]],$Q$1:$S$101,2,FALSE))</f>
        <v/>
      </c>
      <c r="H1583" s="1" t="str">
        <f>IF(Table2[[#This Row],[Description]]="","",VLOOKUP(Table2[[#This Row],[Description]],$Q$1:$S$101,3,FALSE))</f>
        <v/>
      </c>
      <c r="I1583" s="1" t="str">
        <f>IF(Table2[[#This Row],[Description]]="","",IF(Table2[[#This Row],[Currency]]=$O$2,$P$2,HLOOKUP(Table2[[#This Row],[Date]],Funds!$C$10:$GV$11,2,FALSE)))</f>
        <v/>
      </c>
      <c r="J1583" s="215" t="str">
        <f>IF(Table2[[#This Row],[Description]]="","",Table2[[#This Row],[Value]]/Table2[[#This Row],[Conversion]])</f>
        <v/>
      </c>
      <c r="K1583" s="45" t="str">
        <f>IF(Table2[[#This Row],[Description]]="","",DATE(Table2[[#This Row],[Year]],Table2[[#This Row],[Month]],1))</f>
        <v/>
      </c>
    </row>
    <row r="1584" spans="7:11" x14ac:dyDescent="0.25">
      <c r="G1584" s="1" t="str">
        <f>IF(Table2[[#This Row],[Description]]="","",VLOOKUP(Table2[[#This Row],[Description]],$Q$1:$S$101,2,FALSE))</f>
        <v/>
      </c>
      <c r="H1584" s="1" t="str">
        <f>IF(Table2[[#This Row],[Description]]="","",VLOOKUP(Table2[[#This Row],[Description]],$Q$1:$S$101,3,FALSE))</f>
        <v/>
      </c>
      <c r="I1584" s="1" t="str">
        <f>IF(Table2[[#This Row],[Description]]="","",IF(Table2[[#This Row],[Currency]]=$O$2,$P$2,HLOOKUP(Table2[[#This Row],[Date]],Funds!$C$10:$GV$11,2,FALSE)))</f>
        <v/>
      </c>
      <c r="J1584" s="215" t="str">
        <f>IF(Table2[[#This Row],[Description]]="","",Table2[[#This Row],[Value]]/Table2[[#This Row],[Conversion]])</f>
        <v/>
      </c>
      <c r="K1584" s="45" t="str">
        <f>IF(Table2[[#This Row],[Description]]="","",DATE(Table2[[#This Row],[Year]],Table2[[#This Row],[Month]],1))</f>
        <v/>
      </c>
    </row>
    <row r="1585" spans="7:11" x14ac:dyDescent="0.25">
      <c r="G1585" s="1" t="str">
        <f>IF(Table2[[#This Row],[Description]]="","",VLOOKUP(Table2[[#This Row],[Description]],$Q$1:$S$101,2,FALSE))</f>
        <v/>
      </c>
      <c r="H1585" s="1" t="str">
        <f>IF(Table2[[#This Row],[Description]]="","",VLOOKUP(Table2[[#This Row],[Description]],$Q$1:$S$101,3,FALSE))</f>
        <v/>
      </c>
      <c r="I1585" s="1" t="str">
        <f>IF(Table2[[#This Row],[Description]]="","",IF(Table2[[#This Row],[Currency]]=$O$2,$P$2,HLOOKUP(Table2[[#This Row],[Date]],Funds!$C$10:$GV$11,2,FALSE)))</f>
        <v/>
      </c>
      <c r="J1585" s="215" t="str">
        <f>IF(Table2[[#This Row],[Description]]="","",Table2[[#This Row],[Value]]/Table2[[#This Row],[Conversion]])</f>
        <v/>
      </c>
      <c r="K1585" s="45" t="str">
        <f>IF(Table2[[#This Row],[Description]]="","",DATE(Table2[[#This Row],[Year]],Table2[[#This Row],[Month]],1))</f>
        <v/>
      </c>
    </row>
    <row r="1586" spans="7:11" x14ac:dyDescent="0.25">
      <c r="G1586" s="1" t="str">
        <f>IF(Table2[[#This Row],[Description]]="","",VLOOKUP(Table2[[#This Row],[Description]],$Q$1:$S$101,2,FALSE))</f>
        <v/>
      </c>
      <c r="H1586" s="1" t="str">
        <f>IF(Table2[[#This Row],[Description]]="","",VLOOKUP(Table2[[#This Row],[Description]],$Q$1:$S$101,3,FALSE))</f>
        <v/>
      </c>
      <c r="I1586" s="1" t="str">
        <f>IF(Table2[[#This Row],[Description]]="","",IF(Table2[[#This Row],[Currency]]=$O$2,$P$2,HLOOKUP(Table2[[#This Row],[Date]],Funds!$C$10:$GV$11,2,FALSE)))</f>
        <v/>
      </c>
      <c r="J1586" s="215" t="str">
        <f>IF(Table2[[#This Row],[Description]]="","",Table2[[#This Row],[Value]]/Table2[[#This Row],[Conversion]])</f>
        <v/>
      </c>
      <c r="K1586" s="45" t="str">
        <f>IF(Table2[[#This Row],[Description]]="","",DATE(Table2[[#This Row],[Year]],Table2[[#This Row],[Month]],1))</f>
        <v/>
      </c>
    </row>
    <row r="1587" spans="7:11" x14ac:dyDescent="0.25">
      <c r="G1587" s="1" t="str">
        <f>IF(Table2[[#This Row],[Description]]="","",VLOOKUP(Table2[[#This Row],[Description]],$Q$1:$S$101,2,FALSE))</f>
        <v/>
      </c>
      <c r="H1587" s="1" t="str">
        <f>IF(Table2[[#This Row],[Description]]="","",VLOOKUP(Table2[[#This Row],[Description]],$Q$1:$S$101,3,FALSE))</f>
        <v/>
      </c>
      <c r="I1587" s="1" t="str">
        <f>IF(Table2[[#This Row],[Description]]="","",IF(Table2[[#This Row],[Currency]]=$O$2,$P$2,HLOOKUP(Table2[[#This Row],[Date]],Funds!$C$10:$GV$11,2,FALSE)))</f>
        <v/>
      </c>
      <c r="J1587" s="215" t="str">
        <f>IF(Table2[[#This Row],[Description]]="","",Table2[[#This Row],[Value]]/Table2[[#This Row],[Conversion]])</f>
        <v/>
      </c>
      <c r="K1587" s="45" t="str">
        <f>IF(Table2[[#This Row],[Description]]="","",DATE(Table2[[#This Row],[Year]],Table2[[#This Row],[Month]],1))</f>
        <v/>
      </c>
    </row>
    <row r="1588" spans="7:11" x14ac:dyDescent="0.25">
      <c r="G1588" s="1" t="str">
        <f>IF(Table2[[#This Row],[Description]]="","",VLOOKUP(Table2[[#This Row],[Description]],$Q$1:$S$101,2,FALSE))</f>
        <v/>
      </c>
      <c r="H1588" s="1" t="str">
        <f>IF(Table2[[#This Row],[Description]]="","",VLOOKUP(Table2[[#This Row],[Description]],$Q$1:$S$101,3,FALSE))</f>
        <v/>
      </c>
      <c r="I1588" s="1" t="str">
        <f>IF(Table2[[#This Row],[Description]]="","",IF(Table2[[#This Row],[Currency]]=$O$2,$P$2,HLOOKUP(Table2[[#This Row],[Date]],Funds!$C$10:$GV$11,2,FALSE)))</f>
        <v/>
      </c>
      <c r="J1588" s="215" t="str">
        <f>IF(Table2[[#This Row],[Description]]="","",Table2[[#This Row],[Value]]/Table2[[#This Row],[Conversion]])</f>
        <v/>
      </c>
      <c r="K1588" s="45" t="str">
        <f>IF(Table2[[#This Row],[Description]]="","",DATE(Table2[[#This Row],[Year]],Table2[[#This Row],[Month]],1))</f>
        <v/>
      </c>
    </row>
    <row r="1589" spans="7:11" x14ac:dyDescent="0.25">
      <c r="G1589" s="1" t="str">
        <f>IF(Table2[[#This Row],[Description]]="","",VLOOKUP(Table2[[#This Row],[Description]],$Q$1:$S$101,2,FALSE))</f>
        <v/>
      </c>
      <c r="H1589" s="1" t="str">
        <f>IF(Table2[[#This Row],[Description]]="","",VLOOKUP(Table2[[#This Row],[Description]],$Q$1:$S$101,3,FALSE))</f>
        <v/>
      </c>
      <c r="I1589" s="1" t="str">
        <f>IF(Table2[[#This Row],[Description]]="","",IF(Table2[[#This Row],[Currency]]=$O$2,$P$2,HLOOKUP(Table2[[#This Row],[Date]],Funds!$C$10:$GV$11,2,FALSE)))</f>
        <v/>
      </c>
      <c r="J1589" s="215" t="str">
        <f>IF(Table2[[#This Row],[Description]]="","",Table2[[#This Row],[Value]]/Table2[[#This Row],[Conversion]])</f>
        <v/>
      </c>
      <c r="K1589" s="45" t="str">
        <f>IF(Table2[[#This Row],[Description]]="","",DATE(Table2[[#This Row],[Year]],Table2[[#This Row],[Month]],1))</f>
        <v/>
      </c>
    </row>
    <row r="1590" spans="7:11" x14ac:dyDescent="0.25">
      <c r="G1590" s="1" t="str">
        <f>IF(Table2[[#This Row],[Description]]="","",VLOOKUP(Table2[[#This Row],[Description]],$Q$1:$S$101,2,FALSE))</f>
        <v/>
      </c>
      <c r="H1590" s="1" t="str">
        <f>IF(Table2[[#This Row],[Description]]="","",VLOOKUP(Table2[[#This Row],[Description]],$Q$1:$S$101,3,FALSE))</f>
        <v/>
      </c>
      <c r="I1590" s="1" t="str">
        <f>IF(Table2[[#This Row],[Description]]="","",IF(Table2[[#This Row],[Currency]]=$O$2,$P$2,HLOOKUP(Table2[[#This Row],[Date]],Funds!$C$10:$GV$11,2,FALSE)))</f>
        <v/>
      </c>
      <c r="J1590" s="215" t="str">
        <f>IF(Table2[[#This Row],[Description]]="","",Table2[[#This Row],[Value]]/Table2[[#This Row],[Conversion]])</f>
        <v/>
      </c>
      <c r="K1590" s="45" t="str">
        <f>IF(Table2[[#This Row],[Description]]="","",DATE(Table2[[#This Row],[Year]],Table2[[#This Row],[Month]],1))</f>
        <v/>
      </c>
    </row>
    <row r="1591" spans="7:11" x14ac:dyDescent="0.25">
      <c r="G1591" s="1" t="str">
        <f>IF(Table2[[#This Row],[Description]]="","",VLOOKUP(Table2[[#This Row],[Description]],$Q$1:$S$101,2,FALSE))</f>
        <v/>
      </c>
      <c r="H1591" s="1" t="str">
        <f>IF(Table2[[#This Row],[Description]]="","",VLOOKUP(Table2[[#This Row],[Description]],$Q$1:$S$101,3,FALSE))</f>
        <v/>
      </c>
      <c r="I1591" s="1" t="str">
        <f>IF(Table2[[#This Row],[Description]]="","",IF(Table2[[#This Row],[Currency]]=$O$2,$P$2,HLOOKUP(Table2[[#This Row],[Date]],Funds!$C$10:$GV$11,2,FALSE)))</f>
        <v/>
      </c>
      <c r="J1591" s="215" t="str">
        <f>IF(Table2[[#This Row],[Description]]="","",Table2[[#This Row],[Value]]/Table2[[#This Row],[Conversion]])</f>
        <v/>
      </c>
      <c r="K1591" s="45" t="str">
        <f>IF(Table2[[#This Row],[Description]]="","",DATE(Table2[[#This Row],[Year]],Table2[[#This Row],[Month]],1))</f>
        <v/>
      </c>
    </row>
    <row r="1592" spans="7:11" x14ac:dyDescent="0.25">
      <c r="G1592" s="1" t="str">
        <f>IF(Table2[[#This Row],[Description]]="","",VLOOKUP(Table2[[#This Row],[Description]],$Q$1:$S$101,2,FALSE))</f>
        <v/>
      </c>
      <c r="H1592" s="1" t="str">
        <f>IF(Table2[[#This Row],[Description]]="","",VLOOKUP(Table2[[#This Row],[Description]],$Q$1:$S$101,3,FALSE))</f>
        <v/>
      </c>
      <c r="I1592" s="1" t="str">
        <f>IF(Table2[[#This Row],[Description]]="","",IF(Table2[[#This Row],[Currency]]=$O$2,$P$2,HLOOKUP(Table2[[#This Row],[Date]],Funds!$C$10:$GV$11,2,FALSE)))</f>
        <v/>
      </c>
      <c r="J1592" s="215" t="str">
        <f>IF(Table2[[#This Row],[Description]]="","",Table2[[#This Row],[Value]]/Table2[[#This Row],[Conversion]])</f>
        <v/>
      </c>
      <c r="K1592" s="45" t="str">
        <f>IF(Table2[[#This Row],[Description]]="","",DATE(Table2[[#This Row],[Year]],Table2[[#This Row],[Month]],1))</f>
        <v/>
      </c>
    </row>
    <row r="1593" spans="7:11" x14ac:dyDescent="0.25">
      <c r="G1593" s="1" t="str">
        <f>IF(Table2[[#This Row],[Description]]="","",VLOOKUP(Table2[[#This Row],[Description]],$Q$1:$S$101,2,FALSE))</f>
        <v/>
      </c>
      <c r="H1593" s="1" t="str">
        <f>IF(Table2[[#This Row],[Description]]="","",VLOOKUP(Table2[[#This Row],[Description]],$Q$1:$S$101,3,FALSE))</f>
        <v/>
      </c>
      <c r="I1593" s="1" t="str">
        <f>IF(Table2[[#This Row],[Description]]="","",IF(Table2[[#This Row],[Currency]]=$O$2,$P$2,HLOOKUP(Table2[[#This Row],[Date]],Funds!$C$10:$GV$11,2,FALSE)))</f>
        <v/>
      </c>
      <c r="J1593" s="215" t="str">
        <f>IF(Table2[[#This Row],[Description]]="","",Table2[[#This Row],[Value]]/Table2[[#This Row],[Conversion]])</f>
        <v/>
      </c>
      <c r="K1593" s="45" t="str">
        <f>IF(Table2[[#This Row],[Description]]="","",DATE(Table2[[#This Row],[Year]],Table2[[#This Row],[Month]],1))</f>
        <v/>
      </c>
    </row>
    <row r="1594" spans="7:11" x14ac:dyDescent="0.25">
      <c r="G1594" s="1" t="str">
        <f>IF(Table2[[#This Row],[Description]]="","",VLOOKUP(Table2[[#This Row],[Description]],$Q$1:$S$101,2,FALSE))</f>
        <v/>
      </c>
      <c r="H1594" s="1" t="str">
        <f>IF(Table2[[#This Row],[Description]]="","",VLOOKUP(Table2[[#This Row],[Description]],$Q$1:$S$101,3,FALSE))</f>
        <v/>
      </c>
      <c r="I1594" s="1" t="str">
        <f>IF(Table2[[#This Row],[Description]]="","",IF(Table2[[#This Row],[Currency]]=$O$2,$P$2,HLOOKUP(Table2[[#This Row],[Date]],Funds!$C$10:$GV$11,2,FALSE)))</f>
        <v/>
      </c>
      <c r="J1594" s="215" t="str">
        <f>IF(Table2[[#This Row],[Description]]="","",Table2[[#This Row],[Value]]/Table2[[#This Row],[Conversion]])</f>
        <v/>
      </c>
      <c r="K1594" s="45" t="str">
        <f>IF(Table2[[#This Row],[Description]]="","",DATE(Table2[[#This Row],[Year]],Table2[[#This Row],[Month]],1))</f>
        <v/>
      </c>
    </row>
    <row r="1595" spans="7:11" x14ac:dyDescent="0.25">
      <c r="G1595" s="1" t="str">
        <f>IF(Table2[[#This Row],[Description]]="","",VLOOKUP(Table2[[#This Row],[Description]],$Q$1:$S$101,2,FALSE))</f>
        <v/>
      </c>
      <c r="H1595" s="1" t="str">
        <f>IF(Table2[[#This Row],[Description]]="","",VLOOKUP(Table2[[#This Row],[Description]],$Q$1:$S$101,3,FALSE))</f>
        <v/>
      </c>
      <c r="I1595" s="1" t="str">
        <f>IF(Table2[[#This Row],[Description]]="","",IF(Table2[[#This Row],[Currency]]=$O$2,$P$2,HLOOKUP(Table2[[#This Row],[Date]],Funds!$C$10:$GV$11,2,FALSE)))</f>
        <v/>
      </c>
      <c r="J1595" s="215" t="str">
        <f>IF(Table2[[#This Row],[Description]]="","",Table2[[#This Row],[Value]]/Table2[[#This Row],[Conversion]])</f>
        <v/>
      </c>
      <c r="K1595" s="45" t="str">
        <f>IF(Table2[[#This Row],[Description]]="","",DATE(Table2[[#This Row],[Year]],Table2[[#This Row],[Month]],1))</f>
        <v/>
      </c>
    </row>
    <row r="1596" spans="7:11" x14ac:dyDescent="0.25">
      <c r="G1596" s="1" t="str">
        <f>IF(Table2[[#This Row],[Description]]="","",VLOOKUP(Table2[[#This Row],[Description]],$Q$1:$S$101,2,FALSE))</f>
        <v/>
      </c>
      <c r="H1596" s="1" t="str">
        <f>IF(Table2[[#This Row],[Description]]="","",VLOOKUP(Table2[[#This Row],[Description]],$Q$1:$S$101,3,FALSE))</f>
        <v/>
      </c>
      <c r="I1596" s="1" t="str">
        <f>IF(Table2[[#This Row],[Description]]="","",IF(Table2[[#This Row],[Currency]]=$O$2,$P$2,HLOOKUP(Table2[[#This Row],[Date]],Funds!$C$10:$GV$11,2,FALSE)))</f>
        <v/>
      </c>
      <c r="J1596" s="215" t="str">
        <f>IF(Table2[[#This Row],[Description]]="","",Table2[[#This Row],[Value]]/Table2[[#This Row],[Conversion]])</f>
        <v/>
      </c>
      <c r="K1596" s="45" t="str">
        <f>IF(Table2[[#This Row],[Description]]="","",DATE(Table2[[#This Row],[Year]],Table2[[#This Row],[Month]],1))</f>
        <v/>
      </c>
    </row>
    <row r="1597" spans="7:11" x14ac:dyDescent="0.25">
      <c r="G1597" s="1" t="str">
        <f>IF(Table2[[#This Row],[Description]]="","",VLOOKUP(Table2[[#This Row],[Description]],$Q$1:$S$101,2,FALSE))</f>
        <v/>
      </c>
      <c r="H1597" s="1" t="str">
        <f>IF(Table2[[#This Row],[Description]]="","",VLOOKUP(Table2[[#This Row],[Description]],$Q$1:$S$101,3,FALSE))</f>
        <v/>
      </c>
      <c r="I1597" s="1" t="str">
        <f>IF(Table2[[#This Row],[Description]]="","",IF(Table2[[#This Row],[Currency]]=$O$2,$P$2,HLOOKUP(Table2[[#This Row],[Date]],Funds!$C$10:$GV$11,2,FALSE)))</f>
        <v/>
      </c>
      <c r="J1597" s="215" t="str">
        <f>IF(Table2[[#This Row],[Description]]="","",Table2[[#This Row],[Value]]/Table2[[#This Row],[Conversion]])</f>
        <v/>
      </c>
      <c r="K1597" s="45" t="str">
        <f>IF(Table2[[#This Row],[Description]]="","",DATE(Table2[[#This Row],[Year]],Table2[[#This Row],[Month]],1))</f>
        <v/>
      </c>
    </row>
    <row r="1598" spans="7:11" x14ac:dyDescent="0.25">
      <c r="G1598" s="1" t="str">
        <f>IF(Table2[[#This Row],[Description]]="","",VLOOKUP(Table2[[#This Row],[Description]],$Q$1:$S$101,2,FALSE))</f>
        <v/>
      </c>
      <c r="H1598" s="1" t="str">
        <f>IF(Table2[[#This Row],[Description]]="","",VLOOKUP(Table2[[#This Row],[Description]],$Q$1:$S$101,3,FALSE))</f>
        <v/>
      </c>
      <c r="I1598" s="1" t="str">
        <f>IF(Table2[[#This Row],[Description]]="","",IF(Table2[[#This Row],[Currency]]=$O$2,$P$2,HLOOKUP(Table2[[#This Row],[Date]],Funds!$C$10:$GV$11,2,FALSE)))</f>
        <v/>
      </c>
      <c r="J1598" s="215" t="str">
        <f>IF(Table2[[#This Row],[Description]]="","",Table2[[#This Row],[Value]]/Table2[[#This Row],[Conversion]])</f>
        <v/>
      </c>
      <c r="K1598" s="45" t="str">
        <f>IF(Table2[[#This Row],[Description]]="","",DATE(Table2[[#This Row],[Year]],Table2[[#This Row],[Month]],1))</f>
        <v/>
      </c>
    </row>
    <row r="1599" spans="7:11" x14ac:dyDescent="0.25">
      <c r="G1599" s="1" t="str">
        <f>IF(Table2[[#This Row],[Description]]="","",VLOOKUP(Table2[[#This Row],[Description]],$Q$1:$S$101,2,FALSE))</f>
        <v/>
      </c>
      <c r="H1599" s="1" t="str">
        <f>IF(Table2[[#This Row],[Description]]="","",VLOOKUP(Table2[[#This Row],[Description]],$Q$1:$S$101,3,FALSE))</f>
        <v/>
      </c>
      <c r="I1599" s="1" t="str">
        <f>IF(Table2[[#This Row],[Description]]="","",IF(Table2[[#This Row],[Currency]]=$O$2,$P$2,HLOOKUP(Table2[[#This Row],[Date]],Funds!$C$10:$GV$11,2,FALSE)))</f>
        <v/>
      </c>
      <c r="J1599" s="215" t="str">
        <f>IF(Table2[[#This Row],[Description]]="","",Table2[[#This Row],[Value]]/Table2[[#This Row],[Conversion]])</f>
        <v/>
      </c>
      <c r="K1599" s="45" t="str">
        <f>IF(Table2[[#This Row],[Description]]="","",DATE(Table2[[#This Row],[Year]],Table2[[#This Row],[Month]],1))</f>
        <v/>
      </c>
    </row>
    <row r="1600" spans="7:11" x14ac:dyDescent="0.25">
      <c r="G1600" s="1" t="str">
        <f>IF(Table2[[#This Row],[Description]]="","",VLOOKUP(Table2[[#This Row],[Description]],$Q$1:$S$101,2,FALSE))</f>
        <v/>
      </c>
      <c r="H1600" s="1" t="str">
        <f>IF(Table2[[#This Row],[Description]]="","",VLOOKUP(Table2[[#This Row],[Description]],$Q$1:$S$101,3,FALSE))</f>
        <v/>
      </c>
      <c r="I1600" s="1" t="str">
        <f>IF(Table2[[#This Row],[Description]]="","",IF(Table2[[#This Row],[Currency]]=$O$2,$P$2,HLOOKUP(Table2[[#This Row],[Date]],Funds!$C$10:$GV$11,2,FALSE)))</f>
        <v/>
      </c>
      <c r="J1600" s="215" t="str">
        <f>IF(Table2[[#This Row],[Description]]="","",Table2[[#This Row],[Value]]/Table2[[#This Row],[Conversion]])</f>
        <v/>
      </c>
      <c r="K1600" s="45" t="str">
        <f>IF(Table2[[#This Row],[Description]]="","",DATE(Table2[[#This Row],[Year]],Table2[[#This Row],[Month]],1))</f>
        <v/>
      </c>
    </row>
    <row r="1601" spans="7:11" x14ac:dyDescent="0.25">
      <c r="G1601" s="1" t="str">
        <f>IF(Table2[[#This Row],[Description]]="","",VLOOKUP(Table2[[#This Row],[Description]],$Q$1:$S$101,2,FALSE))</f>
        <v/>
      </c>
      <c r="H1601" s="1" t="str">
        <f>IF(Table2[[#This Row],[Description]]="","",VLOOKUP(Table2[[#This Row],[Description]],$Q$1:$S$101,3,FALSE))</f>
        <v/>
      </c>
      <c r="I1601" s="1" t="str">
        <f>IF(Table2[[#This Row],[Description]]="","",IF(Table2[[#This Row],[Currency]]=$O$2,$P$2,HLOOKUP(Table2[[#This Row],[Date]],Funds!$C$10:$GV$11,2,FALSE)))</f>
        <v/>
      </c>
      <c r="J1601" s="215" t="str">
        <f>IF(Table2[[#This Row],[Description]]="","",Table2[[#This Row],[Value]]/Table2[[#This Row],[Conversion]])</f>
        <v/>
      </c>
      <c r="K1601" s="45" t="str">
        <f>IF(Table2[[#This Row],[Description]]="","",DATE(Table2[[#This Row],[Year]],Table2[[#This Row],[Month]],1))</f>
        <v/>
      </c>
    </row>
    <row r="1602" spans="7:11" x14ac:dyDescent="0.25">
      <c r="G1602" s="1" t="str">
        <f>IF(Table2[[#This Row],[Description]]="","",VLOOKUP(Table2[[#This Row],[Description]],$Q$1:$S$101,2,FALSE))</f>
        <v/>
      </c>
      <c r="H1602" s="1" t="str">
        <f>IF(Table2[[#This Row],[Description]]="","",VLOOKUP(Table2[[#This Row],[Description]],$Q$1:$S$101,3,FALSE))</f>
        <v/>
      </c>
      <c r="I1602" s="1" t="str">
        <f>IF(Table2[[#This Row],[Description]]="","",IF(Table2[[#This Row],[Currency]]=$O$2,$P$2,HLOOKUP(Table2[[#This Row],[Date]],Funds!$C$10:$GV$11,2,FALSE)))</f>
        <v/>
      </c>
      <c r="J1602" s="215" t="str">
        <f>IF(Table2[[#This Row],[Description]]="","",Table2[[#This Row],[Value]]/Table2[[#This Row],[Conversion]])</f>
        <v/>
      </c>
      <c r="K1602" s="45" t="str">
        <f>IF(Table2[[#This Row],[Description]]="","",DATE(Table2[[#This Row],[Year]],Table2[[#This Row],[Month]],1))</f>
        <v/>
      </c>
    </row>
    <row r="1603" spans="7:11" x14ac:dyDescent="0.25">
      <c r="G1603" s="1" t="str">
        <f>IF(Table2[[#This Row],[Description]]="","",VLOOKUP(Table2[[#This Row],[Description]],$Q$1:$S$101,2,FALSE))</f>
        <v/>
      </c>
      <c r="H1603" s="1" t="str">
        <f>IF(Table2[[#This Row],[Description]]="","",VLOOKUP(Table2[[#This Row],[Description]],$Q$1:$S$101,3,FALSE))</f>
        <v/>
      </c>
      <c r="I1603" s="1" t="str">
        <f>IF(Table2[[#This Row],[Description]]="","",IF(Table2[[#This Row],[Currency]]=$O$2,$P$2,HLOOKUP(Table2[[#This Row],[Date]],Funds!$C$10:$GV$11,2,FALSE)))</f>
        <v/>
      </c>
      <c r="J1603" s="215" t="str">
        <f>IF(Table2[[#This Row],[Description]]="","",Table2[[#This Row],[Value]]/Table2[[#This Row],[Conversion]])</f>
        <v/>
      </c>
      <c r="K1603" s="45" t="str">
        <f>IF(Table2[[#This Row],[Description]]="","",DATE(Table2[[#This Row],[Year]],Table2[[#This Row],[Month]],1))</f>
        <v/>
      </c>
    </row>
    <row r="1604" spans="7:11" x14ac:dyDescent="0.25">
      <c r="G1604" s="1" t="str">
        <f>IF(Table2[[#This Row],[Description]]="","",VLOOKUP(Table2[[#This Row],[Description]],$Q$1:$S$101,2,FALSE))</f>
        <v/>
      </c>
      <c r="H1604" s="1" t="str">
        <f>IF(Table2[[#This Row],[Description]]="","",VLOOKUP(Table2[[#This Row],[Description]],$Q$1:$S$101,3,FALSE))</f>
        <v/>
      </c>
      <c r="I1604" s="1" t="str">
        <f>IF(Table2[[#This Row],[Description]]="","",IF(Table2[[#This Row],[Currency]]=$O$2,$P$2,HLOOKUP(Table2[[#This Row],[Date]],Funds!$C$10:$GV$11,2,FALSE)))</f>
        <v/>
      </c>
      <c r="J1604" s="215" t="str">
        <f>IF(Table2[[#This Row],[Description]]="","",Table2[[#This Row],[Value]]/Table2[[#This Row],[Conversion]])</f>
        <v/>
      </c>
      <c r="K1604" s="45" t="str">
        <f>IF(Table2[[#This Row],[Description]]="","",DATE(Table2[[#This Row],[Year]],Table2[[#This Row],[Month]],1))</f>
        <v/>
      </c>
    </row>
    <row r="1605" spans="7:11" x14ac:dyDescent="0.25">
      <c r="G1605" s="1" t="str">
        <f>IF(Table2[[#This Row],[Description]]="","",VLOOKUP(Table2[[#This Row],[Description]],$Q$1:$S$101,2,FALSE))</f>
        <v/>
      </c>
      <c r="H1605" s="1" t="str">
        <f>IF(Table2[[#This Row],[Description]]="","",VLOOKUP(Table2[[#This Row],[Description]],$Q$1:$S$101,3,FALSE))</f>
        <v/>
      </c>
      <c r="I1605" s="1" t="str">
        <f>IF(Table2[[#This Row],[Description]]="","",IF(Table2[[#This Row],[Currency]]=$O$2,$P$2,HLOOKUP(Table2[[#This Row],[Date]],Funds!$C$10:$GV$11,2,FALSE)))</f>
        <v/>
      </c>
      <c r="J1605" s="215" t="str">
        <f>IF(Table2[[#This Row],[Description]]="","",Table2[[#This Row],[Value]]/Table2[[#This Row],[Conversion]])</f>
        <v/>
      </c>
      <c r="K1605" s="45" t="str">
        <f>IF(Table2[[#This Row],[Description]]="","",DATE(Table2[[#This Row],[Year]],Table2[[#This Row],[Month]],1))</f>
        <v/>
      </c>
    </row>
    <row r="1606" spans="7:11" x14ac:dyDescent="0.25">
      <c r="G1606" s="1" t="str">
        <f>IF(Table2[[#This Row],[Description]]="","",VLOOKUP(Table2[[#This Row],[Description]],$Q$1:$S$101,2,FALSE))</f>
        <v/>
      </c>
      <c r="H1606" s="1" t="str">
        <f>IF(Table2[[#This Row],[Description]]="","",VLOOKUP(Table2[[#This Row],[Description]],$Q$1:$S$101,3,FALSE))</f>
        <v/>
      </c>
      <c r="I1606" s="1" t="str">
        <f>IF(Table2[[#This Row],[Description]]="","",IF(Table2[[#This Row],[Currency]]=$O$2,$P$2,HLOOKUP(Table2[[#This Row],[Date]],Funds!$C$10:$GV$11,2,FALSE)))</f>
        <v/>
      </c>
      <c r="J1606" s="215" t="str">
        <f>IF(Table2[[#This Row],[Description]]="","",Table2[[#This Row],[Value]]/Table2[[#This Row],[Conversion]])</f>
        <v/>
      </c>
      <c r="K1606" s="45" t="str">
        <f>IF(Table2[[#This Row],[Description]]="","",DATE(Table2[[#This Row],[Year]],Table2[[#This Row],[Month]],1))</f>
        <v/>
      </c>
    </row>
    <row r="1607" spans="7:11" x14ac:dyDescent="0.25">
      <c r="G1607" s="1" t="str">
        <f>IF(Table2[[#This Row],[Description]]="","",VLOOKUP(Table2[[#This Row],[Description]],$Q$1:$S$101,2,FALSE))</f>
        <v/>
      </c>
      <c r="H1607" s="1" t="str">
        <f>IF(Table2[[#This Row],[Description]]="","",VLOOKUP(Table2[[#This Row],[Description]],$Q$1:$S$101,3,FALSE))</f>
        <v/>
      </c>
      <c r="I1607" s="1" t="str">
        <f>IF(Table2[[#This Row],[Description]]="","",IF(Table2[[#This Row],[Currency]]=$O$2,$P$2,HLOOKUP(Table2[[#This Row],[Date]],Funds!$C$10:$GV$11,2,FALSE)))</f>
        <v/>
      </c>
      <c r="J1607" s="215" t="str">
        <f>IF(Table2[[#This Row],[Description]]="","",Table2[[#This Row],[Value]]/Table2[[#This Row],[Conversion]])</f>
        <v/>
      </c>
      <c r="K1607" s="45" t="str">
        <f>IF(Table2[[#This Row],[Description]]="","",DATE(Table2[[#This Row],[Year]],Table2[[#This Row],[Month]],1))</f>
        <v/>
      </c>
    </row>
    <row r="1608" spans="7:11" x14ac:dyDescent="0.25">
      <c r="G1608" s="1" t="str">
        <f>IF(Table2[[#This Row],[Description]]="","",VLOOKUP(Table2[[#This Row],[Description]],$Q$1:$S$101,2,FALSE))</f>
        <v/>
      </c>
      <c r="H1608" s="1" t="str">
        <f>IF(Table2[[#This Row],[Description]]="","",VLOOKUP(Table2[[#This Row],[Description]],$Q$1:$S$101,3,FALSE))</f>
        <v/>
      </c>
      <c r="I1608" s="1" t="str">
        <f>IF(Table2[[#This Row],[Description]]="","",IF(Table2[[#This Row],[Currency]]=$O$2,$P$2,HLOOKUP(Table2[[#This Row],[Date]],Funds!$C$10:$GV$11,2,FALSE)))</f>
        <v/>
      </c>
      <c r="J1608" s="215" t="str">
        <f>IF(Table2[[#This Row],[Description]]="","",Table2[[#This Row],[Value]]/Table2[[#This Row],[Conversion]])</f>
        <v/>
      </c>
      <c r="K1608" s="45" t="str">
        <f>IF(Table2[[#This Row],[Description]]="","",DATE(Table2[[#This Row],[Year]],Table2[[#This Row],[Month]],1))</f>
        <v/>
      </c>
    </row>
    <row r="1609" spans="7:11" x14ac:dyDescent="0.25">
      <c r="G1609" s="1" t="str">
        <f>IF(Table2[[#This Row],[Description]]="","",VLOOKUP(Table2[[#This Row],[Description]],$Q$1:$S$101,2,FALSE))</f>
        <v/>
      </c>
      <c r="H1609" s="1" t="str">
        <f>IF(Table2[[#This Row],[Description]]="","",VLOOKUP(Table2[[#This Row],[Description]],$Q$1:$S$101,3,FALSE))</f>
        <v/>
      </c>
      <c r="I1609" s="1" t="str">
        <f>IF(Table2[[#This Row],[Description]]="","",IF(Table2[[#This Row],[Currency]]=$O$2,$P$2,HLOOKUP(Table2[[#This Row],[Date]],Funds!$C$10:$GV$11,2,FALSE)))</f>
        <v/>
      </c>
      <c r="J1609" s="215" t="str">
        <f>IF(Table2[[#This Row],[Description]]="","",Table2[[#This Row],[Value]]/Table2[[#This Row],[Conversion]])</f>
        <v/>
      </c>
      <c r="K1609" s="45" t="str">
        <f>IF(Table2[[#This Row],[Description]]="","",DATE(Table2[[#This Row],[Year]],Table2[[#This Row],[Month]],1))</f>
        <v/>
      </c>
    </row>
    <row r="1610" spans="7:11" x14ac:dyDescent="0.25">
      <c r="G1610" s="1" t="str">
        <f>IF(Table2[[#This Row],[Description]]="","",VLOOKUP(Table2[[#This Row],[Description]],$Q$1:$S$101,2,FALSE))</f>
        <v/>
      </c>
      <c r="H1610" s="1" t="str">
        <f>IF(Table2[[#This Row],[Description]]="","",VLOOKUP(Table2[[#This Row],[Description]],$Q$1:$S$101,3,FALSE))</f>
        <v/>
      </c>
      <c r="I1610" s="1" t="str">
        <f>IF(Table2[[#This Row],[Description]]="","",IF(Table2[[#This Row],[Currency]]=$O$2,$P$2,HLOOKUP(Table2[[#This Row],[Date]],Funds!$C$10:$GV$11,2,FALSE)))</f>
        <v/>
      </c>
      <c r="J1610" s="215" t="str">
        <f>IF(Table2[[#This Row],[Description]]="","",Table2[[#This Row],[Value]]/Table2[[#This Row],[Conversion]])</f>
        <v/>
      </c>
      <c r="K1610" s="45" t="str">
        <f>IF(Table2[[#This Row],[Description]]="","",DATE(Table2[[#This Row],[Year]],Table2[[#This Row],[Month]],1))</f>
        <v/>
      </c>
    </row>
    <row r="1611" spans="7:11" x14ac:dyDescent="0.25">
      <c r="G1611" s="1" t="str">
        <f>IF(Table2[[#This Row],[Description]]="","",VLOOKUP(Table2[[#This Row],[Description]],$Q$1:$S$101,2,FALSE))</f>
        <v/>
      </c>
      <c r="H1611" s="1" t="str">
        <f>IF(Table2[[#This Row],[Description]]="","",VLOOKUP(Table2[[#This Row],[Description]],$Q$1:$S$101,3,FALSE))</f>
        <v/>
      </c>
      <c r="I1611" s="1" t="str">
        <f>IF(Table2[[#This Row],[Description]]="","",IF(Table2[[#This Row],[Currency]]=$O$2,$P$2,HLOOKUP(Table2[[#This Row],[Date]],Funds!$C$10:$GV$11,2,FALSE)))</f>
        <v/>
      </c>
      <c r="J1611" s="215" t="str">
        <f>IF(Table2[[#This Row],[Description]]="","",Table2[[#This Row],[Value]]/Table2[[#This Row],[Conversion]])</f>
        <v/>
      </c>
      <c r="K1611" s="45" t="str">
        <f>IF(Table2[[#This Row],[Description]]="","",DATE(Table2[[#This Row],[Year]],Table2[[#This Row],[Month]],1))</f>
        <v/>
      </c>
    </row>
    <row r="1612" spans="7:11" x14ac:dyDescent="0.25">
      <c r="G1612" s="1" t="str">
        <f>IF(Table2[[#This Row],[Description]]="","",VLOOKUP(Table2[[#This Row],[Description]],$Q$1:$S$101,2,FALSE))</f>
        <v/>
      </c>
      <c r="H1612" s="1" t="str">
        <f>IF(Table2[[#This Row],[Description]]="","",VLOOKUP(Table2[[#This Row],[Description]],$Q$1:$S$101,3,FALSE))</f>
        <v/>
      </c>
      <c r="I1612" s="1" t="str">
        <f>IF(Table2[[#This Row],[Description]]="","",IF(Table2[[#This Row],[Currency]]=$O$2,$P$2,HLOOKUP(Table2[[#This Row],[Date]],Funds!$C$10:$GV$11,2,FALSE)))</f>
        <v/>
      </c>
      <c r="J1612" s="215" t="str">
        <f>IF(Table2[[#This Row],[Description]]="","",Table2[[#This Row],[Value]]/Table2[[#This Row],[Conversion]])</f>
        <v/>
      </c>
      <c r="K1612" s="45" t="str">
        <f>IF(Table2[[#This Row],[Description]]="","",DATE(Table2[[#This Row],[Year]],Table2[[#This Row],[Month]],1))</f>
        <v/>
      </c>
    </row>
    <row r="1613" spans="7:11" x14ac:dyDescent="0.25">
      <c r="G1613" s="1" t="str">
        <f>IF(Table2[[#This Row],[Description]]="","",VLOOKUP(Table2[[#This Row],[Description]],$Q$1:$S$101,2,FALSE))</f>
        <v/>
      </c>
      <c r="H1613" s="1" t="str">
        <f>IF(Table2[[#This Row],[Description]]="","",VLOOKUP(Table2[[#This Row],[Description]],$Q$1:$S$101,3,FALSE))</f>
        <v/>
      </c>
      <c r="I1613" s="1" t="str">
        <f>IF(Table2[[#This Row],[Description]]="","",IF(Table2[[#This Row],[Currency]]=$O$2,$P$2,HLOOKUP(Table2[[#This Row],[Date]],Funds!$C$10:$GV$11,2,FALSE)))</f>
        <v/>
      </c>
      <c r="J1613" s="215" t="str">
        <f>IF(Table2[[#This Row],[Description]]="","",Table2[[#This Row],[Value]]/Table2[[#This Row],[Conversion]])</f>
        <v/>
      </c>
      <c r="K1613" s="45" t="str">
        <f>IF(Table2[[#This Row],[Description]]="","",DATE(Table2[[#This Row],[Year]],Table2[[#This Row],[Month]],1))</f>
        <v/>
      </c>
    </row>
    <row r="1614" spans="7:11" x14ac:dyDescent="0.25">
      <c r="G1614" s="1" t="str">
        <f>IF(Table2[[#This Row],[Description]]="","",VLOOKUP(Table2[[#This Row],[Description]],$Q$1:$S$101,2,FALSE))</f>
        <v/>
      </c>
      <c r="H1614" s="1" t="str">
        <f>IF(Table2[[#This Row],[Description]]="","",VLOOKUP(Table2[[#This Row],[Description]],$Q$1:$S$101,3,FALSE))</f>
        <v/>
      </c>
      <c r="I1614" s="1" t="str">
        <f>IF(Table2[[#This Row],[Description]]="","",IF(Table2[[#This Row],[Currency]]=$O$2,$P$2,HLOOKUP(Table2[[#This Row],[Date]],Funds!$C$10:$GV$11,2,FALSE)))</f>
        <v/>
      </c>
      <c r="J1614" s="215" t="str">
        <f>IF(Table2[[#This Row],[Description]]="","",Table2[[#This Row],[Value]]/Table2[[#This Row],[Conversion]])</f>
        <v/>
      </c>
      <c r="K1614" s="45" t="str">
        <f>IF(Table2[[#This Row],[Description]]="","",DATE(Table2[[#This Row],[Year]],Table2[[#This Row],[Month]],1))</f>
        <v/>
      </c>
    </row>
    <row r="1615" spans="7:11" x14ac:dyDescent="0.25">
      <c r="G1615" s="1" t="str">
        <f>IF(Table2[[#This Row],[Description]]="","",VLOOKUP(Table2[[#This Row],[Description]],$Q$1:$S$101,2,FALSE))</f>
        <v/>
      </c>
      <c r="H1615" s="1" t="str">
        <f>IF(Table2[[#This Row],[Description]]="","",VLOOKUP(Table2[[#This Row],[Description]],$Q$1:$S$101,3,FALSE))</f>
        <v/>
      </c>
      <c r="I1615" s="1" t="str">
        <f>IF(Table2[[#This Row],[Description]]="","",IF(Table2[[#This Row],[Currency]]=$O$2,$P$2,HLOOKUP(Table2[[#This Row],[Date]],Funds!$C$10:$GV$11,2,FALSE)))</f>
        <v/>
      </c>
      <c r="J1615" s="215" t="str">
        <f>IF(Table2[[#This Row],[Description]]="","",Table2[[#This Row],[Value]]/Table2[[#This Row],[Conversion]])</f>
        <v/>
      </c>
      <c r="K1615" s="45" t="str">
        <f>IF(Table2[[#This Row],[Description]]="","",DATE(Table2[[#This Row],[Year]],Table2[[#This Row],[Month]],1))</f>
        <v/>
      </c>
    </row>
    <row r="1616" spans="7:11" x14ac:dyDescent="0.25">
      <c r="G1616" s="1" t="str">
        <f>IF(Table2[[#This Row],[Description]]="","",VLOOKUP(Table2[[#This Row],[Description]],$Q$1:$S$101,2,FALSE))</f>
        <v/>
      </c>
      <c r="H1616" s="1" t="str">
        <f>IF(Table2[[#This Row],[Description]]="","",VLOOKUP(Table2[[#This Row],[Description]],$Q$1:$S$101,3,FALSE))</f>
        <v/>
      </c>
      <c r="I1616" s="1" t="str">
        <f>IF(Table2[[#This Row],[Description]]="","",IF(Table2[[#This Row],[Currency]]=$O$2,$P$2,HLOOKUP(Table2[[#This Row],[Date]],Funds!$C$10:$GV$11,2,FALSE)))</f>
        <v/>
      </c>
      <c r="J1616" s="215" t="str">
        <f>IF(Table2[[#This Row],[Description]]="","",Table2[[#This Row],[Value]]/Table2[[#This Row],[Conversion]])</f>
        <v/>
      </c>
      <c r="K1616" s="45" t="str">
        <f>IF(Table2[[#This Row],[Description]]="","",DATE(Table2[[#This Row],[Year]],Table2[[#This Row],[Month]],1))</f>
        <v/>
      </c>
    </row>
    <row r="1617" spans="7:11" x14ac:dyDescent="0.25">
      <c r="G1617" s="1" t="str">
        <f>IF(Table2[[#This Row],[Description]]="","",VLOOKUP(Table2[[#This Row],[Description]],$Q$1:$S$101,2,FALSE))</f>
        <v/>
      </c>
      <c r="H1617" s="1" t="str">
        <f>IF(Table2[[#This Row],[Description]]="","",VLOOKUP(Table2[[#This Row],[Description]],$Q$1:$S$101,3,FALSE))</f>
        <v/>
      </c>
      <c r="I1617" s="1" t="str">
        <f>IF(Table2[[#This Row],[Description]]="","",IF(Table2[[#This Row],[Currency]]=$O$2,$P$2,HLOOKUP(Table2[[#This Row],[Date]],Funds!$C$10:$GV$11,2,FALSE)))</f>
        <v/>
      </c>
      <c r="J1617" s="215" t="str">
        <f>IF(Table2[[#This Row],[Description]]="","",Table2[[#This Row],[Value]]/Table2[[#This Row],[Conversion]])</f>
        <v/>
      </c>
      <c r="K1617" s="45" t="str">
        <f>IF(Table2[[#This Row],[Description]]="","",DATE(Table2[[#This Row],[Year]],Table2[[#This Row],[Month]],1))</f>
        <v/>
      </c>
    </row>
    <row r="1618" spans="7:11" x14ac:dyDescent="0.25">
      <c r="G1618" s="1" t="str">
        <f>IF(Table2[[#This Row],[Description]]="","",VLOOKUP(Table2[[#This Row],[Description]],$Q$1:$S$101,2,FALSE))</f>
        <v/>
      </c>
      <c r="H1618" s="1" t="str">
        <f>IF(Table2[[#This Row],[Description]]="","",VLOOKUP(Table2[[#This Row],[Description]],$Q$1:$S$101,3,FALSE))</f>
        <v/>
      </c>
      <c r="I1618" s="1" t="str">
        <f>IF(Table2[[#This Row],[Description]]="","",IF(Table2[[#This Row],[Currency]]=$O$2,$P$2,HLOOKUP(Table2[[#This Row],[Date]],Funds!$C$10:$GV$11,2,FALSE)))</f>
        <v/>
      </c>
      <c r="J1618" s="215" t="str">
        <f>IF(Table2[[#This Row],[Description]]="","",Table2[[#This Row],[Value]]/Table2[[#This Row],[Conversion]])</f>
        <v/>
      </c>
      <c r="K1618" s="45" t="str">
        <f>IF(Table2[[#This Row],[Description]]="","",DATE(Table2[[#This Row],[Year]],Table2[[#This Row],[Month]],1))</f>
        <v/>
      </c>
    </row>
    <row r="1619" spans="7:11" x14ac:dyDescent="0.25">
      <c r="G1619" s="1" t="str">
        <f>IF(Table2[[#This Row],[Description]]="","",VLOOKUP(Table2[[#This Row],[Description]],$Q$1:$S$101,2,FALSE))</f>
        <v/>
      </c>
      <c r="H1619" s="1" t="str">
        <f>IF(Table2[[#This Row],[Description]]="","",VLOOKUP(Table2[[#This Row],[Description]],$Q$1:$S$101,3,FALSE))</f>
        <v/>
      </c>
      <c r="I1619" s="1" t="str">
        <f>IF(Table2[[#This Row],[Description]]="","",IF(Table2[[#This Row],[Currency]]=$O$2,$P$2,HLOOKUP(Table2[[#This Row],[Date]],Funds!$C$10:$GV$11,2,FALSE)))</f>
        <v/>
      </c>
      <c r="J1619" s="215" t="str">
        <f>IF(Table2[[#This Row],[Description]]="","",Table2[[#This Row],[Value]]/Table2[[#This Row],[Conversion]])</f>
        <v/>
      </c>
      <c r="K1619" s="45" t="str">
        <f>IF(Table2[[#This Row],[Description]]="","",DATE(Table2[[#This Row],[Year]],Table2[[#This Row],[Month]],1))</f>
        <v/>
      </c>
    </row>
    <row r="1620" spans="7:11" x14ac:dyDescent="0.25">
      <c r="G1620" s="1" t="str">
        <f>IF(Table2[[#This Row],[Description]]="","",VLOOKUP(Table2[[#This Row],[Description]],$Q$1:$S$101,2,FALSE))</f>
        <v/>
      </c>
      <c r="H1620" s="1" t="str">
        <f>IF(Table2[[#This Row],[Description]]="","",VLOOKUP(Table2[[#This Row],[Description]],$Q$1:$S$101,3,FALSE))</f>
        <v/>
      </c>
      <c r="I1620" s="1" t="str">
        <f>IF(Table2[[#This Row],[Description]]="","",IF(Table2[[#This Row],[Currency]]=$O$2,$P$2,HLOOKUP(Table2[[#This Row],[Date]],Funds!$C$10:$GV$11,2,FALSE)))</f>
        <v/>
      </c>
      <c r="J1620" s="215" t="str">
        <f>IF(Table2[[#This Row],[Description]]="","",Table2[[#This Row],[Value]]/Table2[[#This Row],[Conversion]])</f>
        <v/>
      </c>
      <c r="K1620" s="45" t="str">
        <f>IF(Table2[[#This Row],[Description]]="","",DATE(Table2[[#This Row],[Year]],Table2[[#This Row],[Month]],1))</f>
        <v/>
      </c>
    </row>
    <row r="1621" spans="7:11" x14ac:dyDescent="0.25">
      <c r="G1621" s="1" t="str">
        <f>IF(Table2[[#This Row],[Description]]="","",VLOOKUP(Table2[[#This Row],[Description]],$Q$1:$S$101,2,FALSE))</f>
        <v/>
      </c>
      <c r="H1621" s="1" t="str">
        <f>IF(Table2[[#This Row],[Description]]="","",VLOOKUP(Table2[[#This Row],[Description]],$Q$1:$S$101,3,FALSE))</f>
        <v/>
      </c>
      <c r="I1621" s="1" t="str">
        <f>IF(Table2[[#This Row],[Description]]="","",IF(Table2[[#This Row],[Currency]]=$O$2,$P$2,HLOOKUP(Table2[[#This Row],[Date]],Funds!$C$10:$GV$11,2,FALSE)))</f>
        <v/>
      </c>
      <c r="J1621" s="215" t="str">
        <f>IF(Table2[[#This Row],[Description]]="","",Table2[[#This Row],[Value]]/Table2[[#This Row],[Conversion]])</f>
        <v/>
      </c>
      <c r="K1621" s="45" t="str">
        <f>IF(Table2[[#This Row],[Description]]="","",DATE(Table2[[#This Row],[Year]],Table2[[#This Row],[Month]],1))</f>
        <v/>
      </c>
    </row>
    <row r="1622" spans="7:11" x14ac:dyDescent="0.25">
      <c r="G1622" s="1" t="str">
        <f>IF(Table2[[#This Row],[Description]]="","",VLOOKUP(Table2[[#This Row],[Description]],$Q$1:$S$101,2,FALSE))</f>
        <v/>
      </c>
      <c r="H1622" s="1" t="str">
        <f>IF(Table2[[#This Row],[Description]]="","",VLOOKUP(Table2[[#This Row],[Description]],$Q$1:$S$101,3,FALSE))</f>
        <v/>
      </c>
      <c r="I1622" s="1" t="str">
        <f>IF(Table2[[#This Row],[Description]]="","",IF(Table2[[#This Row],[Currency]]=$O$2,$P$2,HLOOKUP(Table2[[#This Row],[Date]],Funds!$C$10:$GV$11,2,FALSE)))</f>
        <v/>
      </c>
      <c r="J1622" s="215" t="str">
        <f>IF(Table2[[#This Row],[Description]]="","",Table2[[#This Row],[Value]]/Table2[[#This Row],[Conversion]])</f>
        <v/>
      </c>
      <c r="K1622" s="45" t="str">
        <f>IF(Table2[[#This Row],[Description]]="","",DATE(Table2[[#This Row],[Year]],Table2[[#This Row],[Month]],1))</f>
        <v/>
      </c>
    </row>
    <row r="1623" spans="7:11" x14ac:dyDescent="0.25">
      <c r="G1623" s="1" t="str">
        <f>IF(Table2[[#This Row],[Description]]="","",VLOOKUP(Table2[[#This Row],[Description]],$Q$1:$S$101,2,FALSE))</f>
        <v/>
      </c>
      <c r="H1623" s="1" t="str">
        <f>IF(Table2[[#This Row],[Description]]="","",VLOOKUP(Table2[[#This Row],[Description]],$Q$1:$S$101,3,FALSE))</f>
        <v/>
      </c>
      <c r="I1623" s="1" t="str">
        <f>IF(Table2[[#This Row],[Description]]="","",IF(Table2[[#This Row],[Currency]]=$O$2,$P$2,HLOOKUP(Table2[[#This Row],[Date]],Funds!$C$10:$GV$11,2,FALSE)))</f>
        <v/>
      </c>
      <c r="J1623" s="215" t="str">
        <f>IF(Table2[[#This Row],[Description]]="","",Table2[[#This Row],[Value]]/Table2[[#This Row],[Conversion]])</f>
        <v/>
      </c>
      <c r="K1623" s="45" t="str">
        <f>IF(Table2[[#This Row],[Description]]="","",DATE(Table2[[#This Row],[Year]],Table2[[#This Row],[Month]],1))</f>
        <v/>
      </c>
    </row>
    <row r="1624" spans="7:11" x14ac:dyDescent="0.25">
      <c r="G1624" s="1" t="str">
        <f>IF(Table2[[#This Row],[Description]]="","",VLOOKUP(Table2[[#This Row],[Description]],$Q$1:$S$101,2,FALSE))</f>
        <v/>
      </c>
      <c r="H1624" s="1" t="str">
        <f>IF(Table2[[#This Row],[Description]]="","",VLOOKUP(Table2[[#This Row],[Description]],$Q$1:$S$101,3,FALSE))</f>
        <v/>
      </c>
      <c r="I1624" s="1" t="str">
        <f>IF(Table2[[#This Row],[Description]]="","",IF(Table2[[#This Row],[Currency]]=$O$2,$P$2,HLOOKUP(Table2[[#This Row],[Date]],Funds!$C$10:$GV$11,2,FALSE)))</f>
        <v/>
      </c>
      <c r="J1624" s="215" t="str">
        <f>IF(Table2[[#This Row],[Description]]="","",Table2[[#This Row],[Value]]/Table2[[#This Row],[Conversion]])</f>
        <v/>
      </c>
      <c r="K1624" s="45" t="str">
        <f>IF(Table2[[#This Row],[Description]]="","",DATE(Table2[[#This Row],[Year]],Table2[[#This Row],[Month]],1))</f>
        <v/>
      </c>
    </row>
    <row r="1625" spans="7:11" x14ac:dyDescent="0.25">
      <c r="G1625" s="1" t="str">
        <f>IF(Table2[[#This Row],[Description]]="","",VLOOKUP(Table2[[#This Row],[Description]],$Q$1:$S$101,2,FALSE))</f>
        <v/>
      </c>
      <c r="H1625" s="1" t="str">
        <f>IF(Table2[[#This Row],[Description]]="","",VLOOKUP(Table2[[#This Row],[Description]],$Q$1:$S$101,3,FALSE))</f>
        <v/>
      </c>
      <c r="I1625" s="1" t="str">
        <f>IF(Table2[[#This Row],[Description]]="","",IF(Table2[[#This Row],[Currency]]=$O$2,$P$2,HLOOKUP(Table2[[#This Row],[Date]],Funds!$C$10:$GV$11,2,FALSE)))</f>
        <v/>
      </c>
      <c r="J1625" s="215" t="str">
        <f>IF(Table2[[#This Row],[Description]]="","",Table2[[#This Row],[Value]]/Table2[[#This Row],[Conversion]])</f>
        <v/>
      </c>
      <c r="K1625" s="45" t="str">
        <f>IF(Table2[[#This Row],[Description]]="","",DATE(Table2[[#This Row],[Year]],Table2[[#This Row],[Month]],1))</f>
        <v/>
      </c>
    </row>
    <row r="1626" spans="7:11" x14ac:dyDescent="0.25">
      <c r="G1626" s="1" t="str">
        <f>IF(Table2[[#This Row],[Description]]="","",VLOOKUP(Table2[[#This Row],[Description]],$Q$1:$S$101,2,FALSE))</f>
        <v/>
      </c>
      <c r="H1626" s="1" t="str">
        <f>IF(Table2[[#This Row],[Description]]="","",VLOOKUP(Table2[[#This Row],[Description]],$Q$1:$S$101,3,FALSE))</f>
        <v/>
      </c>
      <c r="I1626" s="1" t="str">
        <f>IF(Table2[[#This Row],[Description]]="","",IF(Table2[[#This Row],[Currency]]=$O$2,$P$2,HLOOKUP(Table2[[#This Row],[Date]],Funds!$C$10:$GV$11,2,FALSE)))</f>
        <v/>
      </c>
      <c r="J1626" s="215" t="str">
        <f>IF(Table2[[#This Row],[Description]]="","",Table2[[#This Row],[Value]]/Table2[[#This Row],[Conversion]])</f>
        <v/>
      </c>
      <c r="K1626" s="45" t="str">
        <f>IF(Table2[[#This Row],[Description]]="","",DATE(Table2[[#This Row],[Year]],Table2[[#This Row],[Month]],1))</f>
        <v/>
      </c>
    </row>
    <row r="1627" spans="7:11" x14ac:dyDescent="0.25">
      <c r="G1627" s="1" t="str">
        <f>IF(Table2[[#This Row],[Description]]="","",VLOOKUP(Table2[[#This Row],[Description]],$Q$1:$S$101,2,FALSE))</f>
        <v/>
      </c>
      <c r="H1627" s="1" t="str">
        <f>IF(Table2[[#This Row],[Description]]="","",VLOOKUP(Table2[[#This Row],[Description]],$Q$1:$S$101,3,FALSE))</f>
        <v/>
      </c>
      <c r="I1627" s="1" t="str">
        <f>IF(Table2[[#This Row],[Description]]="","",IF(Table2[[#This Row],[Currency]]=$O$2,$P$2,HLOOKUP(Table2[[#This Row],[Date]],Funds!$C$10:$GV$11,2,FALSE)))</f>
        <v/>
      </c>
      <c r="J1627" s="215" t="str">
        <f>IF(Table2[[#This Row],[Description]]="","",Table2[[#This Row],[Value]]/Table2[[#This Row],[Conversion]])</f>
        <v/>
      </c>
      <c r="K1627" s="45" t="str">
        <f>IF(Table2[[#This Row],[Description]]="","",DATE(Table2[[#This Row],[Year]],Table2[[#This Row],[Month]],1))</f>
        <v/>
      </c>
    </row>
    <row r="1628" spans="7:11" x14ac:dyDescent="0.25">
      <c r="G1628" s="1" t="str">
        <f>IF(Table2[[#This Row],[Description]]="","",VLOOKUP(Table2[[#This Row],[Description]],$Q$1:$S$101,2,FALSE))</f>
        <v/>
      </c>
      <c r="H1628" s="1" t="str">
        <f>IF(Table2[[#This Row],[Description]]="","",VLOOKUP(Table2[[#This Row],[Description]],$Q$1:$S$101,3,FALSE))</f>
        <v/>
      </c>
      <c r="I1628" s="1" t="str">
        <f>IF(Table2[[#This Row],[Description]]="","",IF(Table2[[#This Row],[Currency]]=$O$2,$P$2,HLOOKUP(Table2[[#This Row],[Date]],Funds!$C$10:$GV$11,2,FALSE)))</f>
        <v/>
      </c>
      <c r="J1628" s="215" t="str">
        <f>IF(Table2[[#This Row],[Description]]="","",Table2[[#This Row],[Value]]/Table2[[#This Row],[Conversion]])</f>
        <v/>
      </c>
      <c r="K1628" s="45" t="str">
        <f>IF(Table2[[#This Row],[Description]]="","",DATE(Table2[[#This Row],[Year]],Table2[[#This Row],[Month]],1))</f>
        <v/>
      </c>
    </row>
    <row r="1629" spans="7:11" x14ac:dyDescent="0.25">
      <c r="G1629" s="1" t="str">
        <f>IF(Table2[[#This Row],[Description]]="","",VLOOKUP(Table2[[#This Row],[Description]],$Q$1:$S$101,2,FALSE))</f>
        <v/>
      </c>
      <c r="H1629" s="1" t="str">
        <f>IF(Table2[[#This Row],[Description]]="","",VLOOKUP(Table2[[#This Row],[Description]],$Q$1:$S$101,3,FALSE))</f>
        <v/>
      </c>
      <c r="I1629" s="1" t="str">
        <f>IF(Table2[[#This Row],[Description]]="","",IF(Table2[[#This Row],[Currency]]=$O$2,$P$2,HLOOKUP(Table2[[#This Row],[Date]],Funds!$C$10:$GV$11,2,FALSE)))</f>
        <v/>
      </c>
      <c r="J1629" s="215" t="str">
        <f>IF(Table2[[#This Row],[Description]]="","",Table2[[#This Row],[Value]]/Table2[[#This Row],[Conversion]])</f>
        <v/>
      </c>
      <c r="K1629" s="45" t="str">
        <f>IF(Table2[[#This Row],[Description]]="","",DATE(Table2[[#This Row],[Year]],Table2[[#This Row],[Month]],1))</f>
        <v/>
      </c>
    </row>
    <row r="1630" spans="7:11" x14ac:dyDescent="0.25">
      <c r="G1630" s="1" t="str">
        <f>IF(Table2[[#This Row],[Description]]="","",VLOOKUP(Table2[[#This Row],[Description]],$Q$1:$S$101,2,FALSE))</f>
        <v/>
      </c>
      <c r="H1630" s="1" t="str">
        <f>IF(Table2[[#This Row],[Description]]="","",VLOOKUP(Table2[[#This Row],[Description]],$Q$1:$S$101,3,FALSE))</f>
        <v/>
      </c>
      <c r="I1630" s="1" t="str">
        <f>IF(Table2[[#This Row],[Description]]="","",IF(Table2[[#This Row],[Currency]]=$O$2,$P$2,HLOOKUP(Table2[[#This Row],[Date]],Funds!$C$10:$GV$11,2,FALSE)))</f>
        <v/>
      </c>
      <c r="J1630" s="215" t="str">
        <f>IF(Table2[[#This Row],[Description]]="","",Table2[[#This Row],[Value]]/Table2[[#This Row],[Conversion]])</f>
        <v/>
      </c>
      <c r="K1630" s="45" t="str">
        <f>IF(Table2[[#This Row],[Description]]="","",DATE(Table2[[#This Row],[Year]],Table2[[#This Row],[Month]],1))</f>
        <v/>
      </c>
    </row>
    <row r="1631" spans="7:11" x14ac:dyDescent="0.25">
      <c r="G1631" s="1" t="str">
        <f>IF(Table2[[#This Row],[Description]]="","",VLOOKUP(Table2[[#This Row],[Description]],$Q$1:$S$101,2,FALSE))</f>
        <v/>
      </c>
      <c r="H1631" s="1" t="str">
        <f>IF(Table2[[#This Row],[Description]]="","",VLOOKUP(Table2[[#This Row],[Description]],$Q$1:$S$101,3,FALSE))</f>
        <v/>
      </c>
      <c r="I1631" s="1" t="str">
        <f>IF(Table2[[#This Row],[Description]]="","",IF(Table2[[#This Row],[Currency]]=$O$2,$P$2,HLOOKUP(Table2[[#This Row],[Date]],Funds!$C$10:$GV$11,2,FALSE)))</f>
        <v/>
      </c>
      <c r="J1631" s="215" t="str">
        <f>IF(Table2[[#This Row],[Description]]="","",Table2[[#This Row],[Value]]/Table2[[#This Row],[Conversion]])</f>
        <v/>
      </c>
      <c r="K1631" s="45" t="str">
        <f>IF(Table2[[#This Row],[Description]]="","",DATE(Table2[[#This Row],[Year]],Table2[[#This Row],[Month]],1))</f>
        <v/>
      </c>
    </row>
    <row r="1632" spans="7:11" x14ac:dyDescent="0.25">
      <c r="G1632" s="1" t="str">
        <f>IF(Table2[[#This Row],[Description]]="","",VLOOKUP(Table2[[#This Row],[Description]],$Q$1:$S$101,2,FALSE))</f>
        <v/>
      </c>
      <c r="H1632" s="1" t="str">
        <f>IF(Table2[[#This Row],[Description]]="","",VLOOKUP(Table2[[#This Row],[Description]],$Q$1:$S$101,3,FALSE))</f>
        <v/>
      </c>
      <c r="I1632" s="1" t="str">
        <f>IF(Table2[[#This Row],[Description]]="","",IF(Table2[[#This Row],[Currency]]=$O$2,$P$2,HLOOKUP(Table2[[#This Row],[Date]],Funds!$C$10:$GV$11,2,FALSE)))</f>
        <v/>
      </c>
      <c r="J1632" s="215" t="str">
        <f>IF(Table2[[#This Row],[Description]]="","",Table2[[#This Row],[Value]]/Table2[[#This Row],[Conversion]])</f>
        <v/>
      </c>
      <c r="K1632" s="45" t="str">
        <f>IF(Table2[[#This Row],[Description]]="","",DATE(Table2[[#This Row],[Year]],Table2[[#This Row],[Month]],1))</f>
        <v/>
      </c>
    </row>
    <row r="1633" spans="7:11" x14ac:dyDescent="0.25">
      <c r="G1633" s="1" t="str">
        <f>IF(Table2[[#This Row],[Description]]="","",VLOOKUP(Table2[[#This Row],[Description]],$Q$1:$S$101,2,FALSE))</f>
        <v/>
      </c>
      <c r="H1633" s="1" t="str">
        <f>IF(Table2[[#This Row],[Description]]="","",VLOOKUP(Table2[[#This Row],[Description]],$Q$1:$S$101,3,FALSE))</f>
        <v/>
      </c>
      <c r="I1633" s="1" t="str">
        <f>IF(Table2[[#This Row],[Description]]="","",IF(Table2[[#This Row],[Currency]]=$O$2,$P$2,HLOOKUP(Table2[[#This Row],[Date]],Funds!$C$10:$GV$11,2,FALSE)))</f>
        <v/>
      </c>
      <c r="J1633" s="215" t="str">
        <f>IF(Table2[[#This Row],[Description]]="","",Table2[[#This Row],[Value]]/Table2[[#This Row],[Conversion]])</f>
        <v/>
      </c>
      <c r="K1633" s="45" t="str">
        <f>IF(Table2[[#This Row],[Description]]="","",DATE(Table2[[#This Row],[Year]],Table2[[#This Row],[Month]],1))</f>
        <v/>
      </c>
    </row>
    <row r="1634" spans="7:11" x14ac:dyDescent="0.25">
      <c r="G1634" s="1" t="str">
        <f>IF(Table2[[#This Row],[Description]]="","",VLOOKUP(Table2[[#This Row],[Description]],$Q$1:$S$101,2,FALSE))</f>
        <v/>
      </c>
      <c r="H1634" s="1" t="str">
        <f>IF(Table2[[#This Row],[Description]]="","",VLOOKUP(Table2[[#This Row],[Description]],$Q$1:$S$101,3,FALSE))</f>
        <v/>
      </c>
      <c r="I1634" s="1" t="str">
        <f>IF(Table2[[#This Row],[Description]]="","",IF(Table2[[#This Row],[Currency]]=$O$2,$P$2,HLOOKUP(Table2[[#This Row],[Date]],Funds!$C$10:$GV$11,2,FALSE)))</f>
        <v/>
      </c>
      <c r="J1634" s="215" t="str">
        <f>IF(Table2[[#This Row],[Description]]="","",Table2[[#This Row],[Value]]/Table2[[#This Row],[Conversion]])</f>
        <v/>
      </c>
      <c r="K1634" s="45" t="str">
        <f>IF(Table2[[#This Row],[Description]]="","",DATE(Table2[[#This Row],[Year]],Table2[[#This Row],[Month]],1))</f>
        <v/>
      </c>
    </row>
    <row r="1635" spans="7:11" x14ac:dyDescent="0.25">
      <c r="G1635" s="1" t="str">
        <f>IF(Table2[[#This Row],[Description]]="","",VLOOKUP(Table2[[#This Row],[Description]],$Q$1:$S$101,2,FALSE))</f>
        <v/>
      </c>
      <c r="H1635" s="1" t="str">
        <f>IF(Table2[[#This Row],[Description]]="","",VLOOKUP(Table2[[#This Row],[Description]],$Q$1:$S$101,3,FALSE))</f>
        <v/>
      </c>
      <c r="I1635" s="1" t="str">
        <f>IF(Table2[[#This Row],[Description]]="","",IF(Table2[[#This Row],[Currency]]=$O$2,$P$2,HLOOKUP(Table2[[#This Row],[Date]],Funds!$C$10:$GV$11,2,FALSE)))</f>
        <v/>
      </c>
      <c r="J1635" s="215" t="str">
        <f>IF(Table2[[#This Row],[Description]]="","",Table2[[#This Row],[Value]]/Table2[[#This Row],[Conversion]])</f>
        <v/>
      </c>
      <c r="K1635" s="45" t="str">
        <f>IF(Table2[[#This Row],[Description]]="","",DATE(Table2[[#This Row],[Year]],Table2[[#This Row],[Month]],1))</f>
        <v/>
      </c>
    </row>
    <row r="1636" spans="7:11" x14ac:dyDescent="0.25">
      <c r="G1636" s="1" t="str">
        <f>IF(Table2[[#This Row],[Description]]="","",VLOOKUP(Table2[[#This Row],[Description]],$Q$1:$S$101,2,FALSE))</f>
        <v/>
      </c>
      <c r="H1636" s="1" t="str">
        <f>IF(Table2[[#This Row],[Description]]="","",VLOOKUP(Table2[[#This Row],[Description]],$Q$1:$S$101,3,FALSE))</f>
        <v/>
      </c>
      <c r="I1636" s="1" t="str">
        <f>IF(Table2[[#This Row],[Description]]="","",IF(Table2[[#This Row],[Currency]]=$O$2,$P$2,HLOOKUP(Table2[[#This Row],[Date]],Funds!$C$10:$GV$11,2,FALSE)))</f>
        <v/>
      </c>
      <c r="J1636" s="215" t="str">
        <f>IF(Table2[[#This Row],[Description]]="","",Table2[[#This Row],[Value]]/Table2[[#This Row],[Conversion]])</f>
        <v/>
      </c>
      <c r="K1636" s="45" t="str">
        <f>IF(Table2[[#This Row],[Description]]="","",DATE(Table2[[#This Row],[Year]],Table2[[#This Row],[Month]],1))</f>
        <v/>
      </c>
    </row>
    <row r="1637" spans="7:11" x14ac:dyDescent="0.25">
      <c r="G1637" s="1" t="str">
        <f>IF(Table2[[#This Row],[Description]]="","",VLOOKUP(Table2[[#This Row],[Description]],$Q$1:$S$101,2,FALSE))</f>
        <v/>
      </c>
      <c r="H1637" s="1" t="str">
        <f>IF(Table2[[#This Row],[Description]]="","",VLOOKUP(Table2[[#This Row],[Description]],$Q$1:$S$101,3,FALSE))</f>
        <v/>
      </c>
      <c r="I1637" s="1" t="str">
        <f>IF(Table2[[#This Row],[Description]]="","",IF(Table2[[#This Row],[Currency]]=$O$2,$P$2,HLOOKUP(Table2[[#This Row],[Date]],Funds!$C$10:$GV$11,2,FALSE)))</f>
        <v/>
      </c>
      <c r="J1637" s="215" t="str">
        <f>IF(Table2[[#This Row],[Description]]="","",Table2[[#This Row],[Value]]/Table2[[#This Row],[Conversion]])</f>
        <v/>
      </c>
      <c r="K1637" s="45" t="str">
        <f>IF(Table2[[#This Row],[Description]]="","",DATE(Table2[[#This Row],[Year]],Table2[[#This Row],[Month]],1))</f>
        <v/>
      </c>
    </row>
    <row r="1638" spans="7:11" x14ac:dyDescent="0.25">
      <c r="G1638" s="1" t="str">
        <f>IF(Table2[[#This Row],[Description]]="","",VLOOKUP(Table2[[#This Row],[Description]],$Q$1:$S$101,2,FALSE))</f>
        <v/>
      </c>
      <c r="H1638" s="1" t="str">
        <f>IF(Table2[[#This Row],[Description]]="","",VLOOKUP(Table2[[#This Row],[Description]],$Q$1:$S$101,3,FALSE))</f>
        <v/>
      </c>
      <c r="I1638" s="1" t="str">
        <f>IF(Table2[[#This Row],[Description]]="","",IF(Table2[[#This Row],[Currency]]=$O$2,$P$2,HLOOKUP(Table2[[#This Row],[Date]],Funds!$C$10:$GV$11,2,FALSE)))</f>
        <v/>
      </c>
      <c r="J1638" s="215" t="str">
        <f>IF(Table2[[#This Row],[Description]]="","",Table2[[#This Row],[Value]]/Table2[[#This Row],[Conversion]])</f>
        <v/>
      </c>
      <c r="K1638" s="45" t="str">
        <f>IF(Table2[[#This Row],[Description]]="","",DATE(Table2[[#This Row],[Year]],Table2[[#This Row],[Month]],1))</f>
        <v/>
      </c>
    </row>
    <row r="1639" spans="7:11" x14ac:dyDescent="0.25">
      <c r="G1639" s="1" t="str">
        <f>IF(Table2[[#This Row],[Description]]="","",VLOOKUP(Table2[[#This Row],[Description]],$Q$1:$S$101,2,FALSE))</f>
        <v/>
      </c>
      <c r="H1639" s="1" t="str">
        <f>IF(Table2[[#This Row],[Description]]="","",VLOOKUP(Table2[[#This Row],[Description]],$Q$1:$S$101,3,FALSE))</f>
        <v/>
      </c>
      <c r="I1639" s="1" t="str">
        <f>IF(Table2[[#This Row],[Description]]="","",IF(Table2[[#This Row],[Currency]]=$O$2,$P$2,HLOOKUP(Table2[[#This Row],[Date]],Funds!$C$10:$GV$11,2,FALSE)))</f>
        <v/>
      </c>
      <c r="J1639" s="215" t="str">
        <f>IF(Table2[[#This Row],[Description]]="","",Table2[[#This Row],[Value]]/Table2[[#This Row],[Conversion]])</f>
        <v/>
      </c>
      <c r="K1639" s="45" t="str">
        <f>IF(Table2[[#This Row],[Description]]="","",DATE(Table2[[#This Row],[Year]],Table2[[#This Row],[Month]],1))</f>
        <v/>
      </c>
    </row>
    <row r="1640" spans="7:11" x14ac:dyDescent="0.25">
      <c r="G1640" s="1" t="str">
        <f>IF(Table2[[#This Row],[Description]]="","",VLOOKUP(Table2[[#This Row],[Description]],$Q$1:$S$101,2,FALSE))</f>
        <v/>
      </c>
      <c r="H1640" s="1" t="str">
        <f>IF(Table2[[#This Row],[Description]]="","",VLOOKUP(Table2[[#This Row],[Description]],$Q$1:$S$101,3,FALSE))</f>
        <v/>
      </c>
      <c r="I1640" s="1" t="str">
        <f>IF(Table2[[#This Row],[Description]]="","",IF(Table2[[#This Row],[Currency]]=$O$2,$P$2,HLOOKUP(Table2[[#This Row],[Date]],Funds!$C$10:$GV$11,2,FALSE)))</f>
        <v/>
      </c>
      <c r="J1640" s="215" t="str">
        <f>IF(Table2[[#This Row],[Description]]="","",Table2[[#This Row],[Value]]/Table2[[#This Row],[Conversion]])</f>
        <v/>
      </c>
      <c r="K1640" s="45" t="str">
        <f>IF(Table2[[#This Row],[Description]]="","",DATE(Table2[[#This Row],[Year]],Table2[[#This Row],[Month]],1))</f>
        <v/>
      </c>
    </row>
    <row r="1641" spans="7:11" x14ac:dyDescent="0.25">
      <c r="G1641" s="1" t="str">
        <f>IF(Table2[[#This Row],[Description]]="","",VLOOKUP(Table2[[#This Row],[Description]],$Q$1:$S$101,2,FALSE))</f>
        <v/>
      </c>
      <c r="H1641" s="1" t="str">
        <f>IF(Table2[[#This Row],[Description]]="","",VLOOKUP(Table2[[#This Row],[Description]],$Q$1:$S$101,3,FALSE))</f>
        <v/>
      </c>
      <c r="I1641" s="1" t="str">
        <f>IF(Table2[[#This Row],[Description]]="","",IF(Table2[[#This Row],[Currency]]=$O$2,$P$2,HLOOKUP(Table2[[#This Row],[Date]],Funds!$C$10:$GV$11,2,FALSE)))</f>
        <v/>
      </c>
      <c r="J1641" s="215" t="str">
        <f>IF(Table2[[#This Row],[Description]]="","",Table2[[#This Row],[Value]]/Table2[[#This Row],[Conversion]])</f>
        <v/>
      </c>
      <c r="K1641" s="45" t="str">
        <f>IF(Table2[[#This Row],[Description]]="","",DATE(Table2[[#This Row],[Year]],Table2[[#This Row],[Month]],1))</f>
        <v/>
      </c>
    </row>
    <row r="1642" spans="7:11" x14ac:dyDescent="0.25">
      <c r="G1642" s="1" t="str">
        <f>IF(Table2[[#This Row],[Description]]="","",VLOOKUP(Table2[[#This Row],[Description]],$Q$1:$S$101,2,FALSE))</f>
        <v/>
      </c>
      <c r="H1642" s="1" t="str">
        <f>IF(Table2[[#This Row],[Description]]="","",VLOOKUP(Table2[[#This Row],[Description]],$Q$1:$S$101,3,FALSE))</f>
        <v/>
      </c>
      <c r="I1642" s="1" t="str">
        <f>IF(Table2[[#This Row],[Description]]="","",IF(Table2[[#This Row],[Currency]]=$O$2,$P$2,HLOOKUP(Table2[[#This Row],[Date]],Funds!$C$10:$GV$11,2,FALSE)))</f>
        <v/>
      </c>
      <c r="J1642" s="215" t="str">
        <f>IF(Table2[[#This Row],[Description]]="","",Table2[[#This Row],[Value]]/Table2[[#This Row],[Conversion]])</f>
        <v/>
      </c>
      <c r="K1642" s="45" t="str">
        <f>IF(Table2[[#This Row],[Description]]="","",DATE(Table2[[#This Row],[Year]],Table2[[#This Row],[Month]],1))</f>
        <v/>
      </c>
    </row>
    <row r="1643" spans="7:11" x14ac:dyDescent="0.25">
      <c r="G1643" s="1" t="str">
        <f>IF(Table2[[#This Row],[Description]]="","",VLOOKUP(Table2[[#This Row],[Description]],$Q$1:$S$101,2,FALSE))</f>
        <v/>
      </c>
      <c r="H1643" s="1" t="str">
        <f>IF(Table2[[#This Row],[Description]]="","",VLOOKUP(Table2[[#This Row],[Description]],$Q$1:$S$101,3,FALSE))</f>
        <v/>
      </c>
      <c r="I1643" s="1" t="str">
        <f>IF(Table2[[#This Row],[Description]]="","",IF(Table2[[#This Row],[Currency]]=$O$2,$P$2,HLOOKUP(Table2[[#This Row],[Date]],Funds!$C$10:$GV$11,2,FALSE)))</f>
        <v/>
      </c>
      <c r="J1643" s="215" t="str">
        <f>IF(Table2[[#This Row],[Description]]="","",Table2[[#This Row],[Value]]/Table2[[#This Row],[Conversion]])</f>
        <v/>
      </c>
      <c r="K1643" s="45" t="str">
        <f>IF(Table2[[#This Row],[Description]]="","",DATE(Table2[[#This Row],[Year]],Table2[[#This Row],[Month]],1))</f>
        <v/>
      </c>
    </row>
    <row r="1644" spans="7:11" x14ac:dyDescent="0.25">
      <c r="G1644" s="1" t="str">
        <f>IF(Table2[[#This Row],[Description]]="","",VLOOKUP(Table2[[#This Row],[Description]],$Q$1:$S$101,2,FALSE))</f>
        <v/>
      </c>
      <c r="H1644" s="1" t="str">
        <f>IF(Table2[[#This Row],[Description]]="","",VLOOKUP(Table2[[#This Row],[Description]],$Q$1:$S$101,3,FALSE))</f>
        <v/>
      </c>
      <c r="I1644" s="1" t="str">
        <f>IF(Table2[[#This Row],[Description]]="","",IF(Table2[[#This Row],[Currency]]=$O$2,$P$2,HLOOKUP(Table2[[#This Row],[Date]],Funds!$C$10:$GV$11,2,FALSE)))</f>
        <v/>
      </c>
      <c r="J1644" s="215" t="str">
        <f>IF(Table2[[#This Row],[Description]]="","",Table2[[#This Row],[Value]]/Table2[[#This Row],[Conversion]])</f>
        <v/>
      </c>
      <c r="K1644" s="45" t="str">
        <f>IF(Table2[[#This Row],[Description]]="","",DATE(Table2[[#This Row],[Year]],Table2[[#This Row],[Month]],1))</f>
        <v/>
      </c>
    </row>
    <row r="1645" spans="7:11" x14ac:dyDescent="0.25">
      <c r="G1645" s="1" t="str">
        <f>IF(Table2[[#This Row],[Description]]="","",VLOOKUP(Table2[[#This Row],[Description]],$Q$1:$S$101,2,FALSE))</f>
        <v/>
      </c>
      <c r="H1645" s="1" t="str">
        <f>IF(Table2[[#This Row],[Description]]="","",VLOOKUP(Table2[[#This Row],[Description]],$Q$1:$S$101,3,FALSE))</f>
        <v/>
      </c>
      <c r="I1645" s="1" t="str">
        <f>IF(Table2[[#This Row],[Description]]="","",IF(Table2[[#This Row],[Currency]]=$O$2,$P$2,HLOOKUP(Table2[[#This Row],[Date]],Funds!$C$10:$GV$11,2,FALSE)))</f>
        <v/>
      </c>
      <c r="J1645" s="215" t="str">
        <f>IF(Table2[[#This Row],[Description]]="","",Table2[[#This Row],[Value]]/Table2[[#This Row],[Conversion]])</f>
        <v/>
      </c>
      <c r="K1645" s="45" t="str">
        <f>IF(Table2[[#This Row],[Description]]="","",DATE(Table2[[#This Row],[Year]],Table2[[#This Row],[Month]],1))</f>
        <v/>
      </c>
    </row>
    <row r="1646" spans="7:11" x14ac:dyDescent="0.25">
      <c r="G1646" s="1" t="str">
        <f>IF(Table2[[#This Row],[Description]]="","",VLOOKUP(Table2[[#This Row],[Description]],$Q$1:$S$101,2,FALSE))</f>
        <v/>
      </c>
      <c r="H1646" s="1" t="str">
        <f>IF(Table2[[#This Row],[Description]]="","",VLOOKUP(Table2[[#This Row],[Description]],$Q$1:$S$101,3,FALSE))</f>
        <v/>
      </c>
      <c r="I1646" s="1" t="str">
        <f>IF(Table2[[#This Row],[Description]]="","",IF(Table2[[#This Row],[Currency]]=$O$2,$P$2,HLOOKUP(Table2[[#This Row],[Date]],Funds!$C$10:$GV$11,2,FALSE)))</f>
        <v/>
      </c>
      <c r="J1646" s="215" t="str">
        <f>IF(Table2[[#This Row],[Description]]="","",Table2[[#This Row],[Value]]/Table2[[#This Row],[Conversion]])</f>
        <v/>
      </c>
      <c r="K1646" s="45" t="str">
        <f>IF(Table2[[#This Row],[Description]]="","",DATE(Table2[[#This Row],[Year]],Table2[[#This Row],[Month]],1))</f>
        <v/>
      </c>
    </row>
    <row r="1647" spans="7:11" x14ac:dyDescent="0.25">
      <c r="G1647" s="1" t="str">
        <f>IF(Table2[[#This Row],[Description]]="","",VLOOKUP(Table2[[#This Row],[Description]],$Q$1:$S$101,2,FALSE))</f>
        <v/>
      </c>
      <c r="H1647" s="1" t="str">
        <f>IF(Table2[[#This Row],[Description]]="","",VLOOKUP(Table2[[#This Row],[Description]],$Q$1:$S$101,3,FALSE))</f>
        <v/>
      </c>
      <c r="I1647" s="1" t="str">
        <f>IF(Table2[[#This Row],[Description]]="","",IF(Table2[[#This Row],[Currency]]=$O$2,$P$2,HLOOKUP(Table2[[#This Row],[Date]],Funds!$C$10:$GV$11,2,FALSE)))</f>
        <v/>
      </c>
      <c r="J1647" s="215" t="str">
        <f>IF(Table2[[#This Row],[Description]]="","",Table2[[#This Row],[Value]]/Table2[[#This Row],[Conversion]])</f>
        <v/>
      </c>
      <c r="K1647" s="45" t="str">
        <f>IF(Table2[[#This Row],[Description]]="","",DATE(Table2[[#This Row],[Year]],Table2[[#This Row],[Month]],1))</f>
        <v/>
      </c>
    </row>
    <row r="1648" spans="7:11" x14ac:dyDescent="0.25">
      <c r="G1648" s="1" t="str">
        <f>IF(Table2[[#This Row],[Description]]="","",VLOOKUP(Table2[[#This Row],[Description]],$Q$1:$S$101,2,FALSE))</f>
        <v/>
      </c>
      <c r="H1648" s="1" t="str">
        <f>IF(Table2[[#This Row],[Description]]="","",VLOOKUP(Table2[[#This Row],[Description]],$Q$1:$S$101,3,FALSE))</f>
        <v/>
      </c>
      <c r="I1648" s="1" t="str">
        <f>IF(Table2[[#This Row],[Description]]="","",IF(Table2[[#This Row],[Currency]]=$O$2,$P$2,HLOOKUP(Table2[[#This Row],[Date]],Funds!$C$10:$GV$11,2,FALSE)))</f>
        <v/>
      </c>
      <c r="J1648" s="215" t="str">
        <f>IF(Table2[[#This Row],[Description]]="","",Table2[[#This Row],[Value]]/Table2[[#This Row],[Conversion]])</f>
        <v/>
      </c>
      <c r="K1648" s="45" t="str">
        <f>IF(Table2[[#This Row],[Description]]="","",DATE(Table2[[#This Row],[Year]],Table2[[#This Row],[Month]],1))</f>
        <v/>
      </c>
    </row>
    <row r="1649" spans="7:11" x14ac:dyDescent="0.25">
      <c r="G1649" s="1" t="str">
        <f>IF(Table2[[#This Row],[Description]]="","",VLOOKUP(Table2[[#This Row],[Description]],$Q$1:$S$101,2,FALSE))</f>
        <v/>
      </c>
      <c r="H1649" s="1" t="str">
        <f>IF(Table2[[#This Row],[Description]]="","",VLOOKUP(Table2[[#This Row],[Description]],$Q$1:$S$101,3,FALSE))</f>
        <v/>
      </c>
      <c r="I1649" s="1" t="str">
        <f>IF(Table2[[#This Row],[Description]]="","",IF(Table2[[#This Row],[Currency]]=$O$2,$P$2,HLOOKUP(Table2[[#This Row],[Date]],Funds!$C$10:$GV$11,2,FALSE)))</f>
        <v/>
      </c>
      <c r="J1649" s="215" t="str">
        <f>IF(Table2[[#This Row],[Description]]="","",Table2[[#This Row],[Value]]/Table2[[#This Row],[Conversion]])</f>
        <v/>
      </c>
      <c r="K1649" s="45" t="str">
        <f>IF(Table2[[#This Row],[Description]]="","",DATE(Table2[[#This Row],[Year]],Table2[[#This Row],[Month]],1))</f>
        <v/>
      </c>
    </row>
    <row r="1650" spans="7:11" x14ac:dyDescent="0.25">
      <c r="G1650" s="1" t="str">
        <f>IF(Table2[[#This Row],[Description]]="","",VLOOKUP(Table2[[#This Row],[Description]],$Q$1:$S$101,2,FALSE))</f>
        <v/>
      </c>
      <c r="H1650" s="1" t="str">
        <f>IF(Table2[[#This Row],[Description]]="","",VLOOKUP(Table2[[#This Row],[Description]],$Q$1:$S$101,3,FALSE))</f>
        <v/>
      </c>
      <c r="I1650" s="1" t="str">
        <f>IF(Table2[[#This Row],[Description]]="","",IF(Table2[[#This Row],[Currency]]=$O$2,$P$2,HLOOKUP(Table2[[#This Row],[Date]],Funds!$C$10:$GV$11,2,FALSE)))</f>
        <v/>
      </c>
      <c r="J1650" s="215" t="str">
        <f>IF(Table2[[#This Row],[Description]]="","",Table2[[#This Row],[Value]]/Table2[[#This Row],[Conversion]])</f>
        <v/>
      </c>
      <c r="K1650" s="45" t="str">
        <f>IF(Table2[[#This Row],[Description]]="","",DATE(Table2[[#This Row],[Year]],Table2[[#This Row],[Month]],1))</f>
        <v/>
      </c>
    </row>
    <row r="1651" spans="7:11" x14ac:dyDescent="0.25">
      <c r="G1651" s="1" t="str">
        <f>IF(Table2[[#This Row],[Description]]="","",VLOOKUP(Table2[[#This Row],[Description]],$Q$1:$S$101,2,FALSE))</f>
        <v/>
      </c>
      <c r="H1651" s="1" t="str">
        <f>IF(Table2[[#This Row],[Description]]="","",VLOOKUP(Table2[[#This Row],[Description]],$Q$1:$S$101,3,FALSE))</f>
        <v/>
      </c>
      <c r="I1651" s="1" t="str">
        <f>IF(Table2[[#This Row],[Description]]="","",IF(Table2[[#This Row],[Currency]]=$O$2,$P$2,HLOOKUP(Table2[[#This Row],[Date]],Funds!$C$10:$GV$11,2,FALSE)))</f>
        <v/>
      </c>
      <c r="J1651" s="215" t="str">
        <f>IF(Table2[[#This Row],[Description]]="","",Table2[[#This Row],[Value]]/Table2[[#This Row],[Conversion]])</f>
        <v/>
      </c>
      <c r="K1651" s="45" t="str">
        <f>IF(Table2[[#This Row],[Description]]="","",DATE(Table2[[#This Row],[Year]],Table2[[#This Row],[Month]],1))</f>
        <v/>
      </c>
    </row>
    <row r="1652" spans="7:11" x14ac:dyDescent="0.25">
      <c r="G1652" s="1" t="str">
        <f>IF(Table2[[#This Row],[Description]]="","",VLOOKUP(Table2[[#This Row],[Description]],$Q$1:$S$101,2,FALSE))</f>
        <v/>
      </c>
      <c r="H1652" s="1" t="str">
        <f>IF(Table2[[#This Row],[Description]]="","",VLOOKUP(Table2[[#This Row],[Description]],$Q$1:$S$101,3,FALSE))</f>
        <v/>
      </c>
      <c r="I1652" s="1" t="str">
        <f>IF(Table2[[#This Row],[Description]]="","",IF(Table2[[#This Row],[Currency]]=$O$2,$P$2,HLOOKUP(Table2[[#This Row],[Date]],Funds!$C$10:$GV$11,2,FALSE)))</f>
        <v/>
      </c>
      <c r="J1652" s="215" t="str">
        <f>IF(Table2[[#This Row],[Description]]="","",Table2[[#This Row],[Value]]/Table2[[#This Row],[Conversion]])</f>
        <v/>
      </c>
      <c r="K1652" s="45" t="str">
        <f>IF(Table2[[#This Row],[Description]]="","",DATE(Table2[[#This Row],[Year]],Table2[[#This Row],[Month]],1))</f>
        <v/>
      </c>
    </row>
    <row r="1653" spans="7:11" x14ac:dyDescent="0.25">
      <c r="G1653" s="1" t="str">
        <f>IF(Table2[[#This Row],[Description]]="","",VLOOKUP(Table2[[#This Row],[Description]],$Q$1:$S$101,2,FALSE))</f>
        <v/>
      </c>
      <c r="H1653" s="1" t="str">
        <f>IF(Table2[[#This Row],[Description]]="","",VLOOKUP(Table2[[#This Row],[Description]],$Q$1:$S$101,3,FALSE))</f>
        <v/>
      </c>
      <c r="I1653" s="1" t="str">
        <f>IF(Table2[[#This Row],[Description]]="","",IF(Table2[[#This Row],[Currency]]=$O$2,$P$2,HLOOKUP(Table2[[#This Row],[Date]],Funds!$C$10:$GV$11,2,FALSE)))</f>
        <v/>
      </c>
      <c r="J1653" s="215" t="str">
        <f>IF(Table2[[#This Row],[Description]]="","",Table2[[#This Row],[Value]]/Table2[[#This Row],[Conversion]])</f>
        <v/>
      </c>
      <c r="K1653" s="45" t="str">
        <f>IF(Table2[[#This Row],[Description]]="","",DATE(Table2[[#This Row],[Year]],Table2[[#This Row],[Month]],1))</f>
        <v/>
      </c>
    </row>
    <row r="1654" spans="7:11" x14ac:dyDescent="0.25">
      <c r="G1654" s="1" t="str">
        <f>IF(Table2[[#This Row],[Description]]="","",VLOOKUP(Table2[[#This Row],[Description]],$Q$1:$S$101,2,FALSE))</f>
        <v/>
      </c>
      <c r="H1654" s="1" t="str">
        <f>IF(Table2[[#This Row],[Description]]="","",VLOOKUP(Table2[[#This Row],[Description]],$Q$1:$S$101,3,FALSE))</f>
        <v/>
      </c>
      <c r="I1654" s="1" t="str">
        <f>IF(Table2[[#This Row],[Description]]="","",IF(Table2[[#This Row],[Currency]]=$O$2,$P$2,HLOOKUP(Table2[[#This Row],[Date]],Funds!$C$10:$GV$11,2,FALSE)))</f>
        <v/>
      </c>
      <c r="J1654" s="215" t="str">
        <f>IF(Table2[[#This Row],[Description]]="","",Table2[[#This Row],[Value]]/Table2[[#This Row],[Conversion]])</f>
        <v/>
      </c>
      <c r="K1654" s="45" t="str">
        <f>IF(Table2[[#This Row],[Description]]="","",DATE(Table2[[#This Row],[Year]],Table2[[#This Row],[Month]],1))</f>
        <v/>
      </c>
    </row>
    <row r="1655" spans="7:11" x14ac:dyDescent="0.25">
      <c r="G1655" s="1" t="str">
        <f>IF(Table2[[#This Row],[Description]]="","",VLOOKUP(Table2[[#This Row],[Description]],$Q$1:$S$101,2,FALSE))</f>
        <v/>
      </c>
      <c r="H1655" s="1" t="str">
        <f>IF(Table2[[#This Row],[Description]]="","",VLOOKUP(Table2[[#This Row],[Description]],$Q$1:$S$101,3,FALSE))</f>
        <v/>
      </c>
      <c r="I1655" s="1" t="str">
        <f>IF(Table2[[#This Row],[Description]]="","",IF(Table2[[#This Row],[Currency]]=$O$2,$P$2,HLOOKUP(Table2[[#This Row],[Date]],Funds!$C$10:$GV$11,2,FALSE)))</f>
        <v/>
      </c>
      <c r="J1655" s="215" t="str">
        <f>IF(Table2[[#This Row],[Description]]="","",Table2[[#This Row],[Value]]/Table2[[#This Row],[Conversion]])</f>
        <v/>
      </c>
      <c r="K1655" s="45" t="str">
        <f>IF(Table2[[#This Row],[Description]]="","",DATE(Table2[[#This Row],[Year]],Table2[[#This Row],[Month]],1))</f>
        <v/>
      </c>
    </row>
    <row r="1656" spans="7:11" x14ac:dyDescent="0.25">
      <c r="G1656" s="1" t="str">
        <f>IF(Table2[[#This Row],[Description]]="","",VLOOKUP(Table2[[#This Row],[Description]],$Q$1:$S$101,2,FALSE))</f>
        <v/>
      </c>
      <c r="H1656" s="1" t="str">
        <f>IF(Table2[[#This Row],[Description]]="","",VLOOKUP(Table2[[#This Row],[Description]],$Q$1:$S$101,3,FALSE))</f>
        <v/>
      </c>
      <c r="I1656" s="1" t="str">
        <f>IF(Table2[[#This Row],[Description]]="","",IF(Table2[[#This Row],[Currency]]=$O$2,$P$2,HLOOKUP(Table2[[#This Row],[Date]],Funds!$C$10:$GV$11,2,FALSE)))</f>
        <v/>
      </c>
      <c r="J1656" s="215" t="str">
        <f>IF(Table2[[#This Row],[Description]]="","",Table2[[#This Row],[Value]]/Table2[[#This Row],[Conversion]])</f>
        <v/>
      </c>
      <c r="K1656" s="45" t="str">
        <f>IF(Table2[[#This Row],[Description]]="","",DATE(Table2[[#This Row],[Year]],Table2[[#This Row],[Month]],1))</f>
        <v/>
      </c>
    </row>
    <row r="1657" spans="7:11" x14ac:dyDescent="0.25">
      <c r="G1657" s="1" t="str">
        <f>IF(Table2[[#This Row],[Description]]="","",VLOOKUP(Table2[[#This Row],[Description]],$Q$1:$S$101,2,FALSE))</f>
        <v/>
      </c>
      <c r="H1657" s="1" t="str">
        <f>IF(Table2[[#This Row],[Description]]="","",VLOOKUP(Table2[[#This Row],[Description]],$Q$1:$S$101,3,FALSE))</f>
        <v/>
      </c>
      <c r="I1657" s="1" t="str">
        <f>IF(Table2[[#This Row],[Description]]="","",IF(Table2[[#This Row],[Currency]]=$O$2,$P$2,HLOOKUP(Table2[[#This Row],[Date]],Funds!$C$10:$GV$11,2,FALSE)))</f>
        <v/>
      </c>
      <c r="J1657" s="215" t="str">
        <f>IF(Table2[[#This Row],[Description]]="","",Table2[[#This Row],[Value]]/Table2[[#This Row],[Conversion]])</f>
        <v/>
      </c>
      <c r="K1657" s="45" t="str">
        <f>IF(Table2[[#This Row],[Description]]="","",DATE(Table2[[#This Row],[Year]],Table2[[#This Row],[Month]],1))</f>
        <v/>
      </c>
    </row>
    <row r="1658" spans="7:11" x14ac:dyDescent="0.25">
      <c r="G1658" s="1" t="str">
        <f>IF(Table2[[#This Row],[Description]]="","",VLOOKUP(Table2[[#This Row],[Description]],$Q$1:$S$101,2,FALSE))</f>
        <v/>
      </c>
      <c r="H1658" s="1" t="str">
        <f>IF(Table2[[#This Row],[Description]]="","",VLOOKUP(Table2[[#This Row],[Description]],$Q$1:$S$101,3,FALSE))</f>
        <v/>
      </c>
      <c r="I1658" s="1" t="str">
        <f>IF(Table2[[#This Row],[Description]]="","",IF(Table2[[#This Row],[Currency]]=$O$2,$P$2,HLOOKUP(Table2[[#This Row],[Date]],Funds!$C$10:$GV$11,2,FALSE)))</f>
        <v/>
      </c>
      <c r="J1658" s="215" t="str">
        <f>IF(Table2[[#This Row],[Description]]="","",Table2[[#This Row],[Value]]/Table2[[#This Row],[Conversion]])</f>
        <v/>
      </c>
      <c r="K1658" s="45" t="str">
        <f>IF(Table2[[#This Row],[Description]]="","",DATE(Table2[[#This Row],[Year]],Table2[[#This Row],[Month]],1))</f>
        <v/>
      </c>
    </row>
    <row r="1659" spans="7:11" x14ac:dyDescent="0.25">
      <c r="G1659" s="1" t="str">
        <f>IF(Table2[[#This Row],[Description]]="","",VLOOKUP(Table2[[#This Row],[Description]],$Q$1:$S$101,2,FALSE))</f>
        <v/>
      </c>
      <c r="H1659" s="1" t="str">
        <f>IF(Table2[[#This Row],[Description]]="","",VLOOKUP(Table2[[#This Row],[Description]],$Q$1:$S$101,3,FALSE))</f>
        <v/>
      </c>
      <c r="I1659" s="1" t="str">
        <f>IF(Table2[[#This Row],[Description]]="","",IF(Table2[[#This Row],[Currency]]=$O$2,$P$2,HLOOKUP(Table2[[#This Row],[Date]],Funds!$C$10:$GV$11,2,FALSE)))</f>
        <v/>
      </c>
      <c r="J1659" s="215" t="str">
        <f>IF(Table2[[#This Row],[Description]]="","",Table2[[#This Row],[Value]]/Table2[[#This Row],[Conversion]])</f>
        <v/>
      </c>
      <c r="K1659" s="45" t="str">
        <f>IF(Table2[[#This Row],[Description]]="","",DATE(Table2[[#This Row],[Year]],Table2[[#This Row],[Month]],1))</f>
        <v/>
      </c>
    </row>
    <row r="1660" spans="7:11" x14ac:dyDescent="0.25">
      <c r="G1660" s="1" t="str">
        <f>IF(Table2[[#This Row],[Description]]="","",VLOOKUP(Table2[[#This Row],[Description]],$Q$1:$S$101,2,FALSE))</f>
        <v/>
      </c>
      <c r="H1660" s="1" t="str">
        <f>IF(Table2[[#This Row],[Description]]="","",VLOOKUP(Table2[[#This Row],[Description]],$Q$1:$S$101,3,FALSE))</f>
        <v/>
      </c>
      <c r="I1660" s="1" t="str">
        <f>IF(Table2[[#This Row],[Description]]="","",IF(Table2[[#This Row],[Currency]]=$O$2,$P$2,HLOOKUP(Table2[[#This Row],[Date]],Funds!$C$10:$GV$11,2,FALSE)))</f>
        <v/>
      </c>
      <c r="J1660" s="215" t="str">
        <f>IF(Table2[[#This Row],[Description]]="","",Table2[[#This Row],[Value]]/Table2[[#This Row],[Conversion]])</f>
        <v/>
      </c>
      <c r="K1660" s="45" t="str">
        <f>IF(Table2[[#This Row],[Description]]="","",DATE(Table2[[#This Row],[Year]],Table2[[#This Row],[Month]],1))</f>
        <v/>
      </c>
    </row>
    <row r="1661" spans="7:11" x14ac:dyDescent="0.25">
      <c r="G1661" s="1" t="str">
        <f>IF(Table2[[#This Row],[Description]]="","",VLOOKUP(Table2[[#This Row],[Description]],$Q$1:$S$101,2,FALSE))</f>
        <v/>
      </c>
      <c r="H1661" s="1" t="str">
        <f>IF(Table2[[#This Row],[Description]]="","",VLOOKUP(Table2[[#This Row],[Description]],$Q$1:$S$101,3,FALSE))</f>
        <v/>
      </c>
      <c r="I1661" s="1" t="str">
        <f>IF(Table2[[#This Row],[Description]]="","",IF(Table2[[#This Row],[Currency]]=$O$2,$P$2,HLOOKUP(Table2[[#This Row],[Date]],Funds!$C$10:$GV$11,2,FALSE)))</f>
        <v/>
      </c>
      <c r="J1661" s="215" t="str">
        <f>IF(Table2[[#This Row],[Description]]="","",Table2[[#This Row],[Value]]/Table2[[#This Row],[Conversion]])</f>
        <v/>
      </c>
      <c r="K1661" s="45" t="str">
        <f>IF(Table2[[#This Row],[Description]]="","",DATE(Table2[[#This Row],[Year]],Table2[[#This Row],[Month]],1))</f>
        <v/>
      </c>
    </row>
    <row r="1662" spans="7:11" x14ac:dyDescent="0.25">
      <c r="G1662" s="1" t="str">
        <f>IF(Table2[[#This Row],[Description]]="","",VLOOKUP(Table2[[#This Row],[Description]],$Q$1:$S$101,2,FALSE))</f>
        <v/>
      </c>
      <c r="H1662" s="1" t="str">
        <f>IF(Table2[[#This Row],[Description]]="","",VLOOKUP(Table2[[#This Row],[Description]],$Q$1:$S$101,3,FALSE))</f>
        <v/>
      </c>
      <c r="I1662" s="1" t="str">
        <f>IF(Table2[[#This Row],[Description]]="","",IF(Table2[[#This Row],[Currency]]=$O$2,$P$2,HLOOKUP(Table2[[#This Row],[Date]],Funds!$C$10:$GV$11,2,FALSE)))</f>
        <v/>
      </c>
      <c r="J1662" s="215" t="str">
        <f>IF(Table2[[#This Row],[Description]]="","",Table2[[#This Row],[Value]]/Table2[[#This Row],[Conversion]])</f>
        <v/>
      </c>
      <c r="K1662" s="45" t="str">
        <f>IF(Table2[[#This Row],[Description]]="","",DATE(Table2[[#This Row],[Year]],Table2[[#This Row],[Month]],1))</f>
        <v/>
      </c>
    </row>
    <row r="1663" spans="7:11" x14ac:dyDescent="0.25">
      <c r="G1663" s="1" t="str">
        <f>IF(Table2[[#This Row],[Description]]="","",VLOOKUP(Table2[[#This Row],[Description]],$Q$1:$S$101,2,FALSE))</f>
        <v/>
      </c>
      <c r="H1663" s="1" t="str">
        <f>IF(Table2[[#This Row],[Description]]="","",VLOOKUP(Table2[[#This Row],[Description]],$Q$1:$S$101,3,FALSE))</f>
        <v/>
      </c>
      <c r="I1663" s="1" t="str">
        <f>IF(Table2[[#This Row],[Description]]="","",IF(Table2[[#This Row],[Currency]]=$O$2,$P$2,HLOOKUP(Table2[[#This Row],[Date]],Funds!$C$10:$GV$11,2,FALSE)))</f>
        <v/>
      </c>
      <c r="J1663" s="215" t="str">
        <f>IF(Table2[[#This Row],[Description]]="","",Table2[[#This Row],[Value]]/Table2[[#This Row],[Conversion]])</f>
        <v/>
      </c>
      <c r="K1663" s="45" t="str">
        <f>IF(Table2[[#This Row],[Description]]="","",DATE(Table2[[#This Row],[Year]],Table2[[#This Row],[Month]],1))</f>
        <v/>
      </c>
    </row>
    <row r="1664" spans="7:11" x14ac:dyDescent="0.25">
      <c r="G1664" s="1" t="str">
        <f>IF(Table2[[#This Row],[Description]]="","",VLOOKUP(Table2[[#This Row],[Description]],$Q$1:$S$101,2,FALSE))</f>
        <v/>
      </c>
      <c r="H1664" s="1" t="str">
        <f>IF(Table2[[#This Row],[Description]]="","",VLOOKUP(Table2[[#This Row],[Description]],$Q$1:$S$101,3,FALSE))</f>
        <v/>
      </c>
      <c r="I1664" s="1" t="str">
        <f>IF(Table2[[#This Row],[Description]]="","",IF(Table2[[#This Row],[Currency]]=$O$2,$P$2,HLOOKUP(Table2[[#This Row],[Date]],Funds!$C$10:$GV$11,2,FALSE)))</f>
        <v/>
      </c>
      <c r="J1664" s="215" t="str">
        <f>IF(Table2[[#This Row],[Description]]="","",Table2[[#This Row],[Value]]/Table2[[#This Row],[Conversion]])</f>
        <v/>
      </c>
      <c r="K1664" s="45" t="str">
        <f>IF(Table2[[#This Row],[Description]]="","",DATE(Table2[[#This Row],[Year]],Table2[[#This Row],[Month]],1))</f>
        <v/>
      </c>
    </row>
    <row r="1665" spans="7:11" x14ac:dyDescent="0.25">
      <c r="G1665" s="1" t="str">
        <f>IF(Table2[[#This Row],[Description]]="","",VLOOKUP(Table2[[#This Row],[Description]],$Q$1:$S$101,2,FALSE))</f>
        <v/>
      </c>
      <c r="H1665" s="1" t="str">
        <f>IF(Table2[[#This Row],[Description]]="","",VLOOKUP(Table2[[#This Row],[Description]],$Q$1:$S$101,3,FALSE))</f>
        <v/>
      </c>
      <c r="I1665" s="1" t="str">
        <f>IF(Table2[[#This Row],[Description]]="","",IF(Table2[[#This Row],[Currency]]=$O$2,$P$2,HLOOKUP(Table2[[#This Row],[Date]],Funds!$C$10:$GV$11,2,FALSE)))</f>
        <v/>
      </c>
      <c r="J1665" s="215" t="str">
        <f>IF(Table2[[#This Row],[Description]]="","",Table2[[#This Row],[Value]]/Table2[[#This Row],[Conversion]])</f>
        <v/>
      </c>
      <c r="K1665" s="45" t="str">
        <f>IF(Table2[[#This Row],[Description]]="","",DATE(Table2[[#This Row],[Year]],Table2[[#This Row],[Month]],1))</f>
        <v/>
      </c>
    </row>
    <row r="1666" spans="7:11" x14ac:dyDescent="0.25">
      <c r="G1666" s="1" t="str">
        <f>IF(Table2[[#This Row],[Description]]="","",VLOOKUP(Table2[[#This Row],[Description]],$Q$1:$S$101,2,FALSE))</f>
        <v/>
      </c>
      <c r="H1666" s="1" t="str">
        <f>IF(Table2[[#This Row],[Description]]="","",VLOOKUP(Table2[[#This Row],[Description]],$Q$1:$S$101,3,FALSE))</f>
        <v/>
      </c>
      <c r="I1666" s="1" t="str">
        <f>IF(Table2[[#This Row],[Description]]="","",IF(Table2[[#This Row],[Currency]]=$O$2,$P$2,HLOOKUP(Table2[[#This Row],[Date]],Funds!$C$10:$GV$11,2,FALSE)))</f>
        <v/>
      </c>
      <c r="J1666" s="215" t="str">
        <f>IF(Table2[[#This Row],[Description]]="","",Table2[[#This Row],[Value]]/Table2[[#This Row],[Conversion]])</f>
        <v/>
      </c>
      <c r="K1666" s="45" t="str">
        <f>IF(Table2[[#This Row],[Description]]="","",DATE(Table2[[#This Row],[Year]],Table2[[#This Row],[Month]],1))</f>
        <v/>
      </c>
    </row>
    <row r="1667" spans="7:11" x14ac:dyDescent="0.25">
      <c r="G1667" s="1" t="str">
        <f>IF(Table2[[#This Row],[Description]]="","",VLOOKUP(Table2[[#This Row],[Description]],$Q$1:$S$101,2,FALSE))</f>
        <v/>
      </c>
      <c r="H1667" s="1" t="str">
        <f>IF(Table2[[#This Row],[Description]]="","",VLOOKUP(Table2[[#This Row],[Description]],$Q$1:$S$101,3,FALSE))</f>
        <v/>
      </c>
      <c r="I1667" s="1" t="str">
        <f>IF(Table2[[#This Row],[Description]]="","",IF(Table2[[#This Row],[Currency]]=$O$2,$P$2,HLOOKUP(Table2[[#This Row],[Date]],Funds!$C$10:$GV$11,2,FALSE)))</f>
        <v/>
      </c>
      <c r="J1667" s="215" t="str">
        <f>IF(Table2[[#This Row],[Description]]="","",Table2[[#This Row],[Value]]/Table2[[#This Row],[Conversion]])</f>
        <v/>
      </c>
      <c r="K1667" s="45" t="str">
        <f>IF(Table2[[#This Row],[Description]]="","",DATE(Table2[[#This Row],[Year]],Table2[[#This Row],[Month]],1))</f>
        <v/>
      </c>
    </row>
    <row r="1668" spans="7:11" x14ac:dyDescent="0.25">
      <c r="G1668" s="1" t="str">
        <f>IF(Table2[[#This Row],[Description]]="","",VLOOKUP(Table2[[#This Row],[Description]],$Q$1:$S$101,2,FALSE))</f>
        <v/>
      </c>
      <c r="H1668" s="1" t="str">
        <f>IF(Table2[[#This Row],[Description]]="","",VLOOKUP(Table2[[#This Row],[Description]],$Q$1:$S$101,3,FALSE))</f>
        <v/>
      </c>
      <c r="I1668" s="1" t="str">
        <f>IF(Table2[[#This Row],[Description]]="","",IF(Table2[[#This Row],[Currency]]=$O$2,$P$2,HLOOKUP(Table2[[#This Row],[Date]],Funds!$C$10:$GV$11,2,FALSE)))</f>
        <v/>
      </c>
      <c r="J1668" s="215" t="str">
        <f>IF(Table2[[#This Row],[Description]]="","",Table2[[#This Row],[Value]]/Table2[[#This Row],[Conversion]])</f>
        <v/>
      </c>
      <c r="K1668" s="45" t="str">
        <f>IF(Table2[[#This Row],[Description]]="","",DATE(Table2[[#This Row],[Year]],Table2[[#This Row],[Month]],1))</f>
        <v/>
      </c>
    </row>
    <row r="1669" spans="7:11" x14ac:dyDescent="0.25">
      <c r="G1669" s="1" t="str">
        <f>IF(Table2[[#This Row],[Description]]="","",VLOOKUP(Table2[[#This Row],[Description]],$Q$1:$S$101,2,FALSE))</f>
        <v/>
      </c>
      <c r="H1669" s="1" t="str">
        <f>IF(Table2[[#This Row],[Description]]="","",VLOOKUP(Table2[[#This Row],[Description]],$Q$1:$S$101,3,FALSE))</f>
        <v/>
      </c>
      <c r="I1669" s="1" t="str">
        <f>IF(Table2[[#This Row],[Description]]="","",IF(Table2[[#This Row],[Currency]]=$O$2,$P$2,HLOOKUP(Table2[[#This Row],[Date]],Funds!$C$10:$GV$11,2,FALSE)))</f>
        <v/>
      </c>
      <c r="J1669" s="215" t="str">
        <f>IF(Table2[[#This Row],[Description]]="","",Table2[[#This Row],[Value]]/Table2[[#This Row],[Conversion]])</f>
        <v/>
      </c>
      <c r="K1669" s="45" t="str">
        <f>IF(Table2[[#This Row],[Description]]="","",DATE(Table2[[#This Row],[Year]],Table2[[#This Row],[Month]],1))</f>
        <v/>
      </c>
    </row>
    <row r="1670" spans="7:11" x14ac:dyDescent="0.25">
      <c r="G1670" s="1" t="str">
        <f>IF(Table2[[#This Row],[Description]]="","",VLOOKUP(Table2[[#This Row],[Description]],$Q$1:$S$101,2,FALSE))</f>
        <v/>
      </c>
      <c r="H1670" s="1" t="str">
        <f>IF(Table2[[#This Row],[Description]]="","",VLOOKUP(Table2[[#This Row],[Description]],$Q$1:$S$101,3,FALSE))</f>
        <v/>
      </c>
      <c r="I1670" s="1" t="str">
        <f>IF(Table2[[#This Row],[Description]]="","",IF(Table2[[#This Row],[Currency]]=$O$2,$P$2,HLOOKUP(Table2[[#This Row],[Date]],Funds!$C$10:$GV$11,2,FALSE)))</f>
        <v/>
      </c>
      <c r="J1670" s="215" t="str">
        <f>IF(Table2[[#This Row],[Description]]="","",Table2[[#This Row],[Value]]/Table2[[#This Row],[Conversion]])</f>
        <v/>
      </c>
      <c r="K1670" s="45" t="str">
        <f>IF(Table2[[#This Row],[Description]]="","",DATE(Table2[[#This Row],[Year]],Table2[[#This Row],[Month]],1))</f>
        <v/>
      </c>
    </row>
    <row r="1671" spans="7:11" x14ac:dyDescent="0.25">
      <c r="G1671" s="1" t="str">
        <f>IF(Table2[[#This Row],[Description]]="","",VLOOKUP(Table2[[#This Row],[Description]],$Q$1:$S$101,2,FALSE))</f>
        <v/>
      </c>
      <c r="H1671" s="1" t="str">
        <f>IF(Table2[[#This Row],[Description]]="","",VLOOKUP(Table2[[#This Row],[Description]],$Q$1:$S$101,3,FALSE))</f>
        <v/>
      </c>
      <c r="I1671" s="1" t="str">
        <f>IF(Table2[[#This Row],[Description]]="","",IF(Table2[[#This Row],[Currency]]=$O$2,$P$2,HLOOKUP(Table2[[#This Row],[Date]],Funds!$C$10:$GV$11,2,FALSE)))</f>
        <v/>
      </c>
      <c r="J1671" s="215" t="str">
        <f>IF(Table2[[#This Row],[Description]]="","",Table2[[#This Row],[Value]]/Table2[[#This Row],[Conversion]])</f>
        <v/>
      </c>
      <c r="K1671" s="45" t="str">
        <f>IF(Table2[[#This Row],[Description]]="","",DATE(Table2[[#This Row],[Year]],Table2[[#This Row],[Month]],1))</f>
        <v/>
      </c>
    </row>
    <row r="1672" spans="7:11" x14ac:dyDescent="0.25">
      <c r="G1672" s="1" t="str">
        <f>IF(Table2[[#This Row],[Description]]="","",VLOOKUP(Table2[[#This Row],[Description]],$Q$1:$S$101,2,FALSE))</f>
        <v/>
      </c>
      <c r="H1672" s="1" t="str">
        <f>IF(Table2[[#This Row],[Description]]="","",VLOOKUP(Table2[[#This Row],[Description]],$Q$1:$S$101,3,FALSE))</f>
        <v/>
      </c>
      <c r="I1672" s="1" t="str">
        <f>IF(Table2[[#This Row],[Description]]="","",IF(Table2[[#This Row],[Currency]]=$O$2,$P$2,HLOOKUP(Table2[[#This Row],[Date]],Funds!$C$10:$GV$11,2,FALSE)))</f>
        <v/>
      </c>
      <c r="J1672" s="215" t="str">
        <f>IF(Table2[[#This Row],[Description]]="","",Table2[[#This Row],[Value]]/Table2[[#This Row],[Conversion]])</f>
        <v/>
      </c>
      <c r="K1672" s="45" t="str">
        <f>IF(Table2[[#This Row],[Description]]="","",DATE(Table2[[#This Row],[Year]],Table2[[#This Row],[Month]],1))</f>
        <v/>
      </c>
    </row>
    <row r="1673" spans="7:11" x14ac:dyDescent="0.25">
      <c r="G1673" s="1" t="str">
        <f>IF(Table2[[#This Row],[Description]]="","",VLOOKUP(Table2[[#This Row],[Description]],$Q$1:$S$101,2,FALSE))</f>
        <v/>
      </c>
      <c r="H1673" s="1" t="str">
        <f>IF(Table2[[#This Row],[Description]]="","",VLOOKUP(Table2[[#This Row],[Description]],$Q$1:$S$101,3,FALSE))</f>
        <v/>
      </c>
      <c r="I1673" s="1" t="str">
        <f>IF(Table2[[#This Row],[Description]]="","",IF(Table2[[#This Row],[Currency]]=$O$2,$P$2,HLOOKUP(Table2[[#This Row],[Date]],Funds!$C$10:$GV$11,2,FALSE)))</f>
        <v/>
      </c>
      <c r="J1673" s="215" t="str">
        <f>IF(Table2[[#This Row],[Description]]="","",Table2[[#This Row],[Value]]/Table2[[#This Row],[Conversion]])</f>
        <v/>
      </c>
      <c r="K1673" s="45" t="str">
        <f>IF(Table2[[#This Row],[Description]]="","",DATE(Table2[[#This Row],[Year]],Table2[[#This Row],[Month]],1))</f>
        <v/>
      </c>
    </row>
    <row r="1674" spans="7:11" x14ac:dyDescent="0.25">
      <c r="G1674" s="1" t="str">
        <f>IF(Table2[[#This Row],[Description]]="","",VLOOKUP(Table2[[#This Row],[Description]],$Q$1:$S$101,2,FALSE))</f>
        <v/>
      </c>
      <c r="H1674" s="1" t="str">
        <f>IF(Table2[[#This Row],[Description]]="","",VLOOKUP(Table2[[#This Row],[Description]],$Q$1:$S$101,3,FALSE))</f>
        <v/>
      </c>
      <c r="I1674" s="1" t="str">
        <f>IF(Table2[[#This Row],[Description]]="","",IF(Table2[[#This Row],[Currency]]=$O$2,$P$2,HLOOKUP(Table2[[#This Row],[Date]],Funds!$C$10:$GV$11,2,FALSE)))</f>
        <v/>
      </c>
      <c r="J1674" s="215" t="str">
        <f>IF(Table2[[#This Row],[Description]]="","",Table2[[#This Row],[Value]]/Table2[[#This Row],[Conversion]])</f>
        <v/>
      </c>
      <c r="K1674" s="45" t="str">
        <f>IF(Table2[[#This Row],[Description]]="","",DATE(Table2[[#This Row],[Year]],Table2[[#This Row],[Month]],1))</f>
        <v/>
      </c>
    </row>
    <row r="1675" spans="7:11" x14ac:dyDescent="0.25">
      <c r="G1675" s="1" t="str">
        <f>IF(Table2[[#This Row],[Description]]="","",VLOOKUP(Table2[[#This Row],[Description]],$Q$1:$S$101,2,FALSE))</f>
        <v/>
      </c>
      <c r="H1675" s="1" t="str">
        <f>IF(Table2[[#This Row],[Description]]="","",VLOOKUP(Table2[[#This Row],[Description]],$Q$1:$S$101,3,FALSE))</f>
        <v/>
      </c>
      <c r="I1675" s="1" t="str">
        <f>IF(Table2[[#This Row],[Description]]="","",IF(Table2[[#This Row],[Currency]]=$O$2,$P$2,HLOOKUP(Table2[[#This Row],[Date]],Funds!$C$10:$GV$11,2,FALSE)))</f>
        <v/>
      </c>
      <c r="J1675" s="215" t="str">
        <f>IF(Table2[[#This Row],[Description]]="","",Table2[[#This Row],[Value]]/Table2[[#This Row],[Conversion]])</f>
        <v/>
      </c>
      <c r="K1675" s="45" t="str">
        <f>IF(Table2[[#This Row],[Description]]="","",DATE(Table2[[#This Row],[Year]],Table2[[#This Row],[Month]],1))</f>
        <v/>
      </c>
    </row>
    <row r="1676" spans="7:11" x14ac:dyDescent="0.25">
      <c r="G1676" s="1" t="str">
        <f>IF(Table2[[#This Row],[Description]]="","",VLOOKUP(Table2[[#This Row],[Description]],$Q$1:$S$101,2,FALSE))</f>
        <v/>
      </c>
      <c r="H1676" s="1" t="str">
        <f>IF(Table2[[#This Row],[Description]]="","",VLOOKUP(Table2[[#This Row],[Description]],$Q$1:$S$101,3,FALSE))</f>
        <v/>
      </c>
      <c r="I1676" s="1" t="str">
        <f>IF(Table2[[#This Row],[Description]]="","",IF(Table2[[#This Row],[Currency]]=$O$2,$P$2,HLOOKUP(Table2[[#This Row],[Date]],Funds!$C$10:$GV$11,2,FALSE)))</f>
        <v/>
      </c>
      <c r="J1676" s="215" t="str">
        <f>IF(Table2[[#This Row],[Description]]="","",Table2[[#This Row],[Value]]/Table2[[#This Row],[Conversion]])</f>
        <v/>
      </c>
      <c r="K1676" s="45" t="str">
        <f>IF(Table2[[#This Row],[Description]]="","",DATE(Table2[[#This Row],[Year]],Table2[[#This Row],[Month]],1))</f>
        <v/>
      </c>
    </row>
    <row r="1677" spans="7:11" x14ac:dyDescent="0.25">
      <c r="G1677" s="1" t="str">
        <f>IF(Table2[[#This Row],[Description]]="","",VLOOKUP(Table2[[#This Row],[Description]],$Q$1:$S$101,2,FALSE))</f>
        <v/>
      </c>
      <c r="H1677" s="1" t="str">
        <f>IF(Table2[[#This Row],[Description]]="","",VLOOKUP(Table2[[#This Row],[Description]],$Q$1:$S$101,3,FALSE))</f>
        <v/>
      </c>
      <c r="I1677" s="1" t="str">
        <f>IF(Table2[[#This Row],[Description]]="","",IF(Table2[[#This Row],[Currency]]=$O$2,$P$2,HLOOKUP(Table2[[#This Row],[Date]],Funds!$C$10:$GV$11,2,FALSE)))</f>
        <v/>
      </c>
      <c r="J1677" s="215" t="str">
        <f>IF(Table2[[#This Row],[Description]]="","",Table2[[#This Row],[Value]]/Table2[[#This Row],[Conversion]])</f>
        <v/>
      </c>
      <c r="K1677" s="45" t="str">
        <f>IF(Table2[[#This Row],[Description]]="","",DATE(Table2[[#This Row],[Year]],Table2[[#This Row],[Month]],1))</f>
        <v/>
      </c>
    </row>
    <row r="1678" spans="7:11" x14ac:dyDescent="0.25">
      <c r="G1678" s="1" t="str">
        <f>IF(Table2[[#This Row],[Description]]="","",VLOOKUP(Table2[[#This Row],[Description]],$Q$1:$S$101,2,FALSE))</f>
        <v/>
      </c>
      <c r="H1678" s="1" t="str">
        <f>IF(Table2[[#This Row],[Description]]="","",VLOOKUP(Table2[[#This Row],[Description]],$Q$1:$S$101,3,FALSE))</f>
        <v/>
      </c>
      <c r="I1678" s="1" t="str">
        <f>IF(Table2[[#This Row],[Description]]="","",IF(Table2[[#This Row],[Currency]]=$O$2,$P$2,HLOOKUP(Table2[[#This Row],[Date]],Funds!$C$10:$GV$11,2,FALSE)))</f>
        <v/>
      </c>
      <c r="J1678" s="215" t="str">
        <f>IF(Table2[[#This Row],[Description]]="","",Table2[[#This Row],[Value]]/Table2[[#This Row],[Conversion]])</f>
        <v/>
      </c>
      <c r="K1678" s="45" t="str">
        <f>IF(Table2[[#This Row],[Description]]="","",DATE(Table2[[#This Row],[Year]],Table2[[#This Row],[Month]],1))</f>
        <v/>
      </c>
    </row>
    <row r="1679" spans="7:11" x14ac:dyDescent="0.25">
      <c r="G1679" s="1" t="str">
        <f>IF(Table2[[#This Row],[Description]]="","",VLOOKUP(Table2[[#This Row],[Description]],$Q$1:$S$101,2,FALSE))</f>
        <v/>
      </c>
      <c r="H1679" s="1" t="str">
        <f>IF(Table2[[#This Row],[Description]]="","",VLOOKUP(Table2[[#This Row],[Description]],$Q$1:$S$101,3,FALSE))</f>
        <v/>
      </c>
      <c r="I1679" s="1" t="str">
        <f>IF(Table2[[#This Row],[Description]]="","",IF(Table2[[#This Row],[Currency]]=$O$2,$P$2,HLOOKUP(Table2[[#This Row],[Date]],Funds!$C$10:$GV$11,2,FALSE)))</f>
        <v/>
      </c>
      <c r="J1679" s="215" t="str">
        <f>IF(Table2[[#This Row],[Description]]="","",Table2[[#This Row],[Value]]/Table2[[#This Row],[Conversion]])</f>
        <v/>
      </c>
      <c r="K1679" s="45" t="str">
        <f>IF(Table2[[#This Row],[Description]]="","",DATE(Table2[[#This Row],[Year]],Table2[[#This Row],[Month]],1))</f>
        <v/>
      </c>
    </row>
    <row r="1680" spans="7:11" x14ac:dyDescent="0.25">
      <c r="G1680" s="1" t="str">
        <f>IF(Table2[[#This Row],[Description]]="","",VLOOKUP(Table2[[#This Row],[Description]],$Q$1:$S$101,2,FALSE))</f>
        <v/>
      </c>
      <c r="H1680" s="1" t="str">
        <f>IF(Table2[[#This Row],[Description]]="","",VLOOKUP(Table2[[#This Row],[Description]],$Q$1:$S$101,3,FALSE))</f>
        <v/>
      </c>
      <c r="I1680" s="1" t="str">
        <f>IF(Table2[[#This Row],[Description]]="","",IF(Table2[[#This Row],[Currency]]=$O$2,$P$2,HLOOKUP(Table2[[#This Row],[Date]],Funds!$C$10:$GV$11,2,FALSE)))</f>
        <v/>
      </c>
      <c r="J1680" s="215" t="str">
        <f>IF(Table2[[#This Row],[Description]]="","",Table2[[#This Row],[Value]]/Table2[[#This Row],[Conversion]])</f>
        <v/>
      </c>
      <c r="K1680" s="45" t="str">
        <f>IF(Table2[[#This Row],[Description]]="","",DATE(Table2[[#This Row],[Year]],Table2[[#This Row],[Month]],1))</f>
        <v/>
      </c>
    </row>
    <row r="1681" spans="7:11" x14ac:dyDescent="0.25">
      <c r="G1681" s="1" t="str">
        <f>IF(Table2[[#This Row],[Description]]="","",VLOOKUP(Table2[[#This Row],[Description]],$Q$1:$S$101,2,FALSE))</f>
        <v/>
      </c>
      <c r="H1681" s="1" t="str">
        <f>IF(Table2[[#This Row],[Description]]="","",VLOOKUP(Table2[[#This Row],[Description]],$Q$1:$S$101,3,FALSE))</f>
        <v/>
      </c>
      <c r="I1681" s="1" t="str">
        <f>IF(Table2[[#This Row],[Description]]="","",IF(Table2[[#This Row],[Currency]]=$O$2,$P$2,HLOOKUP(Table2[[#This Row],[Date]],Funds!$C$10:$GV$11,2,FALSE)))</f>
        <v/>
      </c>
      <c r="J1681" s="215" t="str">
        <f>IF(Table2[[#This Row],[Description]]="","",Table2[[#This Row],[Value]]/Table2[[#This Row],[Conversion]])</f>
        <v/>
      </c>
      <c r="K1681" s="45" t="str">
        <f>IF(Table2[[#This Row],[Description]]="","",DATE(Table2[[#This Row],[Year]],Table2[[#This Row],[Month]],1))</f>
        <v/>
      </c>
    </row>
    <row r="1682" spans="7:11" x14ac:dyDescent="0.25">
      <c r="G1682" s="1" t="str">
        <f>IF(Table2[[#This Row],[Description]]="","",VLOOKUP(Table2[[#This Row],[Description]],$Q$1:$S$101,2,FALSE))</f>
        <v/>
      </c>
      <c r="H1682" s="1" t="str">
        <f>IF(Table2[[#This Row],[Description]]="","",VLOOKUP(Table2[[#This Row],[Description]],$Q$1:$S$101,3,FALSE))</f>
        <v/>
      </c>
      <c r="I1682" s="1" t="str">
        <f>IF(Table2[[#This Row],[Description]]="","",IF(Table2[[#This Row],[Currency]]=$O$2,$P$2,HLOOKUP(Table2[[#This Row],[Date]],Funds!$C$10:$GV$11,2,FALSE)))</f>
        <v/>
      </c>
      <c r="J1682" s="215" t="str">
        <f>IF(Table2[[#This Row],[Description]]="","",Table2[[#This Row],[Value]]/Table2[[#This Row],[Conversion]])</f>
        <v/>
      </c>
      <c r="K1682" s="45" t="str">
        <f>IF(Table2[[#This Row],[Description]]="","",DATE(Table2[[#This Row],[Year]],Table2[[#This Row],[Month]],1))</f>
        <v/>
      </c>
    </row>
    <row r="1683" spans="7:11" x14ac:dyDescent="0.25">
      <c r="G1683" s="1" t="str">
        <f>IF(Table2[[#This Row],[Description]]="","",VLOOKUP(Table2[[#This Row],[Description]],$Q$1:$S$101,2,FALSE))</f>
        <v/>
      </c>
      <c r="H1683" s="1" t="str">
        <f>IF(Table2[[#This Row],[Description]]="","",VLOOKUP(Table2[[#This Row],[Description]],$Q$1:$S$101,3,FALSE))</f>
        <v/>
      </c>
      <c r="I1683" s="1" t="str">
        <f>IF(Table2[[#This Row],[Description]]="","",IF(Table2[[#This Row],[Currency]]=$O$2,$P$2,HLOOKUP(Table2[[#This Row],[Date]],Funds!$C$10:$GV$11,2,FALSE)))</f>
        <v/>
      </c>
      <c r="J1683" s="215" t="str">
        <f>IF(Table2[[#This Row],[Description]]="","",Table2[[#This Row],[Value]]/Table2[[#This Row],[Conversion]])</f>
        <v/>
      </c>
      <c r="K1683" s="45" t="str">
        <f>IF(Table2[[#This Row],[Description]]="","",DATE(Table2[[#This Row],[Year]],Table2[[#This Row],[Month]],1))</f>
        <v/>
      </c>
    </row>
    <row r="1684" spans="7:11" x14ac:dyDescent="0.25">
      <c r="G1684" s="1" t="str">
        <f>IF(Table2[[#This Row],[Description]]="","",VLOOKUP(Table2[[#This Row],[Description]],$Q$1:$S$101,2,FALSE))</f>
        <v/>
      </c>
      <c r="H1684" s="1" t="str">
        <f>IF(Table2[[#This Row],[Description]]="","",VLOOKUP(Table2[[#This Row],[Description]],$Q$1:$S$101,3,FALSE))</f>
        <v/>
      </c>
      <c r="I1684" s="1" t="str">
        <f>IF(Table2[[#This Row],[Description]]="","",IF(Table2[[#This Row],[Currency]]=$O$2,$P$2,HLOOKUP(Table2[[#This Row],[Date]],Funds!$C$10:$GV$11,2,FALSE)))</f>
        <v/>
      </c>
      <c r="J1684" s="215" t="str">
        <f>IF(Table2[[#This Row],[Description]]="","",Table2[[#This Row],[Value]]/Table2[[#This Row],[Conversion]])</f>
        <v/>
      </c>
      <c r="K1684" s="45" t="str">
        <f>IF(Table2[[#This Row],[Description]]="","",DATE(Table2[[#This Row],[Year]],Table2[[#This Row],[Month]],1))</f>
        <v/>
      </c>
    </row>
    <row r="1685" spans="7:11" x14ac:dyDescent="0.25">
      <c r="G1685" s="1" t="str">
        <f>IF(Table2[[#This Row],[Description]]="","",VLOOKUP(Table2[[#This Row],[Description]],$Q$1:$S$101,2,FALSE))</f>
        <v/>
      </c>
      <c r="H1685" s="1" t="str">
        <f>IF(Table2[[#This Row],[Description]]="","",VLOOKUP(Table2[[#This Row],[Description]],$Q$1:$S$101,3,FALSE))</f>
        <v/>
      </c>
      <c r="I1685" s="1" t="str">
        <f>IF(Table2[[#This Row],[Description]]="","",IF(Table2[[#This Row],[Currency]]=$O$2,$P$2,HLOOKUP(Table2[[#This Row],[Date]],Funds!$C$10:$GV$11,2,FALSE)))</f>
        <v/>
      </c>
      <c r="J1685" s="215" t="str">
        <f>IF(Table2[[#This Row],[Description]]="","",Table2[[#This Row],[Value]]/Table2[[#This Row],[Conversion]])</f>
        <v/>
      </c>
      <c r="K1685" s="45" t="str">
        <f>IF(Table2[[#This Row],[Description]]="","",DATE(Table2[[#This Row],[Year]],Table2[[#This Row],[Month]],1))</f>
        <v/>
      </c>
    </row>
    <row r="1686" spans="7:11" x14ac:dyDescent="0.25">
      <c r="G1686" s="1" t="str">
        <f>IF(Table2[[#This Row],[Description]]="","",VLOOKUP(Table2[[#This Row],[Description]],$Q$1:$S$101,2,FALSE))</f>
        <v/>
      </c>
      <c r="H1686" s="1" t="str">
        <f>IF(Table2[[#This Row],[Description]]="","",VLOOKUP(Table2[[#This Row],[Description]],$Q$1:$S$101,3,FALSE))</f>
        <v/>
      </c>
      <c r="I1686" s="1" t="str">
        <f>IF(Table2[[#This Row],[Description]]="","",IF(Table2[[#This Row],[Currency]]=$O$2,$P$2,HLOOKUP(Table2[[#This Row],[Date]],Funds!$C$10:$GV$11,2,FALSE)))</f>
        <v/>
      </c>
      <c r="J1686" s="215" t="str">
        <f>IF(Table2[[#This Row],[Description]]="","",Table2[[#This Row],[Value]]/Table2[[#This Row],[Conversion]])</f>
        <v/>
      </c>
      <c r="K1686" s="45" t="str">
        <f>IF(Table2[[#This Row],[Description]]="","",DATE(Table2[[#This Row],[Year]],Table2[[#This Row],[Month]],1))</f>
        <v/>
      </c>
    </row>
    <row r="1687" spans="7:11" x14ac:dyDescent="0.25">
      <c r="G1687" s="1" t="str">
        <f>IF(Table2[[#This Row],[Description]]="","",VLOOKUP(Table2[[#This Row],[Description]],$Q$1:$S$101,2,FALSE))</f>
        <v/>
      </c>
      <c r="H1687" s="1" t="str">
        <f>IF(Table2[[#This Row],[Description]]="","",VLOOKUP(Table2[[#This Row],[Description]],$Q$1:$S$101,3,FALSE))</f>
        <v/>
      </c>
      <c r="I1687" s="1" t="str">
        <f>IF(Table2[[#This Row],[Description]]="","",IF(Table2[[#This Row],[Currency]]=$O$2,$P$2,HLOOKUP(Table2[[#This Row],[Date]],Funds!$C$10:$GV$11,2,FALSE)))</f>
        <v/>
      </c>
      <c r="J1687" s="215" t="str">
        <f>IF(Table2[[#This Row],[Description]]="","",Table2[[#This Row],[Value]]/Table2[[#This Row],[Conversion]])</f>
        <v/>
      </c>
      <c r="K1687" s="45" t="str">
        <f>IF(Table2[[#This Row],[Description]]="","",DATE(Table2[[#This Row],[Year]],Table2[[#This Row],[Month]],1))</f>
        <v/>
      </c>
    </row>
    <row r="1688" spans="7:11" x14ac:dyDescent="0.25">
      <c r="G1688" s="1" t="str">
        <f>IF(Table2[[#This Row],[Description]]="","",VLOOKUP(Table2[[#This Row],[Description]],$Q$1:$S$101,2,FALSE))</f>
        <v/>
      </c>
      <c r="H1688" s="1" t="str">
        <f>IF(Table2[[#This Row],[Description]]="","",VLOOKUP(Table2[[#This Row],[Description]],$Q$1:$S$101,3,FALSE))</f>
        <v/>
      </c>
      <c r="I1688" s="1" t="str">
        <f>IF(Table2[[#This Row],[Description]]="","",IF(Table2[[#This Row],[Currency]]=$O$2,$P$2,HLOOKUP(Table2[[#This Row],[Date]],Funds!$C$10:$GV$11,2,FALSE)))</f>
        <v/>
      </c>
      <c r="J1688" s="215" t="str">
        <f>IF(Table2[[#This Row],[Description]]="","",Table2[[#This Row],[Value]]/Table2[[#This Row],[Conversion]])</f>
        <v/>
      </c>
      <c r="K1688" s="45" t="str">
        <f>IF(Table2[[#This Row],[Description]]="","",DATE(Table2[[#This Row],[Year]],Table2[[#This Row],[Month]],1))</f>
        <v/>
      </c>
    </row>
    <row r="1689" spans="7:11" x14ac:dyDescent="0.25">
      <c r="G1689" s="1" t="str">
        <f>IF(Table2[[#This Row],[Description]]="","",VLOOKUP(Table2[[#This Row],[Description]],$Q$1:$S$101,2,FALSE))</f>
        <v/>
      </c>
      <c r="H1689" s="1" t="str">
        <f>IF(Table2[[#This Row],[Description]]="","",VLOOKUP(Table2[[#This Row],[Description]],$Q$1:$S$101,3,FALSE))</f>
        <v/>
      </c>
      <c r="I1689" s="1" t="str">
        <f>IF(Table2[[#This Row],[Description]]="","",IF(Table2[[#This Row],[Currency]]=$O$2,$P$2,HLOOKUP(Table2[[#This Row],[Date]],Funds!$C$10:$GV$11,2,FALSE)))</f>
        <v/>
      </c>
      <c r="J1689" s="215" t="str">
        <f>IF(Table2[[#This Row],[Description]]="","",Table2[[#This Row],[Value]]/Table2[[#This Row],[Conversion]])</f>
        <v/>
      </c>
      <c r="K1689" s="45" t="str">
        <f>IF(Table2[[#This Row],[Description]]="","",DATE(Table2[[#This Row],[Year]],Table2[[#This Row],[Month]],1))</f>
        <v/>
      </c>
    </row>
    <row r="1690" spans="7:11" x14ac:dyDescent="0.25">
      <c r="G1690" s="1" t="str">
        <f>IF(Table2[[#This Row],[Description]]="","",VLOOKUP(Table2[[#This Row],[Description]],$Q$1:$S$101,2,FALSE))</f>
        <v/>
      </c>
      <c r="H1690" s="1" t="str">
        <f>IF(Table2[[#This Row],[Description]]="","",VLOOKUP(Table2[[#This Row],[Description]],$Q$1:$S$101,3,FALSE))</f>
        <v/>
      </c>
      <c r="I1690" s="1" t="str">
        <f>IF(Table2[[#This Row],[Description]]="","",IF(Table2[[#This Row],[Currency]]=$O$2,$P$2,HLOOKUP(Table2[[#This Row],[Date]],Funds!$C$10:$GV$11,2,FALSE)))</f>
        <v/>
      </c>
      <c r="J1690" s="215" t="str">
        <f>IF(Table2[[#This Row],[Description]]="","",Table2[[#This Row],[Value]]/Table2[[#This Row],[Conversion]])</f>
        <v/>
      </c>
      <c r="K1690" s="45" t="str">
        <f>IF(Table2[[#This Row],[Description]]="","",DATE(Table2[[#This Row],[Year]],Table2[[#This Row],[Month]],1))</f>
        <v/>
      </c>
    </row>
    <row r="1691" spans="7:11" x14ac:dyDescent="0.25">
      <c r="G1691" s="1" t="str">
        <f>IF(Table2[[#This Row],[Description]]="","",VLOOKUP(Table2[[#This Row],[Description]],$Q$1:$S$101,2,FALSE))</f>
        <v/>
      </c>
      <c r="H1691" s="1" t="str">
        <f>IF(Table2[[#This Row],[Description]]="","",VLOOKUP(Table2[[#This Row],[Description]],$Q$1:$S$101,3,FALSE))</f>
        <v/>
      </c>
      <c r="I1691" s="1" t="str">
        <f>IF(Table2[[#This Row],[Description]]="","",IF(Table2[[#This Row],[Currency]]=$O$2,$P$2,HLOOKUP(Table2[[#This Row],[Date]],Funds!$C$10:$GV$11,2,FALSE)))</f>
        <v/>
      </c>
      <c r="J1691" s="215" t="str">
        <f>IF(Table2[[#This Row],[Description]]="","",Table2[[#This Row],[Value]]/Table2[[#This Row],[Conversion]])</f>
        <v/>
      </c>
      <c r="K1691" s="45" t="str">
        <f>IF(Table2[[#This Row],[Description]]="","",DATE(Table2[[#This Row],[Year]],Table2[[#This Row],[Month]],1))</f>
        <v/>
      </c>
    </row>
    <row r="1692" spans="7:11" x14ac:dyDescent="0.25">
      <c r="G1692" s="1" t="str">
        <f>IF(Table2[[#This Row],[Description]]="","",VLOOKUP(Table2[[#This Row],[Description]],$Q$1:$S$101,2,FALSE))</f>
        <v/>
      </c>
      <c r="H1692" s="1" t="str">
        <f>IF(Table2[[#This Row],[Description]]="","",VLOOKUP(Table2[[#This Row],[Description]],$Q$1:$S$101,3,FALSE))</f>
        <v/>
      </c>
      <c r="I1692" s="1" t="str">
        <f>IF(Table2[[#This Row],[Description]]="","",IF(Table2[[#This Row],[Currency]]=$O$2,$P$2,HLOOKUP(Table2[[#This Row],[Date]],Funds!$C$10:$GV$11,2,FALSE)))</f>
        <v/>
      </c>
      <c r="J1692" s="215" t="str">
        <f>IF(Table2[[#This Row],[Description]]="","",Table2[[#This Row],[Value]]/Table2[[#This Row],[Conversion]])</f>
        <v/>
      </c>
      <c r="K1692" s="45" t="str">
        <f>IF(Table2[[#This Row],[Description]]="","",DATE(Table2[[#This Row],[Year]],Table2[[#This Row],[Month]],1))</f>
        <v/>
      </c>
    </row>
    <row r="1693" spans="7:11" x14ac:dyDescent="0.25">
      <c r="G1693" s="1" t="str">
        <f>IF(Table2[[#This Row],[Description]]="","",VLOOKUP(Table2[[#This Row],[Description]],$Q$1:$S$101,2,FALSE))</f>
        <v/>
      </c>
      <c r="H1693" s="1" t="str">
        <f>IF(Table2[[#This Row],[Description]]="","",VLOOKUP(Table2[[#This Row],[Description]],$Q$1:$S$101,3,FALSE))</f>
        <v/>
      </c>
      <c r="I1693" s="1" t="str">
        <f>IF(Table2[[#This Row],[Description]]="","",IF(Table2[[#This Row],[Currency]]=$O$2,$P$2,HLOOKUP(Table2[[#This Row],[Date]],Funds!$C$10:$GV$11,2,FALSE)))</f>
        <v/>
      </c>
      <c r="J1693" s="215" t="str">
        <f>IF(Table2[[#This Row],[Description]]="","",Table2[[#This Row],[Value]]/Table2[[#This Row],[Conversion]])</f>
        <v/>
      </c>
      <c r="K1693" s="45" t="str">
        <f>IF(Table2[[#This Row],[Description]]="","",DATE(Table2[[#This Row],[Year]],Table2[[#This Row],[Month]],1))</f>
        <v/>
      </c>
    </row>
    <row r="1694" spans="7:11" x14ac:dyDescent="0.25">
      <c r="G1694" s="1" t="str">
        <f>IF(Table2[[#This Row],[Description]]="","",VLOOKUP(Table2[[#This Row],[Description]],$Q$1:$S$101,2,FALSE))</f>
        <v/>
      </c>
      <c r="H1694" s="1" t="str">
        <f>IF(Table2[[#This Row],[Description]]="","",VLOOKUP(Table2[[#This Row],[Description]],$Q$1:$S$101,3,FALSE))</f>
        <v/>
      </c>
      <c r="I1694" s="1" t="str">
        <f>IF(Table2[[#This Row],[Description]]="","",IF(Table2[[#This Row],[Currency]]=$O$2,$P$2,HLOOKUP(Table2[[#This Row],[Date]],Funds!$C$10:$GV$11,2,FALSE)))</f>
        <v/>
      </c>
      <c r="J1694" s="215" t="str">
        <f>IF(Table2[[#This Row],[Description]]="","",Table2[[#This Row],[Value]]/Table2[[#This Row],[Conversion]])</f>
        <v/>
      </c>
      <c r="K1694" s="45" t="str">
        <f>IF(Table2[[#This Row],[Description]]="","",DATE(Table2[[#This Row],[Year]],Table2[[#This Row],[Month]],1))</f>
        <v/>
      </c>
    </row>
    <row r="1695" spans="7:11" x14ac:dyDescent="0.25">
      <c r="G1695" s="1" t="str">
        <f>IF(Table2[[#This Row],[Description]]="","",VLOOKUP(Table2[[#This Row],[Description]],$Q$1:$S$101,2,FALSE))</f>
        <v/>
      </c>
      <c r="H1695" s="1" t="str">
        <f>IF(Table2[[#This Row],[Description]]="","",VLOOKUP(Table2[[#This Row],[Description]],$Q$1:$S$101,3,FALSE))</f>
        <v/>
      </c>
      <c r="I1695" s="1" t="str">
        <f>IF(Table2[[#This Row],[Description]]="","",IF(Table2[[#This Row],[Currency]]=$O$2,$P$2,HLOOKUP(Table2[[#This Row],[Date]],Funds!$C$10:$GV$11,2,FALSE)))</f>
        <v/>
      </c>
      <c r="J1695" s="215" t="str">
        <f>IF(Table2[[#This Row],[Description]]="","",Table2[[#This Row],[Value]]/Table2[[#This Row],[Conversion]])</f>
        <v/>
      </c>
      <c r="K1695" s="45" t="str">
        <f>IF(Table2[[#This Row],[Description]]="","",DATE(Table2[[#This Row],[Year]],Table2[[#This Row],[Month]],1))</f>
        <v/>
      </c>
    </row>
    <row r="1696" spans="7:11" x14ac:dyDescent="0.25">
      <c r="G1696" s="1" t="str">
        <f>IF(Table2[[#This Row],[Description]]="","",VLOOKUP(Table2[[#This Row],[Description]],$Q$1:$S$101,2,FALSE))</f>
        <v/>
      </c>
      <c r="H1696" s="1" t="str">
        <f>IF(Table2[[#This Row],[Description]]="","",VLOOKUP(Table2[[#This Row],[Description]],$Q$1:$S$101,3,FALSE))</f>
        <v/>
      </c>
      <c r="I1696" s="1" t="str">
        <f>IF(Table2[[#This Row],[Description]]="","",IF(Table2[[#This Row],[Currency]]=$O$2,$P$2,HLOOKUP(Table2[[#This Row],[Date]],Funds!$C$10:$GV$11,2,FALSE)))</f>
        <v/>
      </c>
      <c r="J1696" s="215" t="str">
        <f>IF(Table2[[#This Row],[Description]]="","",Table2[[#This Row],[Value]]/Table2[[#This Row],[Conversion]])</f>
        <v/>
      </c>
      <c r="K1696" s="45" t="str">
        <f>IF(Table2[[#This Row],[Description]]="","",DATE(Table2[[#This Row],[Year]],Table2[[#This Row],[Month]],1))</f>
        <v/>
      </c>
    </row>
    <row r="1697" spans="7:11" x14ac:dyDescent="0.25">
      <c r="G1697" s="1" t="str">
        <f>IF(Table2[[#This Row],[Description]]="","",VLOOKUP(Table2[[#This Row],[Description]],$Q$1:$S$101,2,FALSE))</f>
        <v/>
      </c>
      <c r="H1697" s="1" t="str">
        <f>IF(Table2[[#This Row],[Description]]="","",VLOOKUP(Table2[[#This Row],[Description]],$Q$1:$S$101,3,FALSE))</f>
        <v/>
      </c>
      <c r="I1697" s="1" t="str">
        <f>IF(Table2[[#This Row],[Description]]="","",IF(Table2[[#This Row],[Currency]]=$O$2,$P$2,HLOOKUP(Table2[[#This Row],[Date]],Funds!$C$10:$GV$11,2,FALSE)))</f>
        <v/>
      </c>
      <c r="J1697" s="215" t="str">
        <f>IF(Table2[[#This Row],[Description]]="","",Table2[[#This Row],[Value]]/Table2[[#This Row],[Conversion]])</f>
        <v/>
      </c>
      <c r="K1697" s="45" t="str">
        <f>IF(Table2[[#This Row],[Description]]="","",DATE(Table2[[#This Row],[Year]],Table2[[#This Row],[Month]],1))</f>
        <v/>
      </c>
    </row>
    <row r="1698" spans="7:11" x14ac:dyDescent="0.25">
      <c r="G1698" s="1" t="str">
        <f>IF(Table2[[#This Row],[Description]]="","",VLOOKUP(Table2[[#This Row],[Description]],$Q$1:$S$101,2,FALSE))</f>
        <v/>
      </c>
      <c r="H1698" s="1" t="str">
        <f>IF(Table2[[#This Row],[Description]]="","",VLOOKUP(Table2[[#This Row],[Description]],$Q$1:$S$101,3,FALSE))</f>
        <v/>
      </c>
      <c r="I1698" s="1" t="str">
        <f>IF(Table2[[#This Row],[Description]]="","",IF(Table2[[#This Row],[Currency]]=$O$2,$P$2,HLOOKUP(Table2[[#This Row],[Date]],Funds!$C$10:$GV$11,2,FALSE)))</f>
        <v/>
      </c>
      <c r="J1698" s="215" t="str">
        <f>IF(Table2[[#This Row],[Description]]="","",Table2[[#This Row],[Value]]/Table2[[#This Row],[Conversion]])</f>
        <v/>
      </c>
      <c r="K1698" s="45" t="str">
        <f>IF(Table2[[#This Row],[Description]]="","",DATE(Table2[[#This Row],[Year]],Table2[[#This Row],[Month]],1))</f>
        <v/>
      </c>
    </row>
    <row r="1699" spans="7:11" x14ac:dyDescent="0.25">
      <c r="G1699" s="1" t="str">
        <f>IF(Table2[[#This Row],[Description]]="","",VLOOKUP(Table2[[#This Row],[Description]],$Q$1:$S$101,2,FALSE))</f>
        <v/>
      </c>
      <c r="H1699" s="1" t="str">
        <f>IF(Table2[[#This Row],[Description]]="","",VLOOKUP(Table2[[#This Row],[Description]],$Q$1:$S$101,3,FALSE))</f>
        <v/>
      </c>
      <c r="I1699" s="1" t="str">
        <f>IF(Table2[[#This Row],[Description]]="","",IF(Table2[[#This Row],[Currency]]=$O$2,$P$2,HLOOKUP(Table2[[#This Row],[Date]],Funds!$C$10:$GV$11,2,FALSE)))</f>
        <v/>
      </c>
      <c r="J1699" s="215" t="str">
        <f>IF(Table2[[#This Row],[Description]]="","",Table2[[#This Row],[Value]]/Table2[[#This Row],[Conversion]])</f>
        <v/>
      </c>
      <c r="K1699" s="45" t="str">
        <f>IF(Table2[[#This Row],[Description]]="","",DATE(Table2[[#This Row],[Year]],Table2[[#This Row],[Month]],1))</f>
        <v/>
      </c>
    </row>
    <row r="1700" spans="7:11" x14ac:dyDescent="0.25">
      <c r="G1700" s="1" t="str">
        <f>IF(Table2[[#This Row],[Description]]="","",VLOOKUP(Table2[[#This Row],[Description]],$Q$1:$S$101,2,FALSE))</f>
        <v/>
      </c>
      <c r="H1700" s="1" t="str">
        <f>IF(Table2[[#This Row],[Description]]="","",VLOOKUP(Table2[[#This Row],[Description]],$Q$1:$S$101,3,FALSE))</f>
        <v/>
      </c>
      <c r="I1700" s="1" t="str">
        <f>IF(Table2[[#This Row],[Description]]="","",IF(Table2[[#This Row],[Currency]]=$O$2,$P$2,HLOOKUP(Table2[[#This Row],[Date]],Funds!$C$10:$GV$11,2,FALSE)))</f>
        <v/>
      </c>
      <c r="J1700" s="215" t="str">
        <f>IF(Table2[[#This Row],[Description]]="","",Table2[[#This Row],[Value]]/Table2[[#This Row],[Conversion]])</f>
        <v/>
      </c>
      <c r="K1700" s="45" t="str">
        <f>IF(Table2[[#This Row],[Description]]="","",DATE(Table2[[#This Row],[Year]],Table2[[#This Row],[Month]],1))</f>
        <v/>
      </c>
    </row>
    <row r="1701" spans="7:11" x14ac:dyDescent="0.25">
      <c r="G1701" s="1" t="str">
        <f>IF(Table2[[#This Row],[Description]]="","",VLOOKUP(Table2[[#This Row],[Description]],$Q$1:$S$101,2,FALSE))</f>
        <v/>
      </c>
      <c r="H1701" s="1" t="str">
        <f>IF(Table2[[#This Row],[Description]]="","",VLOOKUP(Table2[[#This Row],[Description]],$Q$1:$S$101,3,FALSE))</f>
        <v/>
      </c>
      <c r="I1701" s="1" t="str">
        <f>IF(Table2[[#This Row],[Description]]="","",IF(Table2[[#This Row],[Currency]]=$O$2,$P$2,HLOOKUP(Table2[[#This Row],[Date]],Funds!$C$10:$GV$11,2,FALSE)))</f>
        <v/>
      </c>
      <c r="J1701" s="215" t="str">
        <f>IF(Table2[[#This Row],[Description]]="","",Table2[[#This Row],[Value]]/Table2[[#This Row],[Conversion]])</f>
        <v/>
      </c>
      <c r="K1701" s="45" t="str">
        <f>IF(Table2[[#This Row],[Description]]="","",DATE(Table2[[#This Row],[Year]],Table2[[#This Row],[Month]],1))</f>
        <v/>
      </c>
    </row>
    <row r="1702" spans="7:11" x14ac:dyDescent="0.25">
      <c r="G1702" s="1" t="str">
        <f>IF(Table2[[#This Row],[Description]]="","",VLOOKUP(Table2[[#This Row],[Description]],$Q$1:$S$101,2,FALSE))</f>
        <v/>
      </c>
      <c r="H1702" s="1" t="str">
        <f>IF(Table2[[#This Row],[Description]]="","",VLOOKUP(Table2[[#This Row],[Description]],$Q$1:$S$101,3,FALSE))</f>
        <v/>
      </c>
      <c r="I1702" s="1" t="str">
        <f>IF(Table2[[#This Row],[Description]]="","",IF(Table2[[#This Row],[Currency]]=$O$2,$P$2,HLOOKUP(Table2[[#This Row],[Date]],Funds!$C$10:$GV$11,2,FALSE)))</f>
        <v/>
      </c>
      <c r="J1702" s="215" t="str">
        <f>IF(Table2[[#This Row],[Description]]="","",Table2[[#This Row],[Value]]/Table2[[#This Row],[Conversion]])</f>
        <v/>
      </c>
      <c r="K1702" s="45" t="str">
        <f>IF(Table2[[#This Row],[Description]]="","",DATE(Table2[[#This Row],[Year]],Table2[[#This Row],[Month]],1))</f>
        <v/>
      </c>
    </row>
    <row r="1703" spans="7:11" x14ac:dyDescent="0.25">
      <c r="G1703" s="1" t="str">
        <f>IF(Table2[[#This Row],[Description]]="","",VLOOKUP(Table2[[#This Row],[Description]],$Q$1:$S$101,2,FALSE))</f>
        <v/>
      </c>
      <c r="H1703" s="1" t="str">
        <f>IF(Table2[[#This Row],[Description]]="","",VLOOKUP(Table2[[#This Row],[Description]],$Q$1:$S$101,3,FALSE))</f>
        <v/>
      </c>
      <c r="I1703" s="1" t="str">
        <f>IF(Table2[[#This Row],[Description]]="","",IF(Table2[[#This Row],[Currency]]=$O$2,$P$2,HLOOKUP(Table2[[#This Row],[Date]],Funds!$C$10:$GV$11,2,FALSE)))</f>
        <v/>
      </c>
      <c r="J1703" s="215" t="str">
        <f>IF(Table2[[#This Row],[Description]]="","",Table2[[#This Row],[Value]]/Table2[[#This Row],[Conversion]])</f>
        <v/>
      </c>
      <c r="K1703" s="45" t="str">
        <f>IF(Table2[[#This Row],[Description]]="","",DATE(Table2[[#This Row],[Year]],Table2[[#This Row],[Month]],1))</f>
        <v/>
      </c>
    </row>
    <row r="1704" spans="7:11" x14ac:dyDescent="0.25">
      <c r="G1704" s="1" t="str">
        <f>IF(Table2[[#This Row],[Description]]="","",VLOOKUP(Table2[[#This Row],[Description]],$Q$1:$S$101,2,FALSE))</f>
        <v/>
      </c>
      <c r="H1704" s="1" t="str">
        <f>IF(Table2[[#This Row],[Description]]="","",VLOOKUP(Table2[[#This Row],[Description]],$Q$1:$S$101,3,FALSE))</f>
        <v/>
      </c>
      <c r="I1704" s="1" t="str">
        <f>IF(Table2[[#This Row],[Description]]="","",IF(Table2[[#This Row],[Currency]]=$O$2,$P$2,HLOOKUP(Table2[[#This Row],[Date]],Funds!$C$10:$GV$11,2,FALSE)))</f>
        <v/>
      </c>
      <c r="J1704" s="215" t="str">
        <f>IF(Table2[[#This Row],[Description]]="","",Table2[[#This Row],[Value]]/Table2[[#This Row],[Conversion]])</f>
        <v/>
      </c>
      <c r="K1704" s="45" t="str">
        <f>IF(Table2[[#This Row],[Description]]="","",DATE(Table2[[#This Row],[Year]],Table2[[#This Row],[Month]],1))</f>
        <v/>
      </c>
    </row>
    <row r="1705" spans="7:11" x14ac:dyDescent="0.25">
      <c r="G1705" s="1" t="str">
        <f>IF(Table2[[#This Row],[Description]]="","",VLOOKUP(Table2[[#This Row],[Description]],$Q$1:$S$101,2,FALSE))</f>
        <v/>
      </c>
      <c r="H1705" s="1" t="str">
        <f>IF(Table2[[#This Row],[Description]]="","",VLOOKUP(Table2[[#This Row],[Description]],$Q$1:$S$101,3,FALSE))</f>
        <v/>
      </c>
      <c r="I1705" s="1" t="str">
        <f>IF(Table2[[#This Row],[Description]]="","",IF(Table2[[#This Row],[Currency]]=$O$2,$P$2,HLOOKUP(Table2[[#This Row],[Date]],Funds!$C$10:$GV$11,2,FALSE)))</f>
        <v/>
      </c>
      <c r="J1705" s="215" t="str">
        <f>IF(Table2[[#This Row],[Description]]="","",Table2[[#This Row],[Value]]/Table2[[#This Row],[Conversion]])</f>
        <v/>
      </c>
      <c r="K1705" s="45" t="str">
        <f>IF(Table2[[#This Row],[Description]]="","",DATE(Table2[[#This Row],[Year]],Table2[[#This Row],[Month]],1))</f>
        <v/>
      </c>
    </row>
    <row r="1706" spans="7:11" x14ac:dyDescent="0.25">
      <c r="G1706" s="1" t="str">
        <f>IF(Table2[[#This Row],[Description]]="","",VLOOKUP(Table2[[#This Row],[Description]],$Q$1:$S$101,2,FALSE))</f>
        <v/>
      </c>
      <c r="H1706" s="1" t="str">
        <f>IF(Table2[[#This Row],[Description]]="","",VLOOKUP(Table2[[#This Row],[Description]],$Q$1:$S$101,3,FALSE))</f>
        <v/>
      </c>
      <c r="I1706" s="1" t="str">
        <f>IF(Table2[[#This Row],[Description]]="","",IF(Table2[[#This Row],[Currency]]=$O$2,$P$2,HLOOKUP(Table2[[#This Row],[Date]],Funds!$C$10:$GV$11,2,FALSE)))</f>
        <v/>
      </c>
      <c r="J1706" s="215" t="str">
        <f>IF(Table2[[#This Row],[Description]]="","",Table2[[#This Row],[Value]]/Table2[[#This Row],[Conversion]])</f>
        <v/>
      </c>
      <c r="K1706" s="45" t="str">
        <f>IF(Table2[[#This Row],[Description]]="","",DATE(Table2[[#This Row],[Year]],Table2[[#This Row],[Month]],1))</f>
        <v/>
      </c>
    </row>
    <row r="1707" spans="7:11" x14ac:dyDescent="0.25">
      <c r="G1707" s="1" t="str">
        <f>IF(Table2[[#This Row],[Description]]="","",VLOOKUP(Table2[[#This Row],[Description]],$Q$1:$S$101,2,FALSE))</f>
        <v/>
      </c>
      <c r="H1707" s="1" t="str">
        <f>IF(Table2[[#This Row],[Description]]="","",VLOOKUP(Table2[[#This Row],[Description]],$Q$1:$S$101,3,FALSE))</f>
        <v/>
      </c>
      <c r="I1707" s="1" t="str">
        <f>IF(Table2[[#This Row],[Description]]="","",IF(Table2[[#This Row],[Currency]]=$O$2,$P$2,HLOOKUP(Table2[[#This Row],[Date]],Funds!$C$10:$GV$11,2,FALSE)))</f>
        <v/>
      </c>
      <c r="J1707" s="215" t="str">
        <f>IF(Table2[[#This Row],[Description]]="","",Table2[[#This Row],[Value]]/Table2[[#This Row],[Conversion]])</f>
        <v/>
      </c>
      <c r="K1707" s="45" t="str">
        <f>IF(Table2[[#This Row],[Description]]="","",DATE(Table2[[#This Row],[Year]],Table2[[#This Row],[Month]],1))</f>
        <v/>
      </c>
    </row>
    <row r="1708" spans="7:11" x14ac:dyDescent="0.25">
      <c r="G1708" s="1" t="str">
        <f>IF(Table2[[#This Row],[Description]]="","",VLOOKUP(Table2[[#This Row],[Description]],$Q$1:$S$101,2,FALSE))</f>
        <v/>
      </c>
      <c r="H1708" s="1" t="str">
        <f>IF(Table2[[#This Row],[Description]]="","",VLOOKUP(Table2[[#This Row],[Description]],$Q$1:$S$101,3,FALSE))</f>
        <v/>
      </c>
      <c r="I1708" s="1" t="str">
        <f>IF(Table2[[#This Row],[Description]]="","",IF(Table2[[#This Row],[Currency]]=$O$2,$P$2,HLOOKUP(Table2[[#This Row],[Date]],Funds!$C$10:$GV$11,2,FALSE)))</f>
        <v/>
      </c>
      <c r="J1708" s="215" t="str">
        <f>IF(Table2[[#This Row],[Description]]="","",Table2[[#This Row],[Value]]/Table2[[#This Row],[Conversion]])</f>
        <v/>
      </c>
      <c r="K1708" s="45" t="str">
        <f>IF(Table2[[#This Row],[Description]]="","",DATE(Table2[[#This Row],[Year]],Table2[[#This Row],[Month]],1))</f>
        <v/>
      </c>
    </row>
    <row r="1709" spans="7:11" x14ac:dyDescent="0.25">
      <c r="G1709" s="1" t="str">
        <f>IF(Table2[[#This Row],[Description]]="","",VLOOKUP(Table2[[#This Row],[Description]],$Q$1:$S$101,2,FALSE))</f>
        <v/>
      </c>
      <c r="H1709" s="1" t="str">
        <f>IF(Table2[[#This Row],[Description]]="","",VLOOKUP(Table2[[#This Row],[Description]],$Q$1:$S$101,3,FALSE))</f>
        <v/>
      </c>
      <c r="I1709" s="1" t="str">
        <f>IF(Table2[[#This Row],[Description]]="","",IF(Table2[[#This Row],[Currency]]=$O$2,$P$2,HLOOKUP(Table2[[#This Row],[Date]],Funds!$C$10:$GV$11,2,FALSE)))</f>
        <v/>
      </c>
      <c r="J1709" s="215" t="str">
        <f>IF(Table2[[#This Row],[Description]]="","",Table2[[#This Row],[Value]]/Table2[[#This Row],[Conversion]])</f>
        <v/>
      </c>
      <c r="K1709" s="45" t="str">
        <f>IF(Table2[[#This Row],[Description]]="","",DATE(Table2[[#This Row],[Year]],Table2[[#This Row],[Month]],1))</f>
        <v/>
      </c>
    </row>
    <row r="1710" spans="7:11" x14ac:dyDescent="0.25">
      <c r="G1710" s="1" t="str">
        <f>IF(Table2[[#This Row],[Description]]="","",VLOOKUP(Table2[[#This Row],[Description]],$Q$1:$S$101,2,FALSE))</f>
        <v/>
      </c>
      <c r="H1710" s="1" t="str">
        <f>IF(Table2[[#This Row],[Description]]="","",VLOOKUP(Table2[[#This Row],[Description]],$Q$1:$S$101,3,FALSE))</f>
        <v/>
      </c>
      <c r="I1710" s="1" t="str">
        <f>IF(Table2[[#This Row],[Description]]="","",IF(Table2[[#This Row],[Currency]]=$O$2,$P$2,HLOOKUP(Table2[[#This Row],[Date]],Funds!$C$10:$GV$11,2,FALSE)))</f>
        <v/>
      </c>
      <c r="J1710" s="215" t="str">
        <f>IF(Table2[[#This Row],[Description]]="","",Table2[[#This Row],[Value]]/Table2[[#This Row],[Conversion]])</f>
        <v/>
      </c>
      <c r="K1710" s="45" t="str">
        <f>IF(Table2[[#This Row],[Description]]="","",DATE(Table2[[#This Row],[Year]],Table2[[#This Row],[Month]],1))</f>
        <v/>
      </c>
    </row>
    <row r="1711" spans="7:11" x14ac:dyDescent="0.25">
      <c r="G1711" s="1" t="str">
        <f>IF(Table2[[#This Row],[Description]]="","",VLOOKUP(Table2[[#This Row],[Description]],$Q$1:$S$101,2,FALSE))</f>
        <v/>
      </c>
      <c r="H1711" s="1" t="str">
        <f>IF(Table2[[#This Row],[Description]]="","",VLOOKUP(Table2[[#This Row],[Description]],$Q$1:$S$101,3,FALSE))</f>
        <v/>
      </c>
      <c r="I1711" s="1" t="str">
        <f>IF(Table2[[#This Row],[Description]]="","",IF(Table2[[#This Row],[Currency]]=$O$2,$P$2,HLOOKUP(Table2[[#This Row],[Date]],Funds!$C$10:$GV$11,2,FALSE)))</f>
        <v/>
      </c>
      <c r="J1711" s="215" t="str">
        <f>IF(Table2[[#This Row],[Description]]="","",Table2[[#This Row],[Value]]/Table2[[#This Row],[Conversion]])</f>
        <v/>
      </c>
      <c r="K1711" s="45" t="str">
        <f>IF(Table2[[#This Row],[Description]]="","",DATE(Table2[[#This Row],[Year]],Table2[[#This Row],[Month]],1))</f>
        <v/>
      </c>
    </row>
    <row r="1712" spans="7:11" x14ac:dyDescent="0.25">
      <c r="G1712" s="1" t="str">
        <f>IF(Table2[[#This Row],[Description]]="","",VLOOKUP(Table2[[#This Row],[Description]],$Q$1:$S$101,2,FALSE))</f>
        <v/>
      </c>
      <c r="H1712" s="1" t="str">
        <f>IF(Table2[[#This Row],[Description]]="","",VLOOKUP(Table2[[#This Row],[Description]],$Q$1:$S$101,3,FALSE))</f>
        <v/>
      </c>
      <c r="I1712" s="1" t="str">
        <f>IF(Table2[[#This Row],[Description]]="","",IF(Table2[[#This Row],[Currency]]=$O$2,$P$2,HLOOKUP(Table2[[#This Row],[Date]],Funds!$C$10:$GV$11,2,FALSE)))</f>
        <v/>
      </c>
      <c r="J1712" s="215" t="str">
        <f>IF(Table2[[#This Row],[Description]]="","",Table2[[#This Row],[Value]]/Table2[[#This Row],[Conversion]])</f>
        <v/>
      </c>
      <c r="K1712" s="45" t="str">
        <f>IF(Table2[[#This Row],[Description]]="","",DATE(Table2[[#This Row],[Year]],Table2[[#This Row],[Month]],1))</f>
        <v/>
      </c>
    </row>
    <row r="1713" spans="7:11" x14ac:dyDescent="0.25">
      <c r="G1713" s="1" t="str">
        <f>IF(Table2[[#This Row],[Description]]="","",VLOOKUP(Table2[[#This Row],[Description]],$Q$1:$S$101,2,FALSE))</f>
        <v/>
      </c>
      <c r="H1713" s="1" t="str">
        <f>IF(Table2[[#This Row],[Description]]="","",VLOOKUP(Table2[[#This Row],[Description]],$Q$1:$S$101,3,FALSE))</f>
        <v/>
      </c>
      <c r="I1713" s="1" t="str">
        <f>IF(Table2[[#This Row],[Description]]="","",IF(Table2[[#This Row],[Currency]]=$O$2,$P$2,HLOOKUP(Table2[[#This Row],[Date]],Funds!$C$10:$GV$11,2,FALSE)))</f>
        <v/>
      </c>
      <c r="J1713" s="215" t="str">
        <f>IF(Table2[[#This Row],[Description]]="","",Table2[[#This Row],[Value]]/Table2[[#This Row],[Conversion]])</f>
        <v/>
      </c>
      <c r="K1713" s="45" t="str">
        <f>IF(Table2[[#This Row],[Description]]="","",DATE(Table2[[#This Row],[Year]],Table2[[#This Row],[Month]],1))</f>
        <v/>
      </c>
    </row>
    <row r="1714" spans="7:11" x14ac:dyDescent="0.25">
      <c r="G1714" s="1" t="str">
        <f>IF(Table2[[#This Row],[Description]]="","",VLOOKUP(Table2[[#This Row],[Description]],$Q$1:$S$101,2,FALSE))</f>
        <v/>
      </c>
      <c r="H1714" s="1" t="str">
        <f>IF(Table2[[#This Row],[Description]]="","",VLOOKUP(Table2[[#This Row],[Description]],$Q$1:$S$101,3,FALSE))</f>
        <v/>
      </c>
      <c r="I1714" s="1" t="str">
        <f>IF(Table2[[#This Row],[Description]]="","",IF(Table2[[#This Row],[Currency]]=$O$2,$P$2,HLOOKUP(Table2[[#This Row],[Date]],Funds!$C$10:$GV$11,2,FALSE)))</f>
        <v/>
      </c>
      <c r="J1714" s="215" t="str">
        <f>IF(Table2[[#This Row],[Description]]="","",Table2[[#This Row],[Value]]/Table2[[#This Row],[Conversion]])</f>
        <v/>
      </c>
      <c r="K1714" s="45" t="str">
        <f>IF(Table2[[#This Row],[Description]]="","",DATE(Table2[[#This Row],[Year]],Table2[[#This Row],[Month]],1))</f>
        <v/>
      </c>
    </row>
    <row r="1715" spans="7:11" x14ac:dyDescent="0.25">
      <c r="G1715" s="1" t="str">
        <f>IF(Table2[[#This Row],[Description]]="","",VLOOKUP(Table2[[#This Row],[Description]],$Q$1:$S$101,2,FALSE))</f>
        <v/>
      </c>
      <c r="H1715" s="1" t="str">
        <f>IF(Table2[[#This Row],[Description]]="","",VLOOKUP(Table2[[#This Row],[Description]],$Q$1:$S$101,3,FALSE))</f>
        <v/>
      </c>
      <c r="I1715" s="1" t="str">
        <f>IF(Table2[[#This Row],[Description]]="","",IF(Table2[[#This Row],[Currency]]=$O$2,$P$2,HLOOKUP(Table2[[#This Row],[Date]],Funds!$C$10:$GV$11,2,FALSE)))</f>
        <v/>
      </c>
      <c r="J1715" s="215" t="str">
        <f>IF(Table2[[#This Row],[Description]]="","",Table2[[#This Row],[Value]]/Table2[[#This Row],[Conversion]])</f>
        <v/>
      </c>
      <c r="K1715" s="45" t="str">
        <f>IF(Table2[[#This Row],[Description]]="","",DATE(Table2[[#This Row],[Year]],Table2[[#This Row],[Month]],1))</f>
        <v/>
      </c>
    </row>
    <row r="1716" spans="7:11" x14ac:dyDescent="0.25">
      <c r="G1716" s="1" t="str">
        <f>IF(Table2[[#This Row],[Description]]="","",VLOOKUP(Table2[[#This Row],[Description]],$Q$1:$S$101,2,FALSE))</f>
        <v/>
      </c>
      <c r="H1716" s="1" t="str">
        <f>IF(Table2[[#This Row],[Description]]="","",VLOOKUP(Table2[[#This Row],[Description]],$Q$1:$S$101,3,FALSE))</f>
        <v/>
      </c>
      <c r="I1716" s="1" t="str">
        <f>IF(Table2[[#This Row],[Description]]="","",IF(Table2[[#This Row],[Currency]]=$O$2,$P$2,HLOOKUP(Table2[[#This Row],[Date]],Funds!$C$10:$GV$11,2,FALSE)))</f>
        <v/>
      </c>
      <c r="J1716" s="215" t="str">
        <f>IF(Table2[[#This Row],[Description]]="","",Table2[[#This Row],[Value]]/Table2[[#This Row],[Conversion]])</f>
        <v/>
      </c>
      <c r="K1716" s="45" t="str">
        <f>IF(Table2[[#This Row],[Description]]="","",DATE(Table2[[#This Row],[Year]],Table2[[#This Row],[Month]],1))</f>
        <v/>
      </c>
    </row>
    <row r="1717" spans="7:11" x14ac:dyDescent="0.25">
      <c r="G1717" s="1" t="str">
        <f>IF(Table2[[#This Row],[Description]]="","",VLOOKUP(Table2[[#This Row],[Description]],$Q$1:$S$101,2,FALSE))</f>
        <v/>
      </c>
      <c r="H1717" s="1" t="str">
        <f>IF(Table2[[#This Row],[Description]]="","",VLOOKUP(Table2[[#This Row],[Description]],$Q$1:$S$101,3,FALSE))</f>
        <v/>
      </c>
      <c r="I1717" s="1" t="str">
        <f>IF(Table2[[#This Row],[Description]]="","",IF(Table2[[#This Row],[Currency]]=$O$2,$P$2,HLOOKUP(Table2[[#This Row],[Date]],Funds!$C$10:$GV$11,2,FALSE)))</f>
        <v/>
      </c>
      <c r="J1717" s="215" t="str">
        <f>IF(Table2[[#This Row],[Description]]="","",Table2[[#This Row],[Value]]/Table2[[#This Row],[Conversion]])</f>
        <v/>
      </c>
      <c r="K1717" s="45" t="str">
        <f>IF(Table2[[#This Row],[Description]]="","",DATE(Table2[[#This Row],[Year]],Table2[[#This Row],[Month]],1))</f>
        <v/>
      </c>
    </row>
    <row r="1718" spans="7:11" x14ac:dyDescent="0.25">
      <c r="G1718" s="1" t="str">
        <f>IF(Table2[[#This Row],[Description]]="","",VLOOKUP(Table2[[#This Row],[Description]],$Q$1:$S$101,2,FALSE))</f>
        <v/>
      </c>
      <c r="H1718" s="1" t="str">
        <f>IF(Table2[[#This Row],[Description]]="","",VLOOKUP(Table2[[#This Row],[Description]],$Q$1:$S$101,3,FALSE))</f>
        <v/>
      </c>
      <c r="I1718" s="1" t="str">
        <f>IF(Table2[[#This Row],[Description]]="","",IF(Table2[[#This Row],[Currency]]=$O$2,$P$2,HLOOKUP(Table2[[#This Row],[Date]],Funds!$C$10:$GV$11,2,FALSE)))</f>
        <v/>
      </c>
      <c r="J1718" s="215" t="str">
        <f>IF(Table2[[#This Row],[Description]]="","",Table2[[#This Row],[Value]]/Table2[[#This Row],[Conversion]])</f>
        <v/>
      </c>
      <c r="K1718" s="45" t="str">
        <f>IF(Table2[[#This Row],[Description]]="","",DATE(Table2[[#This Row],[Year]],Table2[[#This Row],[Month]],1))</f>
        <v/>
      </c>
    </row>
    <row r="1719" spans="7:11" x14ac:dyDescent="0.25">
      <c r="G1719" s="1" t="str">
        <f>IF(Table2[[#This Row],[Description]]="","",VLOOKUP(Table2[[#This Row],[Description]],$Q$1:$S$101,2,FALSE))</f>
        <v/>
      </c>
      <c r="H1719" s="1" t="str">
        <f>IF(Table2[[#This Row],[Description]]="","",VLOOKUP(Table2[[#This Row],[Description]],$Q$1:$S$101,3,FALSE))</f>
        <v/>
      </c>
      <c r="I1719" s="1" t="str">
        <f>IF(Table2[[#This Row],[Description]]="","",IF(Table2[[#This Row],[Currency]]=$O$2,$P$2,HLOOKUP(Table2[[#This Row],[Date]],Funds!$C$10:$GV$11,2,FALSE)))</f>
        <v/>
      </c>
      <c r="J1719" s="215" t="str">
        <f>IF(Table2[[#This Row],[Description]]="","",Table2[[#This Row],[Value]]/Table2[[#This Row],[Conversion]])</f>
        <v/>
      </c>
      <c r="K1719" s="45" t="str">
        <f>IF(Table2[[#This Row],[Description]]="","",DATE(Table2[[#This Row],[Year]],Table2[[#This Row],[Month]],1))</f>
        <v/>
      </c>
    </row>
    <row r="1720" spans="7:11" x14ac:dyDescent="0.25">
      <c r="G1720" s="1" t="str">
        <f>IF(Table2[[#This Row],[Description]]="","",VLOOKUP(Table2[[#This Row],[Description]],$Q$1:$S$101,2,FALSE))</f>
        <v/>
      </c>
      <c r="H1720" s="1" t="str">
        <f>IF(Table2[[#This Row],[Description]]="","",VLOOKUP(Table2[[#This Row],[Description]],$Q$1:$S$101,3,FALSE))</f>
        <v/>
      </c>
      <c r="I1720" s="1" t="str">
        <f>IF(Table2[[#This Row],[Description]]="","",IF(Table2[[#This Row],[Currency]]=$O$2,$P$2,HLOOKUP(Table2[[#This Row],[Date]],Funds!$C$10:$GV$11,2,FALSE)))</f>
        <v/>
      </c>
      <c r="J1720" s="215" t="str">
        <f>IF(Table2[[#This Row],[Description]]="","",Table2[[#This Row],[Value]]/Table2[[#This Row],[Conversion]])</f>
        <v/>
      </c>
      <c r="K1720" s="45" t="str">
        <f>IF(Table2[[#This Row],[Description]]="","",DATE(Table2[[#This Row],[Year]],Table2[[#This Row],[Month]],1))</f>
        <v/>
      </c>
    </row>
    <row r="1721" spans="7:11" x14ac:dyDescent="0.25">
      <c r="G1721" s="1" t="str">
        <f>IF(Table2[[#This Row],[Description]]="","",VLOOKUP(Table2[[#This Row],[Description]],$Q$1:$S$101,2,FALSE))</f>
        <v/>
      </c>
      <c r="H1721" s="1" t="str">
        <f>IF(Table2[[#This Row],[Description]]="","",VLOOKUP(Table2[[#This Row],[Description]],$Q$1:$S$101,3,FALSE))</f>
        <v/>
      </c>
      <c r="I1721" s="1" t="str">
        <f>IF(Table2[[#This Row],[Description]]="","",IF(Table2[[#This Row],[Currency]]=$O$2,$P$2,HLOOKUP(Table2[[#This Row],[Date]],Funds!$C$10:$GV$11,2,FALSE)))</f>
        <v/>
      </c>
      <c r="J1721" s="215" t="str">
        <f>IF(Table2[[#This Row],[Description]]="","",Table2[[#This Row],[Value]]/Table2[[#This Row],[Conversion]])</f>
        <v/>
      </c>
      <c r="K1721" s="45" t="str">
        <f>IF(Table2[[#This Row],[Description]]="","",DATE(Table2[[#This Row],[Year]],Table2[[#This Row],[Month]],1))</f>
        <v/>
      </c>
    </row>
    <row r="1722" spans="7:11" x14ac:dyDescent="0.25">
      <c r="G1722" s="1" t="str">
        <f>IF(Table2[[#This Row],[Description]]="","",VLOOKUP(Table2[[#This Row],[Description]],$Q$1:$S$101,2,FALSE))</f>
        <v/>
      </c>
      <c r="H1722" s="1" t="str">
        <f>IF(Table2[[#This Row],[Description]]="","",VLOOKUP(Table2[[#This Row],[Description]],$Q$1:$S$101,3,FALSE))</f>
        <v/>
      </c>
      <c r="I1722" s="1" t="str">
        <f>IF(Table2[[#This Row],[Description]]="","",IF(Table2[[#This Row],[Currency]]=$O$2,$P$2,HLOOKUP(Table2[[#This Row],[Date]],Funds!$C$10:$GV$11,2,FALSE)))</f>
        <v/>
      </c>
      <c r="J1722" s="215" t="str">
        <f>IF(Table2[[#This Row],[Description]]="","",Table2[[#This Row],[Value]]/Table2[[#This Row],[Conversion]])</f>
        <v/>
      </c>
      <c r="K1722" s="45" t="str">
        <f>IF(Table2[[#This Row],[Description]]="","",DATE(Table2[[#This Row],[Year]],Table2[[#This Row],[Month]],1))</f>
        <v/>
      </c>
    </row>
    <row r="1723" spans="7:11" x14ac:dyDescent="0.25">
      <c r="G1723" s="1" t="str">
        <f>IF(Table2[[#This Row],[Description]]="","",VLOOKUP(Table2[[#This Row],[Description]],$Q$1:$S$101,2,FALSE))</f>
        <v/>
      </c>
      <c r="H1723" s="1" t="str">
        <f>IF(Table2[[#This Row],[Description]]="","",VLOOKUP(Table2[[#This Row],[Description]],$Q$1:$S$101,3,FALSE))</f>
        <v/>
      </c>
      <c r="I1723" s="1" t="str">
        <f>IF(Table2[[#This Row],[Description]]="","",IF(Table2[[#This Row],[Currency]]=$O$2,$P$2,HLOOKUP(Table2[[#This Row],[Date]],Funds!$C$10:$GV$11,2,FALSE)))</f>
        <v/>
      </c>
      <c r="J1723" s="215" t="str">
        <f>IF(Table2[[#This Row],[Description]]="","",Table2[[#This Row],[Value]]/Table2[[#This Row],[Conversion]])</f>
        <v/>
      </c>
      <c r="K1723" s="45" t="str">
        <f>IF(Table2[[#This Row],[Description]]="","",DATE(Table2[[#This Row],[Year]],Table2[[#This Row],[Month]],1))</f>
        <v/>
      </c>
    </row>
    <row r="1724" spans="7:11" x14ac:dyDescent="0.25">
      <c r="G1724" s="1" t="str">
        <f>IF(Table2[[#This Row],[Description]]="","",VLOOKUP(Table2[[#This Row],[Description]],$Q$1:$S$101,2,FALSE))</f>
        <v/>
      </c>
      <c r="H1724" s="1" t="str">
        <f>IF(Table2[[#This Row],[Description]]="","",VLOOKUP(Table2[[#This Row],[Description]],$Q$1:$S$101,3,FALSE))</f>
        <v/>
      </c>
      <c r="I1724" s="1" t="str">
        <f>IF(Table2[[#This Row],[Description]]="","",IF(Table2[[#This Row],[Currency]]=$O$2,$P$2,HLOOKUP(Table2[[#This Row],[Date]],Funds!$C$10:$GV$11,2,FALSE)))</f>
        <v/>
      </c>
      <c r="J1724" s="215" t="str">
        <f>IF(Table2[[#This Row],[Description]]="","",Table2[[#This Row],[Value]]/Table2[[#This Row],[Conversion]])</f>
        <v/>
      </c>
      <c r="K1724" s="45" t="str">
        <f>IF(Table2[[#This Row],[Description]]="","",DATE(Table2[[#This Row],[Year]],Table2[[#This Row],[Month]],1))</f>
        <v/>
      </c>
    </row>
    <row r="1725" spans="7:11" x14ac:dyDescent="0.25">
      <c r="G1725" s="1" t="str">
        <f>IF(Table2[[#This Row],[Description]]="","",VLOOKUP(Table2[[#This Row],[Description]],$Q$1:$S$101,2,FALSE))</f>
        <v/>
      </c>
      <c r="H1725" s="1" t="str">
        <f>IF(Table2[[#This Row],[Description]]="","",VLOOKUP(Table2[[#This Row],[Description]],$Q$1:$S$101,3,FALSE))</f>
        <v/>
      </c>
      <c r="I1725" s="1" t="str">
        <f>IF(Table2[[#This Row],[Description]]="","",IF(Table2[[#This Row],[Currency]]=$O$2,$P$2,HLOOKUP(Table2[[#This Row],[Date]],Funds!$C$10:$GV$11,2,FALSE)))</f>
        <v/>
      </c>
      <c r="J1725" s="215" t="str">
        <f>IF(Table2[[#This Row],[Description]]="","",Table2[[#This Row],[Value]]/Table2[[#This Row],[Conversion]])</f>
        <v/>
      </c>
      <c r="K1725" s="45" t="str">
        <f>IF(Table2[[#This Row],[Description]]="","",DATE(Table2[[#This Row],[Year]],Table2[[#This Row],[Month]],1))</f>
        <v/>
      </c>
    </row>
    <row r="1726" spans="7:11" x14ac:dyDescent="0.25">
      <c r="G1726" s="1" t="str">
        <f>IF(Table2[[#This Row],[Description]]="","",VLOOKUP(Table2[[#This Row],[Description]],$Q$1:$S$101,2,FALSE))</f>
        <v/>
      </c>
      <c r="H1726" s="1" t="str">
        <f>IF(Table2[[#This Row],[Description]]="","",VLOOKUP(Table2[[#This Row],[Description]],$Q$1:$S$101,3,FALSE))</f>
        <v/>
      </c>
      <c r="I1726" s="1" t="str">
        <f>IF(Table2[[#This Row],[Description]]="","",IF(Table2[[#This Row],[Currency]]=$O$2,$P$2,HLOOKUP(Table2[[#This Row],[Date]],Funds!$C$10:$GV$11,2,FALSE)))</f>
        <v/>
      </c>
      <c r="J1726" s="215" t="str">
        <f>IF(Table2[[#This Row],[Description]]="","",Table2[[#This Row],[Value]]/Table2[[#This Row],[Conversion]])</f>
        <v/>
      </c>
      <c r="K1726" s="45" t="str">
        <f>IF(Table2[[#This Row],[Description]]="","",DATE(Table2[[#This Row],[Year]],Table2[[#This Row],[Month]],1))</f>
        <v/>
      </c>
    </row>
    <row r="1727" spans="7:11" x14ac:dyDescent="0.25">
      <c r="G1727" s="1" t="str">
        <f>IF(Table2[[#This Row],[Description]]="","",VLOOKUP(Table2[[#This Row],[Description]],$Q$1:$S$101,2,FALSE))</f>
        <v/>
      </c>
      <c r="H1727" s="1" t="str">
        <f>IF(Table2[[#This Row],[Description]]="","",VLOOKUP(Table2[[#This Row],[Description]],$Q$1:$S$101,3,FALSE))</f>
        <v/>
      </c>
      <c r="I1727" s="1" t="str">
        <f>IF(Table2[[#This Row],[Description]]="","",IF(Table2[[#This Row],[Currency]]=$O$2,$P$2,HLOOKUP(Table2[[#This Row],[Date]],Funds!$C$10:$GV$11,2,FALSE)))</f>
        <v/>
      </c>
      <c r="J1727" s="215" t="str">
        <f>IF(Table2[[#This Row],[Description]]="","",Table2[[#This Row],[Value]]/Table2[[#This Row],[Conversion]])</f>
        <v/>
      </c>
      <c r="K1727" s="45" t="str">
        <f>IF(Table2[[#This Row],[Description]]="","",DATE(Table2[[#This Row],[Year]],Table2[[#This Row],[Month]],1))</f>
        <v/>
      </c>
    </row>
    <row r="1728" spans="7:11" x14ac:dyDescent="0.25">
      <c r="G1728" s="1" t="str">
        <f>IF(Table2[[#This Row],[Description]]="","",VLOOKUP(Table2[[#This Row],[Description]],$Q$1:$S$101,2,FALSE))</f>
        <v/>
      </c>
      <c r="H1728" s="1" t="str">
        <f>IF(Table2[[#This Row],[Description]]="","",VLOOKUP(Table2[[#This Row],[Description]],$Q$1:$S$101,3,FALSE))</f>
        <v/>
      </c>
      <c r="I1728" s="1" t="str">
        <f>IF(Table2[[#This Row],[Description]]="","",IF(Table2[[#This Row],[Currency]]=$O$2,$P$2,HLOOKUP(Table2[[#This Row],[Date]],Funds!$C$10:$GV$11,2,FALSE)))</f>
        <v/>
      </c>
      <c r="J1728" s="215" t="str">
        <f>IF(Table2[[#This Row],[Description]]="","",Table2[[#This Row],[Value]]/Table2[[#This Row],[Conversion]])</f>
        <v/>
      </c>
      <c r="K1728" s="45" t="str">
        <f>IF(Table2[[#This Row],[Description]]="","",DATE(Table2[[#This Row],[Year]],Table2[[#This Row],[Month]],1))</f>
        <v/>
      </c>
    </row>
    <row r="1729" spans="7:11" x14ac:dyDescent="0.25">
      <c r="G1729" s="1" t="str">
        <f>IF(Table2[[#This Row],[Description]]="","",VLOOKUP(Table2[[#This Row],[Description]],$Q$1:$S$101,2,FALSE))</f>
        <v/>
      </c>
      <c r="H1729" s="1" t="str">
        <f>IF(Table2[[#This Row],[Description]]="","",VLOOKUP(Table2[[#This Row],[Description]],$Q$1:$S$101,3,FALSE))</f>
        <v/>
      </c>
      <c r="I1729" s="1" t="str">
        <f>IF(Table2[[#This Row],[Description]]="","",IF(Table2[[#This Row],[Currency]]=$O$2,$P$2,HLOOKUP(Table2[[#This Row],[Date]],Funds!$C$10:$GV$11,2,FALSE)))</f>
        <v/>
      </c>
      <c r="J1729" s="215" t="str">
        <f>IF(Table2[[#This Row],[Description]]="","",Table2[[#This Row],[Value]]/Table2[[#This Row],[Conversion]])</f>
        <v/>
      </c>
      <c r="K1729" s="45" t="str">
        <f>IF(Table2[[#This Row],[Description]]="","",DATE(Table2[[#This Row],[Year]],Table2[[#This Row],[Month]],1))</f>
        <v/>
      </c>
    </row>
    <row r="1730" spans="7:11" x14ac:dyDescent="0.25">
      <c r="G1730" s="1" t="str">
        <f>IF(Table2[[#This Row],[Description]]="","",VLOOKUP(Table2[[#This Row],[Description]],$Q$1:$S$101,2,FALSE))</f>
        <v/>
      </c>
      <c r="H1730" s="1" t="str">
        <f>IF(Table2[[#This Row],[Description]]="","",VLOOKUP(Table2[[#This Row],[Description]],$Q$1:$S$101,3,FALSE))</f>
        <v/>
      </c>
      <c r="I1730" s="1" t="str">
        <f>IF(Table2[[#This Row],[Description]]="","",IF(Table2[[#This Row],[Currency]]=$O$2,$P$2,HLOOKUP(Table2[[#This Row],[Date]],Funds!$C$10:$GV$11,2,FALSE)))</f>
        <v/>
      </c>
      <c r="J1730" s="215" t="str">
        <f>IF(Table2[[#This Row],[Description]]="","",Table2[[#This Row],[Value]]/Table2[[#This Row],[Conversion]])</f>
        <v/>
      </c>
      <c r="K1730" s="45" t="str">
        <f>IF(Table2[[#This Row],[Description]]="","",DATE(Table2[[#This Row],[Year]],Table2[[#This Row],[Month]],1))</f>
        <v/>
      </c>
    </row>
    <row r="1731" spans="7:11" x14ac:dyDescent="0.25">
      <c r="G1731" s="1" t="str">
        <f>IF(Table2[[#This Row],[Description]]="","",VLOOKUP(Table2[[#This Row],[Description]],$Q$1:$S$101,2,FALSE))</f>
        <v/>
      </c>
      <c r="H1731" s="1" t="str">
        <f>IF(Table2[[#This Row],[Description]]="","",VLOOKUP(Table2[[#This Row],[Description]],$Q$1:$S$101,3,FALSE))</f>
        <v/>
      </c>
      <c r="I1731" s="1" t="str">
        <f>IF(Table2[[#This Row],[Description]]="","",IF(Table2[[#This Row],[Currency]]=$O$2,$P$2,HLOOKUP(Table2[[#This Row],[Date]],Funds!$C$10:$GV$11,2,FALSE)))</f>
        <v/>
      </c>
      <c r="J1731" s="215" t="str">
        <f>IF(Table2[[#This Row],[Description]]="","",Table2[[#This Row],[Value]]/Table2[[#This Row],[Conversion]])</f>
        <v/>
      </c>
      <c r="K1731" s="45" t="str">
        <f>IF(Table2[[#This Row],[Description]]="","",DATE(Table2[[#This Row],[Year]],Table2[[#This Row],[Month]],1))</f>
        <v/>
      </c>
    </row>
    <row r="1732" spans="7:11" x14ac:dyDescent="0.25">
      <c r="G1732" s="1" t="str">
        <f>IF(Table2[[#This Row],[Description]]="","",VLOOKUP(Table2[[#This Row],[Description]],$Q$1:$S$101,2,FALSE))</f>
        <v/>
      </c>
      <c r="H1732" s="1" t="str">
        <f>IF(Table2[[#This Row],[Description]]="","",VLOOKUP(Table2[[#This Row],[Description]],$Q$1:$S$101,3,FALSE))</f>
        <v/>
      </c>
      <c r="I1732" s="1" t="str">
        <f>IF(Table2[[#This Row],[Description]]="","",IF(Table2[[#This Row],[Currency]]=$O$2,$P$2,HLOOKUP(Table2[[#This Row],[Date]],Funds!$C$10:$GV$11,2,FALSE)))</f>
        <v/>
      </c>
      <c r="J1732" s="215" t="str">
        <f>IF(Table2[[#This Row],[Description]]="","",Table2[[#This Row],[Value]]/Table2[[#This Row],[Conversion]])</f>
        <v/>
      </c>
      <c r="K1732" s="45" t="str">
        <f>IF(Table2[[#This Row],[Description]]="","",DATE(Table2[[#This Row],[Year]],Table2[[#This Row],[Month]],1))</f>
        <v/>
      </c>
    </row>
    <row r="1733" spans="7:11" x14ac:dyDescent="0.25">
      <c r="G1733" s="1" t="str">
        <f>IF(Table2[[#This Row],[Description]]="","",VLOOKUP(Table2[[#This Row],[Description]],$Q$1:$S$101,2,FALSE))</f>
        <v/>
      </c>
      <c r="H1733" s="1" t="str">
        <f>IF(Table2[[#This Row],[Description]]="","",VLOOKUP(Table2[[#This Row],[Description]],$Q$1:$S$101,3,FALSE))</f>
        <v/>
      </c>
      <c r="I1733" s="1" t="str">
        <f>IF(Table2[[#This Row],[Description]]="","",IF(Table2[[#This Row],[Currency]]=$O$2,$P$2,HLOOKUP(Table2[[#This Row],[Date]],Funds!$C$10:$GV$11,2,FALSE)))</f>
        <v/>
      </c>
      <c r="J1733" s="215" t="str">
        <f>IF(Table2[[#This Row],[Description]]="","",Table2[[#This Row],[Value]]/Table2[[#This Row],[Conversion]])</f>
        <v/>
      </c>
      <c r="K1733" s="45" t="str">
        <f>IF(Table2[[#This Row],[Description]]="","",DATE(Table2[[#This Row],[Year]],Table2[[#This Row],[Month]],1))</f>
        <v/>
      </c>
    </row>
    <row r="1734" spans="7:11" x14ac:dyDescent="0.25">
      <c r="G1734" s="1" t="str">
        <f>IF(Table2[[#This Row],[Description]]="","",VLOOKUP(Table2[[#This Row],[Description]],$Q$1:$S$101,2,FALSE))</f>
        <v/>
      </c>
      <c r="H1734" s="1" t="str">
        <f>IF(Table2[[#This Row],[Description]]="","",VLOOKUP(Table2[[#This Row],[Description]],$Q$1:$S$101,3,FALSE))</f>
        <v/>
      </c>
      <c r="I1734" s="1" t="str">
        <f>IF(Table2[[#This Row],[Description]]="","",IF(Table2[[#This Row],[Currency]]=$O$2,$P$2,HLOOKUP(Table2[[#This Row],[Date]],Funds!$C$10:$GV$11,2,FALSE)))</f>
        <v/>
      </c>
      <c r="J1734" s="215" t="str">
        <f>IF(Table2[[#This Row],[Description]]="","",Table2[[#This Row],[Value]]/Table2[[#This Row],[Conversion]])</f>
        <v/>
      </c>
      <c r="K1734" s="45" t="str">
        <f>IF(Table2[[#This Row],[Description]]="","",DATE(Table2[[#This Row],[Year]],Table2[[#This Row],[Month]],1))</f>
        <v/>
      </c>
    </row>
    <row r="1735" spans="7:11" x14ac:dyDescent="0.25">
      <c r="G1735" s="1" t="str">
        <f>IF(Table2[[#This Row],[Description]]="","",VLOOKUP(Table2[[#This Row],[Description]],$Q$1:$S$101,2,FALSE))</f>
        <v/>
      </c>
      <c r="H1735" s="1" t="str">
        <f>IF(Table2[[#This Row],[Description]]="","",VLOOKUP(Table2[[#This Row],[Description]],$Q$1:$S$101,3,FALSE))</f>
        <v/>
      </c>
      <c r="I1735" s="1" t="str">
        <f>IF(Table2[[#This Row],[Description]]="","",IF(Table2[[#This Row],[Currency]]=$O$2,$P$2,HLOOKUP(Table2[[#This Row],[Date]],Funds!$C$10:$GV$11,2,FALSE)))</f>
        <v/>
      </c>
      <c r="J1735" s="215" t="str">
        <f>IF(Table2[[#This Row],[Description]]="","",Table2[[#This Row],[Value]]/Table2[[#This Row],[Conversion]])</f>
        <v/>
      </c>
      <c r="K1735" s="45" t="str">
        <f>IF(Table2[[#This Row],[Description]]="","",DATE(Table2[[#This Row],[Year]],Table2[[#This Row],[Month]],1))</f>
        <v/>
      </c>
    </row>
    <row r="1736" spans="7:11" x14ac:dyDescent="0.25">
      <c r="G1736" s="1" t="str">
        <f>IF(Table2[[#This Row],[Description]]="","",VLOOKUP(Table2[[#This Row],[Description]],$Q$1:$S$101,2,FALSE))</f>
        <v/>
      </c>
      <c r="H1736" s="1" t="str">
        <f>IF(Table2[[#This Row],[Description]]="","",VLOOKUP(Table2[[#This Row],[Description]],$Q$1:$S$101,3,FALSE))</f>
        <v/>
      </c>
      <c r="I1736" s="1" t="str">
        <f>IF(Table2[[#This Row],[Description]]="","",IF(Table2[[#This Row],[Currency]]=$O$2,$P$2,HLOOKUP(Table2[[#This Row],[Date]],Funds!$C$10:$GV$11,2,FALSE)))</f>
        <v/>
      </c>
      <c r="J1736" s="215" t="str">
        <f>IF(Table2[[#This Row],[Description]]="","",Table2[[#This Row],[Value]]/Table2[[#This Row],[Conversion]])</f>
        <v/>
      </c>
      <c r="K1736" s="45" t="str">
        <f>IF(Table2[[#This Row],[Description]]="","",DATE(Table2[[#This Row],[Year]],Table2[[#This Row],[Month]],1))</f>
        <v/>
      </c>
    </row>
    <row r="1737" spans="7:11" x14ac:dyDescent="0.25">
      <c r="G1737" s="1" t="str">
        <f>IF(Table2[[#This Row],[Description]]="","",VLOOKUP(Table2[[#This Row],[Description]],$Q$1:$S$101,2,FALSE))</f>
        <v/>
      </c>
      <c r="H1737" s="1" t="str">
        <f>IF(Table2[[#This Row],[Description]]="","",VLOOKUP(Table2[[#This Row],[Description]],$Q$1:$S$101,3,FALSE))</f>
        <v/>
      </c>
      <c r="I1737" s="1" t="str">
        <f>IF(Table2[[#This Row],[Description]]="","",IF(Table2[[#This Row],[Currency]]=$O$2,$P$2,HLOOKUP(Table2[[#This Row],[Date]],Funds!$C$10:$GV$11,2,FALSE)))</f>
        <v/>
      </c>
      <c r="J1737" s="215" t="str">
        <f>IF(Table2[[#This Row],[Description]]="","",Table2[[#This Row],[Value]]/Table2[[#This Row],[Conversion]])</f>
        <v/>
      </c>
      <c r="K1737" s="45" t="str">
        <f>IF(Table2[[#This Row],[Description]]="","",DATE(Table2[[#This Row],[Year]],Table2[[#This Row],[Month]],1))</f>
        <v/>
      </c>
    </row>
    <row r="1738" spans="7:11" x14ac:dyDescent="0.25">
      <c r="G1738" s="1" t="str">
        <f>IF(Table2[[#This Row],[Description]]="","",VLOOKUP(Table2[[#This Row],[Description]],$Q$1:$S$101,2,FALSE))</f>
        <v/>
      </c>
      <c r="H1738" s="1" t="str">
        <f>IF(Table2[[#This Row],[Description]]="","",VLOOKUP(Table2[[#This Row],[Description]],$Q$1:$S$101,3,FALSE))</f>
        <v/>
      </c>
      <c r="I1738" s="1" t="str">
        <f>IF(Table2[[#This Row],[Description]]="","",IF(Table2[[#This Row],[Currency]]=$O$2,$P$2,HLOOKUP(Table2[[#This Row],[Date]],Funds!$C$10:$GV$11,2,FALSE)))</f>
        <v/>
      </c>
      <c r="J1738" s="215" t="str">
        <f>IF(Table2[[#This Row],[Description]]="","",Table2[[#This Row],[Value]]/Table2[[#This Row],[Conversion]])</f>
        <v/>
      </c>
      <c r="K1738" s="45" t="str">
        <f>IF(Table2[[#This Row],[Description]]="","",DATE(Table2[[#This Row],[Year]],Table2[[#This Row],[Month]],1))</f>
        <v/>
      </c>
    </row>
    <row r="1739" spans="7:11" x14ac:dyDescent="0.25">
      <c r="G1739" s="1" t="str">
        <f>IF(Table2[[#This Row],[Description]]="","",VLOOKUP(Table2[[#This Row],[Description]],$Q$1:$S$101,2,FALSE))</f>
        <v/>
      </c>
      <c r="H1739" s="1" t="str">
        <f>IF(Table2[[#This Row],[Description]]="","",VLOOKUP(Table2[[#This Row],[Description]],$Q$1:$S$101,3,FALSE))</f>
        <v/>
      </c>
      <c r="I1739" s="1" t="str">
        <f>IF(Table2[[#This Row],[Description]]="","",IF(Table2[[#This Row],[Currency]]=$O$2,$P$2,HLOOKUP(Table2[[#This Row],[Date]],Funds!$C$10:$GV$11,2,FALSE)))</f>
        <v/>
      </c>
      <c r="J1739" s="215" t="str">
        <f>IF(Table2[[#This Row],[Description]]="","",Table2[[#This Row],[Value]]/Table2[[#This Row],[Conversion]])</f>
        <v/>
      </c>
      <c r="K1739" s="45" t="str">
        <f>IF(Table2[[#This Row],[Description]]="","",DATE(Table2[[#This Row],[Year]],Table2[[#This Row],[Month]],1))</f>
        <v/>
      </c>
    </row>
    <row r="1740" spans="7:11" x14ac:dyDescent="0.25">
      <c r="G1740" s="1" t="str">
        <f>IF(Table2[[#This Row],[Description]]="","",VLOOKUP(Table2[[#This Row],[Description]],$Q$1:$S$101,2,FALSE))</f>
        <v/>
      </c>
      <c r="H1740" s="1" t="str">
        <f>IF(Table2[[#This Row],[Description]]="","",VLOOKUP(Table2[[#This Row],[Description]],$Q$1:$S$101,3,FALSE))</f>
        <v/>
      </c>
      <c r="I1740" s="1" t="str">
        <f>IF(Table2[[#This Row],[Description]]="","",IF(Table2[[#This Row],[Currency]]=$O$2,$P$2,HLOOKUP(Table2[[#This Row],[Date]],Funds!$C$10:$GV$11,2,FALSE)))</f>
        <v/>
      </c>
      <c r="J1740" s="215" t="str">
        <f>IF(Table2[[#This Row],[Description]]="","",Table2[[#This Row],[Value]]/Table2[[#This Row],[Conversion]])</f>
        <v/>
      </c>
      <c r="K1740" s="45" t="str">
        <f>IF(Table2[[#This Row],[Description]]="","",DATE(Table2[[#This Row],[Year]],Table2[[#This Row],[Month]],1))</f>
        <v/>
      </c>
    </row>
    <row r="1741" spans="7:11" x14ac:dyDescent="0.25">
      <c r="G1741" s="1" t="str">
        <f>IF(Table2[[#This Row],[Description]]="","",VLOOKUP(Table2[[#This Row],[Description]],$Q$1:$S$101,2,FALSE))</f>
        <v/>
      </c>
      <c r="H1741" s="1" t="str">
        <f>IF(Table2[[#This Row],[Description]]="","",VLOOKUP(Table2[[#This Row],[Description]],$Q$1:$S$101,3,FALSE))</f>
        <v/>
      </c>
      <c r="I1741" s="1" t="str">
        <f>IF(Table2[[#This Row],[Description]]="","",IF(Table2[[#This Row],[Currency]]=$O$2,$P$2,HLOOKUP(Table2[[#This Row],[Date]],Funds!$C$10:$GV$11,2,FALSE)))</f>
        <v/>
      </c>
      <c r="J1741" s="215" t="str">
        <f>IF(Table2[[#This Row],[Description]]="","",Table2[[#This Row],[Value]]/Table2[[#This Row],[Conversion]])</f>
        <v/>
      </c>
      <c r="K1741" s="45" t="str">
        <f>IF(Table2[[#This Row],[Description]]="","",DATE(Table2[[#This Row],[Year]],Table2[[#This Row],[Month]],1))</f>
        <v/>
      </c>
    </row>
    <row r="1742" spans="7:11" x14ac:dyDescent="0.25">
      <c r="G1742" s="1" t="str">
        <f>IF(Table2[[#This Row],[Description]]="","",VLOOKUP(Table2[[#This Row],[Description]],$Q$1:$S$101,2,FALSE))</f>
        <v/>
      </c>
      <c r="H1742" s="1" t="str">
        <f>IF(Table2[[#This Row],[Description]]="","",VLOOKUP(Table2[[#This Row],[Description]],$Q$1:$S$101,3,FALSE))</f>
        <v/>
      </c>
      <c r="I1742" s="1" t="str">
        <f>IF(Table2[[#This Row],[Description]]="","",IF(Table2[[#This Row],[Currency]]=$O$2,$P$2,HLOOKUP(Table2[[#This Row],[Date]],Funds!$C$10:$GV$11,2,FALSE)))</f>
        <v/>
      </c>
      <c r="J1742" s="215" t="str">
        <f>IF(Table2[[#This Row],[Description]]="","",Table2[[#This Row],[Value]]/Table2[[#This Row],[Conversion]])</f>
        <v/>
      </c>
      <c r="K1742" s="45" t="str">
        <f>IF(Table2[[#This Row],[Description]]="","",DATE(Table2[[#This Row],[Year]],Table2[[#This Row],[Month]],1))</f>
        <v/>
      </c>
    </row>
    <row r="1743" spans="7:11" x14ac:dyDescent="0.25">
      <c r="G1743" s="1" t="str">
        <f>IF(Table2[[#This Row],[Description]]="","",VLOOKUP(Table2[[#This Row],[Description]],$Q$1:$S$101,2,FALSE))</f>
        <v/>
      </c>
      <c r="H1743" s="1" t="str">
        <f>IF(Table2[[#This Row],[Description]]="","",VLOOKUP(Table2[[#This Row],[Description]],$Q$1:$S$101,3,FALSE))</f>
        <v/>
      </c>
      <c r="I1743" s="1" t="str">
        <f>IF(Table2[[#This Row],[Description]]="","",IF(Table2[[#This Row],[Currency]]=$O$2,$P$2,HLOOKUP(Table2[[#This Row],[Date]],Funds!$C$10:$GV$11,2,FALSE)))</f>
        <v/>
      </c>
      <c r="J1743" s="215" t="str">
        <f>IF(Table2[[#This Row],[Description]]="","",Table2[[#This Row],[Value]]/Table2[[#This Row],[Conversion]])</f>
        <v/>
      </c>
      <c r="K1743" s="45" t="str">
        <f>IF(Table2[[#This Row],[Description]]="","",DATE(Table2[[#This Row],[Year]],Table2[[#This Row],[Month]],1))</f>
        <v/>
      </c>
    </row>
    <row r="1744" spans="7:11" x14ac:dyDescent="0.25">
      <c r="G1744" s="1" t="str">
        <f>IF(Table2[[#This Row],[Description]]="","",VLOOKUP(Table2[[#This Row],[Description]],$Q$1:$S$101,2,FALSE))</f>
        <v/>
      </c>
      <c r="H1744" s="1" t="str">
        <f>IF(Table2[[#This Row],[Description]]="","",VLOOKUP(Table2[[#This Row],[Description]],$Q$1:$S$101,3,FALSE))</f>
        <v/>
      </c>
      <c r="I1744" s="1" t="str">
        <f>IF(Table2[[#This Row],[Description]]="","",IF(Table2[[#This Row],[Currency]]=$O$2,$P$2,HLOOKUP(Table2[[#This Row],[Date]],Funds!$C$10:$GV$11,2,FALSE)))</f>
        <v/>
      </c>
      <c r="J1744" s="215" t="str">
        <f>IF(Table2[[#This Row],[Description]]="","",Table2[[#This Row],[Value]]/Table2[[#This Row],[Conversion]])</f>
        <v/>
      </c>
      <c r="K1744" s="45" t="str">
        <f>IF(Table2[[#This Row],[Description]]="","",DATE(Table2[[#This Row],[Year]],Table2[[#This Row],[Month]],1))</f>
        <v/>
      </c>
    </row>
    <row r="1745" spans="7:11" x14ac:dyDescent="0.25">
      <c r="G1745" s="1" t="str">
        <f>IF(Table2[[#This Row],[Description]]="","",VLOOKUP(Table2[[#This Row],[Description]],$Q$1:$S$101,2,FALSE))</f>
        <v/>
      </c>
      <c r="H1745" s="1" t="str">
        <f>IF(Table2[[#This Row],[Description]]="","",VLOOKUP(Table2[[#This Row],[Description]],$Q$1:$S$101,3,FALSE))</f>
        <v/>
      </c>
      <c r="I1745" s="1" t="str">
        <f>IF(Table2[[#This Row],[Description]]="","",IF(Table2[[#This Row],[Currency]]=$O$2,$P$2,HLOOKUP(Table2[[#This Row],[Date]],Funds!$C$10:$GV$11,2,FALSE)))</f>
        <v/>
      </c>
      <c r="J1745" s="215" t="str">
        <f>IF(Table2[[#This Row],[Description]]="","",Table2[[#This Row],[Value]]/Table2[[#This Row],[Conversion]])</f>
        <v/>
      </c>
      <c r="K1745" s="45" t="str">
        <f>IF(Table2[[#This Row],[Description]]="","",DATE(Table2[[#This Row],[Year]],Table2[[#This Row],[Month]],1))</f>
        <v/>
      </c>
    </row>
    <row r="1746" spans="7:11" x14ac:dyDescent="0.25">
      <c r="G1746" s="1" t="str">
        <f>IF(Table2[[#This Row],[Description]]="","",VLOOKUP(Table2[[#This Row],[Description]],$Q$1:$S$101,2,FALSE))</f>
        <v/>
      </c>
      <c r="H1746" s="1" t="str">
        <f>IF(Table2[[#This Row],[Description]]="","",VLOOKUP(Table2[[#This Row],[Description]],$Q$1:$S$101,3,FALSE))</f>
        <v/>
      </c>
      <c r="I1746" s="1" t="str">
        <f>IF(Table2[[#This Row],[Description]]="","",IF(Table2[[#This Row],[Currency]]=$O$2,$P$2,HLOOKUP(Table2[[#This Row],[Date]],Funds!$C$10:$GV$11,2,FALSE)))</f>
        <v/>
      </c>
      <c r="J1746" s="215" t="str">
        <f>IF(Table2[[#This Row],[Description]]="","",Table2[[#This Row],[Value]]/Table2[[#This Row],[Conversion]])</f>
        <v/>
      </c>
      <c r="K1746" s="45" t="str">
        <f>IF(Table2[[#This Row],[Description]]="","",DATE(Table2[[#This Row],[Year]],Table2[[#This Row],[Month]],1))</f>
        <v/>
      </c>
    </row>
    <row r="1747" spans="7:11" x14ac:dyDescent="0.25">
      <c r="G1747" s="1" t="str">
        <f>IF(Table2[[#This Row],[Description]]="","",VLOOKUP(Table2[[#This Row],[Description]],$Q$1:$S$101,2,FALSE))</f>
        <v/>
      </c>
      <c r="H1747" s="1" t="str">
        <f>IF(Table2[[#This Row],[Description]]="","",VLOOKUP(Table2[[#This Row],[Description]],$Q$1:$S$101,3,FALSE))</f>
        <v/>
      </c>
      <c r="I1747" s="1" t="str">
        <f>IF(Table2[[#This Row],[Description]]="","",IF(Table2[[#This Row],[Currency]]=$O$2,$P$2,HLOOKUP(Table2[[#This Row],[Date]],Funds!$C$10:$GV$11,2,FALSE)))</f>
        <v/>
      </c>
      <c r="J1747" s="215" t="str">
        <f>IF(Table2[[#This Row],[Description]]="","",Table2[[#This Row],[Value]]/Table2[[#This Row],[Conversion]])</f>
        <v/>
      </c>
      <c r="K1747" s="45" t="str">
        <f>IF(Table2[[#This Row],[Description]]="","",DATE(Table2[[#This Row],[Year]],Table2[[#This Row],[Month]],1))</f>
        <v/>
      </c>
    </row>
    <row r="1748" spans="7:11" x14ac:dyDescent="0.25">
      <c r="G1748" s="1" t="str">
        <f>IF(Table2[[#This Row],[Description]]="","",VLOOKUP(Table2[[#This Row],[Description]],$Q$1:$S$101,2,FALSE))</f>
        <v/>
      </c>
      <c r="H1748" s="1" t="str">
        <f>IF(Table2[[#This Row],[Description]]="","",VLOOKUP(Table2[[#This Row],[Description]],$Q$1:$S$101,3,FALSE))</f>
        <v/>
      </c>
      <c r="I1748" s="1" t="str">
        <f>IF(Table2[[#This Row],[Description]]="","",IF(Table2[[#This Row],[Currency]]=$O$2,$P$2,HLOOKUP(Table2[[#This Row],[Date]],Funds!$C$10:$GV$11,2,FALSE)))</f>
        <v/>
      </c>
      <c r="J1748" s="215" t="str">
        <f>IF(Table2[[#This Row],[Description]]="","",Table2[[#This Row],[Value]]/Table2[[#This Row],[Conversion]])</f>
        <v/>
      </c>
      <c r="K1748" s="45" t="str">
        <f>IF(Table2[[#This Row],[Description]]="","",DATE(Table2[[#This Row],[Year]],Table2[[#This Row],[Month]],1))</f>
        <v/>
      </c>
    </row>
    <row r="1749" spans="7:11" x14ac:dyDescent="0.25">
      <c r="G1749" s="1" t="str">
        <f>IF(Table2[[#This Row],[Description]]="","",VLOOKUP(Table2[[#This Row],[Description]],$Q$1:$S$101,2,FALSE))</f>
        <v/>
      </c>
      <c r="H1749" s="1" t="str">
        <f>IF(Table2[[#This Row],[Description]]="","",VLOOKUP(Table2[[#This Row],[Description]],$Q$1:$S$101,3,FALSE))</f>
        <v/>
      </c>
      <c r="I1749" s="1" t="str">
        <f>IF(Table2[[#This Row],[Description]]="","",IF(Table2[[#This Row],[Currency]]=$O$2,$P$2,HLOOKUP(Table2[[#This Row],[Date]],Funds!$C$10:$GV$11,2,FALSE)))</f>
        <v/>
      </c>
      <c r="J1749" s="215" t="str">
        <f>IF(Table2[[#This Row],[Description]]="","",Table2[[#This Row],[Value]]/Table2[[#This Row],[Conversion]])</f>
        <v/>
      </c>
      <c r="K1749" s="45" t="str">
        <f>IF(Table2[[#This Row],[Description]]="","",DATE(Table2[[#This Row],[Year]],Table2[[#This Row],[Month]],1))</f>
        <v/>
      </c>
    </row>
    <row r="1750" spans="7:11" x14ac:dyDescent="0.25">
      <c r="G1750" s="1" t="str">
        <f>IF(Table2[[#This Row],[Description]]="","",VLOOKUP(Table2[[#This Row],[Description]],$Q$1:$S$101,2,FALSE))</f>
        <v/>
      </c>
      <c r="H1750" s="1" t="str">
        <f>IF(Table2[[#This Row],[Description]]="","",VLOOKUP(Table2[[#This Row],[Description]],$Q$1:$S$101,3,FALSE))</f>
        <v/>
      </c>
      <c r="I1750" s="1" t="str">
        <f>IF(Table2[[#This Row],[Description]]="","",IF(Table2[[#This Row],[Currency]]=$O$2,$P$2,HLOOKUP(Table2[[#This Row],[Date]],Funds!$C$10:$GV$11,2,FALSE)))</f>
        <v/>
      </c>
      <c r="J1750" s="215" t="str">
        <f>IF(Table2[[#This Row],[Description]]="","",Table2[[#This Row],[Value]]/Table2[[#This Row],[Conversion]])</f>
        <v/>
      </c>
      <c r="K1750" s="45" t="str">
        <f>IF(Table2[[#This Row],[Description]]="","",DATE(Table2[[#This Row],[Year]],Table2[[#This Row],[Month]],1))</f>
        <v/>
      </c>
    </row>
    <row r="1751" spans="7:11" x14ac:dyDescent="0.25">
      <c r="G1751" s="1" t="str">
        <f>IF(Table2[[#This Row],[Description]]="","",VLOOKUP(Table2[[#This Row],[Description]],$Q$1:$S$101,2,FALSE))</f>
        <v/>
      </c>
      <c r="H1751" s="1" t="str">
        <f>IF(Table2[[#This Row],[Description]]="","",VLOOKUP(Table2[[#This Row],[Description]],$Q$1:$S$101,3,FALSE))</f>
        <v/>
      </c>
      <c r="I1751" s="1" t="str">
        <f>IF(Table2[[#This Row],[Description]]="","",IF(Table2[[#This Row],[Currency]]=$O$2,$P$2,HLOOKUP(Table2[[#This Row],[Date]],Funds!$C$10:$GV$11,2,FALSE)))</f>
        <v/>
      </c>
      <c r="J1751" s="215" t="str">
        <f>IF(Table2[[#This Row],[Description]]="","",Table2[[#This Row],[Value]]/Table2[[#This Row],[Conversion]])</f>
        <v/>
      </c>
      <c r="K1751" s="45" t="str">
        <f>IF(Table2[[#This Row],[Description]]="","",DATE(Table2[[#This Row],[Year]],Table2[[#This Row],[Month]],1))</f>
        <v/>
      </c>
    </row>
    <row r="1752" spans="7:11" x14ac:dyDescent="0.25">
      <c r="G1752" s="1" t="str">
        <f>IF(Table2[[#This Row],[Description]]="","",VLOOKUP(Table2[[#This Row],[Description]],$Q$1:$S$101,2,FALSE))</f>
        <v/>
      </c>
      <c r="H1752" s="1" t="str">
        <f>IF(Table2[[#This Row],[Description]]="","",VLOOKUP(Table2[[#This Row],[Description]],$Q$1:$S$101,3,FALSE))</f>
        <v/>
      </c>
      <c r="I1752" s="1" t="str">
        <f>IF(Table2[[#This Row],[Description]]="","",IF(Table2[[#This Row],[Currency]]=$O$2,$P$2,HLOOKUP(Table2[[#This Row],[Date]],Funds!$C$10:$GV$11,2,FALSE)))</f>
        <v/>
      </c>
      <c r="J1752" s="215" t="str">
        <f>IF(Table2[[#This Row],[Description]]="","",Table2[[#This Row],[Value]]/Table2[[#This Row],[Conversion]])</f>
        <v/>
      </c>
      <c r="K1752" s="45" t="str">
        <f>IF(Table2[[#This Row],[Description]]="","",DATE(Table2[[#This Row],[Year]],Table2[[#This Row],[Month]],1))</f>
        <v/>
      </c>
    </row>
    <row r="1753" spans="7:11" x14ac:dyDescent="0.25">
      <c r="G1753" s="1" t="str">
        <f>IF(Table2[[#This Row],[Description]]="","",VLOOKUP(Table2[[#This Row],[Description]],$Q$1:$S$101,2,FALSE))</f>
        <v/>
      </c>
      <c r="H1753" s="1" t="str">
        <f>IF(Table2[[#This Row],[Description]]="","",VLOOKUP(Table2[[#This Row],[Description]],$Q$1:$S$101,3,FALSE))</f>
        <v/>
      </c>
      <c r="I1753" s="1" t="str">
        <f>IF(Table2[[#This Row],[Description]]="","",IF(Table2[[#This Row],[Currency]]=$O$2,$P$2,HLOOKUP(Table2[[#This Row],[Date]],Funds!$C$10:$GV$11,2,FALSE)))</f>
        <v/>
      </c>
      <c r="J1753" s="215" t="str">
        <f>IF(Table2[[#This Row],[Description]]="","",Table2[[#This Row],[Value]]/Table2[[#This Row],[Conversion]])</f>
        <v/>
      </c>
      <c r="K1753" s="45" t="str">
        <f>IF(Table2[[#This Row],[Description]]="","",DATE(Table2[[#This Row],[Year]],Table2[[#This Row],[Month]],1))</f>
        <v/>
      </c>
    </row>
    <row r="1754" spans="7:11" x14ac:dyDescent="0.25">
      <c r="G1754" s="1" t="str">
        <f>IF(Table2[[#This Row],[Description]]="","",VLOOKUP(Table2[[#This Row],[Description]],$Q$1:$S$101,2,FALSE))</f>
        <v/>
      </c>
      <c r="H1754" s="1" t="str">
        <f>IF(Table2[[#This Row],[Description]]="","",VLOOKUP(Table2[[#This Row],[Description]],$Q$1:$S$101,3,FALSE))</f>
        <v/>
      </c>
      <c r="I1754" s="1" t="str">
        <f>IF(Table2[[#This Row],[Description]]="","",IF(Table2[[#This Row],[Currency]]=$O$2,$P$2,HLOOKUP(Table2[[#This Row],[Date]],Funds!$C$10:$GV$11,2,FALSE)))</f>
        <v/>
      </c>
      <c r="J1754" s="215" t="str">
        <f>IF(Table2[[#This Row],[Description]]="","",Table2[[#This Row],[Value]]/Table2[[#This Row],[Conversion]])</f>
        <v/>
      </c>
      <c r="K1754" s="45" t="str">
        <f>IF(Table2[[#This Row],[Description]]="","",DATE(Table2[[#This Row],[Year]],Table2[[#This Row],[Month]],1))</f>
        <v/>
      </c>
    </row>
    <row r="1755" spans="7:11" x14ac:dyDescent="0.25">
      <c r="G1755" s="1" t="str">
        <f>IF(Table2[[#This Row],[Description]]="","",VLOOKUP(Table2[[#This Row],[Description]],$Q$1:$S$101,2,FALSE))</f>
        <v/>
      </c>
      <c r="H1755" s="1" t="str">
        <f>IF(Table2[[#This Row],[Description]]="","",VLOOKUP(Table2[[#This Row],[Description]],$Q$1:$S$101,3,FALSE))</f>
        <v/>
      </c>
      <c r="I1755" s="1" t="str">
        <f>IF(Table2[[#This Row],[Description]]="","",IF(Table2[[#This Row],[Currency]]=$O$2,$P$2,HLOOKUP(Table2[[#This Row],[Date]],Funds!$C$10:$GV$11,2,FALSE)))</f>
        <v/>
      </c>
      <c r="J1755" s="215" t="str">
        <f>IF(Table2[[#This Row],[Description]]="","",Table2[[#This Row],[Value]]/Table2[[#This Row],[Conversion]])</f>
        <v/>
      </c>
      <c r="K1755" s="45" t="str">
        <f>IF(Table2[[#This Row],[Description]]="","",DATE(Table2[[#This Row],[Year]],Table2[[#This Row],[Month]],1))</f>
        <v/>
      </c>
    </row>
    <row r="1756" spans="7:11" x14ac:dyDescent="0.25">
      <c r="G1756" s="1" t="str">
        <f>IF(Table2[[#This Row],[Description]]="","",VLOOKUP(Table2[[#This Row],[Description]],$Q$1:$S$101,2,FALSE))</f>
        <v/>
      </c>
      <c r="H1756" s="1" t="str">
        <f>IF(Table2[[#This Row],[Description]]="","",VLOOKUP(Table2[[#This Row],[Description]],$Q$1:$S$101,3,FALSE))</f>
        <v/>
      </c>
      <c r="I1756" s="1" t="str">
        <f>IF(Table2[[#This Row],[Description]]="","",IF(Table2[[#This Row],[Currency]]=$O$2,$P$2,HLOOKUP(Table2[[#This Row],[Date]],Funds!$C$10:$GV$11,2,FALSE)))</f>
        <v/>
      </c>
      <c r="J1756" s="215" t="str">
        <f>IF(Table2[[#This Row],[Description]]="","",Table2[[#This Row],[Value]]/Table2[[#This Row],[Conversion]])</f>
        <v/>
      </c>
      <c r="K1756" s="45" t="str">
        <f>IF(Table2[[#This Row],[Description]]="","",DATE(Table2[[#This Row],[Year]],Table2[[#This Row],[Month]],1))</f>
        <v/>
      </c>
    </row>
    <row r="1757" spans="7:11" x14ac:dyDescent="0.25">
      <c r="G1757" s="1" t="str">
        <f>IF(Table2[[#This Row],[Description]]="","",VLOOKUP(Table2[[#This Row],[Description]],$Q$1:$S$101,2,FALSE))</f>
        <v/>
      </c>
      <c r="H1757" s="1" t="str">
        <f>IF(Table2[[#This Row],[Description]]="","",VLOOKUP(Table2[[#This Row],[Description]],$Q$1:$S$101,3,FALSE))</f>
        <v/>
      </c>
      <c r="I1757" s="1" t="str">
        <f>IF(Table2[[#This Row],[Description]]="","",IF(Table2[[#This Row],[Currency]]=$O$2,$P$2,HLOOKUP(Table2[[#This Row],[Date]],Funds!$C$10:$GV$11,2,FALSE)))</f>
        <v/>
      </c>
      <c r="J1757" s="215" t="str">
        <f>IF(Table2[[#This Row],[Description]]="","",Table2[[#This Row],[Value]]/Table2[[#This Row],[Conversion]])</f>
        <v/>
      </c>
      <c r="K1757" s="45" t="str">
        <f>IF(Table2[[#This Row],[Description]]="","",DATE(Table2[[#This Row],[Year]],Table2[[#This Row],[Month]],1))</f>
        <v/>
      </c>
    </row>
    <row r="1758" spans="7:11" x14ac:dyDescent="0.25">
      <c r="G1758" s="1" t="str">
        <f>IF(Table2[[#This Row],[Description]]="","",VLOOKUP(Table2[[#This Row],[Description]],$Q$1:$S$101,2,FALSE))</f>
        <v/>
      </c>
      <c r="H1758" s="1" t="str">
        <f>IF(Table2[[#This Row],[Description]]="","",VLOOKUP(Table2[[#This Row],[Description]],$Q$1:$S$101,3,FALSE))</f>
        <v/>
      </c>
      <c r="I1758" s="1" t="str">
        <f>IF(Table2[[#This Row],[Description]]="","",IF(Table2[[#This Row],[Currency]]=$O$2,$P$2,HLOOKUP(Table2[[#This Row],[Date]],Funds!$C$10:$GV$11,2,FALSE)))</f>
        <v/>
      </c>
      <c r="J1758" s="215" t="str">
        <f>IF(Table2[[#This Row],[Description]]="","",Table2[[#This Row],[Value]]/Table2[[#This Row],[Conversion]])</f>
        <v/>
      </c>
      <c r="K1758" s="45" t="str">
        <f>IF(Table2[[#This Row],[Description]]="","",DATE(Table2[[#This Row],[Year]],Table2[[#This Row],[Month]],1))</f>
        <v/>
      </c>
    </row>
    <row r="1759" spans="7:11" x14ac:dyDescent="0.25">
      <c r="G1759" s="1" t="str">
        <f>IF(Table2[[#This Row],[Description]]="","",VLOOKUP(Table2[[#This Row],[Description]],$Q$1:$S$101,2,FALSE))</f>
        <v/>
      </c>
      <c r="H1759" s="1" t="str">
        <f>IF(Table2[[#This Row],[Description]]="","",VLOOKUP(Table2[[#This Row],[Description]],$Q$1:$S$101,3,FALSE))</f>
        <v/>
      </c>
      <c r="I1759" s="1" t="str">
        <f>IF(Table2[[#This Row],[Description]]="","",IF(Table2[[#This Row],[Currency]]=$O$2,$P$2,HLOOKUP(Table2[[#This Row],[Date]],Funds!$C$10:$GV$11,2,FALSE)))</f>
        <v/>
      </c>
      <c r="J1759" s="215" t="str">
        <f>IF(Table2[[#This Row],[Description]]="","",Table2[[#This Row],[Value]]/Table2[[#This Row],[Conversion]])</f>
        <v/>
      </c>
      <c r="K1759" s="45" t="str">
        <f>IF(Table2[[#This Row],[Description]]="","",DATE(Table2[[#This Row],[Year]],Table2[[#This Row],[Month]],1))</f>
        <v/>
      </c>
    </row>
    <row r="1760" spans="7:11" x14ac:dyDescent="0.25">
      <c r="G1760" s="1" t="str">
        <f>IF(Table2[[#This Row],[Description]]="","",VLOOKUP(Table2[[#This Row],[Description]],$Q$1:$S$101,2,FALSE))</f>
        <v/>
      </c>
      <c r="H1760" s="1" t="str">
        <f>IF(Table2[[#This Row],[Description]]="","",VLOOKUP(Table2[[#This Row],[Description]],$Q$1:$S$101,3,FALSE))</f>
        <v/>
      </c>
      <c r="I1760" s="1" t="str">
        <f>IF(Table2[[#This Row],[Description]]="","",IF(Table2[[#This Row],[Currency]]=$O$2,$P$2,HLOOKUP(Table2[[#This Row],[Date]],Funds!$C$10:$GV$11,2,FALSE)))</f>
        <v/>
      </c>
      <c r="J1760" s="215" t="str">
        <f>IF(Table2[[#This Row],[Description]]="","",Table2[[#This Row],[Value]]/Table2[[#This Row],[Conversion]])</f>
        <v/>
      </c>
      <c r="K1760" s="45" t="str">
        <f>IF(Table2[[#This Row],[Description]]="","",DATE(Table2[[#This Row],[Year]],Table2[[#This Row],[Month]],1))</f>
        <v/>
      </c>
    </row>
    <row r="1761" spans="7:11" x14ac:dyDescent="0.25">
      <c r="G1761" s="1" t="str">
        <f>IF(Table2[[#This Row],[Description]]="","",VLOOKUP(Table2[[#This Row],[Description]],$Q$1:$S$101,2,FALSE))</f>
        <v/>
      </c>
      <c r="H1761" s="1" t="str">
        <f>IF(Table2[[#This Row],[Description]]="","",VLOOKUP(Table2[[#This Row],[Description]],$Q$1:$S$101,3,FALSE))</f>
        <v/>
      </c>
      <c r="I1761" s="1" t="str">
        <f>IF(Table2[[#This Row],[Description]]="","",IF(Table2[[#This Row],[Currency]]=$O$2,$P$2,HLOOKUP(Table2[[#This Row],[Date]],Funds!$C$10:$GV$11,2,FALSE)))</f>
        <v/>
      </c>
      <c r="J1761" s="215" t="str">
        <f>IF(Table2[[#This Row],[Description]]="","",Table2[[#This Row],[Value]]/Table2[[#This Row],[Conversion]])</f>
        <v/>
      </c>
      <c r="K1761" s="45" t="str">
        <f>IF(Table2[[#This Row],[Description]]="","",DATE(Table2[[#This Row],[Year]],Table2[[#This Row],[Month]],1))</f>
        <v/>
      </c>
    </row>
    <row r="1762" spans="7:11" x14ac:dyDescent="0.25">
      <c r="G1762" s="1" t="str">
        <f>IF(Table2[[#This Row],[Description]]="","",VLOOKUP(Table2[[#This Row],[Description]],$Q$1:$S$101,2,FALSE))</f>
        <v/>
      </c>
      <c r="H1762" s="1" t="str">
        <f>IF(Table2[[#This Row],[Description]]="","",VLOOKUP(Table2[[#This Row],[Description]],$Q$1:$S$101,3,FALSE))</f>
        <v/>
      </c>
      <c r="I1762" s="1" t="str">
        <f>IF(Table2[[#This Row],[Description]]="","",IF(Table2[[#This Row],[Currency]]=$O$2,$P$2,HLOOKUP(Table2[[#This Row],[Date]],Funds!$C$10:$GV$11,2,FALSE)))</f>
        <v/>
      </c>
      <c r="J1762" s="215" t="str">
        <f>IF(Table2[[#This Row],[Description]]="","",Table2[[#This Row],[Value]]/Table2[[#This Row],[Conversion]])</f>
        <v/>
      </c>
      <c r="K1762" s="45" t="str">
        <f>IF(Table2[[#This Row],[Description]]="","",DATE(Table2[[#This Row],[Year]],Table2[[#This Row],[Month]],1))</f>
        <v/>
      </c>
    </row>
    <row r="1763" spans="7:11" x14ac:dyDescent="0.25">
      <c r="G1763" s="1" t="str">
        <f>IF(Table2[[#This Row],[Description]]="","",VLOOKUP(Table2[[#This Row],[Description]],$Q$1:$S$101,2,FALSE))</f>
        <v/>
      </c>
      <c r="H1763" s="1" t="str">
        <f>IF(Table2[[#This Row],[Description]]="","",VLOOKUP(Table2[[#This Row],[Description]],$Q$1:$S$101,3,FALSE))</f>
        <v/>
      </c>
      <c r="I1763" s="1" t="str">
        <f>IF(Table2[[#This Row],[Description]]="","",IF(Table2[[#This Row],[Currency]]=$O$2,$P$2,HLOOKUP(Table2[[#This Row],[Date]],Funds!$C$10:$GV$11,2,FALSE)))</f>
        <v/>
      </c>
      <c r="J1763" s="215" t="str">
        <f>IF(Table2[[#This Row],[Description]]="","",Table2[[#This Row],[Value]]/Table2[[#This Row],[Conversion]])</f>
        <v/>
      </c>
      <c r="K1763" s="45" t="str">
        <f>IF(Table2[[#This Row],[Description]]="","",DATE(Table2[[#This Row],[Year]],Table2[[#This Row],[Month]],1))</f>
        <v/>
      </c>
    </row>
    <row r="1764" spans="7:11" x14ac:dyDescent="0.25">
      <c r="G1764" s="1" t="str">
        <f>IF(Table2[[#This Row],[Description]]="","",VLOOKUP(Table2[[#This Row],[Description]],$Q$1:$S$101,2,FALSE))</f>
        <v/>
      </c>
      <c r="H1764" s="1" t="str">
        <f>IF(Table2[[#This Row],[Description]]="","",VLOOKUP(Table2[[#This Row],[Description]],$Q$1:$S$101,3,FALSE))</f>
        <v/>
      </c>
      <c r="I1764" s="1" t="str">
        <f>IF(Table2[[#This Row],[Description]]="","",IF(Table2[[#This Row],[Currency]]=$O$2,$P$2,HLOOKUP(Table2[[#This Row],[Date]],Funds!$C$10:$GV$11,2,FALSE)))</f>
        <v/>
      </c>
      <c r="J1764" s="215" t="str">
        <f>IF(Table2[[#This Row],[Description]]="","",Table2[[#This Row],[Value]]/Table2[[#This Row],[Conversion]])</f>
        <v/>
      </c>
      <c r="K1764" s="45" t="str">
        <f>IF(Table2[[#This Row],[Description]]="","",DATE(Table2[[#This Row],[Year]],Table2[[#This Row],[Month]],1))</f>
        <v/>
      </c>
    </row>
    <row r="1765" spans="7:11" x14ac:dyDescent="0.25">
      <c r="G1765" s="1" t="str">
        <f>IF(Table2[[#This Row],[Description]]="","",VLOOKUP(Table2[[#This Row],[Description]],$Q$1:$S$101,2,FALSE))</f>
        <v/>
      </c>
      <c r="H1765" s="1" t="str">
        <f>IF(Table2[[#This Row],[Description]]="","",VLOOKUP(Table2[[#This Row],[Description]],$Q$1:$S$101,3,FALSE))</f>
        <v/>
      </c>
      <c r="I1765" s="1" t="str">
        <f>IF(Table2[[#This Row],[Description]]="","",IF(Table2[[#This Row],[Currency]]=$O$2,$P$2,HLOOKUP(Table2[[#This Row],[Date]],Funds!$C$10:$GV$11,2,FALSE)))</f>
        <v/>
      </c>
      <c r="J1765" s="215" t="str">
        <f>IF(Table2[[#This Row],[Description]]="","",Table2[[#This Row],[Value]]/Table2[[#This Row],[Conversion]])</f>
        <v/>
      </c>
      <c r="K1765" s="45" t="str">
        <f>IF(Table2[[#This Row],[Description]]="","",DATE(Table2[[#This Row],[Year]],Table2[[#This Row],[Month]],1))</f>
        <v/>
      </c>
    </row>
    <row r="1766" spans="7:11" x14ac:dyDescent="0.25">
      <c r="G1766" s="1" t="str">
        <f>IF(Table2[[#This Row],[Description]]="","",VLOOKUP(Table2[[#This Row],[Description]],$Q$1:$S$101,2,FALSE))</f>
        <v/>
      </c>
      <c r="H1766" s="1" t="str">
        <f>IF(Table2[[#This Row],[Description]]="","",VLOOKUP(Table2[[#This Row],[Description]],$Q$1:$S$101,3,FALSE))</f>
        <v/>
      </c>
      <c r="I1766" s="1" t="str">
        <f>IF(Table2[[#This Row],[Description]]="","",IF(Table2[[#This Row],[Currency]]=$O$2,$P$2,HLOOKUP(Table2[[#This Row],[Date]],Funds!$C$10:$GV$11,2,FALSE)))</f>
        <v/>
      </c>
      <c r="J1766" s="215" t="str">
        <f>IF(Table2[[#This Row],[Description]]="","",Table2[[#This Row],[Value]]/Table2[[#This Row],[Conversion]])</f>
        <v/>
      </c>
      <c r="K1766" s="45" t="str">
        <f>IF(Table2[[#This Row],[Description]]="","",DATE(Table2[[#This Row],[Year]],Table2[[#This Row],[Month]],1))</f>
        <v/>
      </c>
    </row>
    <row r="1767" spans="7:11" x14ac:dyDescent="0.25">
      <c r="G1767" s="1" t="str">
        <f>IF(Table2[[#This Row],[Description]]="","",VLOOKUP(Table2[[#This Row],[Description]],$Q$1:$S$101,2,FALSE))</f>
        <v/>
      </c>
      <c r="H1767" s="1" t="str">
        <f>IF(Table2[[#This Row],[Description]]="","",VLOOKUP(Table2[[#This Row],[Description]],$Q$1:$S$101,3,FALSE))</f>
        <v/>
      </c>
      <c r="I1767" s="1" t="str">
        <f>IF(Table2[[#This Row],[Description]]="","",IF(Table2[[#This Row],[Currency]]=$O$2,$P$2,HLOOKUP(Table2[[#This Row],[Date]],Funds!$C$10:$GV$11,2,FALSE)))</f>
        <v/>
      </c>
      <c r="J1767" s="215" t="str">
        <f>IF(Table2[[#This Row],[Description]]="","",Table2[[#This Row],[Value]]/Table2[[#This Row],[Conversion]])</f>
        <v/>
      </c>
      <c r="K1767" s="45" t="str">
        <f>IF(Table2[[#This Row],[Description]]="","",DATE(Table2[[#This Row],[Year]],Table2[[#This Row],[Month]],1))</f>
        <v/>
      </c>
    </row>
    <row r="1768" spans="7:11" x14ac:dyDescent="0.25">
      <c r="G1768" s="1" t="str">
        <f>IF(Table2[[#This Row],[Description]]="","",VLOOKUP(Table2[[#This Row],[Description]],$Q$1:$S$101,2,FALSE))</f>
        <v/>
      </c>
      <c r="H1768" s="1" t="str">
        <f>IF(Table2[[#This Row],[Description]]="","",VLOOKUP(Table2[[#This Row],[Description]],$Q$1:$S$101,3,FALSE))</f>
        <v/>
      </c>
      <c r="I1768" s="1" t="str">
        <f>IF(Table2[[#This Row],[Description]]="","",IF(Table2[[#This Row],[Currency]]=$O$2,$P$2,HLOOKUP(Table2[[#This Row],[Date]],Funds!$C$10:$GV$11,2,FALSE)))</f>
        <v/>
      </c>
      <c r="J1768" s="215" t="str">
        <f>IF(Table2[[#This Row],[Description]]="","",Table2[[#This Row],[Value]]/Table2[[#This Row],[Conversion]])</f>
        <v/>
      </c>
      <c r="K1768" s="45" t="str">
        <f>IF(Table2[[#This Row],[Description]]="","",DATE(Table2[[#This Row],[Year]],Table2[[#This Row],[Month]],1))</f>
        <v/>
      </c>
    </row>
    <row r="1769" spans="7:11" x14ac:dyDescent="0.25">
      <c r="G1769" s="1" t="str">
        <f>IF(Table2[[#This Row],[Description]]="","",VLOOKUP(Table2[[#This Row],[Description]],$Q$1:$S$101,2,FALSE))</f>
        <v/>
      </c>
      <c r="H1769" s="1" t="str">
        <f>IF(Table2[[#This Row],[Description]]="","",VLOOKUP(Table2[[#This Row],[Description]],$Q$1:$S$101,3,FALSE))</f>
        <v/>
      </c>
      <c r="I1769" s="1" t="str">
        <f>IF(Table2[[#This Row],[Description]]="","",IF(Table2[[#This Row],[Currency]]=$O$2,$P$2,HLOOKUP(Table2[[#This Row],[Date]],Funds!$C$10:$GV$11,2,FALSE)))</f>
        <v/>
      </c>
      <c r="J1769" s="215" t="str">
        <f>IF(Table2[[#This Row],[Description]]="","",Table2[[#This Row],[Value]]/Table2[[#This Row],[Conversion]])</f>
        <v/>
      </c>
      <c r="K1769" s="45" t="str">
        <f>IF(Table2[[#This Row],[Description]]="","",DATE(Table2[[#This Row],[Year]],Table2[[#This Row],[Month]],1))</f>
        <v/>
      </c>
    </row>
    <row r="1770" spans="7:11" x14ac:dyDescent="0.25">
      <c r="G1770" s="1" t="str">
        <f>IF(Table2[[#This Row],[Description]]="","",VLOOKUP(Table2[[#This Row],[Description]],$Q$1:$S$101,2,FALSE))</f>
        <v/>
      </c>
      <c r="H1770" s="1" t="str">
        <f>IF(Table2[[#This Row],[Description]]="","",VLOOKUP(Table2[[#This Row],[Description]],$Q$1:$S$101,3,FALSE))</f>
        <v/>
      </c>
      <c r="I1770" s="1" t="str">
        <f>IF(Table2[[#This Row],[Description]]="","",IF(Table2[[#This Row],[Currency]]=$O$2,$P$2,HLOOKUP(Table2[[#This Row],[Date]],Funds!$C$10:$GV$11,2,FALSE)))</f>
        <v/>
      </c>
      <c r="J1770" s="215" t="str">
        <f>IF(Table2[[#This Row],[Description]]="","",Table2[[#This Row],[Value]]/Table2[[#This Row],[Conversion]])</f>
        <v/>
      </c>
      <c r="K1770" s="45" t="str">
        <f>IF(Table2[[#This Row],[Description]]="","",DATE(Table2[[#This Row],[Year]],Table2[[#This Row],[Month]],1))</f>
        <v/>
      </c>
    </row>
    <row r="1771" spans="7:11" x14ac:dyDescent="0.25">
      <c r="G1771" s="1" t="str">
        <f>IF(Table2[[#This Row],[Description]]="","",VLOOKUP(Table2[[#This Row],[Description]],$Q$1:$S$101,2,FALSE))</f>
        <v/>
      </c>
      <c r="H1771" s="1" t="str">
        <f>IF(Table2[[#This Row],[Description]]="","",VLOOKUP(Table2[[#This Row],[Description]],$Q$1:$S$101,3,FALSE))</f>
        <v/>
      </c>
      <c r="I1771" s="1" t="str">
        <f>IF(Table2[[#This Row],[Description]]="","",IF(Table2[[#This Row],[Currency]]=$O$2,$P$2,HLOOKUP(Table2[[#This Row],[Date]],Funds!$C$10:$GV$11,2,FALSE)))</f>
        <v/>
      </c>
      <c r="J1771" s="215" t="str">
        <f>IF(Table2[[#This Row],[Description]]="","",Table2[[#This Row],[Value]]/Table2[[#This Row],[Conversion]])</f>
        <v/>
      </c>
      <c r="K1771" s="45" t="str">
        <f>IF(Table2[[#This Row],[Description]]="","",DATE(Table2[[#This Row],[Year]],Table2[[#This Row],[Month]],1))</f>
        <v/>
      </c>
    </row>
    <row r="1772" spans="7:11" x14ac:dyDescent="0.25">
      <c r="G1772" s="1" t="str">
        <f>IF(Table2[[#This Row],[Description]]="","",VLOOKUP(Table2[[#This Row],[Description]],$Q$1:$S$101,2,FALSE))</f>
        <v/>
      </c>
      <c r="H1772" s="1" t="str">
        <f>IF(Table2[[#This Row],[Description]]="","",VLOOKUP(Table2[[#This Row],[Description]],$Q$1:$S$101,3,FALSE))</f>
        <v/>
      </c>
      <c r="I1772" s="1" t="str">
        <f>IF(Table2[[#This Row],[Description]]="","",IF(Table2[[#This Row],[Currency]]=$O$2,$P$2,HLOOKUP(Table2[[#This Row],[Date]],Funds!$C$10:$GV$11,2,FALSE)))</f>
        <v/>
      </c>
      <c r="J1772" s="215" t="str">
        <f>IF(Table2[[#This Row],[Description]]="","",Table2[[#This Row],[Value]]/Table2[[#This Row],[Conversion]])</f>
        <v/>
      </c>
      <c r="K1772" s="45" t="str">
        <f>IF(Table2[[#This Row],[Description]]="","",DATE(Table2[[#This Row],[Year]],Table2[[#This Row],[Month]],1))</f>
        <v/>
      </c>
    </row>
    <row r="1773" spans="7:11" x14ac:dyDescent="0.25">
      <c r="G1773" s="1" t="str">
        <f>IF(Table2[[#This Row],[Description]]="","",VLOOKUP(Table2[[#This Row],[Description]],$Q$1:$S$101,2,FALSE))</f>
        <v/>
      </c>
      <c r="H1773" s="1" t="str">
        <f>IF(Table2[[#This Row],[Description]]="","",VLOOKUP(Table2[[#This Row],[Description]],$Q$1:$S$101,3,FALSE))</f>
        <v/>
      </c>
      <c r="I1773" s="1" t="str">
        <f>IF(Table2[[#This Row],[Description]]="","",IF(Table2[[#This Row],[Currency]]=$O$2,$P$2,HLOOKUP(Table2[[#This Row],[Date]],Funds!$C$10:$GV$11,2,FALSE)))</f>
        <v/>
      </c>
      <c r="J1773" s="215" t="str">
        <f>IF(Table2[[#This Row],[Description]]="","",Table2[[#This Row],[Value]]/Table2[[#This Row],[Conversion]])</f>
        <v/>
      </c>
      <c r="K1773" s="45" t="str">
        <f>IF(Table2[[#This Row],[Description]]="","",DATE(Table2[[#This Row],[Year]],Table2[[#This Row],[Month]],1))</f>
        <v/>
      </c>
    </row>
    <row r="1774" spans="7:11" x14ac:dyDescent="0.25">
      <c r="G1774" s="1" t="str">
        <f>IF(Table2[[#This Row],[Description]]="","",VLOOKUP(Table2[[#This Row],[Description]],$Q$1:$S$101,2,FALSE))</f>
        <v/>
      </c>
      <c r="H1774" s="1" t="str">
        <f>IF(Table2[[#This Row],[Description]]="","",VLOOKUP(Table2[[#This Row],[Description]],$Q$1:$S$101,3,FALSE))</f>
        <v/>
      </c>
      <c r="I1774" s="1" t="str">
        <f>IF(Table2[[#This Row],[Description]]="","",IF(Table2[[#This Row],[Currency]]=$O$2,$P$2,HLOOKUP(Table2[[#This Row],[Date]],Funds!$C$10:$GV$11,2,FALSE)))</f>
        <v/>
      </c>
      <c r="J1774" s="215" t="str">
        <f>IF(Table2[[#This Row],[Description]]="","",Table2[[#This Row],[Value]]/Table2[[#This Row],[Conversion]])</f>
        <v/>
      </c>
      <c r="K1774" s="45" t="str">
        <f>IF(Table2[[#This Row],[Description]]="","",DATE(Table2[[#This Row],[Year]],Table2[[#This Row],[Month]],1))</f>
        <v/>
      </c>
    </row>
    <row r="1775" spans="7:11" x14ac:dyDescent="0.25">
      <c r="G1775" s="1" t="str">
        <f>IF(Table2[[#This Row],[Description]]="","",VLOOKUP(Table2[[#This Row],[Description]],$Q$1:$S$101,2,FALSE))</f>
        <v/>
      </c>
      <c r="H1775" s="1" t="str">
        <f>IF(Table2[[#This Row],[Description]]="","",VLOOKUP(Table2[[#This Row],[Description]],$Q$1:$S$101,3,FALSE))</f>
        <v/>
      </c>
      <c r="I1775" s="1" t="str">
        <f>IF(Table2[[#This Row],[Description]]="","",IF(Table2[[#This Row],[Currency]]=$O$2,$P$2,HLOOKUP(Table2[[#This Row],[Date]],Funds!$C$10:$GV$11,2,FALSE)))</f>
        <v/>
      </c>
      <c r="J1775" s="215" t="str">
        <f>IF(Table2[[#This Row],[Description]]="","",Table2[[#This Row],[Value]]/Table2[[#This Row],[Conversion]])</f>
        <v/>
      </c>
      <c r="K1775" s="45" t="str">
        <f>IF(Table2[[#This Row],[Description]]="","",DATE(Table2[[#This Row],[Year]],Table2[[#This Row],[Month]],1))</f>
        <v/>
      </c>
    </row>
    <row r="1776" spans="7:11" x14ac:dyDescent="0.25">
      <c r="G1776" s="1" t="str">
        <f>IF(Table2[[#This Row],[Description]]="","",VLOOKUP(Table2[[#This Row],[Description]],$Q$1:$S$101,2,FALSE))</f>
        <v/>
      </c>
      <c r="H1776" s="1" t="str">
        <f>IF(Table2[[#This Row],[Description]]="","",VLOOKUP(Table2[[#This Row],[Description]],$Q$1:$S$101,3,FALSE))</f>
        <v/>
      </c>
      <c r="I1776" s="1" t="str">
        <f>IF(Table2[[#This Row],[Description]]="","",IF(Table2[[#This Row],[Currency]]=$O$2,$P$2,HLOOKUP(Table2[[#This Row],[Date]],Funds!$C$10:$GV$11,2,FALSE)))</f>
        <v/>
      </c>
      <c r="J1776" s="215" t="str">
        <f>IF(Table2[[#This Row],[Description]]="","",Table2[[#This Row],[Value]]/Table2[[#This Row],[Conversion]])</f>
        <v/>
      </c>
      <c r="K1776" s="45" t="str">
        <f>IF(Table2[[#This Row],[Description]]="","",DATE(Table2[[#This Row],[Year]],Table2[[#This Row],[Month]],1))</f>
        <v/>
      </c>
    </row>
    <row r="1777" spans="7:11" x14ac:dyDescent="0.25">
      <c r="G1777" s="1" t="str">
        <f>IF(Table2[[#This Row],[Description]]="","",VLOOKUP(Table2[[#This Row],[Description]],$Q$1:$S$101,2,FALSE))</f>
        <v/>
      </c>
      <c r="H1777" s="1" t="str">
        <f>IF(Table2[[#This Row],[Description]]="","",VLOOKUP(Table2[[#This Row],[Description]],$Q$1:$S$101,3,FALSE))</f>
        <v/>
      </c>
      <c r="I1777" s="1" t="str">
        <f>IF(Table2[[#This Row],[Description]]="","",IF(Table2[[#This Row],[Currency]]=$O$2,$P$2,HLOOKUP(Table2[[#This Row],[Date]],Funds!$C$10:$GV$11,2,FALSE)))</f>
        <v/>
      </c>
      <c r="J1777" s="215" t="str">
        <f>IF(Table2[[#This Row],[Description]]="","",Table2[[#This Row],[Value]]/Table2[[#This Row],[Conversion]])</f>
        <v/>
      </c>
      <c r="K1777" s="45" t="str">
        <f>IF(Table2[[#This Row],[Description]]="","",DATE(Table2[[#This Row],[Year]],Table2[[#This Row],[Month]],1))</f>
        <v/>
      </c>
    </row>
    <row r="1778" spans="7:11" x14ac:dyDescent="0.25">
      <c r="G1778" s="1" t="str">
        <f>IF(Table2[[#This Row],[Description]]="","",VLOOKUP(Table2[[#This Row],[Description]],$Q$1:$S$101,2,FALSE))</f>
        <v/>
      </c>
      <c r="H1778" s="1" t="str">
        <f>IF(Table2[[#This Row],[Description]]="","",VLOOKUP(Table2[[#This Row],[Description]],$Q$1:$S$101,3,FALSE))</f>
        <v/>
      </c>
      <c r="I1778" s="1" t="str">
        <f>IF(Table2[[#This Row],[Description]]="","",IF(Table2[[#This Row],[Currency]]=$O$2,$P$2,HLOOKUP(Table2[[#This Row],[Date]],Funds!$C$10:$GV$11,2,FALSE)))</f>
        <v/>
      </c>
      <c r="J1778" s="215" t="str">
        <f>IF(Table2[[#This Row],[Description]]="","",Table2[[#This Row],[Value]]/Table2[[#This Row],[Conversion]])</f>
        <v/>
      </c>
      <c r="K1778" s="45" t="str">
        <f>IF(Table2[[#This Row],[Description]]="","",DATE(Table2[[#This Row],[Year]],Table2[[#This Row],[Month]],1))</f>
        <v/>
      </c>
    </row>
    <row r="1779" spans="7:11" x14ac:dyDescent="0.25">
      <c r="G1779" s="1" t="str">
        <f>IF(Table2[[#This Row],[Description]]="","",VLOOKUP(Table2[[#This Row],[Description]],$Q$1:$S$101,2,FALSE))</f>
        <v/>
      </c>
      <c r="H1779" s="1" t="str">
        <f>IF(Table2[[#This Row],[Description]]="","",VLOOKUP(Table2[[#This Row],[Description]],$Q$1:$S$101,3,FALSE))</f>
        <v/>
      </c>
      <c r="I1779" s="1" t="str">
        <f>IF(Table2[[#This Row],[Description]]="","",IF(Table2[[#This Row],[Currency]]=$O$2,$P$2,HLOOKUP(Table2[[#This Row],[Date]],Funds!$C$10:$GV$11,2,FALSE)))</f>
        <v/>
      </c>
      <c r="J1779" s="215" t="str">
        <f>IF(Table2[[#This Row],[Description]]="","",Table2[[#This Row],[Value]]/Table2[[#This Row],[Conversion]])</f>
        <v/>
      </c>
      <c r="K1779" s="45" t="str">
        <f>IF(Table2[[#This Row],[Description]]="","",DATE(Table2[[#This Row],[Year]],Table2[[#This Row],[Month]],1))</f>
        <v/>
      </c>
    </row>
    <row r="1780" spans="7:11" x14ac:dyDescent="0.25">
      <c r="G1780" s="1" t="str">
        <f>IF(Table2[[#This Row],[Description]]="","",VLOOKUP(Table2[[#This Row],[Description]],$Q$1:$S$101,2,FALSE))</f>
        <v/>
      </c>
      <c r="H1780" s="1" t="str">
        <f>IF(Table2[[#This Row],[Description]]="","",VLOOKUP(Table2[[#This Row],[Description]],$Q$1:$S$101,3,FALSE))</f>
        <v/>
      </c>
      <c r="I1780" s="1" t="str">
        <f>IF(Table2[[#This Row],[Description]]="","",IF(Table2[[#This Row],[Currency]]=$O$2,$P$2,HLOOKUP(Table2[[#This Row],[Date]],Funds!$C$10:$GV$11,2,FALSE)))</f>
        <v/>
      </c>
      <c r="J1780" s="215" t="str">
        <f>IF(Table2[[#This Row],[Description]]="","",Table2[[#This Row],[Value]]/Table2[[#This Row],[Conversion]])</f>
        <v/>
      </c>
      <c r="K1780" s="45" t="str">
        <f>IF(Table2[[#This Row],[Description]]="","",DATE(Table2[[#This Row],[Year]],Table2[[#This Row],[Month]],1))</f>
        <v/>
      </c>
    </row>
    <row r="1781" spans="7:11" x14ac:dyDescent="0.25">
      <c r="G1781" s="1" t="str">
        <f>IF(Table2[[#This Row],[Description]]="","",VLOOKUP(Table2[[#This Row],[Description]],$Q$1:$S$101,2,FALSE))</f>
        <v/>
      </c>
      <c r="H1781" s="1" t="str">
        <f>IF(Table2[[#This Row],[Description]]="","",VLOOKUP(Table2[[#This Row],[Description]],$Q$1:$S$101,3,FALSE))</f>
        <v/>
      </c>
      <c r="I1781" s="1" t="str">
        <f>IF(Table2[[#This Row],[Description]]="","",IF(Table2[[#This Row],[Currency]]=$O$2,$P$2,HLOOKUP(Table2[[#This Row],[Date]],Funds!$C$10:$GV$11,2,FALSE)))</f>
        <v/>
      </c>
      <c r="J1781" s="215" t="str">
        <f>IF(Table2[[#This Row],[Description]]="","",Table2[[#This Row],[Value]]/Table2[[#This Row],[Conversion]])</f>
        <v/>
      </c>
      <c r="K1781" s="45" t="str">
        <f>IF(Table2[[#This Row],[Description]]="","",DATE(Table2[[#This Row],[Year]],Table2[[#This Row],[Month]],1))</f>
        <v/>
      </c>
    </row>
    <row r="1782" spans="7:11" x14ac:dyDescent="0.25">
      <c r="G1782" s="1" t="str">
        <f>IF(Table2[[#This Row],[Description]]="","",VLOOKUP(Table2[[#This Row],[Description]],$Q$1:$S$101,2,FALSE))</f>
        <v/>
      </c>
      <c r="H1782" s="1" t="str">
        <f>IF(Table2[[#This Row],[Description]]="","",VLOOKUP(Table2[[#This Row],[Description]],$Q$1:$S$101,3,FALSE))</f>
        <v/>
      </c>
      <c r="I1782" s="1" t="str">
        <f>IF(Table2[[#This Row],[Description]]="","",IF(Table2[[#This Row],[Currency]]=$O$2,$P$2,HLOOKUP(Table2[[#This Row],[Date]],Funds!$C$10:$GV$11,2,FALSE)))</f>
        <v/>
      </c>
      <c r="J1782" s="215" t="str">
        <f>IF(Table2[[#This Row],[Description]]="","",Table2[[#This Row],[Value]]/Table2[[#This Row],[Conversion]])</f>
        <v/>
      </c>
      <c r="K1782" s="45" t="str">
        <f>IF(Table2[[#This Row],[Description]]="","",DATE(Table2[[#This Row],[Year]],Table2[[#This Row],[Month]],1))</f>
        <v/>
      </c>
    </row>
    <row r="1783" spans="7:11" x14ac:dyDescent="0.25">
      <c r="G1783" s="1" t="str">
        <f>IF(Table2[[#This Row],[Description]]="","",VLOOKUP(Table2[[#This Row],[Description]],$Q$1:$S$101,2,FALSE))</f>
        <v/>
      </c>
      <c r="H1783" s="1" t="str">
        <f>IF(Table2[[#This Row],[Description]]="","",VLOOKUP(Table2[[#This Row],[Description]],$Q$1:$S$101,3,FALSE))</f>
        <v/>
      </c>
      <c r="I1783" s="1" t="str">
        <f>IF(Table2[[#This Row],[Description]]="","",IF(Table2[[#This Row],[Currency]]=$O$2,$P$2,HLOOKUP(Table2[[#This Row],[Date]],Funds!$C$10:$GV$11,2,FALSE)))</f>
        <v/>
      </c>
      <c r="J1783" s="215" t="str">
        <f>IF(Table2[[#This Row],[Description]]="","",Table2[[#This Row],[Value]]/Table2[[#This Row],[Conversion]])</f>
        <v/>
      </c>
      <c r="K1783" s="45" t="str">
        <f>IF(Table2[[#This Row],[Description]]="","",DATE(Table2[[#This Row],[Year]],Table2[[#This Row],[Month]],1))</f>
        <v/>
      </c>
    </row>
    <row r="1784" spans="7:11" x14ac:dyDescent="0.25">
      <c r="G1784" s="1" t="str">
        <f>IF(Table2[[#This Row],[Description]]="","",VLOOKUP(Table2[[#This Row],[Description]],$Q$1:$S$101,2,FALSE))</f>
        <v/>
      </c>
      <c r="H1784" s="1" t="str">
        <f>IF(Table2[[#This Row],[Description]]="","",VLOOKUP(Table2[[#This Row],[Description]],$Q$1:$S$101,3,FALSE))</f>
        <v/>
      </c>
      <c r="I1784" s="1" t="str">
        <f>IF(Table2[[#This Row],[Description]]="","",IF(Table2[[#This Row],[Currency]]=$O$2,$P$2,HLOOKUP(Table2[[#This Row],[Date]],Funds!$C$10:$GV$11,2,FALSE)))</f>
        <v/>
      </c>
      <c r="J1784" s="215" t="str">
        <f>IF(Table2[[#This Row],[Description]]="","",Table2[[#This Row],[Value]]/Table2[[#This Row],[Conversion]])</f>
        <v/>
      </c>
      <c r="K1784" s="45" t="str">
        <f>IF(Table2[[#This Row],[Description]]="","",DATE(Table2[[#This Row],[Year]],Table2[[#This Row],[Month]],1))</f>
        <v/>
      </c>
    </row>
    <row r="1785" spans="7:11" x14ac:dyDescent="0.25">
      <c r="G1785" s="1" t="str">
        <f>IF(Table2[[#This Row],[Description]]="","",VLOOKUP(Table2[[#This Row],[Description]],$Q$1:$S$101,2,FALSE))</f>
        <v/>
      </c>
      <c r="H1785" s="1" t="str">
        <f>IF(Table2[[#This Row],[Description]]="","",VLOOKUP(Table2[[#This Row],[Description]],$Q$1:$S$101,3,FALSE))</f>
        <v/>
      </c>
      <c r="I1785" s="1" t="str">
        <f>IF(Table2[[#This Row],[Description]]="","",IF(Table2[[#This Row],[Currency]]=$O$2,$P$2,HLOOKUP(Table2[[#This Row],[Date]],Funds!$C$10:$GV$11,2,FALSE)))</f>
        <v/>
      </c>
      <c r="J1785" s="215" t="str">
        <f>IF(Table2[[#This Row],[Description]]="","",Table2[[#This Row],[Value]]/Table2[[#This Row],[Conversion]])</f>
        <v/>
      </c>
      <c r="K1785" s="45" t="str">
        <f>IF(Table2[[#This Row],[Description]]="","",DATE(Table2[[#This Row],[Year]],Table2[[#This Row],[Month]],1))</f>
        <v/>
      </c>
    </row>
    <row r="1786" spans="7:11" x14ac:dyDescent="0.25">
      <c r="G1786" s="1" t="str">
        <f>IF(Table2[[#This Row],[Description]]="","",VLOOKUP(Table2[[#This Row],[Description]],$Q$1:$S$101,2,FALSE))</f>
        <v/>
      </c>
      <c r="H1786" s="1" t="str">
        <f>IF(Table2[[#This Row],[Description]]="","",VLOOKUP(Table2[[#This Row],[Description]],$Q$1:$S$101,3,FALSE))</f>
        <v/>
      </c>
      <c r="I1786" s="1" t="str">
        <f>IF(Table2[[#This Row],[Description]]="","",IF(Table2[[#This Row],[Currency]]=$O$2,$P$2,HLOOKUP(Table2[[#This Row],[Date]],Funds!$C$10:$GV$11,2,FALSE)))</f>
        <v/>
      </c>
      <c r="J1786" s="215" t="str">
        <f>IF(Table2[[#This Row],[Description]]="","",Table2[[#This Row],[Value]]/Table2[[#This Row],[Conversion]])</f>
        <v/>
      </c>
      <c r="K1786" s="45" t="str">
        <f>IF(Table2[[#This Row],[Description]]="","",DATE(Table2[[#This Row],[Year]],Table2[[#This Row],[Month]],1))</f>
        <v/>
      </c>
    </row>
    <row r="1787" spans="7:11" x14ac:dyDescent="0.25">
      <c r="G1787" s="1" t="str">
        <f>IF(Table2[[#This Row],[Description]]="","",VLOOKUP(Table2[[#This Row],[Description]],$Q$1:$S$101,2,FALSE))</f>
        <v/>
      </c>
      <c r="H1787" s="1" t="str">
        <f>IF(Table2[[#This Row],[Description]]="","",VLOOKUP(Table2[[#This Row],[Description]],$Q$1:$S$101,3,FALSE))</f>
        <v/>
      </c>
      <c r="I1787" s="1" t="str">
        <f>IF(Table2[[#This Row],[Description]]="","",IF(Table2[[#This Row],[Currency]]=$O$2,$P$2,HLOOKUP(Table2[[#This Row],[Date]],Funds!$C$10:$GV$11,2,FALSE)))</f>
        <v/>
      </c>
      <c r="J1787" s="215" t="str">
        <f>IF(Table2[[#This Row],[Description]]="","",Table2[[#This Row],[Value]]/Table2[[#This Row],[Conversion]])</f>
        <v/>
      </c>
      <c r="K1787" s="45" t="str">
        <f>IF(Table2[[#This Row],[Description]]="","",DATE(Table2[[#This Row],[Year]],Table2[[#This Row],[Month]],1))</f>
        <v/>
      </c>
    </row>
    <row r="1788" spans="7:11" x14ac:dyDescent="0.25">
      <c r="G1788" s="1" t="str">
        <f>IF(Table2[[#This Row],[Description]]="","",VLOOKUP(Table2[[#This Row],[Description]],$Q$1:$S$101,2,FALSE))</f>
        <v/>
      </c>
      <c r="H1788" s="1" t="str">
        <f>IF(Table2[[#This Row],[Description]]="","",VLOOKUP(Table2[[#This Row],[Description]],$Q$1:$S$101,3,FALSE))</f>
        <v/>
      </c>
      <c r="I1788" s="1" t="str">
        <f>IF(Table2[[#This Row],[Description]]="","",IF(Table2[[#This Row],[Currency]]=$O$2,$P$2,HLOOKUP(Table2[[#This Row],[Date]],Funds!$C$10:$GV$11,2,FALSE)))</f>
        <v/>
      </c>
      <c r="J1788" s="215" t="str">
        <f>IF(Table2[[#This Row],[Description]]="","",Table2[[#This Row],[Value]]/Table2[[#This Row],[Conversion]])</f>
        <v/>
      </c>
      <c r="K1788" s="45" t="str">
        <f>IF(Table2[[#This Row],[Description]]="","",DATE(Table2[[#This Row],[Year]],Table2[[#This Row],[Month]],1))</f>
        <v/>
      </c>
    </row>
    <row r="1789" spans="7:11" x14ac:dyDescent="0.25">
      <c r="G1789" s="1" t="str">
        <f>IF(Table2[[#This Row],[Description]]="","",VLOOKUP(Table2[[#This Row],[Description]],$Q$1:$S$101,2,FALSE))</f>
        <v/>
      </c>
      <c r="H1789" s="1" t="str">
        <f>IF(Table2[[#This Row],[Description]]="","",VLOOKUP(Table2[[#This Row],[Description]],$Q$1:$S$101,3,FALSE))</f>
        <v/>
      </c>
      <c r="I1789" s="1" t="str">
        <f>IF(Table2[[#This Row],[Description]]="","",IF(Table2[[#This Row],[Currency]]=$O$2,$P$2,HLOOKUP(Table2[[#This Row],[Date]],Funds!$C$10:$GV$11,2,FALSE)))</f>
        <v/>
      </c>
      <c r="J1789" s="215" t="str">
        <f>IF(Table2[[#This Row],[Description]]="","",Table2[[#This Row],[Value]]/Table2[[#This Row],[Conversion]])</f>
        <v/>
      </c>
      <c r="K1789" s="45" t="str">
        <f>IF(Table2[[#This Row],[Description]]="","",DATE(Table2[[#This Row],[Year]],Table2[[#This Row],[Month]],1))</f>
        <v/>
      </c>
    </row>
    <row r="1790" spans="7:11" x14ac:dyDescent="0.25">
      <c r="G1790" s="1" t="str">
        <f>IF(Table2[[#This Row],[Description]]="","",VLOOKUP(Table2[[#This Row],[Description]],$Q$1:$S$101,2,FALSE))</f>
        <v/>
      </c>
      <c r="H1790" s="1" t="str">
        <f>IF(Table2[[#This Row],[Description]]="","",VLOOKUP(Table2[[#This Row],[Description]],$Q$1:$S$101,3,FALSE))</f>
        <v/>
      </c>
      <c r="I1790" s="1" t="str">
        <f>IF(Table2[[#This Row],[Description]]="","",IF(Table2[[#This Row],[Currency]]=$O$2,$P$2,HLOOKUP(Table2[[#This Row],[Date]],Funds!$C$10:$GV$11,2,FALSE)))</f>
        <v/>
      </c>
      <c r="J1790" s="215" t="str">
        <f>IF(Table2[[#This Row],[Description]]="","",Table2[[#This Row],[Value]]/Table2[[#This Row],[Conversion]])</f>
        <v/>
      </c>
      <c r="K1790" s="45" t="str">
        <f>IF(Table2[[#This Row],[Description]]="","",DATE(Table2[[#This Row],[Year]],Table2[[#This Row],[Month]],1))</f>
        <v/>
      </c>
    </row>
    <row r="1791" spans="7:11" x14ac:dyDescent="0.25">
      <c r="G1791" s="1" t="str">
        <f>IF(Table2[[#This Row],[Description]]="","",VLOOKUP(Table2[[#This Row],[Description]],$Q$1:$S$101,2,FALSE))</f>
        <v/>
      </c>
      <c r="H1791" s="1" t="str">
        <f>IF(Table2[[#This Row],[Description]]="","",VLOOKUP(Table2[[#This Row],[Description]],$Q$1:$S$101,3,FALSE))</f>
        <v/>
      </c>
      <c r="I1791" s="1" t="str">
        <f>IF(Table2[[#This Row],[Description]]="","",IF(Table2[[#This Row],[Currency]]=$O$2,$P$2,HLOOKUP(Table2[[#This Row],[Date]],Funds!$C$10:$GV$11,2,FALSE)))</f>
        <v/>
      </c>
      <c r="J1791" s="215" t="str">
        <f>IF(Table2[[#This Row],[Description]]="","",Table2[[#This Row],[Value]]/Table2[[#This Row],[Conversion]])</f>
        <v/>
      </c>
      <c r="K1791" s="45" t="str">
        <f>IF(Table2[[#This Row],[Description]]="","",DATE(Table2[[#This Row],[Year]],Table2[[#This Row],[Month]],1))</f>
        <v/>
      </c>
    </row>
    <row r="1792" spans="7:11" x14ac:dyDescent="0.25">
      <c r="G1792" s="1" t="str">
        <f>IF(Table2[[#This Row],[Description]]="","",VLOOKUP(Table2[[#This Row],[Description]],$Q$1:$S$101,2,FALSE))</f>
        <v/>
      </c>
      <c r="H1792" s="1" t="str">
        <f>IF(Table2[[#This Row],[Description]]="","",VLOOKUP(Table2[[#This Row],[Description]],$Q$1:$S$101,3,FALSE))</f>
        <v/>
      </c>
      <c r="I1792" s="1" t="str">
        <f>IF(Table2[[#This Row],[Description]]="","",IF(Table2[[#This Row],[Currency]]=$O$2,$P$2,HLOOKUP(Table2[[#This Row],[Date]],Funds!$C$10:$GV$11,2,FALSE)))</f>
        <v/>
      </c>
      <c r="J1792" s="215" t="str">
        <f>IF(Table2[[#This Row],[Description]]="","",Table2[[#This Row],[Value]]/Table2[[#This Row],[Conversion]])</f>
        <v/>
      </c>
      <c r="K1792" s="45" t="str">
        <f>IF(Table2[[#This Row],[Description]]="","",DATE(Table2[[#This Row],[Year]],Table2[[#This Row],[Month]],1))</f>
        <v/>
      </c>
    </row>
    <row r="1793" spans="7:11" x14ac:dyDescent="0.25">
      <c r="G1793" s="1" t="str">
        <f>IF(Table2[[#This Row],[Description]]="","",VLOOKUP(Table2[[#This Row],[Description]],$Q$1:$S$101,2,FALSE))</f>
        <v/>
      </c>
      <c r="H1793" s="1" t="str">
        <f>IF(Table2[[#This Row],[Description]]="","",VLOOKUP(Table2[[#This Row],[Description]],$Q$1:$S$101,3,FALSE))</f>
        <v/>
      </c>
      <c r="I1793" s="1" t="str">
        <f>IF(Table2[[#This Row],[Description]]="","",IF(Table2[[#This Row],[Currency]]=$O$2,$P$2,HLOOKUP(Table2[[#This Row],[Date]],Funds!$C$10:$GV$11,2,FALSE)))</f>
        <v/>
      </c>
      <c r="J1793" s="215" t="str">
        <f>IF(Table2[[#This Row],[Description]]="","",Table2[[#This Row],[Value]]/Table2[[#This Row],[Conversion]])</f>
        <v/>
      </c>
      <c r="K1793" s="45" t="str">
        <f>IF(Table2[[#This Row],[Description]]="","",DATE(Table2[[#This Row],[Year]],Table2[[#This Row],[Month]],1))</f>
        <v/>
      </c>
    </row>
    <row r="1794" spans="7:11" x14ac:dyDescent="0.25">
      <c r="G1794" s="1" t="str">
        <f>IF(Table2[[#This Row],[Description]]="","",VLOOKUP(Table2[[#This Row],[Description]],$Q$1:$S$101,2,FALSE))</f>
        <v/>
      </c>
      <c r="H1794" s="1" t="str">
        <f>IF(Table2[[#This Row],[Description]]="","",VLOOKUP(Table2[[#This Row],[Description]],$Q$1:$S$101,3,FALSE))</f>
        <v/>
      </c>
      <c r="I1794" s="1" t="str">
        <f>IF(Table2[[#This Row],[Description]]="","",IF(Table2[[#This Row],[Currency]]=$O$2,$P$2,HLOOKUP(Table2[[#This Row],[Date]],Funds!$C$10:$GV$11,2,FALSE)))</f>
        <v/>
      </c>
      <c r="J1794" s="215" t="str">
        <f>IF(Table2[[#This Row],[Description]]="","",Table2[[#This Row],[Value]]/Table2[[#This Row],[Conversion]])</f>
        <v/>
      </c>
      <c r="K1794" s="45" t="str">
        <f>IF(Table2[[#This Row],[Description]]="","",DATE(Table2[[#This Row],[Year]],Table2[[#This Row],[Month]],1))</f>
        <v/>
      </c>
    </row>
    <row r="1795" spans="7:11" x14ac:dyDescent="0.25">
      <c r="G1795" s="1" t="str">
        <f>IF(Table2[[#This Row],[Description]]="","",VLOOKUP(Table2[[#This Row],[Description]],$Q$1:$S$101,2,FALSE))</f>
        <v/>
      </c>
      <c r="H1795" s="1" t="str">
        <f>IF(Table2[[#This Row],[Description]]="","",VLOOKUP(Table2[[#This Row],[Description]],$Q$1:$S$101,3,FALSE))</f>
        <v/>
      </c>
      <c r="I1795" s="1" t="str">
        <f>IF(Table2[[#This Row],[Description]]="","",IF(Table2[[#This Row],[Currency]]=$O$2,$P$2,HLOOKUP(Table2[[#This Row],[Date]],Funds!$C$10:$GV$11,2,FALSE)))</f>
        <v/>
      </c>
      <c r="J1795" s="215" t="str">
        <f>IF(Table2[[#This Row],[Description]]="","",Table2[[#This Row],[Value]]/Table2[[#This Row],[Conversion]])</f>
        <v/>
      </c>
      <c r="K1795" s="45" t="str">
        <f>IF(Table2[[#This Row],[Description]]="","",DATE(Table2[[#This Row],[Year]],Table2[[#This Row],[Month]],1))</f>
        <v/>
      </c>
    </row>
    <row r="1796" spans="7:11" x14ac:dyDescent="0.25">
      <c r="G1796" s="1" t="str">
        <f>IF(Table2[[#This Row],[Description]]="","",VLOOKUP(Table2[[#This Row],[Description]],$Q$1:$S$101,2,FALSE))</f>
        <v/>
      </c>
      <c r="H1796" s="1" t="str">
        <f>IF(Table2[[#This Row],[Description]]="","",VLOOKUP(Table2[[#This Row],[Description]],$Q$1:$S$101,3,FALSE))</f>
        <v/>
      </c>
      <c r="I1796" s="1" t="str">
        <f>IF(Table2[[#This Row],[Description]]="","",IF(Table2[[#This Row],[Currency]]=$O$2,$P$2,HLOOKUP(Table2[[#This Row],[Date]],Funds!$C$10:$GV$11,2,FALSE)))</f>
        <v/>
      </c>
      <c r="J1796" s="215" t="str">
        <f>IF(Table2[[#This Row],[Description]]="","",Table2[[#This Row],[Value]]/Table2[[#This Row],[Conversion]])</f>
        <v/>
      </c>
      <c r="K1796" s="45" t="str">
        <f>IF(Table2[[#This Row],[Description]]="","",DATE(Table2[[#This Row],[Year]],Table2[[#This Row],[Month]],1))</f>
        <v/>
      </c>
    </row>
    <row r="1797" spans="7:11" x14ac:dyDescent="0.25">
      <c r="G1797" s="1" t="str">
        <f>IF(Table2[[#This Row],[Description]]="","",VLOOKUP(Table2[[#This Row],[Description]],$Q$1:$S$101,2,FALSE))</f>
        <v/>
      </c>
      <c r="H1797" s="1" t="str">
        <f>IF(Table2[[#This Row],[Description]]="","",VLOOKUP(Table2[[#This Row],[Description]],$Q$1:$S$101,3,FALSE))</f>
        <v/>
      </c>
      <c r="I1797" s="1" t="str">
        <f>IF(Table2[[#This Row],[Description]]="","",IF(Table2[[#This Row],[Currency]]=$O$2,$P$2,HLOOKUP(Table2[[#This Row],[Date]],Funds!$C$10:$GV$11,2,FALSE)))</f>
        <v/>
      </c>
      <c r="J1797" s="215" t="str">
        <f>IF(Table2[[#This Row],[Description]]="","",Table2[[#This Row],[Value]]/Table2[[#This Row],[Conversion]])</f>
        <v/>
      </c>
      <c r="K1797" s="45" t="str">
        <f>IF(Table2[[#This Row],[Description]]="","",DATE(Table2[[#This Row],[Year]],Table2[[#This Row],[Month]],1))</f>
        <v/>
      </c>
    </row>
    <row r="1798" spans="7:11" x14ac:dyDescent="0.25">
      <c r="G1798" s="1" t="str">
        <f>IF(Table2[[#This Row],[Description]]="","",VLOOKUP(Table2[[#This Row],[Description]],$Q$1:$S$101,2,FALSE))</f>
        <v/>
      </c>
      <c r="H1798" s="1" t="str">
        <f>IF(Table2[[#This Row],[Description]]="","",VLOOKUP(Table2[[#This Row],[Description]],$Q$1:$S$101,3,FALSE))</f>
        <v/>
      </c>
      <c r="I1798" s="1" t="str">
        <f>IF(Table2[[#This Row],[Description]]="","",IF(Table2[[#This Row],[Currency]]=$O$2,$P$2,HLOOKUP(Table2[[#This Row],[Date]],Funds!$C$10:$GV$11,2,FALSE)))</f>
        <v/>
      </c>
      <c r="J1798" s="215" t="str">
        <f>IF(Table2[[#This Row],[Description]]="","",Table2[[#This Row],[Value]]/Table2[[#This Row],[Conversion]])</f>
        <v/>
      </c>
      <c r="K1798" s="45" t="str">
        <f>IF(Table2[[#This Row],[Description]]="","",DATE(Table2[[#This Row],[Year]],Table2[[#This Row],[Month]],1))</f>
        <v/>
      </c>
    </row>
    <row r="1799" spans="7:11" x14ac:dyDescent="0.25">
      <c r="G1799" s="1" t="str">
        <f>IF(Table2[[#This Row],[Description]]="","",VLOOKUP(Table2[[#This Row],[Description]],$Q$1:$S$101,2,FALSE))</f>
        <v/>
      </c>
      <c r="H1799" s="1" t="str">
        <f>IF(Table2[[#This Row],[Description]]="","",VLOOKUP(Table2[[#This Row],[Description]],$Q$1:$S$101,3,FALSE))</f>
        <v/>
      </c>
      <c r="I1799" s="1" t="str">
        <f>IF(Table2[[#This Row],[Description]]="","",IF(Table2[[#This Row],[Currency]]=$O$2,$P$2,HLOOKUP(Table2[[#This Row],[Date]],Funds!$C$10:$GV$11,2,FALSE)))</f>
        <v/>
      </c>
      <c r="J1799" s="215" t="str">
        <f>IF(Table2[[#This Row],[Description]]="","",Table2[[#This Row],[Value]]/Table2[[#This Row],[Conversion]])</f>
        <v/>
      </c>
      <c r="K1799" s="45" t="str">
        <f>IF(Table2[[#This Row],[Description]]="","",DATE(Table2[[#This Row],[Year]],Table2[[#This Row],[Month]],1))</f>
        <v/>
      </c>
    </row>
    <row r="1800" spans="7:11" x14ac:dyDescent="0.25">
      <c r="G1800" s="1" t="str">
        <f>IF(Table2[[#This Row],[Description]]="","",VLOOKUP(Table2[[#This Row],[Description]],$Q$1:$S$101,2,FALSE))</f>
        <v/>
      </c>
      <c r="H1800" s="1" t="str">
        <f>IF(Table2[[#This Row],[Description]]="","",VLOOKUP(Table2[[#This Row],[Description]],$Q$1:$S$101,3,FALSE))</f>
        <v/>
      </c>
      <c r="I1800" s="1" t="str">
        <f>IF(Table2[[#This Row],[Description]]="","",IF(Table2[[#This Row],[Currency]]=$O$2,$P$2,HLOOKUP(Table2[[#This Row],[Date]],Funds!$C$10:$GV$11,2,FALSE)))</f>
        <v/>
      </c>
      <c r="J1800" s="215" t="str">
        <f>IF(Table2[[#This Row],[Description]]="","",Table2[[#This Row],[Value]]/Table2[[#This Row],[Conversion]])</f>
        <v/>
      </c>
      <c r="K1800" s="45" t="str">
        <f>IF(Table2[[#This Row],[Description]]="","",DATE(Table2[[#This Row],[Year]],Table2[[#This Row],[Month]],1))</f>
        <v/>
      </c>
    </row>
    <row r="1801" spans="7:11" x14ac:dyDescent="0.25">
      <c r="G1801" s="1" t="str">
        <f>IF(Table2[[#This Row],[Description]]="","",VLOOKUP(Table2[[#This Row],[Description]],$Q$1:$S$101,2,FALSE))</f>
        <v/>
      </c>
      <c r="H1801" s="1" t="str">
        <f>IF(Table2[[#This Row],[Description]]="","",VLOOKUP(Table2[[#This Row],[Description]],$Q$1:$S$101,3,FALSE))</f>
        <v/>
      </c>
      <c r="I1801" s="1" t="str">
        <f>IF(Table2[[#This Row],[Description]]="","",IF(Table2[[#This Row],[Currency]]=$O$2,$P$2,HLOOKUP(Table2[[#This Row],[Date]],Funds!$C$10:$GV$11,2,FALSE)))</f>
        <v/>
      </c>
      <c r="J1801" s="215" t="str">
        <f>IF(Table2[[#This Row],[Description]]="","",Table2[[#This Row],[Value]]/Table2[[#This Row],[Conversion]])</f>
        <v/>
      </c>
      <c r="K1801" s="45" t="str">
        <f>IF(Table2[[#This Row],[Description]]="","",DATE(Table2[[#This Row],[Year]],Table2[[#This Row],[Month]],1))</f>
        <v/>
      </c>
    </row>
    <row r="1802" spans="7:11" x14ac:dyDescent="0.25">
      <c r="G1802" s="1" t="str">
        <f>IF(Table2[[#This Row],[Description]]="","",VLOOKUP(Table2[[#This Row],[Description]],$Q$1:$S$101,2,FALSE))</f>
        <v/>
      </c>
      <c r="H1802" s="1" t="str">
        <f>IF(Table2[[#This Row],[Description]]="","",VLOOKUP(Table2[[#This Row],[Description]],$Q$1:$S$101,3,FALSE))</f>
        <v/>
      </c>
      <c r="I1802" s="1" t="str">
        <f>IF(Table2[[#This Row],[Description]]="","",IF(Table2[[#This Row],[Currency]]=$O$2,$P$2,HLOOKUP(Table2[[#This Row],[Date]],Funds!$C$10:$GV$11,2,FALSE)))</f>
        <v/>
      </c>
      <c r="J1802" s="215" t="str">
        <f>IF(Table2[[#This Row],[Description]]="","",Table2[[#This Row],[Value]]/Table2[[#This Row],[Conversion]])</f>
        <v/>
      </c>
      <c r="K1802" s="45" t="str">
        <f>IF(Table2[[#This Row],[Description]]="","",DATE(Table2[[#This Row],[Year]],Table2[[#This Row],[Month]],1))</f>
        <v/>
      </c>
    </row>
    <row r="1803" spans="7:11" x14ac:dyDescent="0.25">
      <c r="G1803" s="1" t="str">
        <f>IF(Table2[[#This Row],[Description]]="","",VLOOKUP(Table2[[#This Row],[Description]],$Q$1:$S$101,2,FALSE))</f>
        <v/>
      </c>
      <c r="H1803" s="1" t="str">
        <f>IF(Table2[[#This Row],[Description]]="","",VLOOKUP(Table2[[#This Row],[Description]],$Q$1:$S$101,3,FALSE))</f>
        <v/>
      </c>
      <c r="I1803" s="1" t="str">
        <f>IF(Table2[[#This Row],[Description]]="","",IF(Table2[[#This Row],[Currency]]=$O$2,$P$2,HLOOKUP(Table2[[#This Row],[Date]],Funds!$C$10:$GV$11,2,FALSE)))</f>
        <v/>
      </c>
      <c r="J1803" s="215" t="str">
        <f>IF(Table2[[#This Row],[Description]]="","",Table2[[#This Row],[Value]]/Table2[[#This Row],[Conversion]])</f>
        <v/>
      </c>
      <c r="K1803" s="45" t="str">
        <f>IF(Table2[[#This Row],[Description]]="","",DATE(Table2[[#This Row],[Year]],Table2[[#This Row],[Month]],1))</f>
        <v/>
      </c>
    </row>
    <row r="1804" spans="7:11" x14ac:dyDescent="0.25">
      <c r="G1804" s="1" t="str">
        <f>IF(Table2[[#This Row],[Description]]="","",VLOOKUP(Table2[[#This Row],[Description]],$Q$1:$S$101,2,FALSE))</f>
        <v/>
      </c>
      <c r="H1804" s="1" t="str">
        <f>IF(Table2[[#This Row],[Description]]="","",VLOOKUP(Table2[[#This Row],[Description]],$Q$1:$S$101,3,FALSE))</f>
        <v/>
      </c>
      <c r="I1804" s="1" t="str">
        <f>IF(Table2[[#This Row],[Description]]="","",IF(Table2[[#This Row],[Currency]]=$O$2,$P$2,HLOOKUP(Table2[[#This Row],[Date]],Funds!$C$10:$GV$11,2,FALSE)))</f>
        <v/>
      </c>
      <c r="J1804" s="215" t="str">
        <f>IF(Table2[[#This Row],[Description]]="","",Table2[[#This Row],[Value]]/Table2[[#This Row],[Conversion]])</f>
        <v/>
      </c>
      <c r="K1804" s="45" t="str">
        <f>IF(Table2[[#This Row],[Description]]="","",DATE(Table2[[#This Row],[Year]],Table2[[#This Row],[Month]],1))</f>
        <v/>
      </c>
    </row>
    <row r="1805" spans="7:11" x14ac:dyDescent="0.25">
      <c r="G1805" s="1" t="str">
        <f>IF(Table2[[#This Row],[Description]]="","",VLOOKUP(Table2[[#This Row],[Description]],$Q$1:$S$101,2,FALSE))</f>
        <v/>
      </c>
      <c r="H1805" s="1" t="str">
        <f>IF(Table2[[#This Row],[Description]]="","",VLOOKUP(Table2[[#This Row],[Description]],$Q$1:$S$101,3,FALSE))</f>
        <v/>
      </c>
      <c r="I1805" s="1" t="str">
        <f>IF(Table2[[#This Row],[Description]]="","",IF(Table2[[#This Row],[Currency]]=$O$2,$P$2,HLOOKUP(Table2[[#This Row],[Date]],Funds!$C$10:$GV$11,2,FALSE)))</f>
        <v/>
      </c>
      <c r="J1805" s="215" t="str">
        <f>IF(Table2[[#This Row],[Description]]="","",Table2[[#This Row],[Value]]/Table2[[#This Row],[Conversion]])</f>
        <v/>
      </c>
      <c r="K1805" s="45" t="str">
        <f>IF(Table2[[#This Row],[Description]]="","",DATE(Table2[[#This Row],[Year]],Table2[[#This Row],[Month]],1))</f>
        <v/>
      </c>
    </row>
    <row r="1806" spans="7:11" x14ac:dyDescent="0.25">
      <c r="G1806" s="1" t="str">
        <f>IF(Table2[[#This Row],[Description]]="","",VLOOKUP(Table2[[#This Row],[Description]],$Q$1:$S$101,2,FALSE))</f>
        <v/>
      </c>
      <c r="H1806" s="1" t="str">
        <f>IF(Table2[[#This Row],[Description]]="","",VLOOKUP(Table2[[#This Row],[Description]],$Q$1:$S$101,3,FALSE))</f>
        <v/>
      </c>
      <c r="I1806" s="1" t="str">
        <f>IF(Table2[[#This Row],[Description]]="","",IF(Table2[[#This Row],[Currency]]=$O$2,$P$2,HLOOKUP(Table2[[#This Row],[Date]],Funds!$C$10:$GV$11,2,FALSE)))</f>
        <v/>
      </c>
      <c r="J1806" s="215" t="str">
        <f>IF(Table2[[#This Row],[Description]]="","",Table2[[#This Row],[Value]]/Table2[[#This Row],[Conversion]])</f>
        <v/>
      </c>
      <c r="K1806" s="45" t="str">
        <f>IF(Table2[[#This Row],[Description]]="","",DATE(Table2[[#This Row],[Year]],Table2[[#This Row],[Month]],1))</f>
        <v/>
      </c>
    </row>
    <row r="1807" spans="7:11" x14ac:dyDescent="0.25">
      <c r="G1807" s="1" t="str">
        <f>IF(Table2[[#This Row],[Description]]="","",VLOOKUP(Table2[[#This Row],[Description]],$Q$1:$S$101,2,FALSE))</f>
        <v/>
      </c>
      <c r="H1807" s="1" t="str">
        <f>IF(Table2[[#This Row],[Description]]="","",VLOOKUP(Table2[[#This Row],[Description]],$Q$1:$S$101,3,FALSE))</f>
        <v/>
      </c>
      <c r="I1807" s="1" t="str">
        <f>IF(Table2[[#This Row],[Description]]="","",IF(Table2[[#This Row],[Currency]]=$O$2,$P$2,HLOOKUP(Table2[[#This Row],[Date]],Funds!$C$10:$GV$11,2,FALSE)))</f>
        <v/>
      </c>
      <c r="J1807" s="215" t="str">
        <f>IF(Table2[[#This Row],[Description]]="","",Table2[[#This Row],[Value]]/Table2[[#This Row],[Conversion]])</f>
        <v/>
      </c>
      <c r="K1807" s="45" t="str">
        <f>IF(Table2[[#This Row],[Description]]="","",DATE(Table2[[#This Row],[Year]],Table2[[#This Row],[Month]],1))</f>
        <v/>
      </c>
    </row>
    <row r="1808" spans="7:11" x14ac:dyDescent="0.25">
      <c r="G1808" s="1" t="str">
        <f>IF(Table2[[#This Row],[Description]]="","",VLOOKUP(Table2[[#This Row],[Description]],$Q$1:$S$101,2,FALSE))</f>
        <v/>
      </c>
      <c r="H1808" s="1" t="str">
        <f>IF(Table2[[#This Row],[Description]]="","",VLOOKUP(Table2[[#This Row],[Description]],$Q$1:$S$101,3,FALSE))</f>
        <v/>
      </c>
      <c r="I1808" s="1" t="str">
        <f>IF(Table2[[#This Row],[Description]]="","",IF(Table2[[#This Row],[Currency]]=$O$2,$P$2,HLOOKUP(Table2[[#This Row],[Date]],Funds!$C$10:$GV$11,2,FALSE)))</f>
        <v/>
      </c>
      <c r="J1808" s="215" t="str">
        <f>IF(Table2[[#This Row],[Description]]="","",Table2[[#This Row],[Value]]/Table2[[#This Row],[Conversion]])</f>
        <v/>
      </c>
      <c r="K1808" s="45" t="str">
        <f>IF(Table2[[#This Row],[Description]]="","",DATE(Table2[[#This Row],[Year]],Table2[[#This Row],[Month]],1))</f>
        <v/>
      </c>
    </row>
    <row r="1809" spans="7:11" x14ac:dyDescent="0.25">
      <c r="G1809" s="1" t="str">
        <f>IF(Table2[[#This Row],[Description]]="","",VLOOKUP(Table2[[#This Row],[Description]],$Q$1:$S$101,2,FALSE))</f>
        <v/>
      </c>
      <c r="H1809" s="1" t="str">
        <f>IF(Table2[[#This Row],[Description]]="","",VLOOKUP(Table2[[#This Row],[Description]],$Q$1:$S$101,3,FALSE))</f>
        <v/>
      </c>
      <c r="I1809" s="1" t="str">
        <f>IF(Table2[[#This Row],[Description]]="","",IF(Table2[[#This Row],[Currency]]=$O$2,$P$2,HLOOKUP(Table2[[#This Row],[Date]],Funds!$C$10:$GV$11,2,FALSE)))</f>
        <v/>
      </c>
      <c r="J1809" s="215" t="str">
        <f>IF(Table2[[#This Row],[Description]]="","",Table2[[#This Row],[Value]]/Table2[[#This Row],[Conversion]])</f>
        <v/>
      </c>
      <c r="K1809" s="45" t="str">
        <f>IF(Table2[[#This Row],[Description]]="","",DATE(Table2[[#This Row],[Year]],Table2[[#This Row],[Month]],1))</f>
        <v/>
      </c>
    </row>
    <row r="1810" spans="7:11" x14ac:dyDescent="0.25">
      <c r="G1810" s="1" t="str">
        <f>IF(Table2[[#This Row],[Description]]="","",VLOOKUP(Table2[[#This Row],[Description]],$Q$1:$S$101,2,FALSE))</f>
        <v/>
      </c>
      <c r="H1810" s="1" t="str">
        <f>IF(Table2[[#This Row],[Description]]="","",VLOOKUP(Table2[[#This Row],[Description]],$Q$1:$S$101,3,FALSE))</f>
        <v/>
      </c>
      <c r="I1810" s="1" t="str">
        <f>IF(Table2[[#This Row],[Description]]="","",IF(Table2[[#This Row],[Currency]]=$O$2,$P$2,HLOOKUP(Table2[[#This Row],[Date]],Funds!$C$10:$GV$11,2,FALSE)))</f>
        <v/>
      </c>
      <c r="J1810" s="215" t="str">
        <f>IF(Table2[[#This Row],[Description]]="","",Table2[[#This Row],[Value]]/Table2[[#This Row],[Conversion]])</f>
        <v/>
      </c>
      <c r="K1810" s="45" t="str">
        <f>IF(Table2[[#This Row],[Description]]="","",DATE(Table2[[#This Row],[Year]],Table2[[#This Row],[Month]],1))</f>
        <v/>
      </c>
    </row>
    <row r="1811" spans="7:11" x14ac:dyDescent="0.25">
      <c r="G1811" s="1" t="str">
        <f>IF(Table2[[#This Row],[Description]]="","",VLOOKUP(Table2[[#This Row],[Description]],$Q$1:$S$101,2,FALSE))</f>
        <v/>
      </c>
      <c r="H1811" s="1" t="str">
        <f>IF(Table2[[#This Row],[Description]]="","",VLOOKUP(Table2[[#This Row],[Description]],$Q$1:$S$101,3,FALSE))</f>
        <v/>
      </c>
      <c r="I1811" s="1" t="str">
        <f>IF(Table2[[#This Row],[Description]]="","",IF(Table2[[#This Row],[Currency]]=$O$2,$P$2,HLOOKUP(Table2[[#This Row],[Date]],Funds!$C$10:$GV$11,2,FALSE)))</f>
        <v/>
      </c>
      <c r="J1811" s="215" t="str">
        <f>IF(Table2[[#This Row],[Description]]="","",Table2[[#This Row],[Value]]/Table2[[#This Row],[Conversion]])</f>
        <v/>
      </c>
      <c r="K1811" s="45" t="str">
        <f>IF(Table2[[#This Row],[Description]]="","",DATE(Table2[[#This Row],[Year]],Table2[[#This Row],[Month]],1))</f>
        <v/>
      </c>
    </row>
    <row r="1812" spans="7:11" x14ac:dyDescent="0.25">
      <c r="G1812" s="1" t="str">
        <f>IF(Table2[[#This Row],[Description]]="","",VLOOKUP(Table2[[#This Row],[Description]],$Q$1:$S$101,2,FALSE))</f>
        <v/>
      </c>
      <c r="H1812" s="1" t="str">
        <f>IF(Table2[[#This Row],[Description]]="","",VLOOKUP(Table2[[#This Row],[Description]],$Q$1:$S$101,3,FALSE))</f>
        <v/>
      </c>
      <c r="I1812" s="1" t="str">
        <f>IF(Table2[[#This Row],[Description]]="","",IF(Table2[[#This Row],[Currency]]=$O$2,$P$2,HLOOKUP(Table2[[#This Row],[Date]],Funds!$C$10:$GV$11,2,FALSE)))</f>
        <v/>
      </c>
      <c r="J1812" s="215" t="str">
        <f>IF(Table2[[#This Row],[Description]]="","",Table2[[#This Row],[Value]]/Table2[[#This Row],[Conversion]])</f>
        <v/>
      </c>
      <c r="K1812" s="45" t="str">
        <f>IF(Table2[[#This Row],[Description]]="","",DATE(Table2[[#This Row],[Year]],Table2[[#This Row],[Month]],1))</f>
        <v/>
      </c>
    </row>
    <row r="1813" spans="7:11" x14ac:dyDescent="0.25">
      <c r="G1813" s="1" t="str">
        <f>IF(Table2[[#This Row],[Description]]="","",VLOOKUP(Table2[[#This Row],[Description]],$Q$1:$S$101,2,FALSE))</f>
        <v/>
      </c>
      <c r="H1813" s="1" t="str">
        <f>IF(Table2[[#This Row],[Description]]="","",VLOOKUP(Table2[[#This Row],[Description]],$Q$1:$S$101,3,FALSE))</f>
        <v/>
      </c>
      <c r="I1813" s="1" t="str">
        <f>IF(Table2[[#This Row],[Description]]="","",IF(Table2[[#This Row],[Currency]]=$O$2,$P$2,HLOOKUP(Table2[[#This Row],[Date]],Funds!$C$10:$GV$11,2,FALSE)))</f>
        <v/>
      </c>
      <c r="J1813" s="215" t="str">
        <f>IF(Table2[[#This Row],[Description]]="","",Table2[[#This Row],[Value]]/Table2[[#This Row],[Conversion]])</f>
        <v/>
      </c>
      <c r="K1813" s="45" t="str">
        <f>IF(Table2[[#This Row],[Description]]="","",DATE(Table2[[#This Row],[Year]],Table2[[#This Row],[Month]],1))</f>
        <v/>
      </c>
    </row>
    <row r="1814" spans="7:11" x14ac:dyDescent="0.25">
      <c r="G1814" s="1" t="str">
        <f>IF(Table2[[#This Row],[Description]]="","",VLOOKUP(Table2[[#This Row],[Description]],$Q$1:$S$101,2,FALSE))</f>
        <v/>
      </c>
      <c r="H1814" s="1" t="str">
        <f>IF(Table2[[#This Row],[Description]]="","",VLOOKUP(Table2[[#This Row],[Description]],$Q$1:$S$101,3,FALSE))</f>
        <v/>
      </c>
      <c r="I1814" s="1" t="str">
        <f>IF(Table2[[#This Row],[Description]]="","",IF(Table2[[#This Row],[Currency]]=$O$2,$P$2,HLOOKUP(Table2[[#This Row],[Date]],Funds!$C$10:$GV$11,2,FALSE)))</f>
        <v/>
      </c>
      <c r="J1814" s="215" t="str">
        <f>IF(Table2[[#This Row],[Description]]="","",Table2[[#This Row],[Value]]/Table2[[#This Row],[Conversion]])</f>
        <v/>
      </c>
      <c r="K1814" s="45" t="str">
        <f>IF(Table2[[#This Row],[Description]]="","",DATE(Table2[[#This Row],[Year]],Table2[[#This Row],[Month]],1))</f>
        <v/>
      </c>
    </row>
    <row r="1815" spans="7:11" x14ac:dyDescent="0.25">
      <c r="G1815" s="1" t="str">
        <f>IF(Table2[[#This Row],[Description]]="","",VLOOKUP(Table2[[#This Row],[Description]],$Q$1:$S$101,2,FALSE))</f>
        <v/>
      </c>
      <c r="H1815" s="1" t="str">
        <f>IF(Table2[[#This Row],[Description]]="","",VLOOKUP(Table2[[#This Row],[Description]],$Q$1:$S$101,3,FALSE))</f>
        <v/>
      </c>
      <c r="I1815" s="1" t="str">
        <f>IF(Table2[[#This Row],[Description]]="","",IF(Table2[[#This Row],[Currency]]=$O$2,$P$2,HLOOKUP(Table2[[#This Row],[Date]],Funds!$C$10:$GV$11,2,FALSE)))</f>
        <v/>
      </c>
      <c r="J1815" s="215" t="str">
        <f>IF(Table2[[#This Row],[Description]]="","",Table2[[#This Row],[Value]]/Table2[[#This Row],[Conversion]])</f>
        <v/>
      </c>
      <c r="K1815" s="45" t="str">
        <f>IF(Table2[[#This Row],[Description]]="","",DATE(Table2[[#This Row],[Year]],Table2[[#This Row],[Month]],1))</f>
        <v/>
      </c>
    </row>
    <row r="1816" spans="7:11" x14ac:dyDescent="0.25">
      <c r="G1816" s="1" t="str">
        <f>IF(Table2[[#This Row],[Description]]="","",VLOOKUP(Table2[[#This Row],[Description]],$Q$1:$S$101,2,FALSE))</f>
        <v/>
      </c>
      <c r="H1816" s="1" t="str">
        <f>IF(Table2[[#This Row],[Description]]="","",VLOOKUP(Table2[[#This Row],[Description]],$Q$1:$S$101,3,FALSE))</f>
        <v/>
      </c>
      <c r="I1816" s="1" t="str">
        <f>IF(Table2[[#This Row],[Description]]="","",IF(Table2[[#This Row],[Currency]]=$O$2,$P$2,HLOOKUP(Table2[[#This Row],[Date]],Funds!$C$10:$GV$11,2,FALSE)))</f>
        <v/>
      </c>
      <c r="J1816" s="215" t="str">
        <f>IF(Table2[[#This Row],[Description]]="","",Table2[[#This Row],[Value]]/Table2[[#This Row],[Conversion]])</f>
        <v/>
      </c>
      <c r="K1816" s="45" t="str">
        <f>IF(Table2[[#This Row],[Description]]="","",DATE(Table2[[#This Row],[Year]],Table2[[#This Row],[Month]],1))</f>
        <v/>
      </c>
    </row>
    <row r="1817" spans="7:11" x14ac:dyDescent="0.25">
      <c r="G1817" s="1" t="str">
        <f>IF(Table2[[#This Row],[Description]]="","",VLOOKUP(Table2[[#This Row],[Description]],$Q$1:$S$101,2,FALSE))</f>
        <v/>
      </c>
      <c r="H1817" s="1" t="str">
        <f>IF(Table2[[#This Row],[Description]]="","",VLOOKUP(Table2[[#This Row],[Description]],$Q$1:$S$101,3,FALSE))</f>
        <v/>
      </c>
      <c r="I1817" s="1" t="str">
        <f>IF(Table2[[#This Row],[Description]]="","",IF(Table2[[#This Row],[Currency]]=$O$2,$P$2,HLOOKUP(Table2[[#This Row],[Date]],Funds!$C$10:$GV$11,2,FALSE)))</f>
        <v/>
      </c>
      <c r="J1817" s="215" t="str">
        <f>IF(Table2[[#This Row],[Description]]="","",Table2[[#This Row],[Value]]/Table2[[#This Row],[Conversion]])</f>
        <v/>
      </c>
      <c r="K1817" s="45" t="str">
        <f>IF(Table2[[#This Row],[Description]]="","",DATE(Table2[[#This Row],[Year]],Table2[[#This Row],[Month]],1))</f>
        <v/>
      </c>
    </row>
    <row r="1818" spans="7:11" x14ac:dyDescent="0.25">
      <c r="G1818" s="1" t="str">
        <f>IF(Table2[[#This Row],[Description]]="","",VLOOKUP(Table2[[#This Row],[Description]],$Q$1:$S$101,2,FALSE))</f>
        <v/>
      </c>
      <c r="H1818" s="1" t="str">
        <f>IF(Table2[[#This Row],[Description]]="","",VLOOKUP(Table2[[#This Row],[Description]],$Q$1:$S$101,3,FALSE))</f>
        <v/>
      </c>
      <c r="I1818" s="1" t="str">
        <f>IF(Table2[[#This Row],[Description]]="","",IF(Table2[[#This Row],[Currency]]=$O$2,$P$2,HLOOKUP(Table2[[#This Row],[Date]],Funds!$C$10:$GV$11,2,FALSE)))</f>
        <v/>
      </c>
      <c r="J1818" s="215" t="str">
        <f>IF(Table2[[#This Row],[Description]]="","",Table2[[#This Row],[Value]]/Table2[[#This Row],[Conversion]])</f>
        <v/>
      </c>
      <c r="K1818" s="45" t="str">
        <f>IF(Table2[[#This Row],[Description]]="","",DATE(Table2[[#This Row],[Year]],Table2[[#This Row],[Month]],1))</f>
        <v/>
      </c>
    </row>
    <row r="1819" spans="7:11" x14ac:dyDescent="0.25">
      <c r="G1819" s="1" t="str">
        <f>IF(Table2[[#This Row],[Description]]="","",VLOOKUP(Table2[[#This Row],[Description]],$Q$1:$S$101,2,FALSE))</f>
        <v/>
      </c>
      <c r="H1819" s="1" t="str">
        <f>IF(Table2[[#This Row],[Description]]="","",VLOOKUP(Table2[[#This Row],[Description]],$Q$1:$S$101,3,FALSE))</f>
        <v/>
      </c>
      <c r="I1819" s="1" t="str">
        <f>IF(Table2[[#This Row],[Description]]="","",IF(Table2[[#This Row],[Currency]]=$O$2,$P$2,HLOOKUP(Table2[[#This Row],[Date]],Funds!$C$10:$GV$11,2,FALSE)))</f>
        <v/>
      </c>
      <c r="J1819" s="215" t="str">
        <f>IF(Table2[[#This Row],[Description]]="","",Table2[[#This Row],[Value]]/Table2[[#This Row],[Conversion]])</f>
        <v/>
      </c>
      <c r="K1819" s="45" t="str">
        <f>IF(Table2[[#This Row],[Description]]="","",DATE(Table2[[#This Row],[Year]],Table2[[#This Row],[Month]],1))</f>
        <v/>
      </c>
    </row>
    <row r="1820" spans="7:11" x14ac:dyDescent="0.25">
      <c r="G1820" s="1" t="str">
        <f>IF(Table2[[#This Row],[Description]]="","",VLOOKUP(Table2[[#This Row],[Description]],$Q$1:$S$101,2,FALSE))</f>
        <v/>
      </c>
      <c r="H1820" s="1" t="str">
        <f>IF(Table2[[#This Row],[Description]]="","",VLOOKUP(Table2[[#This Row],[Description]],$Q$1:$S$101,3,FALSE))</f>
        <v/>
      </c>
      <c r="I1820" s="1" t="str">
        <f>IF(Table2[[#This Row],[Description]]="","",IF(Table2[[#This Row],[Currency]]=$O$2,$P$2,HLOOKUP(Table2[[#This Row],[Date]],Funds!$C$10:$GV$11,2,FALSE)))</f>
        <v/>
      </c>
      <c r="J1820" s="215" t="str">
        <f>IF(Table2[[#This Row],[Description]]="","",Table2[[#This Row],[Value]]/Table2[[#This Row],[Conversion]])</f>
        <v/>
      </c>
      <c r="K1820" s="45" t="str">
        <f>IF(Table2[[#This Row],[Description]]="","",DATE(Table2[[#This Row],[Year]],Table2[[#This Row],[Month]],1))</f>
        <v/>
      </c>
    </row>
    <row r="1821" spans="7:11" x14ac:dyDescent="0.25">
      <c r="G1821" s="1" t="str">
        <f>IF(Table2[[#This Row],[Description]]="","",VLOOKUP(Table2[[#This Row],[Description]],$Q$1:$S$101,2,FALSE))</f>
        <v/>
      </c>
      <c r="H1821" s="1" t="str">
        <f>IF(Table2[[#This Row],[Description]]="","",VLOOKUP(Table2[[#This Row],[Description]],$Q$1:$S$101,3,FALSE))</f>
        <v/>
      </c>
      <c r="I1821" s="1" t="str">
        <f>IF(Table2[[#This Row],[Description]]="","",IF(Table2[[#This Row],[Currency]]=$O$2,$P$2,HLOOKUP(Table2[[#This Row],[Date]],Funds!$C$10:$GV$11,2,FALSE)))</f>
        <v/>
      </c>
      <c r="J1821" s="215" t="str">
        <f>IF(Table2[[#This Row],[Description]]="","",Table2[[#This Row],[Value]]/Table2[[#This Row],[Conversion]])</f>
        <v/>
      </c>
      <c r="K1821" s="45" t="str">
        <f>IF(Table2[[#This Row],[Description]]="","",DATE(Table2[[#This Row],[Year]],Table2[[#This Row],[Month]],1))</f>
        <v/>
      </c>
    </row>
    <row r="1822" spans="7:11" x14ac:dyDescent="0.25">
      <c r="G1822" s="1" t="str">
        <f>IF(Table2[[#This Row],[Description]]="","",VLOOKUP(Table2[[#This Row],[Description]],$Q$1:$S$101,2,FALSE))</f>
        <v/>
      </c>
      <c r="H1822" s="1" t="str">
        <f>IF(Table2[[#This Row],[Description]]="","",VLOOKUP(Table2[[#This Row],[Description]],$Q$1:$S$101,3,FALSE))</f>
        <v/>
      </c>
      <c r="I1822" s="1" t="str">
        <f>IF(Table2[[#This Row],[Description]]="","",IF(Table2[[#This Row],[Currency]]=$O$2,$P$2,HLOOKUP(Table2[[#This Row],[Date]],Funds!$C$10:$GV$11,2,FALSE)))</f>
        <v/>
      </c>
      <c r="J1822" s="215" t="str">
        <f>IF(Table2[[#This Row],[Description]]="","",Table2[[#This Row],[Value]]/Table2[[#This Row],[Conversion]])</f>
        <v/>
      </c>
      <c r="K1822" s="45" t="str">
        <f>IF(Table2[[#This Row],[Description]]="","",DATE(Table2[[#This Row],[Year]],Table2[[#This Row],[Month]],1))</f>
        <v/>
      </c>
    </row>
    <row r="1823" spans="7:11" x14ac:dyDescent="0.25">
      <c r="G1823" s="1" t="str">
        <f>IF(Table2[[#This Row],[Description]]="","",VLOOKUP(Table2[[#This Row],[Description]],$Q$1:$S$101,2,FALSE))</f>
        <v/>
      </c>
      <c r="H1823" s="1" t="str">
        <f>IF(Table2[[#This Row],[Description]]="","",VLOOKUP(Table2[[#This Row],[Description]],$Q$1:$S$101,3,FALSE))</f>
        <v/>
      </c>
      <c r="I1823" s="1" t="str">
        <f>IF(Table2[[#This Row],[Description]]="","",IF(Table2[[#This Row],[Currency]]=$O$2,$P$2,HLOOKUP(Table2[[#This Row],[Date]],Funds!$C$10:$GV$11,2,FALSE)))</f>
        <v/>
      </c>
      <c r="J1823" s="215" t="str">
        <f>IF(Table2[[#This Row],[Description]]="","",Table2[[#This Row],[Value]]/Table2[[#This Row],[Conversion]])</f>
        <v/>
      </c>
      <c r="K1823" s="45" t="str">
        <f>IF(Table2[[#This Row],[Description]]="","",DATE(Table2[[#This Row],[Year]],Table2[[#This Row],[Month]],1))</f>
        <v/>
      </c>
    </row>
    <row r="1824" spans="7:11" x14ac:dyDescent="0.25">
      <c r="G1824" s="1" t="str">
        <f>IF(Table2[[#This Row],[Description]]="","",VLOOKUP(Table2[[#This Row],[Description]],$Q$1:$S$101,2,FALSE))</f>
        <v/>
      </c>
      <c r="H1824" s="1" t="str">
        <f>IF(Table2[[#This Row],[Description]]="","",VLOOKUP(Table2[[#This Row],[Description]],$Q$1:$S$101,3,FALSE))</f>
        <v/>
      </c>
      <c r="I1824" s="1" t="str">
        <f>IF(Table2[[#This Row],[Description]]="","",IF(Table2[[#This Row],[Currency]]=$O$2,$P$2,HLOOKUP(Table2[[#This Row],[Date]],Funds!$C$10:$GV$11,2,FALSE)))</f>
        <v/>
      </c>
      <c r="J1824" s="215" t="str">
        <f>IF(Table2[[#This Row],[Description]]="","",Table2[[#This Row],[Value]]/Table2[[#This Row],[Conversion]])</f>
        <v/>
      </c>
      <c r="K1824" s="45" t="str">
        <f>IF(Table2[[#This Row],[Description]]="","",DATE(Table2[[#This Row],[Year]],Table2[[#This Row],[Month]],1))</f>
        <v/>
      </c>
    </row>
    <row r="1825" spans="7:11" x14ac:dyDescent="0.25">
      <c r="G1825" s="1" t="str">
        <f>IF(Table2[[#This Row],[Description]]="","",VLOOKUP(Table2[[#This Row],[Description]],$Q$1:$S$101,2,FALSE))</f>
        <v/>
      </c>
      <c r="H1825" s="1" t="str">
        <f>IF(Table2[[#This Row],[Description]]="","",VLOOKUP(Table2[[#This Row],[Description]],$Q$1:$S$101,3,FALSE))</f>
        <v/>
      </c>
      <c r="I1825" s="1" t="str">
        <f>IF(Table2[[#This Row],[Description]]="","",IF(Table2[[#This Row],[Currency]]=$O$2,$P$2,HLOOKUP(Table2[[#This Row],[Date]],Funds!$C$10:$GV$11,2,FALSE)))</f>
        <v/>
      </c>
      <c r="J1825" s="215" t="str">
        <f>IF(Table2[[#This Row],[Description]]="","",Table2[[#This Row],[Value]]/Table2[[#This Row],[Conversion]])</f>
        <v/>
      </c>
      <c r="K1825" s="45" t="str">
        <f>IF(Table2[[#This Row],[Description]]="","",DATE(Table2[[#This Row],[Year]],Table2[[#This Row],[Month]],1))</f>
        <v/>
      </c>
    </row>
    <row r="1826" spans="7:11" x14ac:dyDescent="0.25">
      <c r="G1826" s="1" t="str">
        <f>IF(Table2[[#This Row],[Description]]="","",VLOOKUP(Table2[[#This Row],[Description]],$Q$1:$S$101,2,FALSE))</f>
        <v/>
      </c>
      <c r="H1826" s="1" t="str">
        <f>IF(Table2[[#This Row],[Description]]="","",VLOOKUP(Table2[[#This Row],[Description]],$Q$1:$S$101,3,FALSE))</f>
        <v/>
      </c>
      <c r="I1826" s="1" t="str">
        <f>IF(Table2[[#This Row],[Description]]="","",IF(Table2[[#This Row],[Currency]]=$O$2,$P$2,HLOOKUP(Table2[[#This Row],[Date]],Funds!$C$10:$GV$11,2,FALSE)))</f>
        <v/>
      </c>
      <c r="J1826" s="215" t="str">
        <f>IF(Table2[[#This Row],[Description]]="","",Table2[[#This Row],[Value]]/Table2[[#This Row],[Conversion]])</f>
        <v/>
      </c>
      <c r="K1826" s="45" t="str">
        <f>IF(Table2[[#This Row],[Description]]="","",DATE(Table2[[#This Row],[Year]],Table2[[#This Row],[Month]],1))</f>
        <v/>
      </c>
    </row>
    <row r="1827" spans="7:11" x14ac:dyDescent="0.25">
      <c r="G1827" s="1" t="str">
        <f>IF(Table2[[#This Row],[Description]]="","",VLOOKUP(Table2[[#This Row],[Description]],$Q$1:$S$101,2,FALSE))</f>
        <v/>
      </c>
      <c r="H1827" s="1" t="str">
        <f>IF(Table2[[#This Row],[Description]]="","",VLOOKUP(Table2[[#This Row],[Description]],$Q$1:$S$101,3,FALSE))</f>
        <v/>
      </c>
      <c r="I1827" s="1" t="str">
        <f>IF(Table2[[#This Row],[Description]]="","",IF(Table2[[#This Row],[Currency]]=$O$2,$P$2,HLOOKUP(Table2[[#This Row],[Date]],Funds!$C$10:$GV$11,2,FALSE)))</f>
        <v/>
      </c>
      <c r="J1827" s="215" t="str">
        <f>IF(Table2[[#This Row],[Description]]="","",Table2[[#This Row],[Value]]/Table2[[#This Row],[Conversion]])</f>
        <v/>
      </c>
      <c r="K1827" s="45" t="str">
        <f>IF(Table2[[#This Row],[Description]]="","",DATE(Table2[[#This Row],[Year]],Table2[[#This Row],[Month]],1))</f>
        <v/>
      </c>
    </row>
    <row r="1828" spans="7:11" x14ac:dyDescent="0.25">
      <c r="G1828" s="1" t="str">
        <f>IF(Table2[[#This Row],[Description]]="","",VLOOKUP(Table2[[#This Row],[Description]],$Q$1:$S$101,2,FALSE))</f>
        <v/>
      </c>
      <c r="H1828" s="1" t="str">
        <f>IF(Table2[[#This Row],[Description]]="","",VLOOKUP(Table2[[#This Row],[Description]],$Q$1:$S$101,3,FALSE))</f>
        <v/>
      </c>
      <c r="I1828" s="1" t="str">
        <f>IF(Table2[[#This Row],[Description]]="","",IF(Table2[[#This Row],[Currency]]=$O$2,$P$2,HLOOKUP(Table2[[#This Row],[Date]],Funds!$C$10:$GV$11,2,FALSE)))</f>
        <v/>
      </c>
      <c r="J1828" s="215" t="str">
        <f>IF(Table2[[#This Row],[Description]]="","",Table2[[#This Row],[Value]]/Table2[[#This Row],[Conversion]])</f>
        <v/>
      </c>
      <c r="K1828" s="45" t="str">
        <f>IF(Table2[[#This Row],[Description]]="","",DATE(Table2[[#This Row],[Year]],Table2[[#This Row],[Month]],1))</f>
        <v/>
      </c>
    </row>
    <row r="1829" spans="7:11" x14ac:dyDescent="0.25">
      <c r="G1829" s="1" t="str">
        <f>IF(Table2[[#This Row],[Description]]="","",VLOOKUP(Table2[[#This Row],[Description]],$Q$1:$S$101,2,FALSE))</f>
        <v/>
      </c>
      <c r="H1829" s="1" t="str">
        <f>IF(Table2[[#This Row],[Description]]="","",VLOOKUP(Table2[[#This Row],[Description]],$Q$1:$S$101,3,FALSE))</f>
        <v/>
      </c>
      <c r="I1829" s="1" t="str">
        <f>IF(Table2[[#This Row],[Description]]="","",IF(Table2[[#This Row],[Currency]]=$O$2,$P$2,HLOOKUP(Table2[[#This Row],[Date]],Funds!$C$10:$GV$11,2,FALSE)))</f>
        <v/>
      </c>
      <c r="J1829" s="215" t="str">
        <f>IF(Table2[[#This Row],[Description]]="","",Table2[[#This Row],[Value]]/Table2[[#This Row],[Conversion]])</f>
        <v/>
      </c>
      <c r="K1829" s="45" t="str">
        <f>IF(Table2[[#This Row],[Description]]="","",DATE(Table2[[#This Row],[Year]],Table2[[#This Row],[Month]],1))</f>
        <v/>
      </c>
    </row>
    <row r="1830" spans="7:11" x14ac:dyDescent="0.25">
      <c r="G1830" s="1" t="str">
        <f>IF(Table2[[#This Row],[Description]]="","",VLOOKUP(Table2[[#This Row],[Description]],$Q$1:$S$101,2,FALSE))</f>
        <v/>
      </c>
      <c r="H1830" s="1" t="str">
        <f>IF(Table2[[#This Row],[Description]]="","",VLOOKUP(Table2[[#This Row],[Description]],$Q$1:$S$101,3,FALSE))</f>
        <v/>
      </c>
      <c r="I1830" s="1" t="str">
        <f>IF(Table2[[#This Row],[Description]]="","",IF(Table2[[#This Row],[Currency]]=$O$2,$P$2,HLOOKUP(Table2[[#This Row],[Date]],Funds!$C$10:$GV$11,2,FALSE)))</f>
        <v/>
      </c>
      <c r="J1830" s="215" t="str">
        <f>IF(Table2[[#This Row],[Description]]="","",Table2[[#This Row],[Value]]/Table2[[#This Row],[Conversion]])</f>
        <v/>
      </c>
      <c r="K1830" s="45" t="str">
        <f>IF(Table2[[#This Row],[Description]]="","",DATE(Table2[[#This Row],[Year]],Table2[[#This Row],[Month]],1))</f>
        <v/>
      </c>
    </row>
    <row r="1831" spans="7:11" x14ac:dyDescent="0.25">
      <c r="G1831" s="1" t="str">
        <f>IF(Table2[[#This Row],[Description]]="","",VLOOKUP(Table2[[#This Row],[Description]],$Q$1:$S$101,2,FALSE))</f>
        <v/>
      </c>
      <c r="H1831" s="1" t="str">
        <f>IF(Table2[[#This Row],[Description]]="","",VLOOKUP(Table2[[#This Row],[Description]],$Q$1:$S$101,3,FALSE))</f>
        <v/>
      </c>
      <c r="I1831" s="1" t="str">
        <f>IF(Table2[[#This Row],[Description]]="","",IF(Table2[[#This Row],[Currency]]=$O$2,$P$2,HLOOKUP(Table2[[#This Row],[Date]],Funds!$C$10:$GV$11,2,FALSE)))</f>
        <v/>
      </c>
      <c r="J1831" s="215" t="str">
        <f>IF(Table2[[#This Row],[Description]]="","",Table2[[#This Row],[Value]]/Table2[[#This Row],[Conversion]])</f>
        <v/>
      </c>
      <c r="K1831" s="45" t="str">
        <f>IF(Table2[[#This Row],[Description]]="","",DATE(Table2[[#This Row],[Year]],Table2[[#This Row],[Month]],1))</f>
        <v/>
      </c>
    </row>
    <row r="1832" spans="7:11" x14ac:dyDescent="0.25">
      <c r="G1832" s="1" t="str">
        <f>IF(Table2[[#This Row],[Description]]="","",VLOOKUP(Table2[[#This Row],[Description]],$Q$1:$S$101,2,FALSE))</f>
        <v/>
      </c>
      <c r="H1832" s="1" t="str">
        <f>IF(Table2[[#This Row],[Description]]="","",VLOOKUP(Table2[[#This Row],[Description]],$Q$1:$S$101,3,FALSE))</f>
        <v/>
      </c>
      <c r="I1832" s="1" t="str">
        <f>IF(Table2[[#This Row],[Description]]="","",IF(Table2[[#This Row],[Currency]]=$O$2,$P$2,HLOOKUP(Table2[[#This Row],[Date]],Funds!$C$10:$GV$11,2,FALSE)))</f>
        <v/>
      </c>
      <c r="J1832" s="215" t="str">
        <f>IF(Table2[[#This Row],[Description]]="","",Table2[[#This Row],[Value]]/Table2[[#This Row],[Conversion]])</f>
        <v/>
      </c>
      <c r="K1832" s="45" t="str">
        <f>IF(Table2[[#This Row],[Description]]="","",DATE(Table2[[#This Row],[Year]],Table2[[#This Row],[Month]],1))</f>
        <v/>
      </c>
    </row>
    <row r="1833" spans="7:11" x14ac:dyDescent="0.25">
      <c r="G1833" s="1" t="str">
        <f>IF(Table2[[#This Row],[Description]]="","",VLOOKUP(Table2[[#This Row],[Description]],$Q$1:$S$101,2,FALSE))</f>
        <v/>
      </c>
      <c r="H1833" s="1" t="str">
        <f>IF(Table2[[#This Row],[Description]]="","",VLOOKUP(Table2[[#This Row],[Description]],$Q$1:$S$101,3,FALSE))</f>
        <v/>
      </c>
      <c r="I1833" s="1" t="str">
        <f>IF(Table2[[#This Row],[Description]]="","",IF(Table2[[#This Row],[Currency]]=$O$2,$P$2,HLOOKUP(Table2[[#This Row],[Date]],Funds!$C$10:$GV$11,2,FALSE)))</f>
        <v/>
      </c>
      <c r="J1833" s="215" t="str">
        <f>IF(Table2[[#This Row],[Description]]="","",Table2[[#This Row],[Value]]/Table2[[#This Row],[Conversion]])</f>
        <v/>
      </c>
      <c r="K1833" s="45" t="str">
        <f>IF(Table2[[#This Row],[Description]]="","",DATE(Table2[[#This Row],[Year]],Table2[[#This Row],[Month]],1))</f>
        <v/>
      </c>
    </row>
    <row r="1834" spans="7:11" x14ac:dyDescent="0.25">
      <c r="G1834" s="1" t="str">
        <f>IF(Table2[[#This Row],[Description]]="","",VLOOKUP(Table2[[#This Row],[Description]],$Q$1:$S$101,2,FALSE))</f>
        <v/>
      </c>
      <c r="H1834" s="1" t="str">
        <f>IF(Table2[[#This Row],[Description]]="","",VLOOKUP(Table2[[#This Row],[Description]],$Q$1:$S$101,3,FALSE))</f>
        <v/>
      </c>
      <c r="I1834" s="1" t="str">
        <f>IF(Table2[[#This Row],[Description]]="","",IF(Table2[[#This Row],[Currency]]=$O$2,$P$2,HLOOKUP(Table2[[#This Row],[Date]],Funds!$C$10:$GV$11,2,FALSE)))</f>
        <v/>
      </c>
      <c r="J1834" s="215" t="str">
        <f>IF(Table2[[#This Row],[Description]]="","",Table2[[#This Row],[Value]]/Table2[[#This Row],[Conversion]])</f>
        <v/>
      </c>
      <c r="K1834" s="45" t="str">
        <f>IF(Table2[[#This Row],[Description]]="","",DATE(Table2[[#This Row],[Year]],Table2[[#This Row],[Month]],1))</f>
        <v/>
      </c>
    </row>
    <row r="1835" spans="7:11" x14ac:dyDescent="0.25">
      <c r="G1835" s="1" t="str">
        <f>IF(Table2[[#This Row],[Description]]="","",VLOOKUP(Table2[[#This Row],[Description]],$Q$1:$S$101,2,FALSE))</f>
        <v/>
      </c>
      <c r="H1835" s="1" t="str">
        <f>IF(Table2[[#This Row],[Description]]="","",VLOOKUP(Table2[[#This Row],[Description]],$Q$1:$S$101,3,FALSE))</f>
        <v/>
      </c>
      <c r="I1835" s="1" t="str">
        <f>IF(Table2[[#This Row],[Description]]="","",IF(Table2[[#This Row],[Currency]]=$O$2,$P$2,HLOOKUP(Table2[[#This Row],[Date]],Funds!$C$10:$GV$11,2,FALSE)))</f>
        <v/>
      </c>
      <c r="J1835" s="215" t="str">
        <f>IF(Table2[[#This Row],[Description]]="","",Table2[[#This Row],[Value]]/Table2[[#This Row],[Conversion]])</f>
        <v/>
      </c>
      <c r="K1835" s="45" t="str">
        <f>IF(Table2[[#This Row],[Description]]="","",DATE(Table2[[#This Row],[Year]],Table2[[#This Row],[Month]],1))</f>
        <v/>
      </c>
    </row>
    <row r="1836" spans="7:11" x14ac:dyDescent="0.25">
      <c r="G1836" s="1" t="str">
        <f>IF(Table2[[#This Row],[Description]]="","",VLOOKUP(Table2[[#This Row],[Description]],$Q$1:$S$101,2,FALSE))</f>
        <v/>
      </c>
      <c r="H1836" s="1" t="str">
        <f>IF(Table2[[#This Row],[Description]]="","",VLOOKUP(Table2[[#This Row],[Description]],$Q$1:$S$101,3,FALSE))</f>
        <v/>
      </c>
      <c r="I1836" s="1" t="str">
        <f>IF(Table2[[#This Row],[Description]]="","",IF(Table2[[#This Row],[Currency]]=$O$2,$P$2,HLOOKUP(Table2[[#This Row],[Date]],Funds!$C$10:$GV$11,2,FALSE)))</f>
        <v/>
      </c>
      <c r="J1836" s="215" t="str">
        <f>IF(Table2[[#This Row],[Description]]="","",Table2[[#This Row],[Value]]/Table2[[#This Row],[Conversion]])</f>
        <v/>
      </c>
      <c r="K1836" s="45" t="str">
        <f>IF(Table2[[#This Row],[Description]]="","",DATE(Table2[[#This Row],[Year]],Table2[[#This Row],[Month]],1))</f>
        <v/>
      </c>
    </row>
    <row r="1837" spans="7:11" x14ac:dyDescent="0.25">
      <c r="G1837" s="1" t="str">
        <f>IF(Table2[[#This Row],[Description]]="","",VLOOKUP(Table2[[#This Row],[Description]],$Q$1:$S$101,2,FALSE))</f>
        <v/>
      </c>
      <c r="H1837" s="1" t="str">
        <f>IF(Table2[[#This Row],[Description]]="","",VLOOKUP(Table2[[#This Row],[Description]],$Q$1:$S$101,3,FALSE))</f>
        <v/>
      </c>
      <c r="I1837" s="1" t="str">
        <f>IF(Table2[[#This Row],[Description]]="","",IF(Table2[[#This Row],[Currency]]=$O$2,$P$2,HLOOKUP(Table2[[#This Row],[Date]],Funds!$C$10:$GV$11,2,FALSE)))</f>
        <v/>
      </c>
      <c r="J1837" s="215" t="str">
        <f>IF(Table2[[#This Row],[Description]]="","",Table2[[#This Row],[Value]]/Table2[[#This Row],[Conversion]])</f>
        <v/>
      </c>
      <c r="K1837" s="45" t="str">
        <f>IF(Table2[[#This Row],[Description]]="","",DATE(Table2[[#This Row],[Year]],Table2[[#This Row],[Month]],1))</f>
        <v/>
      </c>
    </row>
    <row r="1838" spans="7:11" x14ac:dyDescent="0.25">
      <c r="G1838" s="1" t="str">
        <f>IF(Table2[[#This Row],[Description]]="","",VLOOKUP(Table2[[#This Row],[Description]],$Q$1:$S$101,2,FALSE))</f>
        <v/>
      </c>
      <c r="H1838" s="1" t="str">
        <f>IF(Table2[[#This Row],[Description]]="","",VLOOKUP(Table2[[#This Row],[Description]],$Q$1:$S$101,3,FALSE))</f>
        <v/>
      </c>
      <c r="I1838" s="1" t="str">
        <f>IF(Table2[[#This Row],[Description]]="","",IF(Table2[[#This Row],[Currency]]=$O$2,$P$2,HLOOKUP(Table2[[#This Row],[Date]],Funds!$C$10:$GV$11,2,FALSE)))</f>
        <v/>
      </c>
      <c r="J1838" s="215" t="str">
        <f>IF(Table2[[#This Row],[Description]]="","",Table2[[#This Row],[Value]]/Table2[[#This Row],[Conversion]])</f>
        <v/>
      </c>
      <c r="K1838" s="45" t="str">
        <f>IF(Table2[[#This Row],[Description]]="","",DATE(Table2[[#This Row],[Year]],Table2[[#This Row],[Month]],1))</f>
        <v/>
      </c>
    </row>
    <row r="1839" spans="7:11" x14ac:dyDescent="0.25">
      <c r="G1839" s="1" t="str">
        <f>IF(Table2[[#This Row],[Description]]="","",VLOOKUP(Table2[[#This Row],[Description]],$Q$1:$S$101,2,FALSE))</f>
        <v/>
      </c>
      <c r="H1839" s="1" t="str">
        <f>IF(Table2[[#This Row],[Description]]="","",VLOOKUP(Table2[[#This Row],[Description]],$Q$1:$S$101,3,FALSE))</f>
        <v/>
      </c>
      <c r="I1839" s="1" t="str">
        <f>IF(Table2[[#This Row],[Description]]="","",IF(Table2[[#This Row],[Currency]]=$O$2,$P$2,HLOOKUP(Table2[[#This Row],[Date]],Funds!$C$10:$GV$11,2,FALSE)))</f>
        <v/>
      </c>
      <c r="J1839" s="215" t="str">
        <f>IF(Table2[[#This Row],[Description]]="","",Table2[[#This Row],[Value]]/Table2[[#This Row],[Conversion]])</f>
        <v/>
      </c>
      <c r="K1839" s="45" t="str">
        <f>IF(Table2[[#This Row],[Description]]="","",DATE(Table2[[#This Row],[Year]],Table2[[#This Row],[Month]],1))</f>
        <v/>
      </c>
    </row>
    <row r="1840" spans="7:11" x14ac:dyDescent="0.25">
      <c r="G1840" s="1" t="str">
        <f>IF(Table2[[#This Row],[Description]]="","",VLOOKUP(Table2[[#This Row],[Description]],$Q$1:$S$101,2,FALSE))</f>
        <v/>
      </c>
      <c r="H1840" s="1" t="str">
        <f>IF(Table2[[#This Row],[Description]]="","",VLOOKUP(Table2[[#This Row],[Description]],$Q$1:$S$101,3,FALSE))</f>
        <v/>
      </c>
      <c r="I1840" s="1" t="str">
        <f>IF(Table2[[#This Row],[Description]]="","",IF(Table2[[#This Row],[Currency]]=$O$2,$P$2,HLOOKUP(Table2[[#This Row],[Date]],Funds!$C$10:$GV$11,2,FALSE)))</f>
        <v/>
      </c>
      <c r="J1840" s="215" t="str">
        <f>IF(Table2[[#This Row],[Description]]="","",Table2[[#This Row],[Value]]/Table2[[#This Row],[Conversion]])</f>
        <v/>
      </c>
      <c r="K1840" s="45" t="str">
        <f>IF(Table2[[#This Row],[Description]]="","",DATE(Table2[[#This Row],[Year]],Table2[[#This Row],[Month]],1))</f>
        <v/>
      </c>
    </row>
    <row r="1841" spans="7:11" x14ac:dyDescent="0.25">
      <c r="G1841" s="1" t="str">
        <f>IF(Table2[[#This Row],[Description]]="","",VLOOKUP(Table2[[#This Row],[Description]],$Q$1:$S$101,2,FALSE))</f>
        <v/>
      </c>
      <c r="H1841" s="1" t="str">
        <f>IF(Table2[[#This Row],[Description]]="","",VLOOKUP(Table2[[#This Row],[Description]],$Q$1:$S$101,3,FALSE))</f>
        <v/>
      </c>
      <c r="I1841" s="1" t="str">
        <f>IF(Table2[[#This Row],[Description]]="","",IF(Table2[[#This Row],[Currency]]=$O$2,$P$2,HLOOKUP(Table2[[#This Row],[Date]],Funds!$C$10:$GV$11,2,FALSE)))</f>
        <v/>
      </c>
      <c r="J1841" s="215" t="str">
        <f>IF(Table2[[#This Row],[Description]]="","",Table2[[#This Row],[Value]]/Table2[[#This Row],[Conversion]])</f>
        <v/>
      </c>
      <c r="K1841" s="45" t="str">
        <f>IF(Table2[[#This Row],[Description]]="","",DATE(Table2[[#This Row],[Year]],Table2[[#This Row],[Month]],1))</f>
        <v/>
      </c>
    </row>
    <row r="1842" spans="7:11" x14ac:dyDescent="0.25">
      <c r="G1842" s="1" t="str">
        <f>IF(Table2[[#This Row],[Description]]="","",VLOOKUP(Table2[[#This Row],[Description]],$Q$1:$S$101,2,FALSE))</f>
        <v/>
      </c>
      <c r="H1842" s="1" t="str">
        <f>IF(Table2[[#This Row],[Description]]="","",VLOOKUP(Table2[[#This Row],[Description]],$Q$1:$S$101,3,FALSE))</f>
        <v/>
      </c>
      <c r="I1842" s="1" t="str">
        <f>IF(Table2[[#This Row],[Description]]="","",IF(Table2[[#This Row],[Currency]]=$O$2,$P$2,HLOOKUP(Table2[[#This Row],[Date]],Funds!$C$10:$GV$11,2,FALSE)))</f>
        <v/>
      </c>
      <c r="J1842" s="215" t="str">
        <f>IF(Table2[[#This Row],[Description]]="","",Table2[[#This Row],[Value]]/Table2[[#This Row],[Conversion]])</f>
        <v/>
      </c>
      <c r="K1842" s="45" t="str">
        <f>IF(Table2[[#This Row],[Description]]="","",DATE(Table2[[#This Row],[Year]],Table2[[#This Row],[Month]],1))</f>
        <v/>
      </c>
    </row>
    <row r="1843" spans="7:11" x14ac:dyDescent="0.25">
      <c r="G1843" s="1" t="str">
        <f>IF(Table2[[#This Row],[Description]]="","",VLOOKUP(Table2[[#This Row],[Description]],$Q$1:$S$101,2,FALSE))</f>
        <v/>
      </c>
      <c r="H1843" s="1" t="str">
        <f>IF(Table2[[#This Row],[Description]]="","",VLOOKUP(Table2[[#This Row],[Description]],$Q$1:$S$101,3,FALSE))</f>
        <v/>
      </c>
      <c r="I1843" s="1" t="str">
        <f>IF(Table2[[#This Row],[Description]]="","",IF(Table2[[#This Row],[Currency]]=$O$2,$P$2,HLOOKUP(Table2[[#This Row],[Date]],Funds!$C$10:$GV$11,2,FALSE)))</f>
        <v/>
      </c>
      <c r="J1843" s="215" t="str">
        <f>IF(Table2[[#This Row],[Description]]="","",Table2[[#This Row],[Value]]/Table2[[#This Row],[Conversion]])</f>
        <v/>
      </c>
      <c r="K1843" s="45" t="str">
        <f>IF(Table2[[#This Row],[Description]]="","",DATE(Table2[[#This Row],[Year]],Table2[[#This Row],[Month]],1))</f>
        <v/>
      </c>
    </row>
    <row r="1844" spans="7:11" x14ac:dyDescent="0.25">
      <c r="G1844" s="1" t="str">
        <f>IF(Table2[[#This Row],[Description]]="","",VLOOKUP(Table2[[#This Row],[Description]],$Q$1:$S$101,2,FALSE))</f>
        <v/>
      </c>
      <c r="H1844" s="1" t="str">
        <f>IF(Table2[[#This Row],[Description]]="","",VLOOKUP(Table2[[#This Row],[Description]],$Q$1:$S$101,3,FALSE))</f>
        <v/>
      </c>
      <c r="I1844" s="1" t="str">
        <f>IF(Table2[[#This Row],[Description]]="","",IF(Table2[[#This Row],[Currency]]=$O$2,$P$2,HLOOKUP(Table2[[#This Row],[Date]],Funds!$C$10:$GV$11,2,FALSE)))</f>
        <v/>
      </c>
      <c r="J1844" s="215" t="str">
        <f>IF(Table2[[#This Row],[Description]]="","",Table2[[#This Row],[Value]]/Table2[[#This Row],[Conversion]])</f>
        <v/>
      </c>
      <c r="K1844" s="45" t="str">
        <f>IF(Table2[[#This Row],[Description]]="","",DATE(Table2[[#This Row],[Year]],Table2[[#This Row],[Month]],1))</f>
        <v/>
      </c>
    </row>
    <row r="1845" spans="7:11" x14ac:dyDescent="0.25">
      <c r="G1845" s="1" t="str">
        <f>IF(Table2[[#This Row],[Description]]="","",VLOOKUP(Table2[[#This Row],[Description]],$Q$1:$S$101,2,FALSE))</f>
        <v/>
      </c>
      <c r="H1845" s="1" t="str">
        <f>IF(Table2[[#This Row],[Description]]="","",VLOOKUP(Table2[[#This Row],[Description]],$Q$1:$S$101,3,FALSE))</f>
        <v/>
      </c>
      <c r="I1845" s="1" t="str">
        <f>IF(Table2[[#This Row],[Description]]="","",IF(Table2[[#This Row],[Currency]]=$O$2,$P$2,HLOOKUP(Table2[[#This Row],[Date]],Funds!$C$10:$GV$11,2,FALSE)))</f>
        <v/>
      </c>
      <c r="J1845" s="215" t="str">
        <f>IF(Table2[[#This Row],[Description]]="","",Table2[[#This Row],[Value]]/Table2[[#This Row],[Conversion]])</f>
        <v/>
      </c>
      <c r="K1845" s="45" t="str">
        <f>IF(Table2[[#This Row],[Description]]="","",DATE(Table2[[#This Row],[Year]],Table2[[#This Row],[Month]],1))</f>
        <v/>
      </c>
    </row>
    <row r="1846" spans="7:11" x14ac:dyDescent="0.25">
      <c r="G1846" s="1" t="str">
        <f>IF(Table2[[#This Row],[Description]]="","",VLOOKUP(Table2[[#This Row],[Description]],$Q$1:$S$101,2,FALSE))</f>
        <v/>
      </c>
      <c r="H1846" s="1" t="str">
        <f>IF(Table2[[#This Row],[Description]]="","",VLOOKUP(Table2[[#This Row],[Description]],$Q$1:$S$101,3,FALSE))</f>
        <v/>
      </c>
      <c r="I1846" s="1" t="str">
        <f>IF(Table2[[#This Row],[Description]]="","",IF(Table2[[#This Row],[Currency]]=$O$2,$P$2,HLOOKUP(Table2[[#This Row],[Date]],Funds!$C$10:$GV$11,2,FALSE)))</f>
        <v/>
      </c>
      <c r="J1846" s="215" t="str">
        <f>IF(Table2[[#This Row],[Description]]="","",Table2[[#This Row],[Value]]/Table2[[#This Row],[Conversion]])</f>
        <v/>
      </c>
      <c r="K1846" s="45" t="str">
        <f>IF(Table2[[#This Row],[Description]]="","",DATE(Table2[[#This Row],[Year]],Table2[[#This Row],[Month]],1))</f>
        <v/>
      </c>
    </row>
    <row r="1847" spans="7:11" x14ac:dyDescent="0.25">
      <c r="G1847" s="1" t="str">
        <f>IF(Table2[[#This Row],[Description]]="","",VLOOKUP(Table2[[#This Row],[Description]],$Q$1:$S$101,2,FALSE))</f>
        <v/>
      </c>
      <c r="H1847" s="1" t="str">
        <f>IF(Table2[[#This Row],[Description]]="","",VLOOKUP(Table2[[#This Row],[Description]],$Q$1:$S$101,3,FALSE))</f>
        <v/>
      </c>
      <c r="I1847" s="1" t="str">
        <f>IF(Table2[[#This Row],[Description]]="","",IF(Table2[[#This Row],[Currency]]=$O$2,$P$2,HLOOKUP(Table2[[#This Row],[Date]],Funds!$C$10:$GV$11,2,FALSE)))</f>
        <v/>
      </c>
      <c r="J1847" s="215" t="str">
        <f>IF(Table2[[#This Row],[Description]]="","",Table2[[#This Row],[Value]]/Table2[[#This Row],[Conversion]])</f>
        <v/>
      </c>
      <c r="K1847" s="45" t="str">
        <f>IF(Table2[[#This Row],[Description]]="","",DATE(Table2[[#This Row],[Year]],Table2[[#This Row],[Month]],1))</f>
        <v/>
      </c>
    </row>
    <row r="1848" spans="7:11" x14ac:dyDescent="0.25">
      <c r="G1848" s="1" t="str">
        <f>IF(Table2[[#This Row],[Description]]="","",VLOOKUP(Table2[[#This Row],[Description]],$Q$1:$S$101,2,FALSE))</f>
        <v/>
      </c>
      <c r="H1848" s="1" t="str">
        <f>IF(Table2[[#This Row],[Description]]="","",VLOOKUP(Table2[[#This Row],[Description]],$Q$1:$S$101,3,FALSE))</f>
        <v/>
      </c>
      <c r="I1848" s="1" t="str">
        <f>IF(Table2[[#This Row],[Description]]="","",IF(Table2[[#This Row],[Currency]]=$O$2,$P$2,HLOOKUP(Table2[[#This Row],[Date]],Funds!$C$10:$GV$11,2,FALSE)))</f>
        <v/>
      </c>
      <c r="J1848" s="215" t="str">
        <f>IF(Table2[[#This Row],[Description]]="","",Table2[[#This Row],[Value]]/Table2[[#This Row],[Conversion]])</f>
        <v/>
      </c>
      <c r="K1848" s="45" t="str">
        <f>IF(Table2[[#This Row],[Description]]="","",DATE(Table2[[#This Row],[Year]],Table2[[#This Row],[Month]],1))</f>
        <v/>
      </c>
    </row>
    <row r="1849" spans="7:11" x14ac:dyDescent="0.25">
      <c r="G1849" s="1" t="str">
        <f>IF(Table2[[#This Row],[Description]]="","",VLOOKUP(Table2[[#This Row],[Description]],$Q$1:$S$101,2,FALSE))</f>
        <v/>
      </c>
      <c r="H1849" s="1" t="str">
        <f>IF(Table2[[#This Row],[Description]]="","",VLOOKUP(Table2[[#This Row],[Description]],$Q$1:$S$101,3,FALSE))</f>
        <v/>
      </c>
      <c r="I1849" s="1" t="str">
        <f>IF(Table2[[#This Row],[Description]]="","",IF(Table2[[#This Row],[Currency]]=$O$2,$P$2,HLOOKUP(Table2[[#This Row],[Date]],Funds!$C$10:$GV$11,2,FALSE)))</f>
        <v/>
      </c>
      <c r="J1849" s="215" t="str">
        <f>IF(Table2[[#This Row],[Description]]="","",Table2[[#This Row],[Value]]/Table2[[#This Row],[Conversion]])</f>
        <v/>
      </c>
      <c r="K1849" s="45" t="str">
        <f>IF(Table2[[#This Row],[Description]]="","",DATE(Table2[[#This Row],[Year]],Table2[[#This Row],[Month]],1))</f>
        <v/>
      </c>
    </row>
    <row r="1850" spans="7:11" x14ac:dyDescent="0.25">
      <c r="G1850" s="1" t="str">
        <f>IF(Table2[[#This Row],[Description]]="","",VLOOKUP(Table2[[#This Row],[Description]],$Q$1:$S$101,2,FALSE))</f>
        <v/>
      </c>
      <c r="H1850" s="1" t="str">
        <f>IF(Table2[[#This Row],[Description]]="","",VLOOKUP(Table2[[#This Row],[Description]],$Q$1:$S$101,3,FALSE))</f>
        <v/>
      </c>
      <c r="I1850" s="1" t="str">
        <f>IF(Table2[[#This Row],[Description]]="","",IF(Table2[[#This Row],[Currency]]=$O$2,$P$2,HLOOKUP(Table2[[#This Row],[Date]],Funds!$C$10:$GV$11,2,FALSE)))</f>
        <v/>
      </c>
      <c r="J1850" s="215" t="str">
        <f>IF(Table2[[#This Row],[Description]]="","",Table2[[#This Row],[Value]]/Table2[[#This Row],[Conversion]])</f>
        <v/>
      </c>
      <c r="K1850" s="45" t="str">
        <f>IF(Table2[[#This Row],[Description]]="","",DATE(Table2[[#This Row],[Year]],Table2[[#This Row],[Month]],1))</f>
        <v/>
      </c>
    </row>
    <row r="1851" spans="7:11" x14ac:dyDescent="0.25">
      <c r="G1851" s="1" t="str">
        <f>IF(Table2[[#This Row],[Description]]="","",VLOOKUP(Table2[[#This Row],[Description]],$Q$1:$S$101,2,FALSE))</f>
        <v/>
      </c>
      <c r="H1851" s="1" t="str">
        <f>IF(Table2[[#This Row],[Description]]="","",VLOOKUP(Table2[[#This Row],[Description]],$Q$1:$S$101,3,FALSE))</f>
        <v/>
      </c>
      <c r="I1851" s="1" t="str">
        <f>IF(Table2[[#This Row],[Description]]="","",IF(Table2[[#This Row],[Currency]]=$O$2,$P$2,HLOOKUP(Table2[[#This Row],[Date]],Funds!$C$10:$GV$11,2,FALSE)))</f>
        <v/>
      </c>
      <c r="J1851" s="215" t="str">
        <f>IF(Table2[[#This Row],[Description]]="","",Table2[[#This Row],[Value]]/Table2[[#This Row],[Conversion]])</f>
        <v/>
      </c>
      <c r="K1851" s="45" t="str">
        <f>IF(Table2[[#This Row],[Description]]="","",DATE(Table2[[#This Row],[Year]],Table2[[#This Row],[Month]],1))</f>
        <v/>
      </c>
    </row>
    <row r="1852" spans="7:11" x14ac:dyDescent="0.25">
      <c r="G1852" s="1" t="str">
        <f>IF(Table2[[#This Row],[Description]]="","",VLOOKUP(Table2[[#This Row],[Description]],$Q$1:$S$101,2,FALSE))</f>
        <v/>
      </c>
      <c r="H1852" s="1" t="str">
        <f>IF(Table2[[#This Row],[Description]]="","",VLOOKUP(Table2[[#This Row],[Description]],$Q$1:$S$101,3,FALSE))</f>
        <v/>
      </c>
      <c r="I1852" s="1" t="str">
        <f>IF(Table2[[#This Row],[Description]]="","",IF(Table2[[#This Row],[Currency]]=$O$2,$P$2,HLOOKUP(Table2[[#This Row],[Date]],Funds!$C$10:$GV$11,2,FALSE)))</f>
        <v/>
      </c>
      <c r="J1852" s="215" t="str">
        <f>IF(Table2[[#This Row],[Description]]="","",Table2[[#This Row],[Value]]/Table2[[#This Row],[Conversion]])</f>
        <v/>
      </c>
      <c r="K1852" s="45" t="str">
        <f>IF(Table2[[#This Row],[Description]]="","",DATE(Table2[[#This Row],[Year]],Table2[[#This Row],[Month]],1))</f>
        <v/>
      </c>
    </row>
    <row r="1853" spans="7:11" x14ac:dyDescent="0.25">
      <c r="G1853" s="1" t="str">
        <f>IF(Table2[[#This Row],[Description]]="","",VLOOKUP(Table2[[#This Row],[Description]],$Q$1:$S$101,2,FALSE))</f>
        <v/>
      </c>
      <c r="H1853" s="1" t="str">
        <f>IF(Table2[[#This Row],[Description]]="","",VLOOKUP(Table2[[#This Row],[Description]],$Q$1:$S$101,3,FALSE))</f>
        <v/>
      </c>
      <c r="I1853" s="1" t="str">
        <f>IF(Table2[[#This Row],[Description]]="","",IF(Table2[[#This Row],[Currency]]=$O$2,$P$2,HLOOKUP(Table2[[#This Row],[Date]],Funds!$C$10:$GV$11,2,FALSE)))</f>
        <v/>
      </c>
      <c r="J1853" s="215" t="str">
        <f>IF(Table2[[#This Row],[Description]]="","",Table2[[#This Row],[Value]]/Table2[[#This Row],[Conversion]])</f>
        <v/>
      </c>
      <c r="K1853" s="45" t="str">
        <f>IF(Table2[[#This Row],[Description]]="","",DATE(Table2[[#This Row],[Year]],Table2[[#This Row],[Month]],1))</f>
        <v/>
      </c>
    </row>
    <row r="1854" spans="7:11" x14ac:dyDescent="0.25">
      <c r="G1854" s="1" t="str">
        <f>IF(Table2[[#This Row],[Description]]="","",VLOOKUP(Table2[[#This Row],[Description]],$Q$1:$S$101,2,FALSE))</f>
        <v/>
      </c>
      <c r="H1854" s="1" t="str">
        <f>IF(Table2[[#This Row],[Description]]="","",VLOOKUP(Table2[[#This Row],[Description]],$Q$1:$S$101,3,FALSE))</f>
        <v/>
      </c>
      <c r="I1854" s="1" t="str">
        <f>IF(Table2[[#This Row],[Description]]="","",IF(Table2[[#This Row],[Currency]]=$O$2,$P$2,HLOOKUP(Table2[[#This Row],[Date]],Funds!$C$10:$GV$11,2,FALSE)))</f>
        <v/>
      </c>
      <c r="J1854" s="215" t="str">
        <f>IF(Table2[[#This Row],[Description]]="","",Table2[[#This Row],[Value]]/Table2[[#This Row],[Conversion]])</f>
        <v/>
      </c>
      <c r="K1854" s="45" t="str">
        <f>IF(Table2[[#This Row],[Description]]="","",DATE(Table2[[#This Row],[Year]],Table2[[#This Row],[Month]],1))</f>
        <v/>
      </c>
    </row>
    <row r="1855" spans="7:11" x14ac:dyDescent="0.25">
      <c r="G1855" s="1" t="str">
        <f>IF(Table2[[#This Row],[Description]]="","",VLOOKUP(Table2[[#This Row],[Description]],$Q$1:$S$101,2,FALSE))</f>
        <v/>
      </c>
      <c r="H1855" s="1" t="str">
        <f>IF(Table2[[#This Row],[Description]]="","",VLOOKUP(Table2[[#This Row],[Description]],$Q$1:$S$101,3,FALSE))</f>
        <v/>
      </c>
      <c r="I1855" s="1" t="str">
        <f>IF(Table2[[#This Row],[Description]]="","",IF(Table2[[#This Row],[Currency]]=$O$2,$P$2,HLOOKUP(Table2[[#This Row],[Date]],Funds!$C$10:$GV$11,2,FALSE)))</f>
        <v/>
      </c>
      <c r="J1855" s="215" t="str">
        <f>IF(Table2[[#This Row],[Description]]="","",Table2[[#This Row],[Value]]/Table2[[#This Row],[Conversion]])</f>
        <v/>
      </c>
      <c r="K1855" s="45" t="str">
        <f>IF(Table2[[#This Row],[Description]]="","",DATE(Table2[[#This Row],[Year]],Table2[[#This Row],[Month]],1))</f>
        <v/>
      </c>
    </row>
    <row r="1856" spans="7:11" x14ac:dyDescent="0.25">
      <c r="G1856" s="1" t="str">
        <f>IF(Table2[[#This Row],[Description]]="","",VLOOKUP(Table2[[#This Row],[Description]],$Q$1:$S$101,2,FALSE))</f>
        <v/>
      </c>
      <c r="H1856" s="1" t="str">
        <f>IF(Table2[[#This Row],[Description]]="","",VLOOKUP(Table2[[#This Row],[Description]],$Q$1:$S$101,3,FALSE))</f>
        <v/>
      </c>
      <c r="I1856" s="1" t="str">
        <f>IF(Table2[[#This Row],[Description]]="","",IF(Table2[[#This Row],[Currency]]=$O$2,$P$2,HLOOKUP(Table2[[#This Row],[Date]],Funds!$C$10:$GV$11,2,FALSE)))</f>
        <v/>
      </c>
      <c r="J1856" s="215" t="str">
        <f>IF(Table2[[#This Row],[Description]]="","",Table2[[#This Row],[Value]]/Table2[[#This Row],[Conversion]])</f>
        <v/>
      </c>
      <c r="K1856" s="45" t="str">
        <f>IF(Table2[[#This Row],[Description]]="","",DATE(Table2[[#This Row],[Year]],Table2[[#This Row],[Month]],1))</f>
        <v/>
      </c>
    </row>
    <row r="1857" spans="7:11" x14ac:dyDescent="0.25">
      <c r="G1857" s="1" t="str">
        <f>IF(Table2[[#This Row],[Description]]="","",VLOOKUP(Table2[[#This Row],[Description]],$Q$1:$S$101,2,FALSE))</f>
        <v/>
      </c>
      <c r="H1857" s="1" t="str">
        <f>IF(Table2[[#This Row],[Description]]="","",VLOOKUP(Table2[[#This Row],[Description]],$Q$1:$S$101,3,FALSE))</f>
        <v/>
      </c>
      <c r="I1857" s="1" t="str">
        <f>IF(Table2[[#This Row],[Description]]="","",IF(Table2[[#This Row],[Currency]]=$O$2,$P$2,HLOOKUP(Table2[[#This Row],[Date]],Funds!$C$10:$GV$11,2,FALSE)))</f>
        <v/>
      </c>
      <c r="J1857" s="215" t="str">
        <f>IF(Table2[[#This Row],[Description]]="","",Table2[[#This Row],[Value]]/Table2[[#This Row],[Conversion]])</f>
        <v/>
      </c>
      <c r="K1857" s="45" t="str">
        <f>IF(Table2[[#This Row],[Description]]="","",DATE(Table2[[#This Row],[Year]],Table2[[#This Row],[Month]],1))</f>
        <v/>
      </c>
    </row>
    <row r="1858" spans="7:11" x14ac:dyDescent="0.25">
      <c r="G1858" s="1" t="str">
        <f>IF(Table2[[#This Row],[Description]]="","",VLOOKUP(Table2[[#This Row],[Description]],$Q$1:$S$101,2,FALSE))</f>
        <v/>
      </c>
      <c r="H1858" s="1" t="str">
        <f>IF(Table2[[#This Row],[Description]]="","",VLOOKUP(Table2[[#This Row],[Description]],$Q$1:$S$101,3,FALSE))</f>
        <v/>
      </c>
      <c r="I1858" s="1" t="str">
        <f>IF(Table2[[#This Row],[Description]]="","",IF(Table2[[#This Row],[Currency]]=$O$2,$P$2,HLOOKUP(Table2[[#This Row],[Date]],Funds!$C$10:$GV$11,2,FALSE)))</f>
        <v/>
      </c>
      <c r="J1858" s="215" t="str">
        <f>IF(Table2[[#This Row],[Description]]="","",Table2[[#This Row],[Value]]/Table2[[#This Row],[Conversion]])</f>
        <v/>
      </c>
      <c r="K1858" s="45" t="str">
        <f>IF(Table2[[#This Row],[Description]]="","",DATE(Table2[[#This Row],[Year]],Table2[[#This Row],[Month]],1))</f>
        <v/>
      </c>
    </row>
    <row r="1859" spans="7:11" x14ac:dyDescent="0.25">
      <c r="G1859" s="1" t="str">
        <f>IF(Table2[[#This Row],[Description]]="","",VLOOKUP(Table2[[#This Row],[Description]],$Q$1:$S$101,2,FALSE))</f>
        <v/>
      </c>
      <c r="H1859" s="1" t="str">
        <f>IF(Table2[[#This Row],[Description]]="","",VLOOKUP(Table2[[#This Row],[Description]],$Q$1:$S$101,3,FALSE))</f>
        <v/>
      </c>
      <c r="I1859" s="1" t="str">
        <f>IF(Table2[[#This Row],[Description]]="","",IF(Table2[[#This Row],[Currency]]=$O$2,$P$2,HLOOKUP(Table2[[#This Row],[Date]],Funds!$C$10:$GV$11,2,FALSE)))</f>
        <v/>
      </c>
      <c r="J1859" s="215" t="str">
        <f>IF(Table2[[#This Row],[Description]]="","",Table2[[#This Row],[Value]]/Table2[[#This Row],[Conversion]])</f>
        <v/>
      </c>
      <c r="K1859" s="45" t="str">
        <f>IF(Table2[[#This Row],[Description]]="","",DATE(Table2[[#This Row],[Year]],Table2[[#This Row],[Month]],1))</f>
        <v/>
      </c>
    </row>
    <row r="1860" spans="7:11" x14ac:dyDescent="0.25">
      <c r="G1860" s="1" t="str">
        <f>IF(Table2[[#This Row],[Description]]="","",VLOOKUP(Table2[[#This Row],[Description]],$Q$1:$S$101,2,FALSE))</f>
        <v/>
      </c>
      <c r="H1860" s="1" t="str">
        <f>IF(Table2[[#This Row],[Description]]="","",VLOOKUP(Table2[[#This Row],[Description]],$Q$1:$S$101,3,FALSE))</f>
        <v/>
      </c>
      <c r="I1860" s="1" t="str">
        <f>IF(Table2[[#This Row],[Description]]="","",IF(Table2[[#This Row],[Currency]]=$O$2,$P$2,HLOOKUP(Table2[[#This Row],[Date]],Funds!$C$10:$GV$11,2,FALSE)))</f>
        <v/>
      </c>
      <c r="J1860" s="215" t="str">
        <f>IF(Table2[[#This Row],[Description]]="","",Table2[[#This Row],[Value]]/Table2[[#This Row],[Conversion]])</f>
        <v/>
      </c>
      <c r="K1860" s="45" t="str">
        <f>IF(Table2[[#This Row],[Description]]="","",DATE(Table2[[#This Row],[Year]],Table2[[#This Row],[Month]],1))</f>
        <v/>
      </c>
    </row>
    <row r="1861" spans="7:11" x14ac:dyDescent="0.25">
      <c r="G1861" s="1" t="str">
        <f>IF(Table2[[#This Row],[Description]]="","",VLOOKUP(Table2[[#This Row],[Description]],$Q$1:$S$101,2,FALSE))</f>
        <v/>
      </c>
      <c r="H1861" s="1" t="str">
        <f>IF(Table2[[#This Row],[Description]]="","",VLOOKUP(Table2[[#This Row],[Description]],$Q$1:$S$101,3,FALSE))</f>
        <v/>
      </c>
      <c r="I1861" s="1" t="str">
        <f>IF(Table2[[#This Row],[Description]]="","",IF(Table2[[#This Row],[Currency]]=$O$2,$P$2,HLOOKUP(Table2[[#This Row],[Date]],Funds!$C$10:$GV$11,2,FALSE)))</f>
        <v/>
      </c>
      <c r="J1861" s="215" t="str">
        <f>IF(Table2[[#This Row],[Description]]="","",Table2[[#This Row],[Value]]/Table2[[#This Row],[Conversion]])</f>
        <v/>
      </c>
      <c r="K1861" s="45" t="str">
        <f>IF(Table2[[#This Row],[Description]]="","",DATE(Table2[[#This Row],[Year]],Table2[[#This Row],[Month]],1))</f>
        <v/>
      </c>
    </row>
    <row r="1862" spans="7:11" x14ac:dyDescent="0.25">
      <c r="G1862" s="1" t="str">
        <f>IF(Table2[[#This Row],[Description]]="","",VLOOKUP(Table2[[#This Row],[Description]],$Q$1:$S$101,2,FALSE))</f>
        <v/>
      </c>
      <c r="H1862" s="1" t="str">
        <f>IF(Table2[[#This Row],[Description]]="","",VLOOKUP(Table2[[#This Row],[Description]],$Q$1:$S$101,3,FALSE))</f>
        <v/>
      </c>
      <c r="I1862" s="1" t="str">
        <f>IF(Table2[[#This Row],[Description]]="","",IF(Table2[[#This Row],[Currency]]=$O$2,$P$2,HLOOKUP(Table2[[#This Row],[Date]],Funds!$C$10:$GV$11,2,FALSE)))</f>
        <v/>
      </c>
      <c r="J1862" s="215" t="str">
        <f>IF(Table2[[#This Row],[Description]]="","",Table2[[#This Row],[Value]]/Table2[[#This Row],[Conversion]])</f>
        <v/>
      </c>
      <c r="K1862" s="45" t="str">
        <f>IF(Table2[[#This Row],[Description]]="","",DATE(Table2[[#This Row],[Year]],Table2[[#This Row],[Month]],1))</f>
        <v/>
      </c>
    </row>
    <row r="1863" spans="7:11" x14ac:dyDescent="0.25">
      <c r="G1863" s="1" t="str">
        <f>IF(Table2[[#This Row],[Description]]="","",VLOOKUP(Table2[[#This Row],[Description]],$Q$1:$S$101,2,FALSE))</f>
        <v/>
      </c>
      <c r="H1863" s="1" t="str">
        <f>IF(Table2[[#This Row],[Description]]="","",VLOOKUP(Table2[[#This Row],[Description]],$Q$1:$S$101,3,FALSE))</f>
        <v/>
      </c>
      <c r="I1863" s="1" t="str">
        <f>IF(Table2[[#This Row],[Description]]="","",IF(Table2[[#This Row],[Currency]]=$O$2,$P$2,HLOOKUP(Table2[[#This Row],[Date]],Funds!$C$10:$GV$11,2,FALSE)))</f>
        <v/>
      </c>
      <c r="J1863" s="215" t="str">
        <f>IF(Table2[[#This Row],[Description]]="","",Table2[[#This Row],[Value]]/Table2[[#This Row],[Conversion]])</f>
        <v/>
      </c>
      <c r="K1863" s="45" t="str">
        <f>IF(Table2[[#This Row],[Description]]="","",DATE(Table2[[#This Row],[Year]],Table2[[#This Row],[Month]],1))</f>
        <v/>
      </c>
    </row>
    <row r="1864" spans="7:11" x14ac:dyDescent="0.25">
      <c r="G1864" s="1" t="str">
        <f>IF(Table2[[#This Row],[Description]]="","",VLOOKUP(Table2[[#This Row],[Description]],$Q$1:$S$101,2,FALSE))</f>
        <v/>
      </c>
      <c r="H1864" s="1" t="str">
        <f>IF(Table2[[#This Row],[Description]]="","",VLOOKUP(Table2[[#This Row],[Description]],$Q$1:$S$101,3,FALSE))</f>
        <v/>
      </c>
      <c r="I1864" s="1" t="str">
        <f>IF(Table2[[#This Row],[Description]]="","",IF(Table2[[#This Row],[Currency]]=$O$2,$P$2,HLOOKUP(Table2[[#This Row],[Date]],Funds!$C$10:$GV$11,2,FALSE)))</f>
        <v/>
      </c>
      <c r="J1864" s="215" t="str">
        <f>IF(Table2[[#This Row],[Description]]="","",Table2[[#This Row],[Value]]/Table2[[#This Row],[Conversion]])</f>
        <v/>
      </c>
      <c r="K1864" s="45" t="str">
        <f>IF(Table2[[#This Row],[Description]]="","",DATE(Table2[[#This Row],[Year]],Table2[[#This Row],[Month]],1))</f>
        <v/>
      </c>
    </row>
    <row r="1865" spans="7:11" x14ac:dyDescent="0.25">
      <c r="G1865" s="1" t="str">
        <f>IF(Table2[[#This Row],[Description]]="","",VLOOKUP(Table2[[#This Row],[Description]],$Q$1:$S$101,2,FALSE))</f>
        <v/>
      </c>
      <c r="H1865" s="1" t="str">
        <f>IF(Table2[[#This Row],[Description]]="","",VLOOKUP(Table2[[#This Row],[Description]],$Q$1:$S$101,3,FALSE))</f>
        <v/>
      </c>
      <c r="I1865" s="1" t="str">
        <f>IF(Table2[[#This Row],[Description]]="","",IF(Table2[[#This Row],[Currency]]=$O$2,$P$2,HLOOKUP(Table2[[#This Row],[Date]],Funds!$C$10:$GV$11,2,FALSE)))</f>
        <v/>
      </c>
      <c r="J1865" s="215" t="str">
        <f>IF(Table2[[#This Row],[Description]]="","",Table2[[#This Row],[Value]]/Table2[[#This Row],[Conversion]])</f>
        <v/>
      </c>
      <c r="K1865" s="45" t="str">
        <f>IF(Table2[[#This Row],[Description]]="","",DATE(Table2[[#This Row],[Year]],Table2[[#This Row],[Month]],1))</f>
        <v/>
      </c>
    </row>
    <row r="1866" spans="7:11" x14ac:dyDescent="0.25">
      <c r="G1866" s="1" t="str">
        <f>IF(Table2[[#This Row],[Description]]="","",VLOOKUP(Table2[[#This Row],[Description]],$Q$1:$S$101,2,FALSE))</f>
        <v/>
      </c>
      <c r="H1866" s="1" t="str">
        <f>IF(Table2[[#This Row],[Description]]="","",VLOOKUP(Table2[[#This Row],[Description]],$Q$1:$S$101,3,FALSE))</f>
        <v/>
      </c>
      <c r="I1866" s="1" t="str">
        <f>IF(Table2[[#This Row],[Description]]="","",IF(Table2[[#This Row],[Currency]]=$O$2,$P$2,HLOOKUP(Table2[[#This Row],[Date]],Funds!$C$10:$GV$11,2,FALSE)))</f>
        <v/>
      </c>
      <c r="J1866" s="215" t="str">
        <f>IF(Table2[[#This Row],[Description]]="","",Table2[[#This Row],[Value]]/Table2[[#This Row],[Conversion]])</f>
        <v/>
      </c>
      <c r="K1866" s="45" t="str">
        <f>IF(Table2[[#This Row],[Description]]="","",DATE(Table2[[#This Row],[Year]],Table2[[#This Row],[Month]],1))</f>
        <v/>
      </c>
    </row>
    <row r="1867" spans="7:11" x14ac:dyDescent="0.25">
      <c r="G1867" s="1" t="str">
        <f>IF(Table2[[#This Row],[Description]]="","",VLOOKUP(Table2[[#This Row],[Description]],$Q$1:$S$101,2,FALSE))</f>
        <v/>
      </c>
      <c r="H1867" s="1" t="str">
        <f>IF(Table2[[#This Row],[Description]]="","",VLOOKUP(Table2[[#This Row],[Description]],$Q$1:$S$101,3,FALSE))</f>
        <v/>
      </c>
      <c r="I1867" s="1" t="str">
        <f>IF(Table2[[#This Row],[Description]]="","",IF(Table2[[#This Row],[Currency]]=$O$2,$P$2,HLOOKUP(Table2[[#This Row],[Date]],Funds!$C$10:$GV$11,2,FALSE)))</f>
        <v/>
      </c>
      <c r="J1867" s="215" t="str">
        <f>IF(Table2[[#This Row],[Description]]="","",Table2[[#This Row],[Value]]/Table2[[#This Row],[Conversion]])</f>
        <v/>
      </c>
      <c r="K1867" s="45" t="str">
        <f>IF(Table2[[#This Row],[Description]]="","",DATE(Table2[[#This Row],[Year]],Table2[[#This Row],[Month]],1))</f>
        <v/>
      </c>
    </row>
    <row r="1868" spans="7:11" x14ac:dyDescent="0.25">
      <c r="G1868" s="1" t="str">
        <f>IF(Table2[[#This Row],[Description]]="","",VLOOKUP(Table2[[#This Row],[Description]],$Q$1:$S$101,2,FALSE))</f>
        <v/>
      </c>
      <c r="H1868" s="1" t="str">
        <f>IF(Table2[[#This Row],[Description]]="","",VLOOKUP(Table2[[#This Row],[Description]],$Q$1:$S$101,3,FALSE))</f>
        <v/>
      </c>
      <c r="I1868" s="1" t="str">
        <f>IF(Table2[[#This Row],[Description]]="","",IF(Table2[[#This Row],[Currency]]=$O$2,$P$2,HLOOKUP(Table2[[#This Row],[Date]],Funds!$C$10:$GV$11,2,FALSE)))</f>
        <v/>
      </c>
      <c r="J1868" s="215" t="str">
        <f>IF(Table2[[#This Row],[Description]]="","",Table2[[#This Row],[Value]]/Table2[[#This Row],[Conversion]])</f>
        <v/>
      </c>
      <c r="K1868" s="45" t="str">
        <f>IF(Table2[[#This Row],[Description]]="","",DATE(Table2[[#This Row],[Year]],Table2[[#This Row],[Month]],1))</f>
        <v/>
      </c>
    </row>
    <row r="1869" spans="7:11" x14ac:dyDescent="0.25">
      <c r="G1869" s="1" t="str">
        <f>IF(Table2[[#This Row],[Description]]="","",VLOOKUP(Table2[[#This Row],[Description]],$Q$1:$S$101,2,FALSE))</f>
        <v/>
      </c>
      <c r="H1869" s="1" t="str">
        <f>IF(Table2[[#This Row],[Description]]="","",VLOOKUP(Table2[[#This Row],[Description]],$Q$1:$S$101,3,FALSE))</f>
        <v/>
      </c>
      <c r="I1869" s="1" t="str">
        <f>IF(Table2[[#This Row],[Description]]="","",IF(Table2[[#This Row],[Currency]]=$O$2,$P$2,HLOOKUP(Table2[[#This Row],[Date]],Funds!$C$10:$GV$11,2,FALSE)))</f>
        <v/>
      </c>
      <c r="J1869" s="215" t="str">
        <f>IF(Table2[[#This Row],[Description]]="","",Table2[[#This Row],[Value]]/Table2[[#This Row],[Conversion]])</f>
        <v/>
      </c>
      <c r="K1869" s="45" t="str">
        <f>IF(Table2[[#This Row],[Description]]="","",DATE(Table2[[#This Row],[Year]],Table2[[#This Row],[Month]],1))</f>
        <v/>
      </c>
    </row>
    <row r="1870" spans="7:11" x14ac:dyDescent="0.25">
      <c r="G1870" s="1" t="str">
        <f>IF(Table2[[#This Row],[Description]]="","",VLOOKUP(Table2[[#This Row],[Description]],$Q$1:$S$101,2,FALSE))</f>
        <v/>
      </c>
      <c r="H1870" s="1" t="str">
        <f>IF(Table2[[#This Row],[Description]]="","",VLOOKUP(Table2[[#This Row],[Description]],$Q$1:$S$101,3,FALSE))</f>
        <v/>
      </c>
      <c r="I1870" s="1" t="str">
        <f>IF(Table2[[#This Row],[Description]]="","",IF(Table2[[#This Row],[Currency]]=$O$2,$P$2,HLOOKUP(Table2[[#This Row],[Date]],Funds!$C$10:$GV$11,2,FALSE)))</f>
        <v/>
      </c>
      <c r="J1870" s="215" t="str">
        <f>IF(Table2[[#This Row],[Description]]="","",Table2[[#This Row],[Value]]/Table2[[#This Row],[Conversion]])</f>
        <v/>
      </c>
      <c r="K1870" s="45" t="str">
        <f>IF(Table2[[#This Row],[Description]]="","",DATE(Table2[[#This Row],[Year]],Table2[[#This Row],[Month]],1))</f>
        <v/>
      </c>
    </row>
    <row r="1871" spans="7:11" x14ac:dyDescent="0.25">
      <c r="G1871" s="1" t="str">
        <f>IF(Table2[[#This Row],[Description]]="","",VLOOKUP(Table2[[#This Row],[Description]],$Q$1:$S$101,2,FALSE))</f>
        <v/>
      </c>
      <c r="H1871" s="1" t="str">
        <f>IF(Table2[[#This Row],[Description]]="","",VLOOKUP(Table2[[#This Row],[Description]],$Q$1:$S$101,3,FALSE))</f>
        <v/>
      </c>
      <c r="I1871" s="1" t="str">
        <f>IF(Table2[[#This Row],[Description]]="","",IF(Table2[[#This Row],[Currency]]=$O$2,$P$2,HLOOKUP(Table2[[#This Row],[Date]],Funds!$C$10:$GV$11,2,FALSE)))</f>
        <v/>
      </c>
      <c r="J1871" s="215" t="str">
        <f>IF(Table2[[#This Row],[Description]]="","",Table2[[#This Row],[Value]]/Table2[[#This Row],[Conversion]])</f>
        <v/>
      </c>
      <c r="K1871" s="45" t="str">
        <f>IF(Table2[[#This Row],[Description]]="","",DATE(Table2[[#This Row],[Year]],Table2[[#This Row],[Month]],1))</f>
        <v/>
      </c>
    </row>
    <row r="1872" spans="7:11" x14ac:dyDescent="0.25">
      <c r="G1872" s="1" t="str">
        <f>IF(Table2[[#This Row],[Description]]="","",VLOOKUP(Table2[[#This Row],[Description]],$Q$1:$S$101,2,FALSE))</f>
        <v/>
      </c>
      <c r="H1872" s="1" t="str">
        <f>IF(Table2[[#This Row],[Description]]="","",VLOOKUP(Table2[[#This Row],[Description]],$Q$1:$S$101,3,FALSE))</f>
        <v/>
      </c>
      <c r="I1872" s="1" t="str">
        <f>IF(Table2[[#This Row],[Description]]="","",IF(Table2[[#This Row],[Currency]]=$O$2,$P$2,HLOOKUP(Table2[[#This Row],[Date]],Funds!$C$10:$GV$11,2,FALSE)))</f>
        <v/>
      </c>
      <c r="J1872" s="215" t="str">
        <f>IF(Table2[[#This Row],[Description]]="","",Table2[[#This Row],[Value]]/Table2[[#This Row],[Conversion]])</f>
        <v/>
      </c>
      <c r="K1872" s="45" t="str">
        <f>IF(Table2[[#This Row],[Description]]="","",DATE(Table2[[#This Row],[Year]],Table2[[#This Row],[Month]],1))</f>
        <v/>
      </c>
    </row>
    <row r="1873" spans="7:11" x14ac:dyDescent="0.25">
      <c r="G1873" s="1" t="str">
        <f>IF(Table2[[#This Row],[Description]]="","",VLOOKUP(Table2[[#This Row],[Description]],$Q$1:$S$101,2,FALSE))</f>
        <v/>
      </c>
      <c r="H1873" s="1" t="str">
        <f>IF(Table2[[#This Row],[Description]]="","",VLOOKUP(Table2[[#This Row],[Description]],$Q$1:$S$101,3,FALSE))</f>
        <v/>
      </c>
      <c r="I1873" s="1" t="str">
        <f>IF(Table2[[#This Row],[Description]]="","",IF(Table2[[#This Row],[Currency]]=$O$2,$P$2,HLOOKUP(Table2[[#This Row],[Date]],Funds!$C$10:$GV$11,2,FALSE)))</f>
        <v/>
      </c>
      <c r="J1873" s="215" t="str">
        <f>IF(Table2[[#This Row],[Description]]="","",Table2[[#This Row],[Value]]/Table2[[#This Row],[Conversion]])</f>
        <v/>
      </c>
      <c r="K1873" s="45" t="str">
        <f>IF(Table2[[#This Row],[Description]]="","",DATE(Table2[[#This Row],[Year]],Table2[[#This Row],[Month]],1))</f>
        <v/>
      </c>
    </row>
    <row r="1874" spans="7:11" x14ac:dyDescent="0.25">
      <c r="G1874" s="1" t="str">
        <f>IF(Table2[[#This Row],[Description]]="","",VLOOKUP(Table2[[#This Row],[Description]],$Q$1:$S$101,2,FALSE))</f>
        <v/>
      </c>
      <c r="H1874" s="1" t="str">
        <f>IF(Table2[[#This Row],[Description]]="","",VLOOKUP(Table2[[#This Row],[Description]],$Q$1:$S$101,3,FALSE))</f>
        <v/>
      </c>
      <c r="I1874" s="1" t="str">
        <f>IF(Table2[[#This Row],[Description]]="","",IF(Table2[[#This Row],[Currency]]=$O$2,$P$2,HLOOKUP(Table2[[#This Row],[Date]],Funds!$C$10:$GV$11,2,FALSE)))</f>
        <v/>
      </c>
      <c r="J1874" s="215" t="str">
        <f>IF(Table2[[#This Row],[Description]]="","",Table2[[#This Row],[Value]]/Table2[[#This Row],[Conversion]])</f>
        <v/>
      </c>
      <c r="K1874" s="45" t="str">
        <f>IF(Table2[[#This Row],[Description]]="","",DATE(Table2[[#This Row],[Year]],Table2[[#This Row],[Month]],1))</f>
        <v/>
      </c>
    </row>
    <row r="1875" spans="7:11" x14ac:dyDescent="0.25">
      <c r="G1875" s="1" t="str">
        <f>IF(Table2[[#This Row],[Description]]="","",VLOOKUP(Table2[[#This Row],[Description]],$Q$1:$S$101,2,FALSE))</f>
        <v/>
      </c>
      <c r="H1875" s="1" t="str">
        <f>IF(Table2[[#This Row],[Description]]="","",VLOOKUP(Table2[[#This Row],[Description]],$Q$1:$S$101,3,FALSE))</f>
        <v/>
      </c>
      <c r="I1875" s="1" t="str">
        <f>IF(Table2[[#This Row],[Description]]="","",IF(Table2[[#This Row],[Currency]]=$O$2,$P$2,HLOOKUP(Table2[[#This Row],[Date]],Funds!$C$10:$GV$11,2,FALSE)))</f>
        <v/>
      </c>
      <c r="J1875" s="215" t="str">
        <f>IF(Table2[[#This Row],[Description]]="","",Table2[[#This Row],[Value]]/Table2[[#This Row],[Conversion]])</f>
        <v/>
      </c>
      <c r="K1875" s="45" t="str">
        <f>IF(Table2[[#This Row],[Description]]="","",DATE(Table2[[#This Row],[Year]],Table2[[#This Row],[Month]],1))</f>
        <v/>
      </c>
    </row>
    <row r="1876" spans="7:11" x14ac:dyDescent="0.25">
      <c r="G1876" s="1" t="str">
        <f>IF(Table2[[#This Row],[Description]]="","",VLOOKUP(Table2[[#This Row],[Description]],$Q$1:$S$101,2,FALSE))</f>
        <v/>
      </c>
      <c r="H1876" s="1" t="str">
        <f>IF(Table2[[#This Row],[Description]]="","",VLOOKUP(Table2[[#This Row],[Description]],$Q$1:$S$101,3,FALSE))</f>
        <v/>
      </c>
      <c r="I1876" s="1" t="str">
        <f>IF(Table2[[#This Row],[Description]]="","",IF(Table2[[#This Row],[Currency]]=$O$2,$P$2,HLOOKUP(Table2[[#This Row],[Date]],Funds!$C$10:$GV$11,2,FALSE)))</f>
        <v/>
      </c>
      <c r="J1876" s="215" t="str">
        <f>IF(Table2[[#This Row],[Description]]="","",Table2[[#This Row],[Value]]/Table2[[#This Row],[Conversion]])</f>
        <v/>
      </c>
      <c r="K1876" s="45" t="str">
        <f>IF(Table2[[#This Row],[Description]]="","",DATE(Table2[[#This Row],[Year]],Table2[[#This Row],[Month]],1))</f>
        <v/>
      </c>
    </row>
    <row r="1877" spans="7:11" x14ac:dyDescent="0.25">
      <c r="G1877" s="1" t="str">
        <f>IF(Table2[[#This Row],[Description]]="","",VLOOKUP(Table2[[#This Row],[Description]],$Q$1:$S$101,2,FALSE))</f>
        <v/>
      </c>
      <c r="H1877" s="1" t="str">
        <f>IF(Table2[[#This Row],[Description]]="","",VLOOKUP(Table2[[#This Row],[Description]],$Q$1:$S$101,3,FALSE))</f>
        <v/>
      </c>
      <c r="I1877" s="1" t="str">
        <f>IF(Table2[[#This Row],[Description]]="","",IF(Table2[[#This Row],[Currency]]=$O$2,$P$2,HLOOKUP(Table2[[#This Row],[Date]],Funds!$C$10:$GV$11,2,FALSE)))</f>
        <v/>
      </c>
      <c r="J1877" s="215" t="str">
        <f>IF(Table2[[#This Row],[Description]]="","",Table2[[#This Row],[Value]]/Table2[[#This Row],[Conversion]])</f>
        <v/>
      </c>
      <c r="K1877" s="45" t="str">
        <f>IF(Table2[[#This Row],[Description]]="","",DATE(Table2[[#This Row],[Year]],Table2[[#This Row],[Month]],1))</f>
        <v/>
      </c>
    </row>
    <row r="1878" spans="7:11" x14ac:dyDescent="0.25">
      <c r="G1878" s="1" t="str">
        <f>IF(Table2[[#This Row],[Description]]="","",VLOOKUP(Table2[[#This Row],[Description]],$Q$1:$S$101,2,FALSE))</f>
        <v/>
      </c>
      <c r="H1878" s="1" t="str">
        <f>IF(Table2[[#This Row],[Description]]="","",VLOOKUP(Table2[[#This Row],[Description]],$Q$1:$S$101,3,FALSE))</f>
        <v/>
      </c>
      <c r="I1878" s="1" t="str">
        <f>IF(Table2[[#This Row],[Description]]="","",IF(Table2[[#This Row],[Currency]]=$O$2,$P$2,HLOOKUP(Table2[[#This Row],[Date]],Funds!$C$10:$GV$11,2,FALSE)))</f>
        <v/>
      </c>
      <c r="J1878" s="215" t="str">
        <f>IF(Table2[[#This Row],[Description]]="","",Table2[[#This Row],[Value]]/Table2[[#This Row],[Conversion]])</f>
        <v/>
      </c>
      <c r="K1878" s="45" t="str">
        <f>IF(Table2[[#This Row],[Description]]="","",DATE(Table2[[#This Row],[Year]],Table2[[#This Row],[Month]],1))</f>
        <v/>
      </c>
    </row>
    <row r="1879" spans="7:11" x14ac:dyDescent="0.25">
      <c r="G1879" s="1" t="str">
        <f>IF(Table2[[#This Row],[Description]]="","",VLOOKUP(Table2[[#This Row],[Description]],$Q$1:$S$101,2,FALSE))</f>
        <v/>
      </c>
      <c r="H1879" s="1" t="str">
        <f>IF(Table2[[#This Row],[Description]]="","",VLOOKUP(Table2[[#This Row],[Description]],$Q$1:$S$101,3,FALSE))</f>
        <v/>
      </c>
      <c r="I1879" s="1" t="str">
        <f>IF(Table2[[#This Row],[Description]]="","",IF(Table2[[#This Row],[Currency]]=$O$2,$P$2,HLOOKUP(Table2[[#This Row],[Date]],Funds!$C$10:$GV$11,2,FALSE)))</f>
        <v/>
      </c>
      <c r="J1879" s="215" t="str">
        <f>IF(Table2[[#This Row],[Description]]="","",Table2[[#This Row],[Value]]/Table2[[#This Row],[Conversion]])</f>
        <v/>
      </c>
      <c r="K1879" s="45" t="str">
        <f>IF(Table2[[#This Row],[Description]]="","",DATE(Table2[[#This Row],[Year]],Table2[[#This Row],[Month]],1))</f>
        <v/>
      </c>
    </row>
    <row r="1880" spans="7:11" x14ac:dyDescent="0.25">
      <c r="G1880" s="1" t="str">
        <f>IF(Table2[[#This Row],[Description]]="","",VLOOKUP(Table2[[#This Row],[Description]],$Q$1:$S$101,2,FALSE))</f>
        <v/>
      </c>
      <c r="H1880" s="1" t="str">
        <f>IF(Table2[[#This Row],[Description]]="","",VLOOKUP(Table2[[#This Row],[Description]],$Q$1:$S$101,3,FALSE))</f>
        <v/>
      </c>
      <c r="I1880" s="1" t="str">
        <f>IF(Table2[[#This Row],[Description]]="","",IF(Table2[[#This Row],[Currency]]=$O$2,$P$2,HLOOKUP(Table2[[#This Row],[Date]],Funds!$C$10:$GV$11,2,FALSE)))</f>
        <v/>
      </c>
      <c r="J1880" s="215" t="str">
        <f>IF(Table2[[#This Row],[Description]]="","",Table2[[#This Row],[Value]]/Table2[[#This Row],[Conversion]])</f>
        <v/>
      </c>
      <c r="K1880" s="45" t="str">
        <f>IF(Table2[[#This Row],[Description]]="","",DATE(Table2[[#This Row],[Year]],Table2[[#This Row],[Month]],1))</f>
        <v/>
      </c>
    </row>
    <row r="1881" spans="7:11" x14ac:dyDescent="0.25">
      <c r="G1881" s="1" t="str">
        <f>IF(Table2[[#This Row],[Description]]="","",VLOOKUP(Table2[[#This Row],[Description]],$Q$1:$S$101,2,FALSE))</f>
        <v/>
      </c>
      <c r="H1881" s="1" t="str">
        <f>IF(Table2[[#This Row],[Description]]="","",VLOOKUP(Table2[[#This Row],[Description]],$Q$1:$S$101,3,FALSE))</f>
        <v/>
      </c>
      <c r="I1881" s="1" t="str">
        <f>IF(Table2[[#This Row],[Description]]="","",IF(Table2[[#This Row],[Currency]]=$O$2,$P$2,HLOOKUP(Table2[[#This Row],[Date]],Funds!$C$10:$GV$11,2,FALSE)))</f>
        <v/>
      </c>
      <c r="J1881" s="215" t="str">
        <f>IF(Table2[[#This Row],[Description]]="","",Table2[[#This Row],[Value]]/Table2[[#This Row],[Conversion]])</f>
        <v/>
      </c>
      <c r="K1881" s="45" t="str">
        <f>IF(Table2[[#This Row],[Description]]="","",DATE(Table2[[#This Row],[Year]],Table2[[#This Row],[Month]],1))</f>
        <v/>
      </c>
    </row>
    <row r="1882" spans="7:11" x14ac:dyDescent="0.25">
      <c r="G1882" s="1" t="str">
        <f>IF(Table2[[#This Row],[Description]]="","",VLOOKUP(Table2[[#This Row],[Description]],$Q$1:$S$101,2,FALSE))</f>
        <v/>
      </c>
      <c r="H1882" s="1" t="str">
        <f>IF(Table2[[#This Row],[Description]]="","",VLOOKUP(Table2[[#This Row],[Description]],$Q$1:$S$101,3,FALSE))</f>
        <v/>
      </c>
      <c r="I1882" s="1" t="str">
        <f>IF(Table2[[#This Row],[Description]]="","",IF(Table2[[#This Row],[Currency]]=$O$2,$P$2,HLOOKUP(Table2[[#This Row],[Date]],Funds!$C$10:$GV$11,2,FALSE)))</f>
        <v/>
      </c>
      <c r="J1882" s="215" t="str">
        <f>IF(Table2[[#This Row],[Description]]="","",Table2[[#This Row],[Value]]/Table2[[#This Row],[Conversion]])</f>
        <v/>
      </c>
      <c r="K1882" s="45" t="str">
        <f>IF(Table2[[#This Row],[Description]]="","",DATE(Table2[[#This Row],[Year]],Table2[[#This Row],[Month]],1))</f>
        <v/>
      </c>
    </row>
    <row r="1883" spans="7:11" x14ac:dyDescent="0.25">
      <c r="G1883" s="1" t="str">
        <f>IF(Table2[[#This Row],[Description]]="","",VLOOKUP(Table2[[#This Row],[Description]],$Q$1:$S$101,2,FALSE))</f>
        <v/>
      </c>
      <c r="H1883" s="1" t="str">
        <f>IF(Table2[[#This Row],[Description]]="","",VLOOKUP(Table2[[#This Row],[Description]],$Q$1:$S$101,3,FALSE))</f>
        <v/>
      </c>
      <c r="I1883" s="1" t="str">
        <f>IF(Table2[[#This Row],[Description]]="","",IF(Table2[[#This Row],[Currency]]=$O$2,$P$2,HLOOKUP(Table2[[#This Row],[Date]],Funds!$C$10:$GV$11,2,FALSE)))</f>
        <v/>
      </c>
      <c r="J1883" s="215" t="str">
        <f>IF(Table2[[#This Row],[Description]]="","",Table2[[#This Row],[Value]]/Table2[[#This Row],[Conversion]])</f>
        <v/>
      </c>
      <c r="K1883" s="45" t="str">
        <f>IF(Table2[[#This Row],[Description]]="","",DATE(Table2[[#This Row],[Year]],Table2[[#This Row],[Month]],1))</f>
        <v/>
      </c>
    </row>
    <row r="1884" spans="7:11" x14ac:dyDescent="0.25">
      <c r="G1884" s="1" t="str">
        <f>IF(Table2[[#This Row],[Description]]="","",VLOOKUP(Table2[[#This Row],[Description]],$Q$1:$S$101,2,FALSE))</f>
        <v/>
      </c>
      <c r="H1884" s="1" t="str">
        <f>IF(Table2[[#This Row],[Description]]="","",VLOOKUP(Table2[[#This Row],[Description]],$Q$1:$S$101,3,FALSE))</f>
        <v/>
      </c>
      <c r="I1884" s="1" t="str">
        <f>IF(Table2[[#This Row],[Description]]="","",IF(Table2[[#This Row],[Currency]]=$O$2,$P$2,HLOOKUP(Table2[[#This Row],[Date]],Funds!$C$10:$GV$11,2,FALSE)))</f>
        <v/>
      </c>
      <c r="J1884" s="215" t="str">
        <f>IF(Table2[[#This Row],[Description]]="","",Table2[[#This Row],[Value]]/Table2[[#This Row],[Conversion]])</f>
        <v/>
      </c>
      <c r="K1884" s="45" t="str">
        <f>IF(Table2[[#This Row],[Description]]="","",DATE(Table2[[#This Row],[Year]],Table2[[#This Row],[Month]],1))</f>
        <v/>
      </c>
    </row>
    <row r="1885" spans="7:11" x14ac:dyDescent="0.25">
      <c r="G1885" s="1" t="str">
        <f>IF(Table2[[#This Row],[Description]]="","",VLOOKUP(Table2[[#This Row],[Description]],$Q$1:$S$101,2,FALSE))</f>
        <v/>
      </c>
      <c r="H1885" s="1" t="str">
        <f>IF(Table2[[#This Row],[Description]]="","",VLOOKUP(Table2[[#This Row],[Description]],$Q$1:$S$101,3,FALSE))</f>
        <v/>
      </c>
      <c r="I1885" s="1" t="str">
        <f>IF(Table2[[#This Row],[Description]]="","",IF(Table2[[#This Row],[Currency]]=$O$2,$P$2,HLOOKUP(Table2[[#This Row],[Date]],Funds!$C$10:$GV$11,2,FALSE)))</f>
        <v/>
      </c>
      <c r="J1885" s="215" t="str">
        <f>IF(Table2[[#This Row],[Description]]="","",Table2[[#This Row],[Value]]/Table2[[#This Row],[Conversion]])</f>
        <v/>
      </c>
      <c r="K1885" s="45" t="str">
        <f>IF(Table2[[#This Row],[Description]]="","",DATE(Table2[[#This Row],[Year]],Table2[[#This Row],[Month]],1))</f>
        <v/>
      </c>
    </row>
    <row r="1886" spans="7:11" x14ac:dyDescent="0.25">
      <c r="G1886" s="1" t="str">
        <f>IF(Table2[[#This Row],[Description]]="","",VLOOKUP(Table2[[#This Row],[Description]],$Q$1:$S$101,2,FALSE))</f>
        <v/>
      </c>
      <c r="H1886" s="1" t="str">
        <f>IF(Table2[[#This Row],[Description]]="","",VLOOKUP(Table2[[#This Row],[Description]],$Q$1:$S$101,3,FALSE))</f>
        <v/>
      </c>
      <c r="I1886" s="1" t="str">
        <f>IF(Table2[[#This Row],[Description]]="","",IF(Table2[[#This Row],[Currency]]=$O$2,$P$2,HLOOKUP(Table2[[#This Row],[Date]],Funds!$C$10:$GV$11,2,FALSE)))</f>
        <v/>
      </c>
      <c r="J1886" s="215" t="str">
        <f>IF(Table2[[#This Row],[Description]]="","",Table2[[#This Row],[Value]]/Table2[[#This Row],[Conversion]])</f>
        <v/>
      </c>
      <c r="K1886" s="45" t="str">
        <f>IF(Table2[[#This Row],[Description]]="","",DATE(Table2[[#This Row],[Year]],Table2[[#This Row],[Month]],1))</f>
        <v/>
      </c>
    </row>
    <row r="1887" spans="7:11" x14ac:dyDescent="0.25">
      <c r="G1887" s="1" t="str">
        <f>IF(Table2[[#This Row],[Description]]="","",VLOOKUP(Table2[[#This Row],[Description]],$Q$1:$S$101,2,FALSE))</f>
        <v/>
      </c>
      <c r="H1887" s="1" t="str">
        <f>IF(Table2[[#This Row],[Description]]="","",VLOOKUP(Table2[[#This Row],[Description]],$Q$1:$S$101,3,FALSE))</f>
        <v/>
      </c>
      <c r="I1887" s="1" t="str">
        <f>IF(Table2[[#This Row],[Description]]="","",IF(Table2[[#This Row],[Currency]]=$O$2,$P$2,HLOOKUP(Table2[[#This Row],[Date]],Funds!$C$10:$GV$11,2,FALSE)))</f>
        <v/>
      </c>
      <c r="J1887" s="215" t="str">
        <f>IF(Table2[[#This Row],[Description]]="","",Table2[[#This Row],[Value]]/Table2[[#This Row],[Conversion]])</f>
        <v/>
      </c>
      <c r="K1887" s="45" t="str">
        <f>IF(Table2[[#This Row],[Description]]="","",DATE(Table2[[#This Row],[Year]],Table2[[#This Row],[Month]],1))</f>
        <v/>
      </c>
    </row>
    <row r="1888" spans="7:11" x14ac:dyDescent="0.25">
      <c r="G1888" s="1" t="str">
        <f>IF(Table2[[#This Row],[Description]]="","",VLOOKUP(Table2[[#This Row],[Description]],$Q$1:$S$101,2,FALSE))</f>
        <v/>
      </c>
      <c r="H1888" s="1" t="str">
        <f>IF(Table2[[#This Row],[Description]]="","",VLOOKUP(Table2[[#This Row],[Description]],$Q$1:$S$101,3,FALSE))</f>
        <v/>
      </c>
      <c r="I1888" s="1" t="str">
        <f>IF(Table2[[#This Row],[Description]]="","",IF(Table2[[#This Row],[Currency]]=$O$2,$P$2,HLOOKUP(Table2[[#This Row],[Date]],Funds!$C$10:$GV$11,2,FALSE)))</f>
        <v/>
      </c>
      <c r="J1888" s="215" t="str">
        <f>IF(Table2[[#This Row],[Description]]="","",Table2[[#This Row],[Value]]/Table2[[#This Row],[Conversion]])</f>
        <v/>
      </c>
      <c r="K1888" s="45" t="str">
        <f>IF(Table2[[#This Row],[Description]]="","",DATE(Table2[[#This Row],[Year]],Table2[[#This Row],[Month]],1))</f>
        <v/>
      </c>
    </row>
    <row r="1889" spans="7:11" x14ac:dyDescent="0.25">
      <c r="G1889" s="1" t="str">
        <f>IF(Table2[[#This Row],[Description]]="","",VLOOKUP(Table2[[#This Row],[Description]],$Q$1:$S$101,2,FALSE))</f>
        <v/>
      </c>
      <c r="H1889" s="1" t="str">
        <f>IF(Table2[[#This Row],[Description]]="","",VLOOKUP(Table2[[#This Row],[Description]],$Q$1:$S$101,3,FALSE))</f>
        <v/>
      </c>
      <c r="I1889" s="1" t="str">
        <f>IF(Table2[[#This Row],[Description]]="","",IF(Table2[[#This Row],[Currency]]=$O$2,$P$2,HLOOKUP(Table2[[#This Row],[Date]],Funds!$C$10:$GV$11,2,FALSE)))</f>
        <v/>
      </c>
      <c r="J1889" s="215" t="str">
        <f>IF(Table2[[#This Row],[Description]]="","",Table2[[#This Row],[Value]]/Table2[[#This Row],[Conversion]])</f>
        <v/>
      </c>
      <c r="K1889" s="45" t="str">
        <f>IF(Table2[[#This Row],[Description]]="","",DATE(Table2[[#This Row],[Year]],Table2[[#This Row],[Month]],1))</f>
        <v/>
      </c>
    </row>
    <row r="1890" spans="7:11" x14ac:dyDescent="0.25">
      <c r="G1890" s="1" t="str">
        <f>IF(Table2[[#This Row],[Description]]="","",VLOOKUP(Table2[[#This Row],[Description]],$Q$1:$S$101,2,FALSE))</f>
        <v/>
      </c>
      <c r="H1890" s="1" t="str">
        <f>IF(Table2[[#This Row],[Description]]="","",VLOOKUP(Table2[[#This Row],[Description]],$Q$1:$S$101,3,FALSE))</f>
        <v/>
      </c>
      <c r="I1890" s="1" t="str">
        <f>IF(Table2[[#This Row],[Description]]="","",IF(Table2[[#This Row],[Currency]]=$O$2,$P$2,HLOOKUP(Table2[[#This Row],[Date]],Funds!$C$10:$GV$11,2,FALSE)))</f>
        <v/>
      </c>
      <c r="J1890" s="215" t="str">
        <f>IF(Table2[[#This Row],[Description]]="","",Table2[[#This Row],[Value]]/Table2[[#This Row],[Conversion]])</f>
        <v/>
      </c>
      <c r="K1890" s="45" t="str">
        <f>IF(Table2[[#This Row],[Description]]="","",DATE(Table2[[#This Row],[Year]],Table2[[#This Row],[Month]],1))</f>
        <v/>
      </c>
    </row>
    <row r="1891" spans="7:11" x14ac:dyDescent="0.25">
      <c r="G1891" s="1" t="str">
        <f>IF(Table2[[#This Row],[Description]]="","",VLOOKUP(Table2[[#This Row],[Description]],$Q$1:$S$101,2,FALSE))</f>
        <v/>
      </c>
      <c r="H1891" s="1" t="str">
        <f>IF(Table2[[#This Row],[Description]]="","",VLOOKUP(Table2[[#This Row],[Description]],$Q$1:$S$101,3,FALSE))</f>
        <v/>
      </c>
      <c r="I1891" s="1" t="str">
        <f>IF(Table2[[#This Row],[Description]]="","",IF(Table2[[#This Row],[Currency]]=$O$2,$P$2,HLOOKUP(Table2[[#This Row],[Date]],Funds!$C$10:$GV$11,2,FALSE)))</f>
        <v/>
      </c>
      <c r="J1891" s="215" t="str">
        <f>IF(Table2[[#This Row],[Description]]="","",Table2[[#This Row],[Value]]/Table2[[#This Row],[Conversion]])</f>
        <v/>
      </c>
      <c r="K1891" s="45" t="str">
        <f>IF(Table2[[#This Row],[Description]]="","",DATE(Table2[[#This Row],[Year]],Table2[[#This Row],[Month]],1))</f>
        <v/>
      </c>
    </row>
    <row r="1892" spans="7:11" x14ac:dyDescent="0.25">
      <c r="G1892" s="1" t="str">
        <f>IF(Table2[[#This Row],[Description]]="","",VLOOKUP(Table2[[#This Row],[Description]],$Q$1:$S$101,2,FALSE))</f>
        <v/>
      </c>
      <c r="H1892" s="1" t="str">
        <f>IF(Table2[[#This Row],[Description]]="","",VLOOKUP(Table2[[#This Row],[Description]],$Q$1:$S$101,3,FALSE))</f>
        <v/>
      </c>
      <c r="I1892" s="1" t="str">
        <f>IF(Table2[[#This Row],[Description]]="","",IF(Table2[[#This Row],[Currency]]=$O$2,$P$2,HLOOKUP(Table2[[#This Row],[Date]],Funds!$C$10:$GV$11,2,FALSE)))</f>
        <v/>
      </c>
      <c r="J1892" s="215" t="str">
        <f>IF(Table2[[#This Row],[Description]]="","",Table2[[#This Row],[Value]]/Table2[[#This Row],[Conversion]])</f>
        <v/>
      </c>
      <c r="K1892" s="45" t="str">
        <f>IF(Table2[[#This Row],[Description]]="","",DATE(Table2[[#This Row],[Year]],Table2[[#This Row],[Month]],1))</f>
        <v/>
      </c>
    </row>
    <row r="1893" spans="7:11" x14ac:dyDescent="0.25">
      <c r="G1893" s="1" t="str">
        <f>IF(Table2[[#This Row],[Description]]="","",VLOOKUP(Table2[[#This Row],[Description]],$Q$1:$S$101,2,FALSE))</f>
        <v/>
      </c>
      <c r="H1893" s="1" t="str">
        <f>IF(Table2[[#This Row],[Description]]="","",VLOOKUP(Table2[[#This Row],[Description]],$Q$1:$S$101,3,FALSE))</f>
        <v/>
      </c>
      <c r="I1893" s="1" t="str">
        <f>IF(Table2[[#This Row],[Description]]="","",IF(Table2[[#This Row],[Currency]]=$O$2,$P$2,HLOOKUP(Table2[[#This Row],[Date]],Funds!$C$10:$GV$11,2,FALSE)))</f>
        <v/>
      </c>
      <c r="J1893" s="215" t="str">
        <f>IF(Table2[[#This Row],[Description]]="","",Table2[[#This Row],[Value]]/Table2[[#This Row],[Conversion]])</f>
        <v/>
      </c>
      <c r="K1893" s="45" t="str">
        <f>IF(Table2[[#This Row],[Description]]="","",DATE(Table2[[#This Row],[Year]],Table2[[#This Row],[Month]],1))</f>
        <v/>
      </c>
    </row>
    <row r="1894" spans="7:11" x14ac:dyDescent="0.25">
      <c r="G1894" s="1" t="str">
        <f>IF(Table2[[#This Row],[Description]]="","",VLOOKUP(Table2[[#This Row],[Description]],$Q$1:$S$101,2,FALSE))</f>
        <v/>
      </c>
      <c r="H1894" s="1" t="str">
        <f>IF(Table2[[#This Row],[Description]]="","",VLOOKUP(Table2[[#This Row],[Description]],$Q$1:$S$101,3,FALSE))</f>
        <v/>
      </c>
      <c r="I1894" s="1" t="str">
        <f>IF(Table2[[#This Row],[Description]]="","",IF(Table2[[#This Row],[Currency]]=$O$2,$P$2,HLOOKUP(Table2[[#This Row],[Date]],Funds!$C$10:$GV$11,2,FALSE)))</f>
        <v/>
      </c>
      <c r="J1894" s="215" t="str">
        <f>IF(Table2[[#This Row],[Description]]="","",Table2[[#This Row],[Value]]/Table2[[#This Row],[Conversion]])</f>
        <v/>
      </c>
      <c r="K1894" s="45" t="str">
        <f>IF(Table2[[#This Row],[Description]]="","",DATE(Table2[[#This Row],[Year]],Table2[[#This Row],[Month]],1))</f>
        <v/>
      </c>
    </row>
    <row r="1895" spans="7:11" x14ac:dyDescent="0.25">
      <c r="G1895" s="1" t="str">
        <f>IF(Table2[[#This Row],[Description]]="","",VLOOKUP(Table2[[#This Row],[Description]],$Q$1:$S$101,2,FALSE))</f>
        <v/>
      </c>
      <c r="H1895" s="1" t="str">
        <f>IF(Table2[[#This Row],[Description]]="","",VLOOKUP(Table2[[#This Row],[Description]],$Q$1:$S$101,3,FALSE))</f>
        <v/>
      </c>
      <c r="I1895" s="1" t="str">
        <f>IF(Table2[[#This Row],[Description]]="","",IF(Table2[[#This Row],[Currency]]=$O$2,$P$2,HLOOKUP(Table2[[#This Row],[Date]],Funds!$C$10:$GV$11,2,FALSE)))</f>
        <v/>
      </c>
      <c r="J1895" s="215" t="str">
        <f>IF(Table2[[#This Row],[Description]]="","",Table2[[#This Row],[Value]]/Table2[[#This Row],[Conversion]])</f>
        <v/>
      </c>
      <c r="K1895" s="45" t="str">
        <f>IF(Table2[[#This Row],[Description]]="","",DATE(Table2[[#This Row],[Year]],Table2[[#This Row],[Month]],1))</f>
        <v/>
      </c>
    </row>
    <row r="1896" spans="7:11" x14ac:dyDescent="0.25">
      <c r="G1896" s="1" t="str">
        <f>IF(Table2[[#This Row],[Description]]="","",VLOOKUP(Table2[[#This Row],[Description]],$Q$1:$S$101,2,FALSE))</f>
        <v/>
      </c>
      <c r="H1896" s="1" t="str">
        <f>IF(Table2[[#This Row],[Description]]="","",VLOOKUP(Table2[[#This Row],[Description]],$Q$1:$S$101,3,FALSE))</f>
        <v/>
      </c>
      <c r="I1896" s="1" t="str">
        <f>IF(Table2[[#This Row],[Description]]="","",IF(Table2[[#This Row],[Currency]]=$O$2,$P$2,HLOOKUP(Table2[[#This Row],[Date]],Funds!$C$10:$GV$11,2,FALSE)))</f>
        <v/>
      </c>
      <c r="J1896" s="215" t="str">
        <f>IF(Table2[[#This Row],[Description]]="","",Table2[[#This Row],[Value]]/Table2[[#This Row],[Conversion]])</f>
        <v/>
      </c>
      <c r="K1896" s="45" t="str">
        <f>IF(Table2[[#This Row],[Description]]="","",DATE(Table2[[#This Row],[Year]],Table2[[#This Row],[Month]],1))</f>
        <v/>
      </c>
    </row>
    <row r="1897" spans="7:11" x14ac:dyDescent="0.25">
      <c r="G1897" s="1" t="str">
        <f>IF(Table2[[#This Row],[Description]]="","",VLOOKUP(Table2[[#This Row],[Description]],$Q$1:$S$101,2,FALSE))</f>
        <v/>
      </c>
      <c r="H1897" s="1" t="str">
        <f>IF(Table2[[#This Row],[Description]]="","",VLOOKUP(Table2[[#This Row],[Description]],$Q$1:$S$101,3,FALSE))</f>
        <v/>
      </c>
      <c r="I1897" s="1" t="str">
        <f>IF(Table2[[#This Row],[Description]]="","",IF(Table2[[#This Row],[Currency]]=$O$2,$P$2,HLOOKUP(Table2[[#This Row],[Date]],Funds!$C$10:$GV$11,2,FALSE)))</f>
        <v/>
      </c>
      <c r="J1897" s="215" t="str">
        <f>IF(Table2[[#This Row],[Description]]="","",Table2[[#This Row],[Value]]/Table2[[#This Row],[Conversion]])</f>
        <v/>
      </c>
      <c r="K1897" s="45" t="str">
        <f>IF(Table2[[#This Row],[Description]]="","",DATE(Table2[[#This Row],[Year]],Table2[[#This Row],[Month]],1))</f>
        <v/>
      </c>
    </row>
    <row r="1898" spans="7:11" x14ac:dyDescent="0.25">
      <c r="G1898" s="1" t="str">
        <f>IF(Table2[[#This Row],[Description]]="","",VLOOKUP(Table2[[#This Row],[Description]],$Q$1:$S$101,2,FALSE))</f>
        <v/>
      </c>
      <c r="H1898" s="1" t="str">
        <f>IF(Table2[[#This Row],[Description]]="","",VLOOKUP(Table2[[#This Row],[Description]],$Q$1:$S$101,3,FALSE))</f>
        <v/>
      </c>
      <c r="I1898" s="1" t="str">
        <f>IF(Table2[[#This Row],[Description]]="","",IF(Table2[[#This Row],[Currency]]=$O$2,$P$2,HLOOKUP(Table2[[#This Row],[Date]],Funds!$C$10:$GV$11,2,FALSE)))</f>
        <v/>
      </c>
      <c r="J1898" s="215" t="str">
        <f>IF(Table2[[#This Row],[Description]]="","",Table2[[#This Row],[Value]]/Table2[[#This Row],[Conversion]])</f>
        <v/>
      </c>
      <c r="K1898" s="45" t="str">
        <f>IF(Table2[[#This Row],[Description]]="","",DATE(Table2[[#This Row],[Year]],Table2[[#This Row],[Month]],1))</f>
        <v/>
      </c>
    </row>
    <row r="1899" spans="7:11" x14ac:dyDescent="0.25">
      <c r="G1899" s="1" t="str">
        <f>IF(Table2[[#This Row],[Description]]="","",VLOOKUP(Table2[[#This Row],[Description]],$Q$1:$S$101,2,FALSE))</f>
        <v/>
      </c>
      <c r="H1899" s="1" t="str">
        <f>IF(Table2[[#This Row],[Description]]="","",VLOOKUP(Table2[[#This Row],[Description]],$Q$1:$S$101,3,FALSE))</f>
        <v/>
      </c>
      <c r="I1899" s="1" t="str">
        <f>IF(Table2[[#This Row],[Description]]="","",IF(Table2[[#This Row],[Currency]]=$O$2,$P$2,HLOOKUP(Table2[[#This Row],[Date]],Funds!$C$10:$GV$11,2,FALSE)))</f>
        <v/>
      </c>
      <c r="J1899" s="215" t="str">
        <f>IF(Table2[[#This Row],[Description]]="","",Table2[[#This Row],[Value]]/Table2[[#This Row],[Conversion]])</f>
        <v/>
      </c>
      <c r="K1899" s="45" t="str">
        <f>IF(Table2[[#This Row],[Description]]="","",DATE(Table2[[#This Row],[Year]],Table2[[#This Row],[Month]],1))</f>
        <v/>
      </c>
    </row>
    <row r="1900" spans="7:11" x14ac:dyDescent="0.25">
      <c r="G1900" s="1" t="str">
        <f>IF(Table2[[#This Row],[Description]]="","",VLOOKUP(Table2[[#This Row],[Description]],$Q$1:$S$101,2,FALSE))</f>
        <v/>
      </c>
      <c r="H1900" s="1" t="str">
        <f>IF(Table2[[#This Row],[Description]]="","",VLOOKUP(Table2[[#This Row],[Description]],$Q$1:$S$101,3,FALSE))</f>
        <v/>
      </c>
      <c r="I1900" s="1" t="str">
        <f>IF(Table2[[#This Row],[Description]]="","",IF(Table2[[#This Row],[Currency]]=$O$2,$P$2,HLOOKUP(Table2[[#This Row],[Date]],Funds!$C$10:$GV$11,2,FALSE)))</f>
        <v/>
      </c>
      <c r="J1900" s="215" t="str">
        <f>IF(Table2[[#This Row],[Description]]="","",Table2[[#This Row],[Value]]/Table2[[#This Row],[Conversion]])</f>
        <v/>
      </c>
      <c r="K1900" s="45" t="str">
        <f>IF(Table2[[#This Row],[Description]]="","",DATE(Table2[[#This Row],[Year]],Table2[[#This Row],[Month]],1))</f>
        <v/>
      </c>
    </row>
    <row r="1901" spans="7:11" x14ac:dyDescent="0.25">
      <c r="G1901" s="1" t="str">
        <f>IF(Table2[[#This Row],[Description]]="","",VLOOKUP(Table2[[#This Row],[Description]],$Q$1:$S$101,2,FALSE))</f>
        <v/>
      </c>
      <c r="H1901" s="1" t="str">
        <f>IF(Table2[[#This Row],[Description]]="","",VLOOKUP(Table2[[#This Row],[Description]],$Q$1:$S$101,3,FALSE))</f>
        <v/>
      </c>
      <c r="I1901" s="1" t="str">
        <f>IF(Table2[[#This Row],[Description]]="","",IF(Table2[[#This Row],[Currency]]=$O$2,$P$2,HLOOKUP(Table2[[#This Row],[Date]],Funds!$C$10:$GV$11,2,FALSE)))</f>
        <v/>
      </c>
      <c r="J1901" s="215" t="str">
        <f>IF(Table2[[#This Row],[Description]]="","",Table2[[#This Row],[Value]]/Table2[[#This Row],[Conversion]])</f>
        <v/>
      </c>
      <c r="K1901" s="45" t="str">
        <f>IF(Table2[[#This Row],[Description]]="","",DATE(Table2[[#This Row],[Year]],Table2[[#This Row],[Month]],1))</f>
        <v/>
      </c>
    </row>
    <row r="1902" spans="7:11" x14ac:dyDescent="0.25">
      <c r="G1902" s="1" t="str">
        <f>IF(Table2[[#This Row],[Description]]="","",VLOOKUP(Table2[[#This Row],[Description]],$Q$1:$S$101,2,FALSE))</f>
        <v/>
      </c>
      <c r="H1902" s="1" t="str">
        <f>IF(Table2[[#This Row],[Description]]="","",VLOOKUP(Table2[[#This Row],[Description]],$Q$1:$S$101,3,FALSE))</f>
        <v/>
      </c>
      <c r="I1902" s="1" t="str">
        <f>IF(Table2[[#This Row],[Description]]="","",IF(Table2[[#This Row],[Currency]]=$O$2,$P$2,HLOOKUP(Table2[[#This Row],[Date]],Funds!$C$10:$GV$11,2,FALSE)))</f>
        <v/>
      </c>
      <c r="J1902" s="215" t="str">
        <f>IF(Table2[[#This Row],[Description]]="","",Table2[[#This Row],[Value]]/Table2[[#This Row],[Conversion]])</f>
        <v/>
      </c>
      <c r="K1902" s="45" t="str">
        <f>IF(Table2[[#This Row],[Description]]="","",DATE(Table2[[#This Row],[Year]],Table2[[#This Row],[Month]],1))</f>
        <v/>
      </c>
    </row>
    <row r="1903" spans="7:11" x14ac:dyDescent="0.25">
      <c r="G1903" s="1" t="str">
        <f>IF(Table2[[#This Row],[Description]]="","",VLOOKUP(Table2[[#This Row],[Description]],$Q$1:$S$101,2,FALSE))</f>
        <v/>
      </c>
      <c r="H1903" s="1" t="str">
        <f>IF(Table2[[#This Row],[Description]]="","",VLOOKUP(Table2[[#This Row],[Description]],$Q$1:$S$101,3,FALSE))</f>
        <v/>
      </c>
      <c r="I1903" s="1" t="str">
        <f>IF(Table2[[#This Row],[Description]]="","",IF(Table2[[#This Row],[Currency]]=$O$2,$P$2,HLOOKUP(Table2[[#This Row],[Date]],Funds!$C$10:$GV$11,2,FALSE)))</f>
        <v/>
      </c>
      <c r="J1903" s="215" t="str">
        <f>IF(Table2[[#This Row],[Description]]="","",Table2[[#This Row],[Value]]/Table2[[#This Row],[Conversion]])</f>
        <v/>
      </c>
      <c r="K1903" s="45" t="str">
        <f>IF(Table2[[#This Row],[Description]]="","",DATE(Table2[[#This Row],[Year]],Table2[[#This Row],[Month]],1))</f>
        <v/>
      </c>
    </row>
    <row r="1904" spans="7:11" x14ac:dyDescent="0.25">
      <c r="G1904" s="1" t="str">
        <f>IF(Table2[[#This Row],[Description]]="","",VLOOKUP(Table2[[#This Row],[Description]],$Q$1:$S$101,2,FALSE))</f>
        <v/>
      </c>
      <c r="H1904" s="1" t="str">
        <f>IF(Table2[[#This Row],[Description]]="","",VLOOKUP(Table2[[#This Row],[Description]],$Q$1:$S$101,3,FALSE))</f>
        <v/>
      </c>
      <c r="I1904" s="1" t="str">
        <f>IF(Table2[[#This Row],[Description]]="","",IF(Table2[[#This Row],[Currency]]=$O$2,$P$2,HLOOKUP(Table2[[#This Row],[Date]],Funds!$C$10:$GV$11,2,FALSE)))</f>
        <v/>
      </c>
      <c r="J1904" s="215" t="str">
        <f>IF(Table2[[#This Row],[Description]]="","",Table2[[#This Row],[Value]]/Table2[[#This Row],[Conversion]])</f>
        <v/>
      </c>
      <c r="K1904" s="45" t="str">
        <f>IF(Table2[[#This Row],[Description]]="","",DATE(Table2[[#This Row],[Year]],Table2[[#This Row],[Month]],1))</f>
        <v/>
      </c>
    </row>
    <row r="1905" spans="7:11" x14ac:dyDescent="0.25">
      <c r="G1905" s="1" t="str">
        <f>IF(Table2[[#This Row],[Description]]="","",VLOOKUP(Table2[[#This Row],[Description]],$Q$1:$S$101,2,FALSE))</f>
        <v/>
      </c>
      <c r="H1905" s="1" t="str">
        <f>IF(Table2[[#This Row],[Description]]="","",VLOOKUP(Table2[[#This Row],[Description]],$Q$1:$S$101,3,FALSE))</f>
        <v/>
      </c>
      <c r="I1905" s="1" t="str">
        <f>IF(Table2[[#This Row],[Description]]="","",IF(Table2[[#This Row],[Currency]]=$O$2,$P$2,HLOOKUP(Table2[[#This Row],[Date]],Funds!$C$10:$GV$11,2,FALSE)))</f>
        <v/>
      </c>
      <c r="J1905" s="215" t="str">
        <f>IF(Table2[[#This Row],[Description]]="","",Table2[[#This Row],[Value]]/Table2[[#This Row],[Conversion]])</f>
        <v/>
      </c>
      <c r="K1905" s="45" t="str">
        <f>IF(Table2[[#This Row],[Description]]="","",DATE(Table2[[#This Row],[Year]],Table2[[#This Row],[Month]],1))</f>
        <v/>
      </c>
    </row>
    <row r="1906" spans="7:11" x14ac:dyDescent="0.25">
      <c r="G1906" s="1" t="str">
        <f>IF(Table2[[#This Row],[Description]]="","",VLOOKUP(Table2[[#This Row],[Description]],$Q$1:$S$101,2,FALSE))</f>
        <v/>
      </c>
      <c r="H1906" s="1" t="str">
        <f>IF(Table2[[#This Row],[Description]]="","",VLOOKUP(Table2[[#This Row],[Description]],$Q$1:$S$101,3,FALSE))</f>
        <v/>
      </c>
      <c r="I1906" s="1" t="str">
        <f>IF(Table2[[#This Row],[Description]]="","",IF(Table2[[#This Row],[Currency]]=$O$2,$P$2,HLOOKUP(Table2[[#This Row],[Date]],Funds!$C$10:$GV$11,2,FALSE)))</f>
        <v/>
      </c>
      <c r="J1906" s="215" t="str">
        <f>IF(Table2[[#This Row],[Description]]="","",Table2[[#This Row],[Value]]/Table2[[#This Row],[Conversion]])</f>
        <v/>
      </c>
      <c r="K1906" s="45" t="str">
        <f>IF(Table2[[#This Row],[Description]]="","",DATE(Table2[[#This Row],[Year]],Table2[[#This Row],[Month]],1))</f>
        <v/>
      </c>
    </row>
    <row r="1907" spans="7:11" x14ac:dyDescent="0.25">
      <c r="G1907" s="1" t="str">
        <f>IF(Table2[[#This Row],[Description]]="","",VLOOKUP(Table2[[#This Row],[Description]],$Q$1:$S$101,2,FALSE))</f>
        <v/>
      </c>
      <c r="H1907" s="1" t="str">
        <f>IF(Table2[[#This Row],[Description]]="","",VLOOKUP(Table2[[#This Row],[Description]],$Q$1:$S$101,3,FALSE))</f>
        <v/>
      </c>
      <c r="I1907" s="1" t="str">
        <f>IF(Table2[[#This Row],[Description]]="","",IF(Table2[[#This Row],[Currency]]=$O$2,$P$2,HLOOKUP(Table2[[#This Row],[Date]],Funds!$C$10:$GV$11,2,FALSE)))</f>
        <v/>
      </c>
      <c r="J1907" s="215" t="str">
        <f>IF(Table2[[#This Row],[Description]]="","",Table2[[#This Row],[Value]]/Table2[[#This Row],[Conversion]])</f>
        <v/>
      </c>
      <c r="K1907" s="45" t="str">
        <f>IF(Table2[[#This Row],[Description]]="","",DATE(Table2[[#This Row],[Year]],Table2[[#This Row],[Month]],1))</f>
        <v/>
      </c>
    </row>
    <row r="1908" spans="7:11" x14ac:dyDescent="0.25">
      <c r="G1908" s="1" t="str">
        <f>IF(Table2[[#This Row],[Description]]="","",VLOOKUP(Table2[[#This Row],[Description]],$Q$1:$S$101,2,FALSE))</f>
        <v/>
      </c>
      <c r="H1908" s="1" t="str">
        <f>IF(Table2[[#This Row],[Description]]="","",VLOOKUP(Table2[[#This Row],[Description]],$Q$1:$S$101,3,FALSE))</f>
        <v/>
      </c>
      <c r="I1908" s="1" t="str">
        <f>IF(Table2[[#This Row],[Description]]="","",IF(Table2[[#This Row],[Currency]]=$O$2,$P$2,HLOOKUP(Table2[[#This Row],[Date]],Funds!$C$10:$GV$11,2,FALSE)))</f>
        <v/>
      </c>
      <c r="J1908" s="215" t="str">
        <f>IF(Table2[[#This Row],[Description]]="","",Table2[[#This Row],[Value]]/Table2[[#This Row],[Conversion]])</f>
        <v/>
      </c>
      <c r="K1908" s="45" t="str">
        <f>IF(Table2[[#This Row],[Description]]="","",DATE(Table2[[#This Row],[Year]],Table2[[#This Row],[Month]],1))</f>
        <v/>
      </c>
    </row>
    <row r="1909" spans="7:11" x14ac:dyDescent="0.25">
      <c r="G1909" s="1" t="str">
        <f>IF(Table2[[#This Row],[Description]]="","",VLOOKUP(Table2[[#This Row],[Description]],$Q$1:$S$101,2,FALSE))</f>
        <v/>
      </c>
      <c r="H1909" s="1" t="str">
        <f>IF(Table2[[#This Row],[Description]]="","",VLOOKUP(Table2[[#This Row],[Description]],$Q$1:$S$101,3,FALSE))</f>
        <v/>
      </c>
      <c r="I1909" s="1" t="str">
        <f>IF(Table2[[#This Row],[Description]]="","",IF(Table2[[#This Row],[Currency]]=$O$2,$P$2,HLOOKUP(Table2[[#This Row],[Date]],Funds!$C$10:$GV$11,2,FALSE)))</f>
        <v/>
      </c>
      <c r="J1909" s="215" t="str">
        <f>IF(Table2[[#This Row],[Description]]="","",Table2[[#This Row],[Value]]/Table2[[#This Row],[Conversion]])</f>
        <v/>
      </c>
      <c r="K1909" s="45" t="str">
        <f>IF(Table2[[#This Row],[Description]]="","",DATE(Table2[[#This Row],[Year]],Table2[[#This Row],[Month]],1))</f>
        <v/>
      </c>
    </row>
    <row r="1910" spans="7:11" x14ac:dyDescent="0.25">
      <c r="G1910" s="1" t="str">
        <f>IF(Table2[[#This Row],[Description]]="","",VLOOKUP(Table2[[#This Row],[Description]],$Q$1:$S$101,2,FALSE))</f>
        <v/>
      </c>
      <c r="H1910" s="1" t="str">
        <f>IF(Table2[[#This Row],[Description]]="","",VLOOKUP(Table2[[#This Row],[Description]],$Q$1:$S$101,3,FALSE))</f>
        <v/>
      </c>
      <c r="I1910" s="1" t="str">
        <f>IF(Table2[[#This Row],[Description]]="","",IF(Table2[[#This Row],[Currency]]=$O$2,$P$2,HLOOKUP(Table2[[#This Row],[Date]],Funds!$C$10:$GV$11,2,FALSE)))</f>
        <v/>
      </c>
      <c r="J1910" s="215" t="str">
        <f>IF(Table2[[#This Row],[Description]]="","",Table2[[#This Row],[Value]]/Table2[[#This Row],[Conversion]])</f>
        <v/>
      </c>
      <c r="K1910" s="45" t="str">
        <f>IF(Table2[[#This Row],[Description]]="","",DATE(Table2[[#This Row],[Year]],Table2[[#This Row],[Month]],1))</f>
        <v/>
      </c>
    </row>
    <row r="1911" spans="7:11" x14ac:dyDescent="0.25">
      <c r="G1911" s="1" t="str">
        <f>IF(Table2[[#This Row],[Description]]="","",VLOOKUP(Table2[[#This Row],[Description]],$Q$1:$S$101,2,FALSE))</f>
        <v/>
      </c>
      <c r="H1911" s="1" t="str">
        <f>IF(Table2[[#This Row],[Description]]="","",VLOOKUP(Table2[[#This Row],[Description]],$Q$1:$S$101,3,FALSE))</f>
        <v/>
      </c>
      <c r="I1911" s="1" t="str">
        <f>IF(Table2[[#This Row],[Description]]="","",IF(Table2[[#This Row],[Currency]]=$O$2,$P$2,HLOOKUP(Table2[[#This Row],[Date]],Funds!$C$10:$GV$11,2,FALSE)))</f>
        <v/>
      </c>
      <c r="J1911" s="215" t="str">
        <f>IF(Table2[[#This Row],[Description]]="","",Table2[[#This Row],[Value]]/Table2[[#This Row],[Conversion]])</f>
        <v/>
      </c>
      <c r="K1911" s="45" t="str">
        <f>IF(Table2[[#This Row],[Description]]="","",DATE(Table2[[#This Row],[Year]],Table2[[#This Row],[Month]],1))</f>
        <v/>
      </c>
    </row>
    <row r="1912" spans="7:11" x14ac:dyDescent="0.25">
      <c r="G1912" s="1" t="str">
        <f>IF(Table2[[#This Row],[Description]]="","",VLOOKUP(Table2[[#This Row],[Description]],$Q$1:$S$101,2,FALSE))</f>
        <v/>
      </c>
      <c r="H1912" s="1" t="str">
        <f>IF(Table2[[#This Row],[Description]]="","",VLOOKUP(Table2[[#This Row],[Description]],$Q$1:$S$101,3,FALSE))</f>
        <v/>
      </c>
      <c r="I1912" s="1" t="str">
        <f>IF(Table2[[#This Row],[Description]]="","",IF(Table2[[#This Row],[Currency]]=$O$2,$P$2,HLOOKUP(Table2[[#This Row],[Date]],Funds!$C$10:$GV$11,2,FALSE)))</f>
        <v/>
      </c>
      <c r="J1912" s="215" t="str">
        <f>IF(Table2[[#This Row],[Description]]="","",Table2[[#This Row],[Value]]/Table2[[#This Row],[Conversion]])</f>
        <v/>
      </c>
      <c r="K1912" s="45" t="str">
        <f>IF(Table2[[#This Row],[Description]]="","",DATE(Table2[[#This Row],[Year]],Table2[[#This Row],[Month]],1))</f>
        <v/>
      </c>
    </row>
    <row r="1913" spans="7:11" x14ac:dyDescent="0.25">
      <c r="G1913" s="1" t="str">
        <f>IF(Table2[[#This Row],[Description]]="","",VLOOKUP(Table2[[#This Row],[Description]],$Q$1:$S$101,2,FALSE))</f>
        <v/>
      </c>
      <c r="H1913" s="1" t="str">
        <f>IF(Table2[[#This Row],[Description]]="","",VLOOKUP(Table2[[#This Row],[Description]],$Q$1:$S$101,3,FALSE))</f>
        <v/>
      </c>
      <c r="I1913" s="1" t="str">
        <f>IF(Table2[[#This Row],[Description]]="","",IF(Table2[[#This Row],[Currency]]=$O$2,$P$2,HLOOKUP(Table2[[#This Row],[Date]],Funds!$C$10:$GV$11,2,FALSE)))</f>
        <v/>
      </c>
      <c r="J1913" s="215" t="str">
        <f>IF(Table2[[#This Row],[Description]]="","",Table2[[#This Row],[Value]]/Table2[[#This Row],[Conversion]])</f>
        <v/>
      </c>
      <c r="K1913" s="45" t="str">
        <f>IF(Table2[[#This Row],[Description]]="","",DATE(Table2[[#This Row],[Year]],Table2[[#This Row],[Month]],1))</f>
        <v/>
      </c>
    </row>
    <row r="1914" spans="7:11" x14ac:dyDescent="0.25">
      <c r="G1914" s="1" t="str">
        <f>IF(Table2[[#This Row],[Description]]="","",VLOOKUP(Table2[[#This Row],[Description]],$Q$1:$S$101,2,FALSE))</f>
        <v/>
      </c>
      <c r="H1914" s="1" t="str">
        <f>IF(Table2[[#This Row],[Description]]="","",VLOOKUP(Table2[[#This Row],[Description]],$Q$1:$S$101,3,FALSE))</f>
        <v/>
      </c>
      <c r="I1914" s="1" t="str">
        <f>IF(Table2[[#This Row],[Description]]="","",IF(Table2[[#This Row],[Currency]]=$O$2,$P$2,HLOOKUP(Table2[[#This Row],[Date]],Funds!$C$10:$GV$11,2,FALSE)))</f>
        <v/>
      </c>
      <c r="J1914" s="215" t="str">
        <f>IF(Table2[[#This Row],[Description]]="","",Table2[[#This Row],[Value]]/Table2[[#This Row],[Conversion]])</f>
        <v/>
      </c>
      <c r="K1914" s="45" t="str">
        <f>IF(Table2[[#This Row],[Description]]="","",DATE(Table2[[#This Row],[Year]],Table2[[#This Row],[Month]],1))</f>
        <v/>
      </c>
    </row>
    <row r="1915" spans="7:11" x14ac:dyDescent="0.25">
      <c r="G1915" s="1" t="str">
        <f>IF(Table2[[#This Row],[Description]]="","",VLOOKUP(Table2[[#This Row],[Description]],$Q$1:$S$101,2,FALSE))</f>
        <v/>
      </c>
      <c r="H1915" s="1" t="str">
        <f>IF(Table2[[#This Row],[Description]]="","",VLOOKUP(Table2[[#This Row],[Description]],$Q$1:$S$101,3,FALSE))</f>
        <v/>
      </c>
      <c r="I1915" s="1" t="str">
        <f>IF(Table2[[#This Row],[Description]]="","",IF(Table2[[#This Row],[Currency]]=$O$2,$P$2,HLOOKUP(Table2[[#This Row],[Date]],Funds!$C$10:$GV$11,2,FALSE)))</f>
        <v/>
      </c>
      <c r="J1915" s="215" t="str">
        <f>IF(Table2[[#This Row],[Description]]="","",Table2[[#This Row],[Value]]/Table2[[#This Row],[Conversion]])</f>
        <v/>
      </c>
      <c r="K1915" s="45" t="str">
        <f>IF(Table2[[#This Row],[Description]]="","",DATE(Table2[[#This Row],[Year]],Table2[[#This Row],[Month]],1))</f>
        <v/>
      </c>
    </row>
    <row r="1916" spans="7:11" x14ac:dyDescent="0.25">
      <c r="G1916" s="1" t="str">
        <f>IF(Table2[[#This Row],[Description]]="","",VLOOKUP(Table2[[#This Row],[Description]],$Q$1:$S$101,2,FALSE))</f>
        <v/>
      </c>
      <c r="H1916" s="1" t="str">
        <f>IF(Table2[[#This Row],[Description]]="","",VLOOKUP(Table2[[#This Row],[Description]],$Q$1:$S$101,3,FALSE))</f>
        <v/>
      </c>
      <c r="I1916" s="1" t="str">
        <f>IF(Table2[[#This Row],[Description]]="","",IF(Table2[[#This Row],[Currency]]=$O$2,$P$2,HLOOKUP(Table2[[#This Row],[Date]],Funds!$C$10:$GV$11,2,FALSE)))</f>
        <v/>
      </c>
      <c r="J1916" s="215" t="str">
        <f>IF(Table2[[#This Row],[Description]]="","",Table2[[#This Row],[Value]]/Table2[[#This Row],[Conversion]])</f>
        <v/>
      </c>
      <c r="K1916" s="45" t="str">
        <f>IF(Table2[[#This Row],[Description]]="","",DATE(Table2[[#This Row],[Year]],Table2[[#This Row],[Month]],1))</f>
        <v/>
      </c>
    </row>
    <row r="1917" spans="7:11" x14ac:dyDescent="0.25">
      <c r="G1917" s="1" t="str">
        <f>IF(Table2[[#This Row],[Description]]="","",VLOOKUP(Table2[[#This Row],[Description]],$Q$1:$S$101,2,FALSE))</f>
        <v/>
      </c>
      <c r="H1917" s="1" t="str">
        <f>IF(Table2[[#This Row],[Description]]="","",VLOOKUP(Table2[[#This Row],[Description]],$Q$1:$S$101,3,FALSE))</f>
        <v/>
      </c>
      <c r="I1917" s="1" t="str">
        <f>IF(Table2[[#This Row],[Description]]="","",IF(Table2[[#This Row],[Currency]]=$O$2,$P$2,HLOOKUP(Table2[[#This Row],[Date]],Funds!$C$10:$GV$11,2,FALSE)))</f>
        <v/>
      </c>
      <c r="J1917" s="215" t="str">
        <f>IF(Table2[[#This Row],[Description]]="","",Table2[[#This Row],[Value]]/Table2[[#This Row],[Conversion]])</f>
        <v/>
      </c>
      <c r="K1917" s="45" t="str">
        <f>IF(Table2[[#This Row],[Description]]="","",DATE(Table2[[#This Row],[Year]],Table2[[#This Row],[Month]],1))</f>
        <v/>
      </c>
    </row>
    <row r="1918" spans="7:11" x14ac:dyDescent="0.25">
      <c r="G1918" s="1" t="str">
        <f>IF(Table2[[#This Row],[Description]]="","",VLOOKUP(Table2[[#This Row],[Description]],$Q$1:$S$101,2,FALSE))</f>
        <v/>
      </c>
      <c r="H1918" s="1" t="str">
        <f>IF(Table2[[#This Row],[Description]]="","",VLOOKUP(Table2[[#This Row],[Description]],$Q$1:$S$101,3,FALSE))</f>
        <v/>
      </c>
      <c r="I1918" s="1" t="str">
        <f>IF(Table2[[#This Row],[Description]]="","",IF(Table2[[#This Row],[Currency]]=$O$2,$P$2,HLOOKUP(Table2[[#This Row],[Date]],Funds!$C$10:$GV$11,2,FALSE)))</f>
        <v/>
      </c>
      <c r="J1918" s="215" t="str">
        <f>IF(Table2[[#This Row],[Description]]="","",Table2[[#This Row],[Value]]/Table2[[#This Row],[Conversion]])</f>
        <v/>
      </c>
      <c r="K1918" s="45" t="str">
        <f>IF(Table2[[#This Row],[Description]]="","",DATE(Table2[[#This Row],[Year]],Table2[[#This Row],[Month]],1))</f>
        <v/>
      </c>
    </row>
    <row r="1919" spans="7:11" x14ac:dyDescent="0.25">
      <c r="G1919" s="1" t="str">
        <f>IF(Table2[[#This Row],[Description]]="","",VLOOKUP(Table2[[#This Row],[Description]],$Q$1:$S$101,2,FALSE))</f>
        <v/>
      </c>
      <c r="H1919" s="1" t="str">
        <f>IF(Table2[[#This Row],[Description]]="","",VLOOKUP(Table2[[#This Row],[Description]],$Q$1:$S$101,3,FALSE))</f>
        <v/>
      </c>
      <c r="I1919" s="1" t="str">
        <f>IF(Table2[[#This Row],[Description]]="","",IF(Table2[[#This Row],[Currency]]=$O$2,$P$2,HLOOKUP(Table2[[#This Row],[Date]],Funds!$C$10:$GV$11,2,FALSE)))</f>
        <v/>
      </c>
      <c r="J1919" s="215" t="str">
        <f>IF(Table2[[#This Row],[Description]]="","",Table2[[#This Row],[Value]]/Table2[[#This Row],[Conversion]])</f>
        <v/>
      </c>
      <c r="K1919" s="45" t="str">
        <f>IF(Table2[[#This Row],[Description]]="","",DATE(Table2[[#This Row],[Year]],Table2[[#This Row],[Month]],1))</f>
        <v/>
      </c>
    </row>
    <row r="1920" spans="7:11" x14ac:dyDescent="0.25">
      <c r="G1920" s="1" t="str">
        <f>IF(Table2[[#This Row],[Description]]="","",VLOOKUP(Table2[[#This Row],[Description]],$Q$1:$S$101,2,FALSE))</f>
        <v/>
      </c>
      <c r="H1920" s="1" t="str">
        <f>IF(Table2[[#This Row],[Description]]="","",VLOOKUP(Table2[[#This Row],[Description]],$Q$1:$S$101,3,FALSE))</f>
        <v/>
      </c>
      <c r="I1920" s="1" t="str">
        <f>IF(Table2[[#This Row],[Description]]="","",IF(Table2[[#This Row],[Currency]]=$O$2,$P$2,HLOOKUP(Table2[[#This Row],[Date]],Funds!$C$10:$GV$11,2,FALSE)))</f>
        <v/>
      </c>
      <c r="J1920" s="215" t="str">
        <f>IF(Table2[[#This Row],[Description]]="","",Table2[[#This Row],[Value]]/Table2[[#This Row],[Conversion]])</f>
        <v/>
      </c>
      <c r="K1920" s="45" t="str">
        <f>IF(Table2[[#This Row],[Description]]="","",DATE(Table2[[#This Row],[Year]],Table2[[#This Row],[Month]],1))</f>
        <v/>
      </c>
    </row>
    <row r="1921" spans="7:11" x14ac:dyDescent="0.25">
      <c r="G1921" s="1" t="str">
        <f>IF(Table2[[#This Row],[Description]]="","",VLOOKUP(Table2[[#This Row],[Description]],$Q$1:$S$101,2,FALSE))</f>
        <v/>
      </c>
      <c r="H1921" s="1" t="str">
        <f>IF(Table2[[#This Row],[Description]]="","",VLOOKUP(Table2[[#This Row],[Description]],$Q$1:$S$101,3,FALSE))</f>
        <v/>
      </c>
      <c r="I1921" s="1" t="str">
        <f>IF(Table2[[#This Row],[Description]]="","",IF(Table2[[#This Row],[Currency]]=$O$2,$P$2,HLOOKUP(Table2[[#This Row],[Date]],Funds!$C$10:$GV$11,2,FALSE)))</f>
        <v/>
      </c>
      <c r="J1921" s="215" t="str">
        <f>IF(Table2[[#This Row],[Description]]="","",Table2[[#This Row],[Value]]/Table2[[#This Row],[Conversion]])</f>
        <v/>
      </c>
      <c r="K1921" s="45" t="str">
        <f>IF(Table2[[#This Row],[Description]]="","",DATE(Table2[[#This Row],[Year]],Table2[[#This Row],[Month]],1))</f>
        <v/>
      </c>
    </row>
    <row r="1922" spans="7:11" x14ac:dyDescent="0.25">
      <c r="G1922" s="1" t="str">
        <f>IF(Table2[[#This Row],[Description]]="","",VLOOKUP(Table2[[#This Row],[Description]],$Q$1:$S$101,2,FALSE))</f>
        <v/>
      </c>
      <c r="H1922" s="1" t="str">
        <f>IF(Table2[[#This Row],[Description]]="","",VLOOKUP(Table2[[#This Row],[Description]],$Q$1:$S$101,3,FALSE))</f>
        <v/>
      </c>
      <c r="I1922" s="1" t="str">
        <f>IF(Table2[[#This Row],[Description]]="","",IF(Table2[[#This Row],[Currency]]=$O$2,$P$2,HLOOKUP(Table2[[#This Row],[Date]],Funds!$C$10:$GV$11,2,FALSE)))</f>
        <v/>
      </c>
      <c r="J1922" s="215" t="str">
        <f>IF(Table2[[#This Row],[Description]]="","",Table2[[#This Row],[Value]]/Table2[[#This Row],[Conversion]])</f>
        <v/>
      </c>
      <c r="K1922" s="45" t="str">
        <f>IF(Table2[[#This Row],[Description]]="","",DATE(Table2[[#This Row],[Year]],Table2[[#This Row],[Month]],1))</f>
        <v/>
      </c>
    </row>
    <row r="1923" spans="7:11" x14ac:dyDescent="0.25">
      <c r="G1923" s="1" t="str">
        <f>IF(Table2[[#This Row],[Description]]="","",VLOOKUP(Table2[[#This Row],[Description]],$Q$1:$S$101,2,FALSE))</f>
        <v/>
      </c>
      <c r="H1923" s="1" t="str">
        <f>IF(Table2[[#This Row],[Description]]="","",VLOOKUP(Table2[[#This Row],[Description]],$Q$1:$S$101,3,FALSE))</f>
        <v/>
      </c>
      <c r="I1923" s="1" t="str">
        <f>IF(Table2[[#This Row],[Description]]="","",IF(Table2[[#This Row],[Currency]]=$O$2,$P$2,HLOOKUP(Table2[[#This Row],[Date]],Funds!$C$10:$GV$11,2,FALSE)))</f>
        <v/>
      </c>
      <c r="J1923" s="215" t="str">
        <f>IF(Table2[[#This Row],[Description]]="","",Table2[[#This Row],[Value]]/Table2[[#This Row],[Conversion]])</f>
        <v/>
      </c>
      <c r="K1923" s="45" t="str">
        <f>IF(Table2[[#This Row],[Description]]="","",DATE(Table2[[#This Row],[Year]],Table2[[#This Row],[Month]],1))</f>
        <v/>
      </c>
    </row>
    <row r="1924" spans="7:11" x14ac:dyDescent="0.25">
      <c r="G1924" s="1" t="str">
        <f>IF(Table2[[#This Row],[Description]]="","",VLOOKUP(Table2[[#This Row],[Description]],$Q$1:$S$101,2,FALSE))</f>
        <v/>
      </c>
      <c r="H1924" s="1" t="str">
        <f>IF(Table2[[#This Row],[Description]]="","",VLOOKUP(Table2[[#This Row],[Description]],$Q$1:$S$101,3,FALSE))</f>
        <v/>
      </c>
      <c r="I1924" s="1" t="str">
        <f>IF(Table2[[#This Row],[Description]]="","",IF(Table2[[#This Row],[Currency]]=$O$2,$P$2,HLOOKUP(Table2[[#This Row],[Date]],Funds!$C$10:$GV$11,2,FALSE)))</f>
        <v/>
      </c>
      <c r="J1924" s="215" t="str">
        <f>IF(Table2[[#This Row],[Description]]="","",Table2[[#This Row],[Value]]/Table2[[#This Row],[Conversion]])</f>
        <v/>
      </c>
      <c r="K1924" s="45" t="str">
        <f>IF(Table2[[#This Row],[Description]]="","",DATE(Table2[[#This Row],[Year]],Table2[[#This Row],[Month]],1))</f>
        <v/>
      </c>
    </row>
    <row r="1925" spans="7:11" x14ac:dyDescent="0.25">
      <c r="G1925" s="1" t="str">
        <f>IF(Table2[[#This Row],[Description]]="","",VLOOKUP(Table2[[#This Row],[Description]],$Q$1:$S$101,2,FALSE))</f>
        <v/>
      </c>
      <c r="H1925" s="1" t="str">
        <f>IF(Table2[[#This Row],[Description]]="","",VLOOKUP(Table2[[#This Row],[Description]],$Q$1:$S$101,3,FALSE))</f>
        <v/>
      </c>
      <c r="I1925" s="1" t="str">
        <f>IF(Table2[[#This Row],[Description]]="","",IF(Table2[[#This Row],[Currency]]=$O$2,$P$2,HLOOKUP(Table2[[#This Row],[Date]],Funds!$C$10:$GV$11,2,FALSE)))</f>
        <v/>
      </c>
      <c r="J1925" s="215" t="str">
        <f>IF(Table2[[#This Row],[Description]]="","",Table2[[#This Row],[Value]]/Table2[[#This Row],[Conversion]])</f>
        <v/>
      </c>
      <c r="K1925" s="45" t="str">
        <f>IF(Table2[[#This Row],[Description]]="","",DATE(Table2[[#This Row],[Year]],Table2[[#This Row],[Month]],1))</f>
        <v/>
      </c>
    </row>
    <row r="1926" spans="7:11" x14ac:dyDescent="0.25">
      <c r="G1926" s="1" t="str">
        <f>IF(Table2[[#This Row],[Description]]="","",VLOOKUP(Table2[[#This Row],[Description]],$Q$1:$S$101,2,FALSE))</f>
        <v/>
      </c>
      <c r="H1926" s="1" t="str">
        <f>IF(Table2[[#This Row],[Description]]="","",VLOOKUP(Table2[[#This Row],[Description]],$Q$1:$S$101,3,FALSE))</f>
        <v/>
      </c>
      <c r="I1926" s="1" t="str">
        <f>IF(Table2[[#This Row],[Description]]="","",IF(Table2[[#This Row],[Currency]]=$O$2,$P$2,HLOOKUP(Table2[[#This Row],[Date]],Funds!$C$10:$GV$11,2,FALSE)))</f>
        <v/>
      </c>
      <c r="J1926" s="215" t="str">
        <f>IF(Table2[[#This Row],[Description]]="","",Table2[[#This Row],[Value]]/Table2[[#This Row],[Conversion]])</f>
        <v/>
      </c>
      <c r="K1926" s="45" t="str">
        <f>IF(Table2[[#This Row],[Description]]="","",DATE(Table2[[#This Row],[Year]],Table2[[#This Row],[Month]],1))</f>
        <v/>
      </c>
    </row>
    <row r="1927" spans="7:11" x14ac:dyDescent="0.25">
      <c r="G1927" s="1" t="str">
        <f>IF(Table2[[#This Row],[Description]]="","",VLOOKUP(Table2[[#This Row],[Description]],$Q$1:$S$101,2,FALSE))</f>
        <v/>
      </c>
      <c r="H1927" s="1" t="str">
        <f>IF(Table2[[#This Row],[Description]]="","",VLOOKUP(Table2[[#This Row],[Description]],$Q$1:$S$101,3,FALSE))</f>
        <v/>
      </c>
      <c r="I1927" s="1" t="str">
        <f>IF(Table2[[#This Row],[Description]]="","",IF(Table2[[#This Row],[Currency]]=$O$2,$P$2,HLOOKUP(Table2[[#This Row],[Date]],Funds!$C$10:$GV$11,2,FALSE)))</f>
        <v/>
      </c>
      <c r="J1927" s="215" t="str">
        <f>IF(Table2[[#This Row],[Description]]="","",Table2[[#This Row],[Value]]/Table2[[#This Row],[Conversion]])</f>
        <v/>
      </c>
      <c r="K1927" s="45" t="str">
        <f>IF(Table2[[#This Row],[Description]]="","",DATE(Table2[[#This Row],[Year]],Table2[[#This Row],[Month]],1))</f>
        <v/>
      </c>
    </row>
    <row r="1928" spans="7:11" x14ac:dyDescent="0.25">
      <c r="G1928" s="1" t="str">
        <f>IF(Table2[[#This Row],[Description]]="","",VLOOKUP(Table2[[#This Row],[Description]],$Q$1:$S$101,2,FALSE))</f>
        <v/>
      </c>
      <c r="H1928" s="1" t="str">
        <f>IF(Table2[[#This Row],[Description]]="","",VLOOKUP(Table2[[#This Row],[Description]],$Q$1:$S$101,3,FALSE))</f>
        <v/>
      </c>
      <c r="I1928" s="1" t="str">
        <f>IF(Table2[[#This Row],[Description]]="","",IF(Table2[[#This Row],[Currency]]=$O$2,$P$2,HLOOKUP(Table2[[#This Row],[Date]],Funds!$C$10:$GV$11,2,FALSE)))</f>
        <v/>
      </c>
      <c r="J1928" s="215" t="str">
        <f>IF(Table2[[#This Row],[Description]]="","",Table2[[#This Row],[Value]]/Table2[[#This Row],[Conversion]])</f>
        <v/>
      </c>
      <c r="K1928" s="45" t="str">
        <f>IF(Table2[[#This Row],[Description]]="","",DATE(Table2[[#This Row],[Year]],Table2[[#This Row],[Month]],1))</f>
        <v/>
      </c>
    </row>
    <row r="1929" spans="7:11" x14ac:dyDescent="0.25">
      <c r="G1929" s="1" t="str">
        <f>IF(Table2[[#This Row],[Description]]="","",VLOOKUP(Table2[[#This Row],[Description]],$Q$1:$S$101,2,FALSE))</f>
        <v/>
      </c>
      <c r="H1929" s="1" t="str">
        <f>IF(Table2[[#This Row],[Description]]="","",VLOOKUP(Table2[[#This Row],[Description]],$Q$1:$S$101,3,FALSE))</f>
        <v/>
      </c>
      <c r="I1929" s="1" t="str">
        <f>IF(Table2[[#This Row],[Description]]="","",IF(Table2[[#This Row],[Currency]]=$O$2,$P$2,HLOOKUP(Table2[[#This Row],[Date]],Funds!$C$10:$GV$11,2,FALSE)))</f>
        <v/>
      </c>
      <c r="J1929" s="215" t="str">
        <f>IF(Table2[[#This Row],[Description]]="","",Table2[[#This Row],[Value]]/Table2[[#This Row],[Conversion]])</f>
        <v/>
      </c>
      <c r="K1929" s="45" t="str">
        <f>IF(Table2[[#This Row],[Description]]="","",DATE(Table2[[#This Row],[Year]],Table2[[#This Row],[Month]],1))</f>
        <v/>
      </c>
    </row>
    <row r="1930" spans="7:11" x14ac:dyDescent="0.25">
      <c r="G1930" s="1" t="str">
        <f>IF(Table2[[#This Row],[Description]]="","",VLOOKUP(Table2[[#This Row],[Description]],$Q$1:$S$101,2,FALSE))</f>
        <v/>
      </c>
      <c r="H1930" s="1" t="str">
        <f>IF(Table2[[#This Row],[Description]]="","",VLOOKUP(Table2[[#This Row],[Description]],$Q$1:$S$101,3,FALSE))</f>
        <v/>
      </c>
      <c r="I1930" s="1" t="str">
        <f>IF(Table2[[#This Row],[Description]]="","",IF(Table2[[#This Row],[Currency]]=$O$2,$P$2,HLOOKUP(Table2[[#This Row],[Date]],Funds!$C$10:$GV$11,2,FALSE)))</f>
        <v/>
      </c>
      <c r="J1930" s="215" t="str">
        <f>IF(Table2[[#This Row],[Description]]="","",Table2[[#This Row],[Value]]/Table2[[#This Row],[Conversion]])</f>
        <v/>
      </c>
      <c r="K1930" s="45" t="str">
        <f>IF(Table2[[#This Row],[Description]]="","",DATE(Table2[[#This Row],[Year]],Table2[[#This Row],[Month]],1))</f>
        <v/>
      </c>
    </row>
    <row r="1931" spans="7:11" x14ac:dyDescent="0.25">
      <c r="G1931" s="1" t="str">
        <f>IF(Table2[[#This Row],[Description]]="","",VLOOKUP(Table2[[#This Row],[Description]],$Q$1:$S$101,2,FALSE))</f>
        <v/>
      </c>
      <c r="H1931" s="1" t="str">
        <f>IF(Table2[[#This Row],[Description]]="","",VLOOKUP(Table2[[#This Row],[Description]],$Q$1:$S$101,3,FALSE))</f>
        <v/>
      </c>
      <c r="I1931" s="1" t="str">
        <f>IF(Table2[[#This Row],[Description]]="","",IF(Table2[[#This Row],[Currency]]=$O$2,$P$2,HLOOKUP(Table2[[#This Row],[Date]],Funds!$C$10:$GV$11,2,FALSE)))</f>
        <v/>
      </c>
      <c r="J1931" s="215" t="str">
        <f>IF(Table2[[#This Row],[Description]]="","",Table2[[#This Row],[Value]]/Table2[[#This Row],[Conversion]])</f>
        <v/>
      </c>
      <c r="K1931" s="45" t="str">
        <f>IF(Table2[[#This Row],[Description]]="","",DATE(Table2[[#This Row],[Year]],Table2[[#This Row],[Month]],1))</f>
        <v/>
      </c>
    </row>
    <row r="1932" spans="7:11" x14ac:dyDescent="0.25">
      <c r="G1932" s="1" t="str">
        <f>IF(Table2[[#This Row],[Description]]="","",VLOOKUP(Table2[[#This Row],[Description]],$Q$1:$S$101,2,FALSE))</f>
        <v/>
      </c>
      <c r="H1932" s="1" t="str">
        <f>IF(Table2[[#This Row],[Description]]="","",VLOOKUP(Table2[[#This Row],[Description]],$Q$1:$S$101,3,FALSE))</f>
        <v/>
      </c>
      <c r="I1932" s="1" t="str">
        <f>IF(Table2[[#This Row],[Description]]="","",IF(Table2[[#This Row],[Currency]]=$O$2,$P$2,HLOOKUP(Table2[[#This Row],[Date]],Funds!$C$10:$GV$11,2,FALSE)))</f>
        <v/>
      </c>
      <c r="J1932" s="215" t="str">
        <f>IF(Table2[[#This Row],[Description]]="","",Table2[[#This Row],[Value]]/Table2[[#This Row],[Conversion]])</f>
        <v/>
      </c>
      <c r="K1932" s="45" t="str">
        <f>IF(Table2[[#This Row],[Description]]="","",DATE(Table2[[#This Row],[Year]],Table2[[#This Row],[Month]],1))</f>
        <v/>
      </c>
    </row>
    <row r="1933" spans="7:11" x14ac:dyDescent="0.25">
      <c r="G1933" s="1" t="str">
        <f>IF(Table2[[#This Row],[Description]]="","",VLOOKUP(Table2[[#This Row],[Description]],$Q$1:$S$101,2,FALSE))</f>
        <v/>
      </c>
      <c r="H1933" s="1" t="str">
        <f>IF(Table2[[#This Row],[Description]]="","",VLOOKUP(Table2[[#This Row],[Description]],$Q$1:$S$101,3,FALSE))</f>
        <v/>
      </c>
      <c r="I1933" s="1" t="str">
        <f>IF(Table2[[#This Row],[Description]]="","",IF(Table2[[#This Row],[Currency]]=$O$2,$P$2,HLOOKUP(Table2[[#This Row],[Date]],Funds!$C$10:$GV$11,2,FALSE)))</f>
        <v/>
      </c>
      <c r="J1933" s="215" t="str">
        <f>IF(Table2[[#This Row],[Description]]="","",Table2[[#This Row],[Value]]/Table2[[#This Row],[Conversion]])</f>
        <v/>
      </c>
      <c r="K1933" s="45" t="str">
        <f>IF(Table2[[#This Row],[Description]]="","",DATE(Table2[[#This Row],[Year]],Table2[[#This Row],[Month]],1))</f>
        <v/>
      </c>
    </row>
    <row r="1934" spans="7:11" x14ac:dyDescent="0.25">
      <c r="G1934" s="1" t="str">
        <f>IF(Table2[[#This Row],[Description]]="","",VLOOKUP(Table2[[#This Row],[Description]],$Q$1:$S$101,2,FALSE))</f>
        <v/>
      </c>
      <c r="H1934" s="1" t="str">
        <f>IF(Table2[[#This Row],[Description]]="","",VLOOKUP(Table2[[#This Row],[Description]],$Q$1:$S$101,3,FALSE))</f>
        <v/>
      </c>
      <c r="I1934" s="1" t="str">
        <f>IF(Table2[[#This Row],[Description]]="","",IF(Table2[[#This Row],[Currency]]=$O$2,$P$2,HLOOKUP(Table2[[#This Row],[Date]],Funds!$C$10:$GV$11,2,FALSE)))</f>
        <v/>
      </c>
      <c r="J1934" s="215" t="str">
        <f>IF(Table2[[#This Row],[Description]]="","",Table2[[#This Row],[Value]]/Table2[[#This Row],[Conversion]])</f>
        <v/>
      </c>
      <c r="K1934" s="45" t="str">
        <f>IF(Table2[[#This Row],[Description]]="","",DATE(Table2[[#This Row],[Year]],Table2[[#This Row],[Month]],1))</f>
        <v/>
      </c>
    </row>
    <row r="1935" spans="7:11" x14ac:dyDescent="0.25">
      <c r="G1935" s="1" t="str">
        <f>IF(Table2[[#This Row],[Description]]="","",VLOOKUP(Table2[[#This Row],[Description]],$Q$1:$S$101,2,FALSE))</f>
        <v/>
      </c>
      <c r="H1935" s="1" t="str">
        <f>IF(Table2[[#This Row],[Description]]="","",VLOOKUP(Table2[[#This Row],[Description]],$Q$1:$S$101,3,FALSE))</f>
        <v/>
      </c>
      <c r="I1935" s="1" t="str">
        <f>IF(Table2[[#This Row],[Description]]="","",IF(Table2[[#This Row],[Currency]]=$O$2,$P$2,HLOOKUP(Table2[[#This Row],[Date]],Funds!$C$10:$GV$11,2,FALSE)))</f>
        <v/>
      </c>
      <c r="J1935" s="215" t="str">
        <f>IF(Table2[[#This Row],[Description]]="","",Table2[[#This Row],[Value]]/Table2[[#This Row],[Conversion]])</f>
        <v/>
      </c>
      <c r="K1935" s="45" t="str">
        <f>IF(Table2[[#This Row],[Description]]="","",DATE(Table2[[#This Row],[Year]],Table2[[#This Row],[Month]],1))</f>
        <v/>
      </c>
    </row>
    <row r="1936" spans="7:11" x14ac:dyDescent="0.25">
      <c r="G1936" s="1" t="str">
        <f>IF(Table2[[#This Row],[Description]]="","",VLOOKUP(Table2[[#This Row],[Description]],$Q$1:$S$101,2,FALSE))</f>
        <v/>
      </c>
      <c r="H1936" s="1" t="str">
        <f>IF(Table2[[#This Row],[Description]]="","",VLOOKUP(Table2[[#This Row],[Description]],$Q$1:$S$101,3,FALSE))</f>
        <v/>
      </c>
      <c r="I1936" s="1" t="str">
        <f>IF(Table2[[#This Row],[Description]]="","",IF(Table2[[#This Row],[Currency]]=$O$2,$P$2,HLOOKUP(Table2[[#This Row],[Date]],Funds!$C$10:$GV$11,2,FALSE)))</f>
        <v/>
      </c>
      <c r="J1936" s="215" t="str">
        <f>IF(Table2[[#This Row],[Description]]="","",Table2[[#This Row],[Value]]/Table2[[#This Row],[Conversion]])</f>
        <v/>
      </c>
      <c r="K1936" s="45" t="str">
        <f>IF(Table2[[#This Row],[Description]]="","",DATE(Table2[[#This Row],[Year]],Table2[[#This Row],[Month]],1))</f>
        <v/>
      </c>
    </row>
    <row r="1937" spans="7:11" x14ac:dyDescent="0.25">
      <c r="G1937" s="1" t="str">
        <f>IF(Table2[[#This Row],[Description]]="","",VLOOKUP(Table2[[#This Row],[Description]],$Q$1:$S$101,2,FALSE))</f>
        <v/>
      </c>
      <c r="H1937" s="1" t="str">
        <f>IF(Table2[[#This Row],[Description]]="","",VLOOKUP(Table2[[#This Row],[Description]],$Q$1:$S$101,3,FALSE))</f>
        <v/>
      </c>
      <c r="I1937" s="1" t="str">
        <f>IF(Table2[[#This Row],[Description]]="","",IF(Table2[[#This Row],[Currency]]=$O$2,$P$2,HLOOKUP(Table2[[#This Row],[Date]],Funds!$C$10:$GV$11,2,FALSE)))</f>
        <v/>
      </c>
      <c r="J1937" s="215" t="str">
        <f>IF(Table2[[#This Row],[Description]]="","",Table2[[#This Row],[Value]]/Table2[[#This Row],[Conversion]])</f>
        <v/>
      </c>
      <c r="K1937" s="45" t="str">
        <f>IF(Table2[[#This Row],[Description]]="","",DATE(Table2[[#This Row],[Year]],Table2[[#This Row],[Month]],1))</f>
        <v/>
      </c>
    </row>
    <row r="1938" spans="7:11" x14ac:dyDescent="0.25">
      <c r="G1938" s="1" t="str">
        <f>IF(Table2[[#This Row],[Description]]="","",VLOOKUP(Table2[[#This Row],[Description]],$Q$1:$S$101,2,FALSE))</f>
        <v/>
      </c>
      <c r="H1938" s="1" t="str">
        <f>IF(Table2[[#This Row],[Description]]="","",VLOOKUP(Table2[[#This Row],[Description]],$Q$1:$S$101,3,FALSE))</f>
        <v/>
      </c>
      <c r="I1938" s="1" t="str">
        <f>IF(Table2[[#This Row],[Description]]="","",IF(Table2[[#This Row],[Currency]]=$O$2,$P$2,HLOOKUP(Table2[[#This Row],[Date]],Funds!$C$10:$GV$11,2,FALSE)))</f>
        <v/>
      </c>
      <c r="J1938" s="215" t="str">
        <f>IF(Table2[[#This Row],[Description]]="","",Table2[[#This Row],[Value]]/Table2[[#This Row],[Conversion]])</f>
        <v/>
      </c>
      <c r="K1938" s="45" t="str">
        <f>IF(Table2[[#This Row],[Description]]="","",DATE(Table2[[#This Row],[Year]],Table2[[#This Row],[Month]],1))</f>
        <v/>
      </c>
    </row>
    <row r="1939" spans="7:11" x14ac:dyDescent="0.25">
      <c r="G1939" s="1" t="str">
        <f>IF(Table2[[#This Row],[Description]]="","",VLOOKUP(Table2[[#This Row],[Description]],$Q$1:$S$101,2,FALSE))</f>
        <v/>
      </c>
      <c r="H1939" s="1" t="str">
        <f>IF(Table2[[#This Row],[Description]]="","",VLOOKUP(Table2[[#This Row],[Description]],$Q$1:$S$101,3,FALSE))</f>
        <v/>
      </c>
      <c r="I1939" s="1" t="str">
        <f>IF(Table2[[#This Row],[Description]]="","",IF(Table2[[#This Row],[Currency]]=$O$2,$P$2,HLOOKUP(Table2[[#This Row],[Date]],Funds!$C$10:$GV$11,2,FALSE)))</f>
        <v/>
      </c>
      <c r="J1939" s="215" t="str">
        <f>IF(Table2[[#This Row],[Description]]="","",Table2[[#This Row],[Value]]/Table2[[#This Row],[Conversion]])</f>
        <v/>
      </c>
      <c r="K1939" s="45" t="str">
        <f>IF(Table2[[#This Row],[Description]]="","",DATE(Table2[[#This Row],[Year]],Table2[[#This Row],[Month]],1))</f>
        <v/>
      </c>
    </row>
    <row r="1940" spans="7:11" x14ac:dyDescent="0.25">
      <c r="G1940" s="1" t="str">
        <f>IF(Table2[[#This Row],[Description]]="","",VLOOKUP(Table2[[#This Row],[Description]],$Q$1:$S$101,2,FALSE))</f>
        <v/>
      </c>
      <c r="H1940" s="1" t="str">
        <f>IF(Table2[[#This Row],[Description]]="","",VLOOKUP(Table2[[#This Row],[Description]],$Q$1:$S$101,3,FALSE))</f>
        <v/>
      </c>
      <c r="I1940" s="1" t="str">
        <f>IF(Table2[[#This Row],[Description]]="","",IF(Table2[[#This Row],[Currency]]=$O$2,$P$2,HLOOKUP(Table2[[#This Row],[Date]],Funds!$C$10:$GV$11,2,FALSE)))</f>
        <v/>
      </c>
      <c r="J1940" s="215" t="str">
        <f>IF(Table2[[#This Row],[Description]]="","",Table2[[#This Row],[Value]]/Table2[[#This Row],[Conversion]])</f>
        <v/>
      </c>
      <c r="K1940" s="45" t="str">
        <f>IF(Table2[[#This Row],[Description]]="","",DATE(Table2[[#This Row],[Year]],Table2[[#This Row],[Month]],1))</f>
        <v/>
      </c>
    </row>
    <row r="1941" spans="7:11" x14ac:dyDescent="0.25">
      <c r="G1941" s="1" t="str">
        <f>IF(Table2[[#This Row],[Description]]="","",VLOOKUP(Table2[[#This Row],[Description]],$Q$1:$S$101,2,FALSE))</f>
        <v/>
      </c>
      <c r="H1941" s="1" t="str">
        <f>IF(Table2[[#This Row],[Description]]="","",VLOOKUP(Table2[[#This Row],[Description]],$Q$1:$S$101,3,FALSE))</f>
        <v/>
      </c>
      <c r="I1941" s="1" t="str">
        <f>IF(Table2[[#This Row],[Description]]="","",IF(Table2[[#This Row],[Currency]]=$O$2,$P$2,HLOOKUP(Table2[[#This Row],[Date]],Funds!$C$10:$GV$11,2,FALSE)))</f>
        <v/>
      </c>
      <c r="J1941" s="215" t="str">
        <f>IF(Table2[[#This Row],[Description]]="","",Table2[[#This Row],[Value]]/Table2[[#This Row],[Conversion]])</f>
        <v/>
      </c>
      <c r="K1941" s="45" t="str">
        <f>IF(Table2[[#This Row],[Description]]="","",DATE(Table2[[#This Row],[Year]],Table2[[#This Row],[Month]],1))</f>
        <v/>
      </c>
    </row>
    <row r="1942" spans="7:11" x14ac:dyDescent="0.25">
      <c r="G1942" s="1" t="str">
        <f>IF(Table2[[#This Row],[Description]]="","",VLOOKUP(Table2[[#This Row],[Description]],$Q$1:$S$101,2,FALSE))</f>
        <v/>
      </c>
      <c r="H1942" s="1" t="str">
        <f>IF(Table2[[#This Row],[Description]]="","",VLOOKUP(Table2[[#This Row],[Description]],$Q$1:$S$101,3,FALSE))</f>
        <v/>
      </c>
      <c r="I1942" s="1" t="str">
        <f>IF(Table2[[#This Row],[Description]]="","",IF(Table2[[#This Row],[Currency]]=$O$2,$P$2,HLOOKUP(Table2[[#This Row],[Date]],Funds!$C$10:$GV$11,2,FALSE)))</f>
        <v/>
      </c>
      <c r="J1942" s="215" t="str">
        <f>IF(Table2[[#This Row],[Description]]="","",Table2[[#This Row],[Value]]/Table2[[#This Row],[Conversion]])</f>
        <v/>
      </c>
      <c r="K1942" s="45" t="str">
        <f>IF(Table2[[#This Row],[Description]]="","",DATE(Table2[[#This Row],[Year]],Table2[[#This Row],[Month]],1))</f>
        <v/>
      </c>
    </row>
    <row r="1943" spans="7:11" x14ac:dyDescent="0.25">
      <c r="G1943" s="1" t="str">
        <f>IF(Table2[[#This Row],[Description]]="","",VLOOKUP(Table2[[#This Row],[Description]],$Q$1:$S$101,2,FALSE))</f>
        <v/>
      </c>
      <c r="H1943" s="1" t="str">
        <f>IF(Table2[[#This Row],[Description]]="","",VLOOKUP(Table2[[#This Row],[Description]],$Q$1:$S$101,3,FALSE))</f>
        <v/>
      </c>
      <c r="I1943" s="1" t="str">
        <f>IF(Table2[[#This Row],[Description]]="","",IF(Table2[[#This Row],[Currency]]=$O$2,$P$2,HLOOKUP(Table2[[#This Row],[Date]],Funds!$C$10:$GV$11,2,FALSE)))</f>
        <v/>
      </c>
      <c r="J1943" s="215" t="str">
        <f>IF(Table2[[#This Row],[Description]]="","",Table2[[#This Row],[Value]]/Table2[[#This Row],[Conversion]])</f>
        <v/>
      </c>
      <c r="K1943" s="45" t="str">
        <f>IF(Table2[[#This Row],[Description]]="","",DATE(Table2[[#This Row],[Year]],Table2[[#This Row],[Month]],1))</f>
        <v/>
      </c>
    </row>
    <row r="1944" spans="7:11" x14ac:dyDescent="0.25">
      <c r="G1944" s="1" t="str">
        <f>IF(Table2[[#This Row],[Description]]="","",VLOOKUP(Table2[[#This Row],[Description]],$Q$1:$S$101,2,FALSE))</f>
        <v/>
      </c>
      <c r="H1944" s="1" t="str">
        <f>IF(Table2[[#This Row],[Description]]="","",VLOOKUP(Table2[[#This Row],[Description]],$Q$1:$S$101,3,FALSE))</f>
        <v/>
      </c>
      <c r="I1944" s="1" t="str">
        <f>IF(Table2[[#This Row],[Description]]="","",IF(Table2[[#This Row],[Currency]]=$O$2,$P$2,HLOOKUP(Table2[[#This Row],[Date]],Funds!$C$10:$GV$11,2,FALSE)))</f>
        <v/>
      </c>
      <c r="J1944" s="215" t="str">
        <f>IF(Table2[[#This Row],[Description]]="","",Table2[[#This Row],[Value]]/Table2[[#This Row],[Conversion]])</f>
        <v/>
      </c>
      <c r="K1944" s="45" t="str">
        <f>IF(Table2[[#This Row],[Description]]="","",DATE(Table2[[#This Row],[Year]],Table2[[#This Row],[Month]],1))</f>
        <v/>
      </c>
    </row>
    <row r="1945" spans="7:11" x14ac:dyDescent="0.25">
      <c r="G1945" s="1" t="str">
        <f>IF(Table2[[#This Row],[Description]]="","",VLOOKUP(Table2[[#This Row],[Description]],$Q$1:$S$101,2,FALSE))</f>
        <v/>
      </c>
      <c r="H1945" s="1" t="str">
        <f>IF(Table2[[#This Row],[Description]]="","",VLOOKUP(Table2[[#This Row],[Description]],$Q$1:$S$101,3,FALSE))</f>
        <v/>
      </c>
      <c r="I1945" s="1" t="str">
        <f>IF(Table2[[#This Row],[Description]]="","",IF(Table2[[#This Row],[Currency]]=$O$2,$P$2,HLOOKUP(Table2[[#This Row],[Date]],Funds!$C$10:$GV$11,2,FALSE)))</f>
        <v/>
      </c>
      <c r="J1945" s="215" t="str">
        <f>IF(Table2[[#This Row],[Description]]="","",Table2[[#This Row],[Value]]/Table2[[#This Row],[Conversion]])</f>
        <v/>
      </c>
      <c r="K1945" s="45" t="str">
        <f>IF(Table2[[#This Row],[Description]]="","",DATE(Table2[[#This Row],[Year]],Table2[[#This Row],[Month]],1))</f>
        <v/>
      </c>
    </row>
    <row r="1946" spans="7:11" x14ac:dyDescent="0.25">
      <c r="G1946" s="1" t="str">
        <f>IF(Table2[[#This Row],[Description]]="","",VLOOKUP(Table2[[#This Row],[Description]],$Q$1:$S$101,2,FALSE))</f>
        <v/>
      </c>
      <c r="H1946" s="1" t="str">
        <f>IF(Table2[[#This Row],[Description]]="","",VLOOKUP(Table2[[#This Row],[Description]],$Q$1:$S$101,3,FALSE))</f>
        <v/>
      </c>
      <c r="I1946" s="1" t="str">
        <f>IF(Table2[[#This Row],[Description]]="","",IF(Table2[[#This Row],[Currency]]=$O$2,$P$2,HLOOKUP(Table2[[#This Row],[Date]],Funds!$C$10:$GV$11,2,FALSE)))</f>
        <v/>
      </c>
      <c r="J1946" s="215" t="str">
        <f>IF(Table2[[#This Row],[Description]]="","",Table2[[#This Row],[Value]]/Table2[[#This Row],[Conversion]])</f>
        <v/>
      </c>
      <c r="K1946" s="45" t="str">
        <f>IF(Table2[[#This Row],[Description]]="","",DATE(Table2[[#This Row],[Year]],Table2[[#This Row],[Month]],1))</f>
        <v/>
      </c>
    </row>
    <row r="1947" spans="7:11" x14ac:dyDescent="0.25">
      <c r="G1947" s="1" t="str">
        <f>IF(Table2[[#This Row],[Description]]="","",VLOOKUP(Table2[[#This Row],[Description]],$Q$1:$S$101,2,FALSE))</f>
        <v/>
      </c>
      <c r="H1947" s="1" t="str">
        <f>IF(Table2[[#This Row],[Description]]="","",VLOOKUP(Table2[[#This Row],[Description]],$Q$1:$S$101,3,FALSE))</f>
        <v/>
      </c>
      <c r="I1947" s="1" t="str">
        <f>IF(Table2[[#This Row],[Description]]="","",IF(Table2[[#This Row],[Currency]]=$O$2,$P$2,HLOOKUP(Table2[[#This Row],[Date]],Funds!$C$10:$GV$11,2,FALSE)))</f>
        <v/>
      </c>
      <c r="J1947" s="215" t="str">
        <f>IF(Table2[[#This Row],[Description]]="","",Table2[[#This Row],[Value]]/Table2[[#This Row],[Conversion]])</f>
        <v/>
      </c>
      <c r="K1947" s="45" t="str">
        <f>IF(Table2[[#This Row],[Description]]="","",DATE(Table2[[#This Row],[Year]],Table2[[#This Row],[Month]],1))</f>
        <v/>
      </c>
    </row>
    <row r="1948" spans="7:11" x14ac:dyDescent="0.25">
      <c r="G1948" s="1" t="str">
        <f>IF(Table2[[#This Row],[Description]]="","",VLOOKUP(Table2[[#This Row],[Description]],$Q$1:$S$101,2,FALSE))</f>
        <v/>
      </c>
      <c r="H1948" s="1" t="str">
        <f>IF(Table2[[#This Row],[Description]]="","",VLOOKUP(Table2[[#This Row],[Description]],$Q$1:$S$101,3,FALSE))</f>
        <v/>
      </c>
      <c r="I1948" s="1" t="str">
        <f>IF(Table2[[#This Row],[Description]]="","",IF(Table2[[#This Row],[Currency]]=$O$2,$P$2,HLOOKUP(Table2[[#This Row],[Date]],Funds!$C$10:$GV$11,2,FALSE)))</f>
        <v/>
      </c>
      <c r="J1948" s="215" t="str">
        <f>IF(Table2[[#This Row],[Description]]="","",Table2[[#This Row],[Value]]/Table2[[#This Row],[Conversion]])</f>
        <v/>
      </c>
      <c r="K1948" s="45" t="str">
        <f>IF(Table2[[#This Row],[Description]]="","",DATE(Table2[[#This Row],[Year]],Table2[[#This Row],[Month]],1))</f>
        <v/>
      </c>
    </row>
    <row r="1949" spans="7:11" x14ac:dyDescent="0.25">
      <c r="G1949" s="1" t="str">
        <f>IF(Table2[[#This Row],[Description]]="","",VLOOKUP(Table2[[#This Row],[Description]],$Q$1:$S$101,2,FALSE))</f>
        <v/>
      </c>
      <c r="H1949" s="1" t="str">
        <f>IF(Table2[[#This Row],[Description]]="","",VLOOKUP(Table2[[#This Row],[Description]],$Q$1:$S$101,3,FALSE))</f>
        <v/>
      </c>
      <c r="I1949" s="1" t="str">
        <f>IF(Table2[[#This Row],[Description]]="","",IF(Table2[[#This Row],[Currency]]=$O$2,$P$2,HLOOKUP(Table2[[#This Row],[Date]],Funds!$C$10:$GV$11,2,FALSE)))</f>
        <v/>
      </c>
      <c r="J1949" s="215" t="str">
        <f>IF(Table2[[#This Row],[Description]]="","",Table2[[#This Row],[Value]]/Table2[[#This Row],[Conversion]])</f>
        <v/>
      </c>
      <c r="K1949" s="45" t="str">
        <f>IF(Table2[[#This Row],[Description]]="","",DATE(Table2[[#This Row],[Year]],Table2[[#This Row],[Month]],1))</f>
        <v/>
      </c>
    </row>
    <row r="1950" spans="7:11" x14ac:dyDescent="0.25">
      <c r="G1950" s="1" t="str">
        <f>IF(Table2[[#This Row],[Description]]="","",VLOOKUP(Table2[[#This Row],[Description]],$Q$1:$S$101,2,FALSE))</f>
        <v/>
      </c>
      <c r="H1950" s="1" t="str">
        <f>IF(Table2[[#This Row],[Description]]="","",VLOOKUP(Table2[[#This Row],[Description]],$Q$1:$S$101,3,FALSE))</f>
        <v/>
      </c>
      <c r="I1950" s="1" t="str">
        <f>IF(Table2[[#This Row],[Description]]="","",IF(Table2[[#This Row],[Currency]]=$O$2,$P$2,HLOOKUP(Table2[[#This Row],[Date]],Funds!$C$10:$GV$11,2,FALSE)))</f>
        <v/>
      </c>
      <c r="J1950" s="215" t="str">
        <f>IF(Table2[[#This Row],[Description]]="","",Table2[[#This Row],[Value]]/Table2[[#This Row],[Conversion]])</f>
        <v/>
      </c>
      <c r="K1950" s="45" t="str">
        <f>IF(Table2[[#This Row],[Description]]="","",DATE(Table2[[#This Row],[Year]],Table2[[#This Row],[Month]],1))</f>
        <v/>
      </c>
    </row>
    <row r="1951" spans="7:11" x14ac:dyDescent="0.25">
      <c r="G1951" s="1" t="str">
        <f>IF(Table2[[#This Row],[Description]]="","",VLOOKUP(Table2[[#This Row],[Description]],$Q$1:$S$101,2,FALSE))</f>
        <v/>
      </c>
      <c r="H1951" s="1" t="str">
        <f>IF(Table2[[#This Row],[Description]]="","",VLOOKUP(Table2[[#This Row],[Description]],$Q$1:$S$101,3,FALSE))</f>
        <v/>
      </c>
      <c r="I1951" s="1" t="str">
        <f>IF(Table2[[#This Row],[Description]]="","",IF(Table2[[#This Row],[Currency]]=$O$2,$P$2,HLOOKUP(Table2[[#This Row],[Date]],Funds!$C$10:$GV$11,2,FALSE)))</f>
        <v/>
      </c>
      <c r="J1951" s="215" t="str">
        <f>IF(Table2[[#This Row],[Description]]="","",Table2[[#This Row],[Value]]/Table2[[#This Row],[Conversion]])</f>
        <v/>
      </c>
      <c r="K1951" s="45" t="str">
        <f>IF(Table2[[#This Row],[Description]]="","",DATE(Table2[[#This Row],[Year]],Table2[[#This Row],[Month]],1))</f>
        <v/>
      </c>
    </row>
    <row r="1952" spans="7:11" x14ac:dyDescent="0.25">
      <c r="G1952" s="1" t="str">
        <f>IF(Table2[[#This Row],[Description]]="","",VLOOKUP(Table2[[#This Row],[Description]],$Q$1:$S$101,2,FALSE))</f>
        <v/>
      </c>
      <c r="H1952" s="1" t="str">
        <f>IF(Table2[[#This Row],[Description]]="","",VLOOKUP(Table2[[#This Row],[Description]],$Q$1:$S$101,3,FALSE))</f>
        <v/>
      </c>
      <c r="I1952" s="1" t="str">
        <f>IF(Table2[[#This Row],[Description]]="","",IF(Table2[[#This Row],[Currency]]=$O$2,$P$2,HLOOKUP(Table2[[#This Row],[Date]],Funds!$C$10:$GV$11,2,FALSE)))</f>
        <v/>
      </c>
      <c r="J1952" s="215" t="str">
        <f>IF(Table2[[#This Row],[Description]]="","",Table2[[#This Row],[Value]]/Table2[[#This Row],[Conversion]])</f>
        <v/>
      </c>
      <c r="K1952" s="45" t="str">
        <f>IF(Table2[[#This Row],[Description]]="","",DATE(Table2[[#This Row],[Year]],Table2[[#This Row],[Month]],1))</f>
        <v/>
      </c>
    </row>
    <row r="1953" spans="7:11" x14ac:dyDescent="0.25">
      <c r="G1953" s="1" t="str">
        <f>IF(Table2[[#This Row],[Description]]="","",VLOOKUP(Table2[[#This Row],[Description]],$Q$1:$S$101,2,FALSE))</f>
        <v/>
      </c>
      <c r="H1953" s="1" t="str">
        <f>IF(Table2[[#This Row],[Description]]="","",VLOOKUP(Table2[[#This Row],[Description]],$Q$1:$S$101,3,FALSE))</f>
        <v/>
      </c>
      <c r="I1953" s="1" t="str">
        <f>IF(Table2[[#This Row],[Description]]="","",IF(Table2[[#This Row],[Currency]]=$O$2,$P$2,HLOOKUP(Table2[[#This Row],[Date]],Funds!$C$10:$GV$11,2,FALSE)))</f>
        <v/>
      </c>
      <c r="J1953" s="215" t="str">
        <f>IF(Table2[[#This Row],[Description]]="","",Table2[[#This Row],[Value]]/Table2[[#This Row],[Conversion]])</f>
        <v/>
      </c>
      <c r="K1953" s="45" t="str">
        <f>IF(Table2[[#This Row],[Description]]="","",DATE(Table2[[#This Row],[Year]],Table2[[#This Row],[Month]],1))</f>
        <v/>
      </c>
    </row>
    <row r="1954" spans="7:11" x14ac:dyDescent="0.25">
      <c r="G1954" s="1" t="str">
        <f>IF(Table2[[#This Row],[Description]]="","",VLOOKUP(Table2[[#This Row],[Description]],$Q$1:$S$101,2,FALSE))</f>
        <v/>
      </c>
      <c r="H1954" s="1" t="str">
        <f>IF(Table2[[#This Row],[Description]]="","",VLOOKUP(Table2[[#This Row],[Description]],$Q$1:$S$101,3,FALSE))</f>
        <v/>
      </c>
      <c r="I1954" s="1" t="str">
        <f>IF(Table2[[#This Row],[Description]]="","",IF(Table2[[#This Row],[Currency]]=$O$2,$P$2,HLOOKUP(Table2[[#This Row],[Date]],Funds!$C$10:$GV$11,2,FALSE)))</f>
        <v/>
      </c>
      <c r="J1954" s="215" t="str">
        <f>IF(Table2[[#This Row],[Description]]="","",Table2[[#This Row],[Value]]/Table2[[#This Row],[Conversion]])</f>
        <v/>
      </c>
      <c r="K1954" s="45" t="str">
        <f>IF(Table2[[#This Row],[Description]]="","",DATE(Table2[[#This Row],[Year]],Table2[[#This Row],[Month]],1))</f>
        <v/>
      </c>
    </row>
    <row r="1955" spans="7:11" x14ac:dyDescent="0.25">
      <c r="G1955" s="1" t="str">
        <f>IF(Table2[[#This Row],[Description]]="","",VLOOKUP(Table2[[#This Row],[Description]],$Q$1:$S$101,2,FALSE))</f>
        <v/>
      </c>
      <c r="H1955" s="1" t="str">
        <f>IF(Table2[[#This Row],[Description]]="","",VLOOKUP(Table2[[#This Row],[Description]],$Q$1:$S$101,3,FALSE))</f>
        <v/>
      </c>
      <c r="I1955" s="1" t="str">
        <f>IF(Table2[[#This Row],[Description]]="","",IF(Table2[[#This Row],[Currency]]=$O$2,$P$2,HLOOKUP(Table2[[#This Row],[Date]],Funds!$C$10:$GV$11,2,FALSE)))</f>
        <v/>
      </c>
      <c r="J1955" s="215" t="str">
        <f>IF(Table2[[#This Row],[Description]]="","",Table2[[#This Row],[Value]]/Table2[[#This Row],[Conversion]])</f>
        <v/>
      </c>
      <c r="K1955" s="45" t="str">
        <f>IF(Table2[[#This Row],[Description]]="","",DATE(Table2[[#This Row],[Year]],Table2[[#This Row],[Month]],1))</f>
        <v/>
      </c>
    </row>
    <row r="1956" spans="7:11" x14ac:dyDescent="0.25">
      <c r="G1956" s="1" t="str">
        <f>IF(Table2[[#This Row],[Description]]="","",VLOOKUP(Table2[[#This Row],[Description]],$Q$1:$S$101,2,FALSE))</f>
        <v/>
      </c>
      <c r="H1956" s="1" t="str">
        <f>IF(Table2[[#This Row],[Description]]="","",VLOOKUP(Table2[[#This Row],[Description]],$Q$1:$S$101,3,FALSE))</f>
        <v/>
      </c>
      <c r="I1956" s="1" t="str">
        <f>IF(Table2[[#This Row],[Description]]="","",IF(Table2[[#This Row],[Currency]]=$O$2,$P$2,HLOOKUP(Table2[[#This Row],[Date]],Funds!$C$10:$GV$11,2,FALSE)))</f>
        <v/>
      </c>
      <c r="J1956" s="215" t="str">
        <f>IF(Table2[[#This Row],[Description]]="","",Table2[[#This Row],[Value]]/Table2[[#This Row],[Conversion]])</f>
        <v/>
      </c>
      <c r="K1956" s="45" t="str">
        <f>IF(Table2[[#This Row],[Description]]="","",DATE(Table2[[#This Row],[Year]],Table2[[#This Row],[Month]],1))</f>
        <v/>
      </c>
    </row>
    <row r="1957" spans="7:11" x14ac:dyDescent="0.25">
      <c r="G1957" s="1" t="str">
        <f>IF(Table2[[#This Row],[Description]]="","",VLOOKUP(Table2[[#This Row],[Description]],$Q$1:$S$101,2,FALSE))</f>
        <v/>
      </c>
      <c r="H1957" s="1" t="str">
        <f>IF(Table2[[#This Row],[Description]]="","",VLOOKUP(Table2[[#This Row],[Description]],$Q$1:$S$101,3,FALSE))</f>
        <v/>
      </c>
      <c r="I1957" s="1" t="str">
        <f>IF(Table2[[#This Row],[Description]]="","",IF(Table2[[#This Row],[Currency]]=$O$2,$P$2,HLOOKUP(Table2[[#This Row],[Date]],Funds!$C$10:$GV$11,2,FALSE)))</f>
        <v/>
      </c>
      <c r="J1957" s="215" t="str">
        <f>IF(Table2[[#This Row],[Description]]="","",Table2[[#This Row],[Value]]/Table2[[#This Row],[Conversion]])</f>
        <v/>
      </c>
      <c r="K1957" s="45" t="str">
        <f>IF(Table2[[#This Row],[Description]]="","",DATE(Table2[[#This Row],[Year]],Table2[[#This Row],[Month]],1))</f>
        <v/>
      </c>
    </row>
    <row r="1958" spans="7:11" x14ac:dyDescent="0.25">
      <c r="G1958" s="1" t="str">
        <f>IF(Table2[[#This Row],[Description]]="","",VLOOKUP(Table2[[#This Row],[Description]],$Q$1:$S$101,2,FALSE))</f>
        <v/>
      </c>
      <c r="H1958" s="1" t="str">
        <f>IF(Table2[[#This Row],[Description]]="","",VLOOKUP(Table2[[#This Row],[Description]],$Q$1:$S$101,3,FALSE))</f>
        <v/>
      </c>
      <c r="I1958" s="1" t="str">
        <f>IF(Table2[[#This Row],[Description]]="","",IF(Table2[[#This Row],[Currency]]=$O$2,$P$2,HLOOKUP(Table2[[#This Row],[Date]],Funds!$C$10:$GV$11,2,FALSE)))</f>
        <v/>
      </c>
      <c r="J1958" s="215" t="str">
        <f>IF(Table2[[#This Row],[Description]]="","",Table2[[#This Row],[Value]]/Table2[[#This Row],[Conversion]])</f>
        <v/>
      </c>
      <c r="K1958" s="45" t="str">
        <f>IF(Table2[[#This Row],[Description]]="","",DATE(Table2[[#This Row],[Year]],Table2[[#This Row],[Month]],1))</f>
        <v/>
      </c>
    </row>
    <row r="1959" spans="7:11" x14ac:dyDescent="0.25">
      <c r="G1959" s="1" t="str">
        <f>IF(Table2[[#This Row],[Description]]="","",VLOOKUP(Table2[[#This Row],[Description]],$Q$1:$S$101,2,FALSE))</f>
        <v/>
      </c>
      <c r="H1959" s="1" t="str">
        <f>IF(Table2[[#This Row],[Description]]="","",VLOOKUP(Table2[[#This Row],[Description]],$Q$1:$S$101,3,FALSE))</f>
        <v/>
      </c>
      <c r="I1959" s="1" t="str">
        <f>IF(Table2[[#This Row],[Description]]="","",IF(Table2[[#This Row],[Currency]]=$O$2,$P$2,HLOOKUP(Table2[[#This Row],[Date]],Funds!$C$10:$GV$11,2,FALSE)))</f>
        <v/>
      </c>
      <c r="J1959" s="215" t="str">
        <f>IF(Table2[[#This Row],[Description]]="","",Table2[[#This Row],[Value]]/Table2[[#This Row],[Conversion]])</f>
        <v/>
      </c>
      <c r="K1959" s="45" t="str">
        <f>IF(Table2[[#This Row],[Description]]="","",DATE(Table2[[#This Row],[Year]],Table2[[#This Row],[Month]],1))</f>
        <v/>
      </c>
    </row>
    <row r="1960" spans="7:11" x14ac:dyDescent="0.25">
      <c r="G1960" s="1" t="str">
        <f>IF(Table2[[#This Row],[Description]]="","",VLOOKUP(Table2[[#This Row],[Description]],$Q$1:$S$101,2,FALSE))</f>
        <v/>
      </c>
      <c r="H1960" s="1" t="str">
        <f>IF(Table2[[#This Row],[Description]]="","",VLOOKUP(Table2[[#This Row],[Description]],$Q$1:$S$101,3,FALSE))</f>
        <v/>
      </c>
      <c r="I1960" s="1" t="str">
        <f>IF(Table2[[#This Row],[Description]]="","",IF(Table2[[#This Row],[Currency]]=$O$2,$P$2,HLOOKUP(Table2[[#This Row],[Date]],Funds!$C$10:$GV$11,2,FALSE)))</f>
        <v/>
      </c>
      <c r="J1960" s="215" t="str">
        <f>IF(Table2[[#This Row],[Description]]="","",Table2[[#This Row],[Value]]/Table2[[#This Row],[Conversion]])</f>
        <v/>
      </c>
      <c r="K1960" s="45" t="str">
        <f>IF(Table2[[#This Row],[Description]]="","",DATE(Table2[[#This Row],[Year]],Table2[[#This Row],[Month]],1))</f>
        <v/>
      </c>
    </row>
    <row r="1961" spans="7:11" x14ac:dyDescent="0.25">
      <c r="G1961" s="1" t="str">
        <f>IF(Table2[[#This Row],[Description]]="","",VLOOKUP(Table2[[#This Row],[Description]],$Q$1:$S$101,2,FALSE))</f>
        <v/>
      </c>
      <c r="H1961" s="1" t="str">
        <f>IF(Table2[[#This Row],[Description]]="","",VLOOKUP(Table2[[#This Row],[Description]],$Q$1:$S$101,3,FALSE))</f>
        <v/>
      </c>
      <c r="I1961" s="1" t="str">
        <f>IF(Table2[[#This Row],[Description]]="","",IF(Table2[[#This Row],[Currency]]=$O$2,$P$2,HLOOKUP(Table2[[#This Row],[Date]],Funds!$C$10:$GV$11,2,FALSE)))</f>
        <v/>
      </c>
      <c r="J1961" s="215" t="str">
        <f>IF(Table2[[#This Row],[Description]]="","",Table2[[#This Row],[Value]]/Table2[[#This Row],[Conversion]])</f>
        <v/>
      </c>
      <c r="K1961" s="45" t="str">
        <f>IF(Table2[[#This Row],[Description]]="","",DATE(Table2[[#This Row],[Year]],Table2[[#This Row],[Month]],1))</f>
        <v/>
      </c>
    </row>
    <row r="1962" spans="7:11" x14ac:dyDescent="0.25">
      <c r="G1962" s="1" t="str">
        <f>IF(Table2[[#This Row],[Description]]="","",VLOOKUP(Table2[[#This Row],[Description]],$Q$1:$S$101,2,FALSE))</f>
        <v/>
      </c>
      <c r="H1962" s="1" t="str">
        <f>IF(Table2[[#This Row],[Description]]="","",VLOOKUP(Table2[[#This Row],[Description]],$Q$1:$S$101,3,FALSE))</f>
        <v/>
      </c>
      <c r="I1962" s="1" t="str">
        <f>IF(Table2[[#This Row],[Description]]="","",IF(Table2[[#This Row],[Currency]]=$O$2,$P$2,HLOOKUP(Table2[[#This Row],[Date]],Funds!$C$10:$GV$11,2,FALSE)))</f>
        <v/>
      </c>
      <c r="J1962" s="215" t="str">
        <f>IF(Table2[[#This Row],[Description]]="","",Table2[[#This Row],[Value]]/Table2[[#This Row],[Conversion]])</f>
        <v/>
      </c>
      <c r="K1962" s="45" t="str">
        <f>IF(Table2[[#This Row],[Description]]="","",DATE(Table2[[#This Row],[Year]],Table2[[#This Row],[Month]],1))</f>
        <v/>
      </c>
    </row>
    <row r="1963" spans="7:11" x14ac:dyDescent="0.25">
      <c r="G1963" s="1" t="str">
        <f>IF(Table2[[#This Row],[Description]]="","",VLOOKUP(Table2[[#This Row],[Description]],$Q$1:$S$101,2,FALSE))</f>
        <v/>
      </c>
      <c r="H1963" s="1" t="str">
        <f>IF(Table2[[#This Row],[Description]]="","",VLOOKUP(Table2[[#This Row],[Description]],$Q$1:$S$101,3,FALSE))</f>
        <v/>
      </c>
      <c r="I1963" s="1" t="str">
        <f>IF(Table2[[#This Row],[Description]]="","",IF(Table2[[#This Row],[Currency]]=$O$2,$P$2,HLOOKUP(Table2[[#This Row],[Date]],Funds!$C$10:$GV$11,2,FALSE)))</f>
        <v/>
      </c>
      <c r="J1963" s="215" t="str">
        <f>IF(Table2[[#This Row],[Description]]="","",Table2[[#This Row],[Value]]/Table2[[#This Row],[Conversion]])</f>
        <v/>
      </c>
      <c r="K1963" s="45" t="str">
        <f>IF(Table2[[#This Row],[Description]]="","",DATE(Table2[[#This Row],[Year]],Table2[[#This Row],[Month]],1))</f>
        <v/>
      </c>
    </row>
    <row r="1964" spans="7:11" x14ac:dyDescent="0.25">
      <c r="G1964" s="1" t="str">
        <f>IF(Table2[[#This Row],[Description]]="","",VLOOKUP(Table2[[#This Row],[Description]],$Q$1:$S$101,2,FALSE))</f>
        <v/>
      </c>
      <c r="H1964" s="1" t="str">
        <f>IF(Table2[[#This Row],[Description]]="","",VLOOKUP(Table2[[#This Row],[Description]],$Q$1:$S$101,3,FALSE))</f>
        <v/>
      </c>
      <c r="I1964" s="1" t="str">
        <f>IF(Table2[[#This Row],[Description]]="","",IF(Table2[[#This Row],[Currency]]=$O$2,$P$2,HLOOKUP(Table2[[#This Row],[Date]],Funds!$C$10:$GV$11,2,FALSE)))</f>
        <v/>
      </c>
      <c r="J1964" s="215" t="str">
        <f>IF(Table2[[#This Row],[Description]]="","",Table2[[#This Row],[Value]]/Table2[[#This Row],[Conversion]])</f>
        <v/>
      </c>
      <c r="K1964" s="45" t="str">
        <f>IF(Table2[[#This Row],[Description]]="","",DATE(Table2[[#This Row],[Year]],Table2[[#This Row],[Month]],1))</f>
        <v/>
      </c>
    </row>
    <row r="1965" spans="7:11" x14ac:dyDescent="0.25">
      <c r="G1965" s="1" t="str">
        <f>IF(Table2[[#This Row],[Description]]="","",VLOOKUP(Table2[[#This Row],[Description]],$Q$1:$S$101,2,FALSE))</f>
        <v/>
      </c>
      <c r="H1965" s="1" t="str">
        <f>IF(Table2[[#This Row],[Description]]="","",VLOOKUP(Table2[[#This Row],[Description]],$Q$1:$S$101,3,FALSE))</f>
        <v/>
      </c>
      <c r="I1965" s="1" t="str">
        <f>IF(Table2[[#This Row],[Description]]="","",IF(Table2[[#This Row],[Currency]]=$O$2,$P$2,HLOOKUP(Table2[[#This Row],[Date]],Funds!$C$10:$GV$11,2,FALSE)))</f>
        <v/>
      </c>
      <c r="J1965" s="215" t="str">
        <f>IF(Table2[[#This Row],[Description]]="","",Table2[[#This Row],[Value]]/Table2[[#This Row],[Conversion]])</f>
        <v/>
      </c>
      <c r="K1965" s="45" t="str">
        <f>IF(Table2[[#This Row],[Description]]="","",DATE(Table2[[#This Row],[Year]],Table2[[#This Row],[Month]],1))</f>
        <v/>
      </c>
    </row>
    <row r="1966" spans="7:11" x14ac:dyDescent="0.25">
      <c r="G1966" s="1" t="str">
        <f>IF(Table2[[#This Row],[Description]]="","",VLOOKUP(Table2[[#This Row],[Description]],$Q$1:$S$101,2,FALSE))</f>
        <v/>
      </c>
      <c r="H1966" s="1" t="str">
        <f>IF(Table2[[#This Row],[Description]]="","",VLOOKUP(Table2[[#This Row],[Description]],$Q$1:$S$101,3,FALSE))</f>
        <v/>
      </c>
      <c r="I1966" s="1" t="str">
        <f>IF(Table2[[#This Row],[Description]]="","",IF(Table2[[#This Row],[Currency]]=$O$2,$P$2,HLOOKUP(Table2[[#This Row],[Date]],Funds!$C$10:$GV$11,2,FALSE)))</f>
        <v/>
      </c>
      <c r="J1966" s="215" t="str">
        <f>IF(Table2[[#This Row],[Description]]="","",Table2[[#This Row],[Value]]/Table2[[#This Row],[Conversion]])</f>
        <v/>
      </c>
      <c r="K1966" s="45" t="str">
        <f>IF(Table2[[#This Row],[Description]]="","",DATE(Table2[[#This Row],[Year]],Table2[[#This Row],[Month]],1))</f>
        <v/>
      </c>
    </row>
    <row r="1967" spans="7:11" x14ac:dyDescent="0.25">
      <c r="G1967" s="1" t="str">
        <f>IF(Table2[[#This Row],[Description]]="","",VLOOKUP(Table2[[#This Row],[Description]],$Q$1:$S$101,2,FALSE))</f>
        <v/>
      </c>
      <c r="H1967" s="1" t="str">
        <f>IF(Table2[[#This Row],[Description]]="","",VLOOKUP(Table2[[#This Row],[Description]],$Q$1:$S$101,3,FALSE))</f>
        <v/>
      </c>
      <c r="I1967" s="1" t="str">
        <f>IF(Table2[[#This Row],[Description]]="","",IF(Table2[[#This Row],[Currency]]=$O$2,$P$2,HLOOKUP(Table2[[#This Row],[Date]],Funds!$C$10:$GV$11,2,FALSE)))</f>
        <v/>
      </c>
      <c r="J1967" s="215" t="str">
        <f>IF(Table2[[#This Row],[Description]]="","",Table2[[#This Row],[Value]]/Table2[[#This Row],[Conversion]])</f>
        <v/>
      </c>
      <c r="K1967" s="45" t="str">
        <f>IF(Table2[[#This Row],[Description]]="","",DATE(Table2[[#This Row],[Year]],Table2[[#This Row],[Month]],1))</f>
        <v/>
      </c>
    </row>
    <row r="1968" spans="7:11" x14ac:dyDescent="0.25">
      <c r="G1968" s="1" t="str">
        <f>IF(Table2[[#This Row],[Description]]="","",VLOOKUP(Table2[[#This Row],[Description]],$Q$1:$S$101,2,FALSE))</f>
        <v/>
      </c>
      <c r="H1968" s="1" t="str">
        <f>IF(Table2[[#This Row],[Description]]="","",VLOOKUP(Table2[[#This Row],[Description]],$Q$1:$S$101,3,FALSE))</f>
        <v/>
      </c>
      <c r="I1968" s="1" t="str">
        <f>IF(Table2[[#This Row],[Description]]="","",IF(Table2[[#This Row],[Currency]]=$O$2,$P$2,HLOOKUP(Table2[[#This Row],[Date]],Funds!$C$10:$GV$11,2,FALSE)))</f>
        <v/>
      </c>
      <c r="J1968" s="215" t="str">
        <f>IF(Table2[[#This Row],[Description]]="","",Table2[[#This Row],[Value]]/Table2[[#This Row],[Conversion]])</f>
        <v/>
      </c>
      <c r="K1968" s="45" t="str">
        <f>IF(Table2[[#This Row],[Description]]="","",DATE(Table2[[#This Row],[Year]],Table2[[#This Row],[Month]],1))</f>
        <v/>
      </c>
    </row>
    <row r="1969" spans="7:11" x14ac:dyDescent="0.25">
      <c r="G1969" s="1" t="str">
        <f>IF(Table2[[#This Row],[Description]]="","",VLOOKUP(Table2[[#This Row],[Description]],$Q$1:$S$101,2,FALSE))</f>
        <v/>
      </c>
      <c r="H1969" s="1" t="str">
        <f>IF(Table2[[#This Row],[Description]]="","",VLOOKUP(Table2[[#This Row],[Description]],$Q$1:$S$101,3,FALSE))</f>
        <v/>
      </c>
      <c r="I1969" s="1" t="str">
        <f>IF(Table2[[#This Row],[Description]]="","",IF(Table2[[#This Row],[Currency]]=$O$2,$P$2,HLOOKUP(Table2[[#This Row],[Date]],Funds!$C$10:$GV$11,2,FALSE)))</f>
        <v/>
      </c>
      <c r="J1969" s="215" t="str">
        <f>IF(Table2[[#This Row],[Description]]="","",Table2[[#This Row],[Value]]/Table2[[#This Row],[Conversion]])</f>
        <v/>
      </c>
      <c r="K1969" s="45" t="str">
        <f>IF(Table2[[#This Row],[Description]]="","",DATE(Table2[[#This Row],[Year]],Table2[[#This Row],[Month]],1))</f>
        <v/>
      </c>
    </row>
    <row r="1970" spans="7:11" x14ac:dyDescent="0.25">
      <c r="G1970" s="1" t="str">
        <f>IF(Table2[[#This Row],[Description]]="","",VLOOKUP(Table2[[#This Row],[Description]],$Q$1:$S$101,2,FALSE))</f>
        <v/>
      </c>
      <c r="H1970" s="1" t="str">
        <f>IF(Table2[[#This Row],[Description]]="","",VLOOKUP(Table2[[#This Row],[Description]],$Q$1:$S$101,3,FALSE))</f>
        <v/>
      </c>
      <c r="I1970" s="1" t="str">
        <f>IF(Table2[[#This Row],[Description]]="","",IF(Table2[[#This Row],[Currency]]=$O$2,$P$2,HLOOKUP(Table2[[#This Row],[Date]],Funds!$C$10:$GV$11,2,FALSE)))</f>
        <v/>
      </c>
      <c r="J1970" s="215" t="str">
        <f>IF(Table2[[#This Row],[Description]]="","",Table2[[#This Row],[Value]]/Table2[[#This Row],[Conversion]])</f>
        <v/>
      </c>
      <c r="K1970" s="45" t="str">
        <f>IF(Table2[[#This Row],[Description]]="","",DATE(Table2[[#This Row],[Year]],Table2[[#This Row],[Month]],1))</f>
        <v/>
      </c>
    </row>
    <row r="1971" spans="7:11" x14ac:dyDescent="0.25">
      <c r="G1971" s="1" t="str">
        <f>IF(Table2[[#This Row],[Description]]="","",VLOOKUP(Table2[[#This Row],[Description]],$Q$1:$S$101,2,FALSE))</f>
        <v/>
      </c>
      <c r="H1971" s="1" t="str">
        <f>IF(Table2[[#This Row],[Description]]="","",VLOOKUP(Table2[[#This Row],[Description]],$Q$1:$S$101,3,FALSE))</f>
        <v/>
      </c>
      <c r="I1971" s="1" t="str">
        <f>IF(Table2[[#This Row],[Description]]="","",IF(Table2[[#This Row],[Currency]]=$O$2,$P$2,HLOOKUP(Table2[[#This Row],[Date]],Funds!$C$10:$GV$11,2,FALSE)))</f>
        <v/>
      </c>
      <c r="J1971" s="215" t="str">
        <f>IF(Table2[[#This Row],[Description]]="","",Table2[[#This Row],[Value]]/Table2[[#This Row],[Conversion]])</f>
        <v/>
      </c>
      <c r="K1971" s="45" t="str">
        <f>IF(Table2[[#This Row],[Description]]="","",DATE(Table2[[#This Row],[Year]],Table2[[#This Row],[Month]],1))</f>
        <v/>
      </c>
    </row>
    <row r="1972" spans="7:11" x14ac:dyDescent="0.25">
      <c r="G1972" s="1" t="str">
        <f>IF(Table2[[#This Row],[Description]]="","",VLOOKUP(Table2[[#This Row],[Description]],$Q$1:$S$101,2,FALSE))</f>
        <v/>
      </c>
      <c r="H1972" s="1" t="str">
        <f>IF(Table2[[#This Row],[Description]]="","",VLOOKUP(Table2[[#This Row],[Description]],$Q$1:$S$101,3,FALSE))</f>
        <v/>
      </c>
      <c r="I1972" s="1" t="str">
        <f>IF(Table2[[#This Row],[Description]]="","",IF(Table2[[#This Row],[Currency]]=$O$2,$P$2,HLOOKUP(Table2[[#This Row],[Date]],Funds!$C$10:$GV$11,2,FALSE)))</f>
        <v/>
      </c>
      <c r="J1972" s="215" t="str">
        <f>IF(Table2[[#This Row],[Description]]="","",Table2[[#This Row],[Value]]/Table2[[#This Row],[Conversion]])</f>
        <v/>
      </c>
      <c r="K1972" s="45" t="str">
        <f>IF(Table2[[#This Row],[Description]]="","",DATE(Table2[[#This Row],[Year]],Table2[[#This Row],[Month]],1))</f>
        <v/>
      </c>
    </row>
    <row r="1973" spans="7:11" x14ac:dyDescent="0.25">
      <c r="G1973" s="1" t="str">
        <f>IF(Table2[[#This Row],[Description]]="","",VLOOKUP(Table2[[#This Row],[Description]],$Q$1:$S$101,2,FALSE))</f>
        <v/>
      </c>
      <c r="H1973" s="1" t="str">
        <f>IF(Table2[[#This Row],[Description]]="","",VLOOKUP(Table2[[#This Row],[Description]],$Q$1:$S$101,3,FALSE))</f>
        <v/>
      </c>
      <c r="I1973" s="1" t="str">
        <f>IF(Table2[[#This Row],[Description]]="","",IF(Table2[[#This Row],[Currency]]=$O$2,$P$2,HLOOKUP(Table2[[#This Row],[Date]],Funds!$C$10:$GV$11,2,FALSE)))</f>
        <v/>
      </c>
      <c r="J1973" s="215" t="str">
        <f>IF(Table2[[#This Row],[Description]]="","",Table2[[#This Row],[Value]]/Table2[[#This Row],[Conversion]])</f>
        <v/>
      </c>
      <c r="K1973" s="45" t="str">
        <f>IF(Table2[[#This Row],[Description]]="","",DATE(Table2[[#This Row],[Year]],Table2[[#This Row],[Month]],1))</f>
        <v/>
      </c>
    </row>
    <row r="1974" spans="7:11" x14ac:dyDescent="0.25">
      <c r="G1974" s="1" t="str">
        <f>IF(Table2[[#This Row],[Description]]="","",VLOOKUP(Table2[[#This Row],[Description]],$Q$1:$S$101,2,FALSE))</f>
        <v/>
      </c>
      <c r="H1974" s="1" t="str">
        <f>IF(Table2[[#This Row],[Description]]="","",VLOOKUP(Table2[[#This Row],[Description]],$Q$1:$S$101,3,FALSE))</f>
        <v/>
      </c>
      <c r="I1974" s="1" t="str">
        <f>IF(Table2[[#This Row],[Description]]="","",IF(Table2[[#This Row],[Currency]]=$O$2,$P$2,HLOOKUP(Table2[[#This Row],[Date]],Funds!$C$10:$GV$11,2,FALSE)))</f>
        <v/>
      </c>
      <c r="J1974" s="215" t="str">
        <f>IF(Table2[[#This Row],[Description]]="","",Table2[[#This Row],[Value]]/Table2[[#This Row],[Conversion]])</f>
        <v/>
      </c>
      <c r="K1974" s="45" t="str">
        <f>IF(Table2[[#This Row],[Description]]="","",DATE(Table2[[#This Row],[Year]],Table2[[#This Row],[Month]],1))</f>
        <v/>
      </c>
    </row>
    <row r="1975" spans="7:11" x14ac:dyDescent="0.25">
      <c r="G1975" s="1" t="str">
        <f>IF(Table2[[#This Row],[Description]]="","",VLOOKUP(Table2[[#This Row],[Description]],$Q$1:$S$101,2,FALSE))</f>
        <v/>
      </c>
      <c r="H1975" s="1" t="str">
        <f>IF(Table2[[#This Row],[Description]]="","",VLOOKUP(Table2[[#This Row],[Description]],$Q$1:$S$101,3,FALSE))</f>
        <v/>
      </c>
      <c r="I1975" s="1" t="str">
        <f>IF(Table2[[#This Row],[Description]]="","",IF(Table2[[#This Row],[Currency]]=$O$2,$P$2,HLOOKUP(Table2[[#This Row],[Date]],Funds!$C$10:$GV$11,2,FALSE)))</f>
        <v/>
      </c>
      <c r="J1975" s="215" t="str">
        <f>IF(Table2[[#This Row],[Description]]="","",Table2[[#This Row],[Value]]/Table2[[#This Row],[Conversion]])</f>
        <v/>
      </c>
      <c r="K1975" s="45" t="str">
        <f>IF(Table2[[#This Row],[Description]]="","",DATE(Table2[[#This Row],[Year]],Table2[[#This Row],[Month]],1))</f>
        <v/>
      </c>
    </row>
    <row r="1976" spans="7:11" x14ac:dyDescent="0.25">
      <c r="G1976" s="1" t="str">
        <f>IF(Table2[[#This Row],[Description]]="","",VLOOKUP(Table2[[#This Row],[Description]],$Q$1:$S$101,2,FALSE))</f>
        <v/>
      </c>
      <c r="H1976" s="1" t="str">
        <f>IF(Table2[[#This Row],[Description]]="","",VLOOKUP(Table2[[#This Row],[Description]],$Q$1:$S$101,3,FALSE))</f>
        <v/>
      </c>
      <c r="I1976" s="1" t="str">
        <f>IF(Table2[[#This Row],[Description]]="","",IF(Table2[[#This Row],[Currency]]=$O$2,$P$2,HLOOKUP(Table2[[#This Row],[Date]],Funds!$C$10:$GV$11,2,FALSE)))</f>
        <v/>
      </c>
      <c r="J1976" s="215" t="str">
        <f>IF(Table2[[#This Row],[Description]]="","",Table2[[#This Row],[Value]]/Table2[[#This Row],[Conversion]])</f>
        <v/>
      </c>
      <c r="K1976" s="45" t="str">
        <f>IF(Table2[[#This Row],[Description]]="","",DATE(Table2[[#This Row],[Year]],Table2[[#This Row],[Month]],1))</f>
        <v/>
      </c>
    </row>
    <row r="1977" spans="7:11" x14ac:dyDescent="0.25">
      <c r="G1977" s="1" t="str">
        <f>IF(Table2[[#This Row],[Description]]="","",VLOOKUP(Table2[[#This Row],[Description]],$Q$1:$S$101,2,FALSE))</f>
        <v/>
      </c>
      <c r="H1977" s="1" t="str">
        <f>IF(Table2[[#This Row],[Description]]="","",VLOOKUP(Table2[[#This Row],[Description]],$Q$1:$S$101,3,FALSE))</f>
        <v/>
      </c>
      <c r="I1977" s="1" t="str">
        <f>IF(Table2[[#This Row],[Description]]="","",IF(Table2[[#This Row],[Currency]]=$O$2,$P$2,HLOOKUP(Table2[[#This Row],[Date]],Funds!$C$10:$GV$11,2,FALSE)))</f>
        <v/>
      </c>
      <c r="J1977" s="215" t="str">
        <f>IF(Table2[[#This Row],[Description]]="","",Table2[[#This Row],[Value]]/Table2[[#This Row],[Conversion]])</f>
        <v/>
      </c>
      <c r="K1977" s="45" t="str">
        <f>IF(Table2[[#This Row],[Description]]="","",DATE(Table2[[#This Row],[Year]],Table2[[#This Row],[Month]],1))</f>
        <v/>
      </c>
    </row>
    <row r="1978" spans="7:11" x14ac:dyDescent="0.25">
      <c r="G1978" s="1" t="str">
        <f>IF(Table2[[#This Row],[Description]]="","",VLOOKUP(Table2[[#This Row],[Description]],$Q$1:$S$101,2,FALSE))</f>
        <v/>
      </c>
      <c r="H1978" s="1" t="str">
        <f>IF(Table2[[#This Row],[Description]]="","",VLOOKUP(Table2[[#This Row],[Description]],$Q$1:$S$101,3,FALSE))</f>
        <v/>
      </c>
      <c r="I1978" s="1" t="str">
        <f>IF(Table2[[#This Row],[Description]]="","",IF(Table2[[#This Row],[Currency]]=$O$2,$P$2,HLOOKUP(Table2[[#This Row],[Date]],Funds!$C$10:$GV$11,2,FALSE)))</f>
        <v/>
      </c>
      <c r="J1978" s="215" t="str">
        <f>IF(Table2[[#This Row],[Description]]="","",Table2[[#This Row],[Value]]/Table2[[#This Row],[Conversion]])</f>
        <v/>
      </c>
      <c r="K1978" s="45" t="str">
        <f>IF(Table2[[#This Row],[Description]]="","",DATE(Table2[[#This Row],[Year]],Table2[[#This Row],[Month]],1))</f>
        <v/>
      </c>
    </row>
    <row r="1979" spans="7:11" x14ac:dyDescent="0.25">
      <c r="G1979" s="1" t="str">
        <f>IF(Table2[[#This Row],[Description]]="","",VLOOKUP(Table2[[#This Row],[Description]],$Q$1:$S$101,2,FALSE))</f>
        <v/>
      </c>
      <c r="H1979" s="1" t="str">
        <f>IF(Table2[[#This Row],[Description]]="","",VLOOKUP(Table2[[#This Row],[Description]],$Q$1:$S$101,3,FALSE))</f>
        <v/>
      </c>
      <c r="I1979" s="1" t="str">
        <f>IF(Table2[[#This Row],[Description]]="","",IF(Table2[[#This Row],[Currency]]=$O$2,$P$2,HLOOKUP(Table2[[#This Row],[Date]],Funds!$C$10:$GV$11,2,FALSE)))</f>
        <v/>
      </c>
      <c r="J1979" s="215" t="str">
        <f>IF(Table2[[#This Row],[Description]]="","",Table2[[#This Row],[Value]]/Table2[[#This Row],[Conversion]])</f>
        <v/>
      </c>
      <c r="K1979" s="45" t="str">
        <f>IF(Table2[[#This Row],[Description]]="","",DATE(Table2[[#This Row],[Year]],Table2[[#This Row],[Month]],1))</f>
        <v/>
      </c>
    </row>
    <row r="1980" spans="7:11" x14ac:dyDescent="0.25">
      <c r="G1980" s="1" t="str">
        <f>IF(Table2[[#This Row],[Description]]="","",VLOOKUP(Table2[[#This Row],[Description]],$Q$1:$S$101,2,FALSE))</f>
        <v/>
      </c>
      <c r="H1980" s="1" t="str">
        <f>IF(Table2[[#This Row],[Description]]="","",VLOOKUP(Table2[[#This Row],[Description]],$Q$1:$S$101,3,FALSE))</f>
        <v/>
      </c>
      <c r="I1980" s="1" t="str">
        <f>IF(Table2[[#This Row],[Description]]="","",IF(Table2[[#This Row],[Currency]]=$O$2,$P$2,HLOOKUP(Table2[[#This Row],[Date]],Funds!$C$10:$GV$11,2,FALSE)))</f>
        <v/>
      </c>
      <c r="J1980" s="215" t="str">
        <f>IF(Table2[[#This Row],[Description]]="","",Table2[[#This Row],[Value]]/Table2[[#This Row],[Conversion]])</f>
        <v/>
      </c>
      <c r="K1980" s="45" t="str">
        <f>IF(Table2[[#This Row],[Description]]="","",DATE(Table2[[#This Row],[Year]],Table2[[#This Row],[Month]],1))</f>
        <v/>
      </c>
    </row>
    <row r="1981" spans="7:11" x14ac:dyDescent="0.25">
      <c r="G1981" s="1" t="str">
        <f>IF(Table2[[#This Row],[Description]]="","",VLOOKUP(Table2[[#This Row],[Description]],$Q$1:$S$101,2,FALSE))</f>
        <v/>
      </c>
      <c r="H1981" s="1" t="str">
        <f>IF(Table2[[#This Row],[Description]]="","",VLOOKUP(Table2[[#This Row],[Description]],$Q$1:$S$101,3,FALSE))</f>
        <v/>
      </c>
      <c r="I1981" s="1" t="str">
        <f>IF(Table2[[#This Row],[Description]]="","",IF(Table2[[#This Row],[Currency]]=$O$2,$P$2,HLOOKUP(Table2[[#This Row],[Date]],Funds!$C$10:$GV$11,2,FALSE)))</f>
        <v/>
      </c>
      <c r="J1981" s="215" t="str">
        <f>IF(Table2[[#This Row],[Description]]="","",Table2[[#This Row],[Value]]/Table2[[#This Row],[Conversion]])</f>
        <v/>
      </c>
      <c r="K1981" s="45" t="str">
        <f>IF(Table2[[#This Row],[Description]]="","",DATE(Table2[[#This Row],[Year]],Table2[[#This Row],[Month]],1))</f>
        <v/>
      </c>
    </row>
    <row r="1982" spans="7:11" x14ac:dyDescent="0.25">
      <c r="G1982" s="1" t="str">
        <f>IF(Table2[[#This Row],[Description]]="","",VLOOKUP(Table2[[#This Row],[Description]],$Q$1:$S$101,2,FALSE))</f>
        <v/>
      </c>
      <c r="H1982" s="1" t="str">
        <f>IF(Table2[[#This Row],[Description]]="","",VLOOKUP(Table2[[#This Row],[Description]],$Q$1:$S$101,3,FALSE))</f>
        <v/>
      </c>
      <c r="I1982" s="1" t="str">
        <f>IF(Table2[[#This Row],[Description]]="","",IF(Table2[[#This Row],[Currency]]=$O$2,$P$2,HLOOKUP(Table2[[#This Row],[Date]],Funds!$C$10:$GV$11,2,FALSE)))</f>
        <v/>
      </c>
      <c r="J1982" s="215" t="str">
        <f>IF(Table2[[#This Row],[Description]]="","",Table2[[#This Row],[Value]]/Table2[[#This Row],[Conversion]])</f>
        <v/>
      </c>
      <c r="K1982" s="45" t="str">
        <f>IF(Table2[[#This Row],[Description]]="","",DATE(Table2[[#This Row],[Year]],Table2[[#This Row],[Month]],1))</f>
        <v/>
      </c>
    </row>
    <row r="1983" spans="7:11" x14ac:dyDescent="0.25">
      <c r="G1983" s="1" t="str">
        <f>IF(Table2[[#This Row],[Description]]="","",VLOOKUP(Table2[[#This Row],[Description]],$Q$1:$S$101,2,FALSE))</f>
        <v/>
      </c>
      <c r="H1983" s="1" t="str">
        <f>IF(Table2[[#This Row],[Description]]="","",VLOOKUP(Table2[[#This Row],[Description]],$Q$1:$S$101,3,FALSE))</f>
        <v/>
      </c>
      <c r="I1983" s="1" t="str">
        <f>IF(Table2[[#This Row],[Description]]="","",IF(Table2[[#This Row],[Currency]]=$O$2,$P$2,HLOOKUP(Table2[[#This Row],[Date]],Funds!$C$10:$GV$11,2,FALSE)))</f>
        <v/>
      </c>
      <c r="J1983" s="215" t="str">
        <f>IF(Table2[[#This Row],[Description]]="","",Table2[[#This Row],[Value]]/Table2[[#This Row],[Conversion]])</f>
        <v/>
      </c>
      <c r="K1983" s="45" t="str">
        <f>IF(Table2[[#This Row],[Description]]="","",DATE(Table2[[#This Row],[Year]],Table2[[#This Row],[Month]],1))</f>
        <v/>
      </c>
    </row>
    <row r="1984" spans="7:11" x14ac:dyDescent="0.25">
      <c r="G1984" s="1" t="str">
        <f>IF(Table2[[#This Row],[Description]]="","",VLOOKUP(Table2[[#This Row],[Description]],$Q$1:$S$101,2,FALSE))</f>
        <v/>
      </c>
      <c r="H1984" s="1" t="str">
        <f>IF(Table2[[#This Row],[Description]]="","",VLOOKUP(Table2[[#This Row],[Description]],$Q$1:$S$101,3,FALSE))</f>
        <v/>
      </c>
      <c r="I1984" s="1" t="str">
        <f>IF(Table2[[#This Row],[Description]]="","",IF(Table2[[#This Row],[Currency]]=$O$2,$P$2,HLOOKUP(Table2[[#This Row],[Date]],Funds!$C$10:$GV$11,2,FALSE)))</f>
        <v/>
      </c>
      <c r="J1984" s="215" t="str">
        <f>IF(Table2[[#This Row],[Description]]="","",Table2[[#This Row],[Value]]/Table2[[#This Row],[Conversion]])</f>
        <v/>
      </c>
      <c r="K1984" s="45" t="str">
        <f>IF(Table2[[#This Row],[Description]]="","",DATE(Table2[[#This Row],[Year]],Table2[[#This Row],[Month]],1))</f>
        <v/>
      </c>
    </row>
    <row r="1985" spans="7:11" x14ac:dyDescent="0.25">
      <c r="G1985" s="1" t="str">
        <f>IF(Table2[[#This Row],[Description]]="","",VLOOKUP(Table2[[#This Row],[Description]],$Q$1:$S$101,2,FALSE))</f>
        <v/>
      </c>
      <c r="H1985" s="1" t="str">
        <f>IF(Table2[[#This Row],[Description]]="","",VLOOKUP(Table2[[#This Row],[Description]],$Q$1:$S$101,3,FALSE))</f>
        <v/>
      </c>
      <c r="I1985" s="1" t="str">
        <f>IF(Table2[[#This Row],[Description]]="","",IF(Table2[[#This Row],[Currency]]=$O$2,$P$2,HLOOKUP(Table2[[#This Row],[Date]],Funds!$C$10:$GV$11,2,FALSE)))</f>
        <v/>
      </c>
      <c r="J1985" s="215" t="str">
        <f>IF(Table2[[#This Row],[Description]]="","",Table2[[#This Row],[Value]]/Table2[[#This Row],[Conversion]])</f>
        <v/>
      </c>
      <c r="K1985" s="45" t="str">
        <f>IF(Table2[[#This Row],[Description]]="","",DATE(Table2[[#This Row],[Year]],Table2[[#This Row],[Month]],1))</f>
        <v/>
      </c>
    </row>
    <row r="1986" spans="7:11" x14ac:dyDescent="0.25">
      <c r="G1986" s="1" t="str">
        <f>IF(Table2[[#This Row],[Description]]="","",VLOOKUP(Table2[[#This Row],[Description]],$Q$1:$S$101,2,FALSE))</f>
        <v/>
      </c>
      <c r="H1986" s="1" t="str">
        <f>IF(Table2[[#This Row],[Description]]="","",VLOOKUP(Table2[[#This Row],[Description]],$Q$1:$S$101,3,FALSE))</f>
        <v/>
      </c>
      <c r="I1986" s="1" t="str">
        <f>IF(Table2[[#This Row],[Description]]="","",IF(Table2[[#This Row],[Currency]]=$O$2,$P$2,HLOOKUP(Table2[[#This Row],[Date]],Funds!$C$10:$GV$11,2,FALSE)))</f>
        <v/>
      </c>
      <c r="J1986" s="215" t="str">
        <f>IF(Table2[[#This Row],[Description]]="","",Table2[[#This Row],[Value]]/Table2[[#This Row],[Conversion]])</f>
        <v/>
      </c>
      <c r="K1986" s="45" t="str">
        <f>IF(Table2[[#This Row],[Description]]="","",DATE(Table2[[#This Row],[Year]],Table2[[#This Row],[Month]],1))</f>
        <v/>
      </c>
    </row>
    <row r="1987" spans="7:11" x14ac:dyDescent="0.25">
      <c r="G1987" s="1" t="str">
        <f>IF(Table2[[#This Row],[Description]]="","",VLOOKUP(Table2[[#This Row],[Description]],$Q$1:$S$101,2,FALSE))</f>
        <v/>
      </c>
      <c r="H1987" s="1" t="str">
        <f>IF(Table2[[#This Row],[Description]]="","",VLOOKUP(Table2[[#This Row],[Description]],$Q$1:$S$101,3,FALSE))</f>
        <v/>
      </c>
      <c r="I1987" s="1" t="str">
        <f>IF(Table2[[#This Row],[Description]]="","",IF(Table2[[#This Row],[Currency]]=$O$2,$P$2,HLOOKUP(Table2[[#This Row],[Date]],Funds!$C$10:$GV$11,2,FALSE)))</f>
        <v/>
      </c>
      <c r="J1987" s="215" t="str">
        <f>IF(Table2[[#This Row],[Description]]="","",Table2[[#This Row],[Value]]/Table2[[#This Row],[Conversion]])</f>
        <v/>
      </c>
      <c r="K1987" s="45" t="str">
        <f>IF(Table2[[#This Row],[Description]]="","",DATE(Table2[[#This Row],[Year]],Table2[[#This Row],[Month]],1))</f>
        <v/>
      </c>
    </row>
    <row r="1988" spans="7:11" x14ac:dyDescent="0.25">
      <c r="G1988" s="1" t="str">
        <f>IF(Table2[[#This Row],[Description]]="","",VLOOKUP(Table2[[#This Row],[Description]],$Q$1:$S$101,2,FALSE))</f>
        <v/>
      </c>
      <c r="H1988" s="1" t="str">
        <f>IF(Table2[[#This Row],[Description]]="","",VLOOKUP(Table2[[#This Row],[Description]],$Q$1:$S$101,3,FALSE))</f>
        <v/>
      </c>
      <c r="I1988" s="1" t="str">
        <f>IF(Table2[[#This Row],[Description]]="","",IF(Table2[[#This Row],[Currency]]=$O$2,$P$2,HLOOKUP(Table2[[#This Row],[Date]],Funds!$C$10:$GV$11,2,FALSE)))</f>
        <v/>
      </c>
      <c r="J1988" s="215" t="str">
        <f>IF(Table2[[#This Row],[Description]]="","",Table2[[#This Row],[Value]]/Table2[[#This Row],[Conversion]])</f>
        <v/>
      </c>
      <c r="K1988" s="45" t="str">
        <f>IF(Table2[[#This Row],[Description]]="","",DATE(Table2[[#This Row],[Year]],Table2[[#This Row],[Month]],1))</f>
        <v/>
      </c>
    </row>
    <row r="1989" spans="7:11" x14ac:dyDescent="0.25">
      <c r="G1989" s="1" t="str">
        <f>IF(Table2[[#This Row],[Description]]="","",VLOOKUP(Table2[[#This Row],[Description]],$Q$1:$S$101,2,FALSE))</f>
        <v/>
      </c>
      <c r="H1989" s="1" t="str">
        <f>IF(Table2[[#This Row],[Description]]="","",VLOOKUP(Table2[[#This Row],[Description]],$Q$1:$S$101,3,FALSE))</f>
        <v/>
      </c>
      <c r="I1989" s="1" t="str">
        <f>IF(Table2[[#This Row],[Description]]="","",IF(Table2[[#This Row],[Currency]]=$O$2,$P$2,HLOOKUP(Table2[[#This Row],[Date]],Funds!$C$10:$GV$11,2,FALSE)))</f>
        <v/>
      </c>
      <c r="J1989" s="215" t="str">
        <f>IF(Table2[[#This Row],[Description]]="","",Table2[[#This Row],[Value]]/Table2[[#This Row],[Conversion]])</f>
        <v/>
      </c>
      <c r="K1989" s="45" t="str">
        <f>IF(Table2[[#This Row],[Description]]="","",DATE(Table2[[#This Row],[Year]],Table2[[#This Row],[Month]],1))</f>
        <v/>
      </c>
    </row>
    <row r="1990" spans="7:11" x14ac:dyDescent="0.25">
      <c r="G1990" s="1" t="str">
        <f>IF(Table2[[#This Row],[Description]]="","",VLOOKUP(Table2[[#This Row],[Description]],$Q$1:$S$101,2,FALSE))</f>
        <v/>
      </c>
      <c r="H1990" s="1" t="str">
        <f>IF(Table2[[#This Row],[Description]]="","",VLOOKUP(Table2[[#This Row],[Description]],$Q$1:$S$101,3,FALSE))</f>
        <v/>
      </c>
      <c r="I1990" s="1" t="str">
        <f>IF(Table2[[#This Row],[Description]]="","",IF(Table2[[#This Row],[Currency]]=$O$2,$P$2,HLOOKUP(Table2[[#This Row],[Date]],Funds!$C$10:$GV$11,2,FALSE)))</f>
        <v/>
      </c>
      <c r="J1990" s="215" t="str">
        <f>IF(Table2[[#This Row],[Description]]="","",Table2[[#This Row],[Value]]/Table2[[#This Row],[Conversion]])</f>
        <v/>
      </c>
      <c r="K1990" s="45" t="str">
        <f>IF(Table2[[#This Row],[Description]]="","",DATE(Table2[[#This Row],[Year]],Table2[[#This Row],[Month]],1))</f>
        <v/>
      </c>
    </row>
    <row r="1991" spans="7:11" x14ac:dyDescent="0.25">
      <c r="G1991" s="1" t="str">
        <f>IF(Table2[[#This Row],[Description]]="","",VLOOKUP(Table2[[#This Row],[Description]],$Q$1:$S$101,2,FALSE))</f>
        <v/>
      </c>
      <c r="H1991" s="1" t="str">
        <f>IF(Table2[[#This Row],[Description]]="","",VLOOKUP(Table2[[#This Row],[Description]],$Q$1:$S$101,3,FALSE))</f>
        <v/>
      </c>
      <c r="I1991" s="1" t="str">
        <f>IF(Table2[[#This Row],[Description]]="","",IF(Table2[[#This Row],[Currency]]=$O$2,$P$2,HLOOKUP(Table2[[#This Row],[Date]],Funds!$C$10:$GV$11,2,FALSE)))</f>
        <v/>
      </c>
      <c r="J1991" s="215" t="str">
        <f>IF(Table2[[#This Row],[Description]]="","",Table2[[#This Row],[Value]]/Table2[[#This Row],[Conversion]])</f>
        <v/>
      </c>
      <c r="K1991" s="45" t="str">
        <f>IF(Table2[[#This Row],[Description]]="","",DATE(Table2[[#This Row],[Year]],Table2[[#This Row],[Month]],1))</f>
        <v/>
      </c>
    </row>
    <row r="1992" spans="7:11" x14ac:dyDescent="0.25">
      <c r="G1992" s="1" t="str">
        <f>IF(Table2[[#This Row],[Description]]="","",VLOOKUP(Table2[[#This Row],[Description]],$Q$1:$S$101,2,FALSE))</f>
        <v/>
      </c>
      <c r="H1992" s="1" t="str">
        <f>IF(Table2[[#This Row],[Description]]="","",VLOOKUP(Table2[[#This Row],[Description]],$Q$1:$S$101,3,FALSE))</f>
        <v/>
      </c>
      <c r="I1992" s="1" t="str">
        <f>IF(Table2[[#This Row],[Description]]="","",IF(Table2[[#This Row],[Currency]]=$O$2,$P$2,HLOOKUP(Table2[[#This Row],[Date]],Funds!$C$10:$GV$11,2,FALSE)))</f>
        <v/>
      </c>
      <c r="J1992" s="215" t="str">
        <f>IF(Table2[[#This Row],[Description]]="","",Table2[[#This Row],[Value]]/Table2[[#This Row],[Conversion]])</f>
        <v/>
      </c>
      <c r="K1992" s="45" t="str">
        <f>IF(Table2[[#This Row],[Description]]="","",DATE(Table2[[#This Row],[Year]],Table2[[#This Row],[Month]],1))</f>
        <v/>
      </c>
    </row>
    <row r="1993" spans="7:11" x14ac:dyDescent="0.25">
      <c r="G1993" s="1" t="str">
        <f>IF(Table2[[#This Row],[Description]]="","",VLOOKUP(Table2[[#This Row],[Description]],$Q$1:$S$101,2,FALSE))</f>
        <v/>
      </c>
      <c r="H1993" s="1" t="str">
        <f>IF(Table2[[#This Row],[Description]]="","",VLOOKUP(Table2[[#This Row],[Description]],$Q$1:$S$101,3,FALSE))</f>
        <v/>
      </c>
      <c r="I1993" s="1" t="str">
        <f>IF(Table2[[#This Row],[Description]]="","",IF(Table2[[#This Row],[Currency]]=$O$2,$P$2,HLOOKUP(Table2[[#This Row],[Date]],Funds!$C$10:$GV$11,2,FALSE)))</f>
        <v/>
      </c>
      <c r="J1993" s="215" t="str">
        <f>IF(Table2[[#This Row],[Description]]="","",Table2[[#This Row],[Value]]/Table2[[#This Row],[Conversion]])</f>
        <v/>
      </c>
      <c r="K1993" s="45" t="str">
        <f>IF(Table2[[#This Row],[Description]]="","",DATE(Table2[[#This Row],[Year]],Table2[[#This Row],[Month]],1))</f>
        <v/>
      </c>
    </row>
    <row r="1994" spans="7:11" x14ac:dyDescent="0.25">
      <c r="G1994" s="1" t="str">
        <f>IF(Table2[[#This Row],[Description]]="","",VLOOKUP(Table2[[#This Row],[Description]],$Q$1:$S$101,2,FALSE))</f>
        <v/>
      </c>
      <c r="H1994" s="1" t="str">
        <f>IF(Table2[[#This Row],[Description]]="","",VLOOKUP(Table2[[#This Row],[Description]],$Q$1:$S$101,3,FALSE))</f>
        <v/>
      </c>
      <c r="I1994" s="1" t="str">
        <f>IF(Table2[[#This Row],[Description]]="","",IF(Table2[[#This Row],[Currency]]=$O$2,$P$2,HLOOKUP(Table2[[#This Row],[Date]],Funds!$C$10:$GV$11,2,FALSE)))</f>
        <v/>
      </c>
      <c r="J1994" s="215" t="str">
        <f>IF(Table2[[#This Row],[Description]]="","",Table2[[#This Row],[Value]]/Table2[[#This Row],[Conversion]])</f>
        <v/>
      </c>
      <c r="K1994" s="45" t="str">
        <f>IF(Table2[[#This Row],[Description]]="","",DATE(Table2[[#This Row],[Year]],Table2[[#This Row],[Month]],1))</f>
        <v/>
      </c>
    </row>
    <row r="1995" spans="7:11" x14ac:dyDescent="0.25">
      <c r="G1995" s="1" t="str">
        <f>IF(Table2[[#This Row],[Description]]="","",VLOOKUP(Table2[[#This Row],[Description]],$Q$1:$S$101,2,FALSE))</f>
        <v/>
      </c>
      <c r="H1995" s="1" t="str">
        <f>IF(Table2[[#This Row],[Description]]="","",VLOOKUP(Table2[[#This Row],[Description]],$Q$1:$S$101,3,FALSE))</f>
        <v/>
      </c>
      <c r="I1995" s="1" t="str">
        <f>IF(Table2[[#This Row],[Description]]="","",IF(Table2[[#This Row],[Currency]]=$O$2,$P$2,HLOOKUP(Table2[[#This Row],[Date]],Funds!$C$10:$GV$11,2,FALSE)))</f>
        <v/>
      </c>
      <c r="J1995" s="215" t="str">
        <f>IF(Table2[[#This Row],[Description]]="","",Table2[[#This Row],[Value]]/Table2[[#This Row],[Conversion]])</f>
        <v/>
      </c>
      <c r="K1995" s="45" t="str">
        <f>IF(Table2[[#This Row],[Description]]="","",DATE(Table2[[#This Row],[Year]],Table2[[#This Row],[Month]],1))</f>
        <v/>
      </c>
    </row>
    <row r="1996" spans="7:11" x14ac:dyDescent="0.25">
      <c r="G1996" s="1" t="str">
        <f>IF(Table2[[#This Row],[Description]]="","",VLOOKUP(Table2[[#This Row],[Description]],$Q$1:$S$101,2,FALSE))</f>
        <v/>
      </c>
      <c r="H1996" s="1" t="str">
        <f>IF(Table2[[#This Row],[Description]]="","",VLOOKUP(Table2[[#This Row],[Description]],$Q$1:$S$101,3,FALSE))</f>
        <v/>
      </c>
      <c r="I1996" s="1" t="str">
        <f>IF(Table2[[#This Row],[Description]]="","",IF(Table2[[#This Row],[Currency]]=$O$2,$P$2,HLOOKUP(Table2[[#This Row],[Date]],Funds!$C$10:$GV$11,2,FALSE)))</f>
        <v/>
      </c>
      <c r="J1996" s="215" t="str">
        <f>IF(Table2[[#This Row],[Description]]="","",Table2[[#This Row],[Value]]/Table2[[#This Row],[Conversion]])</f>
        <v/>
      </c>
      <c r="K1996" s="45" t="str">
        <f>IF(Table2[[#This Row],[Description]]="","",DATE(Table2[[#This Row],[Year]],Table2[[#This Row],[Month]],1))</f>
        <v/>
      </c>
    </row>
    <row r="1997" spans="7:11" x14ac:dyDescent="0.25">
      <c r="G1997" s="1" t="str">
        <f>IF(Table2[[#This Row],[Description]]="","",VLOOKUP(Table2[[#This Row],[Description]],$Q$1:$S$101,2,FALSE))</f>
        <v/>
      </c>
      <c r="H1997" s="1" t="str">
        <f>IF(Table2[[#This Row],[Description]]="","",VLOOKUP(Table2[[#This Row],[Description]],$Q$1:$S$101,3,FALSE))</f>
        <v/>
      </c>
      <c r="I1997" s="1" t="str">
        <f>IF(Table2[[#This Row],[Description]]="","",IF(Table2[[#This Row],[Currency]]=$O$2,$P$2,HLOOKUP(Table2[[#This Row],[Date]],Funds!$C$10:$GV$11,2,FALSE)))</f>
        <v/>
      </c>
      <c r="J1997" s="215" t="str">
        <f>IF(Table2[[#This Row],[Description]]="","",Table2[[#This Row],[Value]]/Table2[[#This Row],[Conversion]])</f>
        <v/>
      </c>
      <c r="K1997" s="45" t="str">
        <f>IF(Table2[[#This Row],[Description]]="","",DATE(Table2[[#This Row],[Year]],Table2[[#This Row],[Month]],1))</f>
        <v/>
      </c>
    </row>
    <row r="1998" spans="7:11" x14ac:dyDescent="0.25">
      <c r="G1998" s="1" t="str">
        <f>IF(Table2[[#This Row],[Description]]="","",VLOOKUP(Table2[[#This Row],[Description]],$Q$1:$S$101,2,FALSE))</f>
        <v/>
      </c>
      <c r="H1998" s="1" t="str">
        <f>IF(Table2[[#This Row],[Description]]="","",VLOOKUP(Table2[[#This Row],[Description]],$Q$1:$S$101,3,FALSE))</f>
        <v/>
      </c>
      <c r="I1998" s="1" t="str">
        <f>IF(Table2[[#This Row],[Description]]="","",IF(Table2[[#This Row],[Currency]]=$O$2,$P$2,HLOOKUP(Table2[[#This Row],[Date]],Funds!$C$10:$GV$11,2,FALSE)))</f>
        <v/>
      </c>
      <c r="J1998" s="215" t="str">
        <f>IF(Table2[[#This Row],[Description]]="","",Table2[[#This Row],[Value]]/Table2[[#This Row],[Conversion]])</f>
        <v/>
      </c>
      <c r="K1998" s="45" t="str">
        <f>IF(Table2[[#This Row],[Description]]="","",DATE(Table2[[#This Row],[Year]],Table2[[#This Row],[Month]],1))</f>
        <v/>
      </c>
    </row>
    <row r="1999" spans="7:11" x14ac:dyDescent="0.25">
      <c r="G1999" s="1" t="str">
        <f>IF(Table2[[#This Row],[Description]]="","",VLOOKUP(Table2[[#This Row],[Description]],$Q$1:$S$101,2,FALSE))</f>
        <v/>
      </c>
      <c r="H1999" s="1" t="str">
        <f>IF(Table2[[#This Row],[Description]]="","",VLOOKUP(Table2[[#This Row],[Description]],$Q$1:$S$101,3,FALSE))</f>
        <v/>
      </c>
      <c r="I1999" s="1" t="str">
        <f>IF(Table2[[#This Row],[Description]]="","",IF(Table2[[#This Row],[Currency]]=$O$2,$P$2,HLOOKUP(Table2[[#This Row],[Date]],Funds!$C$10:$GV$11,2,FALSE)))</f>
        <v/>
      </c>
      <c r="J1999" s="215" t="str">
        <f>IF(Table2[[#This Row],[Description]]="","",Table2[[#This Row],[Value]]/Table2[[#This Row],[Conversion]])</f>
        <v/>
      </c>
      <c r="K1999" s="45" t="str">
        <f>IF(Table2[[#This Row],[Description]]="","",DATE(Table2[[#This Row],[Year]],Table2[[#This Row],[Month]],1))</f>
        <v/>
      </c>
    </row>
    <row r="2000" spans="7:11" x14ac:dyDescent="0.25">
      <c r="G2000" s="1" t="str">
        <f>IF(Table2[[#This Row],[Description]]="","",VLOOKUP(Table2[[#This Row],[Description]],$Q$1:$S$101,2,FALSE))</f>
        <v/>
      </c>
      <c r="H2000" s="1" t="str">
        <f>IF(Table2[[#This Row],[Description]]="","",VLOOKUP(Table2[[#This Row],[Description]],$Q$1:$S$101,3,FALSE))</f>
        <v/>
      </c>
      <c r="I2000" s="1" t="str">
        <f>IF(Table2[[#This Row],[Description]]="","",IF(Table2[[#This Row],[Currency]]=$O$2,$P$2,HLOOKUP(Table2[[#This Row],[Date]],Funds!$C$10:$GV$11,2,FALSE)))</f>
        <v/>
      </c>
      <c r="J2000" s="215" t="str">
        <f>IF(Table2[[#This Row],[Description]]="","",Table2[[#This Row],[Value]]/Table2[[#This Row],[Conversion]])</f>
        <v/>
      </c>
      <c r="K2000" s="45" t="str">
        <f>IF(Table2[[#This Row],[Description]]="","",DATE(Table2[[#This Row],[Year]],Table2[[#This Row],[Month]],1))</f>
        <v/>
      </c>
    </row>
    <row r="2001" spans="7:11" x14ac:dyDescent="0.25">
      <c r="G2001" s="1" t="str">
        <f>IF(Table2[[#This Row],[Description]]="","",VLOOKUP(Table2[[#This Row],[Description]],$Q$1:$S$101,2,FALSE))</f>
        <v/>
      </c>
      <c r="H2001" s="1" t="str">
        <f>IF(Table2[[#This Row],[Description]]="","",VLOOKUP(Table2[[#This Row],[Description]],$Q$1:$S$101,3,FALSE))</f>
        <v/>
      </c>
      <c r="I2001" s="1" t="str">
        <f>IF(Table2[[#This Row],[Description]]="","",IF(Table2[[#This Row],[Currency]]=$O$2,$P$2,HLOOKUP(Table2[[#This Row],[Date]],Funds!$C$10:$GV$11,2,FALSE)))</f>
        <v/>
      </c>
      <c r="J2001" s="215" t="str">
        <f>IF(Table2[[#This Row],[Description]]="","",Table2[[#This Row],[Value]]/Table2[[#This Row],[Conversion]])</f>
        <v/>
      </c>
      <c r="K2001" s="45" t="str">
        <f>IF(Table2[[#This Row],[Description]]="","",DATE(Table2[[#This Row],[Year]],Table2[[#This Row],[Month]],1))</f>
        <v/>
      </c>
    </row>
    <row r="2002" spans="7:11" x14ac:dyDescent="0.25">
      <c r="G2002" s="1" t="str">
        <f>IF(Table2[[#This Row],[Description]]="","",VLOOKUP(Table2[[#This Row],[Description]],$Q$1:$S$101,2,FALSE))</f>
        <v/>
      </c>
      <c r="H2002" s="1" t="str">
        <f>IF(Table2[[#This Row],[Description]]="","",VLOOKUP(Table2[[#This Row],[Description]],$Q$1:$S$101,3,FALSE))</f>
        <v/>
      </c>
      <c r="I2002" s="1" t="str">
        <f>IF(Table2[[#This Row],[Description]]="","",IF(Table2[[#This Row],[Currency]]=$O$2,$P$2,HLOOKUP(Table2[[#This Row],[Date]],Funds!$C$10:$GV$11,2,FALSE)))</f>
        <v/>
      </c>
      <c r="J2002" s="215" t="str">
        <f>IF(Table2[[#This Row],[Description]]="","",Table2[[#This Row],[Value]]/Table2[[#This Row],[Conversion]])</f>
        <v/>
      </c>
      <c r="K2002" s="45" t="str">
        <f>IF(Table2[[#This Row],[Description]]="","",DATE(Table2[[#This Row],[Year]],Table2[[#This Row],[Month]],1))</f>
        <v/>
      </c>
    </row>
    <row r="2003" spans="7:11" x14ac:dyDescent="0.25">
      <c r="G2003" s="1" t="str">
        <f>IF(Table2[[#This Row],[Description]]="","",VLOOKUP(Table2[[#This Row],[Description]],$Q$1:$S$101,2,FALSE))</f>
        <v/>
      </c>
      <c r="H2003" s="1" t="str">
        <f>IF(Table2[[#This Row],[Description]]="","",VLOOKUP(Table2[[#This Row],[Description]],$Q$1:$S$101,3,FALSE))</f>
        <v/>
      </c>
      <c r="I2003" s="1" t="str">
        <f>IF(Table2[[#This Row],[Description]]="","",IF(Table2[[#This Row],[Currency]]=$O$2,$P$2,HLOOKUP(Table2[[#This Row],[Date]],Funds!$C$10:$GV$11,2,FALSE)))</f>
        <v/>
      </c>
      <c r="J2003" s="215" t="str">
        <f>IF(Table2[[#This Row],[Description]]="","",Table2[[#This Row],[Value]]/Table2[[#This Row],[Conversion]])</f>
        <v/>
      </c>
      <c r="K2003" s="45" t="str">
        <f>IF(Table2[[#This Row],[Description]]="","",DATE(Table2[[#This Row],[Year]],Table2[[#This Row],[Month]],1))</f>
        <v/>
      </c>
    </row>
    <row r="2004" spans="7:11" x14ac:dyDescent="0.25">
      <c r="G2004" s="1" t="str">
        <f>IF(Table2[[#This Row],[Description]]="","",VLOOKUP(Table2[[#This Row],[Description]],$Q$1:$S$101,2,FALSE))</f>
        <v/>
      </c>
      <c r="H2004" s="1" t="str">
        <f>IF(Table2[[#This Row],[Description]]="","",VLOOKUP(Table2[[#This Row],[Description]],$Q$1:$S$101,3,FALSE))</f>
        <v/>
      </c>
      <c r="I2004" s="1" t="str">
        <f>IF(Table2[[#This Row],[Description]]="","",IF(Table2[[#This Row],[Currency]]=$O$2,$P$2,HLOOKUP(Table2[[#This Row],[Date]],Funds!$C$10:$GV$11,2,FALSE)))</f>
        <v/>
      </c>
      <c r="J2004" s="215" t="str">
        <f>IF(Table2[[#This Row],[Description]]="","",Table2[[#This Row],[Value]]/Table2[[#This Row],[Conversion]])</f>
        <v/>
      </c>
      <c r="K2004" s="45" t="str">
        <f>IF(Table2[[#This Row],[Description]]="","",DATE(Table2[[#This Row],[Year]],Table2[[#This Row],[Month]],1))</f>
        <v/>
      </c>
    </row>
    <row r="2005" spans="7:11" x14ac:dyDescent="0.25">
      <c r="G2005" s="1" t="str">
        <f>IF(Table2[[#This Row],[Description]]="","",VLOOKUP(Table2[[#This Row],[Description]],$Q$1:$S$101,2,FALSE))</f>
        <v/>
      </c>
      <c r="H2005" s="1" t="str">
        <f>IF(Table2[[#This Row],[Description]]="","",VLOOKUP(Table2[[#This Row],[Description]],$Q$1:$S$101,3,FALSE))</f>
        <v/>
      </c>
      <c r="I2005" s="1" t="str">
        <f>IF(Table2[[#This Row],[Description]]="","",IF(Table2[[#This Row],[Currency]]=$O$2,$P$2,HLOOKUP(Table2[[#This Row],[Date]],Funds!$C$10:$GV$11,2,FALSE)))</f>
        <v/>
      </c>
      <c r="J2005" s="215" t="str">
        <f>IF(Table2[[#This Row],[Description]]="","",Table2[[#This Row],[Value]]/Table2[[#This Row],[Conversion]])</f>
        <v/>
      </c>
      <c r="K2005" s="45" t="str">
        <f>IF(Table2[[#This Row],[Description]]="","",DATE(Table2[[#This Row],[Year]],Table2[[#This Row],[Month]],1))</f>
        <v/>
      </c>
    </row>
    <row r="2006" spans="7:11" x14ac:dyDescent="0.25">
      <c r="G2006" s="1" t="str">
        <f>IF(Table2[[#This Row],[Description]]="","",VLOOKUP(Table2[[#This Row],[Description]],$Q$1:$S$101,2,FALSE))</f>
        <v/>
      </c>
      <c r="H2006" s="1" t="str">
        <f>IF(Table2[[#This Row],[Description]]="","",VLOOKUP(Table2[[#This Row],[Description]],$Q$1:$S$101,3,FALSE))</f>
        <v/>
      </c>
      <c r="I2006" s="1" t="str">
        <f>IF(Table2[[#This Row],[Description]]="","",IF(Table2[[#This Row],[Currency]]=$O$2,$P$2,HLOOKUP(Table2[[#This Row],[Date]],Funds!$C$10:$GV$11,2,FALSE)))</f>
        <v/>
      </c>
      <c r="J2006" s="215" t="str">
        <f>IF(Table2[[#This Row],[Description]]="","",Table2[[#This Row],[Value]]/Table2[[#This Row],[Conversion]])</f>
        <v/>
      </c>
      <c r="K2006" s="45" t="str">
        <f>IF(Table2[[#This Row],[Description]]="","",DATE(Table2[[#This Row],[Year]],Table2[[#This Row],[Month]],1))</f>
        <v/>
      </c>
    </row>
    <row r="2007" spans="7:11" x14ac:dyDescent="0.25">
      <c r="G2007" s="1" t="str">
        <f>IF(Table2[[#This Row],[Description]]="","",VLOOKUP(Table2[[#This Row],[Description]],$Q$1:$S$101,2,FALSE))</f>
        <v/>
      </c>
      <c r="H2007" s="1" t="str">
        <f>IF(Table2[[#This Row],[Description]]="","",VLOOKUP(Table2[[#This Row],[Description]],$Q$1:$S$101,3,FALSE))</f>
        <v/>
      </c>
      <c r="I2007" s="1" t="str">
        <f>IF(Table2[[#This Row],[Description]]="","",IF(Table2[[#This Row],[Currency]]=$O$2,$P$2,HLOOKUP(Table2[[#This Row],[Date]],Funds!$C$10:$GV$11,2,FALSE)))</f>
        <v/>
      </c>
      <c r="J2007" s="215" t="str">
        <f>IF(Table2[[#This Row],[Description]]="","",Table2[[#This Row],[Value]]/Table2[[#This Row],[Conversion]])</f>
        <v/>
      </c>
      <c r="K2007" s="45" t="str">
        <f>IF(Table2[[#This Row],[Description]]="","",DATE(Table2[[#This Row],[Year]],Table2[[#This Row],[Month]],1))</f>
        <v/>
      </c>
    </row>
    <row r="2008" spans="7:11" x14ac:dyDescent="0.25">
      <c r="G2008" s="1" t="str">
        <f>IF(Table2[[#This Row],[Description]]="","",VLOOKUP(Table2[[#This Row],[Description]],$Q$1:$S$101,2,FALSE))</f>
        <v/>
      </c>
      <c r="H2008" s="1" t="str">
        <f>IF(Table2[[#This Row],[Description]]="","",VLOOKUP(Table2[[#This Row],[Description]],$Q$1:$S$101,3,FALSE))</f>
        <v/>
      </c>
      <c r="I2008" s="1" t="str">
        <f>IF(Table2[[#This Row],[Description]]="","",IF(Table2[[#This Row],[Currency]]=$O$2,$P$2,HLOOKUP(Table2[[#This Row],[Date]],Funds!$C$10:$GV$11,2,FALSE)))</f>
        <v/>
      </c>
      <c r="J2008" s="215" t="str">
        <f>IF(Table2[[#This Row],[Description]]="","",Table2[[#This Row],[Value]]/Table2[[#This Row],[Conversion]])</f>
        <v/>
      </c>
      <c r="K2008" s="45" t="str">
        <f>IF(Table2[[#This Row],[Description]]="","",DATE(Table2[[#This Row],[Year]],Table2[[#This Row],[Month]],1))</f>
        <v/>
      </c>
    </row>
    <row r="2009" spans="7:11" x14ac:dyDescent="0.25">
      <c r="G2009" s="1" t="str">
        <f>IF(Table2[[#This Row],[Description]]="","",VLOOKUP(Table2[[#This Row],[Description]],$Q$1:$S$101,2,FALSE))</f>
        <v/>
      </c>
      <c r="H2009" s="1" t="str">
        <f>IF(Table2[[#This Row],[Description]]="","",VLOOKUP(Table2[[#This Row],[Description]],$Q$1:$S$101,3,FALSE))</f>
        <v/>
      </c>
      <c r="I2009" s="1" t="str">
        <f>IF(Table2[[#This Row],[Description]]="","",IF(Table2[[#This Row],[Currency]]=$O$2,$P$2,HLOOKUP(Table2[[#This Row],[Date]],Funds!$C$10:$GV$11,2,FALSE)))</f>
        <v/>
      </c>
      <c r="J2009" s="215" t="str">
        <f>IF(Table2[[#This Row],[Description]]="","",Table2[[#This Row],[Value]]/Table2[[#This Row],[Conversion]])</f>
        <v/>
      </c>
      <c r="K2009" s="45" t="str">
        <f>IF(Table2[[#This Row],[Description]]="","",DATE(Table2[[#This Row],[Year]],Table2[[#This Row],[Month]],1))</f>
        <v/>
      </c>
    </row>
    <row r="2010" spans="7:11" x14ac:dyDescent="0.25">
      <c r="G2010" s="1" t="str">
        <f>IF(Table2[[#This Row],[Description]]="","",VLOOKUP(Table2[[#This Row],[Description]],$Q$1:$S$101,2,FALSE))</f>
        <v/>
      </c>
      <c r="H2010" s="1" t="str">
        <f>IF(Table2[[#This Row],[Description]]="","",VLOOKUP(Table2[[#This Row],[Description]],$Q$1:$S$101,3,FALSE))</f>
        <v/>
      </c>
      <c r="I2010" s="1" t="str">
        <f>IF(Table2[[#This Row],[Description]]="","",IF(Table2[[#This Row],[Currency]]=$O$2,$P$2,HLOOKUP(Table2[[#This Row],[Date]],Funds!$C$10:$GV$11,2,FALSE)))</f>
        <v/>
      </c>
      <c r="J2010" s="215" t="str">
        <f>IF(Table2[[#This Row],[Description]]="","",Table2[[#This Row],[Value]]/Table2[[#This Row],[Conversion]])</f>
        <v/>
      </c>
      <c r="K2010" s="45" t="str">
        <f>IF(Table2[[#This Row],[Description]]="","",DATE(Table2[[#This Row],[Year]],Table2[[#This Row],[Month]],1))</f>
        <v/>
      </c>
    </row>
    <row r="2011" spans="7:11" x14ac:dyDescent="0.25">
      <c r="G2011" s="1" t="str">
        <f>IF(Table2[[#This Row],[Description]]="","",VLOOKUP(Table2[[#This Row],[Description]],$Q$1:$S$101,2,FALSE))</f>
        <v/>
      </c>
      <c r="H2011" s="1" t="str">
        <f>IF(Table2[[#This Row],[Description]]="","",VLOOKUP(Table2[[#This Row],[Description]],$Q$1:$S$101,3,FALSE))</f>
        <v/>
      </c>
      <c r="I2011" s="1" t="str">
        <f>IF(Table2[[#This Row],[Description]]="","",IF(Table2[[#This Row],[Currency]]=$O$2,$P$2,HLOOKUP(Table2[[#This Row],[Date]],Funds!$C$10:$GV$11,2,FALSE)))</f>
        <v/>
      </c>
      <c r="J2011" s="215" t="str">
        <f>IF(Table2[[#This Row],[Description]]="","",Table2[[#This Row],[Value]]/Table2[[#This Row],[Conversion]])</f>
        <v/>
      </c>
      <c r="K2011" s="45" t="str">
        <f>IF(Table2[[#This Row],[Description]]="","",DATE(Table2[[#This Row],[Year]],Table2[[#This Row],[Month]],1))</f>
        <v/>
      </c>
    </row>
    <row r="2012" spans="7:11" x14ac:dyDescent="0.25">
      <c r="G2012" s="1" t="str">
        <f>IF(Table2[[#This Row],[Description]]="","",VLOOKUP(Table2[[#This Row],[Description]],$Q$1:$S$101,2,FALSE))</f>
        <v/>
      </c>
      <c r="H2012" s="1" t="str">
        <f>IF(Table2[[#This Row],[Description]]="","",VLOOKUP(Table2[[#This Row],[Description]],$Q$1:$S$101,3,FALSE))</f>
        <v/>
      </c>
      <c r="I2012" s="1" t="str">
        <f>IF(Table2[[#This Row],[Description]]="","",IF(Table2[[#This Row],[Currency]]=$O$2,$P$2,HLOOKUP(Table2[[#This Row],[Date]],Funds!$C$10:$GV$11,2,FALSE)))</f>
        <v/>
      </c>
      <c r="J2012" s="215" t="str">
        <f>IF(Table2[[#This Row],[Description]]="","",Table2[[#This Row],[Value]]/Table2[[#This Row],[Conversion]])</f>
        <v/>
      </c>
      <c r="K2012" s="45" t="str">
        <f>IF(Table2[[#This Row],[Description]]="","",DATE(Table2[[#This Row],[Year]],Table2[[#This Row],[Month]],1))</f>
        <v/>
      </c>
    </row>
    <row r="2013" spans="7:11" x14ac:dyDescent="0.25">
      <c r="G2013" s="1" t="str">
        <f>IF(Table2[[#This Row],[Description]]="","",VLOOKUP(Table2[[#This Row],[Description]],$Q$1:$S$101,2,FALSE))</f>
        <v/>
      </c>
      <c r="H2013" s="1" t="str">
        <f>IF(Table2[[#This Row],[Description]]="","",VLOOKUP(Table2[[#This Row],[Description]],$Q$1:$S$101,3,FALSE))</f>
        <v/>
      </c>
      <c r="I2013" s="1" t="str">
        <f>IF(Table2[[#This Row],[Description]]="","",IF(Table2[[#This Row],[Currency]]=$O$2,$P$2,HLOOKUP(Table2[[#This Row],[Date]],Funds!$C$10:$GV$11,2,FALSE)))</f>
        <v/>
      </c>
      <c r="J2013" s="215" t="str">
        <f>IF(Table2[[#This Row],[Description]]="","",Table2[[#This Row],[Value]]/Table2[[#This Row],[Conversion]])</f>
        <v/>
      </c>
      <c r="K2013" s="45" t="str">
        <f>IF(Table2[[#This Row],[Description]]="","",DATE(Table2[[#This Row],[Year]],Table2[[#This Row],[Month]],1))</f>
        <v/>
      </c>
    </row>
    <row r="2014" spans="7:11" x14ac:dyDescent="0.25">
      <c r="G2014" s="1" t="str">
        <f>IF(Table2[[#This Row],[Description]]="","",VLOOKUP(Table2[[#This Row],[Description]],$Q$1:$S$101,2,FALSE))</f>
        <v/>
      </c>
      <c r="H2014" s="1" t="str">
        <f>IF(Table2[[#This Row],[Description]]="","",VLOOKUP(Table2[[#This Row],[Description]],$Q$1:$S$101,3,FALSE))</f>
        <v/>
      </c>
      <c r="I2014" s="1" t="str">
        <f>IF(Table2[[#This Row],[Description]]="","",IF(Table2[[#This Row],[Currency]]=$O$2,$P$2,HLOOKUP(Table2[[#This Row],[Date]],Funds!$C$10:$GV$11,2,FALSE)))</f>
        <v/>
      </c>
      <c r="J2014" s="215" t="str">
        <f>IF(Table2[[#This Row],[Description]]="","",Table2[[#This Row],[Value]]/Table2[[#This Row],[Conversion]])</f>
        <v/>
      </c>
      <c r="K2014" s="45" t="str">
        <f>IF(Table2[[#This Row],[Description]]="","",DATE(Table2[[#This Row],[Year]],Table2[[#This Row],[Month]],1))</f>
        <v/>
      </c>
    </row>
    <row r="2015" spans="7:11" x14ac:dyDescent="0.25">
      <c r="G2015" s="1" t="str">
        <f>IF(Table2[[#This Row],[Description]]="","",VLOOKUP(Table2[[#This Row],[Description]],$Q$1:$S$101,2,FALSE))</f>
        <v/>
      </c>
      <c r="H2015" s="1" t="str">
        <f>IF(Table2[[#This Row],[Description]]="","",VLOOKUP(Table2[[#This Row],[Description]],$Q$1:$S$101,3,FALSE))</f>
        <v/>
      </c>
      <c r="I2015" s="1" t="str">
        <f>IF(Table2[[#This Row],[Description]]="","",IF(Table2[[#This Row],[Currency]]=$O$2,$P$2,HLOOKUP(Table2[[#This Row],[Date]],Funds!$C$10:$GV$11,2,FALSE)))</f>
        <v/>
      </c>
      <c r="J2015" s="215" t="str">
        <f>IF(Table2[[#This Row],[Description]]="","",Table2[[#This Row],[Value]]/Table2[[#This Row],[Conversion]])</f>
        <v/>
      </c>
      <c r="K2015" s="45" t="str">
        <f>IF(Table2[[#This Row],[Description]]="","",DATE(Table2[[#This Row],[Year]],Table2[[#This Row],[Month]],1))</f>
        <v/>
      </c>
    </row>
    <row r="2016" spans="7:11" x14ac:dyDescent="0.25">
      <c r="G2016" s="1" t="str">
        <f>IF(Table2[[#This Row],[Description]]="","",VLOOKUP(Table2[[#This Row],[Description]],$Q$1:$S$101,2,FALSE))</f>
        <v/>
      </c>
      <c r="H2016" s="1" t="str">
        <f>IF(Table2[[#This Row],[Description]]="","",VLOOKUP(Table2[[#This Row],[Description]],$Q$1:$S$101,3,FALSE))</f>
        <v/>
      </c>
      <c r="I2016" s="1" t="str">
        <f>IF(Table2[[#This Row],[Description]]="","",IF(Table2[[#This Row],[Currency]]=$O$2,$P$2,HLOOKUP(Table2[[#This Row],[Date]],Funds!$C$10:$GV$11,2,FALSE)))</f>
        <v/>
      </c>
      <c r="J2016" s="215" t="str">
        <f>IF(Table2[[#This Row],[Description]]="","",Table2[[#This Row],[Value]]/Table2[[#This Row],[Conversion]])</f>
        <v/>
      </c>
      <c r="K2016" s="45" t="str">
        <f>IF(Table2[[#This Row],[Description]]="","",DATE(Table2[[#This Row],[Year]],Table2[[#This Row],[Month]],1))</f>
        <v/>
      </c>
    </row>
    <row r="2017" spans="7:11" x14ac:dyDescent="0.25">
      <c r="G2017" s="1" t="str">
        <f>IF(Table2[[#This Row],[Description]]="","",VLOOKUP(Table2[[#This Row],[Description]],$Q$1:$S$101,2,FALSE))</f>
        <v/>
      </c>
      <c r="H2017" s="1" t="str">
        <f>IF(Table2[[#This Row],[Description]]="","",VLOOKUP(Table2[[#This Row],[Description]],$Q$1:$S$101,3,FALSE))</f>
        <v/>
      </c>
      <c r="I2017" s="1" t="str">
        <f>IF(Table2[[#This Row],[Description]]="","",IF(Table2[[#This Row],[Currency]]=$O$2,$P$2,HLOOKUP(Table2[[#This Row],[Date]],Funds!$C$10:$GV$11,2,FALSE)))</f>
        <v/>
      </c>
      <c r="J2017" s="215" t="str">
        <f>IF(Table2[[#This Row],[Description]]="","",Table2[[#This Row],[Value]]/Table2[[#This Row],[Conversion]])</f>
        <v/>
      </c>
      <c r="K2017" s="45" t="str">
        <f>IF(Table2[[#This Row],[Description]]="","",DATE(Table2[[#This Row],[Year]],Table2[[#This Row],[Month]],1))</f>
        <v/>
      </c>
    </row>
    <row r="2018" spans="7:11" x14ac:dyDescent="0.25">
      <c r="G2018" s="1" t="str">
        <f>IF(Table2[[#This Row],[Description]]="","",VLOOKUP(Table2[[#This Row],[Description]],$Q$1:$S$101,2,FALSE))</f>
        <v/>
      </c>
      <c r="H2018" s="1" t="str">
        <f>IF(Table2[[#This Row],[Description]]="","",VLOOKUP(Table2[[#This Row],[Description]],$Q$1:$S$101,3,FALSE))</f>
        <v/>
      </c>
      <c r="I2018" s="1" t="str">
        <f>IF(Table2[[#This Row],[Description]]="","",IF(Table2[[#This Row],[Currency]]=$O$2,$P$2,HLOOKUP(Table2[[#This Row],[Date]],Funds!$C$10:$GV$11,2,FALSE)))</f>
        <v/>
      </c>
      <c r="J2018" s="215" t="str">
        <f>IF(Table2[[#This Row],[Description]]="","",Table2[[#This Row],[Value]]/Table2[[#This Row],[Conversion]])</f>
        <v/>
      </c>
      <c r="K2018" s="45" t="str">
        <f>IF(Table2[[#This Row],[Description]]="","",DATE(Table2[[#This Row],[Year]],Table2[[#This Row],[Month]],1))</f>
        <v/>
      </c>
    </row>
    <row r="2019" spans="7:11" x14ac:dyDescent="0.25">
      <c r="G2019" s="1" t="str">
        <f>IF(Table2[[#This Row],[Description]]="","",VLOOKUP(Table2[[#This Row],[Description]],$Q$1:$S$101,2,FALSE))</f>
        <v/>
      </c>
      <c r="H2019" s="1" t="str">
        <f>IF(Table2[[#This Row],[Description]]="","",VLOOKUP(Table2[[#This Row],[Description]],$Q$1:$S$101,3,FALSE))</f>
        <v/>
      </c>
      <c r="I2019" s="1" t="str">
        <f>IF(Table2[[#This Row],[Description]]="","",IF(Table2[[#This Row],[Currency]]=$O$2,$P$2,HLOOKUP(Table2[[#This Row],[Date]],Funds!$C$10:$GV$11,2,FALSE)))</f>
        <v/>
      </c>
      <c r="J2019" s="215" t="str">
        <f>IF(Table2[[#This Row],[Description]]="","",Table2[[#This Row],[Value]]/Table2[[#This Row],[Conversion]])</f>
        <v/>
      </c>
      <c r="K2019" s="45" t="str">
        <f>IF(Table2[[#This Row],[Description]]="","",DATE(Table2[[#This Row],[Year]],Table2[[#This Row],[Month]],1))</f>
        <v/>
      </c>
    </row>
    <row r="2020" spans="7:11" x14ac:dyDescent="0.25">
      <c r="G2020" s="1" t="str">
        <f>IF(Table2[[#This Row],[Description]]="","",VLOOKUP(Table2[[#This Row],[Description]],$Q$1:$S$101,2,FALSE))</f>
        <v/>
      </c>
      <c r="H2020" s="1" t="str">
        <f>IF(Table2[[#This Row],[Description]]="","",VLOOKUP(Table2[[#This Row],[Description]],$Q$1:$S$101,3,FALSE))</f>
        <v/>
      </c>
      <c r="I2020" s="1" t="str">
        <f>IF(Table2[[#This Row],[Description]]="","",IF(Table2[[#This Row],[Currency]]=$O$2,$P$2,HLOOKUP(Table2[[#This Row],[Date]],Funds!$C$10:$GV$11,2,FALSE)))</f>
        <v/>
      </c>
      <c r="J2020" s="215" t="str">
        <f>IF(Table2[[#This Row],[Description]]="","",Table2[[#This Row],[Value]]/Table2[[#This Row],[Conversion]])</f>
        <v/>
      </c>
      <c r="K2020" s="45" t="str">
        <f>IF(Table2[[#This Row],[Description]]="","",DATE(Table2[[#This Row],[Year]],Table2[[#This Row],[Month]],1))</f>
        <v/>
      </c>
    </row>
    <row r="2021" spans="7:11" x14ac:dyDescent="0.25">
      <c r="G2021" s="1" t="str">
        <f>IF(Table2[[#This Row],[Description]]="","",VLOOKUP(Table2[[#This Row],[Description]],$Q$1:$S$101,2,FALSE))</f>
        <v/>
      </c>
      <c r="H2021" s="1" t="str">
        <f>IF(Table2[[#This Row],[Description]]="","",VLOOKUP(Table2[[#This Row],[Description]],$Q$1:$S$101,3,FALSE))</f>
        <v/>
      </c>
      <c r="I2021" s="1" t="str">
        <f>IF(Table2[[#This Row],[Description]]="","",IF(Table2[[#This Row],[Currency]]=$O$2,$P$2,HLOOKUP(Table2[[#This Row],[Date]],Funds!$C$10:$GV$11,2,FALSE)))</f>
        <v/>
      </c>
      <c r="J2021" s="215" t="str">
        <f>IF(Table2[[#This Row],[Description]]="","",Table2[[#This Row],[Value]]/Table2[[#This Row],[Conversion]])</f>
        <v/>
      </c>
      <c r="K2021" s="45" t="str">
        <f>IF(Table2[[#This Row],[Description]]="","",DATE(Table2[[#This Row],[Year]],Table2[[#This Row],[Month]],1))</f>
        <v/>
      </c>
    </row>
    <row r="2022" spans="7:11" x14ac:dyDescent="0.25">
      <c r="G2022" s="1" t="str">
        <f>IF(Table2[[#This Row],[Description]]="","",VLOOKUP(Table2[[#This Row],[Description]],$Q$1:$S$101,2,FALSE))</f>
        <v/>
      </c>
      <c r="H2022" s="1" t="str">
        <f>IF(Table2[[#This Row],[Description]]="","",VLOOKUP(Table2[[#This Row],[Description]],$Q$1:$S$101,3,FALSE))</f>
        <v/>
      </c>
      <c r="I2022" s="1" t="str">
        <f>IF(Table2[[#This Row],[Description]]="","",IF(Table2[[#This Row],[Currency]]=$O$2,$P$2,HLOOKUP(Table2[[#This Row],[Date]],Funds!$C$10:$GV$11,2,FALSE)))</f>
        <v/>
      </c>
      <c r="J2022" s="215" t="str">
        <f>IF(Table2[[#This Row],[Description]]="","",Table2[[#This Row],[Value]]/Table2[[#This Row],[Conversion]])</f>
        <v/>
      </c>
      <c r="K2022" s="45" t="str">
        <f>IF(Table2[[#This Row],[Description]]="","",DATE(Table2[[#This Row],[Year]],Table2[[#This Row],[Month]],1))</f>
        <v/>
      </c>
    </row>
    <row r="2023" spans="7:11" x14ac:dyDescent="0.25">
      <c r="G2023" s="1" t="str">
        <f>IF(Table2[[#This Row],[Description]]="","",VLOOKUP(Table2[[#This Row],[Description]],$Q$1:$S$101,2,FALSE))</f>
        <v/>
      </c>
      <c r="H2023" s="1" t="str">
        <f>IF(Table2[[#This Row],[Description]]="","",VLOOKUP(Table2[[#This Row],[Description]],$Q$1:$S$101,3,FALSE))</f>
        <v/>
      </c>
      <c r="I2023" s="1" t="str">
        <f>IF(Table2[[#This Row],[Description]]="","",IF(Table2[[#This Row],[Currency]]=$O$2,$P$2,HLOOKUP(Table2[[#This Row],[Date]],Funds!$C$10:$GV$11,2,FALSE)))</f>
        <v/>
      </c>
      <c r="J2023" s="215" t="str">
        <f>IF(Table2[[#This Row],[Description]]="","",Table2[[#This Row],[Value]]/Table2[[#This Row],[Conversion]])</f>
        <v/>
      </c>
      <c r="K2023" s="45" t="str">
        <f>IF(Table2[[#This Row],[Description]]="","",DATE(Table2[[#This Row],[Year]],Table2[[#This Row],[Month]],1))</f>
        <v/>
      </c>
    </row>
    <row r="2024" spans="7:11" x14ac:dyDescent="0.25">
      <c r="G2024" s="1" t="str">
        <f>IF(Table2[[#This Row],[Description]]="","",VLOOKUP(Table2[[#This Row],[Description]],$Q$1:$S$101,2,FALSE))</f>
        <v/>
      </c>
      <c r="H2024" s="1" t="str">
        <f>IF(Table2[[#This Row],[Description]]="","",VLOOKUP(Table2[[#This Row],[Description]],$Q$1:$S$101,3,FALSE))</f>
        <v/>
      </c>
      <c r="I2024" s="1" t="str">
        <f>IF(Table2[[#This Row],[Description]]="","",IF(Table2[[#This Row],[Currency]]=$O$2,$P$2,HLOOKUP(Table2[[#This Row],[Date]],Funds!$C$10:$GV$11,2,FALSE)))</f>
        <v/>
      </c>
      <c r="J2024" s="215" t="str">
        <f>IF(Table2[[#This Row],[Description]]="","",Table2[[#This Row],[Value]]/Table2[[#This Row],[Conversion]])</f>
        <v/>
      </c>
      <c r="K2024" s="45" t="str">
        <f>IF(Table2[[#This Row],[Description]]="","",DATE(Table2[[#This Row],[Year]],Table2[[#This Row],[Month]],1))</f>
        <v/>
      </c>
    </row>
    <row r="2025" spans="7:11" x14ac:dyDescent="0.25">
      <c r="G2025" s="1" t="str">
        <f>IF(Table2[[#This Row],[Description]]="","",VLOOKUP(Table2[[#This Row],[Description]],$Q$1:$S$101,2,FALSE))</f>
        <v/>
      </c>
      <c r="H2025" s="1" t="str">
        <f>IF(Table2[[#This Row],[Description]]="","",VLOOKUP(Table2[[#This Row],[Description]],$Q$1:$S$101,3,FALSE))</f>
        <v/>
      </c>
      <c r="I2025" s="1" t="str">
        <f>IF(Table2[[#This Row],[Description]]="","",IF(Table2[[#This Row],[Currency]]=$O$2,$P$2,HLOOKUP(Table2[[#This Row],[Date]],Funds!$C$10:$GV$11,2,FALSE)))</f>
        <v/>
      </c>
      <c r="J2025" s="215" t="str">
        <f>IF(Table2[[#This Row],[Description]]="","",Table2[[#This Row],[Value]]/Table2[[#This Row],[Conversion]])</f>
        <v/>
      </c>
      <c r="K2025" s="45" t="str">
        <f>IF(Table2[[#This Row],[Description]]="","",DATE(Table2[[#This Row],[Year]],Table2[[#This Row],[Month]],1))</f>
        <v/>
      </c>
    </row>
    <row r="2026" spans="7:11" x14ac:dyDescent="0.25">
      <c r="G2026" s="1" t="str">
        <f>IF(Table2[[#This Row],[Description]]="","",VLOOKUP(Table2[[#This Row],[Description]],$Q$1:$S$101,2,FALSE))</f>
        <v/>
      </c>
      <c r="H2026" s="1" t="str">
        <f>IF(Table2[[#This Row],[Description]]="","",VLOOKUP(Table2[[#This Row],[Description]],$Q$1:$S$101,3,FALSE))</f>
        <v/>
      </c>
      <c r="I2026" s="1" t="str">
        <f>IF(Table2[[#This Row],[Description]]="","",IF(Table2[[#This Row],[Currency]]=$O$2,$P$2,HLOOKUP(Table2[[#This Row],[Date]],Funds!$C$10:$GV$11,2,FALSE)))</f>
        <v/>
      </c>
      <c r="J2026" s="215" t="str">
        <f>IF(Table2[[#This Row],[Description]]="","",Table2[[#This Row],[Value]]/Table2[[#This Row],[Conversion]])</f>
        <v/>
      </c>
      <c r="K2026" s="45" t="str">
        <f>IF(Table2[[#This Row],[Description]]="","",DATE(Table2[[#This Row],[Year]],Table2[[#This Row],[Month]],1))</f>
        <v/>
      </c>
    </row>
    <row r="2027" spans="7:11" x14ac:dyDescent="0.25">
      <c r="G2027" s="1" t="str">
        <f>IF(Table2[[#This Row],[Description]]="","",VLOOKUP(Table2[[#This Row],[Description]],$Q$1:$S$101,2,FALSE))</f>
        <v/>
      </c>
      <c r="H2027" s="1" t="str">
        <f>IF(Table2[[#This Row],[Description]]="","",VLOOKUP(Table2[[#This Row],[Description]],$Q$1:$S$101,3,FALSE))</f>
        <v/>
      </c>
      <c r="I2027" s="1" t="str">
        <f>IF(Table2[[#This Row],[Description]]="","",IF(Table2[[#This Row],[Currency]]=$O$2,$P$2,HLOOKUP(Table2[[#This Row],[Date]],Funds!$C$10:$GV$11,2,FALSE)))</f>
        <v/>
      </c>
      <c r="J2027" s="215" t="str">
        <f>IF(Table2[[#This Row],[Description]]="","",Table2[[#This Row],[Value]]/Table2[[#This Row],[Conversion]])</f>
        <v/>
      </c>
      <c r="K2027" s="45" t="str">
        <f>IF(Table2[[#This Row],[Description]]="","",DATE(Table2[[#This Row],[Year]],Table2[[#This Row],[Month]],1))</f>
        <v/>
      </c>
    </row>
    <row r="2028" spans="7:11" x14ac:dyDescent="0.25">
      <c r="G2028" s="1" t="str">
        <f>IF(Table2[[#This Row],[Description]]="","",VLOOKUP(Table2[[#This Row],[Description]],$Q$1:$S$101,2,FALSE))</f>
        <v/>
      </c>
      <c r="H2028" s="1" t="str">
        <f>IF(Table2[[#This Row],[Description]]="","",VLOOKUP(Table2[[#This Row],[Description]],$Q$1:$S$101,3,FALSE))</f>
        <v/>
      </c>
      <c r="I2028" s="1" t="str">
        <f>IF(Table2[[#This Row],[Description]]="","",IF(Table2[[#This Row],[Currency]]=$O$2,$P$2,HLOOKUP(Table2[[#This Row],[Date]],Funds!$C$10:$GV$11,2,FALSE)))</f>
        <v/>
      </c>
      <c r="J2028" s="215" t="str">
        <f>IF(Table2[[#This Row],[Description]]="","",Table2[[#This Row],[Value]]/Table2[[#This Row],[Conversion]])</f>
        <v/>
      </c>
      <c r="K2028" s="45" t="str">
        <f>IF(Table2[[#This Row],[Description]]="","",DATE(Table2[[#This Row],[Year]],Table2[[#This Row],[Month]],1))</f>
        <v/>
      </c>
    </row>
    <row r="2029" spans="7:11" x14ac:dyDescent="0.25">
      <c r="G2029" s="1" t="str">
        <f>IF(Table2[[#This Row],[Description]]="","",VLOOKUP(Table2[[#This Row],[Description]],$Q$1:$S$101,2,FALSE))</f>
        <v/>
      </c>
      <c r="H2029" s="1" t="str">
        <f>IF(Table2[[#This Row],[Description]]="","",VLOOKUP(Table2[[#This Row],[Description]],$Q$1:$S$101,3,FALSE))</f>
        <v/>
      </c>
      <c r="I2029" s="1" t="str">
        <f>IF(Table2[[#This Row],[Description]]="","",IF(Table2[[#This Row],[Currency]]=$O$2,$P$2,HLOOKUP(Table2[[#This Row],[Date]],Funds!$C$10:$GV$11,2,FALSE)))</f>
        <v/>
      </c>
      <c r="J2029" s="215" t="str">
        <f>IF(Table2[[#This Row],[Description]]="","",Table2[[#This Row],[Value]]/Table2[[#This Row],[Conversion]])</f>
        <v/>
      </c>
      <c r="K2029" s="45" t="str">
        <f>IF(Table2[[#This Row],[Description]]="","",DATE(Table2[[#This Row],[Year]],Table2[[#This Row],[Month]],1))</f>
        <v/>
      </c>
    </row>
    <row r="2030" spans="7:11" x14ac:dyDescent="0.25">
      <c r="G2030" s="1" t="str">
        <f>IF(Table2[[#This Row],[Description]]="","",VLOOKUP(Table2[[#This Row],[Description]],$Q$1:$S$101,2,FALSE))</f>
        <v/>
      </c>
      <c r="H2030" s="1" t="str">
        <f>IF(Table2[[#This Row],[Description]]="","",VLOOKUP(Table2[[#This Row],[Description]],$Q$1:$S$101,3,FALSE))</f>
        <v/>
      </c>
      <c r="I2030" s="1" t="str">
        <f>IF(Table2[[#This Row],[Description]]="","",IF(Table2[[#This Row],[Currency]]=$O$2,$P$2,HLOOKUP(Table2[[#This Row],[Date]],Funds!$C$10:$GV$11,2,FALSE)))</f>
        <v/>
      </c>
      <c r="J2030" s="215" t="str">
        <f>IF(Table2[[#This Row],[Description]]="","",Table2[[#This Row],[Value]]/Table2[[#This Row],[Conversion]])</f>
        <v/>
      </c>
      <c r="K2030" s="45" t="str">
        <f>IF(Table2[[#This Row],[Description]]="","",DATE(Table2[[#This Row],[Year]],Table2[[#This Row],[Month]],1))</f>
        <v/>
      </c>
    </row>
    <row r="2031" spans="7:11" x14ac:dyDescent="0.25">
      <c r="G2031" s="1" t="str">
        <f>IF(Table2[[#This Row],[Description]]="","",VLOOKUP(Table2[[#This Row],[Description]],$Q$1:$S$101,2,FALSE))</f>
        <v/>
      </c>
      <c r="H2031" s="1" t="str">
        <f>IF(Table2[[#This Row],[Description]]="","",VLOOKUP(Table2[[#This Row],[Description]],$Q$1:$S$101,3,FALSE))</f>
        <v/>
      </c>
      <c r="I2031" s="1" t="str">
        <f>IF(Table2[[#This Row],[Description]]="","",IF(Table2[[#This Row],[Currency]]=$O$2,$P$2,HLOOKUP(Table2[[#This Row],[Date]],Funds!$C$10:$GV$11,2,FALSE)))</f>
        <v/>
      </c>
      <c r="J2031" s="215" t="str">
        <f>IF(Table2[[#This Row],[Description]]="","",Table2[[#This Row],[Value]]/Table2[[#This Row],[Conversion]])</f>
        <v/>
      </c>
      <c r="K2031" s="45" t="str">
        <f>IF(Table2[[#This Row],[Description]]="","",DATE(Table2[[#This Row],[Year]],Table2[[#This Row],[Month]],1))</f>
        <v/>
      </c>
    </row>
    <row r="2032" spans="7:11" x14ac:dyDescent="0.25">
      <c r="G2032" s="1" t="str">
        <f>IF(Table2[[#This Row],[Description]]="","",VLOOKUP(Table2[[#This Row],[Description]],$Q$1:$S$101,2,FALSE))</f>
        <v/>
      </c>
      <c r="H2032" s="1" t="str">
        <f>IF(Table2[[#This Row],[Description]]="","",VLOOKUP(Table2[[#This Row],[Description]],$Q$1:$S$101,3,FALSE))</f>
        <v/>
      </c>
      <c r="I2032" s="1" t="str">
        <f>IF(Table2[[#This Row],[Description]]="","",IF(Table2[[#This Row],[Currency]]=$O$2,$P$2,HLOOKUP(Table2[[#This Row],[Date]],Funds!$C$10:$GV$11,2,FALSE)))</f>
        <v/>
      </c>
      <c r="J2032" s="215" t="str">
        <f>IF(Table2[[#This Row],[Description]]="","",Table2[[#This Row],[Value]]/Table2[[#This Row],[Conversion]])</f>
        <v/>
      </c>
      <c r="K2032" s="45" t="str">
        <f>IF(Table2[[#This Row],[Description]]="","",DATE(Table2[[#This Row],[Year]],Table2[[#This Row],[Month]],1))</f>
        <v/>
      </c>
    </row>
    <row r="2033" spans="7:11" x14ac:dyDescent="0.25">
      <c r="G2033" s="1" t="str">
        <f>IF(Table2[[#This Row],[Description]]="","",VLOOKUP(Table2[[#This Row],[Description]],$Q$1:$S$101,2,FALSE))</f>
        <v/>
      </c>
      <c r="H2033" s="1" t="str">
        <f>IF(Table2[[#This Row],[Description]]="","",VLOOKUP(Table2[[#This Row],[Description]],$Q$1:$S$101,3,FALSE))</f>
        <v/>
      </c>
      <c r="I2033" s="1" t="str">
        <f>IF(Table2[[#This Row],[Description]]="","",IF(Table2[[#This Row],[Currency]]=$O$2,$P$2,HLOOKUP(Table2[[#This Row],[Date]],Funds!$C$10:$GV$11,2,FALSE)))</f>
        <v/>
      </c>
      <c r="J2033" s="215" t="str">
        <f>IF(Table2[[#This Row],[Description]]="","",Table2[[#This Row],[Value]]/Table2[[#This Row],[Conversion]])</f>
        <v/>
      </c>
      <c r="K2033" s="45" t="str">
        <f>IF(Table2[[#This Row],[Description]]="","",DATE(Table2[[#This Row],[Year]],Table2[[#This Row],[Month]],1))</f>
        <v/>
      </c>
    </row>
    <row r="2034" spans="7:11" x14ac:dyDescent="0.25">
      <c r="G2034" s="1" t="str">
        <f>IF(Table2[[#This Row],[Description]]="","",VLOOKUP(Table2[[#This Row],[Description]],$Q$1:$S$101,2,FALSE))</f>
        <v/>
      </c>
      <c r="H2034" s="1" t="str">
        <f>IF(Table2[[#This Row],[Description]]="","",VLOOKUP(Table2[[#This Row],[Description]],$Q$1:$S$101,3,FALSE))</f>
        <v/>
      </c>
      <c r="I2034" s="1" t="str">
        <f>IF(Table2[[#This Row],[Description]]="","",IF(Table2[[#This Row],[Currency]]=$O$2,$P$2,HLOOKUP(Table2[[#This Row],[Date]],Funds!$C$10:$GV$11,2,FALSE)))</f>
        <v/>
      </c>
      <c r="J2034" s="215" t="str">
        <f>IF(Table2[[#This Row],[Description]]="","",Table2[[#This Row],[Value]]/Table2[[#This Row],[Conversion]])</f>
        <v/>
      </c>
      <c r="K2034" s="45" t="str">
        <f>IF(Table2[[#This Row],[Description]]="","",DATE(Table2[[#This Row],[Year]],Table2[[#This Row],[Month]],1))</f>
        <v/>
      </c>
    </row>
    <row r="2035" spans="7:11" x14ac:dyDescent="0.25">
      <c r="G2035" s="1" t="str">
        <f>IF(Table2[[#This Row],[Description]]="","",VLOOKUP(Table2[[#This Row],[Description]],$Q$1:$S$101,2,FALSE))</f>
        <v/>
      </c>
      <c r="H2035" s="1" t="str">
        <f>IF(Table2[[#This Row],[Description]]="","",VLOOKUP(Table2[[#This Row],[Description]],$Q$1:$S$101,3,FALSE))</f>
        <v/>
      </c>
      <c r="I2035" s="1" t="str">
        <f>IF(Table2[[#This Row],[Description]]="","",IF(Table2[[#This Row],[Currency]]=$O$2,$P$2,HLOOKUP(Table2[[#This Row],[Date]],Funds!$C$10:$GV$11,2,FALSE)))</f>
        <v/>
      </c>
      <c r="J2035" s="215" t="str">
        <f>IF(Table2[[#This Row],[Description]]="","",Table2[[#This Row],[Value]]/Table2[[#This Row],[Conversion]])</f>
        <v/>
      </c>
      <c r="K2035" s="45" t="str">
        <f>IF(Table2[[#This Row],[Description]]="","",DATE(Table2[[#This Row],[Year]],Table2[[#This Row],[Month]],1))</f>
        <v/>
      </c>
    </row>
    <row r="2036" spans="7:11" x14ac:dyDescent="0.25">
      <c r="G2036" s="1" t="str">
        <f>IF(Table2[[#This Row],[Description]]="","",VLOOKUP(Table2[[#This Row],[Description]],$Q$1:$S$101,2,FALSE))</f>
        <v/>
      </c>
      <c r="H2036" s="1" t="str">
        <f>IF(Table2[[#This Row],[Description]]="","",VLOOKUP(Table2[[#This Row],[Description]],$Q$1:$S$101,3,FALSE))</f>
        <v/>
      </c>
      <c r="I2036" s="1" t="str">
        <f>IF(Table2[[#This Row],[Description]]="","",IF(Table2[[#This Row],[Currency]]=$O$2,$P$2,HLOOKUP(Table2[[#This Row],[Date]],Funds!$C$10:$GV$11,2,FALSE)))</f>
        <v/>
      </c>
      <c r="J2036" s="215" t="str">
        <f>IF(Table2[[#This Row],[Description]]="","",Table2[[#This Row],[Value]]/Table2[[#This Row],[Conversion]])</f>
        <v/>
      </c>
      <c r="K2036" s="45" t="str">
        <f>IF(Table2[[#This Row],[Description]]="","",DATE(Table2[[#This Row],[Year]],Table2[[#This Row],[Month]],1))</f>
        <v/>
      </c>
    </row>
    <row r="2037" spans="7:11" x14ac:dyDescent="0.25">
      <c r="G2037" s="1" t="str">
        <f>IF(Table2[[#This Row],[Description]]="","",VLOOKUP(Table2[[#This Row],[Description]],$Q$1:$S$101,2,FALSE))</f>
        <v/>
      </c>
      <c r="H2037" s="1" t="str">
        <f>IF(Table2[[#This Row],[Description]]="","",VLOOKUP(Table2[[#This Row],[Description]],$Q$1:$S$101,3,FALSE))</f>
        <v/>
      </c>
      <c r="I2037" s="1" t="str">
        <f>IF(Table2[[#This Row],[Description]]="","",IF(Table2[[#This Row],[Currency]]=$O$2,$P$2,HLOOKUP(Table2[[#This Row],[Date]],Funds!$C$10:$GV$11,2,FALSE)))</f>
        <v/>
      </c>
      <c r="J2037" s="215" t="str">
        <f>IF(Table2[[#This Row],[Description]]="","",Table2[[#This Row],[Value]]/Table2[[#This Row],[Conversion]])</f>
        <v/>
      </c>
      <c r="K2037" s="45" t="str">
        <f>IF(Table2[[#This Row],[Description]]="","",DATE(Table2[[#This Row],[Year]],Table2[[#This Row],[Month]],1))</f>
        <v/>
      </c>
    </row>
    <row r="2038" spans="7:11" x14ac:dyDescent="0.25">
      <c r="G2038" s="1" t="str">
        <f>IF(Table2[[#This Row],[Description]]="","",VLOOKUP(Table2[[#This Row],[Description]],$Q$1:$S$101,2,FALSE))</f>
        <v/>
      </c>
      <c r="H2038" s="1" t="str">
        <f>IF(Table2[[#This Row],[Description]]="","",VLOOKUP(Table2[[#This Row],[Description]],$Q$1:$S$101,3,FALSE))</f>
        <v/>
      </c>
      <c r="I2038" s="1" t="str">
        <f>IF(Table2[[#This Row],[Description]]="","",IF(Table2[[#This Row],[Currency]]=$O$2,$P$2,HLOOKUP(Table2[[#This Row],[Date]],Funds!$C$10:$GV$11,2,FALSE)))</f>
        <v/>
      </c>
      <c r="J2038" s="215" t="str">
        <f>IF(Table2[[#This Row],[Description]]="","",Table2[[#This Row],[Value]]/Table2[[#This Row],[Conversion]])</f>
        <v/>
      </c>
      <c r="K2038" s="45" t="str">
        <f>IF(Table2[[#This Row],[Description]]="","",DATE(Table2[[#This Row],[Year]],Table2[[#This Row],[Month]],1))</f>
        <v/>
      </c>
    </row>
    <row r="2039" spans="7:11" x14ac:dyDescent="0.25">
      <c r="G2039" s="1" t="str">
        <f>IF(Table2[[#This Row],[Description]]="","",VLOOKUP(Table2[[#This Row],[Description]],$Q$1:$S$101,2,FALSE))</f>
        <v/>
      </c>
      <c r="H2039" s="1" t="str">
        <f>IF(Table2[[#This Row],[Description]]="","",VLOOKUP(Table2[[#This Row],[Description]],$Q$1:$S$101,3,FALSE))</f>
        <v/>
      </c>
      <c r="I2039" s="1" t="str">
        <f>IF(Table2[[#This Row],[Description]]="","",IF(Table2[[#This Row],[Currency]]=$O$2,$P$2,HLOOKUP(Table2[[#This Row],[Date]],Funds!$C$10:$GV$11,2,FALSE)))</f>
        <v/>
      </c>
      <c r="J2039" s="215" t="str">
        <f>IF(Table2[[#This Row],[Description]]="","",Table2[[#This Row],[Value]]/Table2[[#This Row],[Conversion]])</f>
        <v/>
      </c>
      <c r="K2039" s="45" t="str">
        <f>IF(Table2[[#This Row],[Description]]="","",DATE(Table2[[#This Row],[Year]],Table2[[#This Row],[Month]],1))</f>
        <v/>
      </c>
    </row>
    <row r="2040" spans="7:11" x14ac:dyDescent="0.25">
      <c r="G2040" s="1" t="str">
        <f>IF(Table2[[#This Row],[Description]]="","",VLOOKUP(Table2[[#This Row],[Description]],$Q$1:$S$101,2,FALSE))</f>
        <v/>
      </c>
      <c r="H2040" s="1" t="str">
        <f>IF(Table2[[#This Row],[Description]]="","",VLOOKUP(Table2[[#This Row],[Description]],$Q$1:$S$101,3,FALSE))</f>
        <v/>
      </c>
      <c r="I2040" s="1" t="str">
        <f>IF(Table2[[#This Row],[Description]]="","",IF(Table2[[#This Row],[Currency]]=$O$2,$P$2,HLOOKUP(Table2[[#This Row],[Date]],Funds!$C$10:$GV$11,2,FALSE)))</f>
        <v/>
      </c>
      <c r="J2040" s="215" t="str">
        <f>IF(Table2[[#This Row],[Description]]="","",Table2[[#This Row],[Value]]/Table2[[#This Row],[Conversion]])</f>
        <v/>
      </c>
      <c r="K2040" s="45" t="str">
        <f>IF(Table2[[#This Row],[Description]]="","",DATE(Table2[[#This Row],[Year]],Table2[[#This Row],[Month]],1))</f>
        <v/>
      </c>
    </row>
    <row r="2041" spans="7:11" x14ac:dyDescent="0.25">
      <c r="G2041" s="1" t="str">
        <f>IF(Table2[[#This Row],[Description]]="","",VLOOKUP(Table2[[#This Row],[Description]],$Q$1:$S$101,2,FALSE))</f>
        <v/>
      </c>
      <c r="H2041" s="1" t="str">
        <f>IF(Table2[[#This Row],[Description]]="","",VLOOKUP(Table2[[#This Row],[Description]],$Q$1:$S$101,3,FALSE))</f>
        <v/>
      </c>
      <c r="I2041" s="1" t="str">
        <f>IF(Table2[[#This Row],[Description]]="","",IF(Table2[[#This Row],[Currency]]=$O$2,$P$2,HLOOKUP(Table2[[#This Row],[Date]],Funds!$C$10:$GV$11,2,FALSE)))</f>
        <v/>
      </c>
      <c r="J2041" s="215" t="str">
        <f>IF(Table2[[#This Row],[Description]]="","",Table2[[#This Row],[Value]]/Table2[[#This Row],[Conversion]])</f>
        <v/>
      </c>
      <c r="K2041" s="45" t="str">
        <f>IF(Table2[[#This Row],[Description]]="","",DATE(Table2[[#This Row],[Year]],Table2[[#This Row],[Month]],1))</f>
        <v/>
      </c>
    </row>
    <row r="2042" spans="7:11" x14ac:dyDescent="0.25">
      <c r="G2042" s="1" t="str">
        <f>IF(Table2[[#This Row],[Description]]="","",VLOOKUP(Table2[[#This Row],[Description]],$Q$1:$S$101,2,FALSE))</f>
        <v/>
      </c>
      <c r="H2042" s="1" t="str">
        <f>IF(Table2[[#This Row],[Description]]="","",VLOOKUP(Table2[[#This Row],[Description]],$Q$1:$S$101,3,FALSE))</f>
        <v/>
      </c>
      <c r="I2042" s="1" t="str">
        <f>IF(Table2[[#This Row],[Description]]="","",IF(Table2[[#This Row],[Currency]]=$O$2,$P$2,HLOOKUP(Table2[[#This Row],[Date]],Funds!$C$10:$GV$11,2,FALSE)))</f>
        <v/>
      </c>
      <c r="J2042" s="215" t="str">
        <f>IF(Table2[[#This Row],[Description]]="","",Table2[[#This Row],[Value]]/Table2[[#This Row],[Conversion]])</f>
        <v/>
      </c>
      <c r="K2042" s="45" t="str">
        <f>IF(Table2[[#This Row],[Description]]="","",DATE(Table2[[#This Row],[Year]],Table2[[#This Row],[Month]],1))</f>
        <v/>
      </c>
    </row>
    <row r="2043" spans="7:11" x14ac:dyDescent="0.25">
      <c r="G2043" s="1" t="str">
        <f>IF(Table2[[#This Row],[Description]]="","",VLOOKUP(Table2[[#This Row],[Description]],$Q$1:$S$101,2,FALSE))</f>
        <v/>
      </c>
      <c r="H2043" s="1" t="str">
        <f>IF(Table2[[#This Row],[Description]]="","",VLOOKUP(Table2[[#This Row],[Description]],$Q$1:$S$101,3,FALSE))</f>
        <v/>
      </c>
      <c r="I2043" s="1" t="str">
        <f>IF(Table2[[#This Row],[Description]]="","",IF(Table2[[#This Row],[Currency]]=$O$2,$P$2,HLOOKUP(Table2[[#This Row],[Date]],Funds!$C$10:$GV$11,2,FALSE)))</f>
        <v/>
      </c>
      <c r="J2043" s="215" t="str">
        <f>IF(Table2[[#This Row],[Description]]="","",Table2[[#This Row],[Value]]/Table2[[#This Row],[Conversion]])</f>
        <v/>
      </c>
      <c r="K2043" s="45" t="str">
        <f>IF(Table2[[#This Row],[Description]]="","",DATE(Table2[[#This Row],[Year]],Table2[[#This Row],[Month]],1))</f>
        <v/>
      </c>
    </row>
    <row r="2044" spans="7:11" x14ac:dyDescent="0.25">
      <c r="G2044" s="1" t="str">
        <f>IF(Table2[[#This Row],[Description]]="","",VLOOKUP(Table2[[#This Row],[Description]],$Q$1:$S$101,2,FALSE))</f>
        <v/>
      </c>
      <c r="H2044" s="1" t="str">
        <f>IF(Table2[[#This Row],[Description]]="","",VLOOKUP(Table2[[#This Row],[Description]],$Q$1:$S$101,3,FALSE))</f>
        <v/>
      </c>
      <c r="I2044" s="1" t="str">
        <f>IF(Table2[[#This Row],[Description]]="","",IF(Table2[[#This Row],[Currency]]=$O$2,$P$2,HLOOKUP(Table2[[#This Row],[Date]],Funds!$C$10:$GV$11,2,FALSE)))</f>
        <v/>
      </c>
      <c r="J2044" s="215" t="str">
        <f>IF(Table2[[#This Row],[Description]]="","",Table2[[#This Row],[Value]]/Table2[[#This Row],[Conversion]])</f>
        <v/>
      </c>
      <c r="K2044" s="45" t="str">
        <f>IF(Table2[[#This Row],[Description]]="","",DATE(Table2[[#This Row],[Year]],Table2[[#This Row],[Month]],1))</f>
        <v/>
      </c>
    </row>
    <row r="2045" spans="7:11" x14ac:dyDescent="0.25">
      <c r="G2045" s="1" t="str">
        <f>IF(Table2[[#This Row],[Description]]="","",VLOOKUP(Table2[[#This Row],[Description]],$Q$1:$S$101,2,FALSE))</f>
        <v/>
      </c>
      <c r="H2045" s="1" t="str">
        <f>IF(Table2[[#This Row],[Description]]="","",VLOOKUP(Table2[[#This Row],[Description]],$Q$1:$S$101,3,FALSE))</f>
        <v/>
      </c>
      <c r="I2045" s="1" t="str">
        <f>IF(Table2[[#This Row],[Description]]="","",IF(Table2[[#This Row],[Currency]]=$O$2,$P$2,HLOOKUP(Table2[[#This Row],[Date]],Funds!$C$10:$GV$11,2,FALSE)))</f>
        <v/>
      </c>
      <c r="J2045" s="215" t="str">
        <f>IF(Table2[[#This Row],[Description]]="","",Table2[[#This Row],[Value]]/Table2[[#This Row],[Conversion]])</f>
        <v/>
      </c>
      <c r="K2045" s="45" t="str">
        <f>IF(Table2[[#This Row],[Description]]="","",DATE(Table2[[#This Row],[Year]],Table2[[#This Row],[Month]],1))</f>
        <v/>
      </c>
    </row>
    <row r="2046" spans="7:11" x14ac:dyDescent="0.25">
      <c r="G2046" s="1" t="str">
        <f>IF(Table2[[#This Row],[Description]]="","",VLOOKUP(Table2[[#This Row],[Description]],$Q$1:$S$101,2,FALSE))</f>
        <v/>
      </c>
      <c r="H2046" s="1" t="str">
        <f>IF(Table2[[#This Row],[Description]]="","",VLOOKUP(Table2[[#This Row],[Description]],$Q$1:$S$101,3,FALSE))</f>
        <v/>
      </c>
      <c r="I2046" s="1" t="str">
        <f>IF(Table2[[#This Row],[Description]]="","",IF(Table2[[#This Row],[Currency]]=$O$2,$P$2,HLOOKUP(Table2[[#This Row],[Date]],Funds!$C$10:$GV$11,2,FALSE)))</f>
        <v/>
      </c>
      <c r="J2046" s="215" t="str">
        <f>IF(Table2[[#This Row],[Description]]="","",Table2[[#This Row],[Value]]/Table2[[#This Row],[Conversion]])</f>
        <v/>
      </c>
      <c r="K2046" s="45" t="str">
        <f>IF(Table2[[#This Row],[Description]]="","",DATE(Table2[[#This Row],[Year]],Table2[[#This Row],[Month]],1))</f>
        <v/>
      </c>
    </row>
    <row r="2047" spans="7:11" x14ac:dyDescent="0.25">
      <c r="G2047" s="1" t="str">
        <f>IF(Table2[[#This Row],[Description]]="","",VLOOKUP(Table2[[#This Row],[Description]],$Q$1:$S$101,2,FALSE))</f>
        <v/>
      </c>
      <c r="H2047" s="1" t="str">
        <f>IF(Table2[[#This Row],[Description]]="","",VLOOKUP(Table2[[#This Row],[Description]],$Q$1:$S$101,3,FALSE))</f>
        <v/>
      </c>
      <c r="I2047" s="1" t="str">
        <f>IF(Table2[[#This Row],[Description]]="","",IF(Table2[[#This Row],[Currency]]=$O$2,$P$2,HLOOKUP(Table2[[#This Row],[Date]],Funds!$C$10:$GV$11,2,FALSE)))</f>
        <v/>
      </c>
      <c r="J2047" s="215" t="str">
        <f>IF(Table2[[#This Row],[Description]]="","",Table2[[#This Row],[Value]]/Table2[[#This Row],[Conversion]])</f>
        <v/>
      </c>
      <c r="K2047" s="45" t="str">
        <f>IF(Table2[[#This Row],[Description]]="","",DATE(Table2[[#This Row],[Year]],Table2[[#This Row],[Month]],1))</f>
        <v/>
      </c>
    </row>
    <row r="2048" spans="7:11" x14ac:dyDescent="0.25">
      <c r="G2048" s="1" t="str">
        <f>IF(Table2[[#This Row],[Description]]="","",VLOOKUP(Table2[[#This Row],[Description]],$Q$1:$S$101,2,FALSE))</f>
        <v/>
      </c>
      <c r="H2048" s="1" t="str">
        <f>IF(Table2[[#This Row],[Description]]="","",VLOOKUP(Table2[[#This Row],[Description]],$Q$1:$S$101,3,FALSE))</f>
        <v/>
      </c>
      <c r="I2048" s="1" t="str">
        <f>IF(Table2[[#This Row],[Description]]="","",IF(Table2[[#This Row],[Currency]]=$O$2,$P$2,HLOOKUP(Table2[[#This Row],[Date]],Funds!$C$10:$GV$11,2,FALSE)))</f>
        <v/>
      </c>
      <c r="J2048" s="215" t="str">
        <f>IF(Table2[[#This Row],[Description]]="","",Table2[[#This Row],[Value]]/Table2[[#This Row],[Conversion]])</f>
        <v/>
      </c>
      <c r="K2048" s="45" t="str">
        <f>IF(Table2[[#This Row],[Description]]="","",DATE(Table2[[#This Row],[Year]],Table2[[#This Row],[Month]],1))</f>
        <v/>
      </c>
    </row>
    <row r="2049" spans="7:11" x14ac:dyDescent="0.25">
      <c r="G2049" s="1" t="str">
        <f>IF(Table2[[#This Row],[Description]]="","",VLOOKUP(Table2[[#This Row],[Description]],$Q$1:$S$101,2,FALSE))</f>
        <v/>
      </c>
      <c r="H2049" s="1" t="str">
        <f>IF(Table2[[#This Row],[Description]]="","",VLOOKUP(Table2[[#This Row],[Description]],$Q$1:$S$101,3,FALSE))</f>
        <v/>
      </c>
      <c r="I2049" s="1" t="str">
        <f>IF(Table2[[#This Row],[Description]]="","",IF(Table2[[#This Row],[Currency]]=$O$2,$P$2,HLOOKUP(Table2[[#This Row],[Date]],Funds!$C$10:$GV$11,2,FALSE)))</f>
        <v/>
      </c>
      <c r="J2049" s="215" t="str">
        <f>IF(Table2[[#This Row],[Description]]="","",Table2[[#This Row],[Value]]/Table2[[#This Row],[Conversion]])</f>
        <v/>
      </c>
      <c r="K2049" s="45" t="str">
        <f>IF(Table2[[#This Row],[Description]]="","",DATE(Table2[[#This Row],[Year]],Table2[[#This Row],[Month]],1))</f>
        <v/>
      </c>
    </row>
    <row r="2050" spans="7:11" x14ac:dyDescent="0.25">
      <c r="G2050" s="1" t="str">
        <f>IF(Table2[[#This Row],[Description]]="","",VLOOKUP(Table2[[#This Row],[Description]],$Q$1:$S$101,2,FALSE))</f>
        <v/>
      </c>
      <c r="H2050" s="1" t="str">
        <f>IF(Table2[[#This Row],[Description]]="","",VLOOKUP(Table2[[#This Row],[Description]],$Q$1:$S$101,3,FALSE))</f>
        <v/>
      </c>
      <c r="I2050" s="1" t="str">
        <f>IF(Table2[[#This Row],[Description]]="","",IF(Table2[[#This Row],[Currency]]=$O$2,$P$2,HLOOKUP(Table2[[#This Row],[Date]],Funds!$C$10:$GV$11,2,FALSE)))</f>
        <v/>
      </c>
      <c r="J2050" s="215" t="str">
        <f>IF(Table2[[#This Row],[Description]]="","",Table2[[#This Row],[Value]]/Table2[[#This Row],[Conversion]])</f>
        <v/>
      </c>
      <c r="K2050" s="45" t="str">
        <f>IF(Table2[[#This Row],[Description]]="","",DATE(Table2[[#This Row],[Year]],Table2[[#This Row],[Month]],1))</f>
        <v/>
      </c>
    </row>
    <row r="2051" spans="7:11" x14ac:dyDescent="0.25">
      <c r="G2051" s="1" t="str">
        <f>IF(Table2[[#This Row],[Description]]="","",VLOOKUP(Table2[[#This Row],[Description]],$Q$1:$S$101,2,FALSE))</f>
        <v/>
      </c>
      <c r="H2051" s="1" t="str">
        <f>IF(Table2[[#This Row],[Description]]="","",VLOOKUP(Table2[[#This Row],[Description]],$Q$1:$S$101,3,FALSE))</f>
        <v/>
      </c>
      <c r="I2051" s="1" t="str">
        <f>IF(Table2[[#This Row],[Description]]="","",IF(Table2[[#This Row],[Currency]]=$O$2,$P$2,HLOOKUP(Table2[[#This Row],[Date]],Funds!$C$10:$GV$11,2,FALSE)))</f>
        <v/>
      </c>
      <c r="J2051" s="215" t="str">
        <f>IF(Table2[[#This Row],[Description]]="","",Table2[[#This Row],[Value]]/Table2[[#This Row],[Conversion]])</f>
        <v/>
      </c>
      <c r="K2051" s="45" t="str">
        <f>IF(Table2[[#This Row],[Description]]="","",DATE(Table2[[#This Row],[Year]],Table2[[#This Row],[Month]],1))</f>
        <v/>
      </c>
    </row>
    <row r="2052" spans="7:11" x14ac:dyDescent="0.25">
      <c r="G2052" s="1" t="str">
        <f>IF(Table2[[#This Row],[Description]]="","",VLOOKUP(Table2[[#This Row],[Description]],$Q$1:$S$101,2,FALSE))</f>
        <v/>
      </c>
      <c r="H2052" s="1" t="str">
        <f>IF(Table2[[#This Row],[Description]]="","",VLOOKUP(Table2[[#This Row],[Description]],$Q$1:$S$101,3,FALSE))</f>
        <v/>
      </c>
      <c r="I2052" s="1" t="str">
        <f>IF(Table2[[#This Row],[Description]]="","",IF(Table2[[#This Row],[Currency]]=$O$2,$P$2,HLOOKUP(Table2[[#This Row],[Date]],Funds!$C$10:$GV$11,2,FALSE)))</f>
        <v/>
      </c>
      <c r="J2052" s="215" t="str">
        <f>IF(Table2[[#This Row],[Description]]="","",Table2[[#This Row],[Value]]/Table2[[#This Row],[Conversion]])</f>
        <v/>
      </c>
      <c r="K2052" s="45" t="str">
        <f>IF(Table2[[#This Row],[Description]]="","",DATE(Table2[[#This Row],[Year]],Table2[[#This Row],[Month]],1))</f>
        <v/>
      </c>
    </row>
    <row r="2053" spans="7:11" x14ac:dyDescent="0.25">
      <c r="G2053" s="1" t="str">
        <f>IF(Table2[[#This Row],[Description]]="","",VLOOKUP(Table2[[#This Row],[Description]],$Q$1:$S$101,2,FALSE))</f>
        <v/>
      </c>
      <c r="H2053" s="1" t="str">
        <f>IF(Table2[[#This Row],[Description]]="","",VLOOKUP(Table2[[#This Row],[Description]],$Q$1:$S$101,3,FALSE))</f>
        <v/>
      </c>
      <c r="I2053" s="1" t="str">
        <f>IF(Table2[[#This Row],[Description]]="","",IF(Table2[[#This Row],[Currency]]=$O$2,$P$2,HLOOKUP(Table2[[#This Row],[Date]],Funds!$C$10:$GV$11,2,FALSE)))</f>
        <v/>
      </c>
      <c r="J2053" s="215" t="str">
        <f>IF(Table2[[#This Row],[Description]]="","",Table2[[#This Row],[Value]]/Table2[[#This Row],[Conversion]])</f>
        <v/>
      </c>
      <c r="K2053" s="45" t="str">
        <f>IF(Table2[[#This Row],[Description]]="","",DATE(Table2[[#This Row],[Year]],Table2[[#This Row],[Month]],1))</f>
        <v/>
      </c>
    </row>
    <row r="2054" spans="7:11" x14ac:dyDescent="0.25">
      <c r="G2054" s="1" t="str">
        <f>IF(Table2[[#This Row],[Description]]="","",VLOOKUP(Table2[[#This Row],[Description]],$Q$1:$S$101,2,FALSE))</f>
        <v/>
      </c>
      <c r="H2054" s="1" t="str">
        <f>IF(Table2[[#This Row],[Description]]="","",VLOOKUP(Table2[[#This Row],[Description]],$Q$1:$S$101,3,FALSE))</f>
        <v/>
      </c>
      <c r="I2054" s="1" t="str">
        <f>IF(Table2[[#This Row],[Description]]="","",IF(Table2[[#This Row],[Currency]]=$O$2,$P$2,HLOOKUP(Table2[[#This Row],[Date]],Funds!$C$10:$GV$11,2,FALSE)))</f>
        <v/>
      </c>
      <c r="J2054" s="215" t="str">
        <f>IF(Table2[[#This Row],[Description]]="","",Table2[[#This Row],[Value]]/Table2[[#This Row],[Conversion]])</f>
        <v/>
      </c>
      <c r="K2054" s="45" t="str">
        <f>IF(Table2[[#This Row],[Description]]="","",DATE(Table2[[#This Row],[Year]],Table2[[#This Row],[Month]],1))</f>
        <v/>
      </c>
    </row>
    <row r="2055" spans="7:11" x14ac:dyDescent="0.25">
      <c r="G2055" s="1" t="str">
        <f>IF(Table2[[#This Row],[Description]]="","",VLOOKUP(Table2[[#This Row],[Description]],$Q$1:$S$101,2,FALSE))</f>
        <v/>
      </c>
      <c r="H2055" s="1" t="str">
        <f>IF(Table2[[#This Row],[Description]]="","",VLOOKUP(Table2[[#This Row],[Description]],$Q$1:$S$101,3,FALSE))</f>
        <v/>
      </c>
      <c r="I2055" s="1" t="str">
        <f>IF(Table2[[#This Row],[Description]]="","",IF(Table2[[#This Row],[Currency]]=$O$2,$P$2,HLOOKUP(Table2[[#This Row],[Date]],Funds!$C$10:$GV$11,2,FALSE)))</f>
        <v/>
      </c>
      <c r="J2055" s="215" t="str">
        <f>IF(Table2[[#This Row],[Description]]="","",Table2[[#This Row],[Value]]/Table2[[#This Row],[Conversion]])</f>
        <v/>
      </c>
      <c r="K2055" s="45" t="str">
        <f>IF(Table2[[#This Row],[Description]]="","",DATE(Table2[[#This Row],[Year]],Table2[[#This Row],[Month]],1))</f>
        <v/>
      </c>
    </row>
    <row r="2056" spans="7:11" x14ac:dyDescent="0.25">
      <c r="G2056" s="1" t="str">
        <f>IF(Table2[[#This Row],[Description]]="","",VLOOKUP(Table2[[#This Row],[Description]],$Q$1:$S$101,2,FALSE))</f>
        <v/>
      </c>
      <c r="H2056" s="1" t="str">
        <f>IF(Table2[[#This Row],[Description]]="","",VLOOKUP(Table2[[#This Row],[Description]],$Q$1:$S$101,3,FALSE))</f>
        <v/>
      </c>
      <c r="I2056" s="1" t="str">
        <f>IF(Table2[[#This Row],[Description]]="","",IF(Table2[[#This Row],[Currency]]=$O$2,$P$2,HLOOKUP(Table2[[#This Row],[Date]],Funds!$C$10:$GV$11,2,FALSE)))</f>
        <v/>
      </c>
      <c r="J2056" s="215" t="str">
        <f>IF(Table2[[#This Row],[Description]]="","",Table2[[#This Row],[Value]]/Table2[[#This Row],[Conversion]])</f>
        <v/>
      </c>
      <c r="K2056" s="45" t="str">
        <f>IF(Table2[[#This Row],[Description]]="","",DATE(Table2[[#This Row],[Year]],Table2[[#This Row],[Month]],1))</f>
        <v/>
      </c>
    </row>
    <row r="2057" spans="7:11" x14ac:dyDescent="0.25">
      <c r="G2057" s="1" t="str">
        <f>IF(Table2[[#This Row],[Description]]="","",VLOOKUP(Table2[[#This Row],[Description]],$Q$1:$S$101,2,FALSE))</f>
        <v/>
      </c>
      <c r="H2057" s="1" t="str">
        <f>IF(Table2[[#This Row],[Description]]="","",VLOOKUP(Table2[[#This Row],[Description]],$Q$1:$S$101,3,FALSE))</f>
        <v/>
      </c>
      <c r="I2057" s="1" t="str">
        <f>IF(Table2[[#This Row],[Description]]="","",IF(Table2[[#This Row],[Currency]]=$O$2,$P$2,HLOOKUP(Table2[[#This Row],[Date]],Funds!$C$10:$GV$11,2,FALSE)))</f>
        <v/>
      </c>
      <c r="J2057" s="215" t="str">
        <f>IF(Table2[[#This Row],[Description]]="","",Table2[[#This Row],[Value]]/Table2[[#This Row],[Conversion]])</f>
        <v/>
      </c>
      <c r="K2057" s="45" t="str">
        <f>IF(Table2[[#This Row],[Description]]="","",DATE(Table2[[#This Row],[Year]],Table2[[#This Row],[Month]],1))</f>
        <v/>
      </c>
    </row>
    <row r="2058" spans="7:11" x14ac:dyDescent="0.25">
      <c r="G2058" s="1" t="str">
        <f>IF(Table2[[#This Row],[Description]]="","",VLOOKUP(Table2[[#This Row],[Description]],$Q$1:$S$101,2,FALSE))</f>
        <v/>
      </c>
      <c r="H2058" s="1" t="str">
        <f>IF(Table2[[#This Row],[Description]]="","",VLOOKUP(Table2[[#This Row],[Description]],$Q$1:$S$101,3,FALSE))</f>
        <v/>
      </c>
      <c r="I2058" s="1" t="str">
        <f>IF(Table2[[#This Row],[Description]]="","",IF(Table2[[#This Row],[Currency]]=$O$2,$P$2,HLOOKUP(Table2[[#This Row],[Date]],Funds!$C$10:$GV$11,2,FALSE)))</f>
        <v/>
      </c>
      <c r="J2058" s="215" t="str">
        <f>IF(Table2[[#This Row],[Description]]="","",Table2[[#This Row],[Value]]/Table2[[#This Row],[Conversion]])</f>
        <v/>
      </c>
      <c r="K2058" s="45" t="str">
        <f>IF(Table2[[#This Row],[Description]]="","",DATE(Table2[[#This Row],[Year]],Table2[[#This Row],[Month]],1))</f>
        <v/>
      </c>
    </row>
    <row r="2059" spans="7:11" x14ac:dyDescent="0.25">
      <c r="G2059" s="1" t="str">
        <f>IF(Table2[[#This Row],[Description]]="","",VLOOKUP(Table2[[#This Row],[Description]],$Q$1:$S$101,2,FALSE))</f>
        <v/>
      </c>
      <c r="H2059" s="1" t="str">
        <f>IF(Table2[[#This Row],[Description]]="","",VLOOKUP(Table2[[#This Row],[Description]],$Q$1:$S$101,3,FALSE))</f>
        <v/>
      </c>
      <c r="I2059" s="1" t="str">
        <f>IF(Table2[[#This Row],[Description]]="","",IF(Table2[[#This Row],[Currency]]=$O$2,$P$2,HLOOKUP(Table2[[#This Row],[Date]],Funds!$C$10:$GV$11,2,FALSE)))</f>
        <v/>
      </c>
      <c r="J2059" s="215" t="str">
        <f>IF(Table2[[#This Row],[Description]]="","",Table2[[#This Row],[Value]]/Table2[[#This Row],[Conversion]])</f>
        <v/>
      </c>
      <c r="K2059" s="45" t="str">
        <f>IF(Table2[[#This Row],[Description]]="","",DATE(Table2[[#This Row],[Year]],Table2[[#This Row],[Month]],1))</f>
        <v/>
      </c>
    </row>
    <row r="2060" spans="7:11" x14ac:dyDescent="0.25">
      <c r="G2060" s="1" t="str">
        <f>IF(Table2[[#This Row],[Description]]="","",VLOOKUP(Table2[[#This Row],[Description]],$Q$1:$S$101,2,FALSE))</f>
        <v/>
      </c>
      <c r="H2060" s="1" t="str">
        <f>IF(Table2[[#This Row],[Description]]="","",VLOOKUP(Table2[[#This Row],[Description]],$Q$1:$S$101,3,FALSE))</f>
        <v/>
      </c>
      <c r="I2060" s="1" t="str">
        <f>IF(Table2[[#This Row],[Description]]="","",IF(Table2[[#This Row],[Currency]]=$O$2,$P$2,HLOOKUP(Table2[[#This Row],[Date]],Funds!$C$10:$GV$11,2,FALSE)))</f>
        <v/>
      </c>
      <c r="J2060" s="215" t="str">
        <f>IF(Table2[[#This Row],[Description]]="","",Table2[[#This Row],[Value]]/Table2[[#This Row],[Conversion]])</f>
        <v/>
      </c>
      <c r="K2060" s="45" t="str">
        <f>IF(Table2[[#This Row],[Description]]="","",DATE(Table2[[#This Row],[Year]],Table2[[#This Row],[Month]],1))</f>
        <v/>
      </c>
    </row>
    <row r="2061" spans="7:11" x14ac:dyDescent="0.25">
      <c r="G2061" s="1" t="str">
        <f>IF(Table2[[#This Row],[Description]]="","",VLOOKUP(Table2[[#This Row],[Description]],$Q$1:$S$101,2,FALSE))</f>
        <v/>
      </c>
      <c r="H2061" s="1" t="str">
        <f>IF(Table2[[#This Row],[Description]]="","",VLOOKUP(Table2[[#This Row],[Description]],$Q$1:$S$101,3,FALSE))</f>
        <v/>
      </c>
      <c r="I2061" s="1" t="str">
        <f>IF(Table2[[#This Row],[Description]]="","",IF(Table2[[#This Row],[Currency]]=$O$2,$P$2,HLOOKUP(Table2[[#This Row],[Date]],Funds!$C$10:$GV$11,2,FALSE)))</f>
        <v/>
      </c>
      <c r="J2061" s="215" t="str">
        <f>IF(Table2[[#This Row],[Description]]="","",Table2[[#This Row],[Value]]/Table2[[#This Row],[Conversion]])</f>
        <v/>
      </c>
      <c r="K2061" s="45" t="str">
        <f>IF(Table2[[#This Row],[Description]]="","",DATE(Table2[[#This Row],[Year]],Table2[[#This Row],[Month]],1))</f>
        <v/>
      </c>
    </row>
    <row r="2062" spans="7:11" x14ac:dyDescent="0.25">
      <c r="G2062" s="1" t="str">
        <f>IF(Table2[[#This Row],[Description]]="","",VLOOKUP(Table2[[#This Row],[Description]],$Q$1:$S$101,2,FALSE))</f>
        <v/>
      </c>
      <c r="H2062" s="1" t="str">
        <f>IF(Table2[[#This Row],[Description]]="","",VLOOKUP(Table2[[#This Row],[Description]],$Q$1:$S$101,3,FALSE))</f>
        <v/>
      </c>
      <c r="I2062" s="1" t="str">
        <f>IF(Table2[[#This Row],[Description]]="","",IF(Table2[[#This Row],[Currency]]=$O$2,$P$2,HLOOKUP(Table2[[#This Row],[Date]],Funds!$C$10:$GV$11,2,FALSE)))</f>
        <v/>
      </c>
      <c r="J2062" s="215" t="str">
        <f>IF(Table2[[#This Row],[Description]]="","",Table2[[#This Row],[Value]]/Table2[[#This Row],[Conversion]])</f>
        <v/>
      </c>
      <c r="K2062" s="45" t="str">
        <f>IF(Table2[[#This Row],[Description]]="","",DATE(Table2[[#This Row],[Year]],Table2[[#This Row],[Month]],1))</f>
        <v/>
      </c>
    </row>
    <row r="2063" spans="7:11" x14ac:dyDescent="0.25">
      <c r="G2063" s="1" t="str">
        <f>IF(Table2[[#This Row],[Description]]="","",VLOOKUP(Table2[[#This Row],[Description]],$Q$1:$S$101,2,FALSE))</f>
        <v/>
      </c>
      <c r="H2063" s="1" t="str">
        <f>IF(Table2[[#This Row],[Description]]="","",VLOOKUP(Table2[[#This Row],[Description]],$Q$1:$S$101,3,FALSE))</f>
        <v/>
      </c>
      <c r="I2063" s="1" t="str">
        <f>IF(Table2[[#This Row],[Description]]="","",IF(Table2[[#This Row],[Currency]]=$O$2,$P$2,HLOOKUP(Table2[[#This Row],[Date]],Funds!$C$10:$GV$11,2,FALSE)))</f>
        <v/>
      </c>
      <c r="J2063" s="215" t="str">
        <f>IF(Table2[[#This Row],[Description]]="","",Table2[[#This Row],[Value]]/Table2[[#This Row],[Conversion]])</f>
        <v/>
      </c>
      <c r="K2063" s="45" t="str">
        <f>IF(Table2[[#This Row],[Description]]="","",DATE(Table2[[#This Row],[Year]],Table2[[#This Row],[Month]],1))</f>
        <v/>
      </c>
    </row>
    <row r="2064" spans="7:11" x14ac:dyDescent="0.25">
      <c r="G2064" s="1" t="str">
        <f>IF(Table2[[#This Row],[Description]]="","",VLOOKUP(Table2[[#This Row],[Description]],$Q$1:$S$101,2,FALSE))</f>
        <v/>
      </c>
      <c r="H2064" s="1" t="str">
        <f>IF(Table2[[#This Row],[Description]]="","",VLOOKUP(Table2[[#This Row],[Description]],$Q$1:$S$101,3,FALSE))</f>
        <v/>
      </c>
      <c r="I2064" s="1" t="str">
        <f>IF(Table2[[#This Row],[Description]]="","",IF(Table2[[#This Row],[Currency]]=$O$2,$P$2,HLOOKUP(Table2[[#This Row],[Date]],Funds!$C$10:$GV$11,2,FALSE)))</f>
        <v/>
      </c>
      <c r="J2064" s="215" t="str">
        <f>IF(Table2[[#This Row],[Description]]="","",Table2[[#This Row],[Value]]/Table2[[#This Row],[Conversion]])</f>
        <v/>
      </c>
      <c r="K2064" s="45" t="str">
        <f>IF(Table2[[#This Row],[Description]]="","",DATE(Table2[[#This Row],[Year]],Table2[[#This Row],[Month]],1))</f>
        <v/>
      </c>
    </row>
    <row r="2065" spans="7:11" x14ac:dyDescent="0.25">
      <c r="G2065" s="1" t="str">
        <f>IF(Table2[[#This Row],[Description]]="","",VLOOKUP(Table2[[#This Row],[Description]],$Q$1:$S$101,2,FALSE))</f>
        <v/>
      </c>
      <c r="H2065" s="1" t="str">
        <f>IF(Table2[[#This Row],[Description]]="","",VLOOKUP(Table2[[#This Row],[Description]],$Q$1:$S$101,3,FALSE))</f>
        <v/>
      </c>
      <c r="I2065" s="1" t="str">
        <f>IF(Table2[[#This Row],[Description]]="","",IF(Table2[[#This Row],[Currency]]=$O$2,$P$2,HLOOKUP(Table2[[#This Row],[Date]],Funds!$C$10:$GV$11,2,FALSE)))</f>
        <v/>
      </c>
      <c r="J2065" s="215" t="str">
        <f>IF(Table2[[#This Row],[Description]]="","",Table2[[#This Row],[Value]]/Table2[[#This Row],[Conversion]])</f>
        <v/>
      </c>
      <c r="K2065" s="45" t="str">
        <f>IF(Table2[[#This Row],[Description]]="","",DATE(Table2[[#This Row],[Year]],Table2[[#This Row],[Month]],1))</f>
        <v/>
      </c>
    </row>
    <row r="2066" spans="7:11" x14ac:dyDescent="0.25">
      <c r="G2066" s="1" t="str">
        <f>IF(Table2[[#This Row],[Description]]="","",VLOOKUP(Table2[[#This Row],[Description]],$Q$1:$S$101,2,FALSE))</f>
        <v/>
      </c>
      <c r="H2066" s="1" t="str">
        <f>IF(Table2[[#This Row],[Description]]="","",VLOOKUP(Table2[[#This Row],[Description]],$Q$1:$S$101,3,FALSE))</f>
        <v/>
      </c>
      <c r="I2066" s="1" t="str">
        <f>IF(Table2[[#This Row],[Description]]="","",IF(Table2[[#This Row],[Currency]]=$O$2,$P$2,HLOOKUP(Table2[[#This Row],[Date]],Funds!$C$10:$GV$11,2,FALSE)))</f>
        <v/>
      </c>
      <c r="J2066" s="215" t="str">
        <f>IF(Table2[[#This Row],[Description]]="","",Table2[[#This Row],[Value]]/Table2[[#This Row],[Conversion]])</f>
        <v/>
      </c>
      <c r="K2066" s="45" t="str">
        <f>IF(Table2[[#This Row],[Description]]="","",DATE(Table2[[#This Row],[Year]],Table2[[#This Row],[Month]],1))</f>
        <v/>
      </c>
    </row>
    <row r="2067" spans="7:11" x14ac:dyDescent="0.25">
      <c r="G2067" s="1" t="str">
        <f>IF(Table2[[#This Row],[Description]]="","",VLOOKUP(Table2[[#This Row],[Description]],$Q$1:$S$101,2,FALSE))</f>
        <v/>
      </c>
      <c r="H2067" s="1" t="str">
        <f>IF(Table2[[#This Row],[Description]]="","",VLOOKUP(Table2[[#This Row],[Description]],$Q$1:$S$101,3,FALSE))</f>
        <v/>
      </c>
      <c r="I2067" s="1" t="str">
        <f>IF(Table2[[#This Row],[Description]]="","",IF(Table2[[#This Row],[Currency]]=$O$2,$P$2,HLOOKUP(Table2[[#This Row],[Date]],Funds!$C$10:$GV$11,2,FALSE)))</f>
        <v/>
      </c>
      <c r="J2067" s="215" t="str">
        <f>IF(Table2[[#This Row],[Description]]="","",Table2[[#This Row],[Value]]/Table2[[#This Row],[Conversion]])</f>
        <v/>
      </c>
      <c r="K2067" s="45" t="str">
        <f>IF(Table2[[#This Row],[Description]]="","",DATE(Table2[[#This Row],[Year]],Table2[[#This Row],[Month]],1))</f>
        <v/>
      </c>
    </row>
    <row r="2068" spans="7:11" x14ac:dyDescent="0.25">
      <c r="G2068" s="1" t="str">
        <f>IF(Table2[[#This Row],[Description]]="","",VLOOKUP(Table2[[#This Row],[Description]],$Q$1:$S$101,2,FALSE))</f>
        <v/>
      </c>
      <c r="H2068" s="1" t="str">
        <f>IF(Table2[[#This Row],[Description]]="","",VLOOKUP(Table2[[#This Row],[Description]],$Q$1:$S$101,3,FALSE))</f>
        <v/>
      </c>
      <c r="I2068" s="1" t="str">
        <f>IF(Table2[[#This Row],[Description]]="","",IF(Table2[[#This Row],[Currency]]=$O$2,$P$2,HLOOKUP(Table2[[#This Row],[Date]],Funds!$C$10:$GV$11,2,FALSE)))</f>
        <v/>
      </c>
      <c r="J2068" s="215" t="str">
        <f>IF(Table2[[#This Row],[Description]]="","",Table2[[#This Row],[Value]]/Table2[[#This Row],[Conversion]])</f>
        <v/>
      </c>
      <c r="K2068" s="45" t="str">
        <f>IF(Table2[[#This Row],[Description]]="","",DATE(Table2[[#This Row],[Year]],Table2[[#This Row],[Month]],1))</f>
        <v/>
      </c>
    </row>
    <row r="2069" spans="7:11" x14ac:dyDescent="0.25">
      <c r="G2069" s="1" t="str">
        <f>IF(Table2[[#This Row],[Description]]="","",VLOOKUP(Table2[[#This Row],[Description]],$Q$1:$S$101,2,FALSE))</f>
        <v/>
      </c>
      <c r="H2069" s="1" t="str">
        <f>IF(Table2[[#This Row],[Description]]="","",VLOOKUP(Table2[[#This Row],[Description]],$Q$1:$S$101,3,FALSE))</f>
        <v/>
      </c>
      <c r="I2069" s="1" t="str">
        <f>IF(Table2[[#This Row],[Description]]="","",IF(Table2[[#This Row],[Currency]]=$O$2,$P$2,HLOOKUP(Table2[[#This Row],[Date]],Funds!$C$10:$GV$11,2,FALSE)))</f>
        <v/>
      </c>
      <c r="J2069" s="215" t="str">
        <f>IF(Table2[[#This Row],[Description]]="","",Table2[[#This Row],[Value]]/Table2[[#This Row],[Conversion]])</f>
        <v/>
      </c>
      <c r="K2069" s="45" t="str">
        <f>IF(Table2[[#This Row],[Description]]="","",DATE(Table2[[#This Row],[Year]],Table2[[#This Row],[Month]],1))</f>
        <v/>
      </c>
    </row>
    <row r="2070" spans="7:11" x14ac:dyDescent="0.25">
      <c r="G2070" s="1" t="str">
        <f>IF(Table2[[#This Row],[Description]]="","",VLOOKUP(Table2[[#This Row],[Description]],$Q$1:$S$101,2,FALSE))</f>
        <v/>
      </c>
      <c r="H2070" s="1" t="str">
        <f>IF(Table2[[#This Row],[Description]]="","",VLOOKUP(Table2[[#This Row],[Description]],$Q$1:$S$101,3,FALSE))</f>
        <v/>
      </c>
      <c r="I2070" s="1" t="str">
        <f>IF(Table2[[#This Row],[Description]]="","",IF(Table2[[#This Row],[Currency]]=$O$2,$P$2,HLOOKUP(Table2[[#This Row],[Date]],Funds!$C$10:$GV$11,2,FALSE)))</f>
        <v/>
      </c>
      <c r="J2070" s="215" t="str">
        <f>IF(Table2[[#This Row],[Description]]="","",Table2[[#This Row],[Value]]/Table2[[#This Row],[Conversion]])</f>
        <v/>
      </c>
      <c r="K2070" s="45" t="str">
        <f>IF(Table2[[#This Row],[Description]]="","",DATE(Table2[[#This Row],[Year]],Table2[[#This Row],[Month]],1))</f>
        <v/>
      </c>
    </row>
    <row r="2071" spans="7:11" x14ac:dyDescent="0.25">
      <c r="G2071" s="1" t="str">
        <f>IF(Table2[[#This Row],[Description]]="","",VLOOKUP(Table2[[#This Row],[Description]],$Q$1:$S$101,2,FALSE))</f>
        <v/>
      </c>
      <c r="H2071" s="1" t="str">
        <f>IF(Table2[[#This Row],[Description]]="","",VLOOKUP(Table2[[#This Row],[Description]],$Q$1:$S$101,3,FALSE))</f>
        <v/>
      </c>
      <c r="I2071" s="1" t="str">
        <f>IF(Table2[[#This Row],[Description]]="","",IF(Table2[[#This Row],[Currency]]=$O$2,$P$2,HLOOKUP(Table2[[#This Row],[Date]],Funds!$C$10:$GV$11,2,FALSE)))</f>
        <v/>
      </c>
      <c r="J2071" s="215" t="str">
        <f>IF(Table2[[#This Row],[Description]]="","",Table2[[#This Row],[Value]]/Table2[[#This Row],[Conversion]])</f>
        <v/>
      </c>
      <c r="K2071" s="45" t="str">
        <f>IF(Table2[[#This Row],[Description]]="","",DATE(Table2[[#This Row],[Year]],Table2[[#This Row],[Month]],1))</f>
        <v/>
      </c>
    </row>
    <row r="2072" spans="7:11" x14ac:dyDescent="0.25">
      <c r="G2072" s="1" t="str">
        <f>IF(Table2[[#This Row],[Description]]="","",VLOOKUP(Table2[[#This Row],[Description]],$Q$1:$S$101,2,FALSE))</f>
        <v/>
      </c>
      <c r="H2072" s="1" t="str">
        <f>IF(Table2[[#This Row],[Description]]="","",VLOOKUP(Table2[[#This Row],[Description]],$Q$1:$S$101,3,FALSE))</f>
        <v/>
      </c>
      <c r="I2072" s="1" t="str">
        <f>IF(Table2[[#This Row],[Description]]="","",IF(Table2[[#This Row],[Currency]]=$O$2,$P$2,HLOOKUP(Table2[[#This Row],[Date]],Funds!$C$10:$GV$11,2,FALSE)))</f>
        <v/>
      </c>
      <c r="J2072" s="215" t="str">
        <f>IF(Table2[[#This Row],[Description]]="","",Table2[[#This Row],[Value]]/Table2[[#This Row],[Conversion]])</f>
        <v/>
      </c>
      <c r="K2072" s="45" t="str">
        <f>IF(Table2[[#This Row],[Description]]="","",DATE(Table2[[#This Row],[Year]],Table2[[#This Row],[Month]],1))</f>
        <v/>
      </c>
    </row>
    <row r="2073" spans="7:11" x14ac:dyDescent="0.25">
      <c r="G2073" s="1" t="str">
        <f>IF(Table2[[#This Row],[Description]]="","",VLOOKUP(Table2[[#This Row],[Description]],$Q$1:$S$101,2,FALSE))</f>
        <v/>
      </c>
      <c r="H2073" s="1" t="str">
        <f>IF(Table2[[#This Row],[Description]]="","",VLOOKUP(Table2[[#This Row],[Description]],$Q$1:$S$101,3,FALSE))</f>
        <v/>
      </c>
      <c r="I2073" s="1" t="str">
        <f>IF(Table2[[#This Row],[Description]]="","",IF(Table2[[#This Row],[Currency]]=$O$2,$P$2,HLOOKUP(Table2[[#This Row],[Date]],Funds!$C$10:$GV$11,2,FALSE)))</f>
        <v/>
      </c>
      <c r="J2073" s="215" t="str">
        <f>IF(Table2[[#This Row],[Description]]="","",Table2[[#This Row],[Value]]/Table2[[#This Row],[Conversion]])</f>
        <v/>
      </c>
      <c r="K2073" s="45" t="str">
        <f>IF(Table2[[#This Row],[Description]]="","",DATE(Table2[[#This Row],[Year]],Table2[[#This Row],[Month]],1))</f>
        <v/>
      </c>
    </row>
    <row r="2074" spans="7:11" x14ac:dyDescent="0.25">
      <c r="G2074" s="1" t="str">
        <f>IF(Table2[[#This Row],[Description]]="","",VLOOKUP(Table2[[#This Row],[Description]],$Q$1:$S$101,2,FALSE))</f>
        <v/>
      </c>
      <c r="H2074" s="1" t="str">
        <f>IF(Table2[[#This Row],[Description]]="","",VLOOKUP(Table2[[#This Row],[Description]],$Q$1:$S$101,3,FALSE))</f>
        <v/>
      </c>
      <c r="I2074" s="1" t="str">
        <f>IF(Table2[[#This Row],[Description]]="","",IF(Table2[[#This Row],[Currency]]=$O$2,$P$2,HLOOKUP(Table2[[#This Row],[Date]],Funds!$C$10:$GV$11,2,FALSE)))</f>
        <v/>
      </c>
      <c r="J2074" s="215" t="str">
        <f>IF(Table2[[#This Row],[Description]]="","",Table2[[#This Row],[Value]]/Table2[[#This Row],[Conversion]])</f>
        <v/>
      </c>
      <c r="K2074" s="45" t="str">
        <f>IF(Table2[[#This Row],[Description]]="","",DATE(Table2[[#This Row],[Year]],Table2[[#This Row],[Month]],1))</f>
        <v/>
      </c>
    </row>
    <row r="2075" spans="7:11" x14ac:dyDescent="0.25">
      <c r="G2075" s="1" t="str">
        <f>IF(Table2[[#This Row],[Description]]="","",VLOOKUP(Table2[[#This Row],[Description]],$Q$1:$S$101,2,FALSE))</f>
        <v/>
      </c>
      <c r="H2075" s="1" t="str">
        <f>IF(Table2[[#This Row],[Description]]="","",VLOOKUP(Table2[[#This Row],[Description]],$Q$1:$S$101,3,FALSE))</f>
        <v/>
      </c>
      <c r="I2075" s="1" t="str">
        <f>IF(Table2[[#This Row],[Description]]="","",IF(Table2[[#This Row],[Currency]]=$O$2,$P$2,HLOOKUP(Table2[[#This Row],[Date]],Funds!$C$10:$GV$11,2,FALSE)))</f>
        <v/>
      </c>
      <c r="J2075" s="215" t="str">
        <f>IF(Table2[[#This Row],[Description]]="","",Table2[[#This Row],[Value]]/Table2[[#This Row],[Conversion]])</f>
        <v/>
      </c>
      <c r="K2075" s="45" t="str">
        <f>IF(Table2[[#This Row],[Description]]="","",DATE(Table2[[#This Row],[Year]],Table2[[#This Row],[Month]],1))</f>
        <v/>
      </c>
    </row>
    <row r="2076" spans="7:11" x14ac:dyDescent="0.25">
      <c r="G2076" s="1" t="str">
        <f>IF(Table2[[#This Row],[Description]]="","",VLOOKUP(Table2[[#This Row],[Description]],$Q$1:$S$101,2,FALSE))</f>
        <v/>
      </c>
      <c r="H2076" s="1" t="str">
        <f>IF(Table2[[#This Row],[Description]]="","",VLOOKUP(Table2[[#This Row],[Description]],$Q$1:$S$101,3,FALSE))</f>
        <v/>
      </c>
      <c r="I2076" s="1" t="str">
        <f>IF(Table2[[#This Row],[Description]]="","",IF(Table2[[#This Row],[Currency]]=$O$2,$P$2,HLOOKUP(Table2[[#This Row],[Date]],Funds!$C$10:$GV$11,2,FALSE)))</f>
        <v/>
      </c>
      <c r="J2076" s="215" t="str">
        <f>IF(Table2[[#This Row],[Description]]="","",Table2[[#This Row],[Value]]/Table2[[#This Row],[Conversion]])</f>
        <v/>
      </c>
      <c r="K2076" s="45" t="str">
        <f>IF(Table2[[#This Row],[Description]]="","",DATE(Table2[[#This Row],[Year]],Table2[[#This Row],[Month]],1))</f>
        <v/>
      </c>
    </row>
    <row r="2077" spans="7:11" x14ac:dyDescent="0.25">
      <c r="G2077" s="1" t="str">
        <f>IF(Table2[[#This Row],[Description]]="","",VLOOKUP(Table2[[#This Row],[Description]],$Q$1:$S$101,2,FALSE))</f>
        <v/>
      </c>
      <c r="H2077" s="1" t="str">
        <f>IF(Table2[[#This Row],[Description]]="","",VLOOKUP(Table2[[#This Row],[Description]],$Q$1:$S$101,3,FALSE))</f>
        <v/>
      </c>
      <c r="I2077" s="1" t="str">
        <f>IF(Table2[[#This Row],[Description]]="","",IF(Table2[[#This Row],[Currency]]=$O$2,$P$2,HLOOKUP(Table2[[#This Row],[Date]],Funds!$C$10:$GV$11,2,FALSE)))</f>
        <v/>
      </c>
      <c r="J2077" s="215" t="str">
        <f>IF(Table2[[#This Row],[Description]]="","",Table2[[#This Row],[Value]]/Table2[[#This Row],[Conversion]])</f>
        <v/>
      </c>
      <c r="K2077" s="45" t="str">
        <f>IF(Table2[[#This Row],[Description]]="","",DATE(Table2[[#This Row],[Year]],Table2[[#This Row],[Month]],1))</f>
        <v/>
      </c>
    </row>
    <row r="2078" spans="7:11" x14ac:dyDescent="0.25">
      <c r="G2078" s="1" t="str">
        <f>IF(Table2[[#This Row],[Description]]="","",VLOOKUP(Table2[[#This Row],[Description]],$Q$1:$S$101,2,FALSE))</f>
        <v/>
      </c>
      <c r="H2078" s="1" t="str">
        <f>IF(Table2[[#This Row],[Description]]="","",VLOOKUP(Table2[[#This Row],[Description]],$Q$1:$S$101,3,FALSE))</f>
        <v/>
      </c>
      <c r="I2078" s="1" t="str">
        <f>IF(Table2[[#This Row],[Description]]="","",IF(Table2[[#This Row],[Currency]]=$O$2,$P$2,HLOOKUP(Table2[[#This Row],[Date]],Funds!$C$10:$GV$11,2,FALSE)))</f>
        <v/>
      </c>
      <c r="J2078" s="215" t="str">
        <f>IF(Table2[[#This Row],[Description]]="","",Table2[[#This Row],[Value]]/Table2[[#This Row],[Conversion]])</f>
        <v/>
      </c>
      <c r="K2078" s="45" t="str">
        <f>IF(Table2[[#This Row],[Description]]="","",DATE(Table2[[#This Row],[Year]],Table2[[#This Row],[Month]],1))</f>
        <v/>
      </c>
    </row>
    <row r="2079" spans="7:11" x14ac:dyDescent="0.25">
      <c r="G2079" s="1" t="str">
        <f>IF(Table2[[#This Row],[Description]]="","",VLOOKUP(Table2[[#This Row],[Description]],$Q$1:$S$101,2,FALSE))</f>
        <v/>
      </c>
      <c r="H2079" s="1" t="str">
        <f>IF(Table2[[#This Row],[Description]]="","",VLOOKUP(Table2[[#This Row],[Description]],$Q$1:$S$101,3,FALSE))</f>
        <v/>
      </c>
      <c r="I2079" s="1" t="str">
        <f>IF(Table2[[#This Row],[Description]]="","",IF(Table2[[#This Row],[Currency]]=$O$2,$P$2,HLOOKUP(Table2[[#This Row],[Date]],Funds!$C$10:$GV$11,2,FALSE)))</f>
        <v/>
      </c>
      <c r="J2079" s="215" t="str">
        <f>IF(Table2[[#This Row],[Description]]="","",Table2[[#This Row],[Value]]/Table2[[#This Row],[Conversion]])</f>
        <v/>
      </c>
      <c r="K2079" s="45" t="str">
        <f>IF(Table2[[#This Row],[Description]]="","",DATE(Table2[[#This Row],[Year]],Table2[[#This Row],[Month]],1))</f>
        <v/>
      </c>
    </row>
    <row r="2080" spans="7:11" x14ac:dyDescent="0.25">
      <c r="G2080" s="1" t="str">
        <f>IF(Table2[[#This Row],[Description]]="","",VLOOKUP(Table2[[#This Row],[Description]],$Q$1:$S$101,2,FALSE))</f>
        <v/>
      </c>
      <c r="H2080" s="1" t="str">
        <f>IF(Table2[[#This Row],[Description]]="","",VLOOKUP(Table2[[#This Row],[Description]],$Q$1:$S$101,3,FALSE))</f>
        <v/>
      </c>
      <c r="I2080" s="1" t="str">
        <f>IF(Table2[[#This Row],[Description]]="","",IF(Table2[[#This Row],[Currency]]=$O$2,$P$2,HLOOKUP(Table2[[#This Row],[Date]],Funds!$C$10:$GV$11,2,FALSE)))</f>
        <v/>
      </c>
      <c r="J2080" s="215" t="str">
        <f>IF(Table2[[#This Row],[Description]]="","",Table2[[#This Row],[Value]]/Table2[[#This Row],[Conversion]])</f>
        <v/>
      </c>
      <c r="K2080" s="45" t="str">
        <f>IF(Table2[[#This Row],[Description]]="","",DATE(Table2[[#This Row],[Year]],Table2[[#This Row],[Month]],1))</f>
        <v/>
      </c>
    </row>
    <row r="2081" spans="7:11" x14ac:dyDescent="0.25">
      <c r="G2081" s="1" t="str">
        <f>IF(Table2[[#This Row],[Description]]="","",VLOOKUP(Table2[[#This Row],[Description]],$Q$1:$S$101,2,FALSE))</f>
        <v/>
      </c>
      <c r="H2081" s="1" t="str">
        <f>IF(Table2[[#This Row],[Description]]="","",VLOOKUP(Table2[[#This Row],[Description]],$Q$1:$S$101,3,FALSE))</f>
        <v/>
      </c>
      <c r="I2081" s="1" t="str">
        <f>IF(Table2[[#This Row],[Description]]="","",IF(Table2[[#This Row],[Currency]]=$O$2,$P$2,HLOOKUP(Table2[[#This Row],[Date]],Funds!$C$10:$GV$11,2,FALSE)))</f>
        <v/>
      </c>
      <c r="J2081" s="215" t="str">
        <f>IF(Table2[[#This Row],[Description]]="","",Table2[[#This Row],[Value]]/Table2[[#This Row],[Conversion]])</f>
        <v/>
      </c>
      <c r="K2081" s="45" t="str">
        <f>IF(Table2[[#This Row],[Description]]="","",DATE(Table2[[#This Row],[Year]],Table2[[#This Row],[Month]],1))</f>
        <v/>
      </c>
    </row>
    <row r="2082" spans="7:11" x14ac:dyDescent="0.25">
      <c r="G2082" s="1" t="str">
        <f>IF(Table2[[#This Row],[Description]]="","",VLOOKUP(Table2[[#This Row],[Description]],$Q$1:$S$101,2,FALSE))</f>
        <v/>
      </c>
      <c r="H2082" s="1" t="str">
        <f>IF(Table2[[#This Row],[Description]]="","",VLOOKUP(Table2[[#This Row],[Description]],$Q$1:$S$101,3,FALSE))</f>
        <v/>
      </c>
      <c r="I2082" s="1" t="str">
        <f>IF(Table2[[#This Row],[Description]]="","",IF(Table2[[#This Row],[Currency]]=$O$2,$P$2,HLOOKUP(Table2[[#This Row],[Date]],Funds!$C$10:$GV$11,2,FALSE)))</f>
        <v/>
      </c>
      <c r="J2082" s="215" t="str">
        <f>IF(Table2[[#This Row],[Description]]="","",Table2[[#This Row],[Value]]/Table2[[#This Row],[Conversion]])</f>
        <v/>
      </c>
      <c r="K2082" s="45" t="str">
        <f>IF(Table2[[#This Row],[Description]]="","",DATE(Table2[[#This Row],[Year]],Table2[[#This Row],[Month]],1))</f>
        <v/>
      </c>
    </row>
    <row r="2083" spans="7:11" x14ac:dyDescent="0.25">
      <c r="G2083" s="1" t="str">
        <f>IF(Table2[[#This Row],[Description]]="","",VLOOKUP(Table2[[#This Row],[Description]],$Q$1:$S$101,2,FALSE))</f>
        <v/>
      </c>
      <c r="H2083" s="1" t="str">
        <f>IF(Table2[[#This Row],[Description]]="","",VLOOKUP(Table2[[#This Row],[Description]],$Q$1:$S$101,3,FALSE))</f>
        <v/>
      </c>
      <c r="I2083" s="1" t="str">
        <f>IF(Table2[[#This Row],[Description]]="","",IF(Table2[[#This Row],[Currency]]=$O$2,$P$2,HLOOKUP(Table2[[#This Row],[Date]],Funds!$C$10:$GV$11,2,FALSE)))</f>
        <v/>
      </c>
      <c r="J2083" s="215" t="str">
        <f>IF(Table2[[#This Row],[Description]]="","",Table2[[#This Row],[Value]]/Table2[[#This Row],[Conversion]])</f>
        <v/>
      </c>
      <c r="K2083" s="45" t="str">
        <f>IF(Table2[[#This Row],[Description]]="","",DATE(Table2[[#This Row],[Year]],Table2[[#This Row],[Month]],1))</f>
        <v/>
      </c>
    </row>
    <row r="2084" spans="7:11" x14ac:dyDescent="0.25">
      <c r="G2084" s="1" t="str">
        <f>IF(Table2[[#This Row],[Description]]="","",VLOOKUP(Table2[[#This Row],[Description]],$Q$1:$S$101,2,FALSE))</f>
        <v/>
      </c>
      <c r="H2084" s="1" t="str">
        <f>IF(Table2[[#This Row],[Description]]="","",VLOOKUP(Table2[[#This Row],[Description]],$Q$1:$S$101,3,FALSE))</f>
        <v/>
      </c>
      <c r="I2084" s="1" t="str">
        <f>IF(Table2[[#This Row],[Description]]="","",IF(Table2[[#This Row],[Currency]]=$O$2,$P$2,HLOOKUP(Table2[[#This Row],[Date]],Funds!$C$10:$GV$11,2,FALSE)))</f>
        <v/>
      </c>
      <c r="J2084" s="215" t="str">
        <f>IF(Table2[[#This Row],[Description]]="","",Table2[[#This Row],[Value]]/Table2[[#This Row],[Conversion]])</f>
        <v/>
      </c>
      <c r="K2084" s="45" t="str">
        <f>IF(Table2[[#This Row],[Description]]="","",DATE(Table2[[#This Row],[Year]],Table2[[#This Row],[Month]],1))</f>
        <v/>
      </c>
    </row>
    <row r="2085" spans="7:11" x14ac:dyDescent="0.25">
      <c r="G2085" s="1" t="str">
        <f>IF(Table2[[#This Row],[Description]]="","",VLOOKUP(Table2[[#This Row],[Description]],$Q$1:$S$101,2,FALSE))</f>
        <v/>
      </c>
      <c r="H2085" s="1" t="str">
        <f>IF(Table2[[#This Row],[Description]]="","",VLOOKUP(Table2[[#This Row],[Description]],$Q$1:$S$101,3,FALSE))</f>
        <v/>
      </c>
      <c r="I2085" s="1" t="str">
        <f>IF(Table2[[#This Row],[Description]]="","",IF(Table2[[#This Row],[Currency]]=$O$2,$P$2,HLOOKUP(Table2[[#This Row],[Date]],Funds!$C$10:$GV$11,2,FALSE)))</f>
        <v/>
      </c>
      <c r="J2085" s="215" t="str">
        <f>IF(Table2[[#This Row],[Description]]="","",Table2[[#This Row],[Value]]/Table2[[#This Row],[Conversion]])</f>
        <v/>
      </c>
      <c r="K2085" s="45" t="str">
        <f>IF(Table2[[#This Row],[Description]]="","",DATE(Table2[[#This Row],[Year]],Table2[[#This Row],[Month]],1))</f>
        <v/>
      </c>
    </row>
    <row r="2086" spans="7:11" x14ac:dyDescent="0.25">
      <c r="G2086" s="1" t="str">
        <f>IF(Table2[[#This Row],[Description]]="","",VLOOKUP(Table2[[#This Row],[Description]],$Q$1:$S$101,2,FALSE))</f>
        <v/>
      </c>
      <c r="H2086" s="1" t="str">
        <f>IF(Table2[[#This Row],[Description]]="","",VLOOKUP(Table2[[#This Row],[Description]],$Q$1:$S$101,3,FALSE))</f>
        <v/>
      </c>
      <c r="I2086" s="1" t="str">
        <f>IF(Table2[[#This Row],[Description]]="","",IF(Table2[[#This Row],[Currency]]=$O$2,$P$2,HLOOKUP(Table2[[#This Row],[Date]],Funds!$C$10:$GV$11,2,FALSE)))</f>
        <v/>
      </c>
      <c r="J2086" s="215" t="str">
        <f>IF(Table2[[#This Row],[Description]]="","",Table2[[#This Row],[Value]]/Table2[[#This Row],[Conversion]])</f>
        <v/>
      </c>
      <c r="K2086" s="45" t="str">
        <f>IF(Table2[[#This Row],[Description]]="","",DATE(Table2[[#This Row],[Year]],Table2[[#This Row],[Month]],1))</f>
        <v/>
      </c>
    </row>
    <row r="2087" spans="7:11" x14ac:dyDescent="0.25">
      <c r="G2087" s="1" t="str">
        <f>IF(Table2[[#This Row],[Description]]="","",VLOOKUP(Table2[[#This Row],[Description]],$Q$1:$S$101,2,FALSE))</f>
        <v/>
      </c>
      <c r="H2087" s="1" t="str">
        <f>IF(Table2[[#This Row],[Description]]="","",VLOOKUP(Table2[[#This Row],[Description]],$Q$1:$S$101,3,FALSE))</f>
        <v/>
      </c>
      <c r="I2087" s="1" t="str">
        <f>IF(Table2[[#This Row],[Description]]="","",IF(Table2[[#This Row],[Currency]]=$O$2,$P$2,HLOOKUP(Table2[[#This Row],[Date]],Funds!$C$10:$GV$11,2,FALSE)))</f>
        <v/>
      </c>
      <c r="J2087" s="215" t="str">
        <f>IF(Table2[[#This Row],[Description]]="","",Table2[[#This Row],[Value]]/Table2[[#This Row],[Conversion]])</f>
        <v/>
      </c>
      <c r="K2087" s="45" t="str">
        <f>IF(Table2[[#This Row],[Description]]="","",DATE(Table2[[#This Row],[Year]],Table2[[#This Row],[Month]],1))</f>
        <v/>
      </c>
    </row>
    <row r="2088" spans="7:11" x14ac:dyDescent="0.25">
      <c r="G2088" s="1" t="str">
        <f>IF(Table2[[#This Row],[Description]]="","",VLOOKUP(Table2[[#This Row],[Description]],$Q$1:$S$101,2,FALSE))</f>
        <v/>
      </c>
      <c r="H2088" s="1" t="str">
        <f>IF(Table2[[#This Row],[Description]]="","",VLOOKUP(Table2[[#This Row],[Description]],$Q$1:$S$101,3,FALSE))</f>
        <v/>
      </c>
      <c r="I2088" s="1" t="str">
        <f>IF(Table2[[#This Row],[Description]]="","",IF(Table2[[#This Row],[Currency]]=$O$2,$P$2,HLOOKUP(Table2[[#This Row],[Date]],Funds!$C$10:$GV$11,2,FALSE)))</f>
        <v/>
      </c>
      <c r="J2088" s="215" t="str">
        <f>IF(Table2[[#This Row],[Description]]="","",Table2[[#This Row],[Value]]/Table2[[#This Row],[Conversion]])</f>
        <v/>
      </c>
      <c r="K2088" s="45" t="str">
        <f>IF(Table2[[#This Row],[Description]]="","",DATE(Table2[[#This Row],[Year]],Table2[[#This Row],[Month]],1))</f>
        <v/>
      </c>
    </row>
    <row r="2089" spans="7:11" x14ac:dyDescent="0.25">
      <c r="G2089" s="1" t="str">
        <f>IF(Table2[[#This Row],[Description]]="","",VLOOKUP(Table2[[#This Row],[Description]],$Q$1:$S$101,2,FALSE))</f>
        <v/>
      </c>
      <c r="H2089" s="1" t="str">
        <f>IF(Table2[[#This Row],[Description]]="","",VLOOKUP(Table2[[#This Row],[Description]],$Q$1:$S$101,3,FALSE))</f>
        <v/>
      </c>
      <c r="I2089" s="1" t="str">
        <f>IF(Table2[[#This Row],[Description]]="","",IF(Table2[[#This Row],[Currency]]=$O$2,$P$2,HLOOKUP(Table2[[#This Row],[Date]],Funds!$C$10:$GV$11,2,FALSE)))</f>
        <v/>
      </c>
      <c r="J2089" s="215" t="str">
        <f>IF(Table2[[#This Row],[Description]]="","",Table2[[#This Row],[Value]]/Table2[[#This Row],[Conversion]])</f>
        <v/>
      </c>
      <c r="K2089" s="45" t="str">
        <f>IF(Table2[[#This Row],[Description]]="","",DATE(Table2[[#This Row],[Year]],Table2[[#This Row],[Month]],1))</f>
        <v/>
      </c>
    </row>
    <row r="2090" spans="7:11" x14ac:dyDescent="0.25">
      <c r="G2090" s="1" t="str">
        <f>IF(Table2[[#This Row],[Description]]="","",VLOOKUP(Table2[[#This Row],[Description]],$Q$1:$S$101,2,FALSE))</f>
        <v/>
      </c>
      <c r="H2090" s="1" t="str">
        <f>IF(Table2[[#This Row],[Description]]="","",VLOOKUP(Table2[[#This Row],[Description]],$Q$1:$S$101,3,FALSE))</f>
        <v/>
      </c>
      <c r="I2090" s="1" t="str">
        <f>IF(Table2[[#This Row],[Description]]="","",IF(Table2[[#This Row],[Currency]]=$O$2,$P$2,HLOOKUP(Table2[[#This Row],[Date]],Funds!$C$10:$GV$11,2,FALSE)))</f>
        <v/>
      </c>
      <c r="J2090" s="215" t="str">
        <f>IF(Table2[[#This Row],[Description]]="","",Table2[[#This Row],[Value]]/Table2[[#This Row],[Conversion]])</f>
        <v/>
      </c>
      <c r="K2090" s="45" t="str">
        <f>IF(Table2[[#This Row],[Description]]="","",DATE(Table2[[#This Row],[Year]],Table2[[#This Row],[Month]],1))</f>
        <v/>
      </c>
    </row>
    <row r="2091" spans="7:11" x14ac:dyDescent="0.25">
      <c r="G2091" s="1" t="str">
        <f>IF(Table2[[#This Row],[Description]]="","",VLOOKUP(Table2[[#This Row],[Description]],$Q$1:$S$101,2,FALSE))</f>
        <v/>
      </c>
      <c r="H2091" s="1" t="str">
        <f>IF(Table2[[#This Row],[Description]]="","",VLOOKUP(Table2[[#This Row],[Description]],$Q$1:$S$101,3,FALSE))</f>
        <v/>
      </c>
      <c r="I2091" s="1" t="str">
        <f>IF(Table2[[#This Row],[Description]]="","",IF(Table2[[#This Row],[Currency]]=$O$2,$P$2,HLOOKUP(Table2[[#This Row],[Date]],Funds!$C$10:$GV$11,2,FALSE)))</f>
        <v/>
      </c>
      <c r="J2091" s="215" t="str">
        <f>IF(Table2[[#This Row],[Description]]="","",Table2[[#This Row],[Value]]/Table2[[#This Row],[Conversion]])</f>
        <v/>
      </c>
      <c r="K2091" s="45" t="str">
        <f>IF(Table2[[#This Row],[Description]]="","",DATE(Table2[[#This Row],[Year]],Table2[[#This Row],[Month]],1))</f>
        <v/>
      </c>
    </row>
    <row r="2092" spans="7:11" x14ac:dyDescent="0.25">
      <c r="G2092" s="1" t="str">
        <f>IF(Table2[[#This Row],[Description]]="","",VLOOKUP(Table2[[#This Row],[Description]],$Q$1:$S$101,2,FALSE))</f>
        <v/>
      </c>
      <c r="H2092" s="1" t="str">
        <f>IF(Table2[[#This Row],[Description]]="","",VLOOKUP(Table2[[#This Row],[Description]],$Q$1:$S$101,3,FALSE))</f>
        <v/>
      </c>
      <c r="I2092" s="1" t="str">
        <f>IF(Table2[[#This Row],[Description]]="","",IF(Table2[[#This Row],[Currency]]=$O$2,$P$2,HLOOKUP(Table2[[#This Row],[Date]],Funds!$C$10:$GV$11,2,FALSE)))</f>
        <v/>
      </c>
      <c r="J2092" s="215" t="str">
        <f>IF(Table2[[#This Row],[Description]]="","",Table2[[#This Row],[Value]]/Table2[[#This Row],[Conversion]])</f>
        <v/>
      </c>
      <c r="K2092" s="45" t="str">
        <f>IF(Table2[[#This Row],[Description]]="","",DATE(Table2[[#This Row],[Year]],Table2[[#This Row],[Month]],1))</f>
        <v/>
      </c>
    </row>
    <row r="2093" spans="7:11" x14ac:dyDescent="0.25">
      <c r="G2093" s="1" t="str">
        <f>IF(Table2[[#This Row],[Description]]="","",VLOOKUP(Table2[[#This Row],[Description]],$Q$1:$S$101,2,FALSE))</f>
        <v/>
      </c>
      <c r="H2093" s="1" t="str">
        <f>IF(Table2[[#This Row],[Description]]="","",VLOOKUP(Table2[[#This Row],[Description]],$Q$1:$S$101,3,FALSE))</f>
        <v/>
      </c>
      <c r="I2093" s="1" t="str">
        <f>IF(Table2[[#This Row],[Description]]="","",IF(Table2[[#This Row],[Currency]]=$O$2,$P$2,HLOOKUP(Table2[[#This Row],[Date]],Funds!$C$10:$GV$11,2,FALSE)))</f>
        <v/>
      </c>
      <c r="J2093" s="215" t="str">
        <f>IF(Table2[[#This Row],[Description]]="","",Table2[[#This Row],[Value]]/Table2[[#This Row],[Conversion]])</f>
        <v/>
      </c>
      <c r="K2093" s="45" t="str">
        <f>IF(Table2[[#This Row],[Description]]="","",DATE(Table2[[#This Row],[Year]],Table2[[#This Row],[Month]],1))</f>
        <v/>
      </c>
    </row>
    <row r="2094" spans="7:11" x14ac:dyDescent="0.25">
      <c r="G2094" s="1" t="str">
        <f>IF(Table2[[#This Row],[Description]]="","",VLOOKUP(Table2[[#This Row],[Description]],$Q$1:$S$101,2,FALSE))</f>
        <v/>
      </c>
      <c r="H2094" s="1" t="str">
        <f>IF(Table2[[#This Row],[Description]]="","",VLOOKUP(Table2[[#This Row],[Description]],$Q$1:$S$101,3,FALSE))</f>
        <v/>
      </c>
      <c r="I2094" s="1" t="str">
        <f>IF(Table2[[#This Row],[Description]]="","",IF(Table2[[#This Row],[Currency]]=$O$2,$P$2,HLOOKUP(Table2[[#This Row],[Date]],Funds!$C$10:$GV$11,2,FALSE)))</f>
        <v/>
      </c>
      <c r="J2094" s="215" t="str">
        <f>IF(Table2[[#This Row],[Description]]="","",Table2[[#This Row],[Value]]/Table2[[#This Row],[Conversion]])</f>
        <v/>
      </c>
      <c r="K2094" s="45" t="str">
        <f>IF(Table2[[#This Row],[Description]]="","",DATE(Table2[[#This Row],[Year]],Table2[[#This Row],[Month]],1))</f>
        <v/>
      </c>
    </row>
    <row r="2095" spans="7:11" x14ac:dyDescent="0.25">
      <c r="G2095" s="1" t="str">
        <f>IF(Table2[[#This Row],[Description]]="","",VLOOKUP(Table2[[#This Row],[Description]],$Q$1:$S$101,2,FALSE))</f>
        <v/>
      </c>
      <c r="H2095" s="1" t="str">
        <f>IF(Table2[[#This Row],[Description]]="","",VLOOKUP(Table2[[#This Row],[Description]],$Q$1:$S$101,3,FALSE))</f>
        <v/>
      </c>
      <c r="I2095" s="1" t="str">
        <f>IF(Table2[[#This Row],[Description]]="","",IF(Table2[[#This Row],[Currency]]=$O$2,$P$2,HLOOKUP(Table2[[#This Row],[Date]],Funds!$C$10:$GV$11,2,FALSE)))</f>
        <v/>
      </c>
      <c r="J2095" s="215" t="str">
        <f>IF(Table2[[#This Row],[Description]]="","",Table2[[#This Row],[Value]]/Table2[[#This Row],[Conversion]])</f>
        <v/>
      </c>
      <c r="K2095" s="45" t="str">
        <f>IF(Table2[[#This Row],[Description]]="","",DATE(Table2[[#This Row],[Year]],Table2[[#This Row],[Month]],1))</f>
        <v/>
      </c>
    </row>
    <row r="2096" spans="7:11" x14ac:dyDescent="0.25">
      <c r="G2096" s="1" t="str">
        <f>IF(Table2[[#This Row],[Description]]="","",VLOOKUP(Table2[[#This Row],[Description]],$Q$1:$S$101,2,FALSE))</f>
        <v/>
      </c>
      <c r="H2096" s="1" t="str">
        <f>IF(Table2[[#This Row],[Description]]="","",VLOOKUP(Table2[[#This Row],[Description]],$Q$1:$S$101,3,FALSE))</f>
        <v/>
      </c>
      <c r="I2096" s="1" t="str">
        <f>IF(Table2[[#This Row],[Description]]="","",IF(Table2[[#This Row],[Currency]]=$O$2,$P$2,HLOOKUP(Table2[[#This Row],[Date]],Funds!$C$10:$GV$11,2,FALSE)))</f>
        <v/>
      </c>
      <c r="J2096" s="215" t="str">
        <f>IF(Table2[[#This Row],[Description]]="","",Table2[[#This Row],[Value]]/Table2[[#This Row],[Conversion]])</f>
        <v/>
      </c>
      <c r="K2096" s="45" t="str">
        <f>IF(Table2[[#This Row],[Description]]="","",DATE(Table2[[#This Row],[Year]],Table2[[#This Row],[Month]],1))</f>
        <v/>
      </c>
    </row>
    <row r="2097" spans="7:11" x14ac:dyDescent="0.25">
      <c r="G2097" s="1" t="str">
        <f>IF(Table2[[#This Row],[Description]]="","",VLOOKUP(Table2[[#This Row],[Description]],$Q$1:$S$101,2,FALSE))</f>
        <v/>
      </c>
      <c r="H2097" s="1" t="str">
        <f>IF(Table2[[#This Row],[Description]]="","",VLOOKUP(Table2[[#This Row],[Description]],$Q$1:$S$101,3,FALSE))</f>
        <v/>
      </c>
      <c r="I2097" s="1" t="str">
        <f>IF(Table2[[#This Row],[Description]]="","",IF(Table2[[#This Row],[Currency]]=$O$2,$P$2,HLOOKUP(Table2[[#This Row],[Date]],Funds!$C$10:$GV$11,2,FALSE)))</f>
        <v/>
      </c>
      <c r="J2097" s="215" t="str">
        <f>IF(Table2[[#This Row],[Description]]="","",Table2[[#This Row],[Value]]/Table2[[#This Row],[Conversion]])</f>
        <v/>
      </c>
      <c r="K2097" s="45" t="str">
        <f>IF(Table2[[#This Row],[Description]]="","",DATE(Table2[[#This Row],[Year]],Table2[[#This Row],[Month]],1))</f>
        <v/>
      </c>
    </row>
    <row r="2098" spans="7:11" x14ac:dyDescent="0.25">
      <c r="G2098" s="1" t="str">
        <f>IF(Table2[[#This Row],[Description]]="","",VLOOKUP(Table2[[#This Row],[Description]],$Q$1:$S$101,2,FALSE))</f>
        <v/>
      </c>
      <c r="H2098" s="1" t="str">
        <f>IF(Table2[[#This Row],[Description]]="","",VLOOKUP(Table2[[#This Row],[Description]],$Q$1:$S$101,3,FALSE))</f>
        <v/>
      </c>
      <c r="I2098" s="1" t="str">
        <f>IF(Table2[[#This Row],[Description]]="","",IF(Table2[[#This Row],[Currency]]=$O$2,$P$2,HLOOKUP(Table2[[#This Row],[Date]],Funds!$C$10:$GV$11,2,FALSE)))</f>
        <v/>
      </c>
      <c r="J2098" s="215" t="str">
        <f>IF(Table2[[#This Row],[Description]]="","",Table2[[#This Row],[Value]]/Table2[[#This Row],[Conversion]])</f>
        <v/>
      </c>
      <c r="K2098" s="45" t="str">
        <f>IF(Table2[[#This Row],[Description]]="","",DATE(Table2[[#This Row],[Year]],Table2[[#This Row],[Month]],1))</f>
        <v/>
      </c>
    </row>
    <row r="2099" spans="7:11" x14ac:dyDescent="0.25">
      <c r="G2099" s="1" t="str">
        <f>IF(Table2[[#This Row],[Description]]="","",VLOOKUP(Table2[[#This Row],[Description]],$Q$1:$S$101,2,FALSE))</f>
        <v/>
      </c>
      <c r="H2099" s="1" t="str">
        <f>IF(Table2[[#This Row],[Description]]="","",VLOOKUP(Table2[[#This Row],[Description]],$Q$1:$S$101,3,FALSE))</f>
        <v/>
      </c>
      <c r="I2099" s="1" t="str">
        <f>IF(Table2[[#This Row],[Description]]="","",IF(Table2[[#This Row],[Currency]]=$O$2,$P$2,HLOOKUP(Table2[[#This Row],[Date]],Funds!$C$10:$GV$11,2,FALSE)))</f>
        <v/>
      </c>
      <c r="J2099" s="215" t="str">
        <f>IF(Table2[[#This Row],[Description]]="","",Table2[[#This Row],[Value]]/Table2[[#This Row],[Conversion]])</f>
        <v/>
      </c>
      <c r="K2099" s="45" t="str">
        <f>IF(Table2[[#This Row],[Description]]="","",DATE(Table2[[#This Row],[Year]],Table2[[#This Row],[Month]],1))</f>
        <v/>
      </c>
    </row>
    <row r="2100" spans="7:11" x14ac:dyDescent="0.25">
      <c r="G2100" s="1" t="str">
        <f>IF(Table2[[#This Row],[Description]]="","",VLOOKUP(Table2[[#This Row],[Description]],$Q$1:$S$101,2,FALSE))</f>
        <v/>
      </c>
      <c r="H2100" s="1" t="str">
        <f>IF(Table2[[#This Row],[Description]]="","",VLOOKUP(Table2[[#This Row],[Description]],$Q$1:$S$101,3,FALSE))</f>
        <v/>
      </c>
      <c r="I2100" s="1" t="str">
        <f>IF(Table2[[#This Row],[Description]]="","",IF(Table2[[#This Row],[Currency]]=$O$2,$P$2,HLOOKUP(Table2[[#This Row],[Date]],Funds!$C$10:$GV$11,2,FALSE)))</f>
        <v/>
      </c>
      <c r="J2100" s="215" t="str">
        <f>IF(Table2[[#This Row],[Description]]="","",Table2[[#This Row],[Value]]/Table2[[#This Row],[Conversion]])</f>
        <v/>
      </c>
      <c r="K2100" s="45" t="str">
        <f>IF(Table2[[#This Row],[Description]]="","",DATE(Table2[[#This Row],[Year]],Table2[[#This Row],[Month]],1))</f>
        <v/>
      </c>
    </row>
    <row r="2101" spans="7:11" x14ac:dyDescent="0.25">
      <c r="G2101" s="1" t="str">
        <f>IF(Table2[[#This Row],[Description]]="","",VLOOKUP(Table2[[#This Row],[Description]],$Q$1:$S$101,2,FALSE))</f>
        <v/>
      </c>
      <c r="H2101" s="1" t="str">
        <f>IF(Table2[[#This Row],[Description]]="","",VLOOKUP(Table2[[#This Row],[Description]],$Q$1:$S$101,3,FALSE))</f>
        <v/>
      </c>
      <c r="I2101" s="1" t="str">
        <f>IF(Table2[[#This Row],[Description]]="","",IF(Table2[[#This Row],[Currency]]=$O$2,$P$2,HLOOKUP(Table2[[#This Row],[Date]],Funds!$C$10:$GV$11,2,FALSE)))</f>
        <v/>
      </c>
      <c r="J2101" s="215" t="str">
        <f>IF(Table2[[#This Row],[Description]]="","",Table2[[#This Row],[Value]]/Table2[[#This Row],[Conversion]])</f>
        <v/>
      </c>
      <c r="K2101" s="45" t="str">
        <f>IF(Table2[[#This Row],[Description]]="","",DATE(Table2[[#This Row],[Year]],Table2[[#This Row],[Month]],1))</f>
        <v/>
      </c>
    </row>
    <row r="2102" spans="7:11" x14ac:dyDescent="0.25">
      <c r="G2102" s="1" t="str">
        <f>IF(Table2[[#This Row],[Description]]="","",VLOOKUP(Table2[[#This Row],[Description]],$Q$1:$S$101,2,FALSE))</f>
        <v/>
      </c>
      <c r="H2102" s="1" t="str">
        <f>IF(Table2[[#This Row],[Description]]="","",VLOOKUP(Table2[[#This Row],[Description]],$Q$1:$S$101,3,FALSE))</f>
        <v/>
      </c>
      <c r="I2102" s="1" t="str">
        <f>IF(Table2[[#This Row],[Description]]="","",IF(Table2[[#This Row],[Currency]]=$O$2,$P$2,HLOOKUP(Table2[[#This Row],[Date]],Funds!$C$10:$GV$11,2,FALSE)))</f>
        <v/>
      </c>
      <c r="J2102" s="215" t="str">
        <f>IF(Table2[[#This Row],[Description]]="","",Table2[[#This Row],[Value]]/Table2[[#This Row],[Conversion]])</f>
        <v/>
      </c>
      <c r="K2102" s="45" t="str">
        <f>IF(Table2[[#This Row],[Description]]="","",DATE(Table2[[#This Row],[Year]],Table2[[#This Row],[Month]],1))</f>
        <v/>
      </c>
    </row>
    <row r="2103" spans="7:11" x14ac:dyDescent="0.25">
      <c r="G2103" s="1" t="str">
        <f>IF(Table2[[#This Row],[Description]]="","",VLOOKUP(Table2[[#This Row],[Description]],$Q$1:$S$101,2,FALSE))</f>
        <v/>
      </c>
      <c r="H2103" s="1" t="str">
        <f>IF(Table2[[#This Row],[Description]]="","",VLOOKUP(Table2[[#This Row],[Description]],$Q$1:$S$101,3,FALSE))</f>
        <v/>
      </c>
      <c r="I2103" s="1" t="str">
        <f>IF(Table2[[#This Row],[Description]]="","",IF(Table2[[#This Row],[Currency]]=$O$2,$P$2,HLOOKUP(Table2[[#This Row],[Date]],Funds!$C$10:$GV$11,2,FALSE)))</f>
        <v/>
      </c>
      <c r="J2103" s="215" t="str">
        <f>IF(Table2[[#This Row],[Description]]="","",Table2[[#This Row],[Value]]/Table2[[#This Row],[Conversion]])</f>
        <v/>
      </c>
      <c r="K2103" s="45" t="str">
        <f>IF(Table2[[#This Row],[Description]]="","",DATE(Table2[[#This Row],[Year]],Table2[[#This Row],[Month]],1))</f>
        <v/>
      </c>
    </row>
    <row r="2104" spans="7:11" x14ac:dyDescent="0.25">
      <c r="G2104" s="1" t="str">
        <f>IF(Table2[[#This Row],[Description]]="","",VLOOKUP(Table2[[#This Row],[Description]],$Q$1:$S$101,2,FALSE))</f>
        <v/>
      </c>
      <c r="H2104" s="1" t="str">
        <f>IF(Table2[[#This Row],[Description]]="","",VLOOKUP(Table2[[#This Row],[Description]],$Q$1:$S$101,3,FALSE))</f>
        <v/>
      </c>
      <c r="I2104" s="1" t="str">
        <f>IF(Table2[[#This Row],[Description]]="","",IF(Table2[[#This Row],[Currency]]=$O$2,$P$2,HLOOKUP(Table2[[#This Row],[Date]],Funds!$C$10:$GV$11,2,FALSE)))</f>
        <v/>
      </c>
      <c r="J2104" s="215" t="str">
        <f>IF(Table2[[#This Row],[Description]]="","",Table2[[#This Row],[Value]]/Table2[[#This Row],[Conversion]])</f>
        <v/>
      </c>
      <c r="K2104" s="45" t="str">
        <f>IF(Table2[[#This Row],[Description]]="","",DATE(Table2[[#This Row],[Year]],Table2[[#This Row],[Month]],1))</f>
        <v/>
      </c>
    </row>
    <row r="2105" spans="7:11" x14ac:dyDescent="0.25">
      <c r="G2105" s="1" t="str">
        <f>IF(Table2[[#This Row],[Description]]="","",VLOOKUP(Table2[[#This Row],[Description]],$Q$1:$S$101,2,FALSE))</f>
        <v/>
      </c>
      <c r="H2105" s="1" t="str">
        <f>IF(Table2[[#This Row],[Description]]="","",VLOOKUP(Table2[[#This Row],[Description]],$Q$1:$S$101,3,FALSE))</f>
        <v/>
      </c>
      <c r="I2105" s="1" t="str">
        <f>IF(Table2[[#This Row],[Description]]="","",IF(Table2[[#This Row],[Currency]]=$O$2,$P$2,HLOOKUP(Table2[[#This Row],[Date]],Funds!$C$10:$GV$11,2,FALSE)))</f>
        <v/>
      </c>
      <c r="J2105" s="215" t="str">
        <f>IF(Table2[[#This Row],[Description]]="","",Table2[[#This Row],[Value]]/Table2[[#This Row],[Conversion]])</f>
        <v/>
      </c>
      <c r="K2105" s="45" t="str">
        <f>IF(Table2[[#This Row],[Description]]="","",DATE(Table2[[#This Row],[Year]],Table2[[#This Row],[Month]],1))</f>
        <v/>
      </c>
    </row>
    <row r="2106" spans="7:11" x14ac:dyDescent="0.25">
      <c r="G2106" s="1" t="str">
        <f>IF(Table2[[#This Row],[Description]]="","",VLOOKUP(Table2[[#This Row],[Description]],$Q$1:$S$101,2,FALSE))</f>
        <v/>
      </c>
      <c r="H2106" s="1" t="str">
        <f>IF(Table2[[#This Row],[Description]]="","",VLOOKUP(Table2[[#This Row],[Description]],$Q$1:$S$101,3,FALSE))</f>
        <v/>
      </c>
      <c r="I2106" s="1" t="str">
        <f>IF(Table2[[#This Row],[Description]]="","",IF(Table2[[#This Row],[Currency]]=$O$2,$P$2,HLOOKUP(Table2[[#This Row],[Date]],Funds!$C$10:$GV$11,2,FALSE)))</f>
        <v/>
      </c>
      <c r="J2106" s="215" t="str">
        <f>IF(Table2[[#This Row],[Description]]="","",Table2[[#This Row],[Value]]/Table2[[#This Row],[Conversion]])</f>
        <v/>
      </c>
      <c r="K2106" s="45" t="str">
        <f>IF(Table2[[#This Row],[Description]]="","",DATE(Table2[[#This Row],[Year]],Table2[[#This Row],[Month]],1))</f>
        <v/>
      </c>
    </row>
    <row r="2107" spans="7:11" x14ac:dyDescent="0.25">
      <c r="G2107" s="1" t="str">
        <f>IF(Table2[[#This Row],[Description]]="","",VLOOKUP(Table2[[#This Row],[Description]],$Q$1:$S$101,2,FALSE))</f>
        <v/>
      </c>
      <c r="H2107" s="1" t="str">
        <f>IF(Table2[[#This Row],[Description]]="","",VLOOKUP(Table2[[#This Row],[Description]],$Q$1:$S$101,3,FALSE))</f>
        <v/>
      </c>
      <c r="I2107" s="1" t="str">
        <f>IF(Table2[[#This Row],[Description]]="","",IF(Table2[[#This Row],[Currency]]=$O$2,$P$2,HLOOKUP(Table2[[#This Row],[Date]],Funds!$C$10:$GV$11,2,FALSE)))</f>
        <v/>
      </c>
      <c r="J2107" s="215" t="str">
        <f>IF(Table2[[#This Row],[Description]]="","",Table2[[#This Row],[Value]]/Table2[[#This Row],[Conversion]])</f>
        <v/>
      </c>
      <c r="K2107" s="45" t="str">
        <f>IF(Table2[[#This Row],[Description]]="","",DATE(Table2[[#This Row],[Year]],Table2[[#This Row],[Month]],1))</f>
        <v/>
      </c>
    </row>
    <row r="2108" spans="7:11" x14ac:dyDescent="0.25">
      <c r="G2108" s="1" t="str">
        <f>IF(Table2[[#This Row],[Description]]="","",VLOOKUP(Table2[[#This Row],[Description]],$Q$1:$S$101,2,FALSE))</f>
        <v/>
      </c>
      <c r="H2108" s="1" t="str">
        <f>IF(Table2[[#This Row],[Description]]="","",VLOOKUP(Table2[[#This Row],[Description]],$Q$1:$S$101,3,FALSE))</f>
        <v/>
      </c>
      <c r="I2108" s="1" t="str">
        <f>IF(Table2[[#This Row],[Description]]="","",IF(Table2[[#This Row],[Currency]]=$O$2,$P$2,HLOOKUP(Table2[[#This Row],[Date]],Funds!$C$10:$GV$11,2,FALSE)))</f>
        <v/>
      </c>
      <c r="J2108" s="215" t="str">
        <f>IF(Table2[[#This Row],[Description]]="","",Table2[[#This Row],[Value]]/Table2[[#This Row],[Conversion]])</f>
        <v/>
      </c>
      <c r="K2108" s="45" t="str">
        <f>IF(Table2[[#This Row],[Description]]="","",DATE(Table2[[#This Row],[Year]],Table2[[#This Row],[Month]],1))</f>
        <v/>
      </c>
    </row>
    <row r="2109" spans="7:11" x14ac:dyDescent="0.25">
      <c r="G2109" s="1" t="str">
        <f>IF(Table2[[#This Row],[Description]]="","",VLOOKUP(Table2[[#This Row],[Description]],$Q$1:$S$101,2,FALSE))</f>
        <v/>
      </c>
      <c r="H2109" s="1" t="str">
        <f>IF(Table2[[#This Row],[Description]]="","",VLOOKUP(Table2[[#This Row],[Description]],$Q$1:$S$101,3,FALSE))</f>
        <v/>
      </c>
      <c r="I2109" s="1" t="str">
        <f>IF(Table2[[#This Row],[Description]]="","",IF(Table2[[#This Row],[Currency]]=$O$2,$P$2,HLOOKUP(Table2[[#This Row],[Date]],Funds!$C$10:$GV$11,2,FALSE)))</f>
        <v/>
      </c>
      <c r="J2109" s="215" t="str">
        <f>IF(Table2[[#This Row],[Description]]="","",Table2[[#This Row],[Value]]/Table2[[#This Row],[Conversion]])</f>
        <v/>
      </c>
      <c r="K2109" s="45" t="str">
        <f>IF(Table2[[#This Row],[Description]]="","",DATE(Table2[[#This Row],[Year]],Table2[[#This Row],[Month]],1))</f>
        <v/>
      </c>
    </row>
    <row r="2110" spans="7:11" x14ac:dyDescent="0.25">
      <c r="G2110" s="1" t="str">
        <f>IF(Table2[[#This Row],[Description]]="","",VLOOKUP(Table2[[#This Row],[Description]],$Q$1:$S$101,2,FALSE))</f>
        <v/>
      </c>
      <c r="H2110" s="1" t="str">
        <f>IF(Table2[[#This Row],[Description]]="","",VLOOKUP(Table2[[#This Row],[Description]],$Q$1:$S$101,3,FALSE))</f>
        <v/>
      </c>
      <c r="I2110" s="1" t="str">
        <f>IF(Table2[[#This Row],[Description]]="","",IF(Table2[[#This Row],[Currency]]=$O$2,$P$2,HLOOKUP(Table2[[#This Row],[Date]],Funds!$C$10:$GV$11,2,FALSE)))</f>
        <v/>
      </c>
      <c r="J2110" s="215" t="str">
        <f>IF(Table2[[#This Row],[Description]]="","",Table2[[#This Row],[Value]]/Table2[[#This Row],[Conversion]])</f>
        <v/>
      </c>
      <c r="K2110" s="45" t="str">
        <f>IF(Table2[[#This Row],[Description]]="","",DATE(Table2[[#This Row],[Year]],Table2[[#This Row],[Month]],1))</f>
        <v/>
      </c>
    </row>
    <row r="2111" spans="7:11" x14ac:dyDescent="0.25">
      <c r="G2111" s="1" t="str">
        <f>IF(Table2[[#This Row],[Description]]="","",VLOOKUP(Table2[[#This Row],[Description]],$Q$1:$S$101,2,FALSE))</f>
        <v/>
      </c>
      <c r="H2111" s="1" t="str">
        <f>IF(Table2[[#This Row],[Description]]="","",VLOOKUP(Table2[[#This Row],[Description]],$Q$1:$S$101,3,FALSE))</f>
        <v/>
      </c>
      <c r="I2111" s="1" t="str">
        <f>IF(Table2[[#This Row],[Description]]="","",IF(Table2[[#This Row],[Currency]]=$O$2,$P$2,HLOOKUP(Table2[[#This Row],[Date]],Funds!$C$10:$GV$11,2,FALSE)))</f>
        <v/>
      </c>
      <c r="J2111" s="215" t="str">
        <f>IF(Table2[[#This Row],[Description]]="","",Table2[[#This Row],[Value]]/Table2[[#This Row],[Conversion]])</f>
        <v/>
      </c>
      <c r="K2111" s="45" t="str">
        <f>IF(Table2[[#This Row],[Description]]="","",DATE(Table2[[#This Row],[Year]],Table2[[#This Row],[Month]],1))</f>
        <v/>
      </c>
    </row>
    <row r="2112" spans="7:11" x14ac:dyDescent="0.25">
      <c r="G2112" s="1" t="str">
        <f>IF(Table2[[#This Row],[Description]]="","",VLOOKUP(Table2[[#This Row],[Description]],$Q$1:$S$101,2,FALSE))</f>
        <v/>
      </c>
      <c r="H2112" s="1" t="str">
        <f>IF(Table2[[#This Row],[Description]]="","",VLOOKUP(Table2[[#This Row],[Description]],$Q$1:$S$101,3,FALSE))</f>
        <v/>
      </c>
      <c r="I2112" s="1" t="str">
        <f>IF(Table2[[#This Row],[Description]]="","",IF(Table2[[#This Row],[Currency]]=$O$2,$P$2,HLOOKUP(Table2[[#This Row],[Date]],Funds!$C$10:$GV$11,2,FALSE)))</f>
        <v/>
      </c>
      <c r="J2112" s="215" t="str">
        <f>IF(Table2[[#This Row],[Description]]="","",Table2[[#This Row],[Value]]/Table2[[#This Row],[Conversion]])</f>
        <v/>
      </c>
      <c r="K2112" s="45" t="str">
        <f>IF(Table2[[#This Row],[Description]]="","",DATE(Table2[[#This Row],[Year]],Table2[[#This Row],[Month]],1))</f>
        <v/>
      </c>
    </row>
    <row r="2113" spans="7:11" x14ac:dyDescent="0.25">
      <c r="G2113" s="1" t="str">
        <f>IF(Table2[[#This Row],[Description]]="","",VLOOKUP(Table2[[#This Row],[Description]],$Q$1:$S$101,2,FALSE))</f>
        <v/>
      </c>
      <c r="H2113" s="1" t="str">
        <f>IF(Table2[[#This Row],[Description]]="","",VLOOKUP(Table2[[#This Row],[Description]],$Q$1:$S$101,3,FALSE))</f>
        <v/>
      </c>
      <c r="I2113" s="1" t="str">
        <f>IF(Table2[[#This Row],[Description]]="","",IF(Table2[[#This Row],[Currency]]=$O$2,$P$2,HLOOKUP(Table2[[#This Row],[Date]],Funds!$C$10:$GV$11,2,FALSE)))</f>
        <v/>
      </c>
      <c r="J2113" s="215" t="str">
        <f>IF(Table2[[#This Row],[Description]]="","",Table2[[#This Row],[Value]]/Table2[[#This Row],[Conversion]])</f>
        <v/>
      </c>
      <c r="K2113" s="45" t="str">
        <f>IF(Table2[[#This Row],[Description]]="","",DATE(Table2[[#This Row],[Year]],Table2[[#This Row],[Month]],1))</f>
        <v/>
      </c>
    </row>
    <row r="2114" spans="7:11" x14ac:dyDescent="0.25">
      <c r="G2114" s="1" t="str">
        <f>IF(Table2[[#This Row],[Description]]="","",VLOOKUP(Table2[[#This Row],[Description]],$Q$1:$S$101,2,FALSE))</f>
        <v/>
      </c>
      <c r="H2114" s="1" t="str">
        <f>IF(Table2[[#This Row],[Description]]="","",VLOOKUP(Table2[[#This Row],[Description]],$Q$1:$S$101,3,FALSE))</f>
        <v/>
      </c>
      <c r="I2114" s="1" t="str">
        <f>IF(Table2[[#This Row],[Description]]="","",IF(Table2[[#This Row],[Currency]]=$O$2,$P$2,HLOOKUP(Table2[[#This Row],[Date]],Funds!$C$10:$GV$11,2,FALSE)))</f>
        <v/>
      </c>
      <c r="J2114" s="215" t="str">
        <f>IF(Table2[[#This Row],[Description]]="","",Table2[[#This Row],[Value]]/Table2[[#This Row],[Conversion]])</f>
        <v/>
      </c>
      <c r="K2114" s="45" t="str">
        <f>IF(Table2[[#This Row],[Description]]="","",DATE(Table2[[#This Row],[Year]],Table2[[#This Row],[Month]],1))</f>
        <v/>
      </c>
    </row>
    <row r="2115" spans="7:11" x14ac:dyDescent="0.25">
      <c r="G2115" s="1" t="str">
        <f>IF(Table2[[#This Row],[Description]]="","",VLOOKUP(Table2[[#This Row],[Description]],$Q$1:$S$101,2,FALSE))</f>
        <v/>
      </c>
      <c r="H2115" s="1" t="str">
        <f>IF(Table2[[#This Row],[Description]]="","",VLOOKUP(Table2[[#This Row],[Description]],$Q$1:$S$101,3,FALSE))</f>
        <v/>
      </c>
      <c r="I2115" s="1" t="str">
        <f>IF(Table2[[#This Row],[Description]]="","",IF(Table2[[#This Row],[Currency]]=$O$2,$P$2,HLOOKUP(Table2[[#This Row],[Date]],Funds!$C$10:$GV$11,2,FALSE)))</f>
        <v/>
      </c>
      <c r="J2115" s="215" t="str">
        <f>IF(Table2[[#This Row],[Description]]="","",Table2[[#This Row],[Value]]/Table2[[#This Row],[Conversion]])</f>
        <v/>
      </c>
      <c r="K2115" s="45" t="str">
        <f>IF(Table2[[#This Row],[Description]]="","",DATE(Table2[[#This Row],[Year]],Table2[[#This Row],[Month]],1))</f>
        <v/>
      </c>
    </row>
    <row r="2116" spans="7:11" x14ac:dyDescent="0.25">
      <c r="G2116" s="1" t="str">
        <f>IF(Table2[[#This Row],[Description]]="","",VLOOKUP(Table2[[#This Row],[Description]],$Q$1:$S$101,2,FALSE))</f>
        <v/>
      </c>
      <c r="H2116" s="1" t="str">
        <f>IF(Table2[[#This Row],[Description]]="","",VLOOKUP(Table2[[#This Row],[Description]],$Q$1:$S$101,3,FALSE))</f>
        <v/>
      </c>
      <c r="I2116" s="1" t="str">
        <f>IF(Table2[[#This Row],[Description]]="","",IF(Table2[[#This Row],[Currency]]=$O$2,$P$2,HLOOKUP(Table2[[#This Row],[Date]],Funds!$C$10:$GV$11,2,FALSE)))</f>
        <v/>
      </c>
      <c r="J2116" s="215" t="str">
        <f>IF(Table2[[#This Row],[Description]]="","",Table2[[#This Row],[Value]]/Table2[[#This Row],[Conversion]])</f>
        <v/>
      </c>
      <c r="K2116" s="45" t="str">
        <f>IF(Table2[[#This Row],[Description]]="","",DATE(Table2[[#This Row],[Year]],Table2[[#This Row],[Month]],1))</f>
        <v/>
      </c>
    </row>
    <row r="2117" spans="7:11" x14ac:dyDescent="0.25">
      <c r="G2117" s="1" t="str">
        <f>IF(Table2[[#This Row],[Description]]="","",VLOOKUP(Table2[[#This Row],[Description]],$Q$1:$S$101,2,FALSE))</f>
        <v/>
      </c>
      <c r="H2117" s="1" t="str">
        <f>IF(Table2[[#This Row],[Description]]="","",VLOOKUP(Table2[[#This Row],[Description]],$Q$1:$S$101,3,FALSE))</f>
        <v/>
      </c>
      <c r="I2117" s="1" t="str">
        <f>IF(Table2[[#This Row],[Description]]="","",IF(Table2[[#This Row],[Currency]]=$O$2,$P$2,HLOOKUP(Table2[[#This Row],[Date]],Funds!$C$10:$GV$11,2,FALSE)))</f>
        <v/>
      </c>
      <c r="J2117" s="215" t="str">
        <f>IF(Table2[[#This Row],[Description]]="","",Table2[[#This Row],[Value]]/Table2[[#This Row],[Conversion]])</f>
        <v/>
      </c>
      <c r="K2117" s="45" t="str">
        <f>IF(Table2[[#This Row],[Description]]="","",DATE(Table2[[#This Row],[Year]],Table2[[#This Row],[Month]],1))</f>
        <v/>
      </c>
    </row>
    <row r="2118" spans="7:11" x14ac:dyDescent="0.25">
      <c r="G2118" s="1" t="str">
        <f>IF(Table2[[#This Row],[Description]]="","",VLOOKUP(Table2[[#This Row],[Description]],$Q$1:$S$101,2,FALSE))</f>
        <v/>
      </c>
      <c r="H2118" s="1" t="str">
        <f>IF(Table2[[#This Row],[Description]]="","",VLOOKUP(Table2[[#This Row],[Description]],$Q$1:$S$101,3,FALSE))</f>
        <v/>
      </c>
      <c r="I2118" s="1" t="str">
        <f>IF(Table2[[#This Row],[Description]]="","",IF(Table2[[#This Row],[Currency]]=$O$2,$P$2,HLOOKUP(Table2[[#This Row],[Date]],Funds!$C$10:$GV$11,2,FALSE)))</f>
        <v/>
      </c>
      <c r="J2118" s="215" t="str">
        <f>IF(Table2[[#This Row],[Description]]="","",Table2[[#This Row],[Value]]/Table2[[#This Row],[Conversion]])</f>
        <v/>
      </c>
      <c r="K2118" s="45" t="str">
        <f>IF(Table2[[#This Row],[Description]]="","",DATE(Table2[[#This Row],[Year]],Table2[[#This Row],[Month]],1))</f>
        <v/>
      </c>
    </row>
    <row r="2119" spans="7:11" x14ac:dyDescent="0.25">
      <c r="G2119" s="1" t="str">
        <f>IF(Table2[[#This Row],[Description]]="","",VLOOKUP(Table2[[#This Row],[Description]],$Q$1:$S$101,2,FALSE))</f>
        <v/>
      </c>
      <c r="H2119" s="1" t="str">
        <f>IF(Table2[[#This Row],[Description]]="","",VLOOKUP(Table2[[#This Row],[Description]],$Q$1:$S$101,3,FALSE))</f>
        <v/>
      </c>
      <c r="I2119" s="1" t="str">
        <f>IF(Table2[[#This Row],[Description]]="","",IF(Table2[[#This Row],[Currency]]=$O$2,$P$2,HLOOKUP(Table2[[#This Row],[Date]],Funds!$C$10:$GV$11,2,FALSE)))</f>
        <v/>
      </c>
      <c r="J2119" s="215" t="str">
        <f>IF(Table2[[#This Row],[Description]]="","",Table2[[#This Row],[Value]]/Table2[[#This Row],[Conversion]])</f>
        <v/>
      </c>
      <c r="K2119" s="45" t="str">
        <f>IF(Table2[[#This Row],[Description]]="","",DATE(Table2[[#This Row],[Year]],Table2[[#This Row],[Month]],1))</f>
        <v/>
      </c>
    </row>
    <row r="2120" spans="7:11" x14ac:dyDescent="0.25">
      <c r="G2120" s="1" t="str">
        <f>IF(Table2[[#This Row],[Description]]="","",VLOOKUP(Table2[[#This Row],[Description]],$Q$1:$S$101,2,FALSE))</f>
        <v/>
      </c>
      <c r="H2120" s="1" t="str">
        <f>IF(Table2[[#This Row],[Description]]="","",VLOOKUP(Table2[[#This Row],[Description]],$Q$1:$S$101,3,FALSE))</f>
        <v/>
      </c>
      <c r="I2120" s="1" t="str">
        <f>IF(Table2[[#This Row],[Description]]="","",IF(Table2[[#This Row],[Currency]]=$O$2,$P$2,HLOOKUP(Table2[[#This Row],[Date]],Funds!$C$10:$GV$11,2,FALSE)))</f>
        <v/>
      </c>
      <c r="J2120" s="215" t="str">
        <f>IF(Table2[[#This Row],[Description]]="","",Table2[[#This Row],[Value]]/Table2[[#This Row],[Conversion]])</f>
        <v/>
      </c>
      <c r="K2120" s="45" t="str">
        <f>IF(Table2[[#This Row],[Description]]="","",DATE(Table2[[#This Row],[Year]],Table2[[#This Row],[Month]],1))</f>
        <v/>
      </c>
    </row>
    <row r="2121" spans="7:11" x14ac:dyDescent="0.25">
      <c r="G2121" s="1" t="str">
        <f>IF(Table2[[#This Row],[Description]]="","",VLOOKUP(Table2[[#This Row],[Description]],$Q$1:$S$101,2,FALSE))</f>
        <v/>
      </c>
      <c r="H2121" s="1" t="str">
        <f>IF(Table2[[#This Row],[Description]]="","",VLOOKUP(Table2[[#This Row],[Description]],$Q$1:$S$101,3,FALSE))</f>
        <v/>
      </c>
      <c r="I2121" s="1" t="str">
        <f>IF(Table2[[#This Row],[Description]]="","",IF(Table2[[#This Row],[Currency]]=$O$2,$P$2,HLOOKUP(Table2[[#This Row],[Date]],Funds!$C$10:$GV$11,2,FALSE)))</f>
        <v/>
      </c>
      <c r="J2121" s="215" t="str">
        <f>IF(Table2[[#This Row],[Description]]="","",Table2[[#This Row],[Value]]/Table2[[#This Row],[Conversion]])</f>
        <v/>
      </c>
      <c r="K2121" s="45" t="str">
        <f>IF(Table2[[#This Row],[Description]]="","",DATE(Table2[[#This Row],[Year]],Table2[[#This Row],[Month]],1))</f>
        <v/>
      </c>
    </row>
    <row r="2122" spans="7:11" x14ac:dyDescent="0.25">
      <c r="G2122" s="1" t="str">
        <f>IF(Table2[[#This Row],[Description]]="","",VLOOKUP(Table2[[#This Row],[Description]],$Q$1:$S$101,2,FALSE))</f>
        <v/>
      </c>
      <c r="H2122" s="1" t="str">
        <f>IF(Table2[[#This Row],[Description]]="","",VLOOKUP(Table2[[#This Row],[Description]],$Q$1:$S$101,3,FALSE))</f>
        <v/>
      </c>
      <c r="I2122" s="1" t="str">
        <f>IF(Table2[[#This Row],[Description]]="","",IF(Table2[[#This Row],[Currency]]=$O$2,$P$2,HLOOKUP(Table2[[#This Row],[Date]],Funds!$C$10:$GV$11,2,FALSE)))</f>
        <v/>
      </c>
      <c r="J2122" s="215" t="str">
        <f>IF(Table2[[#This Row],[Description]]="","",Table2[[#This Row],[Value]]/Table2[[#This Row],[Conversion]])</f>
        <v/>
      </c>
      <c r="K2122" s="45" t="str">
        <f>IF(Table2[[#This Row],[Description]]="","",DATE(Table2[[#This Row],[Year]],Table2[[#This Row],[Month]],1))</f>
        <v/>
      </c>
    </row>
    <row r="2123" spans="7:11" x14ac:dyDescent="0.25">
      <c r="G2123" s="1" t="str">
        <f>IF(Table2[[#This Row],[Description]]="","",VLOOKUP(Table2[[#This Row],[Description]],$Q$1:$S$101,2,FALSE))</f>
        <v/>
      </c>
      <c r="H2123" s="1" t="str">
        <f>IF(Table2[[#This Row],[Description]]="","",VLOOKUP(Table2[[#This Row],[Description]],$Q$1:$S$101,3,FALSE))</f>
        <v/>
      </c>
      <c r="I2123" s="1" t="str">
        <f>IF(Table2[[#This Row],[Description]]="","",IF(Table2[[#This Row],[Currency]]=$O$2,$P$2,HLOOKUP(Table2[[#This Row],[Date]],Funds!$C$10:$GV$11,2,FALSE)))</f>
        <v/>
      </c>
      <c r="J2123" s="215" t="str">
        <f>IF(Table2[[#This Row],[Description]]="","",Table2[[#This Row],[Value]]/Table2[[#This Row],[Conversion]])</f>
        <v/>
      </c>
      <c r="K2123" s="45" t="str">
        <f>IF(Table2[[#This Row],[Description]]="","",DATE(Table2[[#This Row],[Year]],Table2[[#This Row],[Month]],1))</f>
        <v/>
      </c>
    </row>
    <row r="2124" spans="7:11" x14ac:dyDescent="0.25">
      <c r="G2124" s="1" t="str">
        <f>IF(Table2[[#This Row],[Description]]="","",VLOOKUP(Table2[[#This Row],[Description]],$Q$1:$S$101,2,FALSE))</f>
        <v/>
      </c>
      <c r="H2124" s="1" t="str">
        <f>IF(Table2[[#This Row],[Description]]="","",VLOOKUP(Table2[[#This Row],[Description]],$Q$1:$S$101,3,FALSE))</f>
        <v/>
      </c>
      <c r="I2124" s="1" t="str">
        <f>IF(Table2[[#This Row],[Description]]="","",IF(Table2[[#This Row],[Currency]]=$O$2,$P$2,HLOOKUP(Table2[[#This Row],[Date]],Funds!$C$10:$GV$11,2,FALSE)))</f>
        <v/>
      </c>
      <c r="J2124" s="215" t="str">
        <f>IF(Table2[[#This Row],[Description]]="","",Table2[[#This Row],[Value]]/Table2[[#This Row],[Conversion]])</f>
        <v/>
      </c>
      <c r="K2124" s="45" t="str">
        <f>IF(Table2[[#This Row],[Description]]="","",DATE(Table2[[#This Row],[Year]],Table2[[#This Row],[Month]],1))</f>
        <v/>
      </c>
    </row>
    <row r="2125" spans="7:11" x14ac:dyDescent="0.25">
      <c r="G2125" s="1" t="str">
        <f>IF(Table2[[#This Row],[Description]]="","",VLOOKUP(Table2[[#This Row],[Description]],$Q$1:$S$101,2,FALSE))</f>
        <v/>
      </c>
      <c r="H2125" s="1" t="str">
        <f>IF(Table2[[#This Row],[Description]]="","",VLOOKUP(Table2[[#This Row],[Description]],$Q$1:$S$101,3,FALSE))</f>
        <v/>
      </c>
      <c r="I2125" s="1" t="str">
        <f>IF(Table2[[#This Row],[Description]]="","",IF(Table2[[#This Row],[Currency]]=$O$2,$P$2,HLOOKUP(Table2[[#This Row],[Date]],Funds!$C$10:$GV$11,2,FALSE)))</f>
        <v/>
      </c>
      <c r="J2125" s="215" t="str">
        <f>IF(Table2[[#This Row],[Description]]="","",Table2[[#This Row],[Value]]/Table2[[#This Row],[Conversion]])</f>
        <v/>
      </c>
      <c r="K2125" s="45" t="str">
        <f>IF(Table2[[#This Row],[Description]]="","",DATE(Table2[[#This Row],[Year]],Table2[[#This Row],[Month]],1))</f>
        <v/>
      </c>
    </row>
    <row r="2126" spans="7:11" x14ac:dyDescent="0.25">
      <c r="G2126" s="1" t="str">
        <f>IF(Table2[[#This Row],[Description]]="","",VLOOKUP(Table2[[#This Row],[Description]],$Q$1:$S$101,2,FALSE))</f>
        <v/>
      </c>
      <c r="H2126" s="1" t="str">
        <f>IF(Table2[[#This Row],[Description]]="","",VLOOKUP(Table2[[#This Row],[Description]],$Q$1:$S$101,3,FALSE))</f>
        <v/>
      </c>
      <c r="I2126" s="1" t="str">
        <f>IF(Table2[[#This Row],[Description]]="","",IF(Table2[[#This Row],[Currency]]=$O$2,$P$2,HLOOKUP(Table2[[#This Row],[Date]],Funds!$C$10:$GV$11,2,FALSE)))</f>
        <v/>
      </c>
      <c r="J2126" s="215" t="str">
        <f>IF(Table2[[#This Row],[Description]]="","",Table2[[#This Row],[Value]]/Table2[[#This Row],[Conversion]])</f>
        <v/>
      </c>
      <c r="K2126" s="45" t="str">
        <f>IF(Table2[[#This Row],[Description]]="","",DATE(Table2[[#This Row],[Year]],Table2[[#This Row],[Month]],1))</f>
        <v/>
      </c>
    </row>
    <row r="2127" spans="7:11" x14ac:dyDescent="0.25">
      <c r="G2127" s="1" t="str">
        <f>IF(Table2[[#This Row],[Description]]="","",VLOOKUP(Table2[[#This Row],[Description]],$Q$1:$S$101,2,FALSE))</f>
        <v/>
      </c>
      <c r="H2127" s="1" t="str">
        <f>IF(Table2[[#This Row],[Description]]="","",VLOOKUP(Table2[[#This Row],[Description]],$Q$1:$S$101,3,FALSE))</f>
        <v/>
      </c>
      <c r="I2127" s="1" t="str">
        <f>IF(Table2[[#This Row],[Description]]="","",IF(Table2[[#This Row],[Currency]]=$O$2,$P$2,HLOOKUP(Table2[[#This Row],[Date]],Funds!$C$10:$GV$11,2,FALSE)))</f>
        <v/>
      </c>
      <c r="J2127" s="215" t="str">
        <f>IF(Table2[[#This Row],[Description]]="","",Table2[[#This Row],[Value]]/Table2[[#This Row],[Conversion]])</f>
        <v/>
      </c>
      <c r="K2127" s="45" t="str">
        <f>IF(Table2[[#This Row],[Description]]="","",DATE(Table2[[#This Row],[Year]],Table2[[#This Row],[Month]],1))</f>
        <v/>
      </c>
    </row>
    <row r="2128" spans="7:11" x14ac:dyDescent="0.25">
      <c r="G2128" s="1" t="str">
        <f>IF(Table2[[#This Row],[Description]]="","",VLOOKUP(Table2[[#This Row],[Description]],$Q$1:$S$101,2,FALSE))</f>
        <v/>
      </c>
      <c r="H2128" s="1" t="str">
        <f>IF(Table2[[#This Row],[Description]]="","",VLOOKUP(Table2[[#This Row],[Description]],$Q$1:$S$101,3,FALSE))</f>
        <v/>
      </c>
      <c r="I2128" s="1" t="str">
        <f>IF(Table2[[#This Row],[Description]]="","",IF(Table2[[#This Row],[Currency]]=$O$2,$P$2,HLOOKUP(Table2[[#This Row],[Date]],Funds!$C$10:$GV$11,2,FALSE)))</f>
        <v/>
      </c>
      <c r="J2128" s="215" t="str">
        <f>IF(Table2[[#This Row],[Description]]="","",Table2[[#This Row],[Value]]/Table2[[#This Row],[Conversion]])</f>
        <v/>
      </c>
      <c r="K2128" s="45" t="str">
        <f>IF(Table2[[#This Row],[Description]]="","",DATE(Table2[[#This Row],[Year]],Table2[[#This Row],[Month]],1))</f>
        <v/>
      </c>
    </row>
    <row r="2129" spans="7:11" x14ac:dyDescent="0.25">
      <c r="G2129" s="1" t="str">
        <f>IF(Table2[[#This Row],[Description]]="","",VLOOKUP(Table2[[#This Row],[Description]],$Q$1:$S$101,2,FALSE))</f>
        <v/>
      </c>
      <c r="H2129" s="1" t="str">
        <f>IF(Table2[[#This Row],[Description]]="","",VLOOKUP(Table2[[#This Row],[Description]],$Q$1:$S$101,3,FALSE))</f>
        <v/>
      </c>
      <c r="I2129" s="1" t="str">
        <f>IF(Table2[[#This Row],[Description]]="","",IF(Table2[[#This Row],[Currency]]=$O$2,$P$2,HLOOKUP(Table2[[#This Row],[Date]],Funds!$C$10:$GV$11,2,FALSE)))</f>
        <v/>
      </c>
      <c r="J2129" s="215" t="str">
        <f>IF(Table2[[#This Row],[Description]]="","",Table2[[#This Row],[Value]]/Table2[[#This Row],[Conversion]])</f>
        <v/>
      </c>
      <c r="K2129" s="45" t="str">
        <f>IF(Table2[[#This Row],[Description]]="","",DATE(Table2[[#This Row],[Year]],Table2[[#This Row],[Month]],1))</f>
        <v/>
      </c>
    </row>
    <row r="2130" spans="7:11" x14ac:dyDescent="0.25">
      <c r="G2130" s="1" t="str">
        <f>IF(Table2[[#This Row],[Description]]="","",VLOOKUP(Table2[[#This Row],[Description]],$Q$1:$S$101,2,FALSE))</f>
        <v/>
      </c>
      <c r="H2130" s="1" t="str">
        <f>IF(Table2[[#This Row],[Description]]="","",VLOOKUP(Table2[[#This Row],[Description]],$Q$1:$S$101,3,FALSE))</f>
        <v/>
      </c>
      <c r="I2130" s="1" t="str">
        <f>IF(Table2[[#This Row],[Description]]="","",IF(Table2[[#This Row],[Currency]]=$O$2,$P$2,HLOOKUP(Table2[[#This Row],[Date]],Funds!$C$10:$GV$11,2,FALSE)))</f>
        <v/>
      </c>
      <c r="J2130" s="215" t="str">
        <f>IF(Table2[[#This Row],[Description]]="","",Table2[[#This Row],[Value]]/Table2[[#This Row],[Conversion]])</f>
        <v/>
      </c>
      <c r="K2130" s="45" t="str">
        <f>IF(Table2[[#This Row],[Description]]="","",DATE(Table2[[#This Row],[Year]],Table2[[#This Row],[Month]],1))</f>
        <v/>
      </c>
    </row>
    <row r="2131" spans="7:11" x14ac:dyDescent="0.25">
      <c r="G2131" s="1" t="str">
        <f>IF(Table2[[#This Row],[Description]]="","",VLOOKUP(Table2[[#This Row],[Description]],$Q$1:$S$101,2,FALSE))</f>
        <v/>
      </c>
      <c r="H2131" s="1" t="str">
        <f>IF(Table2[[#This Row],[Description]]="","",VLOOKUP(Table2[[#This Row],[Description]],$Q$1:$S$101,3,FALSE))</f>
        <v/>
      </c>
      <c r="I2131" s="1" t="str">
        <f>IF(Table2[[#This Row],[Description]]="","",IF(Table2[[#This Row],[Currency]]=$O$2,$P$2,HLOOKUP(Table2[[#This Row],[Date]],Funds!$C$10:$GV$11,2,FALSE)))</f>
        <v/>
      </c>
      <c r="J2131" s="215" t="str">
        <f>IF(Table2[[#This Row],[Description]]="","",Table2[[#This Row],[Value]]/Table2[[#This Row],[Conversion]])</f>
        <v/>
      </c>
      <c r="K2131" s="45" t="str">
        <f>IF(Table2[[#This Row],[Description]]="","",DATE(Table2[[#This Row],[Year]],Table2[[#This Row],[Month]],1))</f>
        <v/>
      </c>
    </row>
    <row r="2132" spans="7:11" x14ac:dyDescent="0.25">
      <c r="G2132" s="1" t="str">
        <f>IF(Table2[[#This Row],[Description]]="","",VLOOKUP(Table2[[#This Row],[Description]],$Q$1:$S$101,2,FALSE))</f>
        <v/>
      </c>
      <c r="H2132" s="1" t="str">
        <f>IF(Table2[[#This Row],[Description]]="","",VLOOKUP(Table2[[#This Row],[Description]],$Q$1:$S$101,3,FALSE))</f>
        <v/>
      </c>
      <c r="I2132" s="1" t="str">
        <f>IF(Table2[[#This Row],[Description]]="","",IF(Table2[[#This Row],[Currency]]=$O$2,$P$2,HLOOKUP(Table2[[#This Row],[Date]],Funds!$C$10:$GV$11,2,FALSE)))</f>
        <v/>
      </c>
      <c r="J2132" s="215" t="str">
        <f>IF(Table2[[#This Row],[Description]]="","",Table2[[#This Row],[Value]]/Table2[[#This Row],[Conversion]])</f>
        <v/>
      </c>
      <c r="K2132" s="45" t="str">
        <f>IF(Table2[[#This Row],[Description]]="","",DATE(Table2[[#This Row],[Year]],Table2[[#This Row],[Month]],1))</f>
        <v/>
      </c>
    </row>
    <row r="2133" spans="7:11" x14ac:dyDescent="0.25">
      <c r="G2133" s="1" t="str">
        <f>IF(Table2[[#This Row],[Description]]="","",VLOOKUP(Table2[[#This Row],[Description]],$Q$1:$S$101,2,FALSE))</f>
        <v/>
      </c>
      <c r="H2133" s="1" t="str">
        <f>IF(Table2[[#This Row],[Description]]="","",VLOOKUP(Table2[[#This Row],[Description]],$Q$1:$S$101,3,FALSE))</f>
        <v/>
      </c>
      <c r="I2133" s="1" t="str">
        <f>IF(Table2[[#This Row],[Description]]="","",IF(Table2[[#This Row],[Currency]]=$O$2,$P$2,HLOOKUP(Table2[[#This Row],[Date]],Funds!$C$10:$GV$11,2,FALSE)))</f>
        <v/>
      </c>
      <c r="J2133" s="215" t="str">
        <f>IF(Table2[[#This Row],[Description]]="","",Table2[[#This Row],[Value]]/Table2[[#This Row],[Conversion]])</f>
        <v/>
      </c>
      <c r="K2133" s="45" t="str">
        <f>IF(Table2[[#This Row],[Description]]="","",DATE(Table2[[#This Row],[Year]],Table2[[#This Row],[Month]],1))</f>
        <v/>
      </c>
    </row>
    <row r="2134" spans="7:11" x14ac:dyDescent="0.25">
      <c r="G2134" s="1" t="str">
        <f>IF(Table2[[#This Row],[Description]]="","",VLOOKUP(Table2[[#This Row],[Description]],$Q$1:$S$101,2,FALSE))</f>
        <v/>
      </c>
      <c r="H2134" s="1" t="str">
        <f>IF(Table2[[#This Row],[Description]]="","",VLOOKUP(Table2[[#This Row],[Description]],$Q$1:$S$101,3,FALSE))</f>
        <v/>
      </c>
      <c r="I2134" s="1" t="str">
        <f>IF(Table2[[#This Row],[Description]]="","",IF(Table2[[#This Row],[Currency]]=$O$2,$P$2,HLOOKUP(Table2[[#This Row],[Date]],Funds!$C$10:$GV$11,2,FALSE)))</f>
        <v/>
      </c>
      <c r="J2134" s="215" t="str">
        <f>IF(Table2[[#This Row],[Description]]="","",Table2[[#This Row],[Value]]/Table2[[#This Row],[Conversion]])</f>
        <v/>
      </c>
      <c r="K2134" s="45" t="str">
        <f>IF(Table2[[#This Row],[Description]]="","",DATE(Table2[[#This Row],[Year]],Table2[[#This Row],[Month]],1))</f>
        <v/>
      </c>
    </row>
    <row r="2135" spans="7:11" x14ac:dyDescent="0.25">
      <c r="G2135" s="1" t="str">
        <f>IF(Table2[[#This Row],[Description]]="","",VLOOKUP(Table2[[#This Row],[Description]],$Q$1:$S$101,2,FALSE))</f>
        <v/>
      </c>
      <c r="H2135" s="1" t="str">
        <f>IF(Table2[[#This Row],[Description]]="","",VLOOKUP(Table2[[#This Row],[Description]],$Q$1:$S$101,3,FALSE))</f>
        <v/>
      </c>
      <c r="I2135" s="1" t="str">
        <f>IF(Table2[[#This Row],[Description]]="","",IF(Table2[[#This Row],[Currency]]=$O$2,$P$2,HLOOKUP(Table2[[#This Row],[Date]],Funds!$C$10:$GV$11,2,FALSE)))</f>
        <v/>
      </c>
      <c r="J2135" s="215" t="str">
        <f>IF(Table2[[#This Row],[Description]]="","",Table2[[#This Row],[Value]]/Table2[[#This Row],[Conversion]])</f>
        <v/>
      </c>
      <c r="K2135" s="45" t="str">
        <f>IF(Table2[[#This Row],[Description]]="","",DATE(Table2[[#This Row],[Year]],Table2[[#This Row],[Month]],1))</f>
        <v/>
      </c>
    </row>
    <row r="2136" spans="7:11" x14ac:dyDescent="0.25">
      <c r="G2136" s="1" t="str">
        <f>IF(Table2[[#This Row],[Description]]="","",VLOOKUP(Table2[[#This Row],[Description]],$Q$1:$S$101,2,FALSE))</f>
        <v/>
      </c>
      <c r="H2136" s="1" t="str">
        <f>IF(Table2[[#This Row],[Description]]="","",VLOOKUP(Table2[[#This Row],[Description]],$Q$1:$S$101,3,FALSE))</f>
        <v/>
      </c>
      <c r="I2136" s="1" t="str">
        <f>IF(Table2[[#This Row],[Description]]="","",IF(Table2[[#This Row],[Currency]]=$O$2,$P$2,HLOOKUP(Table2[[#This Row],[Date]],Funds!$C$10:$GV$11,2,FALSE)))</f>
        <v/>
      </c>
      <c r="J2136" s="215" t="str">
        <f>IF(Table2[[#This Row],[Description]]="","",Table2[[#This Row],[Value]]/Table2[[#This Row],[Conversion]])</f>
        <v/>
      </c>
      <c r="K2136" s="45" t="str">
        <f>IF(Table2[[#This Row],[Description]]="","",DATE(Table2[[#This Row],[Year]],Table2[[#This Row],[Month]],1))</f>
        <v/>
      </c>
    </row>
    <row r="2137" spans="7:11" x14ac:dyDescent="0.25">
      <c r="G2137" s="1" t="str">
        <f>IF(Table2[[#This Row],[Description]]="","",VLOOKUP(Table2[[#This Row],[Description]],$Q$1:$S$101,2,FALSE))</f>
        <v/>
      </c>
      <c r="H2137" s="1" t="str">
        <f>IF(Table2[[#This Row],[Description]]="","",VLOOKUP(Table2[[#This Row],[Description]],$Q$1:$S$101,3,FALSE))</f>
        <v/>
      </c>
      <c r="I2137" s="1" t="str">
        <f>IF(Table2[[#This Row],[Description]]="","",IF(Table2[[#This Row],[Currency]]=$O$2,$P$2,HLOOKUP(Table2[[#This Row],[Date]],Funds!$C$10:$GV$11,2,FALSE)))</f>
        <v/>
      </c>
      <c r="J2137" s="215" t="str">
        <f>IF(Table2[[#This Row],[Description]]="","",Table2[[#This Row],[Value]]/Table2[[#This Row],[Conversion]])</f>
        <v/>
      </c>
      <c r="K2137" s="45" t="str">
        <f>IF(Table2[[#This Row],[Description]]="","",DATE(Table2[[#This Row],[Year]],Table2[[#This Row],[Month]],1))</f>
        <v/>
      </c>
    </row>
    <row r="2138" spans="7:11" x14ac:dyDescent="0.25">
      <c r="G2138" s="1" t="str">
        <f>IF(Table2[[#This Row],[Description]]="","",VLOOKUP(Table2[[#This Row],[Description]],$Q$1:$S$101,2,FALSE))</f>
        <v/>
      </c>
      <c r="H2138" s="1" t="str">
        <f>IF(Table2[[#This Row],[Description]]="","",VLOOKUP(Table2[[#This Row],[Description]],$Q$1:$S$101,3,FALSE))</f>
        <v/>
      </c>
      <c r="I2138" s="1" t="str">
        <f>IF(Table2[[#This Row],[Description]]="","",IF(Table2[[#This Row],[Currency]]=$O$2,$P$2,HLOOKUP(Table2[[#This Row],[Date]],Funds!$C$10:$GV$11,2,FALSE)))</f>
        <v/>
      </c>
      <c r="J2138" s="215" t="str">
        <f>IF(Table2[[#This Row],[Description]]="","",Table2[[#This Row],[Value]]/Table2[[#This Row],[Conversion]])</f>
        <v/>
      </c>
      <c r="K2138" s="45" t="str">
        <f>IF(Table2[[#This Row],[Description]]="","",DATE(Table2[[#This Row],[Year]],Table2[[#This Row],[Month]],1))</f>
        <v/>
      </c>
    </row>
    <row r="2139" spans="7:11" x14ac:dyDescent="0.25">
      <c r="G2139" s="1" t="str">
        <f>IF(Table2[[#This Row],[Description]]="","",VLOOKUP(Table2[[#This Row],[Description]],$Q$1:$S$101,2,FALSE))</f>
        <v/>
      </c>
      <c r="H2139" s="1" t="str">
        <f>IF(Table2[[#This Row],[Description]]="","",VLOOKUP(Table2[[#This Row],[Description]],$Q$1:$S$101,3,FALSE))</f>
        <v/>
      </c>
      <c r="I2139" s="1" t="str">
        <f>IF(Table2[[#This Row],[Description]]="","",IF(Table2[[#This Row],[Currency]]=$O$2,$P$2,HLOOKUP(Table2[[#This Row],[Date]],Funds!$C$10:$GV$11,2,FALSE)))</f>
        <v/>
      </c>
      <c r="J2139" s="215" t="str">
        <f>IF(Table2[[#This Row],[Description]]="","",Table2[[#This Row],[Value]]/Table2[[#This Row],[Conversion]])</f>
        <v/>
      </c>
      <c r="K2139" s="45" t="str">
        <f>IF(Table2[[#This Row],[Description]]="","",DATE(Table2[[#This Row],[Year]],Table2[[#This Row],[Month]],1))</f>
        <v/>
      </c>
    </row>
    <row r="2140" spans="7:11" x14ac:dyDescent="0.25">
      <c r="G2140" s="1" t="str">
        <f>IF(Table2[[#This Row],[Description]]="","",VLOOKUP(Table2[[#This Row],[Description]],$Q$1:$S$101,2,FALSE))</f>
        <v/>
      </c>
      <c r="H2140" s="1" t="str">
        <f>IF(Table2[[#This Row],[Description]]="","",VLOOKUP(Table2[[#This Row],[Description]],$Q$1:$S$101,3,FALSE))</f>
        <v/>
      </c>
      <c r="I2140" s="1" t="str">
        <f>IF(Table2[[#This Row],[Description]]="","",IF(Table2[[#This Row],[Currency]]=$O$2,$P$2,HLOOKUP(Table2[[#This Row],[Date]],Funds!$C$10:$GV$11,2,FALSE)))</f>
        <v/>
      </c>
      <c r="J2140" s="215" t="str">
        <f>IF(Table2[[#This Row],[Description]]="","",Table2[[#This Row],[Value]]/Table2[[#This Row],[Conversion]])</f>
        <v/>
      </c>
      <c r="K2140" s="45" t="str">
        <f>IF(Table2[[#This Row],[Description]]="","",DATE(Table2[[#This Row],[Year]],Table2[[#This Row],[Month]],1))</f>
        <v/>
      </c>
    </row>
    <row r="2141" spans="7:11" x14ac:dyDescent="0.25">
      <c r="G2141" s="1" t="str">
        <f>IF(Table2[[#This Row],[Description]]="","",VLOOKUP(Table2[[#This Row],[Description]],$Q$1:$S$101,2,FALSE))</f>
        <v/>
      </c>
      <c r="H2141" s="1" t="str">
        <f>IF(Table2[[#This Row],[Description]]="","",VLOOKUP(Table2[[#This Row],[Description]],$Q$1:$S$101,3,FALSE))</f>
        <v/>
      </c>
      <c r="I2141" s="1" t="str">
        <f>IF(Table2[[#This Row],[Description]]="","",IF(Table2[[#This Row],[Currency]]=$O$2,$P$2,HLOOKUP(Table2[[#This Row],[Date]],Funds!$C$10:$GV$11,2,FALSE)))</f>
        <v/>
      </c>
      <c r="J2141" s="215" t="str">
        <f>IF(Table2[[#This Row],[Description]]="","",Table2[[#This Row],[Value]]/Table2[[#This Row],[Conversion]])</f>
        <v/>
      </c>
      <c r="K2141" s="45" t="str">
        <f>IF(Table2[[#This Row],[Description]]="","",DATE(Table2[[#This Row],[Year]],Table2[[#This Row],[Month]],1))</f>
        <v/>
      </c>
    </row>
    <row r="2142" spans="7:11" x14ac:dyDescent="0.25">
      <c r="G2142" s="1" t="str">
        <f>IF(Table2[[#This Row],[Description]]="","",VLOOKUP(Table2[[#This Row],[Description]],$Q$1:$S$101,2,FALSE))</f>
        <v/>
      </c>
      <c r="H2142" s="1" t="str">
        <f>IF(Table2[[#This Row],[Description]]="","",VLOOKUP(Table2[[#This Row],[Description]],$Q$1:$S$101,3,FALSE))</f>
        <v/>
      </c>
      <c r="I2142" s="1" t="str">
        <f>IF(Table2[[#This Row],[Description]]="","",IF(Table2[[#This Row],[Currency]]=$O$2,$P$2,HLOOKUP(Table2[[#This Row],[Date]],Funds!$C$10:$GV$11,2,FALSE)))</f>
        <v/>
      </c>
      <c r="J2142" s="215" t="str">
        <f>IF(Table2[[#This Row],[Description]]="","",Table2[[#This Row],[Value]]/Table2[[#This Row],[Conversion]])</f>
        <v/>
      </c>
      <c r="K2142" s="45" t="str">
        <f>IF(Table2[[#This Row],[Description]]="","",DATE(Table2[[#This Row],[Year]],Table2[[#This Row],[Month]],1))</f>
        <v/>
      </c>
    </row>
    <row r="2143" spans="7:11" x14ac:dyDescent="0.25">
      <c r="G2143" s="1" t="str">
        <f>IF(Table2[[#This Row],[Description]]="","",VLOOKUP(Table2[[#This Row],[Description]],$Q$1:$S$101,2,FALSE))</f>
        <v/>
      </c>
      <c r="H2143" s="1" t="str">
        <f>IF(Table2[[#This Row],[Description]]="","",VLOOKUP(Table2[[#This Row],[Description]],$Q$1:$S$101,3,FALSE))</f>
        <v/>
      </c>
      <c r="I2143" s="1" t="str">
        <f>IF(Table2[[#This Row],[Description]]="","",IF(Table2[[#This Row],[Currency]]=$O$2,$P$2,HLOOKUP(Table2[[#This Row],[Date]],Funds!$C$10:$GV$11,2,FALSE)))</f>
        <v/>
      </c>
      <c r="J2143" s="215" t="str">
        <f>IF(Table2[[#This Row],[Description]]="","",Table2[[#This Row],[Value]]/Table2[[#This Row],[Conversion]])</f>
        <v/>
      </c>
      <c r="K2143" s="45" t="str">
        <f>IF(Table2[[#This Row],[Description]]="","",DATE(Table2[[#This Row],[Year]],Table2[[#This Row],[Month]],1))</f>
        <v/>
      </c>
    </row>
    <row r="2144" spans="7:11" x14ac:dyDescent="0.25">
      <c r="G2144" s="1" t="str">
        <f>IF(Table2[[#This Row],[Description]]="","",VLOOKUP(Table2[[#This Row],[Description]],$Q$1:$S$101,2,FALSE))</f>
        <v/>
      </c>
      <c r="H2144" s="1" t="str">
        <f>IF(Table2[[#This Row],[Description]]="","",VLOOKUP(Table2[[#This Row],[Description]],$Q$1:$S$101,3,FALSE))</f>
        <v/>
      </c>
      <c r="I2144" s="1" t="str">
        <f>IF(Table2[[#This Row],[Description]]="","",IF(Table2[[#This Row],[Currency]]=$O$2,$P$2,HLOOKUP(Table2[[#This Row],[Date]],Funds!$C$10:$GV$11,2,FALSE)))</f>
        <v/>
      </c>
      <c r="J2144" s="215" t="str">
        <f>IF(Table2[[#This Row],[Description]]="","",Table2[[#This Row],[Value]]/Table2[[#This Row],[Conversion]])</f>
        <v/>
      </c>
      <c r="K2144" s="45" t="str">
        <f>IF(Table2[[#This Row],[Description]]="","",DATE(Table2[[#This Row],[Year]],Table2[[#This Row],[Month]],1))</f>
        <v/>
      </c>
    </row>
    <row r="2145" spans="7:11" x14ac:dyDescent="0.25">
      <c r="G2145" s="1" t="str">
        <f>IF(Table2[[#This Row],[Description]]="","",VLOOKUP(Table2[[#This Row],[Description]],$Q$1:$S$101,2,FALSE))</f>
        <v/>
      </c>
      <c r="H2145" s="1" t="str">
        <f>IF(Table2[[#This Row],[Description]]="","",VLOOKUP(Table2[[#This Row],[Description]],$Q$1:$S$101,3,FALSE))</f>
        <v/>
      </c>
      <c r="I2145" s="1" t="str">
        <f>IF(Table2[[#This Row],[Description]]="","",IF(Table2[[#This Row],[Currency]]=$O$2,$P$2,HLOOKUP(Table2[[#This Row],[Date]],Funds!$C$10:$GV$11,2,FALSE)))</f>
        <v/>
      </c>
      <c r="J2145" s="215" t="str">
        <f>IF(Table2[[#This Row],[Description]]="","",Table2[[#This Row],[Value]]/Table2[[#This Row],[Conversion]])</f>
        <v/>
      </c>
      <c r="K2145" s="45" t="str">
        <f>IF(Table2[[#This Row],[Description]]="","",DATE(Table2[[#This Row],[Year]],Table2[[#This Row],[Month]],1))</f>
        <v/>
      </c>
    </row>
    <row r="2146" spans="7:11" x14ac:dyDescent="0.25">
      <c r="G2146" s="1" t="str">
        <f>IF(Table2[[#This Row],[Description]]="","",VLOOKUP(Table2[[#This Row],[Description]],$Q$1:$S$101,2,FALSE))</f>
        <v/>
      </c>
      <c r="H2146" s="1" t="str">
        <f>IF(Table2[[#This Row],[Description]]="","",VLOOKUP(Table2[[#This Row],[Description]],$Q$1:$S$101,3,FALSE))</f>
        <v/>
      </c>
      <c r="I2146" s="1" t="str">
        <f>IF(Table2[[#This Row],[Description]]="","",IF(Table2[[#This Row],[Currency]]=$O$2,$P$2,HLOOKUP(Table2[[#This Row],[Date]],Funds!$C$10:$GV$11,2,FALSE)))</f>
        <v/>
      </c>
      <c r="J2146" s="215" t="str">
        <f>IF(Table2[[#This Row],[Description]]="","",Table2[[#This Row],[Value]]/Table2[[#This Row],[Conversion]])</f>
        <v/>
      </c>
      <c r="K2146" s="45" t="str">
        <f>IF(Table2[[#This Row],[Description]]="","",DATE(Table2[[#This Row],[Year]],Table2[[#This Row],[Month]],1))</f>
        <v/>
      </c>
    </row>
    <row r="2147" spans="7:11" x14ac:dyDescent="0.25">
      <c r="G2147" s="1" t="str">
        <f>IF(Table2[[#This Row],[Description]]="","",VLOOKUP(Table2[[#This Row],[Description]],$Q$1:$S$101,2,FALSE))</f>
        <v/>
      </c>
      <c r="H2147" s="1" t="str">
        <f>IF(Table2[[#This Row],[Description]]="","",VLOOKUP(Table2[[#This Row],[Description]],$Q$1:$S$101,3,FALSE))</f>
        <v/>
      </c>
      <c r="I2147" s="1" t="str">
        <f>IF(Table2[[#This Row],[Description]]="","",IF(Table2[[#This Row],[Currency]]=$O$2,$P$2,HLOOKUP(Table2[[#This Row],[Date]],Funds!$C$10:$GV$11,2,FALSE)))</f>
        <v/>
      </c>
      <c r="J2147" s="215" t="str">
        <f>IF(Table2[[#This Row],[Description]]="","",Table2[[#This Row],[Value]]/Table2[[#This Row],[Conversion]])</f>
        <v/>
      </c>
      <c r="K2147" s="45" t="str">
        <f>IF(Table2[[#This Row],[Description]]="","",DATE(Table2[[#This Row],[Year]],Table2[[#This Row],[Month]],1))</f>
        <v/>
      </c>
    </row>
    <row r="2148" spans="7:11" x14ac:dyDescent="0.25">
      <c r="G2148" s="1" t="str">
        <f>IF(Table2[[#This Row],[Description]]="","",VLOOKUP(Table2[[#This Row],[Description]],$Q$1:$S$101,2,FALSE))</f>
        <v/>
      </c>
      <c r="H2148" s="1" t="str">
        <f>IF(Table2[[#This Row],[Description]]="","",VLOOKUP(Table2[[#This Row],[Description]],$Q$1:$S$101,3,FALSE))</f>
        <v/>
      </c>
      <c r="I2148" s="1" t="str">
        <f>IF(Table2[[#This Row],[Description]]="","",IF(Table2[[#This Row],[Currency]]=$O$2,$P$2,HLOOKUP(Table2[[#This Row],[Date]],Funds!$C$10:$GV$11,2,FALSE)))</f>
        <v/>
      </c>
      <c r="J2148" s="215" t="str">
        <f>IF(Table2[[#This Row],[Description]]="","",Table2[[#This Row],[Value]]/Table2[[#This Row],[Conversion]])</f>
        <v/>
      </c>
      <c r="K2148" s="45" t="str">
        <f>IF(Table2[[#This Row],[Description]]="","",DATE(Table2[[#This Row],[Year]],Table2[[#This Row],[Month]],1))</f>
        <v/>
      </c>
    </row>
    <row r="2149" spans="7:11" x14ac:dyDescent="0.25">
      <c r="G2149" s="1" t="str">
        <f>IF(Table2[[#This Row],[Description]]="","",VLOOKUP(Table2[[#This Row],[Description]],$Q$1:$S$101,2,FALSE))</f>
        <v/>
      </c>
      <c r="H2149" s="1" t="str">
        <f>IF(Table2[[#This Row],[Description]]="","",VLOOKUP(Table2[[#This Row],[Description]],$Q$1:$S$101,3,FALSE))</f>
        <v/>
      </c>
      <c r="I2149" s="1" t="str">
        <f>IF(Table2[[#This Row],[Description]]="","",IF(Table2[[#This Row],[Currency]]=$O$2,$P$2,HLOOKUP(Table2[[#This Row],[Date]],Funds!$C$10:$GV$11,2,FALSE)))</f>
        <v/>
      </c>
      <c r="J2149" s="215" t="str">
        <f>IF(Table2[[#This Row],[Description]]="","",Table2[[#This Row],[Value]]/Table2[[#This Row],[Conversion]])</f>
        <v/>
      </c>
      <c r="K2149" s="45" t="str">
        <f>IF(Table2[[#This Row],[Description]]="","",DATE(Table2[[#This Row],[Year]],Table2[[#This Row],[Month]],1))</f>
        <v/>
      </c>
    </row>
    <row r="2150" spans="7:11" x14ac:dyDescent="0.25">
      <c r="G2150" s="1" t="str">
        <f>IF(Table2[[#This Row],[Description]]="","",VLOOKUP(Table2[[#This Row],[Description]],$Q$1:$S$101,2,FALSE))</f>
        <v/>
      </c>
      <c r="H2150" s="1" t="str">
        <f>IF(Table2[[#This Row],[Description]]="","",VLOOKUP(Table2[[#This Row],[Description]],$Q$1:$S$101,3,FALSE))</f>
        <v/>
      </c>
      <c r="I2150" s="1" t="str">
        <f>IF(Table2[[#This Row],[Description]]="","",IF(Table2[[#This Row],[Currency]]=$O$2,$P$2,HLOOKUP(Table2[[#This Row],[Date]],Funds!$C$10:$GV$11,2,FALSE)))</f>
        <v/>
      </c>
      <c r="J2150" s="215" t="str">
        <f>IF(Table2[[#This Row],[Description]]="","",Table2[[#This Row],[Value]]/Table2[[#This Row],[Conversion]])</f>
        <v/>
      </c>
      <c r="K2150" s="45" t="str">
        <f>IF(Table2[[#This Row],[Description]]="","",DATE(Table2[[#This Row],[Year]],Table2[[#This Row],[Month]],1))</f>
        <v/>
      </c>
    </row>
    <row r="2151" spans="7:11" x14ac:dyDescent="0.25">
      <c r="G2151" s="1" t="str">
        <f>IF(Table2[[#This Row],[Description]]="","",VLOOKUP(Table2[[#This Row],[Description]],$Q$1:$S$101,2,FALSE))</f>
        <v/>
      </c>
      <c r="H2151" s="1" t="str">
        <f>IF(Table2[[#This Row],[Description]]="","",VLOOKUP(Table2[[#This Row],[Description]],$Q$1:$S$101,3,FALSE))</f>
        <v/>
      </c>
      <c r="I2151" s="1" t="str">
        <f>IF(Table2[[#This Row],[Description]]="","",IF(Table2[[#This Row],[Currency]]=$O$2,$P$2,HLOOKUP(Table2[[#This Row],[Date]],Funds!$C$10:$GV$11,2,FALSE)))</f>
        <v/>
      </c>
      <c r="J2151" s="215" t="str">
        <f>IF(Table2[[#This Row],[Description]]="","",Table2[[#This Row],[Value]]/Table2[[#This Row],[Conversion]])</f>
        <v/>
      </c>
      <c r="K2151" s="45" t="str">
        <f>IF(Table2[[#This Row],[Description]]="","",DATE(Table2[[#This Row],[Year]],Table2[[#This Row],[Month]],1))</f>
        <v/>
      </c>
    </row>
    <row r="2152" spans="7:11" x14ac:dyDescent="0.25">
      <c r="G2152" s="1" t="str">
        <f>IF(Table2[[#This Row],[Description]]="","",VLOOKUP(Table2[[#This Row],[Description]],$Q$1:$S$101,2,FALSE))</f>
        <v/>
      </c>
      <c r="H2152" s="1" t="str">
        <f>IF(Table2[[#This Row],[Description]]="","",VLOOKUP(Table2[[#This Row],[Description]],$Q$1:$S$101,3,FALSE))</f>
        <v/>
      </c>
      <c r="I2152" s="1" t="str">
        <f>IF(Table2[[#This Row],[Description]]="","",IF(Table2[[#This Row],[Currency]]=$O$2,$P$2,HLOOKUP(Table2[[#This Row],[Date]],Funds!$C$10:$GV$11,2,FALSE)))</f>
        <v/>
      </c>
      <c r="J2152" s="215" t="str">
        <f>IF(Table2[[#This Row],[Description]]="","",Table2[[#This Row],[Value]]/Table2[[#This Row],[Conversion]])</f>
        <v/>
      </c>
      <c r="K2152" s="45" t="str">
        <f>IF(Table2[[#This Row],[Description]]="","",DATE(Table2[[#This Row],[Year]],Table2[[#This Row],[Month]],1))</f>
        <v/>
      </c>
    </row>
    <row r="2153" spans="7:11" x14ac:dyDescent="0.25">
      <c r="G2153" s="1" t="str">
        <f>IF(Table2[[#This Row],[Description]]="","",VLOOKUP(Table2[[#This Row],[Description]],$Q$1:$S$101,2,FALSE))</f>
        <v/>
      </c>
      <c r="H2153" s="1" t="str">
        <f>IF(Table2[[#This Row],[Description]]="","",VLOOKUP(Table2[[#This Row],[Description]],$Q$1:$S$101,3,FALSE))</f>
        <v/>
      </c>
      <c r="I2153" s="1" t="str">
        <f>IF(Table2[[#This Row],[Description]]="","",IF(Table2[[#This Row],[Currency]]=$O$2,$P$2,HLOOKUP(Table2[[#This Row],[Date]],Funds!$C$10:$GV$11,2,FALSE)))</f>
        <v/>
      </c>
      <c r="J2153" s="215" t="str">
        <f>IF(Table2[[#This Row],[Description]]="","",Table2[[#This Row],[Value]]/Table2[[#This Row],[Conversion]])</f>
        <v/>
      </c>
      <c r="K2153" s="45" t="str">
        <f>IF(Table2[[#This Row],[Description]]="","",DATE(Table2[[#This Row],[Year]],Table2[[#This Row],[Month]],1))</f>
        <v/>
      </c>
    </row>
    <row r="2154" spans="7:11" x14ac:dyDescent="0.25">
      <c r="G2154" s="1" t="str">
        <f>IF(Table2[[#This Row],[Description]]="","",VLOOKUP(Table2[[#This Row],[Description]],$Q$1:$S$101,2,FALSE))</f>
        <v/>
      </c>
      <c r="H2154" s="1" t="str">
        <f>IF(Table2[[#This Row],[Description]]="","",VLOOKUP(Table2[[#This Row],[Description]],$Q$1:$S$101,3,FALSE))</f>
        <v/>
      </c>
      <c r="I2154" s="1" t="str">
        <f>IF(Table2[[#This Row],[Description]]="","",IF(Table2[[#This Row],[Currency]]=$O$2,$P$2,HLOOKUP(Table2[[#This Row],[Date]],Funds!$C$10:$GV$11,2,FALSE)))</f>
        <v/>
      </c>
      <c r="J2154" s="215" t="str">
        <f>IF(Table2[[#This Row],[Description]]="","",Table2[[#This Row],[Value]]/Table2[[#This Row],[Conversion]])</f>
        <v/>
      </c>
      <c r="K2154" s="45" t="str">
        <f>IF(Table2[[#This Row],[Description]]="","",DATE(Table2[[#This Row],[Year]],Table2[[#This Row],[Month]],1))</f>
        <v/>
      </c>
    </row>
    <row r="2155" spans="7:11" x14ac:dyDescent="0.25">
      <c r="G2155" s="1" t="str">
        <f>IF(Table2[[#This Row],[Description]]="","",VLOOKUP(Table2[[#This Row],[Description]],$Q$1:$S$101,2,FALSE))</f>
        <v/>
      </c>
      <c r="H2155" s="1" t="str">
        <f>IF(Table2[[#This Row],[Description]]="","",VLOOKUP(Table2[[#This Row],[Description]],$Q$1:$S$101,3,FALSE))</f>
        <v/>
      </c>
      <c r="I2155" s="1" t="str">
        <f>IF(Table2[[#This Row],[Description]]="","",IF(Table2[[#This Row],[Currency]]=$O$2,$P$2,HLOOKUP(Table2[[#This Row],[Date]],Funds!$C$10:$GV$11,2,FALSE)))</f>
        <v/>
      </c>
      <c r="J2155" s="215" t="str">
        <f>IF(Table2[[#This Row],[Description]]="","",Table2[[#This Row],[Value]]/Table2[[#This Row],[Conversion]])</f>
        <v/>
      </c>
      <c r="K2155" s="45" t="str">
        <f>IF(Table2[[#This Row],[Description]]="","",DATE(Table2[[#This Row],[Year]],Table2[[#This Row],[Month]],1))</f>
        <v/>
      </c>
    </row>
    <row r="2156" spans="7:11" x14ac:dyDescent="0.25">
      <c r="G2156" s="1" t="str">
        <f>IF(Table2[[#This Row],[Description]]="","",VLOOKUP(Table2[[#This Row],[Description]],$Q$1:$S$101,2,FALSE))</f>
        <v/>
      </c>
      <c r="H2156" s="1" t="str">
        <f>IF(Table2[[#This Row],[Description]]="","",VLOOKUP(Table2[[#This Row],[Description]],$Q$1:$S$101,3,FALSE))</f>
        <v/>
      </c>
      <c r="I2156" s="1" t="str">
        <f>IF(Table2[[#This Row],[Description]]="","",IF(Table2[[#This Row],[Currency]]=$O$2,$P$2,HLOOKUP(Table2[[#This Row],[Date]],Funds!$C$10:$GV$11,2,FALSE)))</f>
        <v/>
      </c>
      <c r="J2156" s="215" t="str">
        <f>IF(Table2[[#This Row],[Description]]="","",Table2[[#This Row],[Value]]/Table2[[#This Row],[Conversion]])</f>
        <v/>
      </c>
      <c r="K2156" s="45" t="str">
        <f>IF(Table2[[#This Row],[Description]]="","",DATE(Table2[[#This Row],[Year]],Table2[[#This Row],[Month]],1))</f>
        <v/>
      </c>
    </row>
    <row r="2157" spans="7:11" x14ac:dyDescent="0.25">
      <c r="G2157" s="1" t="str">
        <f>IF(Table2[[#This Row],[Description]]="","",VLOOKUP(Table2[[#This Row],[Description]],$Q$1:$S$101,2,FALSE))</f>
        <v/>
      </c>
      <c r="H2157" s="1" t="str">
        <f>IF(Table2[[#This Row],[Description]]="","",VLOOKUP(Table2[[#This Row],[Description]],$Q$1:$S$101,3,FALSE))</f>
        <v/>
      </c>
      <c r="I2157" s="1" t="str">
        <f>IF(Table2[[#This Row],[Description]]="","",IF(Table2[[#This Row],[Currency]]=$O$2,$P$2,HLOOKUP(Table2[[#This Row],[Date]],Funds!$C$10:$GV$11,2,FALSE)))</f>
        <v/>
      </c>
      <c r="J2157" s="215" t="str">
        <f>IF(Table2[[#This Row],[Description]]="","",Table2[[#This Row],[Value]]/Table2[[#This Row],[Conversion]])</f>
        <v/>
      </c>
      <c r="K2157" s="45" t="str">
        <f>IF(Table2[[#This Row],[Description]]="","",DATE(Table2[[#This Row],[Year]],Table2[[#This Row],[Month]],1))</f>
        <v/>
      </c>
    </row>
    <row r="2158" spans="7:11" x14ac:dyDescent="0.25">
      <c r="G2158" s="1" t="str">
        <f>IF(Table2[[#This Row],[Description]]="","",VLOOKUP(Table2[[#This Row],[Description]],$Q$1:$S$101,2,FALSE))</f>
        <v/>
      </c>
      <c r="H2158" s="1" t="str">
        <f>IF(Table2[[#This Row],[Description]]="","",VLOOKUP(Table2[[#This Row],[Description]],$Q$1:$S$101,3,FALSE))</f>
        <v/>
      </c>
      <c r="I2158" s="1" t="str">
        <f>IF(Table2[[#This Row],[Description]]="","",IF(Table2[[#This Row],[Currency]]=$O$2,$P$2,HLOOKUP(Table2[[#This Row],[Date]],Funds!$C$10:$GV$11,2,FALSE)))</f>
        <v/>
      </c>
      <c r="J2158" s="215" t="str">
        <f>IF(Table2[[#This Row],[Description]]="","",Table2[[#This Row],[Value]]/Table2[[#This Row],[Conversion]])</f>
        <v/>
      </c>
      <c r="K2158" s="45" t="str">
        <f>IF(Table2[[#This Row],[Description]]="","",DATE(Table2[[#This Row],[Year]],Table2[[#This Row],[Month]],1))</f>
        <v/>
      </c>
    </row>
    <row r="2159" spans="7:11" x14ac:dyDescent="0.25">
      <c r="G2159" s="1" t="str">
        <f>IF(Table2[[#This Row],[Description]]="","",VLOOKUP(Table2[[#This Row],[Description]],$Q$1:$S$101,2,FALSE))</f>
        <v/>
      </c>
      <c r="H2159" s="1" t="str">
        <f>IF(Table2[[#This Row],[Description]]="","",VLOOKUP(Table2[[#This Row],[Description]],$Q$1:$S$101,3,FALSE))</f>
        <v/>
      </c>
      <c r="I2159" s="1" t="str">
        <f>IF(Table2[[#This Row],[Description]]="","",IF(Table2[[#This Row],[Currency]]=$O$2,$P$2,HLOOKUP(Table2[[#This Row],[Date]],Funds!$C$10:$GV$11,2,FALSE)))</f>
        <v/>
      </c>
      <c r="J2159" s="215" t="str">
        <f>IF(Table2[[#This Row],[Description]]="","",Table2[[#This Row],[Value]]/Table2[[#This Row],[Conversion]])</f>
        <v/>
      </c>
      <c r="K2159" s="45" t="str">
        <f>IF(Table2[[#This Row],[Description]]="","",DATE(Table2[[#This Row],[Year]],Table2[[#This Row],[Month]],1))</f>
        <v/>
      </c>
    </row>
    <row r="2160" spans="7:11" x14ac:dyDescent="0.25">
      <c r="G2160" s="1" t="str">
        <f>IF(Table2[[#This Row],[Description]]="","",VLOOKUP(Table2[[#This Row],[Description]],$Q$1:$S$101,2,FALSE))</f>
        <v/>
      </c>
      <c r="H2160" s="1" t="str">
        <f>IF(Table2[[#This Row],[Description]]="","",VLOOKUP(Table2[[#This Row],[Description]],$Q$1:$S$101,3,FALSE))</f>
        <v/>
      </c>
      <c r="I2160" s="1" t="str">
        <f>IF(Table2[[#This Row],[Description]]="","",IF(Table2[[#This Row],[Currency]]=$O$2,$P$2,HLOOKUP(Table2[[#This Row],[Date]],Funds!$C$10:$GV$11,2,FALSE)))</f>
        <v/>
      </c>
      <c r="J2160" s="215" t="str">
        <f>IF(Table2[[#This Row],[Description]]="","",Table2[[#This Row],[Value]]/Table2[[#This Row],[Conversion]])</f>
        <v/>
      </c>
      <c r="K2160" s="45" t="str">
        <f>IF(Table2[[#This Row],[Description]]="","",DATE(Table2[[#This Row],[Year]],Table2[[#This Row],[Month]],1))</f>
        <v/>
      </c>
    </row>
    <row r="2161" spans="7:11" x14ac:dyDescent="0.25">
      <c r="G2161" s="1" t="str">
        <f>IF(Table2[[#This Row],[Description]]="","",VLOOKUP(Table2[[#This Row],[Description]],$Q$1:$S$101,2,FALSE))</f>
        <v/>
      </c>
      <c r="H2161" s="1" t="str">
        <f>IF(Table2[[#This Row],[Description]]="","",VLOOKUP(Table2[[#This Row],[Description]],$Q$1:$S$101,3,FALSE))</f>
        <v/>
      </c>
      <c r="I2161" s="1" t="str">
        <f>IF(Table2[[#This Row],[Description]]="","",IF(Table2[[#This Row],[Currency]]=$O$2,$P$2,HLOOKUP(Table2[[#This Row],[Date]],Funds!$C$10:$GV$11,2,FALSE)))</f>
        <v/>
      </c>
      <c r="J2161" s="215" t="str">
        <f>IF(Table2[[#This Row],[Description]]="","",Table2[[#This Row],[Value]]/Table2[[#This Row],[Conversion]])</f>
        <v/>
      </c>
      <c r="K2161" s="45" t="str">
        <f>IF(Table2[[#This Row],[Description]]="","",DATE(Table2[[#This Row],[Year]],Table2[[#This Row],[Month]],1))</f>
        <v/>
      </c>
    </row>
    <row r="2162" spans="7:11" x14ac:dyDescent="0.25">
      <c r="G2162" s="1" t="str">
        <f>IF(Table2[[#This Row],[Description]]="","",VLOOKUP(Table2[[#This Row],[Description]],$Q$1:$S$101,2,FALSE))</f>
        <v/>
      </c>
      <c r="H2162" s="1" t="str">
        <f>IF(Table2[[#This Row],[Description]]="","",VLOOKUP(Table2[[#This Row],[Description]],$Q$1:$S$101,3,FALSE))</f>
        <v/>
      </c>
      <c r="I2162" s="1" t="str">
        <f>IF(Table2[[#This Row],[Description]]="","",IF(Table2[[#This Row],[Currency]]=$O$2,$P$2,HLOOKUP(Table2[[#This Row],[Date]],Funds!$C$10:$GV$11,2,FALSE)))</f>
        <v/>
      </c>
      <c r="J2162" s="215" t="str">
        <f>IF(Table2[[#This Row],[Description]]="","",Table2[[#This Row],[Value]]/Table2[[#This Row],[Conversion]])</f>
        <v/>
      </c>
      <c r="K2162" s="45" t="str">
        <f>IF(Table2[[#This Row],[Description]]="","",DATE(Table2[[#This Row],[Year]],Table2[[#This Row],[Month]],1))</f>
        <v/>
      </c>
    </row>
    <row r="2163" spans="7:11" x14ac:dyDescent="0.25">
      <c r="G2163" s="1" t="str">
        <f>IF(Table2[[#This Row],[Description]]="","",VLOOKUP(Table2[[#This Row],[Description]],$Q$1:$S$101,2,FALSE))</f>
        <v/>
      </c>
      <c r="H2163" s="1" t="str">
        <f>IF(Table2[[#This Row],[Description]]="","",VLOOKUP(Table2[[#This Row],[Description]],$Q$1:$S$101,3,FALSE))</f>
        <v/>
      </c>
      <c r="I2163" s="1" t="str">
        <f>IF(Table2[[#This Row],[Description]]="","",IF(Table2[[#This Row],[Currency]]=$O$2,$P$2,HLOOKUP(Table2[[#This Row],[Date]],Funds!$C$10:$GV$11,2,FALSE)))</f>
        <v/>
      </c>
      <c r="J2163" s="215" t="str">
        <f>IF(Table2[[#This Row],[Description]]="","",Table2[[#This Row],[Value]]/Table2[[#This Row],[Conversion]])</f>
        <v/>
      </c>
      <c r="K2163" s="45" t="str">
        <f>IF(Table2[[#This Row],[Description]]="","",DATE(Table2[[#This Row],[Year]],Table2[[#This Row],[Month]],1))</f>
        <v/>
      </c>
    </row>
    <row r="2164" spans="7:11" x14ac:dyDescent="0.25">
      <c r="G2164" s="1" t="str">
        <f>IF(Table2[[#This Row],[Description]]="","",VLOOKUP(Table2[[#This Row],[Description]],$Q$1:$S$101,2,FALSE))</f>
        <v/>
      </c>
      <c r="H2164" s="1" t="str">
        <f>IF(Table2[[#This Row],[Description]]="","",VLOOKUP(Table2[[#This Row],[Description]],$Q$1:$S$101,3,FALSE))</f>
        <v/>
      </c>
      <c r="I2164" s="1" t="str">
        <f>IF(Table2[[#This Row],[Description]]="","",IF(Table2[[#This Row],[Currency]]=$O$2,$P$2,HLOOKUP(Table2[[#This Row],[Date]],Funds!$C$10:$GV$11,2,FALSE)))</f>
        <v/>
      </c>
      <c r="J2164" s="215" t="str">
        <f>IF(Table2[[#This Row],[Description]]="","",Table2[[#This Row],[Value]]/Table2[[#This Row],[Conversion]])</f>
        <v/>
      </c>
      <c r="K2164" s="45" t="str">
        <f>IF(Table2[[#This Row],[Description]]="","",DATE(Table2[[#This Row],[Year]],Table2[[#This Row],[Month]],1))</f>
        <v/>
      </c>
    </row>
    <row r="2165" spans="7:11" x14ac:dyDescent="0.25">
      <c r="G2165" s="1" t="str">
        <f>IF(Table2[[#This Row],[Description]]="","",VLOOKUP(Table2[[#This Row],[Description]],$Q$1:$S$101,2,FALSE))</f>
        <v/>
      </c>
      <c r="H2165" s="1" t="str">
        <f>IF(Table2[[#This Row],[Description]]="","",VLOOKUP(Table2[[#This Row],[Description]],$Q$1:$S$101,3,FALSE))</f>
        <v/>
      </c>
      <c r="I2165" s="1" t="str">
        <f>IF(Table2[[#This Row],[Description]]="","",IF(Table2[[#This Row],[Currency]]=$O$2,$P$2,HLOOKUP(Table2[[#This Row],[Date]],Funds!$C$10:$GV$11,2,FALSE)))</f>
        <v/>
      </c>
      <c r="J2165" s="215" t="str">
        <f>IF(Table2[[#This Row],[Description]]="","",Table2[[#This Row],[Value]]/Table2[[#This Row],[Conversion]])</f>
        <v/>
      </c>
      <c r="K2165" s="45" t="str">
        <f>IF(Table2[[#This Row],[Description]]="","",DATE(Table2[[#This Row],[Year]],Table2[[#This Row],[Month]],1))</f>
        <v/>
      </c>
    </row>
    <row r="2166" spans="7:11" x14ac:dyDescent="0.25">
      <c r="G2166" s="1" t="str">
        <f>IF(Table2[[#This Row],[Description]]="","",VLOOKUP(Table2[[#This Row],[Description]],$Q$1:$S$101,2,FALSE))</f>
        <v/>
      </c>
      <c r="H2166" s="1" t="str">
        <f>IF(Table2[[#This Row],[Description]]="","",VLOOKUP(Table2[[#This Row],[Description]],$Q$1:$S$101,3,FALSE))</f>
        <v/>
      </c>
      <c r="I2166" s="1" t="str">
        <f>IF(Table2[[#This Row],[Description]]="","",IF(Table2[[#This Row],[Currency]]=$O$2,$P$2,HLOOKUP(Table2[[#This Row],[Date]],Funds!$C$10:$GV$11,2,FALSE)))</f>
        <v/>
      </c>
      <c r="J2166" s="215" t="str">
        <f>IF(Table2[[#This Row],[Description]]="","",Table2[[#This Row],[Value]]/Table2[[#This Row],[Conversion]])</f>
        <v/>
      </c>
      <c r="K2166" s="45" t="str">
        <f>IF(Table2[[#This Row],[Description]]="","",DATE(Table2[[#This Row],[Year]],Table2[[#This Row],[Month]],1))</f>
        <v/>
      </c>
    </row>
    <row r="2167" spans="7:11" x14ac:dyDescent="0.25">
      <c r="G2167" s="1" t="str">
        <f>IF(Table2[[#This Row],[Description]]="","",VLOOKUP(Table2[[#This Row],[Description]],$Q$1:$S$101,2,FALSE))</f>
        <v/>
      </c>
      <c r="H2167" s="1" t="str">
        <f>IF(Table2[[#This Row],[Description]]="","",VLOOKUP(Table2[[#This Row],[Description]],$Q$1:$S$101,3,FALSE))</f>
        <v/>
      </c>
      <c r="I2167" s="1" t="str">
        <f>IF(Table2[[#This Row],[Description]]="","",IF(Table2[[#This Row],[Currency]]=$O$2,$P$2,HLOOKUP(Table2[[#This Row],[Date]],Funds!$C$10:$GV$11,2,FALSE)))</f>
        <v/>
      </c>
      <c r="J2167" s="215" t="str">
        <f>IF(Table2[[#This Row],[Description]]="","",Table2[[#This Row],[Value]]/Table2[[#This Row],[Conversion]])</f>
        <v/>
      </c>
      <c r="K2167" s="45" t="str">
        <f>IF(Table2[[#This Row],[Description]]="","",DATE(Table2[[#This Row],[Year]],Table2[[#This Row],[Month]],1))</f>
        <v/>
      </c>
    </row>
    <row r="2168" spans="7:11" x14ac:dyDescent="0.25">
      <c r="G2168" s="1" t="str">
        <f>IF(Table2[[#This Row],[Description]]="","",VLOOKUP(Table2[[#This Row],[Description]],$Q$1:$S$101,2,FALSE))</f>
        <v/>
      </c>
      <c r="H2168" s="1" t="str">
        <f>IF(Table2[[#This Row],[Description]]="","",VLOOKUP(Table2[[#This Row],[Description]],$Q$1:$S$101,3,FALSE))</f>
        <v/>
      </c>
      <c r="I2168" s="1" t="str">
        <f>IF(Table2[[#This Row],[Description]]="","",IF(Table2[[#This Row],[Currency]]=$O$2,$P$2,HLOOKUP(Table2[[#This Row],[Date]],Funds!$C$10:$GV$11,2,FALSE)))</f>
        <v/>
      </c>
      <c r="J2168" s="215" t="str">
        <f>IF(Table2[[#This Row],[Description]]="","",Table2[[#This Row],[Value]]/Table2[[#This Row],[Conversion]])</f>
        <v/>
      </c>
      <c r="K2168" s="45" t="str">
        <f>IF(Table2[[#This Row],[Description]]="","",DATE(Table2[[#This Row],[Year]],Table2[[#This Row],[Month]],1))</f>
        <v/>
      </c>
    </row>
    <row r="2169" spans="7:11" x14ac:dyDescent="0.25">
      <c r="G2169" s="1" t="str">
        <f>IF(Table2[[#This Row],[Description]]="","",VLOOKUP(Table2[[#This Row],[Description]],$Q$1:$S$101,2,FALSE))</f>
        <v/>
      </c>
      <c r="H2169" s="1" t="str">
        <f>IF(Table2[[#This Row],[Description]]="","",VLOOKUP(Table2[[#This Row],[Description]],$Q$1:$S$101,3,FALSE))</f>
        <v/>
      </c>
      <c r="I2169" s="1" t="str">
        <f>IF(Table2[[#This Row],[Description]]="","",IF(Table2[[#This Row],[Currency]]=$O$2,$P$2,HLOOKUP(Table2[[#This Row],[Date]],Funds!$C$10:$GV$11,2,FALSE)))</f>
        <v/>
      </c>
      <c r="J2169" s="215" t="str">
        <f>IF(Table2[[#This Row],[Description]]="","",Table2[[#This Row],[Value]]/Table2[[#This Row],[Conversion]])</f>
        <v/>
      </c>
      <c r="K2169" s="45" t="str">
        <f>IF(Table2[[#This Row],[Description]]="","",DATE(Table2[[#This Row],[Year]],Table2[[#This Row],[Month]],1))</f>
        <v/>
      </c>
    </row>
    <row r="2170" spans="7:11" x14ac:dyDescent="0.25">
      <c r="G2170" s="1" t="str">
        <f>IF(Table2[[#This Row],[Description]]="","",VLOOKUP(Table2[[#This Row],[Description]],$Q$1:$S$101,2,FALSE))</f>
        <v/>
      </c>
      <c r="H2170" s="1" t="str">
        <f>IF(Table2[[#This Row],[Description]]="","",VLOOKUP(Table2[[#This Row],[Description]],$Q$1:$S$101,3,FALSE))</f>
        <v/>
      </c>
      <c r="I2170" s="1" t="str">
        <f>IF(Table2[[#This Row],[Description]]="","",IF(Table2[[#This Row],[Currency]]=$O$2,$P$2,HLOOKUP(Table2[[#This Row],[Date]],Funds!$C$10:$GV$11,2,FALSE)))</f>
        <v/>
      </c>
      <c r="J2170" s="215" t="str">
        <f>IF(Table2[[#This Row],[Description]]="","",Table2[[#This Row],[Value]]/Table2[[#This Row],[Conversion]])</f>
        <v/>
      </c>
      <c r="K2170" s="45" t="str">
        <f>IF(Table2[[#This Row],[Description]]="","",DATE(Table2[[#This Row],[Year]],Table2[[#This Row],[Month]],1))</f>
        <v/>
      </c>
    </row>
    <row r="2171" spans="7:11" x14ac:dyDescent="0.25">
      <c r="G2171" s="1" t="str">
        <f>IF(Table2[[#This Row],[Description]]="","",VLOOKUP(Table2[[#This Row],[Description]],$Q$1:$S$101,2,FALSE))</f>
        <v/>
      </c>
      <c r="H2171" s="1" t="str">
        <f>IF(Table2[[#This Row],[Description]]="","",VLOOKUP(Table2[[#This Row],[Description]],$Q$1:$S$101,3,FALSE))</f>
        <v/>
      </c>
      <c r="I2171" s="1" t="str">
        <f>IF(Table2[[#This Row],[Description]]="","",IF(Table2[[#This Row],[Currency]]=$O$2,$P$2,HLOOKUP(Table2[[#This Row],[Date]],Funds!$C$10:$GV$11,2,FALSE)))</f>
        <v/>
      </c>
      <c r="J2171" s="215" t="str">
        <f>IF(Table2[[#This Row],[Description]]="","",Table2[[#This Row],[Value]]/Table2[[#This Row],[Conversion]])</f>
        <v/>
      </c>
      <c r="K2171" s="45" t="str">
        <f>IF(Table2[[#This Row],[Description]]="","",DATE(Table2[[#This Row],[Year]],Table2[[#This Row],[Month]],1))</f>
        <v/>
      </c>
    </row>
    <row r="2172" spans="7:11" x14ac:dyDescent="0.25">
      <c r="G2172" s="1" t="str">
        <f>IF(Table2[[#This Row],[Description]]="","",VLOOKUP(Table2[[#This Row],[Description]],$Q$1:$S$101,2,FALSE))</f>
        <v/>
      </c>
      <c r="H2172" s="1" t="str">
        <f>IF(Table2[[#This Row],[Description]]="","",VLOOKUP(Table2[[#This Row],[Description]],$Q$1:$S$101,3,FALSE))</f>
        <v/>
      </c>
      <c r="I2172" s="1" t="str">
        <f>IF(Table2[[#This Row],[Description]]="","",IF(Table2[[#This Row],[Currency]]=$O$2,$P$2,HLOOKUP(Table2[[#This Row],[Date]],Funds!$C$10:$GV$11,2,FALSE)))</f>
        <v/>
      </c>
      <c r="J2172" s="215" t="str">
        <f>IF(Table2[[#This Row],[Description]]="","",Table2[[#This Row],[Value]]/Table2[[#This Row],[Conversion]])</f>
        <v/>
      </c>
      <c r="K2172" s="45" t="str">
        <f>IF(Table2[[#This Row],[Description]]="","",DATE(Table2[[#This Row],[Year]],Table2[[#This Row],[Month]],1))</f>
        <v/>
      </c>
    </row>
    <row r="2173" spans="7:11" x14ac:dyDescent="0.25">
      <c r="G2173" s="1" t="str">
        <f>IF(Table2[[#This Row],[Description]]="","",VLOOKUP(Table2[[#This Row],[Description]],$Q$1:$S$101,2,FALSE))</f>
        <v/>
      </c>
      <c r="H2173" s="1" t="str">
        <f>IF(Table2[[#This Row],[Description]]="","",VLOOKUP(Table2[[#This Row],[Description]],$Q$1:$S$101,3,FALSE))</f>
        <v/>
      </c>
      <c r="I2173" s="1" t="str">
        <f>IF(Table2[[#This Row],[Description]]="","",IF(Table2[[#This Row],[Currency]]=$O$2,$P$2,HLOOKUP(Table2[[#This Row],[Date]],Funds!$C$10:$GV$11,2,FALSE)))</f>
        <v/>
      </c>
      <c r="J2173" s="215" t="str">
        <f>IF(Table2[[#This Row],[Description]]="","",Table2[[#This Row],[Value]]/Table2[[#This Row],[Conversion]])</f>
        <v/>
      </c>
      <c r="K2173" s="45" t="str">
        <f>IF(Table2[[#This Row],[Description]]="","",DATE(Table2[[#This Row],[Year]],Table2[[#This Row],[Month]],1))</f>
        <v/>
      </c>
    </row>
    <row r="2174" spans="7:11" x14ac:dyDescent="0.25">
      <c r="G2174" s="1" t="str">
        <f>IF(Table2[[#This Row],[Description]]="","",VLOOKUP(Table2[[#This Row],[Description]],$Q$1:$S$101,2,FALSE))</f>
        <v/>
      </c>
      <c r="H2174" s="1" t="str">
        <f>IF(Table2[[#This Row],[Description]]="","",VLOOKUP(Table2[[#This Row],[Description]],$Q$1:$S$101,3,FALSE))</f>
        <v/>
      </c>
      <c r="I2174" s="1" t="str">
        <f>IF(Table2[[#This Row],[Description]]="","",IF(Table2[[#This Row],[Currency]]=$O$2,$P$2,HLOOKUP(Table2[[#This Row],[Date]],Funds!$C$10:$GV$11,2,FALSE)))</f>
        <v/>
      </c>
      <c r="J2174" s="215" t="str">
        <f>IF(Table2[[#This Row],[Description]]="","",Table2[[#This Row],[Value]]/Table2[[#This Row],[Conversion]])</f>
        <v/>
      </c>
      <c r="K2174" s="45" t="str">
        <f>IF(Table2[[#This Row],[Description]]="","",DATE(Table2[[#This Row],[Year]],Table2[[#This Row],[Month]],1))</f>
        <v/>
      </c>
    </row>
    <row r="2175" spans="7:11" x14ac:dyDescent="0.25">
      <c r="G2175" s="1" t="str">
        <f>IF(Table2[[#This Row],[Description]]="","",VLOOKUP(Table2[[#This Row],[Description]],$Q$1:$S$101,2,FALSE))</f>
        <v/>
      </c>
      <c r="H2175" s="1" t="str">
        <f>IF(Table2[[#This Row],[Description]]="","",VLOOKUP(Table2[[#This Row],[Description]],$Q$1:$S$101,3,FALSE))</f>
        <v/>
      </c>
      <c r="I2175" s="1" t="str">
        <f>IF(Table2[[#This Row],[Description]]="","",IF(Table2[[#This Row],[Currency]]=$O$2,$P$2,HLOOKUP(Table2[[#This Row],[Date]],Funds!$C$10:$GV$11,2,FALSE)))</f>
        <v/>
      </c>
      <c r="J2175" s="215" t="str">
        <f>IF(Table2[[#This Row],[Description]]="","",Table2[[#This Row],[Value]]/Table2[[#This Row],[Conversion]])</f>
        <v/>
      </c>
      <c r="K2175" s="45" t="str">
        <f>IF(Table2[[#This Row],[Description]]="","",DATE(Table2[[#This Row],[Year]],Table2[[#This Row],[Month]],1))</f>
        <v/>
      </c>
    </row>
    <row r="2176" spans="7:11" x14ac:dyDescent="0.25">
      <c r="G2176" s="1" t="str">
        <f>IF(Table2[[#This Row],[Description]]="","",VLOOKUP(Table2[[#This Row],[Description]],$Q$1:$S$101,2,FALSE))</f>
        <v/>
      </c>
      <c r="H2176" s="1" t="str">
        <f>IF(Table2[[#This Row],[Description]]="","",VLOOKUP(Table2[[#This Row],[Description]],$Q$1:$S$101,3,FALSE))</f>
        <v/>
      </c>
      <c r="I2176" s="1" t="str">
        <f>IF(Table2[[#This Row],[Description]]="","",IF(Table2[[#This Row],[Currency]]=$O$2,$P$2,HLOOKUP(Table2[[#This Row],[Date]],Funds!$C$10:$GV$11,2,FALSE)))</f>
        <v/>
      </c>
      <c r="J2176" s="215" t="str">
        <f>IF(Table2[[#This Row],[Description]]="","",Table2[[#This Row],[Value]]/Table2[[#This Row],[Conversion]])</f>
        <v/>
      </c>
      <c r="K2176" s="45" t="str">
        <f>IF(Table2[[#This Row],[Description]]="","",DATE(Table2[[#This Row],[Year]],Table2[[#This Row],[Month]],1))</f>
        <v/>
      </c>
    </row>
    <row r="2177" spans="7:11" x14ac:dyDescent="0.25">
      <c r="G2177" s="1" t="str">
        <f>IF(Table2[[#This Row],[Description]]="","",VLOOKUP(Table2[[#This Row],[Description]],$Q$1:$S$101,2,FALSE))</f>
        <v/>
      </c>
      <c r="H2177" s="1" t="str">
        <f>IF(Table2[[#This Row],[Description]]="","",VLOOKUP(Table2[[#This Row],[Description]],$Q$1:$S$101,3,FALSE))</f>
        <v/>
      </c>
      <c r="I2177" s="1" t="str">
        <f>IF(Table2[[#This Row],[Description]]="","",IF(Table2[[#This Row],[Currency]]=$O$2,$P$2,HLOOKUP(Table2[[#This Row],[Date]],Funds!$C$10:$GV$11,2,FALSE)))</f>
        <v/>
      </c>
      <c r="J2177" s="215" t="str">
        <f>IF(Table2[[#This Row],[Description]]="","",Table2[[#This Row],[Value]]/Table2[[#This Row],[Conversion]])</f>
        <v/>
      </c>
      <c r="K2177" s="45" t="str">
        <f>IF(Table2[[#This Row],[Description]]="","",DATE(Table2[[#This Row],[Year]],Table2[[#This Row],[Month]],1))</f>
        <v/>
      </c>
    </row>
    <row r="2178" spans="7:11" x14ac:dyDescent="0.25">
      <c r="G2178" s="1" t="str">
        <f>IF(Table2[[#This Row],[Description]]="","",VLOOKUP(Table2[[#This Row],[Description]],$Q$1:$S$101,2,FALSE))</f>
        <v/>
      </c>
      <c r="H2178" s="1" t="str">
        <f>IF(Table2[[#This Row],[Description]]="","",VLOOKUP(Table2[[#This Row],[Description]],$Q$1:$S$101,3,FALSE))</f>
        <v/>
      </c>
      <c r="I2178" s="1" t="str">
        <f>IF(Table2[[#This Row],[Description]]="","",IF(Table2[[#This Row],[Currency]]=$O$2,$P$2,HLOOKUP(Table2[[#This Row],[Date]],Funds!$C$10:$GV$11,2,FALSE)))</f>
        <v/>
      </c>
      <c r="J2178" s="215" t="str">
        <f>IF(Table2[[#This Row],[Description]]="","",Table2[[#This Row],[Value]]/Table2[[#This Row],[Conversion]])</f>
        <v/>
      </c>
      <c r="K2178" s="45" t="str">
        <f>IF(Table2[[#This Row],[Description]]="","",DATE(Table2[[#This Row],[Year]],Table2[[#This Row],[Month]],1))</f>
        <v/>
      </c>
    </row>
    <row r="2179" spans="7:11" x14ac:dyDescent="0.25">
      <c r="G2179" s="1" t="str">
        <f>IF(Table2[[#This Row],[Description]]="","",VLOOKUP(Table2[[#This Row],[Description]],$Q$1:$S$101,2,FALSE))</f>
        <v/>
      </c>
      <c r="H2179" s="1" t="str">
        <f>IF(Table2[[#This Row],[Description]]="","",VLOOKUP(Table2[[#This Row],[Description]],$Q$1:$S$101,3,FALSE))</f>
        <v/>
      </c>
      <c r="I2179" s="1" t="str">
        <f>IF(Table2[[#This Row],[Description]]="","",IF(Table2[[#This Row],[Currency]]=$O$2,$P$2,HLOOKUP(Table2[[#This Row],[Date]],Funds!$C$10:$GV$11,2,FALSE)))</f>
        <v/>
      </c>
      <c r="J2179" s="215" t="str">
        <f>IF(Table2[[#This Row],[Description]]="","",Table2[[#This Row],[Value]]/Table2[[#This Row],[Conversion]])</f>
        <v/>
      </c>
      <c r="K2179" s="45" t="str">
        <f>IF(Table2[[#This Row],[Description]]="","",DATE(Table2[[#This Row],[Year]],Table2[[#This Row],[Month]],1))</f>
        <v/>
      </c>
    </row>
    <row r="2180" spans="7:11" x14ac:dyDescent="0.25">
      <c r="G2180" s="1" t="str">
        <f>IF(Table2[[#This Row],[Description]]="","",VLOOKUP(Table2[[#This Row],[Description]],$Q$1:$S$101,2,FALSE))</f>
        <v/>
      </c>
      <c r="H2180" s="1" t="str">
        <f>IF(Table2[[#This Row],[Description]]="","",VLOOKUP(Table2[[#This Row],[Description]],$Q$1:$S$101,3,FALSE))</f>
        <v/>
      </c>
      <c r="I2180" s="1" t="str">
        <f>IF(Table2[[#This Row],[Description]]="","",IF(Table2[[#This Row],[Currency]]=$O$2,$P$2,HLOOKUP(Table2[[#This Row],[Date]],Funds!$C$10:$GV$11,2,FALSE)))</f>
        <v/>
      </c>
      <c r="J2180" s="215" t="str">
        <f>IF(Table2[[#This Row],[Description]]="","",Table2[[#This Row],[Value]]/Table2[[#This Row],[Conversion]])</f>
        <v/>
      </c>
      <c r="K2180" s="45" t="str">
        <f>IF(Table2[[#This Row],[Description]]="","",DATE(Table2[[#This Row],[Year]],Table2[[#This Row],[Month]],1))</f>
        <v/>
      </c>
    </row>
    <row r="2181" spans="7:11" x14ac:dyDescent="0.25">
      <c r="G2181" s="1" t="str">
        <f>IF(Table2[[#This Row],[Description]]="","",VLOOKUP(Table2[[#This Row],[Description]],$Q$1:$S$101,2,FALSE))</f>
        <v/>
      </c>
      <c r="H2181" s="1" t="str">
        <f>IF(Table2[[#This Row],[Description]]="","",VLOOKUP(Table2[[#This Row],[Description]],$Q$1:$S$101,3,FALSE))</f>
        <v/>
      </c>
      <c r="I2181" s="1" t="str">
        <f>IF(Table2[[#This Row],[Description]]="","",IF(Table2[[#This Row],[Currency]]=$O$2,$P$2,HLOOKUP(Table2[[#This Row],[Date]],Funds!$C$10:$GV$11,2,FALSE)))</f>
        <v/>
      </c>
      <c r="J2181" s="215" t="str">
        <f>IF(Table2[[#This Row],[Description]]="","",Table2[[#This Row],[Value]]/Table2[[#This Row],[Conversion]])</f>
        <v/>
      </c>
      <c r="K2181" s="45" t="str">
        <f>IF(Table2[[#This Row],[Description]]="","",DATE(Table2[[#This Row],[Year]],Table2[[#This Row],[Month]],1))</f>
        <v/>
      </c>
    </row>
    <row r="2182" spans="7:11" x14ac:dyDescent="0.25">
      <c r="G2182" s="1" t="str">
        <f>IF(Table2[[#This Row],[Description]]="","",VLOOKUP(Table2[[#This Row],[Description]],$Q$1:$S$101,2,FALSE))</f>
        <v/>
      </c>
      <c r="H2182" s="1" t="str">
        <f>IF(Table2[[#This Row],[Description]]="","",VLOOKUP(Table2[[#This Row],[Description]],$Q$1:$S$101,3,FALSE))</f>
        <v/>
      </c>
      <c r="I2182" s="1" t="str">
        <f>IF(Table2[[#This Row],[Description]]="","",IF(Table2[[#This Row],[Currency]]=$O$2,$P$2,HLOOKUP(Table2[[#This Row],[Date]],Funds!$C$10:$GV$11,2,FALSE)))</f>
        <v/>
      </c>
      <c r="J2182" s="215" t="str">
        <f>IF(Table2[[#This Row],[Description]]="","",Table2[[#This Row],[Value]]/Table2[[#This Row],[Conversion]])</f>
        <v/>
      </c>
      <c r="K2182" s="45" t="str">
        <f>IF(Table2[[#This Row],[Description]]="","",DATE(Table2[[#This Row],[Year]],Table2[[#This Row],[Month]],1))</f>
        <v/>
      </c>
    </row>
    <row r="2183" spans="7:11" x14ac:dyDescent="0.25">
      <c r="G2183" s="1" t="str">
        <f>IF(Table2[[#This Row],[Description]]="","",VLOOKUP(Table2[[#This Row],[Description]],$Q$1:$S$101,2,FALSE))</f>
        <v/>
      </c>
      <c r="H2183" s="1" t="str">
        <f>IF(Table2[[#This Row],[Description]]="","",VLOOKUP(Table2[[#This Row],[Description]],$Q$1:$S$101,3,FALSE))</f>
        <v/>
      </c>
      <c r="I2183" s="1" t="str">
        <f>IF(Table2[[#This Row],[Description]]="","",IF(Table2[[#This Row],[Currency]]=$O$2,$P$2,HLOOKUP(Table2[[#This Row],[Date]],Funds!$C$10:$GV$11,2,FALSE)))</f>
        <v/>
      </c>
      <c r="J2183" s="215" t="str">
        <f>IF(Table2[[#This Row],[Description]]="","",Table2[[#This Row],[Value]]/Table2[[#This Row],[Conversion]])</f>
        <v/>
      </c>
      <c r="K2183" s="45" t="str">
        <f>IF(Table2[[#This Row],[Description]]="","",DATE(Table2[[#This Row],[Year]],Table2[[#This Row],[Month]],1))</f>
        <v/>
      </c>
    </row>
    <row r="2184" spans="7:11" x14ac:dyDescent="0.25">
      <c r="G2184" s="1" t="str">
        <f>IF(Table2[[#This Row],[Description]]="","",VLOOKUP(Table2[[#This Row],[Description]],$Q$1:$S$101,2,FALSE))</f>
        <v/>
      </c>
      <c r="H2184" s="1" t="str">
        <f>IF(Table2[[#This Row],[Description]]="","",VLOOKUP(Table2[[#This Row],[Description]],$Q$1:$S$101,3,FALSE))</f>
        <v/>
      </c>
      <c r="I2184" s="1" t="str">
        <f>IF(Table2[[#This Row],[Description]]="","",IF(Table2[[#This Row],[Currency]]=$O$2,$P$2,HLOOKUP(Table2[[#This Row],[Date]],Funds!$C$10:$GV$11,2,FALSE)))</f>
        <v/>
      </c>
      <c r="J2184" s="215" t="str">
        <f>IF(Table2[[#This Row],[Description]]="","",Table2[[#This Row],[Value]]/Table2[[#This Row],[Conversion]])</f>
        <v/>
      </c>
      <c r="K2184" s="45" t="str">
        <f>IF(Table2[[#This Row],[Description]]="","",DATE(Table2[[#This Row],[Year]],Table2[[#This Row],[Month]],1))</f>
        <v/>
      </c>
    </row>
    <row r="2185" spans="7:11" x14ac:dyDescent="0.25">
      <c r="G2185" s="1" t="str">
        <f>IF(Table2[[#This Row],[Description]]="","",VLOOKUP(Table2[[#This Row],[Description]],$Q$1:$S$101,2,FALSE))</f>
        <v/>
      </c>
      <c r="H2185" s="1" t="str">
        <f>IF(Table2[[#This Row],[Description]]="","",VLOOKUP(Table2[[#This Row],[Description]],$Q$1:$S$101,3,FALSE))</f>
        <v/>
      </c>
      <c r="I2185" s="1" t="str">
        <f>IF(Table2[[#This Row],[Description]]="","",IF(Table2[[#This Row],[Currency]]=$O$2,$P$2,HLOOKUP(Table2[[#This Row],[Date]],Funds!$C$10:$GV$11,2,FALSE)))</f>
        <v/>
      </c>
      <c r="J2185" s="215" t="str">
        <f>IF(Table2[[#This Row],[Description]]="","",Table2[[#This Row],[Value]]/Table2[[#This Row],[Conversion]])</f>
        <v/>
      </c>
      <c r="K2185" s="45" t="str">
        <f>IF(Table2[[#This Row],[Description]]="","",DATE(Table2[[#This Row],[Year]],Table2[[#This Row],[Month]],1))</f>
        <v/>
      </c>
    </row>
    <row r="2186" spans="7:11" x14ac:dyDescent="0.25">
      <c r="G2186" s="1" t="str">
        <f>IF(Table2[[#This Row],[Description]]="","",VLOOKUP(Table2[[#This Row],[Description]],$Q$1:$S$101,2,FALSE))</f>
        <v/>
      </c>
      <c r="H2186" s="1" t="str">
        <f>IF(Table2[[#This Row],[Description]]="","",VLOOKUP(Table2[[#This Row],[Description]],$Q$1:$S$101,3,FALSE))</f>
        <v/>
      </c>
      <c r="I2186" s="1" t="str">
        <f>IF(Table2[[#This Row],[Description]]="","",IF(Table2[[#This Row],[Currency]]=$O$2,$P$2,HLOOKUP(Table2[[#This Row],[Date]],Funds!$C$10:$GV$11,2,FALSE)))</f>
        <v/>
      </c>
      <c r="J2186" s="215" t="str">
        <f>IF(Table2[[#This Row],[Description]]="","",Table2[[#This Row],[Value]]/Table2[[#This Row],[Conversion]])</f>
        <v/>
      </c>
      <c r="K2186" s="45" t="str">
        <f>IF(Table2[[#This Row],[Description]]="","",DATE(Table2[[#This Row],[Year]],Table2[[#This Row],[Month]],1))</f>
        <v/>
      </c>
    </row>
    <row r="2187" spans="7:11" x14ac:dyDescent="0.25">
      <c r="G2187" s="1" t="str">
        <f>IF(Table2[[#This Row],[Description]]="","",VLOOKUP(Table2[[#This Row],[Description]],$Q$1:$S$101,2,FALSE))</f>
        <v/>
      </c>
      <c r="H2187" s="1" t="str">
        <f>IF(Table2[[#This Row],[Description]]="","",VLOOKUP(Table2[[#This Row],[Description]],$Q$1:$S$101,3,FALSE))</f>
        <v/>
      </c>
      <c r="I2187" s="1" t="str">
        <f>IF(Table2[[#This Row],[Description]]="","",IF(Table2[[#This Row],[Currency]]=$O$2,$P$2,HLOOKUP(Table2[[#This Row],[Date]],Funds!$C$10:$GV$11,2,FALSE)))</f>
        <v/>
      </c>
      <c r="J2187" s="215" t="str">
        <f>IF(Table2[[#This Row],[Description]]="","",Table2[[#This Row],[Value]]/Table2[[#This Row],[Conversion]])</f>
        <v/>
      </c>
      <c r="K2187" s="45" t="str">
        <f>IF(Table2[[#This Row],[Description]]="","",DATE(Table2[[#This Row],[Year]],Table2[[#This Row],[Month]],1))</f>
        <v/>
      </c>
    </row>
    <row r="2188" spans="7:11" x14ac:dyDescent="0.25">
      <c r="G2188" s="1" t="str">
        <f>IF(Table2[[#This Row],[Description]]="","",VLOOKUP(Table2[[#This Row],[Description]],$Q$1:$S$101,2,FALSE))</f>
        <v/>
      </c>
      <c r="H2188" s="1" t="str">
        <f>IF(Table2[[#This Row],[Description]]="","",VLOOKUP(Table2[[#This Row],[Description]],$Q$1:$S$101,3,FALSE))</f>
        <v/>
      </c>
      <c r="I2188" s="1" t="str">
        <f>IF(Table2[[#This Row],[Description]]="","",IF(Table2[[#This Row],[Currency]]=$O$2,$P$2,HLOOKUP(Table2[[#This Row],[Date]],Funds!$C$10:$GV$11,2,FALSE)))</f>
        <v/>
      </c>
      <c r="J2188" s="215" t="str">
        <f>IF(Table2[[#This Row],[Description]]="","",Table2[[#This Row],[Value]]/Table2[[#This Row],[Conversion]])</f>
        <v/>
      </c>
      <c r="K2188" s="45" t="str">
        <f>IF(Table2[[#This Row],[Description]]="","",DATE(Table2[[#This Row],[Year]],Table2[[#This Row],[Month]],1))</f>
        <v/>
      </c>
    </row>
    <row r="2189" spans="7:11" x14ac:dyDescent="0.25">
      <c r="G2189" s="1" t="str">
        <f>IF(Table2[[#This Row],[Description]]="","",VLOOKUP(Table2[[#This Row],[Description]],$Q$1:$S$101,2,FALSE))</f>
        <v/>
      </c>
      <c r="H2189" s="1" t="str">
        <f>IF(Table2[[#This Row],[Description]]="","",VLOOKUP(Table2[[#This Row],[Description]],$Q$1:$S$101,3,FALSE))</f>
        <v/>
      </c>
      <c r="I2189" s="1" t="str">
        <f>IF(Table2[[#This Row],[Description]]="","",IF(Table2[[#This Row],[Currency]]=$O$2,$P$2,HLOOKUP(Table2[[#This Row],[Date]],Funds!$C$10:$GV$11,2,FALSE)))</f>
        <v/>
      </c>
      <c r="J2189" s="215" t="str">
        <f>IF(Table2[[#This Row],[Description]]="","",Table2[[#This Row],[Value]]/Table2[[#This Row],[Conversion]])</f>
        <v/>
      </c>
      <c r="K2189" s="45" t="str">
        <f>IF(Table2[[#This Row],[Description]]="","",DATE(Table2[[#This Row],[Year]],Table2[[#This Row],[Month]],1))</f>
        <v/>
      </c>
    </row>
    <row r="2190" spans="7:11" x14ac:dyDescent="0.25">
      <c r="G2190" s="1" t="str">
        <f>IF(Table2[[#This Row],[Description]]="","",VLOOKUP(Table2[[#This Row],[Description]],$Q$1:$S$101,2,FALSE))</f>
        <v/>
      </c>
      <c r="H2190" s="1" t="str">
        <f>IF(Table2[[#This Row],[Description]]="","",VLOOKUP(Table2[[#This Row],[Description]],$Q$1:$S$101,3,FALSE))</f>
        <v/>
      </c>
      <c r="I2190" s="1" t="str">
        <f>IF(Table2[[#This Row],[Description]]="","",IF(Table2[[#This Row],[Currency]]=$O$2,$P$2,HLOOKUP(Table2[[#This Row],[Date]],Funds!$C$10:$GV$11,2,FALSE)))</f>
        <v/>
      </c>
      <c r="J2190" s="215" t="str">
        <f>IF(Table2[[#This Row],[Description]]="","",Table2[[#This Row],[Value]]/Table2[[#This Row],[Conversion]])</f>
        <v/>
      </c>
      <c r="K2190" s="45" t="str">
        <f>IF(Table2[[#This Row],[Description]]="","",DATE(Table2[[#This Row],[Year]],Table2[[#This Row],[Month]],1))</f>
        <v/>
      </c>
    </row>
    <row r="2191" spans="7:11" x14ac:dyDescent="0.25">
      <c r="G2191" s="1" t="str">
        <f>IF(Table2[[#This Row],[Description]]="","",VLOOKUP(Table2[[#This Row],[Description]],$Q$1:$S$101,2,FALSE))</f>
        <v/>
      </c>
      <c r="H2191" s="1" t="str">
        <f>IF(Table2[[#This Row],[Description]]="","",VLOOKUP(Table2[[#This Row],[Description]],$Q$1:$S$101,3,FALSE))</f>
        <v/>
      </c>
      <c r="I2191" s="1" t="str">
        <f>IF(Table2[[#This Row],[Description]]="","",IF(Table2[[#This Row],[Currency]]=$O$2,$P$2,HLOOKUP(Table2[[#This Row],[Date]],Funds!$C$10:$GV$11,2,FALSE)))</f>
        <v/>
      </c>
      <c r="J2191" s="215" t="str">
        <f>IF(Table2[[#This Row],[Description]]="","",Table2[[#This Row],[Value]]/Table2[[#This Row],[Conversion]])</f>
        <v/>
      </c>
      <c r="K2191" s="45" t="str">
        <f>IF(Table2[[#This Row],[Description]]="","",DATE(Table2[[#This Row],[Year]],Table2[[#This Row],[Month]],1))</f>
        <v/>
      </c>
    </row>
    <row r="2192" spans="7:11" x14ac:dyDescent="0.25">
      <c r="G2192" s="1" t="str">
        <f>IF(Table2[[#This Row],[Description]]="","",VLOOKUP(Table2[[#This Row],[Description]],$Q$1:$S$101,2,FALSE))</f>
        <v/>
      </c>
      <c r="H2192" s="1" t="str">
        <f>IF(Table2[[#This Row],[Description]]="","",VLOOKUP(Table2[[#This Row],[Description]],$Q$1:$S$101,3,FALSE))</f>
        <v/>
      </c>
      <c r="I2192" s="1" t="str">
        <f>IF(Table2[[#This Row],[Description]]="","",IF(Table2[[#This Row],[Currency]]=$O$2,$P$2,HLOOKUP(Table2[[#This Row],[Date]],Funds!$C$10:$GV$11,2,FALSE)))</f>
        <v/>
      </c>
      <c r="J2192" s="215" t="str">
        <f>IF(Table2[[#This Row],[Description]]="","",Table2[[#This Row],[Value]]/Table2[[#This Row],[Conversion]])</f>
        <v/>
      </c>
      <c r="K2192" s="45" t="str">
        <f>IF(Table2[[#This Row],[Description]]="","",DATE(Table2[[#This Row],[Year]],Table2[[#This Row],[Month]],1))</f>
        <v/>
      </c>
    </row>
    <row r="2193" spans="7:11" x14ac:dyDescent="0.25">
      <c r="G2193" s="1" t="str">
        <f>IF(Table2[[#This Row],[Description]]="","",VLOOKUP(Table2[[#This Row],[Description]],$Q$1:$S$101,2,FALSE))</f>
        <v/>
      </c>
      <c r="H2193" s="1" t="str">
        <f>IF(Table2[[#This Row],[Description]]="","",VLOOKUP(Table2[[#This Row],[Description]],$Q$1:$S$101,3,FALSE))</f>
        <v/>
      </c>
      <c r="I2193" s="1" t="str">
        <f>IF(Table2[[#This Row],[Description]]="","",IF(Table2[[#This Row],[Currency]]=$O$2,$P$2,HLOOKUP(Table2[[#This Row],[Date]],Funds!$C$10:$GV$11,2,FALSE)))</f>
        <v/>
      </c>
      <c r="J2193" s="215" t="str">
        <f>IF(Table2[[#This Row],[Description]]="","",Table2[[#This Row],[Value]]/Table2[[#This Row],[Conversion]])</f>
        <v/>
      </c>
      <c r="K2193" s="45" t="str">
        <f>IF(Table2[[#This Row],[Description]]="","",DATE(Table2[[#This Row],[Year]],Table2[[#This Row],[Month]],1))</f>
        <v/>
      </c>
    </row>
    <row r="2194" spans="7:11" x14ac:dyDescent="0.25">
      <c r="G2194" s="1" t="str">
        <f>IF(Table2[[#This Row],[Description]]="","",VLOOKUP(Table2[[#This Row],[Description]],$Q$1:$S$101,2,FALSE))</f>
        <v/>
      </c>
      <c r="H2194" s="1" t="str">
        <f>IF(Table2[[#This Row],[Description]]="","",VLOOKUP(Table2[[#This Row],[Description]],$Q$1:$S$101,3,FALSE))</f>
        <v/>
      </c>
      <c r="I2194" s="1" t="str">
        <f>IF(Table2[[#This Row],[Description]]="","",IF(Table2[[#This Row],[Currency]]=$O$2,$P$2,HLOOKUP(Table2[[#This Row],[Date]],Funds!$C$10:$GV$11,2,FALSE)))</f>
        <v/>
      </c>
      <c r="J2194" s="215" t="str">
        <f>IF(Table2[[#This Row],[Description]]="","",Table2[[#This Row],[Value]]/Table2[[#This Row],[Conversion]])</f>
        <v/>
      </c>
      <c r="K2194" s="45" t="str">
        <f>IF(Table2[[#This Row],[Description]]="","",DATE(Table2[[#This Row],[Year]],Table2[[#This Row],[Month]],1))</f>
        <v/>
      </c>
    </row>
    <row r="2195" spans="7:11" x14ac:dyDescent="0.25">
      <c r="G2195" s="1" t="str">
        <f>IF(Table2[[#This Row],[Description]]="","",VLOOKUP(Table2[[#This Row],[Description]],$Q$1:$S$101,2,FALSE))</f>
        <v/>
      </c>
      <c r="H2195" s="1" t="str">
        <f>IF(Table2[[#This Row],[Description]]="","",VLOOKUP(Table2[[#This Row],[Description]],$Q$1:$S$101,3,FALSE))</f>
        <v/>
      </c>
      <c r="I2195" s="1" t="str">
        <f>IF(Table2[[#This Row],[Description]]="","",IF(Table2[[#This Row],[Currency]]=$O$2,$P$2,HLOOKUP(Table2[[#This Row],[Date]],Funds!$C$10:$GV$11,2,FALSE)))</f>
        <v/>
      </c>
      <c r="J2195" s="215" t="str">
        <f>IF(Table2[[#This Row],[Description]]="","",Table2[[#This Row],[Value]]/Table2[[#This Row],[Conversion]])</f>
        <v/>
      </c>
      <c r="K2195" s="45" t="str">
        <f>IF(Table2[[#This Row],[Description]]="","",DATE(Table2[[#This Row],[Year]],Table2[[#This Row],[Month]],1))</f>
        <v/>
      </c>
    </row>
    <row r="2196" spans="7:11" x14ac:dyDescent="0.25">
      <c r="G2196" s="1" t="str">
        <f>IF(Table2[[#This Row],[Description]]="","",VLOOKUP(Table2[[#This Row],[Description]],$Q$1:$S$101,2,FALSE))</f>
        <v/>
      </c>
      <c r="H2196" s="1" t="str">
        <f>IF(Table2[[#This Row],[Description]]="","",VLOOKUP(Table2[[#This Row],[Description]],$Q$1:$S$101,3,FALSE))</f>
        <v/>
      </c>
      <c r="I2196" s="1" t="str">
        <f>IF(Table2[[#This Row],[Description]]="","",IF(Table2[[#This Row],[Currency]]=$O$2,$P$2,HLOOKUP(Table2[[#This Row],[Date]],Funds!$C$10:$GV$11,2,FALSE)))</f>
        <v/>
      </c>
      <c r="J2196" s="215" t="str">
        <f>IF(Table2[[#This Row],[Description]]="","",Table2[[#This Row],[Value]]/Table2[[#This Row],[Conversion]])</f>
        <v/>
      </c>
      <c r="K2196" s="45" t="str">
        <f>IF(Table2[[#This Row],[Description]]="","",DATE(Table2[[#This Row],[Year]],Table2[[#This Row],[Month]],1))</f>
        <v/>
      </c>
    </row>
    <row r="2197" spans="7:11" x14ac:dyDescent="0.25">
      <c r="G2197" s="1" t="str">
        <f>IF(Table2[[#This Row],[Description]]="","",VLOOKUP(Table2[[#This Row],[Description]],$Q$1:$S$101,2,FALSE))</f>
        <v/>
      </c>
      <c r="H2197" s="1" t="str">
        <f>IF(Table2[[#This Row],[Description]]="","",VLOOKUP(Table2[[#This Row],[Description]],$Q$1:$S$101,3,FALSE))</f>
        <v/>
      </c>
      <c r="I2197" s="1" t="str">
        <f>IF(Table2[[#This Row],[Description]]="","",IF(Table2[[#This Row],[Currency]]=$O$2,$P$2,HLOOKUP(Table2[[#This Row],[Date]],Funds!$C$10:$GV$11,2,FALSE)))</f>
        <v/>
      </c>
      <c r="J2197" s="215" t="str">
        <f>IF(Table2[[#This Row],[Description]]="","",Table2[[#This Row],[Value]]/Table2[[#This Row],[Conversion]])</f>
        <v/>
      </c>
      <c r="K2197" s="45" t="str">
        <f>IF(Table2[[#This Row],[Description]]="","",DATE(Table2[[#This Row],[Year]],Table2[[#This Row],[Month]],1))</f>
        <v/>
      </c>
    </row>
    <row r="2198" spans="7:11" x14ac:dyDescent="0.25">
      <c r="G2198" s="1" t="str">
        <f>IF(Table2[[#This Row],[Description]]="","",VLOOKUP(Table2[[#This Row],[Description]],$Q$1:$S$101,2,FALSE))</f>
        <v/>
      </c>
      <c r="H2198" s="1" t="str">
        <f>IF(Table2[[#This Row],[Description]]="","",VLOOKUP(Table2[[#This Row],[Description]],$Q$1:$S$101,3,FALSE))</f>
        <v/>
      </c>
      <c r="I2198" s="1" t="str">
        <f>IF(Table2[[#This Row],[Description]]="","",IF(Table2[[#This Row],[Currency]]=$O$2,$P$2,HLOOKUP(Table2[[#This Row],[Date]],Funds!$C$10:$GV$11,2,FALSE)))</f>
        <v/>
      </c>
      <c r="J2198" s="215" t="str">
        <f>IF(Table2[[#This Row],[Description]]="","",Table2[[#This Row],[Value]]/Table2[[#This Row],[Conversion]])</f>
        <v/>
      </c>
      <c r="K2198" s="45" t="str">
        <f>IF(Table2[[#This Row],[Description]]="","",DATE(Table2[[#This Row],[Year]],Table2[[#This Row],[Month]],1))</f>
        <v/>
      </c>
    </row>
    <row r="2199" spans="7:11" x14ac:dyDescent="0.25">
      <c r="G2199" s="1" t="str">
        <f>IF(Table2[[#This Row],[Description]]="","",VLOOKUP(Table2[[#This Row],[Description]],$Q$1:$S$101,2,FALSE))</f>
        <v/>
      </c>
      <c r="H2199" s="1" t="str">
        <f>IF(Table2[[#This Row],[Description]]="","",VLOOKUP(Table2[[#This Row],[Description]],$Q$1:$S$101,3,FALSE))</f>
        <v/>
      </c>
      <c r="I2199" s="1" t="str">
        <f>IF(Table2[[#This Row],[Description]]="","",IF(Table2[[#This Row],[Currency]]=$O$2,$P$2,HLOOKUP(Table2[[#This Row],[Date]],Funds!$C$10:$GV$11,2,FALSE)))</f>
        <v/>
      </c>
      <c r="J2199" s="215" t="str">
        <f>IF(Table2[[#This Row],[Description]]="","",Table2[[#This Row],[Value]]/Table2[[#This Row],[Conversion]])</f>
        <v/>
      </c>
      <c r="K2199" s="45" t="str">
        <f>IF(Table2[[#This Row],[Description]]="","",DATE(Table2[[#This Row],[Year]],Table2[[#This Row],[Month]],1))</f>
        <v/>
      </c>
    </row>
    <row r="2200" spans="7:11" x14ac:dyDescent="0.25">
      <c r="G2200" s="1" t="str">
        <f>IF(Table2[[#This Row],[Description]]="","",VLOOKUP(Table2[[#This Row],[Description]],$Q$1:$S$101,2,FALSE))</f>
        <v/>
      </c>
      <c r="H2200" s="1" t="str">
        <f>IF(Table2[[#This Row],[Description]]="","",VLOOKUP(Table2[[#This Row],[Description]],$Q$1:$S$101,3,FALSE))</f>
        <v/>
      </c>
      <c r="I2200" s="1" t="str">
        <f>IF(Table2[[#This Row],[Description]]="","",IF(Table2[[#This Row],[Currency]]=$O$2,$P$2,HLOOKUP(Table2[[#This Row],[Date]],Funds!$C$10:$GV$11,2,FALSE)))</f>
        <v/>
      </c>
      <c r="J2200" s="215" t="str">
        <f>IF(Table2[[#This Row],[Description]]="","",Table2[[#This Row],[Value]]/Table2[[#This Row],[Conversion]])</f>
        <v/>
      </c>
      <c r="K2200" s="45" t="str">
        <f>IF(Table2[[#This Row],[Description]]="","",DATE(Table2[[#This Row],[Year]],Table2[[#This Row],[Month]],1))</f>
        <v/>
      </c>
    </row>
    <row r="2201" spans="7:11" x14ac:dyDescent="0.25">
      <c r="G2201" s="1" t="str">
        <f>IF(Table2[[#This Row],[Description]]="","",VLOOKUP(Table2[[#This Row],[Description]],$Q$1:$S$101,2,FALSE))</f>
        <v/>
      </c>
      <c r="H2201" s="1" t="str">
        <f>IF(Table2[[#This Row],[Description]]="","",VLOOKUP(Table2[[#This Row],[Description]],$Q$1:$S$101,3,FALSE))</f>
        <v/>
      </c>
      <c r="I2201" s="1" t="str">
        <f>IF(Table2[[#This Row],[Description]]="","",IF(Table2[[#This Row],[Currency]]=$O$2,$P$2,HLOOKUP(Table2[[#This Row],[Date]],Funds!$C$10:$GV$11,2,FALSE)))</f>
        <v/>
      </c>
      <c r="J2201" s="215" t="str">
        <f>IF(Table2[[#This Row],[Description]]="","",Table2[[#This Row],[Value]]/Table2[[#This Row],[Conversion]])</f>
        <v/>
      </c>
      <c r="K2201" s="45" t="str">
        <f>IF(Table2[[#This Row],[Description]]="","",DATE(Table2[[#This Row],[Year]],Table2[[#This Row],[Month]],1))</f>
        <v/>
      </c>
    </row>
    <row r="2202" spans="7:11" x14ac:dyDescent="0.25">
      <c r="G2202" s="1" t="str">
        <f>IF(Table2[[#This Row],[Description]]="","",VLOOKUP(Table2[[#This Row],[Description]],$Q$1:$S$101,2,FALSE))</f>
        <v/>
      </c>
      <c r="H2202" s="1" t="str">
        <f>IF(Table2[[#This Row],[Description]]="","",VLOOKUP(Table2[[#This Row],[Description]],$Q$1:$S$101,3,FALSE))</f>
        <v/>
      </c>
      <c r="I2202" s="1" t="str">
        <f>IF(Table2[[#This Row],[Description]]="","",IF(Table2[[#This Row],[Currency]]=$O$2,$P$2,HLOOKUP(Table2[[#This Row],[Date]],Funds!$C$10:$GV$11,2,FALSE)))</f>
        <v/>
      </c>
      <c r="J2202" s="215" t="str">
        <f>IF(Table2[[#This Row],[Description]]="","",Table2[[#This Row],[Value]]/Table2[[#This Row],[Conversion]])</f>
        <v/>
      </c>
      <c r="K2202" s="45" t="str">
        <f>IF(Table2[[#This Row],[Description]]="","",DATE(Table2[[#This Row],[Year]],Table2[[#This Row],[Month]],1))</f>
        <v/>
      </c>
    </row>
    <row r="2203" spans="7:11" x14ac:dyDescent="0.25">
      <c r="G2203" s="1" t="str">
        <f>IF(Table2[[#This Row],[Description]]="","",VLOOKUP(Table2[[#This Row],[Description]],$Q$1:$S$101,2,FALSE))</f>
        <v/>
      </c>
      <c r="H2203" s="1" t="str">
        <f>IF(Table2[[#This Row],[Description]]="","",VLOOKUP(Table2[[#This Row],[Description]],$Q$1:$S$101,3,FALSE))</f>
        <v/>
      </c>
      <c r="I2203" s="1" t="str">
        <f>IF(Table2[[#This Row],[Description]]="","",IF(Table2[[#This Row],[Currency]]=$O$2,$P$2,HLOOKUP(Table2[[#This Row],[Date]],Funds!$C$10:$GV$11,2,FALSE)))</f>
        <v/>
      </c>
      <c r="J2203" s="215" t="str">
        <f>IF(Table2[[#This Row],[Description]]="","",Table2[[#This Row],[Value]]/Table2[[#This Row],[Conversion]])</f>
        <v/>
      </c>
      <c r="K2203" s="45" t="str">
        <f>IF(Table2[[#This Row],[Description]]="","",DATE(Table2[[#This Row],[Year]],Table2[[#This Row],[Month]],1))</f>
        <v/>
      </c>
    </row>
    <row r="2204" spans="7:11" x14ac:dyDescent="0.25">
      <c r="G2204" s="1" t="str">
        <f>IF(Table2[[#This Row],[Description]]="","",VLOOKUP(Table2[[#This Row],[Description]],$Q$1:$S$101,2,FALSE))</f>
        <v/>
      </c>
      <c r="H2204" s="1" t="str">
        <f>IF(Table2[[#This Row],[Description]]="","",VLOOKUP(Table2[[#This Row],[Description]],$Q$1:$S$101,3,FALSE))</f>
        <v/>
      </c>
      <c r="I2204" s="1" t="str">
        <f>IF(Table2[[#This Row],[Description]]="","",IF(Table2[[#This Row],[Currency]]=$O$2,$P$2,HLOOKUP(Table2[[#This Row],[Date]],Funds!$C$10:$GV$11,2,FALSE)))</f>
        <v/>
      </c>
      <c r="J2204" s="215" t="str">
        <f>IF(Table2[[#This Row],[Description]]="","",Table2[[#This Row],[Value]]/Table2[[#This Row],[Conversion]])</f>
        <v/>
      </c>
      <c r="K2204" s="45" t="str">
        <f>IF(Table2[[#This Row],[Description]]="","",DATE(Table2[[#This Row],[Year]],Table2[[#This Row],[Month]],1))</f>
        <v/>
      </c>
    </row>
    <row r="2205" spans="7:11" x14ac:dyDescent="0.25">
      <c r="G2205" s="1" t="str">
        <f>IF(Table2[[#This Row],[Description]]="","",VLOOKUP(Table2[[#This Row],[Description]],$Q$1:$S$101,2,FALSE))</f>
        <v/>
      </c>
      <c r="H2205" s="1" t="str">
        <f>IF(Table2[[#This Row],[Description]]="","",VLOOKUP(Table2[[#This Row],[Description]],$Q$1:$S$101,3,FALSE))</f>
        <v/>
      </c>
      <c r="I2205" s="1" t="str">
        <f>IF(Table2[[#This Row],[Description]]="","",IF(Table2[[#This Row],[Currency]]=$O$2,$P$2,HLOOKUP(Table2[[#This Row],[Date]],Funds!$C$10:$GV$11,2,FALSE)))</f>
        <v/>
      </c>
      <c r="J2205" s="215" t="str">
        <f>IF(Table2[[#This Row],[Description]]="","",Table2[[#This Row],[Value]]/Table2[[#This Row],[Conversion]])</f>
        <v/>
      </c>
      <c r="K2205" s="45" t="str">
        <f>IF(Table2[[#This Row],[Description]]="","",DATE(Table2[[#This Row],[Year]],Table2[[#This Row],[Month]],1))</f>
        <v/>
      </c>
    </row>
    <row r="2206" spans="7:11" x14ac:dyDescent="0.25">
      <c r="G2206" s="1" t="str">
        <f>IF(Table2[[#This Row],[Description]]="","",VLOOKUP(Table2[[#This Row],[Description]],$Q$1:$S$101,2,FALSE))</f>
        <v/>
      </c>
      <c r="H2206" s="1" t="str">
        <f>IF(Table2[[#This Row],[Description]]="","",VLOOKUP(Table2[[#This Row],[Description]],$Q$1:$S$101,3,FALSE))</f>
        <v/>
      </c>
      <c r="I2206" s="1" t="str">
        <f>IF(Table2[[#This Row],[Description]]="","",IF(Table2[[#This Row],[Currency]]=$O$2,$P$2,HLOOKUP(Table2[[#This Row],[Date]],Funds!$C$10:$GV$11,2,FALSE)))</f>
        <v/>
      </c>
      <c r="J2206" s="215" t="str">
        <f>IF(Table2[[#This Row],[Description]]="","",Table2[[#This Row],[Value]]/Table2[[#This Row],[Conversion]])</f>
        <v/>
      </c>
      <c r="K2206" s="45" t="str">
        <f>IF(Table2[[#This Row],[Description]]="","",DATE(Table2[[#This Row],[Year]],Table2[[#This Row],[Month]],1))</f>
        <v/>
      </c>
    </row>
    <row r="2207" spans="7:11" x14ac:dyDescent="0.25">
      <c r="G2207" s="1" t="str">
        <f>IF(Table2[[#This Row],[Description]]="","",VLOOKUP(Table2[[#This Row],[Description]],$Q$1:$S$101,2,FALSE))</f>
        <v/>
      </c>
      <c r="H2207" s="1" t="str">
        <f>IF(Table2[[#This Row],[Description]]="","",VLOOKUP(Table2[[#This Row],[Description]],$Q$1:$S$101,3,FALSE))</f>
        <v/>
      </c>
      <c r="I2207" s="1" t="str">
        <f>IF(Table2[[#This Row],[Description]]="","",IF(Table2[[#This Row],[Currency]]=$O$2,$P$2,HLOOKUP(Table2[[#This Row],[Date]],Funds!$C$10:$GV$11,2,FALSE)))</f>
        <v/>
      </c>
      <c r="J2207" s="215" t="str">
        <f>IF(Table2[[#This Row],[Description]]="","",Table2[[#This Row],[Value]]/Table2[[#This Row],[Conversion]])</f>
        <v/>
      </c>
      <c r="K2207" s="45" t="str">
        <f>IF(Table2[[#This Row],[Description]]="","",DATE(Table2[[#This Row],[Year]],Table2[[#This Row],[Month]],1))</f>
        <v/>
      </c>
    </row>
    <row r="2208" spans="7:11" x14ac:dyDescent="0.25">
      <c r="G2208" s="1" t="str">
        <f>IF(Table2[[#This Row],[Description]]="","",VLOOKUP(Table2[[#This Row],[Description]],$Q$1:$S$101,2,FALSE))</f>
        <v/>
      </c>
      <c r="H2208" s="1" t="str">
        <f>IF(Table2[[#This Row],[Description]]="","",VLOOKUP(Table2[[#This Row],[Description]],$Q$1:$S$101,3,FALSE))</f>
        <v/>
      </c>
      <c r="I2208" s="1" t="str">
        <f>IF(Table2[[#This Row],[Description]]="","",IF(Table2[[#This Row],[Currency]]=$O$2,$P$2,HLOOKUP(Table2[[#This Row],[Date]],Funds!$C$10:$GV$11,2,FALSE)))</f>
        <v/>
      </c>
      <c r="J2208" s="215" t="str">
        <f>IF(Table2[[#This Row],[Description]]="","",Table2[[#This Row],[Value]]/Table2[[#This Row],[Conversion]])</f>
        <v/>
      </c>
      <c r="K2208" s="45" t="str">
        <f>IF(Table2[[#This Row],[Description]]="","",DATE(Table2[[#This Row],[Year]],Table2[[#This Row],[Month]],1))</f>
        <v/>
      </c>
    </row>
    <row r="2209" spans="7:11" x14ac:dyDescent="0.25">
      <c r="G2209" s="1" t="str">
        <f>IF(Table2[[#This Row],[Description]]="","",VLOOKUP(Table2[[#This Row],[Description]],$Q$1:$S$101,2,FALSE))</f>
        <v/>
      </c>
      <c r="H2209" s="1" t="str">
        <f>IF(Table2[[#This Row],[Description]]="","",VLOOKUP(Table2[[#This Row],[Description]],$Q$1:$S$101,3,FALSE))</f>
        <v/>
      </c>
      <c r="I2209" s="1" t="str">
        <f>IF(Table2[[#This Row],[Description]]="","",IF(Table2[[#This Row],[Currency]]=$O$2,$P$2,HLOOKUP(Table2[[#This Row],[Date]],Funds!$C$10:$GV$11,2,FALSE)))</f>
        <v/>
      </c>
      <c r="J2209" s="215" t="str">
        <f>IF(Table2[[#This Row],[Description]]="","",Table2[[#This Row],[Value]]/Table2[[#This Row],[Conversion]])</f>
        <v/>
      </c>
      <c r="K2209" s="45" t="str">
        <f>IF(Table2[[#This Row],[Description]]="","",DATE(Table2[[#This Row],[Year]],Table2[[#This Row],[Month]],1))</f>
        <v/>
      </c>
    </row>
    <row r="2210" spans="7:11" x14ac:dyDescent="0.25">
      <c r="G2210" s="1" t="str">
        <f>IF(Table2[[#This Row],[Description]]="","",VLOOKUP(Table2[[#This Row],[Description]],$Q$1:$S$101,2,FALSE))</f>
        <v/>
      </c>
      <c r="H2210" s="1" t="str">
        <f>IF(Table2[[#This Row],[Description]]="","",VLOOKUP(Table2[[#This Row],[Description]],$Q$1:$S$101,3,FALSE))</f>
        <v/>
      </c>
      <c r="I2210" s="1" t="str">
        <f>IF(Table2[[#This Row],[Description]]="","",IF(Table2[[#This Row],[Currency]]=$O$2,$P$2,HLOOKUP(Table2[[#This Row],[Date]],Funds!$C$10:$GV$11,2,FALSE)))</f>
        <v/>
      </c>
      <c r="J2210" s="215" t="str">
        <f>IF(Table2[[#This Row],[Description]]="","",Table2[[#This Row],[Value]]/Table2[[#This Row],[Conversion]])</f>
        <v/>
      </c>
      <c r="K2210" s="45" t="str">
        <f>IF(Table2[[#This Row],[Description]]="","",DATE(Table2[[#This Row],[Year]],Table2[[#This Row],[Month]],1))</f>
        <v/>
      </c>
    </row>
    <row r="2211" spans="7:11" x14ac:dyDescent="0.25">
      <c r="G2211" s="1" t="str">
        <f>IF(Table2[[#This Row],[Description]]="","",VLOOKUP(Table2[[#This Row],[Description]],$Q$1:$S$101,2,FALSE))</f>
        <v/>
      </c>
      <c r="H2211" s="1" t="str">
        <f>IF(Table2[[#This Row],[Description]]="","",VLOOKUP(Table2[[#This Row],[Description]],$Q$1:$S$101,3,FALSE))</f>
        <v/>
      </c>
      <c r="I2211" s="1" t="str">
        <f>IF(Table2[[#This Row],[Description]]="","",IF(Table2[[#This Row],[Currency]]=$O$2,$P$2,HLOOKUP(Table2[[#This Row],[Date]],Funds!$C$10:$GV$11,2,FALSE)))</f>
        <v/>
      </c>
      <c r="J2211" s="215" t="str">
        <f>IF(Table2[[#This Row],[Description]]="","",Table2[[#This Row],[Value]]/Table2[[#This Row],[Conversion]])</f>
        <v/>
      </c>
      <c r="K2211" s="45" t="str">
        <f>IF(Table2[[#This Row],[Description]]="","",DATE(Table2[[#This Row],[Year]],Table2[[#This Row],[Month]],1))</f>
        <v/>
      </c>
    </row>
    <row r="2212" spans="7:11" x14ac:dyDescent="0.25">
      <c r="G2212" s="1" t="str">
        <f>IF(Table2[[#This Row],[Description]]="","",VLOOKUP(Table2[[#This Row],[Description]],$Q$1:$S$101,2,FALSE))</f>
        <v/>
      </c>
      <c r="H2212" s="1" t="str">
        <f>IF(Table2[[#This Row],[Description]]="","",VLOOKUP(Table2[[#This Row],[Description]],$Q$1:$S$101,3,FALSE))</f>
        <v/>
      </c>
      <c r="I2212" s="1" t="str">
        <f>IF(Table2[[#This Row],[Description]]="","",IF(Table2[[#This Row],[Currency]]=$O$2,$P$2,HLOOKUP(Table2[[#This Row],[Date]],Funds!$C$10:$GV$11,2,FALSE)))</f>
        <v/>
      </c>
      <c r="J2212" s="215" t="str">
        <f>IF(Table2[[#This Row],[Description]]="","",Table2[[#This Row],[Value]]/Table2[[#This Row],[Conversion]])</f>
        <v/>
      </c>
      <c r="K2212" s="45" t="str">
        <f>IF(Table2[[#This Row],[Description]]="","",DATE(Table2[[#This Row],[Year]],Table2[[#This Row],[Month]],1))</f>
        <v/>
      </c>
    </row>
    <row r="2213" spans="7:11" x14ac:dyDescent="0.25">
      <c r="G2213" s="1" t="str">
        <f>IF(Table2[[#This Row],[Description]]="","",VLOOKUP(Table2[[#This Row],[Description]],$Q$1:$S$101,2,FALSE))</f>
        <v/>
      </c>
      <c r="H2213" s="1" t="str">
        <f>IF(Table2[[#This Row],[Description]]="","",VLOOKUP(Table2[[#This Row],[Description]],$Q$1:$S$101,3,FALSE))</f>
        <v/>
      </c>
      <c r="I2213" s="1" t="str">
        <f>IF(Table2[[#This Row],[Description]]="","",IF(Table2[[#This Row],[Currency]]=$O$2,$P$2,HLOOKUP(Table2[[#This Row],[Date]],Funds!$C$10:$GV$11,2,FALSE)))</f>
        <v/>
      </c>
      <c r="J2213" s="215" t="str">
        <f>IF(Table2[[#This Row],[Description]]="","",Table2[[#This Row],[Value]]/Table2[[#This Row],[Conversion]])</f>
        <v/>
      </c>
      <c r="K2213" s="45" t="str">
        <f>IF(Table2[[#This Row],[Description]]="","",DATE(Table2[[#This Row],[Year]],Table2[[#This Row],[Month]],1))</f>
        <v/>
      </c>
    </row>
    <row r="2214" spans="7:11" x14ac:dyDescent="0.25">
      <c r="G2214" s="1" t="str">
        <f>IF(Table2[[#This Row],[Description]]="","",VLOOKUP(Table2[[#This Row],[Description]],$Q$1:$S$101,2,FALSE))</f>
        <v/>
      </c>
      <c r="H2214" s="1" t="str">
        <f>IF(Table2[[#This Row],[Description]]="","",VLOOKUP(Table2[[#This Row],[Description]],$Q$1:$S$101,3,FALSE))</f>
        <v/>
      </c>
      <c r="I2214" s="1" t="str">
        <f>IF(Table2[[#This Row],[Description]]="","",IF(Table2[[#This Row],[Currency]]=$O$2,$P$2,HLOOKUP(Table2[[#This Row],[Date]],Funds!$C$10:$GV$11,2,FALSE)))</f>
        <v/>
      </c>
      <c r="J2214" s="215" t="str">
        <f>IF(Table2[[#This Row],[Description]]="","",Table2[[#This Row],[Value]]/Table2[[#This Row],[Conversion]])</f>
        <v/>
      </c>
      <c r="K2214" s="45" t="str">
        <f>IF(Table2[[#This Row],[Description]]="","",DATE(Table2[[#This Row],[Year]],Table2[[#This Row],[Month]],1))</f>
        <v/>
      </c>
    </row>
    <row r="2215" spans="7:11" x14ac:dyDescent="0.25">
      <c r="G2215" s="1" t="str">
        <f>IF(Table2[[#This Row],[Description]]="","",VLOOKUP(Table2[[#This Row],[Description]],$Q$1:$S$101,2,FALSE))</f>
        <v/>
      </c>
      <c r="H2215" s="1" t="str">
        <f>IF(Table2[[#This Row],[Description]]="","",VLOOKUP(Table2[[#This Row],[Description]],$Q$1:$S$101,3,FALSE))</f>
        <v/>
      </c>
      <c r="I2215" s="1" t="str">
        <f>IF(Table2[[#This Row],[Description]]="","",IF(Table2[[#This Row],[Currency]]=$O$2,$P$2,HLOOKUP(Table2[[#This Row],[Date]],Funds!$C$10:$GV$11,2,FALSE)))</f>
        <v/>
      </c>
      <c r="J2215" s="215" t="str">
        <f>IF(Table2[[#This Row],[Description]]="","",Table2[[#This Row],[Value]]/Table2[[#This Row],[Conversion]])</f>
        <v/>
      </c>
      <c r="K2215" s="45" t="str">
        <f>IF(Table2[[#This Row],[Description]]="","",DATE(Table2[[#This Row],[Year]],Table2[[#This Row],[Month]],1))</f>
        <v/>
      </c>
    </row>
    <row r="2216" spans="7:11" x14ac:dyDescent="0.25">
      <c r="G2216" s="1" t="str">
        <f>IF(Table2[[#This Row],[Description]]="","",VLOOKUP(Table2[[#This Row],[Description]],$Q$1:$S$101,2,FALSE))</f>
        <v/>
      </c>
      <c r="H2216" s="1" t="str">
        <f>IF(Table2[[#This Row],[Description]]="","",VLOOKUP(Table2[[#This Row],[Description]],$Q$1:$S$101,3,FALSE))</f>
        <v/>
      </c>
      <c r="I2216" s="1" t="str">
        <f>IF(Table2[[#This Row],[Description]]="","",IF(Table2[[#This Row],[Currency]]=$O$2,$P$2,HLOOKUP(Table2[[#This Row],[Date]],Funds!$C$10:$GV$11,2,FALSE)))</f>
        <v/>
      </c>
      <c r="J2216" s="215" t="str">
        <f>IF(Table2[[#This Row],[Description]]="","",Table2[[#This Row],[Value]]/Table2[[#This Row],[Conversion]])</f>
        <v/>
      </c>
      <c r="K2216" s="45" t="str">
        <f>IF(Table2[[#This Row],[Description]]="","",DATE(Table2[[#This Row],[Year]],Table2[[#This Row],[Month]],1))</f>
        <v/>
      </c>
    </row>
    <row r="2217" spans="7:11" x14ac:dyDescent="0.25">
      <c r="G2217" s="1" t="str">
        <f>IF(Table2[[#This Row],[Description]]="","",VLOOKUP(Table2[[#This Row],[Description]],$Q$1:$S$101,2,FALSE))</f>
        <v/>
      </c>
      <c r="H2217" s="1" t="str">
        <f>IF(Table2[[#This Row],[Description]]="","",VLOOKUP(Table2[[#This Row],[Description]],$Q$1:$S$101,3,FALSE))</f>
        <v/>
      </c>
      <c r="I2217" s="1" t="str">
        <f>IF(Table2[[#This Row],[Description]]="","",IF(Table2[[#This Row],[Currency]]=$O$2,$P$2,HLOOKUP(Table2[[#This Row],[Date]],Funds!$C$10:$GV$11,2,FALSE)))</f>
        <v/>
      </c>
      <c r="J2217" s="215" t="str">
        <f>IF(Table2[[#This Row],[Description]]="","",Table2[[#This Row],[Value]]/Table2[[#This Row],[Conversion]])</f>
        <v/>
      </c>
      <c r="K2217" s="45" t="str">
        <f>IF(Table2[[#This Row],[Description]]="","",DATE(Table2[[#This Row],[Year]],Table2[[#This Row],[Month]],1))</f>
        <v/>
      </c>
    </row>
    <row r="2218" spans="7:11" x14ac:dyDescent="0.25">
      <c r="G2218" s="1" t="str">
        <f>IF(Table2[[#This Row],[Description]]="","",VLOOKUP(Table2[[#This Row],[Description]],$Q$1:$S$101,2,FALSE))</f>
        <v/>
      </c>
      <c r="H2218" s="1" t="str">
        <f>IF(Table2[[#This Row],[Description]]="","",VLOOKUP(Table2[[#This Row],[Description]],$Q$1:$S$101,3,FALSE))</f>
        <v/>
      </c>
      <c r="I2218" s="1" t="str">
        <f>IF(Table2[[#This Row],[Description]]="","",IF(Table2[[#This Row],[Currency]]=$O$2,$P$2,HLOOKUP(Table2[[#This Row],[Date]],Funds!$C$10:$GV$11,2,FALSE)))</f>
        <v/>
      </c>
      <c r="J2218" s="215" t="str">
        <f>IF(Table2[[#This Row],[Description]]="","",Table2[[#This Row],[Value]]/Table2[[#This Row],[Conversion]])</f>
        <v/>
      </c>
      <c r="K2218" s="45" t="str">
        <f>IF(Table2[[#This Row],[Description]]="","",DATE(Table2[[#This Row],[Year]],Table2[[#This Row],[Month]],1))</f>
        <v/>
      </c>
    </row>
    <row r="2219" spans="7:11" x14ac:dyDescent="0.25">
      <c r="G2219" s="1" t="str">
        <f>IF(Table2[[#This Row],[Description]]="","",VLOOKUP(Table2[[#This Row],[Description]],$Q$1:$S$101,2,FALSE))</f>
        <v/>
      </c>
      <c r="H2219" s="1" t="str">
        <f>IF(Table2[[#This Row],[Description]]="","",VLOOKUP(Table2[[#This Row],[Description]],$Q$1:$S$101,3,FALSE))</f>
        <v/>
      </c>
      <c r="I2219" s="1" t="str">
        <f>IF(Table2[[#This Row],[Description]]="","",IF(Table2[[#This Row],[Currency]]=$O$2,$P$2,HLOOKUP(Table2[[#This Row],[Date]],Funds!$C$10:$GV$11,2,FALSE)))</f>
        <v/>
      </c>
      <c r="J2219" s="215" t="str">
        <f>IF(Table2[[#This Row],[Description]]="","",Table2[[#This Row],[Value]]/Table2[[#This Row],[Conversion]])</f>
        <v/>
      </c>
      <c r="K2219" s="45" t="str">
        <f>IF(Table2[[#This Row],[Description]]="","",DATE(Table2[[#This Row],[Year]],Table2[[#This Row],[Month]],1))</f>
        <v/>
      </c>
    </row>
    <row r="2220" spans="7:11" x14ac:dyDescent="0.25">
      <c r="G2220" s="1" t="str">
        <f>IF(Table2[[#This Row],[Description]]="","",VLOOKUP(Table2[[#This Row],[Description]],$Q$1:$S$101,2,FALSE))</f>
        <v/>
      </c>
      <c r="H2220" s="1" t="str">
        <f>IF(Table2[[#This Row],[Description]]="","",VLOOKUP(Table2[[#This Row],[Description]],$Q$1:$S$101,3,FALSE))</f>
        <v/>
      </c>
      <c r="I2220" s="1" t="str">
        <f>IF(Table2[[#This Row],[Description]]="","",IF(Table2[[#This Row],[Currency]]=$O$2,$P$2,HLOOKUP(Table2[[#This Row],[Date]],Funds!$C$10:$GV$11,2,FALSE)))</f>
        <v/>
      </c>
      <c r="J2220" s="215" t="str">
        <f>IF(Table2[[#This Row],[Description]]="","",Table2[[#This Row],[Value]]/Table2[[#This Row],[Conversion]])</f>
        <v/>
      </c>
      <c r="K2220" s="45" t="str">
        <f>IF(Table2[[#This Row],[Description]]="","",DATE(Table2[[#This Row],[Year]],Table2[[#This Row],[Month]],1))</f>
        <v/>
      </c>
    </row>
    <row r="2221" spans="7:11" x14ac:dyDescent="0.25">
      <c r="G2221" s="1" t="str">
        <f>IF(Table2[[#This Row],[Description]]="","",VLOOKUP(Table2[[#This Row],[Description]],$Q$1:$S$101,2,FALSE))</f>
        <v/>
      </c>
      <c r="H2221" s="1" t="str">
        <f>IF(Table2[[#This Row],[Description]]="","",VLOOKUP(Table2[[#This Row],[Description]],$Q$1:$S$101,3,FALSE))</f>
        <v/>
      </c>
      <c r="I2221" s="1" t="str">
        <f>IF(Table2[[#This Row],[Description]]="","",IF(Table2[[#This Row],[Currency]]=$O$2,$P$2,HLOOKUP(Table2[[#This Row],[Date]],Funds!$C$10:$GV$11,2,FALSE)))</f>
        <v/>
      </c>
      <c r="J2221" s="215" t="str">
        <f>IF(Table2[[#This Row],[Description]]="","",Table2[[#This Row],[Value]]/Table2[[#This Row],[Conversion]])</f>
        <v/>
      </c>
      <c r="K2221" s="45" t="str">
        <f>IF(Table2[[#This Row],[Description]]="","",DATE(Table2[[#This Row],[Year]],Table2[[#This Row],[Month]],1))</f>
        <v/>
      </c>
    </row>
    <row r="2222" spans="7:11" x14ac:dyDescent="0.25">
      <c r="G2222" s="1" t="str">
        <f>IF(Table2[[#This Row],[Description]]="","",VLOOKUP(Table2[[#This Row],[Description]],$Q$1:$S$101,2,FALSE))</f>
        <v/>
      </c>
      <c r="H2222" s="1" t="str">
        <f>IF(Table2[[#This Row],[Description]]="","",VLOOKUP(Table2[[#This Row],[Description]],$Q$1:$S$101,3,FALSE))</f>
        <v/>
      </c>
      <c r="I2222" s="1" t="str">
        <f>IF(Table2[[#This Row],[Description]]="","",IF(Table2[[#This Row],[Currency]]=$O$2,$P$2,HLOOKUP(Table2[[#This Row],[Date]],Funds!$C$10:$GV$11,2,FALSE)))</f>
        <v/>
      </c>
      <c r="J2222" s="215" t="str">
        <f>IF(Table2[[#This Row],[Description]]="","",Table2[[#This Row],[Value]]/Table2[[#This Row],[Conversion]])</f>
        <v/>
      </c>
      <c r="K2222" s="45" t="str">
        <f>IF(Table2[[#This Row],[Description]]="","",DATE(Table2[[#This Row],[Year]],Table2[[#This Row],[Month]],1))</f>
        <v/>
      </c>
    </row>
    <row r="2223" spans="7:11" x14ac:dyDescent="0.25">
      <c r="G2223" s="1" t="str">
        <f>IF(Table2[[#This Row],[Description]]="","",VLOOKUP(Table2[[#This Row],[Description]],$Q$1:$S$101,2,FALSE))</f>
        <v/>
      </c>
      <c r="H2223" s="1" t="str">
        <f>IF(Table2[[#This Row],[Description]]="","",VLOOKUP(Table2[[#This Row],[Description]],$Q$1:$S$101,3,FALSE))</f>
        <v/>
      </c>
      <c r="I2223" s="1" t="str">
        <f>IF(Table2[[#This Row],[Description]]="","",IF(Table2[[#This Row],[Currency]]=$O$2,$P$2,HLOOKUP(Table2[[#This Row],[Date]],Funds!$C$10:$GV$11,2,FALSE)))</f>
        <v/>
      </c>
      <c r="J2223" s="215" t="str">
        <f>IF(Table2[[#This Row],[Description]]="","",Table2[[#This Row],[Value]]/Table2[[#This Row],[Conversion]])</f>
        <v/>
      </c>
      <c r="K2223" s="45" t="str">
        <f>IF(Table2[[#This Row],[Description]]="","",DATE(Table2[[#This Row],[Year]],Table2[[#This Row],[Month]],1))</f>
        <v/>
      </c>
    </row>
    <row r="2224" spans="7:11" x14ac:dyDescent="0.25">
      <c r="G2224" s="1" t="str">
        <f>IF(Table2[[#This Row],[Description]]="","",VLOOKUP(Table2[[#This Row],[Description]],$Q$1:$S$101,2,FALSE))</f>
        <v/>
      </c>
      <c r="H2224" s="1" t="str">
        <f>IF(Table2[[#This Row],[Description]]="","",VLOOKUP(Table2[[#This Row],[Description]],$Q$1:$S$101,3,FALSE))</f>
        <v/>
      </c>
      <c r="I2224" s="1" t="str">
        <f>IF(Table2[[#This Row],[Description]]="","",IF(Table2[[#This Row],[Currency]]=$O$2,$P$2,HLOOKUP(Table2[[#This Row],[Date]],Funds!$C$10:$GV$11,2,FALSE)))</f>
        <v/>
      </c>
      <c r="J2224" s="215" t="str">
        <f>IF(Table2[[#This Row],[Description]]="","",Table2[[#This Row],[Value]]/Table2[[#This Row],[Conversion]])</f>
        <v/>
      </c>
      <c r="K2224" s="45" t="str">
        <f>IF(Table2[[#This Row],[Description]]="","",DATE(Table2[[#This Row],[Year]],Table2[[#This Row],[Month]],1))</f>
        <v/>
      </c>
    </row>
    <row r="2225" spans="7:11" x14ac:dyDescent="0.25">
      <c r="G2225" s="1" t="str">
        <f>IF(Table2[[#This Row],[Description]]="","",VLOOKUP(Table2[[#This Row],[Description]],$Q$1:$S$101,2,FALSE))</f>
        <v/>
      </c>
      <c r="H2225" s="1" t="str">
        <f>IF(Table2[[#This Row],[Description]]="","",VLOOKUP(Table2[[#This Row],[Description]],$Q$1:$S$101,3,FALSE))</f>
        <v/>
      </c>
      <c r="I2225" s="1" t="str">
        <f>IF(Table2[[#This Row],[Description]]="","",IF(Table2[[#This Row],[Currency]]=$O$2,$P$2,HLOOKUP(Table2[[#This Row],[Date]],Funds!$C$10:$GV$11,2,FALSE)))</f>
        <v/>
      </c>
      <c r="J2225" s="215" t="str">
        <f>IF(Table2[[#This Row],[Description]]="","",Table2[[#This Row],[Value]]/Table2[[#This Row],[Conversion]])</f>
        <v/>
      </c>
      <c r="K2225" s="45" t="str">
        <f>IF(Table2[[#This Row],[Description]]="","",DATE(Table2[[#This Row],[Year]],Table2[[#This Row],[Month]],1))</f>
        <v/>
      </c>
    </row>
    <row r="2226" spans="7:11" x14ac:dyDescent="0.25">
      <c r="G2226" s="1" t="str">
        <f>IF(Table2[[#This Row],[Description]]="","",VLOOKUP(Table2[[#This Row],[Description]],$Q$1:$S$101,2,FALSE))</f>
        <v/>
      </c>
      <c r="H2226" s="1" t="str">
        <f>IF(Table2[[#This Row],[Description]]="","",VLOOKUP(Table2[[#This Row],[Description]],$Q$1:$S$101,3,FALSE))</f>
        <v/>
      </c>
      <c r="I2226" s="1" t="str">
        <f>IF(Table2[[#This Row],[Description]]="","",IF(Table2[[#This Row],[Currency]]=$O$2,$P$2,HLOOKUP(Table2[[#This Row],[Date]],Funds!$C$10:$GV$11,2,FALSE)))</f>
        <v/>
      </c>
      <c r="J2226" s="215" t="str">
        <f>IF(Table2[[#This Row],[Description]]="","",Table2[[#This Row],[Value]]/Table2[[#This Row],[Conversion]])</f>
        <v/>
      </c>
      <c r="K2226" s="45" t="str">
        <f>IF(Table2[[#This Row],[Description]]="","",DATE(Table2[[#This Row],[Year]],Table2[[#This Row],[Month]],1))</f>
        <v/>
      </c>
    </row>
    <row r="2227" spans="7:11" x14ac:dyDescent="0.25">
      <c r="G2227" s="1" t="str">
        <f>IF(Table2[[#This Row],[Description]]="","",VLOOKUP(Table2[[#This Row],[Description]],$Q$1:$S$101,2,FALSE))</f>
        <v/>
      </c>
      <c r="H2227" s="1" t="str">
        <f>IF(Table2[[#This Row],[Description]]="","",VLOOKUP(Table2[[#This Row],[Description]],$Q$1:$S$101,3,FALSE))</f>
        <v/>
      </c>
      <c r="I2227" s="1" t="str">
        <f>IF(Table2[[#This Row],[Description]]="","",IF(Table2[[#This Row],[Currency]]=$O$2,$P$2,HLOOKUP(Table2[[#This Row],[Date]],Funds!$C$10:$GV$11,2,FALSE)))</f>
        <v/>
      </c>
      <c r="J2227" s="215" t="str">
        <f>IF(Table2[[#This Row],[Description]]="","",Table2[[#This Row],[Value]]/Table2[[#This Row],[Conversion]])</f>
        <v/>
      </c>
      <c r="K2227" s="45" t="str">
        <f>IF(Table2[[#This Row],[Description]]="","",DATE(Table2[[#This Row],[Year]],Table2[[#This Row],[Month]],1))</f>
        <v/>
      </c>
    </row>
    <row r="2228" spans="7:11" x14ac:dyDescent="0.25">
      <c r="G2228" s="1" t="str">
        <f>IF(Table2[[#This Row],[Description]]="","",VLOOKUP(Table2[[#This Row],[Description]],$Q$1:$S$101,2,FALSE))</f>
        <v/>
      </c>
      <c r="H2228" s="1" t="str">
        <f>IF(Table2[[#This Row],[Description]]="","",VLOOKUP(Table2[[#This Row],[Description]],$Q$1:$S$101,3,FALSE))</f>
        <v/>
      </c>
      <c r="I2228" s="1" t="str">
        <f>IF(Table2[[#This Row],[Description]]="","",IF(Table2[[#This Row],[Currency]]=$O$2,$P$2,HLOOKUP(Table2[[#This Row],[Date]],Funds!$C$10:$GV$11,2,FALSE)))</f>
        <v/>
      </c>
      <c r="J2228" s="215" t="str">
        <f>IF(Table2[[#This Row],[Description]]="","",Table2[[#This Row],[Value]]/Table2[[#This Row],[Conversion]])</f>
        <v/>
      </c>
      <c r="K2228" s="45" t="str">
        <f>IF(Table2[[#This Row],[Description]]="","",DATE(Table2[[#This Row],[Year]],Table2[[#This Row],[Month]],1))</f>
        <v/>
      </c>
    </row>
    <row r="2229" spans="7:11" x14ac:dyDescent="0.25">
      <c r="G2229" s="1" t="str">
        <f>IF(Table2[[#This Row],[Description]]="","",VLOOKUP(Table2[[#This Row],[Description]],$Q$1:$S$101,2,FALSE))</f>
        <v/>
      </c>
      <c r="H2229" s="1" t="str">
        <f>IF(Table2[[#This Row],[Description]]="","",VLOOKUP(Table2[[#This Row],[Description]],$Q$1:$S$101,3,FALSE))</f>
        <v/>
      </c>
      <c r="I2229" s="1" t="str">
        <f>IF(Table2[[#This Row],[Description]]="","",IF(Table2[[#This Row],[Currency]]=$O$2,$P$2,HLOOKUP(Table2[[#This Row],[Date]],Funds!$C$10:$GV$11,2,FALSE)))</f>
        <v/>
      </c>
      <c r="J2229" s="215" t="str">
        <f>IF(Table2[[#This Row],[Description]]="","",Table2[[#This Row],[Value]]/Table2[[#This Row],[Conversion]])</f>
        <v/>
      </c>
      <c r="K2229" s="45" t="str">
        <f>IF(Table2[[#This Row],[Description]]="","",DATE(Table2[[#This Row],[Year]],Table2[[#This Row],[Month]],1))</f>
        <v/>
      </c>
    </row>
    <row r="2230" spans="7:11" x14ac:dyDescent="0.25">
      <c r="G2230" s="1" t="str">
        <f>IF(Table2[[#This Row],[Description]]="","",VLOOKUP(Table2[[#This Row],[Description]],$Q$1:$S$101,2,FALSE))</f>
        <v/>
      </c>
      <c r="H2230" s="1" t="str">
        <f>IF(Table2[[#This Row],[Description]]="","",VLOOKUP(Table2[[#This Row],[Description]],$Q$1:$S$101,3,FALSE))</f>
        <v/>
      </c>
      <c r="I2230" s="1" t="str">
        <f>IF(Table2[[#This Row],[Description]]="","",IF(Table2[[#This Row],[Currency]]=$O$2,$P$2,HLOOKUP(Table2[[#This Row],[Date]],Funds!$C$10:$GV$11,2,FALSE)))</f>
        <v/>
      </c>
      <c r="J2230" s="215" t="str">
        <f>IF(Table2[[#This Row],[Description]]="","",Table2[[#This Row],[Value]]/Table2[[#This Row],[Conversion]])</f>
        <v/>
      </c>
      <c r="K2230" s="45" t="str">
        <f>IF(Table2[[#This Row],[Description]]="","",DATE(Table2[[#This Row],[Year]],Table2[[#This Row],[Month]],1))</f>
        <v/>
      </c>
    </row>
    <row r="2231" spans="7:11" x14ac:dyDescent="0.25">
      <c r="G2231" s="1" t="str">
        <f>IF(Table2[[#This Row],[Description]]="","",VLOOKUP(Table2[[#This Row],[Description]],$Q$1:$S$101,2,FALSE))</f>
        <v/>
      </c>
      <c r="H2231" s="1" t="str">
        <f>IF(Table2[[#This Row],[Description]]="","",VLOOKUP(Table2[[#This Row],[Description]],$Q$1:$S$101,3,FALSE))</f>
        <v/>
      </c>
      <c r="I2231" s="1" t="str">
        <f>IF(Table2[[#This Row],[Description]]="","",IF(Table2[[#This Row],[Currency]]=$O$2,$P$2,HLOOKUP(Table2[[#This Row],[Date]],Funds!$C$10:$GV$11,2,FALSE)))</f>
        <v/>
      </c>
      <c r="J2231" s="215" t="str">
        <f>IF(Table2[[#This Row],[Description]]="","",Table2[[#This Row],[Value]]/Table2[[#This Row],[Conversion]])</f>
        <v/>
      </c>
      <c r="K2231" s="45" t="str">
        <f>IF(Table2[[#This Row],[Description]]="","",DATE(Table2[[#This Row],[Year]],Table2[[#This Row],[Month]],1))</f>
        <v/>
      </c>
    </row>
    <row r="2232" spans="7:11" x14ac:dyDescent="0.25">
      <c r="G2232" s="1" t="str">
        <f>IF(Table2[[#This Row],[Description]]="","",VLOOKUP(Table2[[#This Row],[Description]],$Q$1:$S$101,2,FALSE))</f>
        <v/>
      </c>
      <c r="H2232" s="1" t="str">
        <f>IF(Table2[[#This Row],[Description]]="","",VLOOKUP(Table2[[#This Row],[Description]],$Q$1:$S$101,3,FALSE))</f>
        <v/>
      </c>
      <c r="I2232" s="1" t="str">
        <f>IF(Table2[[#This Row],[Description]]="","",IF(Table2[[#This Row],[Currency]]=$O$2,$P$2,HLOOKUP(Table2[[#This Row],[Date]],Funds!$C$10:$GV$11,2,FALSE)))</f>
        <v/>
      </c>
      <c r="J2232" s="215" t="str">
        <f>IF(Table2[[#This Row],[Description]]="","",Table2[[#This Row],[Value]]/Table2[[#This Row],[Conversion]])</f>
        <v/>
      </c>
      <c r="K2232" s="45" t="str">
        <f>IF(Table2[[#This Row],[Description]]="","",DATE(Table2[[#This Row],[Year]],Table2[[#This Row],[Month]],1))</f>
        <v/>
      </c>
    </row>
    <row r="2233" spans="7:11" x14ac:dyDescent="0.25">
      <c r="G2233" s="1" t="str">
        <f>IF(Table2[[#This Row],[Description]]="","",VLOOKUP(Table2[[#This Row],[Description]],$Q$1:$S$101,2,FALSE))</f>
        <v/>
      </c>
      <c r="H2233" s="1" t="str">
        <f>IF(Table2[[#This Row],[Description]]="","",VLOOKUP(Table2[[#This Row],[Description]],$Q$1:$S$101,3,FALSE))</f>
        <v/>
      </c>
      <c r="I2233" s="1" t="str">
        <f>IF(Table2[[#This Row],[Description]]="","",IF(Table2[[#This Row],[Currency]]=$O$2,$P$2,HLOOKUP(Table2[[#This Row],[Date]],Funds!$C$10:$GV$11,2,FALSE)))</f>
        <v/>
      </c>
      <c r="J2233" s="215" t="str">
        <f>IF(Table2[[#This Row],[Description]]="","",Table2[[#This Row],[Value]]/Table2[[#This Row],[Conversion]])</f>
        <v/>
      </c>
      <c r="K2233" s="45" t="str">
        <f>IF(Table2[[#This Row],[Description]]="","",DATE(Table2[[#This Row],[Year]],Table2[[#This Row],[Month]],1))</f>
        <v/>
      </c>
    </row>
    <row r="2234" spans="7:11" x14ac:dyDescent="0.25">
      <c r="G2234" s="1" t="str">
        <f>IF(Table2[[#This Row],[Description]]="","",VLOOKUP(Table2[[#This Row],[Description]],$Q$1:$S$101,2,FALSE))</f>
        <v/>
      </c>
      <c r="H2234" s="1" t="str">
        <f>IF(Table2[[#This Row],[Description]]="","",VLOOKUP(Table2[[#This Row],[Description]],$Q$1:$S$101,3,FALSE))</f>
        <v/>
      </c>
      <c r="I2234" s="1" t="str">
        <f>IF(Table2[[#This Row],[Description]]="","",IF(Table2[[#This Row],[Currency]]=$O$2,$P$2,HLOOKUP(Table2[[#This Row],[Date]],Funds!$C$10:$GV$11,2,FALSE)))</f>
        <v/>
      </c>
      <c r="J2234" s="215" t="str">
        <f>IF(Table2[[#This Row],[Description]]="","",Table2[[#This Row],[Value]]/Table2[[#This Row],[Conversion]])</f>
        <v/>
      </c>
      <c r="K2234" s="45" t="str">
        <f>IF(Table2[[#This Row],[Description]]="","",DATE(Table2[[#This Row],[Year]],Table2[[#This Row],[Month]],1))</f>
        <v/>
      </c>
    </row>
    <row r="2235" spans="7:11" x14ac:dyDescent="0.25">
      <c r="G2235" s="1" t="str">
        <f>IF(Table2[[#This Row],[Description]]="","",VLOOKUP(Table2[[#This Row],[Description]],$Q$1:$S$101,2,FALSE))</f>
        <v/>
      </c>
      <c r="H2235" s="1" t="str">
        <f>IF(Table2[[#This Row],[Description]]="","",VLOOKUP(Table2[[#This Row],[Description]],$Q$1:$S$101,3,FALSE))</f>
        <v/>
      </c>
      <c r="I2235" s="1" t="str">
        <f>IF(Table2[[#This Row],[Description]]="","",IF(Table2[[#This Row],[Currency]]=$O$2,$P$2,HLOOKUP(Table2[[#This Row],[Date]],Funds!$C$10:$GV$11,2,FALSE)))</f>
        <v/>
      </c>
      <c r="J2235" s="215" t="str">
        <f>IF(Table2[[#This Row],[Description]]="","",Table2[[#This Row],[Value]]/Table2[[#This Row],[Conversion]])</f>
        <v/>
      </c>
      <c r="K2235" s="45" t="str">
        <f>IF(Table2[[#This Row],[Description]]="","",DATE(Table2[[#This Row],[Year]],Table2[[#This Row],[Month]],1))</f>
        <v/>
      </c>
    </row>
    <row r="2236" spans="7:11" x14ac:dyDescent="0.25">
      <c r="G2236" s="1" t="str">
        <f>IF(Table2[[#This Row],[Description]]="","",VLOOKUP(Table2[[#This Row],[Description]],$Q$1:$S$101,2,FALSE))</f>
        <v/>
      </c>
      <c r="H2236" s="1" t="str">
        <f>IF(Table2[[#This Row],[Description]]="","",VLOOKUP(Table2[[#This Row],[Description]],$Q$1:$S$101,3,FALSE))</f>
        <v/>
      </c>
      <c r="I2236" s="1" t="str">
        <f>IF(Table2[[#This Row],[Description]]="","",IF(Table2[[#This Row],[Currency]]=$O$2,$P$2,HLOOKUP(Table2[[#This Row],[Date]],Funds!$C$10:$GV$11,2,FALSE)))</f>
        <v/>
      </c>
      <c r="J2236" s="215" t="str">
        <f>IF(Table2[[#This Row],[Description]]="","",Table2[[#This Row],[Value]]/Table2[[#This Row],[Conversion]])</f>
        <v/>
      </c>
      <c r="K2236" s="45" t="str">
        <f>IF(Table2[[#This Row],[Description]]="","",DATE(Table2[[#This Row],[Year]],Table2[[#This Row],[Month]],1))</f>
        <v/>
      </c>
    </row>
    <row r="2237" spans="7:11" x14ac:dyDescent="0.25">
      <c r="G2237" s="1" t="str">
        <f>IF(Table2[[#This Row],[Description]]="","",VLOOKUP(Table2[[#This Row],[Description]],$Q$1:$S$101,2,FALSE))</f>
        <v/>
      </c>
      <c r="H2237" s="1" t="str">
        <f>IF(Table2[[#This Row],[Description]]="","",VLOOKUP(Table2[[#This Row],[Description]],$Q$1:$S$101,3,FALSE))</f>
        <v/>
      </c>
      <c r="I2237" s="1" t="str">
        <f>IF(Table2[[#This Row],[Description]]="","",IF(Table2[[#This Row],[Currency]]=$O$2,$P$2,HLOOKUP(Table2[[#This Row],[Date]],Funds!$C$10:$GV$11,2,FALSE)))</f>
        <v/>
      </c>
      <c r="J2237" s="215" t="str">
        <f>IF(Table2[[#This Row],[Description]]="","",Table2[[#This Row],[Value]]/Table2[[#This Row],[Conversion]])</f>
        <v/>
      </c>
      <c r="K2237" s="45" t="str">
        <f>IF(Table2[[#This Row],[Description]]="","",DATE(Table2[[#This Row],[Year]],Table2[[#This Row],[Month]],1))</f>
        <v/>
      </c>
    </row>
    <row r="2238" spans="7:11" x14ac:dyDescent="0.25">
      <c r="G2238" s="1" t="str">
        <f>IF(Table2[[#This Row],[Description]]="","",VLOOKUP(Table2[[#This Row],[Description]],$Q$1:$S$101,2,FALSE))</f>
        <v/>
      </c>
      <c r="H2238" s="1" t="str">
        <f>IF(Table2[[#This Row],[Description]]="","",VLOOKUP(Table2[[#This Row],[Description]],$Q$1:$S$101,3,FALSE))</f>
        <v/>
      </c>
      <c r="I2238" s="1" t="str">
        <f>IF(Table2[[#This Row],[Description]]="","",IF(Table2[[#This Row],[Currency]]=$O$2,$P$2,HLOOKUP(Table2[[#This Row],[Date]],Funds!$C$10:$GV$11,2,FALSE)))</f>
        <v/>
      </c>
      <c r="J2238" s="215" t="str">
        <f>IF(Table2[[#This Row],[Description]]="","",Table2[[#This Row],[Value]]/Table2[[#This Row],[Conversion]])</f>
        <v/>
      </c>
      <c r="K2238" s="45" t="str">
        <f>IF(Table2[[#This Row],[Description]]="","",DATE(Table2[[#This Row],[Year]],Table2[[#This Row],[Month]],1))</f>
        <v/>
      </c>
    </row>
    <row r="2239" spans="7:11" x14ac:dyDescent="0.25">
      <c r="G2239" s="1" t="str">
        <f>IF(Table2[[#This Row],[Description]]="","",VLOOKUP(Table2[[#This Row],[Description]],$Q$1:$S$101,2,FALSE))</f>
        <v/>
      </c>
      <c r="H2239" s="1" t="str">
        <f>IF(Table2[[#This Row],[Description]]="","",VLOOKUP(Table2[[#This Row],[Description]],$Q$1:$S$101,3,FALSE))</f>
        <v/>
      </c>
      <c r="I2239" s="1" t="str">
        <f>IF(Table2[[#This Row],[Description]]="","",IF(Table2[[#This Row],[Currency]]=$O$2,$P$2,HLOOKUP(Table2[[#This Row],[Date]],Funds!$C$10:$GV$11,2,FALSE)))</f>
        <v/>
      </c>
      <c r="J2239" s="215" t="str">
        <f>IF(Table2[[#This Row],[Description]]="","",Table2[[#This Row],[Value]]/Table2[[#This Row],[Conversion]])</f>
        <v/>
      </c>
      <c r="K2239" s="45" t="str">
        <f>IF(Table2[[#This Row],[Description]]="","",DATE(Table2[[#This Row],[Year]],Table2[[#This Row],[Month]],1))</f>
        <v/>
      </c>
    </row>
    <row r="2240" spans="7:11" x14ac:dyDescent="0.25">
      <c r="G2240" s="1" t="str">
        <f>IF(Table2[[#This Row],[Description]]="","",VLOOKUP(Table2[[#This Row],[Description]],$Q$1:$S$101,2,FALSE))</f>
        <v/>
      </c>
      <c r="H2240" s="1" t="str">
        <f>IF(Table2[[#This Row],[Description]]="","",VLOOKUP(Table2[[#This Row],[Description]],$Q$1:$S$101,3,FALSE))</f>
        <v/>
      </c>
      <c r="I2240" s="1" t="str">
        <f>IF(Table2[[#This Row],[Description]]="","",IF(Table2[[#This Row],[Currency]]=$O$2,$P$2,HLOOKUP(Table2[[#This Row],[Date]],Funds!$C$10:$GV$11,2,FALSE)))</f>
        <v/>
      </c>
      <c r="J2240" s="215" t="str">
        <f>IF(Table2[[#This Row],[Description]]="","",Table2[[#This Row],[Value]]/Table2[[#This Row],[Conversion]])</f>
        <v/>
      </c>
      <c r="K2240" s="45" t="str">
        <f>IF(Table2[[#This Row],[Description]]="","",DATE(Table2[[#This Row],[Year]],Table2[[#This Row],[Month]],1))</f>
        <v/>
      </c>
    </row>
    <row r="2241" spans="7:11" x14ac:dyDescent="0.25">
      <c r="G2241" s="1" t="str">
        <f>IF(Table2[[#This Row],[Description]]="","",VLOOKUP(Table2[[#This Row],[Description]],$Q$1:$S$101,2,FALSE))</f>
        <v/>
      </c>
      <c r="H2241" s="1" t="str">
        <f>IF(Table2[[#This Row],[Description]]="","",VLOOKUP(Table2[[#This Row],[Description]],$Q$1:$S$101,3,FALSE))</f>
        <v/>
      </c>
      <c r="I2241" s="1" t="str">
        <f>IF(Table2[[#This Row],[Description]]="","",IF(Table2[[#This Row],[Currency]]=$O$2,$P$2,HLOOKUP(Table2[[#This Row],[Date]],Funds!$C$10:$GV$11,2,FALSE)))</f>
        <v/>
      </c>
      <c r="J2241" s="215" t="str">
        <f>IF(Table2[[#This Row],[Description]]="","",Table2[[#This Row],[Value]]/Table2[[#This Row],[Conversion]])</f>
        <v/>
      </c>
      <c r="K2241" s="45" t="str">
        <f>IF(Table2[[#This Row],[Description]]="","",DATE(Table2[[#This Row],[Year]],Table2[[#This Row],[Month]],1))</f>
        <v/>
      </c>
    </row>
    <row r="2242" spans="7:11" x14ac:dyDescent="0.25">
      <c r="G2242" s="1" t="str">
        <f>IF(Table2[[#This Row],[Description]]="","",VLOOKUP(Table2[[#This Row],[Description]],$Q$1:$S$101,2,FALSE))</f>
        <v/>
      </c>
      <c r="H2242" s="1" t="str">
        <f>IF(Table2[[#This Row],[Description]]="","",VLOOKUP(Table2[[#This Row],[Description]],$Q$1:$S$101,3,FALSE))</f>
        <v/>
      </c>
      <c r="I2242" s="1" t="str">
        <f>IF(Table2[[#This Row],[Description]]="","",IF(Table2[[#This Row],[Currency]]=$O$2,$P$2,HLOOKUP(Table2[[#This Row],[Date]],Funds!$C$10:$GV$11,2,FALSE)))</f>
        <v/>
      </c>
      <c r="J2242" s="215" t="str">
        <f>IF(Table2[[#This Row],[Description]]="","",Table2[[#This Row],[Value]]/Table2[[#This Row],[Conversion]])</f>
        <v/>
      </c>
      <c r="K2242" s="45" t="str">
        <f>IF(Table2[[#This Row],[Description]]="","",DATE(Table2[[#This Row],[Year]],Table2[[#This Row],[Month]],1))</f>
        <v/>
      </c>
    </row>
    <row r="2243" spans="7:11" x14ac:dyDescent="0.25">
      <c r="G2243" s="1" t="str">
        <f>IF(Table2[[#This Row],[Description]]="","",VLOOKUP(Table2[[#This Row],[Description]],$Q$1:$S$101,2,FALSE))</f>
        <v/>
      </c>
      <c r="H2243" s="1" t="str">
        <f>IF(Table2[[#This Row],[Description]]="","",VLOOKUP(Table2[[#This Row],[Description]],$Q$1:$S$101,3,FALSE))</f>
        <v/>
      </c>
      <c r="I2243" s="1" t="str">
        <f>IF(Table2[[#This Row],[Description]]="","",IF(Table2[[#This Row],[Currency]]=$O$2,$P$2,HLOOKUP(Table2[[#This Row],[Date]],Funds!$C$10:$GV$11,2,FALSE)))</f>
        <v/>
      </c>
      <c r="J2243" s="215" t="str">
        <f>IF(Table2[[#This Row],[Description]]="","",Table2[[#This Row],[Value]]/Table2[[#This Row],[Conversion]])</f>
        <v/>
      </c>
      <c r="K2243" s="45" t="str">
        <f>IF(Table2[[#This Row],[Description]]="","",DATE(Table2[[#This Row],[Year]],Table2[[#This Row],[Month]],1))</f>
        <v/>
      </c>
    </row>
    <row r="2244" spans="7:11" x14ac:dyDescent="0.25">
      <c r="G2244" s="1" t="str">
        <f>IF(Table2[[#This Row],[Description]]="","",VLOOKUP(Table2[[#This Row],[Description]],$Q$1:$S$101,2,FALSE))</f>
        <v/>
      </c>
      <c r="H2244" s="1" t="str">
        <f>IF(Table2[[#This Row],[Description]]="","",VLOOKUP(Table2[[#This Row],[Description]],$Q$1:$S$101,3,FALSE))</f>
        <v/>
      </c>
      <c r="I2244" s="1" t="str">
        <f>IF(Table2[[#This Row],[Description]]="","",IF(Table2[[#This Row],[Currency]]=$O$2,$P$2,HLOOKUP(Table2[[#This Row],[Date]],Funds!$C$10:$GV$11,2,FALSE)))</f>
        <v/>
      </c>
      <c r="J2244" s="215" t="str">
        <f>IF(Table2[[#This Row],[Description]]="","",Table2[[#This Row],[Value]]/Table2[[#This Row],[Conversion]])</f>
        <v/>
      </c>
      <c r="K2244" s="45" t="str">
        <f>IF(Table2[[#This Row],[Description]]="","",DATE(Table2[[#This Row],[Year]],Table2[[#This Row],[Month]],1))</f>
        <v/>
      </c>
    </row>
    <row r="2245" spans="7:11" x14ac:dyDescent="0.25">
      <c r="G2245" s="1" t="str">
        <f>IF(Table2[[#This Row],[Description]]="","",VLOOKUP(Table2[[#This Row],[Description]],$Q$1:$S$101,2,FALSE))</f>
        <v/>
      </c>
      <c r="H2245" s="1" t="str">
        <f>IF(Table2[[#This Row],[Description]]="","",VLOOKUP(Table2[[#This Row],[Description]],$Q$1:$S$101,3,FALSE))</f>
        <v/>
      </c>
      <c r="I2245" s="1" t="str">
        <f>IF(Table2[[#This Row],[Description]]="","",IF(Table2[[#This Row],[Currency]]=$O$2,$P$2,HLOOKUP(Table2[[#This Row],[Date]],Funds!$C$10:$GV$11,2,FALSE)))</f>
        <v/>
      </c>
      <c r="J2245" s="215" t="str">
        <f>IF(Table2[[#This Row],[Description]]="","",Table2[[#This Row],[Value]]/Table2[[#This Row],[Conversion]])</f>
        <v/>
      </c>
      <c r="K2245" s="45" t="str">
        <f>IF(Table2[[#This Row],[Description]]="","",DATE(Table2[[#This Row],[Year]],Table2[[#This Row],[Month]],1))</f>
        <v/>
      </c>
    </row>
    <row r="2246" spans="7:11" x14ac:dyDescent="0.25">
      <c r="G2246" s="1" t="str">
        <f>IF(Table2[[#This Row],[Description]]="","",VLOOKUP(Table2[[#This Row],[Description]],$Q$1:$S$101,2,FALSE))</f>
        <v/>
      </c>
      <c r="H2246" s="1" t="str">
        <f>IF(Table2[[#This Row],[Description]]="","",VLOOKUP(Table2[[#This Row],[Description]],$Q$1:$S$101,3,FALSE))</f>
        <v/>
      </c>
      <c r="I2246" s="1" t="str">
        <f>IF(Table2[[#This Row],[Description]]="","",IF(Table2[[#This Row],[Currency]]=$O$2,$P$2,HLOOKUP(Table2[[#This Row],[Date]],Funds!$C$10:$GV$11,2,FALSE)))</f>
        <v/>
      </c>
      <c r="J2246" s="215" t="str">
        <f>IF(Table2[[#This Row],[Description]]="","",Table2[[#This Row],[Value]]/Table2[[#This Row],[Conversion]])</f>
        <v/>
      </c>
      <c r="K2246" s="45" t="str">
        <f>IF(Table2[[#This Row],[Description]]="","",DATE(Table2[[#This Row],[Year]],Table2[[#This Row],[Month]],1))</f>
        <v/>
      </c>
    </row>
    <row r="2247" spans="7:11" x14ac:dyDescent="0.25">
      <c r="G2247" s="1" t="str">
        <f>IF(Table2[[#This Row],[Description]]="","",VLOOKUP(Table2[[#This Row],[Description]],$Q$1:$S$101,2,FALSE))</f>
        <v/>
      </c>
      <c r="H2247" s="1" t="str">
        <f>IF(Table2[[#This Row],[Description]]="","",VLOOKUP(Table2[[#This Row],[Description]],$Q$1:$S$101,3,FALSE))</f>
        <v/>
      </c>
      <c r="I2247" s="1" t="str">
        <f>IF(Table2[[#This Row],[Description]]="","",IF(Table2[[#This Row],[Currency]]=$O$2,$P$2,HLOOKUP(Table2[[#This Row],[Date]],Funds!$C$10:$GV$11,2,FALSE)))</f>
        <v/>
      </c>
      <c r="J2247" s="215" t="str">
        <f>IF(Table2[[#This Row],[Description]]="","",Table2[[#This Row],[Value]]/Table2[[#This Row],[Conversion]])</f>
        <v/>
      </c>
      <c r="K2247" s="45" t="str">
        <f>IF(Table2[[#This Row],[Description]]="","",DATE(Table2[[#This Row],[Year]],Table2[[#This Row],[Month]],1))</f>
        <v/>
      </c>
    </row>
    <row r="2248" spans="7:11" x14ac:dyDescent="0.25">
      <c r="G2248" s="1" t="str">
        <f>IF(Table2[[#This Row],[Description]]="","",VLOOKUP(Table2[[#This Row],[Description]],$Q$1:$S$101,2,FALSE))</f>
        <v/>
      </c>
      <c r="H2248" s="1" t="str">
        <f>IF(Table2[[#This Row],[Description]]="","",VLOOKUP(Table2[[#This Row],[Description]],$Q$1:$S$101,3,FALSE))</f>
        <v/>
      </c>
      <c r="I2248" s="1" t="str">
        <f>IF(Table2[[#This Row],[Description]]="","",IF(Table2[[#This Row],[Currency]]=$O$2,$P$2,HLOOKUP(Table2[[#This Row],[Date]],Funds!$C$10:$GV$11,2,FALSE)))</f>
        <v/>
      </c>
      <c r="J2248" s="215" t="str">
        <f>IF(Table2[[#This Row],[Description]]="","",Table2[[#This Row],[Value]]/Table2[[#This Row],[Conversion]])</f>
        <v/>
      </c>
      <c r="K2248" s="45" t="str">
        <f>IF(Table2[[#This Row],[Description]]="","",DATE(Table2[[#This Row],[Year]],Table2[[#This Row],[Month]],1))</f>
        <v/>
      </c>
    </row>
    <row r="2249" spans="7:11" x14ac:dyDescent="0.25">
      <c r="G2249" s="1" t="str">
        <f>IF(Table2[[#This Row],[Description]]="","",VLOOKUP(Table2[[#This Row],[Description]],$Q$1:$S$101,2,FALSE))</f>
        <v/>
      </c>
      <c r="H2249" s="1" t="str">
        <f>IF(Table2[[#This Row],[Description]]="","",VLOOKUP(Table2[[#This Row],[Description]],$Q$1:$S$101,3,FALSE))</f>
        <v/>
      </c>
      <c r="I2249" s="1" t="str">
        <f>IF(Table2[[#This Row],[Description]]="","",IF(Table2[[#This Row],[Currency]]=$O$2,$P$2,HLOOKUP(Table2[[#This Row],[Date]],Funds!$C$10:$GV$11,2,FALSE)))</f>
        <v/>
      </c>
      <c r="J2249" s="215" t="str">
        <f>IF(Table2[[#This Row],[Description]]="","",Table2[[#This Row],[Value]]/Table2[[#This Row],[Conversion]])</f>
        <v/>
      </c>
      <c r="K2249" s="45" t="str">
        <f>IF(Table2[[#This Row],[Description]]="","",DATE(Table2[[#This Row],[Year]],Table2[[#This Row],[Month]],1))</f>
        <v/>
      </c>
    </row>
    <row r="2250" spans="7:11" x14ac:dyDescent="0.25">
      <c r="G2250" s="1" t="str">
        <f>IF(Table2[[#This Row],[Description]]="","",VLOOKUP(Table2[[#This Row],[Description]],$Q$1:$S$101,2,FALSE))</f>
        <v/>
      </c>
      <c r="H2250" s="1" t="str">
        <f>IF(Table2[[#This Row],[Description]]="","",VLOOKUP(Table2[[#This Row],[Description]],$Q$1:$S$101,3,FALSE))</f>
        <v/>
      </c>
      <c r="I2250" s="1" t="str">
        <f>IF(Table2[[#This Row],[Description]]="","",IF(Table2[[#This Row],[Currency]]=$O$2,$P$2,HLOOKUP(Table2[[#This Row],[Date]],Funds!$C$10:$GV$11,2,FALSE)))</f>
        <v/>
      </c>
      <c r="J2250" s="215" t="str">
        <f>IF(Table2[[#This Row],[Description]]="","",Table2[[#This Row],[Value]]/Table2[[#This Row],[Conversion]])</f>
        <v/>
      </c>
      <c r="K2250" s="45" t="str">
        <f>IF(Table2[[#This Row],[Description]]="","",DATE(Table2[[#This Row],[Year]],Table2[[#This Row],[Month]],1))</f>
        <v/>
      </c>
    </row>
    <row r="2251" spans="7:11" x14ac:dyDescent="0.25">
      <c r="G2251" s="1" t="str">
        <f>IF(Table2[[#This Row],[Description]]="","",VLOOKUP(Table2[[#This Row],[Description]],$Q$1:$S$101,2,FALSE))</f>
        <v/>
      </c>
      <c r="H2251" s="1" t="str">
        <f>IF(Table2[[#This Row],[Description]]="","",VLOOKUP(Table2[[#This Row],[Description]],$Q$1:$S$101,3,FALSE))</f>
        <v/>
      </c>
      <c r="I2251" s="1" t="str">
        <f>IF(Table2[[#This Row],[Description]]="","",IF(Table2[[#This Row],[Currency]]=$O$2,$P$2,HLOOKUP(Table2[[#This Row],[Date]],Funds!$C$10:$GV$11,2,FALSE)))</f>
        <v/>
      </c>
      <c r="J2251" s="215" t="str">
        <f>IF(Table2[[#This Row],[Description]]="","",Table2[[#This Row],[Value]]/Table2[[#This Row],[Conversion]])</f>
        <v/>
      </c>
      <c r="K2251" s="45" t="str">
        <f>IF(Table2[[#This Row],[Description]]="","",DATE(Table2[[#This Row],[Year]],Table2[[#This Row],[Month]],1))</f>
        <v/>
      </c>
    </row>
    <row r="2252" spans="7:11" x14ac:dyDescent="0.25">
      <c r="G2252" s="1" t="str">
        <f>IF(Table2[[#This Row],[Description]]="","",VLOOKUP(Table2[[#This Row],[Description]],$Q$1:$S$101,2,FALSE))</f>
        <v/>
      </c>
      <c r="H2252" s="1" t="str">
        <f>IF(Table2[[#This Row],[Description]]="","",VLOOKUP(Table2[[#This Row],[Description]],$Q$1:$S$101,3,FALSE))</f>
        <v/>
      </c>
      <c r="I2252" s="1" t="str">
        <f>IF(Table2[[#This Row],[Description]]="","",IF(Table2[[#This Row],[Currency]]=$O$2,$P$2,HLOOKUP(Table2[[#This Row],[Date]],Funds!$C$10:$GV$11,2,FALSE)))</f>
        <v/>
      </c>
      <c r="J2252" s="215" t="str">
        <f>IF(Table2[[#This Row],[Description]]="","",Table2[[#This Row],[Value]]/Table2[[#This Row],[Conversion]])</f>
        <v/>
      </c>
      <c r="K2252" s="45" t="str">
        <f>IF(Table2[[#This Row],[Description]]="","",DATE(Table2[[#This Row],[Year]],Table2[[#This Row],[Month]],1))</f>
        <v/>
      </c>
    </row>
    <row r="2253" spans="7:11" x14ac:dyDescent="0.25">
      <c r="G2253" s="1" t="str">
        <f>IF(Table2[[#This Row],[Description]]="","",VLOOKUP(Table2[[#This Row],[Description]],$Q$1:$S$101,2,FALSE))</f>
        <v/>
      </c>
      <c r="H2253" s="1" t="str">
        <f>IF(Table2[[#This Row],[Description]]="","",VLOOKUP(Table2[[#This Row],[Description]],$Q$1:$S$101,3,FALSE))</f>
        <v/>
      </c>
      <c r="I2253" s="1" t="str">
        <f>IF(Table2[[#This Row],[Description]]="","",IF(Table2[[#This Row],[Currency]]=$O$2,$P$2,HLOOKUP(Table2[[#This Row],[Date]],Funds!$C$10:$GV$11,2,FALSE)))</f>
        <v/>
      </c>
      <c r="J2253" s="215" t="str">
        <f>IF(Table2[[#This Row],[Description]]="","",Table2[[#This Row],[Value]]/Table2[[#This Row],[Conversion]])</f>
        <v/>
      </c>
      <c r="K2253" s="45" t="str">
        <f>IF(Table2[[#This Row],[Description]]="","",DATE(Table2[[#This Row],[Year]],Table2[[#This Row],[Month]],1))</f>
        <v/>
      </c>
    </row>
    <row r="2254" spans="7:11" x14ac:dyDescent="0.25">
      <c r="G2254" s="1" t="str">
        <f>IF(Table2[[#This Row],[Description]]="","",VLOOKUP(Table2[[#This Row],[Description]],$Q$1:$S$101,2,FALSE))</f>
        <v/>
      </c>
      <c r="H2254" s="1" t="str">
        <f>IF(Table2[[#This Row],[Description]]="","",VLOOKUP(Table2[[#This Row],[Description]],$Q$1:$S$101,3,FALSE))</f>
        <v/>
      </c>
      <c r="I2254" s="1" t="str">
        <f>IF(Table2[[#This Row],[Description]]="","",IF(Table2[[#This Row],[Currency]]=$O$2,$P$2,HLOOKUP(Table2[[#This Row],[Date]],Funds!$C$10:$GV$11,2,FALSE)))</f>
        <v/>
      </c>
      <c r="J2254" s="215" t="str">
        <f>IF(Table2[[#This Row],[Description]]="","",Table2[[#This Row],[Value]]/Table2[[#This Row],[Conversion]])</f>
        <v/>
      </c>
      <c r="K2254" s="45" t="str">
        <f>IF(Table2[[#This Row],[Description]]="","",DATE(Table2[[#This Row],[Year]],Table2[[#This Row],[Month]],1))</f>
        <v/>
      </c>
    </row>
    <row r="2255" spans="7:11" x14ac:dyDescent="0.25">
      <c r="G2255" s="1" t="str">
        <f>IF(Table2[[#This Row],[Description]]="","",VLOOKUP(Table2[[#This Row],[Description]],$Q$1:$S$101,2,FALSE))</f>
        <v/>
      </c>
      <c r="H2255" s="1" t="str">
        <f>IF(Table2[[#This Row],[Description]]="","",VLOOKUP(Table2[[#This Row],[Description]],$Q$1:$S$101,3,FALSE))</f>
        <v/>
      </c>
      <c r="I2255" s="1" t="str">
        <f>IF(Table2[[#This Row],[Description]]="","",IF(Table2[[#This Row],[Currency]]=$O$2,$P$2,HLOOKUP(Table2[[#This Row],[Date]],Funds!$C$10:$GV$11,2,FALSE)))</f>
        <v/>
      </c>
      <c r="J2255" s="215" t="str">
        <f>IF(Table2[[#This Row],[Description]]="","",Table2[[#This Row],[Value]]/Table2[[#This Row],[Conversion]])</f>
        <v/>
      </c>
      <c r="K2255" s="45" t="str">
        <f>IF(Table2[[#This Row],[Description]]="","",DATE(Table2[[#This Row],[Year]],Table2[[#This Row],[Month]],1))</f>
        <v/>
      </c>
    </row>
    <row r="2256" spans="7:11" x14ac:dyDescent="0.25">
      <c r="G2256" s="1" t="str">
        <f>IF(Table2[[#This Row],[Description]]="","",VLOOKUP(Table2[[#This Row],[Description]],$Q$1:$S$101,2,FALSE))</f>
        <v/>
      </c>
      <c r="H2256" s="1" t="str">
        <f>IF(Table2[[#This Row],[Description]]="","",VLOOKUP(Table2[[#This Row],[Description]],$Q$1:$S$101,3,FALSE))</f>
        <v/>
      </c>
      <c r="I2256" s="1" t="str">
        <f>IF(Table2[[#This Row],[Description]]="","",IF(Table2[[#This Row],[Currency]]=$O$2,$P$2,HLOOKUP(Table2[[#This Row],[Date]],Funds!$C$10:$GV$11,2,FALSE)))</f>
        <v/>
      </c>
      <c r="J2256" s="215" t="str">
        <f>IF(Table2[[#This Row],[Description]]="","",Table2[[#This Row],[Value]]/Table2[[#This Row],[Conversion]])</f>
        <v/>
      </c>
      <c r="K2256" s="45" t="str">
        <f>IF(Table2[[#This Row],[Description]]="","",DATE(Table2[[#This Row],[Year]],Table2[[#This Row],[Month]],1))</f>
        <v/>
      </c>
    </row>
    <row r="2257" spans="7:11" x14ac:dyDescent="0.25">
      <c r="G2257" s="1" t="str">
        <f>IF(Table2[[#This Row],[Description]]="","",VLOOKUP(Table2[[#This Row],[Description]],$Q$1:$S$101,2,FALSE))</f>
        <v/>
      </c>
      <c r="H2257" s="1" t="str">
        <f>IF(Table2[[#This Row],[Description]]="","",VLOOKUP(Table2[[#This Row],[Description]],$Q$1:$S$101,3,FALSE))</f>
        <v/>
      </c>
      <c r="I2257" s="1" t="str">
        <f>IF(Table2[[#This Row],[Description]]="","",IF(Table2[[#This Row],[Currency]]=$O$2,$P$2,HLOOKUP(Table2[[#This Row],[Date]],Funds!$C$10:$GV$11,2,FALSE)))</f>
        <v/>
      </c>
      <c r="J2257" s="215" t="str">
        <f>IF(Table2[[#This Row],[Description]]="","",Table2[[#This Row],[Value]]/Table2[[#This Row],[Conversion]])</f>
        <v/>
      </c>
      <c r="K2257" s="45" t="str">
        <f>IF(Table2[[#This Row],[Description]]="","",DATE(Table2[[#This Row],[Year]],Table2[[#This Row],[Month]],1))</f>
        <v/>
      </c>
    </row>
    <row r="2258" spans="7:11" x14ac:dyDescent="0.25">
      <c r="G2258" s="1" t="str">
        <f>IF(Table2[[#This Row],[Description]]="","",VLOOKUP(Table2[[#This Row],[Description]],$Q$1:$S$101,2,FALSE))</f>
        <v/>
      </c>
      <c r="H2258" s="1" t="str">
        <f>IF(Table2[[#This Row],[Description]]="","",VLOOKUP(Table2[[#This Row],[Description]],$Q$1:$S$101,3,FALSE))</f>
        <v/>
      </c>
      <c r="I2258" s="1" t="str">
        <f>IF(Table2[[#This Row],[Description]]="","",IF(Table2[[#This Row],[Currency]]=$O$2,$P$2,HLOOKUP(Table2[[#This Row],[Date]],Funds!$C$10:$GV$11,2,FALSE)))</f>
        <v/>
      </c>
      <c r="J2258" s="215" t="str">
        <f>IF(Table2[[#This Row],[Description]]="","",Table2[[#This Row],[Value]]/Table2[[#This Row],[Conversion]])</f>
        <v/>
      </c>
      <c r="K2258" s="45" t="str">
        <f>IF(Table2[[#This Row],[Description]]="","",DATE(Table2[[#This Row],[Year]],Table2[[#This Row],[Month]],1))</f>
        <v/>
      </c>
    </row>
    <row r="2259" spans="7:11" x14ac:dyDescent="0.25">
      <c r="G2259" s="1" t="str">
        <f>IF(Table2[[#This Row],[Description]]="","",VLOOKUP(Table2[[#This Row],[Description]],$Q$1:$S$101,2,FALSE))</f>
        <v/>
      </c>
      <c r="H2259" s="1" t="str">
        <f>IF(Table2[[#This Row],[Description]]="","",VLOOKUP(Table2[[#This Row],[Description]],$Q$1:$S$101,3,FALSE))</f>
        <v/>
      </c>
      <c r="I2259" s="1" t="str">
        <f>IF(Table2[[#This Row],[Description]]="","",IF(Table2[[#This Row],[Currency]]=$O$2,$P$2,HLOOKUP(Table2[[#This Row],[Date]],Funds!$C$10:$GV$11,2,FALSE)))</f>
        <v/>
      </c>
      <c r="J2259" s="215" t="str">
        <f>IF(Table2[[#This Row],[Description]]="","",Table2[[#This Row],[Value]]/Table2[[#This Row],[Conversion]])</f>
        <v/>
      </c>
      <c r="K2259" s="45" t="str">
        <f>IF(Table2[[#This Row],[Description]]="","",DATE(Table2[[#This Row],[Year]],Table2[[#This Row],[Month]],1))</f>
        <v/>
      </c>
    </row>
    <row r="2260" spans="7:11" x14ac:dyDescent="0.25">
      <c r="G2260" s="1" t="str">
        <f>IF(Table2[[#This Row],[Description]]="","",VLOOKUP(Table2[[#This Row],[Description]],$Q$1:$S$101,2,FALSE))</f>
        <v/>
      </c>
      <c r="H2260" s="1" t="str">
        <f>IF(Table2[[#This Row],[Description]]="","",VLOOKUP(Table2[[#This Row],[Description]],$Q$1:$S$101,3,FALSE))</f>
        <v/>
      </c>
      <c r="I2260" s="1" t="str">
        <f>IF(Table2[[#This Row],[Description]]="","",IF(Table2[[#This Row],[Currency]]=$O$2,$P$2,HLOOKUP(Table2[[#This Row],[Date]],Funds!$C$10:$GV$11,2,FALSE)))</f>
        <v/>
      </c>
      <c r="J2260" s="215" t="str">
        <f>IF(Table2[[#This Row],[Description]]="","",Table2[[#This Row],[Value]]/Table2[[#This Row],[Conversion]])</f>
        <v/>
      </c>
      <c r="K2260" s="45" t="str">
        <f>IF(Table2[[#This Row],[Description]]="","",DATE(Table2[[#This Row],[Year]],Table2[[#This Row],[Month]],1))</f>
        <v/>
      </c>
    </row>
    <row r="2261" spans="7:11" x14ac:dyDescent="0.25">
      <c r="G2261" s="1" t="str">
        <f>IF(Table2[[#This Row],[Description]]="","",VLOOKUP(Table2[[#This Row],[Description]],$Q$1:$S$101,2,FALSE))</f>
        <v/>
      </c>
      <c r="H2261" s="1" t="str">
        <f>IF(Table2[[#This Row],[Description]]="","",VLOOKUP(Table2[[#This Row],[Description]],$Q$1:$S$101,3,FALSE))</f>
        <v/>
      </c>
      <c r="I2261" s="1" t="str">
        <f>IF(Table2[[#This Row],[Description]]="","",IF(Table2[[#This Row],[Currency]]=$O$2,$P$2,HLOOKUP(Table2[[#This Row],[Date]],Funds!$C$10:$GV$11,2,FALSE)))</f>
        <v/>
      </c>
      <c r="J2261" s="215" t="str">
        <f>IF(Table2[[#This Row],[Description]]="","",Table2[[#This Row],[Value]]/Table2[[#This Row],[Conversion]])</f>
        <v/>
      </c>
      <c r="K2261" s="45" t="str">
        <f>IF(Table2[[#This Row],[Description]]="","",DATE(Table2[[#This Row],[Year]],Table2[[#This Row],[Month]],1))</f>
        <v/>
      </c>
    </row>
    <row r="2262" spans="7:11" x14ac:dyDescent="0.25">
      <c r="G2262" s="1" t="str">
        <f>IF(Table2[[#This Row],[Description]]="","",VLOOKUP(Table2[[#This Row],[Description]],$Q$1:$S$101,2,FALSE))</f>
        <v/>
      </c>
      <c r="H2262" s="1" t="str">
        <f>IF(Table2[[#This Row],[Description]]="","",VLOOKUP(Table2[[#This Row],[Description]],$Q$1:$S$101,3,FALSE))</f>
        <v/>
      </c>
      <c r="I2262" s="1" t="str">
        <f>IF(Table2[[#This Row],[Description]]="","",IF(Table2[[#This Row],[Currency]]=$O$2,$P$2,HLOOKUP(Table2[[#This Row],[Date]],Funds!$C$10:$GV$11,2,FALSE)))</f>
        <v/>
      </c>
      <c r="J2262" s="215" t="str">
        <f>IF(Table2[[#This Row],[Description]]="","",Table2[[#This Row],[Value]]/Table2[[#This Row],[Conversion]])</f>
        <v/>
      </c>
      <c r="K2262" s="45" t="str">
        <f>IF(Table2[[#This Row],[Description]]="","",DATE(Table2[[#This Row],[Year]],Table2[[#This Row],[Month]],1))</f>
        <v/>
      </c>
    </row>
    <row r="2263" spans="7:11" x14ac:dyDescent="0.25">
      <c r="G2263" s="1" t="str">
        <f>IF(Table2[[#This Row],[Description]]="","",VLOOKUP(Table2[[#This Row],[Description]],$Q$1:$S$101,2,FALSE))</f>
        <v/>
      </c>
      <c r="H2263" s="1" t="str">
        <f>IF(Table2[[#This Row],[Description]]="","",VLOOKUP(Table2[[#This Row],[Description]],$Q$1:$S$101,3,FALSE))</f>
        <v/>
      </c>
      <c r="I2263" s="1" t="str">
        <f>IF(Table2[[#This Row],[Description]]="","",IF(Table2[[#This Row],[Currency]]=$O$2,$P$2,HLOOKUP(Table2[[#This Row],[Date]],Funds!$C$10:$GV$11,2,FALSE)))</f>
        <v/>
      </c>
      <c r="J2263" s="215" t="str">
        <f>IF(Table2[[#This Row],[Description]]="","",Table2[[#This Row],[Value]]/Table2[[#This Row],[Conversion]])</f>
        <v/>
      </c>
      <c r="K2263" s="45" t="str">
        <f>IF(Table2[[#This Row],[Description]]="","",DATE(Table2[[#This Row],[Year]],Table2[[#This Row],[Month]],1))</f>
        <v/>
      </c>
    </row>
    <row r="2264" spans="7:11" x14ac:dyDescent="0.25">
      <c r="G2264" s="1" t="str">
        <f>IF(Table2[[#This Row],[Description]]="","",VLOOKUP(Table2[[#This Row],[Description]],$Q$1:$S$101,2,FALSE))</f>
        <v/>
      </c>
      <c r="H2264" s="1" t="str">
        <f>IF(Table2[[#This Row],[Description]]="","",VLOOKUP(Table2[[#This Row],[Description]],$Q$1:$S$101,3,FALSE))</f>
        <v/>
      </c>
      <c r="I2264" s="1" t="str">
        <f>IF(Table2[[#This Row],[Description]]="","",IF(Table2[[#This Row],[Currency]]=$O$2,$P$2,HLOOKUP(Table2[[#This Row],[Date]],Funds!$C$10:$GV$11,2,FALSE)))</f>
        <v/>
      </c>
      <c r="J2264" s="215" t="str">
        <f>IF(Table2[[#This Row],[Description]]="","",Table2[[#This Row],[Value]]/Table2[[#This Row],[Conversion]])</f>
        <v/>
      </c>
      <c r="K2264" s="45" t="str">
        <f>IF(Table2[[#This Row],[Description]]="","",DATE(Table2[[#This Row],[Year]],Table2[[#This Row],[Month]],1))</f>
        <v/>
      </c>
    </row>
    <row r="2265" spans="7:11" x14ac:dyDescent="0.25">
      <c r="G2265" s="1" t="str">
        <f>IF(Table2[[#This Row],[Description]]="","",VLOOKUP(Table2[[#This Row],[Description]],$Q$1:$S$101,2,FALSE))</f>
        <v/>
      </c>
      <c r="H2265" s="1" t="str">
        <f>IF(Table2[[#This Row],[Description]]="","",VLOOKUP(Table2[[#This Row],[Description]],$Q$1:$S$101,3,FALSE))</f>
        <v/>
      </c>
      <c r="I2265" s="1" t="str">
        <f>IF(Table2[[#This Row],[Description]]="","",IF(Table2[[#This Row],[Currency]]=$O$2,$P$2,HLOOKUP(Table2[[#This Row],[Date]],Funds!$C$10:$GV$11,2,FALSE)))</f>
        <v/>
      </c>
      <c r="J2265" s="215" t="str">
        <f>IF(Table2[[#This Row],[Description]]="","",Table2[[#This Row],[Value]]/Table2[[#This Row],[Conversion]])</f>
        <v/>
      </c>
      <c r="K2265" s="45" t="str">
        <f>IF(Table2[[#This Row],[Description]]="","",DATE(Table2[[#This Row],[Year]],Table2[[#This Row],[Month]],1))</f>
        <v/>
      </c>
    </row>
    <row r="2266" spans="7:11" x14ac:dyDescent="0.25">
      <c r="G2266" s="1" t="str">
        <f>IF(Table2[[#This Row],[Description]]="","",VLOOKUP(Table2[[#This Row],[Description]],$Q$1:$S$101,2,FALSE))</f>
        <v/>
      </c>
      <c r="H2266" s="1" t="str">
        <f>IF(Table2[[#This Row],[Description]]="","",VLOOKUP(Table2[[#This Row],[Description]],$Q$1:$S$101,3,FALSE))</f>
        <v/>
      </c>
      <c r="I2266" s="1" t="str">
        <f>IF(Table2[[#This Row],[Description]]="","",IF(Table2[[#This Row],[Currency]]=$O$2,$P$2,HLOOKUP(Table2[[#This Row],[Date]],Funds!$C$10:$GV$11,2,FALSE)))</f>
        <v/>
      </c>
      <c r="J2266" s="215" t="str">
        <f>IF(Table2[[#This Row],[Description]]="","",Table2[[#This Row],[Value]]/Table2[[#This Row],[Conversion]])</f>
        <v/>
      </c>
      <c r="K2266" s="45" t="str">
        <f>IF(Table2[[#This Row],[Description]]="","",DATE(Table2[[#This Row],[Year]],Table2[[#This Row],[Month]],1))</f>
        <v/>
      </c>
    </row>
    <row r="2267" spans="7:11" x14ac:dyDescent="0.25">
      <c r="G2267" s="1" t="str">
        <f>IF(Table2[[#This Row],[Description]]="","",VLOOKUP(Table2[[#This Row],[Description]],$Q$1:$S$101,2,FALSE))</f>
        <v/>
      </c>
      <c r="H2267" s="1" t="str">
        <f>IF(Table2[[#This Row],[Description]]="","",VLOOKUP(Table2[[#This Row],[Description]],$Q$1:$S$101,3,FALSE))</f>
        <v/>
      </c>
      <c r="I2267" s="1" t="str">
        <f>IF(Table2[[#This Row],[Description]]="","",IF(Table2[[#This Row],[Currency]]=$O$2,$P$2,HLOOKUP(Table2[[#This Row],[Date]],Funds!$C$10:$GV$11,2,FALSE)))</f>
        <v/>
      </c>
      <c r="J2267" s="215" t="str">
        <f>IF(Table2[[#This Row],[Description]]="","",Table2[[#This Row],[Value]]/Table2[[#This Row],[Conversion]])</f>
        <v/>
      </c>
      <c r="K2267" s="45" t="str">
        <f>IF(Table2[[#This Row],[Description]]="","",DATE(Table2[[#This Row],[Year]],Table2[[#This Row],[Month]],1))</f>
        <v/>
      </c>
    </row>
    <row r="2268" spans="7:11" x14ac:dyDescent="0.25">
      <c r="G2268" s="1" t="str">
        <f>IF(Table2[[#This Row],[Description]]="","",VLOOKUP(Table2[[#This Row],[Description]],$Q$1:$S$101,2,FALSE))</f>
        <v/>
      </c>
      <c r="H2268" s="1" t="str">
        <f>IF(Table2[[#This Row],[Description]]="","",VLOOKUP(Table2[[#This Row],[Description]],$Q$1:$S$101,3,FALSE))</f>
        <v/>
      </c>
      <c r="I2268" s="1" t="str">
        <f>IF(Table2[[#This Row],[Description]]="","",IF(Table2[[#This Row],[Currency]]=$O$2,$P$2,HLOOKUP(Table2[[#This Row],[Date]],Funds!$C$10:$GV$11,2,FALSE)))</f>
        <v/>
      </c>
      <c r="J2268" s="215" t="str">
        <f>IF(Table2[[#This Row],[Description]]="","",Table2[[#This Row],[Value]]/Table2[[#This Row],[Conversion]])</f>
        <v/>
      </c>
      <c r="K2268" s="45" t="str">
        <f>IF(Table2[[#This Row],[Description]]="","",DATE(Table2[[#This Row],[Year]],Table2[[#This Row],[Month]],1))</f>
        <v/>
      </c>
    </row>
    <row r="2269" spans="7:11" x14ac:dyDescent="0.25">
      <c r="G2269" s="1" t="str">
        <f>IF(Table2[[#This Row],[Description]]="","",VLOOKUP(Table2[[#This Row],[Description]],$Q$1:$S$101,2,FALSE))</f>
        <v/>
      </c>
      <c r="H2269" s="1" t="str">
        <f>IF(Table2[[#This Row],[Description]]="","",VLOOKUP(Table2[[#This Row],[Description]],$Q$1:$S$101,3,FALSE))</f>
        <v/>
      </c>
      <c r="I2269" s="1" t="str">
        <f>IF(Table2[[#This Row],[Description]]="","",IF(Table2[[#This Row],[Currency]]=$O$2,$P$2,HLOOKUP(Table2[[#This Row],[Date]],Funds!$C$10:$GV$11,2,FALSE)))</f>
        <v/>
      </c>
      <c r="J2269" s="215" t="str">
        <f>IF(Table2[[#This Row],[Description]]="","",Table2[[#This Row],[Value]]/Table2[[#This Row],[Conversion]])</f>
        <v/>
      </c>
      <c r="K2269" s="45" t="str">
        <f>IF(Table2[[#This Row],[Description]]="","",DATE(Table2[[#This Row],[Year]],Table2[[#This Row],[Month]],1))</f>
        <v/>
      </c>
    </row>
    <row r="2270" spans="7:11" x14ac:dyDescent="0.25">
      <c r="G2270" s="1" t="str">
        <f>IF(Table2[[#This Row],[Description]]="","",VLOOKUP(Table2[[#This Row],[Description]],$Q$1:$S$101,2,FALSE))</f>
        <v/>
      </c>
      <c r="H2270" s="1" t="str">
        <f>IF(Table2[[#This Row],[Description]]="","",VLOOKUP(Table2[[#This Row],[Description]],$Q$1:$S$101,3,FALSE))</f>
        <v/>
      </c>
      <c r="I2270" s="1" t="str">
        <f>IF(Table2[[#This Row],[Description]]="","",IF(Table2[[#This Row],[Currency]]=$O$2,$P$2,HLOOKUP(Table2[[#This Row],[Date]],Funds!$C$10:$GV$11,2,FALSE)))</f>
        <v/>
      </c>
      <c r="J2270" s="215" t="str">
        <f>IF(Table2[[#This Row],[Description]]="","",Table2[[#This Row],[Value]]/Table2[[#This Row],[Conversion]])</f>
        <v/>
      </c>
      <c r="K2270" s="45" t="str">
        <f>IF(Table2[[#This Row],[Description]]="","",DATE(Table2[[#This Row],[Year]],Table2[[#This Row],[Month]],1))</f>
        <v/>
      </c>
    </row>
    <row r="2271" spans="7:11" x14ac:dyDescent="0.25">
      <c r="G2271" s="1" t="str">
        <f>IF(Table2[[#This Row],[Description]]="","",VLOOKUP(Table2[[#This Row],[Description]],$Q$1:$S$101,2,FALSE))</f>
        <v/>
      </c>
      <c r="H2271" s="1" t="str">
        <f>IF(Table2[[#This Row],[Description]]="","",VLOOKUP(Table2[[#This Row],[Description]],$Q$1:$S$101,3,FALSE))</f>
        <v/>
      </c>
      <c r="I2271" s="1" t="str">
        <f>IF(Table2[[#This Row],[Description]]="","",IF(Table2[[#This Row],[Currency]]=$O$2,$P$2,HLOOKUP(Table2[[#This Row],[Date]],Funds!$C$10:$GV$11,2,FALSE)))</f>
        <v/>
      </c>
      <c r="J2271" s="215" t="str">
        <f>IF(Table2[[#This Row],[Description]]="","",Table2[[#This Row],[Value]]/Table2[[#This Row],[Conversion]])</f>
        <v/>
      </c>
      <c r="K2271" s="45" t="str">
        <f>IF(Table2[[#This Row],[Description]]="","",DATE(Table2[[#This Row],[Year]],Table2[[#This Row],[Month]],1))</f>
        <v/>
      </c>
    </row>
    <row r="2272" spans="7:11" x14ac:dyDescent="0.25">
      <c r="G2272" s="1" t="str">
        <f>IF(Table2[[#This Row],[Description]]="","",VLOOKUP(Table2[[#This Row],[Description]],$Q$1:$S$101,2,FALSE))</f>
        <v/>
      </c>
      <c r="H2272" s="1" t="str">
        <f>IF(Table2[[#This Row],[Description]]="","",VLOOKUP(Table2[[#This Row],[Description]],$Q$1:$S$101,3,FALSE))</f>
        <v/>
      </c>
      <c r="I2272" s="1" t="str">
        <f>IF(Table2[[#This Row],[Description]]="","",IF(Table2[[#This Row],[Currency]]=$O$2,$P$2,HLOOKUP(Table2[[#This Row],[Date]],Funds!$C$10:$GV$11,2,FALSE)))</f>
        <v/>
      </c>
      <c r="J2272" s="215" t="str">
        <f>IF(Table2[[#This Row],[Description]]="","",Table2[[#This Row],[Value]]/Table2[[#This Row],[Conversion]])</f>
        <v/>
      </c>
      <c r="K2272" s="45" t="str">
        <f>IF(Table2[[#This Row],[Description]]="","",DATE(Table2[[#This Row],[Year]],Table2[[#This Row],[Month]],1))</f>
        <v/>
      </c>
    </row>
    <row r="2273" spans="7:11" x14ac:dyDescent="0.25">
      <c r="G2273" s="1" t="str">
        <f>IF(Table2[[#This Row],[Description]]="","",VLOOKUP(Table2[[#This Row],[Description]],$Q$1:$S$101,2,FALSE))</f>
        <v/>
      </c>
      <c r="H2273" s="1" t="str">
        <f>IF(Table2[[#This Row],[Description]]="","",VLOOKUP(Table2[[#This Row],[Description]],$Q$1:$S$101,3,FALSE))</f>
        <v/>
      </c>
      <c r="I2273" s="1" t="str">
        <f>IF(Table2[[#This Row],[Description]]="","",IF(Table2[[#This Row],[Currency]]=$O$2,$P$2,HLOOKUP(Table2[[#This Row],[Date]],Funds!$C$10:$GV$11,2,FALSE)))</f>
        <v/>
      </c>
      <c r="J2273" s="215" t="str">
        <f>IF(Table2[[#This Row],[Description]]="","",Table2[[#This Row],[Value]]/Table2[[#This Row],[Conversion]])</f>
        <v/>
      </c>
      <c r="K2273" s="45" t="str">
        <f>IF(Table2[[#This Row],[Description]]="","",DATE(Table2[[#This Row],[Year]],Table2[[#This Row],[Month]],1))</f>
        <v/>
      </c>
    </row>
    <row r="2274" spans="7:11" x14ac:dyDescent="0.25">
      <c r="G2274" s="1" t="str">
        <f>IF(Table2[[#This Row],[Description]]="","",VLOOKUP(Table2[[#This Row],[Description]],$Q$1:$S$101,2,FALSE))</f>
        <v/>
      </c>
      <c r="H2274" s="1" t="str">
        <f>IF(Table2[[#This Row],[Description]]="","",VLOOKUP(Table2[[#This Row],[Description]],$Q$1:$S$101,3,FALSE))</f>
        <v/>
      </c>
      <c r="I2274" s="1" t="str">
        <f>IF(Table2[[#This Row],[Description]]="","",IF(Table2[[#This Row],[Currency]]=$O$2,$P$2,HLOOKUP(Table2[[#This Row],[Date]],Funds!$C$10:$GV$11,2,FALSE)))</f>
        <v/>
      </c>
      <c r="J2274" s="215" t="str">
        <f>IF(Table2[[#This Row],[Description]]="","",Table2[[#This Row],[Value]]/Table2[[#This Row],[Conversion]])</f>
        <v/>
      </c>
      <c r="K2274" s="45" t="str">
        <f>IF(Table2[[#This Row],[Description]]="","",DATE(Table2[[#This Row],[Year]],Table2[[#This Row],[Month]],1))</f>
        <v/>
      </c>
    </row>
    <row r="2275" spans="7:11" x14ac:dyDescent="0.25">
      <c r="G2275" s="1" t="str">
        <f>IF(Table2[[#This Row],[Description]]="","",VLOOKUP(Table2[[#This Row],[Description]],$Q$1:$S$101,2,FALSE))</f>
        <v/>
      </c>
      <c r="H2275" s="1" t="str">
        <f>IF(Table2[[#This Row],[Description]]="","",VLOOKUP(Table2[[#This Row],[Description]],$Q$1:$S$101,3,FALSE))</f>
        <v/>
      </c>
      <c r="I2275" s="1" t="str">
        <f>IF(Table2[[#This Row],[Description]]="","",IF(Table2[[#This Row],[Currency]]=$O$2,$P$2,HLOOKUP(Table2[[#This Row],[Date]],Funds!$C$10:$GV$11,2,FALSE)))</f>
        <v/>
      </c>
      <c r="J2275" s="215" t="str">
        <f>IF(Table2[[#This Row],[Description]]="","",Table2[[#This Row],[Value]]/Table2[[#This Row],[Conversion]])</f>
        <v/>
      </c>
      <c r="K2275" s="45" t="str">
        <f>IF(Table2[[#This Row],[Description]]="","",DATE(Table2[[#This Row],[Year]],Table2[[#This Row],[Month]],1))</f>
        <v/>
      </c>
    </row>
    <row r="2276" spans="7:11" x14ac:dyDescent="0.25">
      <c r="G2276" s="1" t="str">
        <f>IF(Table2[[#This Row],[Description]]="","",VLOOKUP(Table2[[#This Row],[Description]],$Q$1:$S$101,2,FALSE))</f>
        <v/>
      </c>
      <c r="H2276" s="1" t="str">
        <f>IF(Table2[[#This Row],[Description]]="","",VLOOKUP(Table2[[#This Row],[Description]],$Q$1:$S$101,3,FALSE))</f>
        <v/>
      </c>
      <c r="I2276" s="1" t="str">
        <f>IF(Table2[[#This Row],[Description]]="","",IF(Table2[[#This Row],[Currency]]=$O$2,$P$2,HLOOKUP(Table2[[#This Row],[Date]],Funds!$C$10:$GV$11,2,FALSE)))</f>
        <v/>
      </c>
      <c r="J2276" s="215" t="str">
        <f>IF(Table2[[#This Row],[Description]]="","",Table2[[#This Row],[Value]]/Table2[[#This Row],[Conversion]])</f>
        <v/>
      </c>
      <c r="K2276" s="45" t="str">
        <f>IF(Table2[[#This Row],[Description]]="","",DATE(Table2[[#This Row],[Year]],Table2[[#This Row],[Month]],1))</f>
        <v/>
      </c>
    </row>
    <row r="2277" spans="7:11" x14ac:dyDescent="0.25">
      <c r="G2277" s="1" t="str">
        <f>IF(Table2[[#This Row],[Description]]="","",VLOOKUP(Table2[[#This Row],[Description]],$Q$1:$S$101,2,FALSE))</f>
        <v/>
      </c>
      <c r="H2277" s="1" t="str">
        <f>IF(Table2[[#This Row],[Description]]="","",VLOOKUP(Table2[[#This Row],[Description]],$Q$1:$S$101,3,FALSE))</f>
        <v/>
      </c>
      <c r="I2277" s="1" t="str">
        <f>IF(Table2[[#This Row],[Description]]="","",IF(Table2[[#This Row],[Currency]]=$O$2,$P$2,HLOOKUP(Table2[[#This Row],[Date]],Funds!$C$10:$GV$11,2,FALSE)))</f>
        <v/>
      </c>
      <c r="J2277" s="215" t="str">
        <f>IF(Table2[[#This Row],[Description]]="","",Table2[[#This Row],[Value]]/Table2[[#This Row],[Conversion]])</f>
        <v/>
      </c>
      <c r="K2277" s="45" t="str">
        <f>IF(Table2[[#This Row],[Description]]="","",DATE(Table2[[#This Row],[Year]],Table2[[#This Row],[Month]],1))</f>
        <v/>
      </c>
    </row>
    <row r="2278" spans="7:11" x14ac:dyDescent="0.25">
      <c r="G2278" s="1" t="str">
        <f>IF(Table2[[#This Row],[Description]]="","",VLOOKUP(Table2[[#This Row],[Description]],$Q$1:$S$101,2,FALSE))</f>
        <v/>
      </c>
      <c r="H2278" s="1" t="str">
        <f>IF(Table2[[#This Row],[Description]]="","",VLOOKUP(Table2[[#This Row],[Description]],$Q$1:$S$101,3,FALSE))</f>
        <v/>
      </c>
      <c r="I2278" s="1" t="str">
        <f>IF(Table2[[#This Row],[Description]]="","",IF(Table2[[#This Row],[Currency]]=$O$2,$P$2,HLOOKUP(Table2[[#This Row],[Date]],Funds!$C$10:$GV$11,2,FALSE)))</f>
        <v/>
      </c>
      <c r="J2278" s="215" t="str">
        <f>IF(Table2[[#This Row],[Description]]="","",Table2[[#This Row],[Value]]/Table2[[#This Row],[Conversion]])</f>
        <v/>
      </c>
      <c r="K2278" s="45" t="str">
        <f>IF(Table2[[#This Row],[Description]]="","",DATE(Table2[[#This Row],[Year]],Table2[[#This Row],[Month]],1))</f>
        <v/>
      </c>
    </row>
    <row r="2279" spans="7:11" x14ac:dyDescent="0.25">
      <c r="G2279" s="1" t="str">
        <f>IF(Table2[[#This Row],[Description]]="","",VLOOKUP(Table2[[#This Row],[Description]],$Q$1:$S$101,2,FALSE))</f>
        <v/>
      </c>
      <c r="H2279" s="1" t="str">
        <f>IF(Table2[[#This Row],[Description]]="","",VLOOKUP(Table2[[#This Row],[Description]],$Q$1:$S$101,3,FALSE))</f>
        <v/>
      </c>
      <c r="I2279" s="1" t="str">
        <f>IF(Table2[[#This Row],[Description]]="","",IF(Table2[[#This Row],[Currency]]=$O$2,$P$2,HLOOKUP(Table2[[#This Row],[Date]],Funds!$C$10:$GV$11,2,FALSE)))</f>
        <v/>
      </c>
      <c r="J2279" s="215" t="str">
        <f>IF(Table2[[#This Row],[Description]]="","",Table2[[#This Row],[Value]]/Table2[[#This Row],[Conversion]])</f>
        <v/>
      </c>
      <c r="K2279" s="45" t="str">
        <f>IF(Table2[[#This Row],[Description]]="","",DATE(Table2[[#This Row],[Year]],Table2[[#This Row],[Month]],1))</f>
        <v/>
      </c>
    </row>
    <row r="2280" spans="7:11" x14ac:dyDescent="0.25">
      <c r="G2280" s="1" t="str">
        <f>IF(Table2[[#This Row],[Description]]="","",VLOOKUP(Table2[[#This Row],[Description]],$Q$1:$S$101,2,FALSE))</f>
        <v/>
      </c>
      <c r="H2280" s="1" t="str">
        <f>IF(Table2[[#This Row],[Description]]="","",VLOOKUP(Table2[[#This Row],[Description]],$Q$1:$S$101,3,FALSE))</f>
        <v/>
      </c>
      <c r="I2280" s="1" t="str">
        <f>IF(Table2[[#This Row],[Description]]="","",IF(Table2[[#This Row],[Currency]]=$O$2,$P$2,HLOOKUP(Table2[[#This Row],[Date]],Funds!$C$10:$GV$11,2,FALSE)))</f>
        <v/>
      </c>
      <c r="J2280" s="215" t="str">
        <f>IF(Table2[[#This Row],[Description]]="","",Table2[[#This Row],[Value]]/Table2[[#This Row],[Conversion]])</f>
        <v/>
      </c>
      <c r="K2280" s="45" t="str">
        <f>IF(Table2[[#This Row],[Description]]="","",DATE(Table2[[#This Row],[Year]],Table2[[#This Row],[Month]],1))</f>
        <v/>
      </c>
    </row>
    <row r="2281" spans="7:11" x14ac:dyDescent="0.25">
      <c r="G2281" s="1" t="str">
        <f>IF(Table2[[#This Row],[Description]]="","",VLOOKUP(Table2[[#This Row],[Description]],$Q$1:$S$101,2,FALSE))</f>
        <v/>
      </c>
      <c r="H2281" s="1" t="str">
        <f>IF(Table2[[#This Row],[Description]]="","",VLOOKUP(Table2[[#This Row],[Description]],$Q$1:$S$101,3,FALSE))</f>
        <v/>
      </c>
      <c r="I2281" s="1" t="str">
        <f>IF(Table2[[#This Row],[Description]]="","",IF(Table2[[#This Row],[Currency]]=$O$2,$P$2,HLOOKUP(Table2[[#This Row],[Date]],Funds!$C$10:$GV$11,2,FALSE)))</f>
        <v/>
      </c>
      <c r="J2281" s="215" t="str">
        <f>IF(Table2[[#This Row],[Description]]="","",Table2[[#This Row],[Value]]/Table2[[#This Row],[Conversion]])</f>
        <v/>
      </c>
      <c r="K2281" s="45" t="str">
        <f>IF(Table2[[#This Row],[Description]]="","",DATE(Table2[[#This Row],[Year]],Table2[[#This Row],[Month]],1))</f>
        <v/>
      </c>
    </row>
    <row r="2282" spans="7:11" x14ac:dyDescent="0.25">
      <c r="G2282" s="1" t="str">
        <f>IF(Table2[[#This Row],[Description]]="","",VLOOKUP(Table2[[#This Row],[Description]],$Q$1:$S$101,2,FALSE))</f>
        <v/>
      </c>
      <c r="H2282" s="1" t="str">
        <f>IF(Table2[[#This Row],[Description]]="","",VLOOKUP(Table2[[#This Row],[Description]],$Q$1:$S$101,3,FALSE))</f>
        <v/>
      </c>
      <c r="I2282" s="1" t="str">
        <f>IF(Table2[[#This Row],[Description]]="","",IF(Table2[[#This Row],[Currency]]=$O$2,$P$2,HLOOKUP(Table2[[#This Row],[Date]],Funds!$C$10:$GV$11,2,FALSE)))</f>
        <v/>
      </c>
      <c r="J2282" s="215" t="str">
        <f>IF(Table2[[#This Row],[Description]]="","",Table2[[#This Row],[Value]]/Table2[[#This Row],[Conversion]])</f>
        <v/>
      </c>
      <c r="K2282" s="45" t="str">
        <f>IF(Table2[[#This Row],[Description]]="","",DATE(Table2[[#This Row],[Year]],Table2[[#This Row],[Month]],1))</f>
        <v/>
      </c>
    </row>
    <row r="2283" spans="7:11" x14ac:dyDescent="0.25">
      <c r="G2283" s="1" t="str">
        <f>IF(Table2[[#This Row],[Description]]="","",VLOOKUP(Table2[[#This Row],[Description]],$Q$1:$S$101,2,FALSE))</f>
        <v/>
      </c>
      <c r="H2283" s="1" t="str">
        <f>IF(Table2[[#This Row],[Description]]="","",VLOOKUP(Table2[[#This Row],[Description]],$Q$1:$S$101,3,FALSE))</f>
        <v/>
      </c>
      <c r="I2283" s="1" t="str">
        <f>IF(Table2[[#This Row],[Description]]="","",IF(Table2[[#This Row],[Currency]]=$O$2,$P$2,HLOOKUP(Table2[[#This Row],[Date]],Funds!$C$10:$GV$11,2,FALSE)))</f>
        <v/>
      </c>
      <c r="J2283" s="215" t="str">
        <f>IF(Table2[[#This Row],[Description]]="","",Table2[[#This Row],[Value]]/Table2[[#This Row],[Conversion]])</f>
        <v/>
      </c>
      <c r="K2283" s="45" t="str">
        <f>IF(Table2[[#This Row],[Description]]="","",DATE(Table2[[#This Row],[Year]],Table2[[#This Row],[Month]],1))</f>
        <v/>
      </c>
    </row>
    <row r="2284" spans="7:11" x14ac:dyDescent="0.25">
      <c r="G2284" s="1" t="str">
        <f>IF(Table2[[#This Row],[Description]]="","",VLOOKUP(Table2[[#This Row],[Description]],$Q$1:$S$101,2,FALSE))</f>
        <v/>
      </c>
      <c r="H2284" s="1" t="str">
        <f>IF(Table2[[#This Row],[Description]]="","",VLOOKUP(Table2[[#This Row],[Description]],$Q$1:$S$101,3,FALSE))</f>
        <v/>
      </c>
      <c r="I2284" s="1" t="str">
        <f>IF(Table2[[#This Row],[Description]]="","",IF(Table2[[#This Row],[Currency]]=$O$2,$P$2,HLOOKUP(Table2[[#This Row],[Date]],Funds!$C$10:$GV$11,2,FALSE)))</f>
        <v/>
      </c>
      <c r="J2284" s="215" t="str">
        <f>IF(Table2[[#This Row],[Description]]="","",Table2[[#This Row],[Value]]/Table2[[#This Row],[Conversion]])</f>
        <v/>
      </c>
      <c r="K2284" s="45" t="str">
        <f>IF(Table2[[#This Row],[Description]]="","",DATE(Table2[[#This Row],[Year]],Table2[[#This Row],[Month]],1))</f>
        <v/>
      </c>
    </row>
    <row r="2285" spans="7:11" x14ac:dyDescent="0.25">
      <c r="G2285" s="1" t="str">
        <f>IF(Table2[[#This Row],[Description]]="","",VLOOKUP(Table2[[#This Row],[Description]],$Q$1:$S$101,2,FALSE))</f>
        <v/>
      </c>
      <c r="H2285" s="1" t="str">
        <f>IF(Table2[[#This Row],[Description]]="","",VLOOKUP(Table2[[#This Row],[Description]],$Q$1:$S$101,3,FALSE))</f>
        <v/>
      </c>
      <c r="I2285" s="1" t="str">
        <f>IF(Table2[[#This Row],[Description]]="","",IF(Table2[[#This Row],[Currency]]=$O$2,$P$2,HLOOKUP(Table2[[#This Row],[Date]],Funds!$C$10:$GV$11,2,FALSE)))</f>
        <v/>
      </c>
      <c r="J2285" s="215" t="str">
        <f>IF(Table2[[#This Row],[Description]]="","",Table2[[#This Row],[Value]]/Table2[[#This Row],[Conversion]])</f>
        <v/>
      </c>
      <c r="K2285" s="45" t="str">
        <f>IF(Table2[[#This Row],[Description]]="","",DATE(Table2[[#This Row],[Year]],Table2[[#This Row],[Month]],1))</f>
        <v/>
      </c>
    </row>
    <row r="2286" spans="7:11" x14ac:dyDescent="0.25">
      <c r="G2286" s="1" t="str">
        <f>IF(Table2[[#This Row],[Description]]="","",VLOOKUP(Table2[[#This Row],[Description]],$Q$1:$S$101,2,FALSE))</f>
        <v/>
      </c>
      <c r="H2286" s="1" t="str">
        <f>IF(Table2[[#This Row],[Description]]="","",VLOOKUP(Table2[[#This Row],[Description]],$Q$1:$S$101,3,FALSE))</f>
        <v/>
      </c>
      <c r="I2286" s="1" t="str">
        <f>IF(Table2[[#This Row],[Description]]="","",IF(Table2[[#This Row],[Currency]]=$O$2,$P$2,HLOOKUP(Table2[[#This Row],[Date]],Funds!$C$10:$GV$11,2,FALSE)))</f>
        <v/>
      </c>
      <c r="J2286" s="215" t="str">
        <f>IF(Table2[[#This Row],[Description]]="","",Table2[[#This Row],[Value]]/Table2[[#This Row],[Conversion]])</f>
        <v/>
      </c>
      <c r="K2286" s="45" t="str">
        <f>IF(Table2[[#This Row],[Description]]="","",DATE(Table2[[#This Row],[Year]],Table2[[#This Row],[Month]],1))</f>
        <v/>
      </c>
    </row>
    <row r="2287" spans="7:11" x14ac:dyDescent="0.25">
      <c r="G2287" s="1" t="str">
        <f>IF(Table2[[#This Row],[Description]]="","",VLOOKUP(Table2[[#This Row],[Description]],$Q$1:$S$101,2,FALSE))</f>
        <v/>
      </c>
      <c r="H2287" s="1" t="str">
        <f>IF(Table2[[#This Row],[Description]]="","",VLOOKUP(Table2[[#This Row],[Description]],$Q$1:$S$101,3,FALSE))</f>
        <v/>
      </c>
      <c r="I2287" s="1" t="str">
        <f>IF(Table2[[#This Row],[Description]]="","",IF(Table2[[#This Row],[Currency]]=$O$2,$P$2,HLOOKUP(Table2[[#This Row],[Date]],Funds!$C$10:$GV$11,2,FALSE)))</f>
        <v/>
      </c>
      <c r="J2287" s="215" t="str">
        <f>IF(Table2[[#This Row],[Description]]="","",Table2[[#This Row],[Value]]/Table2[[#This Row],[Conversion]])</f>
        <v/>
      </c>
      <c r="K2287" s="45" t="str">
        <f>IF(Table2[[#This Row],[Description]]="","",DATE(Table2[[#This Row],[Year]],Table2[[#This Row],[Month]],1))</f>
        <v/>
      </c>
    </row>
    <row r="2288" spans="7:11" x14ac:dyDescent="0.25">
      <c r="G2288" s="1" t="str">
        <f>IF(Table2[[#This Row],[Description]]="","",VLOOKUP(Table2[[#This Row],[Description]],$Q$1:$S$101,2,FALSE))</f>
        <v/>
      </c>
      <c r="H2288" s="1" t="str">
        <f>IF(Table2[[#This Row],[Description]]="","",VLOOKUP(Table2[[#This Row],[Description]],$Q$1:$S$101,3,FALSE))</f>
        <v/>
      </c>
      <c r="I2288" s="1" t="str">
        <f>IF(Table2[[#This Row],[Description]]="","",IF(Table2[[#This Row],[Currency]]=$O$2,$P$2,HLOOKUP(Table2[[#This Row],[Date]],Funds!$C$10:$GV$11,2,FALSE)))</f>
        <v/>
      </c>
      <c r="J2288" s="215" t="str">
        <f>IF(Table2[[#This Row],[Description]]="","",Table2[[#This Row],[Value]]/Table2[[#This Row],[Conversion]])</f>
        <v/>
      </c>
      <c r="K2288" s="45" t="str">
        <f>IF(Table2[[#This Row],[Description]]="","",DATE(Table2[[#This Row],[Year]],Table2[[#This Row],[Month]],1))</f>
        <v/>
      </c>
    </row>
    <row r="2289" spans="7:11" x14ac:dyDescent="0.25">
      <c r="G2289" s="1" t="str">
        <f>IF(Table2[[#This Row],[Description]]="","",VLOOKUP(Table2[[#This Row],[Description]],$Q$1:$S$101,2,FALSE))</f>
        <v/>
      </c>
      <c r="H2289" s="1" t="str">
        <f>IF(Table2[[#This Row],[Description]]="","",VLOOKUP(Table2[[#This Row],[Description]],$Q$1:$S$101,3,FALSE))</f>
        <v/>
      </c>
      <c r="I2289" s="1" t="str">
        <f>IF(Table2[[#This Row],[Description]]="","",IF(Table2[[#This Row],[Currency]]=$O$2,$P$2,HLOOKUP(Table2[[#This Row],[Date]],Funds!$C$10:$GV$11,2,FALSE)))</f>
        <v/>
      </c>
      <c r="J2289" s="215" t="str">
        <f>IF(Table2[[#This Row],[Description]]="","",Table2[[#This Row],[Value]]/Table2[[#This Row],[Conversion]])</f>
        <v/>
      </c>
      <c r="K2289" s="45" t="str">
        <f>IF(Table2[[#This Row],[Description]]="","",DATE(Table2[[#This Row],[Year]],Table2[[#This Row],[Month]],1))</f>
        <v/>
      </c>
    </row>
    <row r="2290" spans="7:11" x14ac:dyDescent="0.25">
      <c r="G2290" s="1" t="str">
        <f>IF(Table2[[#This Row],[Description]]="","",VLOOKUP(Table2[[#This Row],[Description]],$Q$1:$S$101,2,FALSE))</f>
        <v/>
      </c>
      <c r="H2290" s="1" t="str">
        <f>IF(Table2[[#This Row],[Description]]="","",VLOOKUP(Table2[[#This Row],[Description]],$Q$1:$S$101,3,FALSE))</f>
        <v/>
      </c>
      <c r="I2290" s="1" t="str">
        <f>IF(Table2[[#This Row],[Description]]="","",IF(Table2[[#This Row],[Currency]]=$O$2,$P$2,HLOOKUP(Table2[[#This Row],[Date]],Funds!$C$10:$GV$11,2,FALSE)))</f>
        <v/>
      </c>
      <c r="J2290" s="215" t="str">
        <f>IF(Table2[[#This Row],[Description]]="","",Table2[[#This Row],[Value]]/Table2[[#This Row],[Conversion]])</f>
        <v/>
      </c>
      <c r="K2290" s="45" t="str">
        <f>IF(Table2[[#This Row],[Description]]="","",DATE(Table2[[#This Row],[Year]],Table2[[#This Row],[Month]],1))</f>
        <v/>
      </c>
    </row>
    <row r="2291" spans="7:11" x14ac:dyDescent="0.25">
      <c r="G2291" s="1" t="str">
        <f>IF(Table2[[#This Row],[Description]]="","",VLOOKUP(Table2[[#This Row],[Description]],$Q$1:$S$101,2,FALSE))</f>
        <v/>
      </c>
      <c r="H2291" s="1" t="str">
        <f>IF(Table2[[#This Row],[Description]]="","",VLOOKUP(Table2[[#This Row],[Description]],$Q$1:$S$101,3,FALSE))</f>
        <v/>
      </c>
      <c r="I2291" s="1" t="str">
        <f>IF(Table2[[#This Row],[Description]]="","",IF(Table2[[#This Row],[Currency]]=$O$2,$P$2,HLOOKUP(Table2[[#This Row],[Date]],Funds!$C$10:$GV$11,2,FALSE)))</f>
        <v/>
      </c>
      <c r="J2291" s="215" t="str">
        <f>IF(Table2[[#This Row],[Description]]="","",Table2[[#This Row],[Value]]/Table2[[#This Row],[Conversion]])</f>
        <v/>
      </c>
      <c r="K2291" s="45" t="str">
        <f>IF(Table2[[#This Row],[Description]]="","",DATE(Table2[[#This Row],[Year]],Table2[[#This Row],[Month]],1))</f>
        <v/>
      </c>
    </row>
    <row r="2292" spans="7:11" x14ac:dyDescent="0.25">
      <c r="G2292" s="1" t="str">
        <f>IF(Table2[[#This Row],[Description]]="","",VLOOKUP(Table2[[#This Row],[Description]],$Q$1:$S$101,2,FALSE))</f>
        <v/>
      </c>
      <c r="H2292" s="1" t="str">
        <f>IF(Table2[[#This Row],[Description]]="","",VLOOKUP(Table2[[#This Row],[Description]],$Q$1:$S$101,3,FALSE))</f>
        <v/>
      </c>
      <c r="I2292" s="1" t="str">
        <f>IF(Table2[[#This Row],[Description]]="","",IF(Table2[[#This Row],[Currency]]=$O$2,$P$2,HLOOKUP(Table2[[#This Row],[Date]],Funds!$C$10:$GV$11,2,FALSE)))</f>
        <v/>
      </c>
      <c r="J2292" s="215" t="str">
        <f>IF(Table2[[#This Row],[Description]]="","",Table2[[#This Row],[Value]]/Table2[[#This Row],[Conversion]])</f>
        <v/>
      </c>
      <c r="K2292" s="45" t="str">
        <f>IF(Table2[[#This Row],[Description]]="","",DATE(Table2[[#This Row],[Year]],Table2[[#This Row],[Month]],1))</f>
        <v/>
      </c>
    </row>
    <row r="2293" spans="7:11" x14ac:dyDescent="0.25">
      <c r="G2293" s="1" t="str">
        <f>IF(Table2[[#This Row],[Description]]="","",VLOOKUP(Table2[[#This Row],[Description]],$Q$1:$S$101,2,FALSE))</f>
        <v/>
      </c>
      <c r="H2293" s="1" t="str">
        <f>IF(Table2[[#This Row],[Description]]="","",VLOOKUP(Table2[[#This Row],[Description]],$Q$1:$S$101,3,FALSE))</f>
        <v/>
      </c>
      <c r="I2293" s="1" t="str">
        <f>IF(Table2[[#This Row],[Description]]="","",IF(Table2[[#This Row],[Currency]]=$O$2,$P$2,HLOOKUP(Table2[[#This Row],[Date]],Funds!$C$10:$GV$11,2,FALSE)))</f>
        <v/>
      </c>
      <c r="J2293" s="215" t="str">
        <f>IF(Table2[[#This Row],[Description]]="","",Table2[[#This Row],[Value]]/Table2[[#This Row],[Conversion]])</f>
        <v/>
      </c>
      <c r="K2293" s="45" t="str">
        <f>IF(Table2[[#This Row],[Description]]="","",DATE(Table2[[#This Row],[Year]],Table2[[#This Row],[Month]],1))</f>
        <v/>
      </c>
    </row>
    <row r="2294" spans="7:11" x14ac:dyDescent="0.25">
      <c r="G2294" s="1" t="str">
        <f>IF(Table2[[#This Row],[Description]]="","",VLOOKUP(Table2[[#This Row],[Description]],$Q$1:$S$101,2,FALSE))</f>
        <v/>
      </c>
      <c r="H2294" s="1" t="str">
        <f>IF(Table2[[#This Row],[Description]]="","",VLOOKUP(Table2[[#This Row],[Description]],$Q$1:$S$101,3,FALSE))</f>
        <v/>
      </c>
      <c r="I2294" s="1" t="str">
        <f>IF(Table2[[#This Row],[Description]]="","",IF(Table2[[#This Row],[Currency]]=$O$2,$P$2,HLOOKUP(Table2[[#This Row],[Date]],Funds!$C$10:$GV$11,2,FALSE)))</f>
        <v/>
      </c>
      <c r="J2294" s="215" t="str">
        <f>IF(Table2[[#This Row],[Description]]="","",Table2[[#This Row],[Value]]/Table2[[#This Row],[Conversion]])</f>
        <v/>
      </c>
      <c r="K2294" s="45" t="str">
        <f>IF(Table2[[#This Row],[Description]]="","",DATE(Table2[[#This Row],[Year]],Table2[[#This Row],[Month]],1))</f>
        <v/>
      </c>
    </row>
    <row r="2295" spans="7:11" x14ac:dyDescent="0.25">
      <c r="G2295" s="1" t="str">
        <f>IF(Table2[[#This Row],[Description]]="","",VLOOKUP(Table2[[#This Row],[Description]],$Q$1:$S$101,2,FALSE))</f>
        <v/>
      </c>
      <c r="H2295" s="1" t="str">
        <f>IF(Table2[[#This Row],[Description]]="","",VLOOKUP(Table2[[#This Row],[Description]],$Q$1:$S$101,3,FALSE))</f>
        <v/>
      </c>
      <c r="I2295" s="1" t="str">
        <f>IF(Table2[[#This Row],[Description]]="","",IF(Table2[[#This Row],[Currency]]=$O$2,$P$2,HLOOKUP(Table2[[#This Row],[Date]],Funds!$C$10:$GV$11,2,FALSE)))</f>
        <v/>
      </c>
      <c r="J2295" s="215" t="str">
        <f>IF(Table2[[#This Row],[Description]]="","",Table2[[#This Row],[Value]]/Table2[[#This Row],[Conversion]])</f>
        <v/>
      </c>
      <c r="K2295" s="45" t="str">
        <f>IF(Table2[[#This Row],[Description]]="","",DATE(Table2[[#This Row],[Year]],Table2[[#This Row],[Month]],1))</f>
        <v/>
      </c>
    </row>
    <row r="2296" spans="7:11" x14ac:dyDescent="0.25">
      <c r="G2296" s="1" t="str">
        <f>IF(Table2[[#This Row],[Description]]="","",VLOOKUP(Table2[[#This Row],[Description]],$Q$1:$S$101,2,FALSE))</f>
        <v/>
      </c>
      <c r="H2296" s="1" t="str">
        <f>IF(Table2[[#This Row],[Description]]="","",VLOOKUP(Table2[[#This Row],[Description]],$Q$1:$S$101,3,FALSE))</f>
        <v/>
      </c>
      <c r="I2296" s="1" t="str">
        <f>IF(Table2[[#This Row],[Description]]="","",IF(Table2[[#This Row],[Currency]]=$O$2,$P$2,HLOOKUP(Table2[[#This Row],[Date]],Funds!$C$10:$GV$11,2,FALSE)))</f>
        <v/>
      </c>
      <c r="J2296" s="215" t="str">
        <f>IF(Table2[[#This Row],[Description]]="","",Table2[[#This Row],[Value]]/Table2[[#This Row],[Conversion]])</f>
        <v/>
      </c>
      <c r="K2296" s="45" t="str">
        <f>IF(Table2[[#This Row],[Description]]="","",DATE(Table2[[#This Row],[Year]],Table2[[#This Row],[Month]],1))</f>
        <v/>
      </c>
    </row>
    <row r="2297" spans="7:11" x14ac:dyDescent="0.25">
      <c r="G2297" s="1" t="str">
        <f>IF(Table2[[#This Row],[Description]]="","",VLOOKUP(Table2[[#This Row],[Description]],$Q$1:$S$101,2,FALSE))</f>
        <v/>
      </c>
      <c r="H2297" s="1" t="str">
        <f>IF(Table2[[#This Row],[Description]]="","",VLOOKUP(Table2[[#This Row],[Description]],$Q$1:$S$101,3,FALSE))</f>
        <v/>
      </c>
      <c r="I2297" s="1" t="str">
        <f>IF(Table2[[#This Row],[Description]]="","",IF(Table2[[#This Row],[Currency]]=$O$2,$P$2,HLOOKUP(Table2[[#This Row],[Date]],Funds!$C$10:$GV$11,2,FALSE)))</f>
        <v/>
      </c>
      <c r="J2297" s="215" t="str">
        <f>IF(Table2[[#This Row],[Description]]="","",Table2[[#This Row],[Value]]/Table2[[#This Row],[Conversion]])</f>
        <v/>
      </c>
      <c r="K2297" s="45" t="str">
        <f>IF(Table2[[#This Row],[Description]]="","",DATE(Table2[[#This Row],[Year]],Table2[[#This Row],[Month]],1))</f>
        <v/>
      </c>
    </row>
    <row r="2298" spans="7:11" x14ac:dyDescent="0.25">
      <c r="G2298" s="1" t="str">
        <f>IF(Table2[[#This Row],[Description]]="","",VLOOKUP(Table2[[#This Row],[Description]],$Q$1:$S$101,2,FALSE))</f>
        <v/>
      </c>
      <c r="H2298" s="1" t="str">
        <f>IF(Table2[[#This Row],[Description]]="","",VLOOKUP(Table2[[#This Row],[Description]],$Q$1:$S$101,3,FALSE))</f>
        <v/>
      </c>
      <c r="I2298" s="1" t="str">
        <f>IF(Table2[[#This Row],[Description]]="","",IF(Table2[[#This Row],[Currency]]=$O$2,$P$2,HLOOKUP(Table2[[#This Row],[Date]],Funds!$C$10:$GV$11,2,FALSE)))</f>
        <v/>
      </c>
      <c r="J2298" s="215" t="str">
        <f>IF(Table2[[#This Row],[Description]]="","",Table2[[#This Row],[Value]]/Table2[[#This Row],[Conversion]])</f>
        <v/>
      </c>
      <c r="K2298" s="45" t="str">
        <f>IF(Table2[[#This Row],[Description]]="","",DATE(Table2[[#This Row],[Year]],Table2[[#This Row],[Month]],1))</f>
        <v/>
      </c>
    </row>
    <row r="2299" spans="7:11" x14ac:dyDescent="0.25">
      <c r="G2299" s="1" t="str">
        <f>IF(Table2[[#This Row],[Description]]="","",VLOOKUP(Table2[[#This Row],[Description]],$Q$1:$S$101,2,FALSE))</f>
        <v/>
      </c>
      <c r="H2299" s="1" t="str">
        <f>IF(Table2[[#This Row],[Description]]="","",VLOOKUP(Table2[[#This Row],[Description]],$Q$1:$S$101,3,FALSE))</f>
        <v/>
      </c>
      <c r="I2299" s="1" t="str">
        <f>IF(Table2[[#This Row],[Description]]="","",IF(Table2[[#This Row],[Currency]]=$O$2,$P$2,HLOOKUP(Table2[[#This Row],[Date]],Funds!$C$10:$GV$11,2,FALSE)))</f>
        <v/>
      </c>
      <c r="J2299" s="215" t="str">
        <f>IF(Table2[[#This Row],[Description]]="","",Table2[[#This Row],[Value]]/Table2[[#This Row],[Conversion]])</f>
        <v/>
      </c>
      <c r="K2299" s="45" t="str">
        <f>IF(Table2[[#This Row],[Description]]="","",DATE(Table2[[#This Row],[Year]],Table2[[#This Row],[Month]],1))</f>
        <v/>
      </c>
    </row>
    <row r="2300" spans="7:11" x14ac:dyDescent="0.25">
      <c r="G2300" s="1" t="str">
        <f>IF(Table2[[#This Row],[Description]]="","",VLOOKUP(Table2[[#This Row],[Description]],$Q$1:$S$101,2,FALSE))</f>
        <v/>
      </c>
      <c r="H2300" s="1" t="str">
        <f>IF(Table2[[#This Row],[Description]]="","",VLOOKUP(Table2[[#This Row],[Description]],$Q$1:$S$101,3,FALSE))</f>
        <v/>
      </c>
      <c r="I2300" s="1" t="str">
        <f>IF(Table2[[#This Row],[Description]]="","",IF(Table2[[#This Row],[Currency]]=$O$2,$P$2,HLOOKUP(Table2[[#This Row],[Date]],Funds!$C$10:$GV$11,2,FALSE)))</f>
        <v/>
      </c>
      <c r="J2300" s="215" t="str">
        <f>IF(Table2[[#This Row],[Description]]="","",Table2[[#This Row],[Value]]/Table2[[#This Row],[Conversion]])</f>
        <v/>
      </c>
      <c r="K2300" s="45" t="str">
        <f>IF(Table2[[#This Row],[Description]]="","",DATE(Table2[[#This Row],[Year]],Table2[[#This Row],[Month]],1))</f>
        <v/>
      </c>
    </row>
    <row r="2301" spans="7:11" x14ac:dyDescent="0.25">
      <c r="G2301" s="1" t="str">
        <f>IF(Table2[[#This Row],[Description]]="","",VLOOKUP(Table2[[#This Row],[Description]],$Q$1:$S$101,2,FALSE))</f>
        <v/>
      </c>
      <c r="H2301" s="1" t="str">
        <f>IF(Table2[[#This Row],[Description]]="","",VLOOKUP(Table2[[#This Row],[Description]],$Q$1:$S$101,3,FALSE))</f>
        <v/>
      </c>
      <c r="I2301" s="1" t="str">
        <f>IF(Table2[[#This Row],[Description]]="","",IF(Table2[[#This Row],[Currency]]=$O$2,$P$2,HLOOKUP(Table2[[#This Row],[Date]],Funds!$C$10:$GV$11,2,FALSE)))</f>
        <v/>
      </c>
      <c r="J2301" s="215" t="str">
        <f>IF(Table2[[#This Row],[Description]]="","",Table2[[#This Row],[Value]]/Table2[[#This Row],[Conversion]])</f>
        <v/>
      </c>
      <c r="K2301" s="45" t="str">
        <f>IF(Table2[[#This Row],[Description]]="","",DATE(Table2[[#This Row],[Year]],Table2[[#This Row],[Month]],1))</f>
        <v/>
      </c>
    </row>
    <row r="2302" spans="7:11" x14ac:dyDescent="0.25">
      <c r="G2302" s="1" t="str">
        <f>IF(Table2[[#This Row],[Description]]="","",VLOOKUP(Table2[[#This Row],[Description]],$Q$1:$S$101,2,FALSE))</f>
        <v/>
      </c>
      <c r="H2302" s="1" t="str">
        <f>IF(Table2[[#This Row],[Description]]="","",VLOOKUP(Table2[[#This Row],[Description]],$Q$1:$S$101,3,FALSE))</f>
        <v/>
      </c>
      <c r="I2302" s="1" t="str">
        <f>IF(Table2[[#This Row],[Description]]="","",IF(Table2[[#This Row],[Currency]]=$O$2,$P$2,HLOOKUP(Table2[[#This Row],[Date]],Funds!$C$10:$GV$11,2,FALSE)))</f>
        <v/>
      </c>
      <c r="J2302" s="215" t="str">
        <f>IF(Table2[[#This Row],[Description]]="","",Table2[[#This Row],[Value]]/Table2[[#This Row],[Conversion]])</f>
        <v/>
      </c>
      <c r="K2302" s="45" t="str">
        <f>IF(Table2[[#This Row],[Description]]="","",DATE(Table2[[#This Row],[Year]],Table2[[#This Row],[Month]],1))</f>
        <v/>
      </c>
    </row>
    <row r="2303" spans="7:11" x14ac:dyDescent="0.25">
      <c r="G2303" s="1" t="str">
        <f>IF(Table2[[#This Row],[Description]]="","",VLOOKUP(Table2[[#This Row],[Description]],$Q$1:$S$101,2,FALSE))</f>
        <v/>
      </c>
      <c r="H2303" s="1" t="str">
        <f>IF(Table2[[#This Row],[Description]]="","",VLOOKUP(Table2[[#This Row],[Description]],$Q$1:$S$101,3,FALSE))</f>
        <v/>
      </c>
      <c r="I2303" s="1" t="str">
        <f>IF(Table2[[#This Row],[Description]]="","",IF(Table2[[#This Row],[Currency]]=$O$2,$P$2,HLOOKUP(Table2[[#This Row],[Date]],Funds!$C$10:$GV$11,2,FALSE)))</f>
        <v/>
      </c>
      <c r="J2303" s="215" t="str">
        <f>IF(Table2[[#This Row],[Description]]="","",Table2[[#This Row],[Value]]/Table2[[#This Row],[Conversion]])</f>
        <v/>
      </c>
      <c r="K2303" s="45" t="str">
        <f>IF(Table2[[#This Row],[Description]]="","",DATE(Table2[[#This Row],[Year]],Table2[[#This Row],[Month]],1))</f>
        <v/>
      </c>
    </row>
    <row r="2304" spans="7:11" x14ac:dyDescent="0.25">
      <c r="G2304" s="1" t="str">
        <f>IF(Table2[[#This Row],[Description]]="","",VLOOKUP(Table2[[#This Row],[Description]],$Q$1:$S$101,2,FALSE))</f>
        <v/>
      </c>
      <c r="H2304" s="1" t="str">
        <f>IF(Table2[[#This Row],[Description]]="","",VLOOKUP(Table2[[#This Row],[Description]],$Q$1:$S$101,3,FALSE))</f>
        <v/>
      </c>
      <c r="I2304" s="1" t="str">
        <f>IF(Table2[[#This Row],[Description]]="","",IF(Table2[[#This Row],[Currency]]=$O$2,$P$2,HLOOKUP(Table2[[#This Row],[Date]],Funds!$C$10:$GV$11,2,FALSE)))</f>
        <v/>
      </c>
      <c r="J2304" s="215" t="str">
        <f>IF(Table2[[#This Row],[Description]]="","",Table2[[#This Row],[Value]]/Table2[[#This Row],[Conversion]])</f>
        <v/>
      </c>
      <c r="K2304" s="45" t="str">
        <f>IF(Table2[[#This Row],[Description]]="","",DATE(Table2[[#This Row],[Year]],Table2[[#This Row],[Month]],1))</f>
        <v/>
      </c>
    </row>
    <row r="2305" spans="7:11" x14ac:dyDescent="0.25">
      <c r="G2305" s="1" t="str">
        <f>IF(Table2[[#This Row],[Description]]="","",VLOOKUP(Table2[[#This Row],[Description]],$Q$1:$S$101,2,FALSE))</f>
        <v/>
      </c>
      <c r="H2305" s="1" t="str">
        <f>IF(Table2[[#This Row],[Description]]="","",VLOOKUP(Table2[[#This Row],[Description]],$Q$1:$S$101,3,FALSE))</f>
        <v/>
      </c>
      <c r="I2305" s="1" t="str">
        <f>IF(Table2[[#This Row],[Description]]="","",IF(Table2[[#This Row],[Currency]]=$O$2,$P$2,HLOOKUP(Table2[[#This Row],[Date]],Funds!$C$10:$GV$11,2,FALSE)))</f>
        <v/>
      </c>
      <c r="J2305" s="215" t="str">
        <f>IF(Table2[[#This Row],[Description]]="","",Table2[[#This Row],[Value]]/Table2[[#This Row],[Conversion]])</f>
        <v/>
      </c>
      <c r="K2305" s="45" t="str">
        <f>IF(Table2[[#This Row],[Description]]="","",DATE(Table2[[#This Row],[Year]],Table2[[#This Row],[Month]],1))</f>
        <v/>
      </c>
    </row>
    <row r="2306" spans="7:11" x14ac:dyDescent="0.25">
      <c r="G2306" s="1" t="str">
        <f>IF(Table2[[#This Row],[Description]]="","",VLOOKUP(Table2[[#This Row],[Description]],$Q$1:$S$101,2,FALSE))</f>
        <v/>
      </c>
      <c r="H2306" s="1" t="str">
        <f>IF(Table2[[#This Row],[Description]]="","",VLOOKUP(Table2[[#This Row],[Description]],$Q$1:$S$101,3,FALSE))</f>
        <v/>
      </c>
      <c r="I2306" s="1" t="str">
        <f>IF(Table2[[#This Row],[Description]]="","",IF(Table2[[#This Row],[Currency]]=$O$2,$P$2,HLOOKUP(Table2[[#This Row],[Date]],Funds!$C$10:$GV$11,2,FALSE)))</f>
        <v/>
      </c>
      <c r="J2306" s="215" t="str">
        <f>IF(Table2[[#This Row],[Description]]="","",Table2[[#This Row],[Value]]/Table2[[#This Row],[Conversion]])</f>
        <v/>
      </c>
      <c r="K2306" s="45" t="str">
        <f>IF(Table2[[#This Row],[Description]]="","",DATE(Table2[[#This Row],[Year]],Table2[[#This Row],[Month]],1))</f>
        <v/>
      </c>
    </row>
    <row r="2307" spans="7:11" x14ac:dyDescent="0.25">
      <c r="G2307" s="1" t="str">
        <f>IF(Table2[[#This Row],[Description]]="","",VLOOKUP(Table2[[#This Row],[Description]],$Q$1:$S$101,2,FALSE))</f>
        <v/>
      </c>
      <c r="H2307" s="1" t="str">
        <f>IF(Table2[[#This Row],[Description]]="","",VLOOKUP(Table2[[#This Row],[Description]],$Q$1:$S$101,3,FALSE))</f>
        <v/>
      </c>
      <c r="I2307" s="1" t="str">
        <f>IF(Table2[[#This Row],[Description]]="","",IF(Table2[[#This Row],[Currency]]=$O$2,$P$2,HLOOKUP(Table2[[#This Row],[Date]],Funds!$C$10:$GV$11,2,FALSE)))</f>
        <v/>
      </c>
      <c r="J2307" s="215" t="str">
        <f>IF(Table2[[#This Row],[Description]]="","",Table2[[#This Row],[Value]]/Table2[[#This Row],[Conversion]])</f>
        <v/>
      </c>
      <c r="K2307" s="45" t="str">
        <f>IF(Table2[[#This Row],[Description]]="","",DATE(Table2[[#This Row],[Year]],Table2[[#This Row],[Month]],1))</f>
        <v/>
      </c>
    </row>
    <row r="2308" spans="7:11" x14ac:dyDescent="0.25">
      <c r="G2308" s="1" t="str">
        <f>IF(Table2[[#This Row],[Description]]="","",VLOOKUP(Table2[[#This Row],[Description]],$Q$1:$S$101,2,FALSE))</f>
        <v/>
      </c>
      <c r="H2308" s="1" t="str">
        <f>IF(Table2[[#This Row],[Description]]="","",VLOOKUP(Table2[[#This Row],[Description]],$Q$1:$S$101,3,FALSE))</f>
        <v/>
      </c>
      <c r="I2308" s="1" t="str">
        <f>IF(Table2[[#This Row],[Description]]="","",IF(Table2[[#This Row],[Currency]]=$O$2,$P$2,HLOOKUP(Table2[[#This Row],[Date]],Funds!$C$10:$GV$11,2,FALSE)))</f>
        <v/>
      </c>
      <c r="J2308" s="215" t="str">
        <f>IF(Table2[[#This Row],[Description]]="","",Table2[[#This Row],[Value]]/Table2[[#This Row],[Conversion]])</f>
        <v/>
      </c>
      <c r="K2308" s="45" t="str">
        <f>IF(Table2[[#This Row],[Description]]="","",DATE(Table2[[#This Row],[Year]],Table2[[#This Row],[Month]],1))</f>
        <v/>
      </c>
    </row>
    <row r="2309" spans="7:11" x14ac:dyDescent="0.25">
      <c r="G2309" s="1" t="str">
        <f>IF(Table2[[#This Row],[Description]]="","",VLOOKUP(Table2[[#This Row],[Description]],$Q$1:$S$101,2,FALSE))</f>
        <v/>
      </c>
      <c r="H2309" s="1" t="str">
        <f>IF(Table2[[#This Row],[Description]]="","",VLOOKUP(Table2[[#This Row],[Description]],$Q$1:$S$101,3,FALSE))</f>
        <v/>
      </c>
      <c r="I2309" s="1" t="str">
        <f>IF(Table2[[#This Row],[Description]]="","",IF(Table2[[#This Row],[Currency]]=$O$2,$P$2,HLOOKUP(Table2[[#This Row],[Date]],Funds!$C$10:$GV$11,2,FALSE)))</f>
        <v/>
      </c>
      <c r="J2309" s="215" t="str">
        <f>IF(Table2[[#This Row],[Description]]="","",Table2[[#This Row],[Value]]/Table2[[#This Row],[Conversion]])</f>
        <v/>
      </c>
      <c r="K2309" s="45" t="str">
        <f>IF(Table2[[#This Row],[Description]]="","",DATE(Table2[[#This Row],[Year]],Table2[[#This Row],[Month]],1))</f>
        <v/>
      </c>
    </row>
    <row r="2310" spans="7:11" x14ac:dyDescent="0.25">
      <c r="G2310" s="1" t="str">
        <f>IF(Table2[[#This Row],[Description]]="","",VLOOKUP(Table2[[#This Row],[Description]],$Q$1:$S$101,2,FALSE))</f>
        <v/>
      </c>
      <c r="H2310" s="1" t="str">
        <f>IF(Table2[[#This Row],[Description]]="","",VLOOKUP(Table2[[#This Row],[Description]],$Q$1:$S$101,3,FALSE))</f>
        <v/>
      </c>
      <c r="I2310" s="1" t="str">
        <f>IF(Table2[[#This Row],[Description]]="","",IF(Table2[[#This Row],[Currency]]=$O$2,$P$2,HLOOKUP(Table2[[#This Row],[Date]],Funds!$C$10:$GV$11,2,FALSE)))</f>
        <v/>
      </c>
      <c r="J2310" s="215" t="str">
        <f>IF(Table2[[#This Row],[Description]]="","",Table2[[#This Row],[Value]]/Table2[[#This Row],[Conversion]])</f>
        <v/>
      </c>
      <c r="K2310" s="45" t="str">
        <f>IF(Table2[[#This Row],[Description]]="","",DATE(Table2[[#This Row],[Year]],Table2[[#This Row],[Month]],1))</f>
        <v/>
      </c>
    </row>
    <row r="2311" spans="7:11" x14ac:dyDescent="0.25">
      <c r="G2311" s="1" t="str">
        <f>IF(Table2[[#This Row],[Description]]="","",VLOOKUP(Table2[[#This Row],[Description]],$Q$1:$S$101,2,FALSE))</f>
        <v/>
      </c>
      <c r="H2311" s="1" t="str">
        <f>IF(Table2[[#This Row],[Description]]="","",VLOOKUP(Table2[[#This Row],[Description]],$Q$1:$S$101,3,FALSE))</f>
        <v/>
      </c>
      <c r="I2311" s="1" t="str">
        <f>IF(Table2[[#This Row],[Description]]="","",IF(Table2[[#This Row],[Currency]]=$O$2,$P$2,HLOOKUP(Table2[[#This Row],[Date]],Funds!$C$10:$GV$11,2,FALSE)))</f>
        <v/>
      </c>
      <c r="J2311" s="215" t="str">
        <f>IF(Table2[[#This Row],[Description]]="","",Table2[[#This Row],[Value]]/Table2[[#This Row],[Conversion]])</f>
        <v/>
      </c>
      <c r="K2311" s="45" t="str">
        <f>IF(Table2[[#This Row],[Description]]="","",DATE(Table2[[#This Row],[Year]],Table2[[#This Row],[Month]],1))</f>
        <v/>
      </c>
    </row>
    <row r="2312" spans="7:11" x14ac:dyDescent="0.25">
      <c r="G2312" s="1" t="str">
        <f>IF(Table2[[#This Row],[Description]]="","",VLOOKUP(Table2[[#This Row],[Description]],$Q$1:$S$101,2,FALSE))</f>
        <v/>
      </c>
      <c r="H2312" s="1" t="str">
        <f>IF(Table2[[#This Row],[Description]]="","",VLOOKUP(Table2[[#This Row],[Description]],$Q$1:$S$101,3,FALSE))</f>
        <v/>
      </c>
      <c r="I2312" s="1" t="str">
        <f>IF(Table2[[#This Row],[Description]]="","",IF(Table2[[#This Row],[Currency]]=$O$2,$P$2,HLOOKUP(Table2[[#This Row],[Date]],Funds!$C$10:$GV$11,2,FALSE)))</f>
        <v/>
      </c>
      <c r="J2312" s="215" t="str">
        <f>IF(Table2[[#This Row],[Description]]="","",Table2[[#This Row],[Value]]/Table2[[#This Row],[Conversion]])</f>
        <v/>
      </c>
      <c r="K2312" s="45" t="str">
        <f>IF(Table2[[#This Row],[Description]]="","",DATE(Table2[[#This Row],[Year]],Table2[[#This Row],[Month]],1))</f>
        <v/>
      </c>
    </row>
    <row r="2313" spans="7:11" x14ac:dyDescent="0.25">
      <c r="G2313" s="1" t="str">
        <f>IF(Table2[[#This Row],[Description]]="","",VLOOKUP(Table2[[#This Row],[Description]],$Q$1:$S$101,2,FALSE))</f>
        <v/>
      </c>
      <c r="H2313" s="1" t="str">
        <f>IF(Table2[[#This Row],[Description]]="","",VLOOKUP(Table2[[#This Row],[Description]],$Q$1:$S$101,3,FALSE))</f>
        <v/>
      </c>
      <c r="I2313" s="1" t="str">
        <f>IF(Table2[[#This Row],[Description]]="","",IF(Table2[[#This Row],[Currency]]=$O$2,$P$2,HLOOKUP(Table2[[#This Row],[Date]],Funds!$C$10:$GV$11,2,FALSE)))</f>
        <v/>
      </c>
      <c r="J2313" s="215" t="str">
        <f>IF(Table2[[#This Row],[Description]]="","",Table2[[#This Row],[Value]]/Table2[[#This Row],[Conversion]])</f>
        <v/>
      </c>
      <c r="K2313" s="45" t="str">
        <f>IF(Table2[[#This Row],[Description]]="","",DATE(Table2[[#This Row],[Year]],Table2[[#This Row],[Month]],1))</f>
        <v/>
      </c>
    </row>
    <row r="2314" spans="7:11" x14ac:dyDescent="0.25">
      <c r="G2314" s="1" t="str">
        <f>IF(Table2[[#This Row],[Description]]="","",VLOOKUP(Table2[[#This Row],[Description]],$Q$1:$S$101,2,FALSE))</f>
        <v/>
      </c>
      <c r="H2314" s="1" t="str">
        <f>IF(Table2[[#This Row],[Description]]="","",VLOOKUP(Table2[[#This Row],[Description]],$Q$1:$S$101,3,FALSE))</f>
        <v/>
      </c>
      <c r="I2314" s="1" t="str">
        <f>IF(Table2[[#This Row],[Description]]="","",IF(Table2[[#This Row],[Currency]]=$O$2,$P$2,HLOOKUP(Table2[[#This Row],[Date]],Funds!$C$10:$GV$11,2,FALSE)))</f>
        <v/>
      </c>
      <c r="J2314" s="215" t="str">
        <f>IF(Table2[[#This Row],[Description]]="","",Table2[[#This Row],[Value]]/Table2[[#This Row],[Conversion]])</f>
        <v/>
      </c>
      <c r="K2314" s="45" t="str">
        <f>IF(Table2[[#This Row],[Description]]="","",DATE(Table2[[#This Row],[Year]],Table2[[#This Row],[Month]],1))</f>
        <v/>
      </c>
    </row>
    <row r="2315" spans="7:11" x14ac:dyDescent="0.25">
      <c r="G2315" s="1" t="str">
        <f>IF(Table2[[#This Row],[Description]]="","",VLOOKUP(Table2[[#This Row],[Description]],$Q$1:$S$101,2,FALSE))</f>
        <v/>
      </c>
      <c r="H2315" s="1" t="str">
        <f>IF(Table2[[#This Row],[Description]]="","",VLOOKUP(Table2[[#This Row],[Description]],$Q$1:$S$101,3,FALSE))</f>
        <v/>
      </c>
      <c r="I2315" s="1" t="str">
        <f>IF(Table2[[#This Row],[Description]]="","",IF(Table2[[#This Row],[Currency]]=$O$2,$P$2,HLOOKUP(Table2[[#This Row],[Date]],Funds!$C$10:$GV$11,2,FALSE)))</f>
        <v/>
      </c>
      <c r="J2315" s="215" t="str">
        <f>IF(Table2[[#This Row],[Description]]="","",Table2[[#This Row],[Value]]/Table2[[#This Row],[Conversion]])</f>
        <v/>
      </c>
      <c r="K2315" s="45" t="str">
        <f>IF(Table2[[#This Row],[Description]]="","",DATE(Table2[[#This Row],[Year]],Table2[[#This Row],[Month]],1))</f>
        <v/>
      </c>
    </row>
    <row r="2316" spans="7:11" x14ac:dyDescent="0.25">
      <c r="G2316" s="1" t="str">
        <f>IF(Table2[[#This Row],[Description]]="","",VLOOKUP(Table2[[#This Row],[Description]],$Q$1:$S$101,2,FALSE))</f>
        <v/>
      </c>
      <c r="H2316" s="1" t="str">
        <f>IF(Table2[[#This Row],[Description]]="","",VLOOKUP(Table2[[#This Row],[Description]],$Q$1:$S$101,3,FALSE))</f>
        <v/>
      </c>
      <c r="I2316" s="1" t="str">
        <f>IF(Table2[[#This Row],[Description]]="","",IF(Table2[[#This Row],[Currency]]=$O$2,$P$2,HLOOKUP(Table2[[#This Row],[Date]],Funds!$C$10:$GV$11,2,FALSE)))</f>
        <v/>
      </c>
      <c r="J2316" s="215" t="str">
        <f>IF(Table2[[#This Row],[Description]]="","",Table2[[#This Row],[Value]]/Table2[[#This Row],[Conversion]])</f>
        <v/>
      </c>
      <c r="K2316" s="45" t="str">
        <f>IF(Table2[[#This Row],[Description]]="","",DATE(Table2[[#This Row],[Year]],Table2[[#This Row],[Month]],1))</f>
        <v/>
      </c>
    </row>
    <row r="2317" spans="7:11" x14ac:dyDescent="0.25">
      <c r="G2317" s="1" t="str">
        <f>IF(Table2[[#This Row],[Description]]="","",VLOOKUP(Table2[[#This Row],[Description]],$Q$1:$S$101,2,FALSE))</f>
        <v/>
      </c>
      <c r="H2317" s="1" t="str">
        <f>IF(Table2[[#This Row],[Description]]="","",VLOOKUP(Table2[[#This Row],[Description]],$Q$1:$S$101,3,FALSE))</f>
        <v/>
      </c>
      <c r="I2317" s="1" t="str">
        <f>IF(Table2[[#This Row],[Description]]="","",IF(Table2[[#This Row],[Currency]]=$O$2,$P$2,HLOOKUP(Table2[[#This Row],[Date]],Funds!$C$10:$GV$11,2,FALSE)))</f>
        <v/>
      </c>
      <c r="J2317" s="215" t="str">
        <f>IF(Table2[[#This Row],[Description]]="","",Table2[[#This Row],[Value]]/Table2[[#This Row],[Conversion]])</f>
        <v/>
      </c>
      <c r="K2317" s="45" t="str">
        <f>IF(Table2[[#This Row],[Description]]="","",DATE(Table2[[#This Row],[Year]],Table2[[#This Row],[Month]],1))</f>
        <v/>
      </c>
    </row>
    <row r="2318" spans="7:11" x14ac:dyDescent="0.25">
      <c r="G2318" s="1" t="str">
        <f>IF(Table2[[#This Row],[Description]]="","",VLOOKUP(Table2[[#This Row],[Description]],$Q$1:$S$101,2,FALSE))</f>
        <v/>
      </c>
      <c r="H2318" s="1" t="str">
        <f>IF(Table2[[#This Row],[Description]]="","",VLOOKUP(Table2[[#This Row],[Description]],$Q$1:$S$101,3,FALSE))</f>
        <v/>
      </c>
      <c r="I2318" s="1" t="str">
        <f>IF(Table2[[#This Row],[Description]]="","",IF(Table2[[#This Row],[Currency]]=$O$2,$P$2,HLOOKUP(Table2[[#This Row],[Date]],Funds!$C$10:$GV$11,2,FALSE)))</f>
        <v/>
      </c>
      <c r="J2318" s="215" t="str">
        <f>IF(Table2[[#This Row],[Description]]="","",Table2[[#This Row],[Value]]/Table2[[#This Row],[Conversion]])</f>
        <v/>
      </c>
      <c r="K2318" s="45" t="str">
        <f>IF(Table2[[#This Row],[Description]]="","",DATE(Table2[[#This Row],[Year]],Table2[[#This Row],[Month]],1))</f>
        <v/>
      </c>
    </row>
    <row r="2319" spans="7:11" x14ac:dyDescent="0.25">
      <c r="G2319" s="1" t="str">
        <f>IF(Table2[[#This Row],[Description]]="","",VLOOKUP(Table2[[#This Row],[Description]],$Q$1:$S$101,2,FALSE))</f>
        <v/>
      </c>
      <c r="H2319" s="1" t="str">
        <f>IF(Table2[[#This Row],[Description]]="","",VLOOKUP(Table2[[#This Row],[Description]],$Q$1:$S$101,3,FALSE))</f>
        <v/>
      </c>
      <c r="I2319" s="1" t="str">
        <f>IF(Table2[[#This Row],[Description]]="","",IF(Table2[[#This Row],[Currency]]=$O$2,$P$2,HLOOKUP(Table2[[#This Row],[Date]],Funds!$C$10:$GV$11,2,FALSE)))</f>
        <v/>
      </c>
      <c r="J2319" s="215" t="str">
        <f>IF(Table2[[#This Row],[Description]]="","",Table2[[#This Row],[Value]]/Table2[[#This Row],[Conversion]])</f>
        <v/>
      </c>
      <c r="K2319" s="45" t="str">
        <f>IF(Table2[[#This Row],[Description]]="","",DATE(Table2[[#This Row],[Year]],Table2[[#This Row],[Month]],1))</f>
        <v/>
      </c>
    </row>
    <row r="2320" spans="7:11" x14ac:dyDescent="0.25">
      <c r="G2320" s="1" t="str">
        <f>IF(Table2[[#This Row],[Description]]="","",VLOOKUP(Table2[[#This Row],[Description]],$Q$1:$S$101,2,FALSE))</f>
        <v/>
      </c>
      <c r="H2320" s="1" t="str">
        <f>IF(Table2[[#This Row],[Description]]="","",VLOOKUP(Table2[[#This Row],[Description]],$Q$1:$S$101,3,FALSE))</f>
        <v/>
      </c>
      <c r="I2320" s="1" t="str">
        <f>IF(Table2[[#This Row],[Description]]="","",IF(Table2[[#This Row],[Currency]]=$O$2,$P$2,HLOOKUP(Table2[[#This Row],[Date]],Funds!$C$10:$GV$11,2,FALSE)))</f>
        <v/>
      </c>
      <c r="J2320" s="215" t="str">
        <f>IF(Table2[[#This Row],[Description]]="","",Table2[[#This Row],[Value]]/Table2[[#This Row],[Conversion]])</f>
        <v/>
      </c>
      <c r="K2320" s="45" t="str">
        <f>IF(Table2[[#This Row],[Description]]="","",DATE(Table2[[#This Row],[Year]],Table2[[#This Row],[Month]],1))</f>
        <v/>
      </c>
    </row>
    <row r="2321" spans="7:11" x14ac:dyDescent="0.25">
      <c r="G2321" s="1" t="str">
        <f>IF(Table2[[#This Row],[Description]]="","",VLOOKUP(Table2[[#This Row],[Description]],$Q$1:$S$101,2,FALSE))</f>
        <v/>
      </c>
      <c r="H2321" s="1" t="str">
        <f>IF(Table2[[#This Row],[Description]]="","",VLOOKUP(Table2[[#This Row],[Description]],$Q$1:$S$101,3,FALSE))</f>
        <v/>
      </c>
      <c r="I2321" s="1" t="str">
        <f>IF(Table2[[#This Row],[Description]]="","",IF(Table2[[#This Row],[Currency]]=$O$2,$P$2,HLOOKUP(Table2[[#This Row],[Date]],Funds!$C$10:$GV$11,2,FALSE)))</f>
        <v/>
      </c>
      <c r="J2321" s="215" t="str">
        <f>IF(Table2[[#This Row],[Description]]="","",Table2[[#This Row],[Value]]/Table2[[#This Row],[Conversion]])</f>
        <v/>
      </c>
      <c r="K2321" s="45" t="str">
        <f>IF(Table2[[#This Row],[Description]]="","",DATE(Table2[[#This Row],[Year]],Table2[[#This Row],[Month]],1))</f>
        <v/>
      </c>
    </row>
    <row r="2322" spans="7:11" x14ac:dyDescent="0.25">
      <c r="G2322" s="1" t="str">
        <f>IF(Table2[[#This Row],[Description]]="","",VLOOKUP(Table2[[#This Row],[Description]],$Q$1:$S$101,2,FALSE))</f>
        <v/>
      </c>
      <c r="H2322" s="1" t="str">
        <f>IF(Table2[[#This Row],[Description]]="","",VLOOKUP(Table2[[#This Row],[Description]],$Q$1:$S$101,3,FALSE))</f>
        <v/>
      </c>
      <c r="I2322" s="1" t="str">
        <f>IF(Table2[[#This Row],[Description]]="","",IF(Table2[[#This Row],[Currency]]=$O$2,$P$2,HLOOKUP(Table2[[#This Row],[Date]],Funds!$C$10:$GV$11,2,FALSE)))</f>
        <v/>
      </c>
      <c r="J2322" s="215" t="str">
        <f>IF(Table2[[#This Row],[Description]]="","",Table2[[#This Row],[Value]]/Table2[[#This Row],[Conversion]])</f>
        <v/>
      </c>
      <c r="K2322" s="45" t="str">
        <f>IF(Table2[[#This Row],[Description]]="","",DATE(Table2[[#This Row],[Year]],Table2[[#This Row],[Month]],1))</f>
        <v/>
      </c>
    </row>
    <row r="2323" spans="7:11" x14ac:dyDescent="0.25">
      <c r="G2323" s="1" t="str">
        <f>IF(Table2[[#This Row],[Description]]="","",VLOOKUP(Table2[[#This Row],[Description]],$Q$1:$S$101,2,FALSE))</f>
        <v/>
      </c>
      <c r="H2323" s="1" t="str">
        <f>IF(Table2[[#This Row],[Description]]="","",VLOOKUP(Table2[[#This Row],[Description]],$Q$1:$S$101,3,FALSE))</f>
        <v/>
      </c>
      <c r="I2323" s="1" t="str">
        <f>IF(Table2[[#This Row],[Description]]="","",IF(Table2[[#This Row],[Currency]]=$O$2,$P$2,HLOOKUP(Table2[[#This Row],[Date]],Funds!$C$10:$GV$11,2,FALSE)))</f>
        <v/>
      </c>
      <c r="J2323" s="215" t="str">
        <f>IF(Table2[[#This Row],[Description]]="","",Table2[[#This Row],[Value]]/Table2[[#This Row],[Conversion]])</f>
        <v/>
      </c>
      <c r="K2323" s="45" t="str">
        <f>IF(Table2[[#This Row],[Description]]="","",DATE(Table2[[#This Row],[Year]],Table2[[#This Row],[Month]],1))</f>
        <v/>
      </c>
    </row>
    <row r="2324" spans="7:11" x14ac:dyDescent="0.25">
      <c r="G2324" s="1" t="str">
        <f>IF(Table2[[#This Row],[Description]]="","",VLOOKUP(Table2[[#This Row],[Description]],$Q$1:$S$101,2,FALSE))</f>
        <v/>
      </c>
      <c r="H2324" s="1" t="str">
        <f>IF(Table2[[#This Row],[Description]]="","",VLOOKUP(Table2[[#This Row],[Description]],$Q$1:$S$101,3,FALSE))</f>
        <v/>
      </c>
      <c r="I2324" s="1" t="str">
        <f>IF(Table2[[#This Row],[Description]]="","",IF(Table2[[#This Row],[Currency]]=$O$2,$P$2,HLOOKUP(Table2[[#This Row],[Date]],Funds!$C$10:$GV$11,2,FALSE)))</f>
        <v/>
      </c>
      <c r="J2324" s="215" t="str">
        <f>IF(Table2[[#This Row],[Description]]="","",Table2[[#This Row],[Value]]/Table2[[#This Row],[Conversion]])</f>
        <v/>
      </c>
      <c r="K2324" s="45" t="str">
        <f>IF(Table2[[#This Row],[Description]]="","",DATE(Table2[[#This Row],[Year]],Table2[[#This Row],[Month]],1))</f>
        <v/>
      </c>
    </row>
    <row r="2325" spans="7:11" x14ac:dyDescent="0.25">
      <c r="G2325" s="1" t="str">
        <f>IF(Table2[[#This Row],[Description]]="","",VLOOKUP(Table2[[#This Row],[Description]],$Q$1:$S$101,2,FALSE))</f>
        <v/>
      </c>
      <c r="H2325" s="1" t="str">
        <f>IF(Table2[[#This Row],[Description]]="","",VLOOKUP(Table2[[#This Row],[Description]],$Q$1:$S$101,3,FALSE))</f>
        <v/>
      </c>
      <c r="I2325" s="1" t="str">
        <f>IF(Table2[[#This Row],[Description]]="","",IF(Table2[[#This Row],[Currency]]=$O$2,$P$2,HLOOKUP(Table2[[#This Row],[Date]],Funds!$C$10:$GV$11,2,FALSE)))</f>
        <v/>
      </c>
      <c r="J2325" s="215" t="str">
        <f>IF(Table2[[#This Row],[Description]]="","",Table2[[#This Row],[Value]]/Table2[[#This Row],[Conversion]])</f>
        <v/>
      </c>
      <c r="K2325" s="45" t="str">
        <f>IF(Table2[[#This Row],[Description]]="","",DATE(Table2[[#This Row],[Year]],Table2[[#This Row],[Month]],1))</f>
        <v/>
      </c>
    </row>
    <row r="2326" spans="7:11" x14ac:dyDescent="0.25">
      <c r="G2326" s="1" t="str">
        <f>IF(Table2[[#This Row],[Description]]="","",VLOOKUP(Table2[[#This Row],[Description]],$Q$1:$S$101,2,FALSE))</f>
        <v/>
      </c>
      <c r="H2326" s="1" t="str">
        <f>IF(Table2[[#This Row],[Description]]="","",VLOOKUP(Table2[[#This Row],[Description]],$Q$1:$S$101,3,FALSE))</f>
        <v/>
      </c>
      <c r="I2326" s="1" t="str">
        <f>IF(Table2[[#This Row],[Description]]="","",IF(Table2[[#This Row],[Currency]]=$O$2,$P$2,HLOOKUP(Table2[[#This Row],[Date]],Funds!$C$10:$GV$11,2,FALSE)))</f>
        <v/>
      </c>
      <c r="J2326" s="215" t="str">
        <f>IF(Table2[[#This Row],[Description]]="","",Table2[[#This Row],[Value]]/Table2[[#This Row],[Conversion]])</f>
        <v/>
      </c>
      <c r="K2326" s="45" t="str">
        <f>IF(Table2[[#This Row],[Description]]="","",DATE(Table2[[#This Row],[Year]],Table2[[#This Row],[Month]],1))</f>
        <v/>
      </c>
    </row>
    <row r="2327" spans="7:11" x14ac:dyDescent="0.25">
      <c r="G2327" s="1" t="str">
        <f>IF(Table2[[#This Row],[Description]]="","",VLOOKUP(Table2[[#This Row],[Description]],$Q$1:$S$101,2,FALSE))</f>
        <v/>
      </c>
      <c r="H2327" s="1" t="str">
        <f>IF(Table2[[#This Row],[Description]]="","",VLOOKUP(Table2[[#This Row],[Description]],$Q$1:$S$101,3,FALSE))</f>
        <v/>
      </c>
      <c r="I2327" s="1" t="str">
        <f>IF(Table2[[#This Row],[Description]]="","",IF(Table2[[#This Row],[Currency]]=$O$2,$P$2,HLOOKUP(Table2[[#This Row],[Date]],Funds!$C$10:$GV$11,2,FALSE)))</f>
        <v/>
      </c>
      <c r="J2327" s="215" t="str">
        <f>IF(Table2[[#This Row],[Description]]="","",Table2[[#This Row],[Value]]/Table2[[#This Row],[Conversion]])</f>
        <v/>
      </c>
      <c r="K2327" s="45" t="str">
        <f>IF(Table2[[#This Row],[Description]]="","",DATE(Table2[[#This Row],[Year]],Table2[[#This Row],[Month]],1))</f>
        <v/>
      </c>
    </row>
    <row r="2328" spans="7:11" x14ac:dyDescent="0.25">
      <c r="G2328" s="1" t="str">
        <f>IF(Table2[[#This Row],[Description]]="","",VLOOKUP(Table2[[#This Row],[Description]],$Q$1:$S$101,2,FALSE))</f>
        <v/>
      </c>
      <c r="H2328" s="1" t="str">
        <f>IF(Table2[[#This Row],[Description]]="","",VLOOKUP(Table2[[#This Row],[Description]],$Q$1:$S$101,3,FALSE))</f>
        <v/>
      </c>
      <c r="I2328" s="1" t="str">
        <f>IF(Table2[[#This Row],[Description]]="","",IF(Table2[[#This Row],[Currency]]=$O$2,$P$2,HLOOKUP(Table2[[#This Row],[Date]],Funds!$C$10:$GV$11,2,FALSE)))</f>
        <v/>
      </c>
      <c r="J2328" s="215" t="str">
        <f>IF(Table2[[#This Row],[Description]]="","",Table2[[#This Row],[Value]]/Table2[[#This Row],[Conversion]])</f>
        <v/>
      </c>
      <c r="K2328" s="45" t="str">
        <f>IF(Table2[[#This Row],[Description]]="","",DATE(Table2[[#This Row],[Year]],Table2[[#This Row],[Month]],1))</f>
        <v/>
      </c>
    </row>
    <row r="2329" spans="7:11" x14ac:dyDescent="0.25">
      <c r="G2329" s="1" t="str">
        <f>IF(Table2[[#This Row],[Description]]="","",VLOOKUP(Table2[[#This Row],[Description]],$Q$1:$S$101,2,FALSE))</f>
        <v/>
      </c>
      <c r="H2329" s="1" t="str">
        <f>IF(Table2[[#This Row],[Description]]="","",VLOOKUP(Table2[[#This Row],[Description]],$Q$1:$S$101,3,FALSE))</f>
        <v/>
      </c>
      <c r="I2329" s="1" t="str">
        <f>IF(Table2[[#This Row],[Description]]="","",IF(Table2[[#This Row],[Currency]]=$O$2,$P$2,HLOOKUP(Table2[[#This Row],[Date]],Funds!$C$10:$GV$11,2,FALSE)))</f>
        <v/>
      </c>
      <c r="J2329" s="215" t="str">
        <f>IF(Table2[[#This Row],[Description]]="","",Table2[[#This Row],[Value]]/Table2[[#This Row],[Conversion]])</f>
        <v/>
      </c>
      <c r="K2329" s="45" t="str">
        <f>IF(Table2[[#This Row],[Description]]="","",DATE(Table2[[#This Row],[Year]],Table2[[#This Row],[Month]],1))</f>
        <v/>
      </c>
    </row>
    <row r="2330" spans="7:11" x14ac:dyDescent="0.25">
      <c r="G2330" s="1" t="str">
        <f>IF(Table2[[#This Row],[Description]]="","",VLOOKUP(Table2[[#This Row],[Description]],$Q$1:$S$101,2,FALSE))</f>
        <v/>
      </c>
      <c r="H2330" s="1" t="str">
        <f>IF(Table2[[#This Row],[Description]]="","",VLOOKUP(Table2[[#This Row],[Description]],$Q$1:$S$101,3,FALSE))</f>
        <v/>
      </c>
      <c r="I2330" s="1" t="str">
        <f>IF(Table2[[#This Row],[Description]]="","",IF(Table2[[#This Row],[Currency]]=$O$2,$P$2,HLOOKUP(Table2[[#This Row],[Date]],Funds!$C$10:$GV$11,2,FALSE)))</f>
        <v/>
      </c>
      <c r="J2330" s="215" t="str">
        <f>IF(Table2[[#This Row],[Description]]="","",Table2[[#This Row],[Value]]/Table2[[#This Row],[Conversion]])</f>
        <v/>
      </c>
      <c r="K2330" s="45" t="str">
        <f>IF(Table2[[#This Row],[Description]]="","",DATE(Table2[[#This Row],[Year]],Table2[[#This Row],[Month]],1))</f>
        <v/>
      </c>
    </row>
    <row r="2331" spans="7:11" x14ac:dyDescent="0.25">
      <c r="G2331" s="1" t="str">
        <f>IF(Table2[[#This Row],[Description]]="","",VLOOKUP(Table2[[#This Row],[Description]],$Q$1:$S$101,2,FALSE))</f>
        <v/>
      </c>
      <c r="H2331" s="1" t="str">
        <f>IF(Table2[[#This Row],[Description]]="","",VLOOKUP(Table2[[#This Row],[Description]],$Q$1:$S$101,3,FALSE))</f>
        <v/>
      </c>
      <c r="I2331" s="1" t="str">
        <f>IF(Table2[[#This Row],[Description]]="","",IF(Table2[[#This Row],[Currency]]=$O$2,$P$2,HLOOKUP(Table2[[#This Row],[Date]],Funds!$C$10:$GV$11,2,FALSE)))</f>
        <v/>
      </c>
      <c r="J2331" s="215" t="str">
        <f>IF(Table2[[#This Row],[Description]]="","",Table2[[#This Row],[Value]]/Table2[[#This Row],[Conversion]])</f>
        <v/>
      </c>
      <c r="K2331" s="45" t="str">
        <f>IF(Table2[[#This Row],[Description]]="","",DATE(Table2[[#This Row],[Year]],Table2[[#This Row],[Month]],1))</f>
        <v/>
      </c>
    </row>
    <row r="2332" spans="7:11" x14ac:dyDescent="0.25">
      <c r="G2332" s="1" t="str">
        <f>IF(Table2[[#This Row],[Description]]="","",VLOOKUP(Table2[[#This Row],[Description]],$Q$1:$S$101,2,FALSE))</f>
        <v/>
      </c>
      <c r="H2332" s="1" t="str">
        <f>IF(Table2[[#This Row],[Description]]="","",VLOOKUP(Table2[[#This Row],[Description]],$Q$1:$S$101,3,FALSE))</f>
        <v/>
      </c>
      <c r="I2332" s="1" t="str">
        <f>IF(Table2[[#This Row],[Description]]="","",IF(Table2[[#This Row],[Currency]]=$O$2,$P$2,HLOOKUP(Table2[[#This Row],[Date]],Funds!$C$10:$GV$11,2,FALSE)))</f>
        <v/>
      </c>
      <c r="J2332" s="215" t="str">
        <f>IF(Table2[[#This Row],[Description]]="","",Table2[[#This Row],[Value]]/Table2[[#This Row],[Conversion]])</f>
        <v/>
      </c>
      <c r="K2332" s="45" t="str">
        <f>IF(Table2[[#This Row],[Description]]="","",DATE(Table2[[#This Row],[Year]],Table2[[#This Row],[Month]],1))</f>
        <v/>
      </c>
    </row>
    <row r="2333" spans="7:11" x14ac:dyDescent="0.25">
      <c r="G2333" s="1" t="str">
        <f>IF(Table2[[#This Row],[Description]]="","",VLOOKUP(Table2[[#This Row],[Description]],$Q$1:$S$101,2,FALSE))</f>
        <v/>
      </c>
      <c r="H2333" s="1" t="str">
        <f>IF(Table2[[#This Row],[Description]]="","",VLOOKUP(Table2[[#This Row],[Description]],$Q$1:$S$101,3,FALSE))</f>
        <v/>
      </c>
      <c r="I2333" s="1" t="str">
        <f>IF(Table2[[#This Row],[Description]]="","",IF(Table2[[#This Row],[Currency]]=$O$2,$P$2,HLOOKUP(Table2[[#This Row],[Date]],Funds!$C$10:$GV$11,2,FALSE)))</f>
        <v/>
      </c>
      <c r="J2333" s="215" t="str">
        <f>IF(Table2[[#This Row],[Description]]="","",Table2[[#This Row],[Value]]/Table2[[#This Row],[Conversion]])</f>
        <v/>
      </c>
      <c r="K2333" s="45" t="str">
        <f>IF(Table2[[#This Row],[Description]]="","",DATE(Table2[[#This Row],[Year]],Table2[[#This Row],[Month]],1))</f>
        <v/>
      </c>
    </row>
    <row r="2334" spans="7:11" x14ac:dyDescent="0.25">
      <c r="G2334" s="1" t="str">
        <f>IF(Table2[[#This Row],[Description]]="","",VLOOKUP(Table2[[#This Row],[Description]],$Q$1:$S$101,2,FALSE))</f>
        <v/>
      </c>
      <c r="H2334" s="1" t="str">
        <f>IF(Table2[[#This Row],[Description]]="","",VLOOKUP(Table2[[#This Row],[Description]],$Q$1:$S$101,3,FALSE))</f>
        <v/>
      </c>
      <c r="I2334" s="1" t="str">
        <f>IF(Table2[[#This Row],[Description]]="","",IF(Table2[[#This Row],[Currency]]=$O$2,$P$2,HLOOKUP(Table2[[#This Row],[Date]],Funds!$C$10:$GV$11,2,FALSE)))</f>
        <v/>
      </c>
      <c r="J2334" s="215" t="str">
        <f>IF(Table2[[#This Row],[Description]]="","",Table2[[#This Row],[Value]]/Table2[[#This Row],[Conversion]])</f>
        <v/>
      </c>
      <c r="K2334" s="45" t="str">
        <f>IF(Table2[[#This Row],[Description]]="","",DATE(Table2[[#This Row],[Year]],Table2[[#This Row],[Month]],1))</f>
        <v/>
      </c>
    </row>
    <row r="2335" spans="7:11" x14ac:dyDescent="0.25">
      <c r="G2335" s="1" t="str">
        <f>IF(Table2[[#This Row],[Description]]="","",VLOOKUP(Table2[[#This Row],[Description]],$Q$1:$S$101,2,FALSE))</f>
        <v/>
      </c>
      <c r="H2335" s="1" t="str">
        <f>IF(Table2[[#This Row],[Description]]="","",VLOOKUP(Table2[[#This Row],[Description]],$Q$1:$S$101,3,FALSE))</f>
        <v/>
      </c>
      <c r="I2335" s="1" t="str">
        <f>IF(Table2[[#This Row],[Description]]="","",IF(Table2[[#This Row],[Currency]]=$O$2,$P$2,HLOOKUP(Table2[[#This Row],[Date]],Funds!$C$10:$GV$11,2,FALSE)))</f>
        <v/>
      </c>
      <c r="J2335" s="215" t="str">
        <f>IF(Table2[[#This Row],[Description]]="","",Table2[[#This Row],[Value]]/Table2[[#This Row],[Conversion]])</f>
        <v/>
      </c>
      <c r="K2335" s="45" t="str">
        <f>IF(Table2[[#This Row],[Description]]="","",DATE(Table2[[#This Row],[Year]],Table2[[#This Row],[Month]],1))</f>
        <v/>
      </c>
    </row>
    <row r="2336" spans="7:11" x14ac:dyDescent="0.25">
      <c r="G2336" s="1" t="str">
        <f>IF(Table2[[#This Row],[Description]]="","",VLOOKUP(Table2[[#This Row],[Description]],$Q$1:$S$101,2,FALSE))</f>
        <v/>
      </c>
      <c r="H2336" s="1" t="str">
        <f>IF(Table2[[#This Row],[Description]]="","",VLOOKUP(Table2[[#This Row],[Description]],$Q$1:$S$101,3,FALSE))</f>
        <v/>
      </c>
      <c r="I2336" s="1" t="str">
        <f>IF(Table2[[#This Row],[Description]]="","",IF(Table2[[#This Row],[Currency]]=$O$2,$P$2,HLOOKUP(Table2[[#This Row],[Date]],Funds!$C$10:$GV$11,2,FALSE)))</f>
        <v/>
      </c>
      <c r="J2336" s="215" t="str">
        <f>IF(Table2[[#This Row],[Description]]="","",Table2[[#This Row],[Value]]/Table2[[#This Row],[Conversion]])</f>
        <v/>
      </c>
      <c r="K2336" s="45" t="str">
        <f>IF(Table2[[#This Row],[Description]]="","",DATE(Table2[[#This Row],[Year]],Table2[[#This Row],[Month]],1))</f>
        <v/>
      </c>
    </row>
    <row r="2337" spans="7:11" x14ac:dyDescent="0.25">
      <c r="G2337" s="1" t="str">
        <f>IF(Table2[[#This Row],[Description]]="","",VLOOKUP(Table2[[#This Row],[Description]],$Q$1:$S$101,2,FALSE))</f>
        <v/>
      </c>
      <c r="H2337" s="1" t="str">
        <f>IF(Table2[[#This Row],[Description]]="","",VLOOKUP(Table2[[#This Row],[Description]],$Q$1:$S$101,3,FALSE))</f>
        <v/>
      </c>
      <c r="I2337" s="1" t="str">
        <f>IF(Table2[[#This Row],[Description]]="","",IF(Table2[[#This Row],[Currency]]=$O$2,$P$2,HLOOKUP(Table2[[#This Row],[Date]],Funds!$C$10:$GV$11,2,FALSE)))</f>
        <v/>
      </c>
      <c r="J2337" s="215" t="str">
        <f>IF(Table2[[#This Row],[Description]]="","",Table2[[#This Row],[Value]]/Table2[[#This Row],[Conversion]])</f>
        <v/>
      </c>
      <c r="K2337" s="45" t="str">
        <f>IF(Table2[[#This Row],[Description]]="","",DATE(Table2[[#This Row],[Year]],Table2[[#This Row],[Month]],1))</f>
        <v/>
      </c>
    </row>
    <row r="2338" spans="7:11" x14ac:dyDescent="0.25">
      <c r="G2338" s="1" t="str">
        <f>IF(Table2[[#This Row],[Description]]="","",VLOOKUP(Table2[[#This Row],[Description]],$Q$1:$S$101,2,FALSE))</f>
        <v/>
      </c>
      <c r="H2338" s="1" t="str">
        <f>IF(Table2[[#This Row],[Description]]="","",VLOOKUP(Table2[[#This Row],[Description]],$Q$1:$S$101,3,FALSE))</f>
        <v/>
      </c>
      <c r="I2338" s="1" t="str">
        <f>IF(Table2[[#This Row],[Description]]="","",IF(Table2[[#This Row],[Currency]]=$O$2,$P$2,HLOOKUP(Table2[[#This Row],[Date]],Funds!$C$10:$GV$11,2,FALSE)))</f>
        <v/>
      </c>
      <c r="J2338" s="215" t="str">
        <f>IF(Table2[[#This Row],[Description]]="","",Table2[[#This Row],[Value]]/Table2[[#This Row],[Conversion]])</f>
        <v/>
      </c>
      <c r="K2338" s="45" t="str">
        <f>IF(Table2[[#This Row],[Description]]="","",DATE(Table2[[#This Row],[Year]],Table2[[#This Row],[Month]],1))</f>
        <v/>
      </c>
    </row>
    <row r="2339" spans="7:11" x14ac:dyDescent="0.25">
      <c r="G2339" s="1" t="str">
        <f>IF(Table2[[#This Row],[Description]]="","",VLOOKUP(Table2[[#This Row],[Description]],$Q$1:$S$101,2,FALSE))</f>
        <v/>
      </c>
      <c r="H2339" s="1" t="str">
        <f>IF(Table2[[#This Row],[Description]]="","",VLOOKUP(Table2[[#This Row],[Description]],$Q$1:$S$101,3,FALSE))</f>
        <v/>
      </c>
      <c r="I2339" s="1" t="str">
        <f>IF(Table2[[#This Row],[Description]]="","",IF(Table2[[#This Row],[Currency]]=$O$2,$P$2,HLOOKUP(Table2[[#This Row],[Date]],Funds!$C$10:$GV$11,2,FALSE)))</f>
        <v/>
      </c>
      <c r="J2339" s="215" t="str">
        <f>IF(Table2[[#This Row],[Description]]="","",Table2[[#This Row],[Value]]/Table2[[#This Row],[Conversion]])</f>
        <v/>
      </c>
      <c r="K2339" s="45" t="str">
        <f>IF(Table2[[#This Row],[Description]]="","",DATE(Table2[[#This Row],[Year]],Table2[[#This Row],[Month]],1))</f>
        <v/>
      </c>
    </row>
    <row r="2340" spans="7:11" x14ac:dyDescent="0.25">
      <c r="G2340" s="1" t="str">
        <f>IF(Table2[[#This Row],[Description]]="","",VLOOKUP(Table2[[#This Row],[Description]],$Q$1:$S$101,2,FALSE))</f>
        <v/>
      </c>
      <c r="H2340" s="1" t="str">
        <f>IF(Table2[[#This Row],[Description]]="","",VLOOKUP(Table2[[#This Row],[Description]],$Q$1:$S$101,3,FALSE))</f>
        <v/>
      </c>
      <c r="I2340" s="1" t="str">
        <f>IF(Table2[[#This Row],[Description]]="","",IF(Table2[[#This Row],[Currency]]=$O$2,$P$2,HLOOKUP(Table2[[#This Row],[Date]],Funds!$C$10:$GV$11,2,FALSE)))</f>
        <v/>
      </c>
      <c r="J2340" s="215" t="str">
        <f>IF(Table2[[#This Row],[Description]]="","",Table2[[#This Row],[Value]]/Table2[[#This Row],[Conversion]])</f>
        <v/>
      </c>
      <c r="K2340" s="45" t="str">
        <f>IF(Table2[[#This Row],[Description]]="","",DATE(Table2[[#This Row],[Year]],Table2[[#This Row],[Month]],1))</f>
        <v/>
      </c>
    </row>
    <row r="2341" spans="7:11" x14ac:dyDescent="0.25">
      <c r="G2341" s="1" t="str">
        <f>IF(Table2[[#This Row],[Description]]="","",VLOOKUP(Table2[[#This Row],[Description]],$Q$1:$S$101,2,FALSE))</f>
        <v/>
      </c>
      <c r="H2341" s="1" t="str">
        <f>IF(Table2[[#This Row],[Description]]="","",VLOOKUP(Table2[[#This Row],[Description]],$Q$1:$S$101,3,FALSE))</f>
        <v/>
      </c>
      <c r="I2341" s="1" t="str">
        <f>IF(Table2[[#This Row],[Description]]="","",IF(Table2[[#This Row],[Currency]]=$O$2,$P$2,HLOOKUP(Table2[[#This Row],[Date]],Funds!$C$10:$GV$11,2,FALSE)))</f>
        <v/>
      </c>
      <c r="J2341" s="215" t="str">
        <f>IF(Table2[[#This Row],[Description]]="","",Table2[[#This Row],[Value]]/Table2[[#This Row],[Conversion]])</f>
        <v/>
      </c>
      <c r="K2341" s="45" t="str">
        <f>IF(Table2[[#This Row],[Description]]="","",DATE(Table2[[#This Row],[Year]],Table2[[#This Row],[Month]],1))</f>
        <v/>
      </c>
    </row>
    <row r="2342" spans="7:11" x14ac:dyDescent="0.25">
      <c r="G2342" s="1" t="str">
        <f>IF(Table2[[#This Row],[Description]]="","",VLOOKUP(Table2[[#This Row],[Description]],$Q$1:$S$101,2,FALSE))</f>
        <v/>
      </c>
      <c r="H2342" s="1" t="str">
        <f>IF(Table2[[#This Row],[Description]]="","",VLOOKUP(Table2[[#This Row],[Description]],$Q$1:$S$101,3,FALSE))</f>
        <v/>
      </c>
      <c r="I2342" s="1" t="str">
        <f>IF(Table2[[#This Row],[Description]]="","",IF(Table2[[#This Row],[Currency]]=$O$2,$P$2,HLOOKUP(Table2[[#This Row],[Date]],Funds!$C$10:$GV$11,2,FALSE)))</f>
        <v/>
      </c>
      <c r="J2342" s="215" t="str">
        <f>IF(Table2[[#This Row],[Description]]="","",Table2[[#This Row],[Value]]/Table2[[#This Row],[Conversion]])</f>
        <v/>
      </c>
      <c r="K2342" s="45" t="str">
        <f>IF(Table2[[#This Row],[Description]]="","",DATE(Table2[[#This Row],[Year]],Table2[[#This Row],[Month]],1))</f>
        <v/>
      </c>
    </row>
    <row r="2343" spans="7:11" x14ac:dyDescent="0.25">
      <c r="G2343" s="1" t="str">
        <f>IF(Table2[[#This Row],[Description]]="","",VLOOKUP(Table2[[#This Row],[Description]],$Q$1:$S$101,2,FALSE))</f>
        <v/>
      </c>
      <c r="H2343" s="1" t="str">
        <f>IF(Table2[[#This Row],[Description]]="","",VLOOKUP(Table2[[#This Row],[Description]],$Q$1:$S$101,3,FALSE))</f>
        <v/>
      </c>
      <c r="I2343" s="1" t="str">
        <f>IF(Table2[[#This Row],[Description]]="","",IF(Table2[[#This Row],[Currency]]=$O$2,$P$2,HLOOKUP(Table2[[#This Row],[Date]],Funds!$C$10:$GV$11,2,FALSE)))</f>
        <v/>
      </c>
      <c r="J2343" s="215" t="str">
        <f>IF(Table2[[#This Row],[Description]]="","",Table2[[#This Row],[Value]]/Table2[[#This Row],[Conversion]])</f>
        <v/>
      </c>
      <c r="K2343" s="45" t="str">
        <f>IF(Table2[[#This Row],[Description]]="","",DATE(Table2[[#This Row],[Year]],Table2[[#This Row],[Month]],1))</f>
        <v/>
      </c>
    </row>
    <row r="2344" spans="7:11" x14ac:dyDescent="0.25">
      <c r="G2344" s="1" t="str">
        <f>IF(Table2[[#This Row],[Description]]="","",VLOOKUP(Table2[[#This Row],[Description]],$Q$1:$S$101,2,FALSE))</f>
        <v/>
      </c>
      <c r="H2344" s="1" t="str">
        <f>IF(Table2[[#This Row],[Description]]="","",VLOOKUP(Table2[[#This Row],[Description]],$Q$1:$S$101,3,FALSE))</f>
        <v/>
      </c>
      <c r="I2344" s="1" t="str">
        <f>IF(Table2[[#This Row],[Description]]="","",IF(Table2[[#This Row],[Currency]]=$O$2,$P$2,HLOOKUP(Table2[[#This Row],[Date]],Funds!$C$10:$GV$11,2,FALSE)))</f>
        <v/>
      </c>
      <c r="J2344" s="215" t="str">
        <f>IF(Table2[[#This Row],[Description]]="","",Table2[[#This Row],[Value]]/Table2[[#This Row],[Conversion]])</f>
        <v/>
      </c>
      <c r="K2344" s="45" t="str">
        <f>IF(Table2[[#This Row],[Description]]="","",DATE(Table2[[#This Row],[Year]],Table2[[#This Row],[Month]],1))</f>
        <v/>
      </c>
    </row>
    <row r="2345" spans="7:11" x14ac:dyDescent="0.25">
      <c r="G2345" s="1" t="str">
        <f>IF(Table2[[#This Row],[Description]]="","",VLOOKUP(Table2[[#This Row],[Description]],$Q$1:$S$101,2,FALSE))</f>
        <v/>
      </c>
      <c r="H2345" s="1" t="str">
        <f>IF(Table2[[#This Row],[Description]]="","",VLOOKUP(Table2[[#This Row],[Description]],$Q$1:$S$101,3,FALSE))</f>
        <v/>
      </c>
      <c r="I2345" s="1" t="str">
        <f>IF(Table2[[#This Row],[Description]]="","",IF(Table2[[#This Row],[Currency]]=$O$2,$P$2,HLOOKUP(Table2[[#This Row],[Date]],Funds!$C$10:$GV$11,2,FALSE)))</f>
        <v/>
      </c>
      <c r="J2345" s="215" t="str">
        <f>IF(Table2[[#This Row],[Description]]="","",Table2[[#This Row],[Value]]/Table2[[#This Row],[Conversion]])</f>
        <v/>
      </c>
      <c r="K2345" s="45" t="str">
        <f>IF(Table2[[#This Row],[Description]]="","",DATE(Table2[[#This Row],[Year]],Table2[[#This Row],[Month]],1))</f>
        <v/>
      </c>
    </row>
    <row r="2346" spans="7:11" x14ac:dyDescent="0.25">
      <c r="G2346" s="1" t="str">
        <f>IF(Table2[[#This Row],[Description]]="","",VLOOKUP(Table2[[#This Row],[Description]],$Q$1:$S$101,2,FALSE))</f>
        <v/>
      </c>
      <c r="H2346" s="1" t="str">
        <f>IF(Table2[[#This Row],[Description]]="","",VLOOKUP(Table2[[#This Row],[Description]],$Q$1:$S$101,3,FALSE))</f>
        <v/>
      </c>
      <c r="I2346" s="1" t="str">
        <f>IF(Table2[[#This Row],[Description]]="","",IF(Table2[[#This Row],[Currency]]=$O$2,$P$2,HLOOKUP(Table2[[#This Row],[Date]],Funds!$C$10:$GV$11,2,FALSE)))</f>
        <v/>
      </c>
      <c r="J2346" s="215" t="str">
        <f>IF(Table2[[#This Row],[Description]]="","",Table2[[#This Row],[Value]]/Table2[[#This Row],[Conversion]])</f>
        <v/>
      </c>
      <c r="K2346" s="45" t="str">
        <f>IF(Table2[[#This Row],[Description]]="","",DATE(Table2[[#This Row],[Year]],Table2[[#This Row],[Month]],1))</f>
        <v/>
      </c>
    </row>
    <row r="2347" spans="7:11" x14ac:dyDescent="0.25">
      <c r="G2347" s="1" t="str">
        <f>IF(Table2[[#This Row],[Description]]="","",VLOOKUP(Table2[[#This Row],[Description]],$Q$1:$S$101,2,FALSE))</f>
        <v/>
      </c>
      <c r="H2347" s="1" t="str">
        <f>IF(Table2[[#This Row],[Description]]="","",VLOOKUP(Table2[[#This Row],[Description]],$Q$1:$S$101,3,FALSE))</f>
        <v/>
      </c>
      <c r="I2347" s="1" t="str">
        <f>IF(Table2[[#This Row],[Description]]="","",IF(Table2[[#This Row],[Currency]]=$O$2,$P$2,HLOOKUP(Table2[[#This Row],[Date]],Funds!$C$10:$GV$11,2,FALSE)))</f>
        <v/>
      </c>
      <c r="J2347" s="215" t="str">
        <f>IF(Table2[[#This Row],[Description]]="","",Table2[[#This Row],[Value]]/Table2[[#This Row],[Conversion]])</f>
        <v/>
      </c>
      <c r="K2347" s="45" t="str">
        <f>IF(Table2[[#This Row],[Description]]="","",DATE(Table2[[#This Row],[Year]],Table2[[#This Row],[Month]],1))</f>
        <v/>
      </c>
    </row>
    <row r="2348" spans="7:11" x14ac:dyDescent="0.25">
      <c r="G2348" s="1" t="str">
        <f>IF(Table2[[#This Row],[Description]]="","",VLOOKUP(Table2[[#This Row],[Description]],$Q$1:$S$101,2,FALSE))</f>
        <v/>
      </c>
      <c r="H2348" s="1" t="str">
        <f>IF(Table2[[#This Row],[Description]]="","",VLOOKUP(Table2[[#This Row],[Description]],$Q$1:$S$101,3,FALSE))</f>
        <v/>
      </c>
      <c r="I2348" s="1" t="str">
        <f>IF(Table2[[#This Row],[Description]]="","",IF(Table2[[#This Row],[Currency]]=$O$2,$P$2,HLOOKUP(Table2[[#This Row],[Date]],Funds!$C$10:$GV$11,2,FALSE)))</f>
        <v/>
      </c>
      <c r="J2348" s="215" t="str">
        <f>IF(Table2[[#This Row],[Description]]="","",Table2[[#This Row],[Value]]/Table2[[#This Row],[Conversion]])</f>
        <v/>
      </c>
      <c r="K2348" s="45" t="str">
        <f>IF(Table2[[#This Row],[Description]]="","",DATE(Table2[[#This Row],[Year]],Table2[[#This Row],[Month]],1))</f>
        <v/>
      </c>
    </row>
    <row r="2349" spans="7:11" x14ac:dyDescent="0.25">
      <c r="G2349" s="1" t="str">
        <f>IF(Table2[[#This Row],[Description]]="","",VLOOKUP(Table2[[#This Row],[Description]],$Q$1:$S$101,2,FALSE))</f>
        <v/>
      </c>
      <c r="H2349" s="1" t="str">
        <f>IF(Table2[[#This Row],[Description]]="","",VLOOKUP(Table2[[#This Row],[Description]],$Q$1:$S$101,3,FALSE))</f>
        <v/>
      </c>
      <c r="I2349" s="1" t="str">
        <f>IF(Table2[[#This Row],[Description]]="","",IF(Table2[[#This Row],[Currency]]=$O$2,$P$2,HLOOKUP(Table2[[#This Row],[Date]],Funds!$C$10:$GV$11,2,FALSE)))</f>
        <v/>
      </c>
      <c r="J2349" s="215" t="str">
        <f>IF(Table2[[#This Row],[Description]]="","",Table2[[#This Row],[Value]]/Table2[[#This Row],[Conversion]])</f>
        <v/>
      </c>
      <c r="K2349" s="45" t="str">
        <f>IF(Table2[[#This Row],[Description]]="","",DATE(Table2[[#This Row],[Year]],Table2[[#This Row],[Month]],1))</f>
        <v/>
      </c>
    </row>
    <row r="2350" spans="7:11" x14ac:dyDescent="0.25">
      <c r="G2350" s="1" t="str">
        <f>IF(Table2[[#This Row],[Description]]="","",VLOOKUP(Table2[[#This Row],[Description]],$Q$1:$S$101,2,FALSE))</f>
        <v/>
      </c>
      <c r="H2350" s="1" t="str">
        <f>IF(Table2[[#This Row],[Description]]="","",VLOOKUP(Table2[[#This Row],[Description]],$Q$1:$S$101,3,FALSE))</f>
        <v/>
      </c>
      <c r="I2350" s="1" t="str">
        <f>IF(Table2[[#This Row],[Description]]="","",IF(Table2[[#This Row],[Currency]]=$O$2,$P$2,HLOOKUP(Table2[[#This Row],[Date]],Funds!$C$10:$GV$11,2,FALSE)))</f>
        <v/>
      </c>
      <c r="J2350" s="215" t="str">
        <f>IF(Table2[[#This Row],[Description]]="","",Table2[[#This Row],[Value]]/Table2[[#This Row],[Conversion]])</f>
        <v/>
      </c>
      <c r="K2350" s="45" t="str">
        <f>IF(Table2[[#This Row],[Description]]="","",DATE(Table2[[#This Row],[Year]],Table2[[#This Row],[Month]],1))</f>
        <v/>
      </c>
    </row>
    <row r="2351" spans="7:11" x14ac:dyDescent="0.25">
      <c r="G2351" s="1" t="str">
        <f>IF(Table2[[#This Row],[Description]]="","",VLOOKUP(Table2[[#This Row],[Description]],$Q$1:$S$101,2,FALSE))</f>
        <v/>
      </c>
      <c r="H2351" s="1" t="str">
        <f>IF(Table2[[#This Row],[Description]]="","",VLOOKUP(Table2[[#This Row],[Description]],$Q$1:$S$101,3,FALSE))</f>
        <v/>
      </c>
      <c r="I2351" s="1" t="str">
        <f>IF(Table2[[#This Row],[Description]]="","",IF(Table2[[#This Row],[Currency]]=$O$2,$P$2,HLOOKUP(Table2[[#This Row],[Date]],Funds!$C$10:$GV$11,2,FALSE)))</f>
        <v/>
      </c>
      <c r="J2351" s="215" t="str">
        <f>IF(Table2[[#This Row],[Description]]="","",Table2[[#This Row],[Value]]/Table2[[#This Row],[Conversion]])</f>
        <v/>
      </c>
      <c r="K2351" s="45" t="str">
        <f>IF(Table2[[#This Row],[Description]]="","",DATE(Table2[[#This Row],[Year]],Table2[[#This Row],[Month]],1))</f>
        <v/>
      </c>
    </row>
    <row r="2352" spans="7:11" x14ac:dyDescent="0.25">
      <c r="G2352" s="1" t="str">
        <f>IF(Table2[[#This Row],[Description]]="","",VLOOKUP(Table2[[#This Row],[Description]],$Q$1:$S$101,2,FALSE))</f>
        <v/>
      </c>
      <c r="H2352" s="1" t="str">
        <f>IF(Table2[[#This Row],[Description]]="","",VLOOKUP(Table2[[#This Row],[Description]],$Q$1:$S$101,3,FALSE))</f>
        <v/>
      </c>
      <c r="I2352" s="1" t="str">
        <f>IF(Table2[[#This Row],[Description]]="","",IF(Table2[[#This Row],[Currency]]=$O$2,$P$2,HLOOKUP(Table2[[#This Row],[Date]],Funds!$C$10:$GV$11,2,FALSE)))</f>
        <v/>
      </c>
      <c r="J2352" s="215" t="str">
        <f>IF(Table2[[#This Row],[Description]]="","",Table2[[#This Row],[Value]]/Table2[[#This Row],[Conversion]])</f>
        <v/>
      </c>
      <c r="K2352" s="45" t="str">
        <f>IF(Table2[[#This Row],[Description]]="","",DATE(Table2[[#This Row],[Year]],Table2[[#This Row],[Month]],1))</f>
        <v/>
      </c>
    </row>
    <row r="2353" spans="7:11" x14ac:dyDescent="0.25">
      <c r="G2353" s="1" t="str">
        <f>IF(Table2[[#This Row],[Description]]="","",VLOOKUP(Table2[[#This Row],[Description]],$Q$1:$S$101,2,FALSE))</f>
        <v/>
      </c>
      <c r="H2353" s="1" t="str">
        <f>IF(Table2[[#This Row],[Description]]="","",VLOOKUP(Table2[[#This Row],[Description]],$Q$1:$S$101,3,FALSE))</f>
        <v/>
      </c>
      <c r="I2353" s="1" t="str">
        <f>IF(Table2[[#This Row],[Description]]="","",IF(Table2[[#This Row],[Currency]]=$O$2,$P$2,HLOOKUP(Table2[[#This Row],[Date]],Funds!$C$10:$GV$11,2,FALSE)))</f>
        <v/>
      </c>
      <c r="J2353" s="215" t="str">
        <f>IF(Table2[[#This Row],[Description]]="","",Table2[[#This Row],[Value]]/Table2[[#This Row],[Conversion]])</f>
        <v/>
      </c>
      <c r="K2353" s="45" t="str">
        <f>IF(Table2[[#This Row],[Description]]="","",DATE(Table2[[#This Row],[Year]],Table2[[#This Row],[Month]],1))</f>
        <v/>
      </c>
    </row>
    <row r="2354" spans="7:11" x14ac:dyDescent="0.25">
      <c r="G2354" s="1" t="str">
        <f>IF(Table2[[#This Row],[Description]]="","",VLOOKUP(Table2[[#This Row],[Description]],$Q$1:$S$101,2,FALSE))</f>
        <v/>
      </c>
      <c r="H2354" s="1" t="str">
        <f>IF(Table2[[#This Row],[Description]]="","",VLOOKUP(Table2[[#This Row],[Description]],$Q$1:$S$101,3,FALSE))</f>
        <v/>
      </c>
      <c r="I2354" s="1" t="str">
        <f>IF(Table2[[#This Row],[Description]]="","",IF(Table2[[#This Row],[Currency]]=$O$2,$P$2,HLOOKUP(Table2[[#This Row],[Date]],Funds!$C$10:$GV$11,2,FALSE)))</f>
        <v/>
      </c>
      <c r="J2354" s="215" t="str">
        <f>IF(Table2[[#This Row],[Description]]="","",Table2[[#This Row],[Value]]/Table2[[#This Row],[Conversion]])</f>
        <v/>
      </c>
      <c r="K2354" s="45" t="str">
        <f>IF(Table2[[#This Row],[Description]]="","",DATE(Table2[[#This Row],[Year]],Table2[[#This Row],[Month]],1))</f>
        <v/>
      </c>
    </row>
    <row r="2355" spans="7:11" x14ac:dyDescent="0.25">
      <c r="G2355" s="1" t="str">
        <f>IF(Table2[[#This Row],[Description]]="","",VLOOKUP(Table2[[#This Row],[Description]],$Q$1:$S$101,2,FALSE))</f>
        <v/>
      </c>
      <c r="H2355" s="1" t="str">
        <f>IF(Table2[[#This Row],[Description]]="","",VLOOKUP(Table2[[#This Row],[Description]],$Q$1:$S$101,3,FALSE))</f>
        <v/>
      </c>
      <c r="I2355" s="1" t="str">
        <f>IF(Table2[[#This Row],[Description]]="","",IF(Table2[[#This Row],[Currency]]=$O$2,$P$2,HLOOKUP(Table2[[#This Row],[Date]],Funds!$C$10:$GV$11,2,FALSE)))</f>
        <v/>
      </c>
      <c r="J2355" s="215" t="str">
        <f>IF(Table2[[#This Row],[Description]]="","",Table2[[#This Row],[Value]]/Table2[[#This Row],[Conversion]])</f>
        <v/>
      </c>
      <c r="K2355" s="45" t="str">
        <f>IF(Table2[[#This Row],[Description]]="","",DATE(Table2[[#This Row],[Year]],Table2[[#This Row],[Month]],1))</f>
        <v/>
      </c>
    </row>
    <row r="2356" spans="7:11" x14ac:dyDescent="0.25">
      <c r="G2356" s="1" t="str">
        <f>IF(Table2[[#This Row],[Description]]="","",VLOOKUP(Table2[[#This Row],[Description]],$Q$1:$S$101,2,FALSE))</f>
        <v/>
      </c>
      <c r="H2356" s="1" t="str">
        <f>IF(Table2[[#This Row],[Description]]="","",VLOOKUP(Table2[[#This Row],[Description]],$Q$1:$S$101,3,FALSE))</f>
        <v/>
      </c>
      <c r="I2356" s="1" t="str">
        <f>IF(Table2[[#This Row],[Description]]="","",IF(Table2[[#This Row],[Currency]]=$O$2,$P$2,HLOOKUP(Table2[[#This Row],[Date]],Funds!$C$10:$GV$11,2,FALSE)))</f>
        <v/>
      </c>
      <c r="J2356" s="215" t="str">
        <f>IF(Table2[[#This Row],[Description]]="","",Table2[[#This Row],[Value]]/Table2[[#This Row],[Conversion]])</f>
        <v/>
      </c>
      <c r="K2356" s="45" t="str">
        <f>IF(Table2[[#This Row],[Description]]="","",DATE(Table2[[#This Row],[Year]],Table2[[#This Row],[Month]],1))</f>
        <v/>
      </c>
    </row>
    <row r="2357" spans="7:11" x14ac:dyDescent="0.25">
      <c r="G2357" s="1" t="str">
        <f>IF(Table2[[#This Row],[Description]]="","",VLOOKUP(Table2[[#This Row],[Description]],$Q$1:$S$101,2,FALSE))</f>
        <v/>
      </c>
      <c r="H2357" s="1" t="str">
        <f>IF(Table2[[#This Row],[Description]]="","",VLOOKUP(Table2[[#This Row],[Description]],$Q$1:$S$101,3,FALSE))</f>
        <v/>
      </c>
      <c r="I2357" s="1" t="str">
        <f>IF(Table2[[#This Row],[Description]]="","",IF(Table2[[#This Row],[Currency]]=$O$2,$P$2,HLOOKUP(Table2[[#This Row],[Date]],Funds!$C$10:$GV$11,2,FALSE)))</f>
        <v/>
      </c>
      <c r="J2357" s="215" t="str">
        <f>IF(Table2[[#This Row],[Description]]="","",Table2[[#This Row],[Value]]/Table2[[#This Row],[Conversion]])</f>
        <v/>
      </c>
      <c r="K2357" s="45" t="str">
        <f>IF(Table2[[#This Row],[Description]]="","",DATE(Table2[[#This Row],[Year]],Table2[[#This Row],[Month]],1))</f>
        <v/>
      </c>
    </row>
    <row r="2358" spans="7:11" x14ac:dyDescent="0.25">
      <c r="G2358" s="1" t="str">
        <f>IF(Table2[[#This Row],[Description]]="","",VLOOKUP(Table2[[#This Row],[Description]],$Q$1:$S$101,2,FALSE))</f>
        <v/>
      </c>
      <c r="H2358" s="1" t="str">
        <f>IF(Table2[[#This Row],[Description]]="","",VLOOKUP(Table2[[#This Row],[Description]],$Q$1:$S$101,3,FALSE))</f>
        <v/>
      </c>
      <c r="I2358" s="1" t="str">
        <f>IF(Table2[[#This Row],[Description]]="","",IF(Table2[[#This Row],[Currency]]=$O$2,$P$2,HLOOKUP(Table2[[#This Row],[Date]],Funds!$C$10:$GV$11,2,FALSE)))</f>
        <v/>
      </c>
      <c r="J2358" s="215" t="str">
        <f>IF(Table2[[#This Row],[Description]]="","",Table2[[#This Row],[Value]]/Table2[[#This Row],[Conversion]])</f>
        <v/>
      </c>
      <c r="K2358" s="45" t="str">
        <f>IF(Table2[[#This Row],[Description]]="","",DATE(Table2[[#This Row],[Year]],Table2[[#This Row],[Month]],1))</f>
        <v/>
      </c>
    </row>
    <row r="2359" spans="7:11" x14ac:dyDescent="0.25">
      <c r="G2359" s="1" t="str">
        <f>IF(Table2[[#This Row],[Description]]="","",VLOOKUP(Table2[[#This Row],[Description]],$Q$1:$S$101,2,FALSE))</f>
        <v/>
      </c>
      <c r="H2359" s="1" t="str">
        <f>IF(Table2[[#This Row],[Description]]="","",VLOOKUP(Table2[[#This Row],[Description]],$Q$1:$S$101,3,FALSE))</f>
        <v/>
      </c>
      <c r="I2359" s="1" t="str">
        <f>IF(Table2[[#This Row],[Description]]="","",IF(Table2[[#This Row],[Currency]]=$O$2,$P$2,HLOOKUP(Table2[[#This Row],[Date]],Funds!$C$10:$GV$11,2,FALSE)))</f>
        <v/>
      </c>
      <c r="J2359" s="215" t="str">
        <f>IF(Table2[[#This Row],[Description]]="","",Table2[[#This Row],[Value]]/Table2[[#This Row],[Conversion]])</f>
        <v/>
      </c>
      <c r="K2359" s="45" t="str">
        <f>IF(Table2[[#This Row],[Description]]="","",DATE(Table2[[#This Row],[Year]],Table2[[#This Row],[Month]],1))</f>
        <v/>
      </c>
    </row>
    <row r="2360" spans="7:11" x14ac:dyDescent="0.25">
      <c r="G2360" s="1" t="str">
        <f>IF(Table2[[#This Row],[Description]]="","",VLOOKUP(Table2[[#This Row],[Description]],$Q$1:$S$101,2,FALSE))</f>
        <v/>
      </c>
      <c r="H2360" s="1" t="str">
        <f>IF(Table2[[#This Row],[Description]]="","",VLOOKUP(Table2[[#This Row],[Description]],$Q$1:$S$101,3,FALSE))</f>
        <v/>
      </c>
      <c r="I2360" s="1" t="str">
        <f>IF(Table2[[#This Row],[Description]]="","",IF(Table2[[#This Row],[Currency]]=$O$2,$P$2,HLOOKUP(Table2[[#This Row],[Date]],Funds!$C$10:$GV$11,2,FALSE)))</f>
        <v/>
      </c>
      <c r="J2360" s="215" t="str">
        <f>IF(Table2[[#This Row],[Description]]="","",Table2[[#This Row],[Value]]/Table2[[#This Row],[Conversion]])</f>
        <v/>
      </c>
      <c r="K2360" s="45" t="str">
        <f>IF(Table2[[#This Row],[Description]]="","",DATE(Table2[[#This Row],[Year]],Table2[[#This Row],[Month]],1))</f>
        <v/>
      </c>
    </row>
    <row r="2361" spans="7:11" x14ac:dyDescent="0.25">
      <c r="G2361" s="1" t="str">
        <f>IF(Table2[[#This Row],[Description]]="","",VLOOKUP(Table2[[#This Row],[Description]],$Q$1:$S$101,2,FALSE))</f>
        <v/>
      </c>
      <c r="H2361" s="1" t="str">
        <f>IF(Table2[[#This Row],[Description]]="","",VLOOKUP(Table2[[#This Row],[Description]],$Q$1:$S$101,3,FALSE))</f>
        <v/>
      </c>
      <c r="I2361" s="1" t="str">
        <f>IF(Table2[[#This Row],[Description]]="","",IF(Table2[[#This Row],[Currency]]=$O$2,$P$2,HLOOKUP(Table2[[#This Row],[Date]],Funds!$C$10:$GV$11,2,FALSE)))</f>
        <v/>
      </c>
      <c r="J2361" s="215" t="str">
        <f>IF(Table2[[#This Row],[Description]]="","",Table2[[#This Row],[Value]]/Table2[[#This Row],[Conversion]])</f>
        <v/>
      </c>
      <c r="K2361" s="45" t="str">
        <f>IF(Table2[[#This Row],[Description]]="","",DATE(Table2[[#This Row],[Year]],Table2[[#This Row],[Month]],1))</f>
        <v/>
      </c>
    </row>
    <row r="2362" spans="7:11" x14ac:dyDescent="0.25">
      <c r="G2362" s="1" t="str">
        <f>IF(Table2[[#This Row],[Description]]="","",VLOOKUP(Table2[[#This Row],[Description]],$Q$1:$S$101,2,FALSE))</f>
        <v/>
      </c>
      <c r="H2362" s="1" t="str">
        <f>IF(Table2[[#This Row],[Description]]="","",VLOOKUP(Table2[[#This Row],[Description]],$Q$1:$S$101,3,FALSE))</f>
        <v/>
      </c>
      <c r="I2362" s="1" t="str">
        <f>IF(Table2[[#This Row],[Description]]="","",IF(Table2[[#This Row],[Currency]]=$O$2,$P$2,HLOOKUP(Table2[[#This Row],[Date]],Funds!$C$10:$GV$11,2,FALSE)))</f>
        <v/>
      </c>
      <c r="J2362" s="215" t="str">
        <f>IF(Table2[[#This Row],[Description]]="","",Table2[[#This Row],[Value]]/Table2[[#This Row],[Conversion]])</f>
        <v/>
      </c>
      <c r="K2362" s="45" t="str">
        <f>IF(Table2[[#This Row],[Description]]="","",DATE(Table2[[#This Row],[Year]],Table2[[#This Row],[Month]],1))</f>
        <v/>
      </c>
    </row>
    <row r="2363" spans="7:11" x14ac:dyDescent="0.25">
      <c r="G2363" s="1" t="str">
        <f>IF(Table2[[#This Row],[Description]]="","",VLOOKUP(Table2[[#This Row],[Description]],$Q$1:$S$101,2,FALSE))</f>
        <v/>
      </c>
      <c r="H2363" s="1" t="str">
        <f>IF(Table2[[#This Row],[Description]]="","",VLOOKUP(Table2[[#This Row],[Description]],$Q$1:$S$101,3,FALSE))</f>
        <v/>
      </c>
      <c r="I2363" s="1" t="str">
        <f>IF(Table2[[#This Row],[Description]]="","",IF(Table2[[#This Row],[Currency]]=$O$2,$P$2,HLOOKUP(Table2[[#This Row],[Date]],Funds!$C$10:$GV$11,2,FALSE)))</f>
        <v/>
      </c>
      <c r="J2363" s="215" t="str">
        <f>IF(Table2[[#This Row],[Description]]="","",Table2[[#This Row],[Value]]/Table2[[#This Row],[Conversion]])</f>
        <v/>
      </c>
      <c r="K2363" s="45" t="str">
        <f>IF(Table2[[#This Row],[Description]]="","",DATE(Table2[[#This Row],[Year]],Table2[[#This Row],[Month]],1))</f>
        <v/>
      </c>
    </row>
    <row r="2364" spans="7:11" x14ac:dyDescent="0.25">
      <c r="G2364" s="1" t="str">
        <f>IF(Table2[[#This Row],[Description]]="","",VLOOKUP(Table2[[#This Row],[Description]],$Q$1:$S$101,2,FALSE))</f>
        <v/>
      </c>
      <c r="H2364" s="1" t="str">
        <f>IF(Table2[[#This Row],[Description]]="","",VLOOKUP(Table2[[#This Row],[Description]],$Q$1:$S$101,3,FALSE))</f>
        <v/>
      </c>
      <c r="I2364" s="1" t="str">
        <f>IF(Table2[[#This Row],[Description]]="","",IF(Table2[[#This Row],[Currency]]=$O$2,$P$2,HLOOKUP(Table2[[#This Row],[Date]],Funds!$C$10:$GV$11,2,FALSE)))</f>
        <v/>
      </c>
      <c r="J2364" s="215" t="str">
        <f>IF(Table2[[#This Row],[Description]]="","",Table2[[#This Row],[Value]]/Table2[[#This Row],[Conversion]])</f>
        <v/>
      </c>
      <c r="K2364" s="45" t="str">
        <f>IF(Table2[[#This Row],[Description]]="","",DATE(Table2[[#This Row],[Year]],Table2[[#This Row],[Month]],1))</f>
        <v/>
      </c>
    </row>
    <row r="2365" spans="7:11" x14ac:dyDescent="0.25">
      <c r="G2365" s="1" t="str">
        <f>IF(Table2[[#This Row],[Description]]="","",VLOOKUP(Table2[[#This Row],[Description]],$Q$1:$S$101,2,FALSE))</f>
        <v/>
      </c>
      <c r="H2365" s="1" t="str">
        <f>IF(Table2[[#This Row],[Description]]="","",VLOOKUP(Table2[[#This Row],[Description]],$Q$1:$S$101,3,FALSE))</f>
        <v/>
      </c>
      <c r="I2365" s="1" t="str">
        <f>IF(Table2[[#This Row],[Description]]="","",IF(Table2[[#This Row],[Currency]]=$O$2,$P$2,HLOOKUP(Table2[[#This Row],[Date]],Funds!$C$10:$GV$11,2,FALSE)))</f>
        <v/>
      </c>
      <c r="J2365" s="215" t="str">
        <f>IF(Table2[[#This Row],[Description]]="","",Table2[[#This Row],[Value]]/Table2[[#This Row],[Conversion]])</f>
        <v/>
      </c>
      <c r="K2365" s="45" t="str">
        <f>IF(Table2[[#This Row],[Description]]="","",DATE(Table2[[#This Row],[Year]],Table2[[#This Row],[Month]],1))</f>
        <v/>
      </c>
    </row>
    <row r="2366" spans="7:11" x14ac:dyDescent="0.25">
      <c r="G2366" s="1" t="str">
        <f>IF(Table2[[#This Row],[Description]]="","",VLOOKUP(Table2[[#This Row],[Description]],$Q$1:$S$101,2,FALSE))</f>
        <v/>
      </c>
      <c r="H2366" s="1" t="str">
        <f>IF(Table2[[#This Row],[Description]]="","",VLOOKUP(Table2[[#This Row],[Description]],$Q$1:$S$101,3,FALSE))</f>
        <v/>
      </c>
      <c r="I2366" s="1" t="str">
        <f>IF(Table2[[#This Row],[Description]]="","",IF(Table2[[#This Row],[Currency]]=$O$2,$P$2,HLOOKUP(Table2[[#This Row],[Date]],Funds!$C$10:$GV$11,2,FALSE)))</f>
        <v/>
      </c>
      <c r="J2366" s="215" t="str">
        <f>IF(Table2[[#This Row],[Description]]="","",Table2[[#This Row],[Value]]/Table2[[#This Row],[Conversion]])</f>
        <v/>
      </c>
      <c r="K2366" s="45" t="str">
        <f>IF(Table2[[#This Row],[Description]]="","",DATE(Table2[[#This Row],[Year]],Table2[[#This Row],[Month]],1))</f>
        <v/>
      </c>
    </row>
    <row r="2367" spans="7:11" x14ac:dyDescent="0.25">
      <c r="G2367" s="1" t="str">
        <f>IF(Table2[[#This Row],[Description]]="","",VLOOKUP(Table2[[#This Row],[Description]],$Q$1:$S$101,2,FALSE))</f>
        <v/>
      </c>
      <c r="H2367" s="1" t="str">
        <f>IF(Table2[[#This Row],[Description]]="","",VLOOKUP(Table2[[#This Row],[Description]],$Q$1:$S$101,3,FALSE))</f>
        <v/>
      </c>
      <c r="I2367" s="1" t="str">
        <f>IF(Table2[[#This Row],[Description]]="","",IF(Table2[[#This Row],[Currency]]=$O$2,$P$2,HLOOKUP(Table2[[#This Row],[Date]],Funds!$C$10:$GV$11,2,FALSE)))</f>
        <v/>
      </c>
      <c r="J2367" s="215" t="str">
        <f>IF(Table2[[#This Row],[Description]]="","",Table2[[#This Row],[Value]]/Table2[[#This Row],[Conversion]])</f>
        <v/>
      </c>
      <c r="K2367" s="45" t="str">
        <f>IF(Table2[[#This Row],[Description]]="","",DATE(Table2[[#This Row],[Year]],Table2[[#This Row],[Month]],1))</f>
        <v/>
      </c>
    </row>
    <row r="2368" spans="7:11" x14ac:dyDescent="0.25">
      <c r="G2368" s="1" t="str">
        <f>IF(Table2[[#This Row],[Description]]="","",VLOOKUP(Table2[[#This Row],[Description]],$Q$1:$S$101,2,FALSE))</f>
        <v/>
      </c>
      <c r="H2368" s="1" t="str">
        <f>IF(Table2[[#This Row],[Description]]="","",VLOOKUP(Table2[[#This Row],[Description]],$Q$1:$S$101,3,FALSE))</f>
        <v/>
      </c>
      <c r="I2368" s="1" t="str">
        <f>IF(Table2[[#This Row],[Description]]="","",IF(Table2[[#This Row],[Currency]]=$O$2,$P$2,HLOOKUP(Table2[[#This Row],[Date]],Funds!$C$10:$GV$11,2,FALSE)))</f>
        <v/>
      </c>
      <c r="J2368" s="215" t="str">
        <f>IF(Table2[[#This Row],[Description]]="","",Table2[[#This Row],[Value]]/Table2[[#This Row],[Conversion]])</f>
        <v/>
      </c>
      <c r="K2368" s="45" t="str">
        <f>IF(Table2[[#This Row],[Description]]="","",DATE(Table2[[#This Row],[Year]],Table2[[#This Row],[Month]],1))</f>
        <v/>
      </c>
    </row>
    <row r="2369" spans="7:11" x14ac:dyDescent="0.25">
      <c r="G2369" s="1" t="str">
        <f>IF(Table2[[#This Row],[Description]]="","",VLOOKUP(Table2[[#This Row],[Description]],$Q$1:$S$101,2,FALSE))</f>
        <v/>
      </c>
      <c r="H2369" s="1" t="str">
        <f>IF(Table2[[#This Row],[Description]]="","",VLOOKUP(Table2[[#This Row],[Description]],$Q$1:$S$101,3,FALSE))</f>
        <v/>
      </c>
      <c r="I2369" s="1" t="str">
        <f>IF(Table2[[#This Row],[Description]]="","",IF(Table2[[#This Row],[Currency]]=$O$2,$P$2,HLOOKUP(Table2[[#This Row],[Date]],Funds!$C$10:$GV$11,2,FALSE)))</f>
        <v/>
      </c>
      <c r="J2369" s="215" t="str">
        <f>IF(Table2[[#This Row],[Description]]="","",Table2[[#This Row],[Value]]/Table2[[#This Row],[Conversion]])</f>
        <v/>
      </c>
      <c r="K2369" s="45" t="str">
        <f>IF(Table2[[#This Row],[Description]]="","",DATE(Table2[[#This Row],[Year]],Table2[[#This Row],[Month]],1))</f>
        <v/>
      </c>
    </row>
    <row r="2370" spans="7:11" x14ac:dyDescent="0.25">
      <c r="G2370" s="1" t="str">
        <f>IF(Table2[[#This Row],[Description]]="","",VLOOKUP(Table2[[#This Row],[Description]],$Q$1:$S$101,2,FALSE))</f>
        <v/>
      </c>
      <c r="H2370" s="1" t="str">
        <f>IF(Table2[[#This Row],[Description]]="","",VLOOKUP(Table2[[#This Row],[Description]],$Q$1:$S$101,3,FALSE))</f>
        <v/>
      </c>
      <c r="I2370" s="1" t="str">
        <f>IF(Table2[[#This Row],[Description]]="","",IF(Table2[[#This Row],[Currency]]=$O$2,$P$2,HLOOKUP(Table2[[#This Row],[Date]],Funds!$C$10:$GV$11,2,FALSE)))</f>
        <v/>
      </c>
      <c r="J2370" s="215" t="str">
        <f>IF(Table2[[#This Row],[Description]]="","",Table2[[#This Row],[Value]]/Table2[[#This Row],[Conversion]])</f>
        <v/>
      </c>
      <c r="K2370" s="45" t="str">
        <f>IF(Table2[[#This Row],[Description]]="","",DATE(Table2[[#This Row],[Year]],Table2[[#This Row],[Month]],1))</f>
        <v/>
      </c>
    </row>
    <row r="2371" spans="7:11" x14ac:dyDescent="0.25">
      <c r="G2371" s="1" t="str">
        <f>IF(Table2[[#This Row],[Description]]="","",VLOOKUP(Table2[[#This Row],[Description]],$Q$1:$S$101,2,FALSE))</f>
        <v/>
      </c>
      <c r="H2371" s="1" t="str">
        <f>IF(Table2[[#This Row],[Description]]="","",VLOOKUP(Table2[[#This Row],[Description]],$Q$1:$S$101,3,FALSE))</f>
        <v/>
      </c>
      <c r="I2371" s="1" t="str">
        <f>IF(Table2[[#This Row],[Description]]="","",IF(Table2[[#This Row],[Currency]]=$O$2,$P$2,HLOOKUP(Table2[[#This Row],[Date]],Funds!$C$10:$GV$11,2,FALSE)))</f>
        <v/>
      </c>
      <c r="J2371" s="215" t="str">
        <f>IF(Table2[[#This Row],[Description]]="","",Table2[[#This Row],[Value]]/Table2[[#This Row],[Conversion]])</f>
        <v/>
      </c>
      <c r="K2371" s="45" t="str">
        <f>IF(Table2[[#This Row],[Description]]="","",DATE(Table2[[#This Row],[Year]],Table2[[#This Row],[Month]],1))</f>
        <v/>
      </c>
    </row>
    <row r="2372" spans="7:11" x14ac:dyDescent="0.25">
      <c r="G2372" s="1" t="str">
        <f>IF(Table2[[#This Row],[Description]]="","",VLOOKUP(Table2[[#This Row],[Description]],$Q$1:$S$101,2,FALSE))</f>
        <v/>
      </c>
      <c r="H2372" s="1" t="str">
        <f>IF(Table2[[#This Row],[Description]]="","",VLOOKUP(Table2[[#This Row],[Description]],$Q$1:$S$101,3,FALSE))</f>
        <v/>
      </c>
      <c r="I2372" s="1" t="str">
        <f>IF(Table2[[#This Row],[Description]]="","",IF(Table2[[#This Row],[Currency]]=$O$2,$P$2,HLOOKUP(Table2[[#This Row],[Date]],Funds!$C$10:$GV$11,2,FALSE)))</f>
        <v/>
      </c>
      <c r="J2372" s="215" t="str">
        <f>IF(Table2[[#This Row],[Description]]="","",Table2[[#This Row],[Value]]/Table2[[#This Row],[Conversion]])</f>
        <v/>
      </c>
      <c r="K2372" s="45" t="str">
        <f>IF(Table2[[#This Row],[Description]]="","",DATE(Table2[[#This Row],[Year]],Table2[[#This Row],[Month]],1))</f>
        <v/>
      </c>
    </row>
    <row r="2373" spans="7:11" x14ac:dyDescent="0.25">
      <c r="G2373" s="1" t="str">
        <f>IF(Table2[[#This Row],[Description]]="","",VLOOKUP(Table2[[#This Row],[Description]],$Q$1:$S$101,2,FALSE))</f>
        <v/>
      </c>
      <c r="H2373" s="1" t="str">
        <f>IF(Table2[[#This Row],[Description]]="","",VLOOKUP(Table2[[#This Row],[Description]],$Q$1:$S$101,3,FALSE))</f>
        <v/>
      </c>
      <c r="I2373" s="1" t="str">
        <f>IF(Table2[[#This Row],[Description]]="","",IF(Table2[[#This Row],[Currency]]=$O$2,$P$2,HLOOKUP(Table2[[#This Row],[Date]],Funds!$C$10:$GV$11,2,FALSE)))</f>
        <v/>
      </c>
      <c r="J2373" s="215" t="str">
        <f>IF(Table2[[#This Row],[Description]]="","",Table2[[#This Row],[Value]]/Table2[[#This Row],[Conversion]])</f>
        <v/>
      </c>
      <c r="K2373" s="45" t="str">
        <f>IF(Table2[[#This Row],[Description]]="","",DATE(Table2[[#This Row],[Year]],Table2[[#This Row],[Month]],1))</f>
        <v/>
      </c>
    </row>
    <row r="2374" spans="7:11" x14ac:dyDescent="0.25">
      <c r="G2374" s="1" t="str">
        <f>IF(Table2[[#This Row],[Description]]="","",VLOOKUP(Table2[[#This Row],[Description]],$Q$1:$S$101,2,FALSE))</f>
        <v/>
      </c>
      <c r="H2374" s="1" t="str">
        <f>IF(Table2[[#This Row],[Description]]="","",VLOOKUP(Table2[[#This Row],[Description]],$Q$1:$S$101,3,FALSE))</f>
        <v/>
      </c>
      <c r="I2374" s="1" t="str">
        <f>IF(Table2[[#This Row],[Description]]="","",IF(Table2[[#This Row],[Currency]]=$O$2,$P$2,HLOOKUP(Table2[[#This Row],[Date]],Funds!$C$10:$GV$11,2,FALSE)))</f>
        <v/>
      </c>
      <c r="J2374" s="215" t="str">
        <f>IF(Table2[[#This Row],[Description]]="","",Table2[[#This Row],[Value]]/Table2[[#This Row],[Conversion]])</f>
        <v/>
      </c>
      <c r="K2374" s="45" t="str">
        <f>IF(Table2[[#This Row],[Description]]="","",DATE(Table2[[#This Row],[Year]],Table2[[#This Row],[Month]],1))</f>
        <v/>
      </c>
    </row>
    <row r="2375" spans="7:11" x14ac:dyDescent="0.25">
      <c r="G2375" s="1" t="str">
        <f>IF(Table2[[#This Row],[Description]]="","",VLOOKUP(Table2[[#This Row],[Description]],$Q$1:$S$101,2,FALSE))</f>
        <v/>
      </c>
      <c r="H2375" s="1" t="str">
        <f>IF(Table2[[#This Row],[Description]]="","",VLOOKUP(Table2[[#This Row],[Description]],$Q$1:$S$101,3,FALSE))</f>
        <v/>
      </c>
      <c r="I2375" s="1" t="str">
        <f>IF(Table2[[#This Row],[Description]]="","",IF(Table2[[#This Row],[Currency]]=$O$2,$P$2,HLOOKUP(Table2[[#This Row],[Date]],Funds!$C$10:$GV$11,2,FALSE)))</f>
        <v/>
      </c>
      <c r="J2375" s="215" t="str">
        <f>IF(Table2[[#This Row],[Description]]="","",Table2[[#This Row],[Value]]/Table2[[#This Row],[Conversion]])</f>
        <v/>
      </c>
      <c r="K2375" s="45" t="str">
        <f>IF(Table2[[#This Row],[Description]]="","",DATE(Table2[[#This Row],[Year]],Table2[[#This Row],[Month]],1))</f>
        <v/>
      </c>
    </row>
    <row r="2376" spans="7:11" x14ac:dyDescent="0.25">
      <c r="G2376" s="1" t="str">
        <f>IF(Table2[[#This Row],[Description]]="","",VLOOKUP(Table2[[#This Row],[Description]],$Q$1:$S$101,2,FALSE))</f>
        <v/>
      </c>
      <c r="H2376" s="1" t="str">
        <f>IF(Table2[[#This Row],[Description]]="","",VLOOKUP(Table2[[#This Row],[Description]],$Q$1:$S$101,3,FALSE))</f>
        <v/>
      </c>
      <c r="I2376" s="1" t="str">
        <f>IF(Table2[[#This Row],[Description]]="","",IF(Table2[[#This Row],[Currency]]=$O$2,$P$2,HLOOKUP(Table2[[#This Row],[Date]],Funds!$C$10:$GV$11,2,FALSE)))</f>
        <v/>
      </c>
      <c r="J2376" s="215" t="str">
        <f>IF(Table2[[#This Row],[Description]]="","",Table2[[#This Row],[Value]]/Table2[[#This Row],[Conversion]])</f>
        <v/>
      </c>
      <c r="K2376" s="45" t="str">
        <f>IF(Table2[[#This Row],[Description]]="","",DATE(Table2[[#This Row],[Year]],Table2[[#This Row],[Month]],1))</f>
        <v/>
      </c>
    </row>
    <row r="2377" spans="7:11" x14ac:dyDescent="0.25">
      <c r="G2377" s="1" t="str">
        <f>IF(Table2[[#This Row],[Description]]="","",VLOOKUP(Table2[[#This Row],[Description]],$Q$1:$S$101,2,FALSE))</f>
        <v/>
      </c>
      <c r="H2377" s="1" t="str">
        <f>IF(Table2[[#This Row],[Description]]="","",VLOOKUP(Table2[[#This Row],[Description]],$Q$1:$S$101,3,FALSE))</f>
        <v/>
      </c>
      <c r="I2377" s="1" t="str">
        <f>IF(Table2[[#This Row],[Description]]="","",IF(Table2[[#This Row],[Currency]]=$O$2,$P$2,HLOOKUP(Table2[[#This Row],[Date]],Funds!$C$10:$GV$11,2,FALSE)))</f>
        <v/>
      </c>
      <c r="J2377" s="215" t="str">
        <f>IF(Table2[[#This Row],[Description]]="","",Table2[[#This Row],[Value]]/Table2[[#This Row],[Conversion]])</f>
        <v/>
      </c>
      <c r="K2377" s="45" t="str">
        <f>IF(Table2[[#This Row],[Description]]="","",DATE(Table2[[#This Row],[Year]],Table2[[#This Row],[Month]],1))</f>
        <v/>
      </c>
    </row>
    <row r="2378" spans="7:11" x14ac:dyDescent="0.25">
      <c r="G2378" s="1" t="str">
        <f>IF(Table2[[#This Row],[Description]]="","",VLOOKUP(Table2[[#This Row],[Description]],$Q$1:$S$101,2,FALSE))</f>
        <v/>
      </c>
      <c r="H2378" s="1" t="str">
        <f>IF(Table2[[#This Row],[Description]]="","",VLOOKUP(Table2[[#This Row],[Description]],$Q$1:$S$101,3,FALSE))</f>
        <v/>
      </c>
      <c r="I2378" s="1" t="str">
        <f>IF(Table2[[#This Row],[Description]]="","",IF(Table2[[#This Row],[Currency]]=$O$2,$P$2,HLOOKUP(Table2[[#This Row],[Date]],Funds!$C$10:$GV$11,2,FALSE)))</f>
        <v/>
      </c>
      <c r="J2378" s="215" t="str">
        <f>IF(Table2[[#This Row],[Description]]="","",Table2[[#This Row],[Value]]/Table2[[#This Row],[Conversion]])</f>
        <v/>
      </c>
      <c r="K2378" s="45" t="str">
        <f>IF(Table2[[#This Row],[Description]]="","",DATE(Table2[[#This Row],[Year]],Table2[[#This Row],[Month]],1))</f>
        <v/>
      </c>
    </row>
    <row r="2379" spans="7:11" x14ac:dyDescent="0.25">
      <c r="G2379" s="1" t="str">
        <f>IF(Table2[[#This Row],[Description]]="","",VLOOKUP(Table2[[#This Row],[Description]],$Q$1:$S$101,2,FALSE))</f>
        <v/>
      </c>
      <c r="H2379" s="1" t="str">
        <f>IF(Table2[[#This Row],[Description]]="","",VLOOKUP(Table2[[#This Row],[Description]],$Q$1:$S$101,3,FALSE))</f>
        <v/>
      </c>
      <c r="I2379" s="1" t="str">
        <f>IF(Table2[[#This Row],[Description]]="","",IF(Table2[[#This Row],[Currency]]=$O$2,$P$2,HLOOKUP(Table2[[#This Row],[Date]],Funds!$C$10:$GV$11,2,FALSE)))</f>
        <v/>
      </c>
      <c r="J2379" s="215" t="str">
        <f>IF(Table2[[#This Row],[Description]]="","",Table2[[#This Row],[Value]]/Table2[[#This Row],[Conversion]])</f>
        <v/>
      </c>
      <c r="K2379" s="45" t="str">
        <f>IF(Table2[[#This Row],[Description]]="","",DATE(Table2[[#This Row],[Year]],Table2[[#This Row],[Month]],1))</f>
        <v/>
      </c>
    </row>
    <row r="2380" spans="7:11" x14ac:dyDescent="0.25">
      <c r="G2380" s="1" t="str">
        <f>IF(Table2[[#This Row],[Description]]="","",VLOOKUP(Table2[[#This Row],[Description]],$Q$1:$S$101,2,FALSE))</f>
        <v/>
      </c>
      <c r="H2380" s="1" t="str">
        <f>IF(Table2[[#This Row],[Description]]="","",VLOOKUP(Table2[[#This Row],[Description]],$Q$1:$S$101,3,FALSE))</f>
        <v/>
      </c>
      <c r="I2380" s="1" t="str">
        <f>IF(Table2[[#This Row],[Description]]="","",IF(Table2[[#This Row],[Currency]]=$O$2,$P$2,HLOOKUP(Table2[[#This Row],[Date]],Funds!$C$10:$GV$11,2,FALSE)))</f>
        <v/>
      </c>
      <c r="J2380" s="215" t="str">
        <f>IF(Table2[[#This Row],[Description]]="","",Table2[[#This Row],[Value]]/Table2[[#This Row],[Conversion]])</f>
        <v/>
      </c>
      <c r="K2380" s="45" t="str">
        <f>IF(Table2[[#This Row],[Description]]="","",DATE(Table2[[#This Row],[Year]],Table2[[#This Row],[Month]],1))</f>
        <v/>
      </c>
    </row>
    <row r="2381" spans="7:11" x14ac:dyDescent="0.25">
      <c r="G2381" s="1" t="str">
        <f>IF(Table2[[#This Row],[Description]]="","",VLOOKUP(Table2[[#This Row],[Description]],$Q$1:$S$101,2,FALSE))</f>
        <v/>
      </c>
      <c r="H2381" s="1" t="str">
        <f>IF(Table2[[#This Row],[Description]]="","",VLOOKUP(Table2[[#This Row],[Description]],$Q$1:$S$101,3,FALSE))</f>
        <v/>
      </c>
      <c r="I2381" s="1" t="str">
        <f>IF(Table2[[#This Row],[Description]]="","",IF(Table2[[#This Row],[Currency]]=$O$2,$P$2,HLOOKUP(Table2[[#This Row],[Date]],Funds!$C$10:$GV$11,2,FALSE)))</f>
        <v/>
      </c>
      <c r="J2381" s="215" t="str">
        <f>IF(Table2[[#This Row],[Description]]="","",Table2[[#This Row],[Value]]/Table2[[#This Row],[Conversion]])</f>
        <v/>
      </c>
      <c r="K2381" s="45" t="str">
        <f>IF(Table2[[#This Row],[Description]]="","",DATE(Table2[[#This Row],[Year]],Table2[[#This Row],[Month]],1))</f>
        <v/>
      </c>
    </row>
    <row r="2382" spans="7:11" x14ac:dyDescent="0.25">
      <c r="G2382" s="1" t="str">
        <f>IF(Table2[[#This Row],[Description]]="","",VLOOKUP(Table2[[#This Row],[Description]],$Q$1:$S$101,2,FALSE))</f>
        <v/>
      </c>
      <c r="H2382" s="1" t="str">
        <f>IF(Table2[[#This Row],[Description]]="","",VLOOKUP(Table2[[#This Row],[Description]],$Q$1:$S$101,3,FALSE))</f>
        <v/>
      </c>
      <c r="I2382" s="1" t="str">
        <f>IF(Table2[[#This Row],[Description]]="","",IF(Table2[[#This Row],[Currency]]=$O$2,$P$2,HLOOKUP(Table2[[#This Row],[Date]],Funds!$C$10:$GV$11,2,FALSE)))</f>
        <v/>
      </c>
      <c r="J2382" s="215" t="str">
        <f>IF(Table2[[#This Row],[Description]]="","",Table2[[#This Row],[Value]]/Table2[[#This Row],[Conversion]])</f>
        <v/>
      </c>
      <c r="K2382" s="45" t="str">
        <f>IF(Table2[[#This Row],[Description]]="","",DATE(Table2[[#This Row],[Year]],Table2[[#This Row],[Month]],1))</f>
        <v/>
      </c>
    </row>
    <row r="2383" spans="7:11" x14ac:dyDescent="0.25">
      <c r="G2383" s="1" t="str">
        <f>IF(Table2[[#This Row],[Description]]="","",VLOOKUP(Table2[[#This Row],[Description]],$Q$1:$S$101,2,FALSE))</f>
        <v/>
      </c>
      <c r="H2383" s="1" t="str">
        <f>IF(Table2[[#This Row],[Description]]="","",VLOOKUP(Table2[[#This Row],[Description]],$Q$1:$S$101,3,FALSE))</f>
        <v/>
      </c>
      <c r="I2383" s="1" t="str">
        <f>IF(Table2[[#This Row],[Description]]="","",IF(Table2[[#This Row],[Currency]]=$O$2,$P$2,HLOOKUP(Table2[[#This Row],[Date]],Funds!$C$10:$GV$11,2,FALSE)))</f>
        <v/>
      </c>
      <c r="J2383" s="215" t="str">
        <f>IF(Table2[[#This Row],[Description]]="","",Table2[[#This Row],[Value]]/Table2[[#This Row],[Conversion]])</f>
        <v/>
      </c>
      <c r="K2383" s="45" t="str">
        <f>IF(Table2[[#This Row],[Description]]="","",DATE(Table2[[#This Row],[Year]],Table2[[#This Row],[Month]],1))</f>
        <v/>
      </c>
    </row>
    <row r="2384" spans="7:11" x14ac:dyDescent="0.25">
      <c r="G2384" s="1" t="str">
        <f>IF(Table2[[#This Row],[Description]]="","",VLOOKUP(Table2[[#This Row],[Description]],$Q$1:$S$101,2,FALSE))</f>
        <v/>
      </c>
      <c r="H2384" s="1" t="str">
        <f>IF(Table2[[#This Row],[Description]]="","",VLOOKUP(Table2[[#This Row],[Description]],$Q$1:$S$101,3,FALSE))</f>
        <v/>
      </c>
      <c r="I2384" s="1" t="str">
        <f>IF(Table2[[#This Row],[Description]]="","",IF(Table2[[#This Row],[Currency]]=$O$2,$P$2,HLOOKUP(Table2[[#This Row],[Date]],Funds!$C$10:$GV$11,2,FALSE)))</f>
        <v/>
      </c>
      <c r="J2384" s="215" t="str">
        <f>IF(Table2[[#This Row],[Description]]="","",Table2[[#This Row],[Value]]/Table2[[#This Row],[Conversion]])</f>
        <v/>
      </c>
      <c r="K2384" s="45" t="str">
        <f>IF(Table2[[#This Row],[Description]]="","",DATE(Table2[[#This Row],[Year]],Table2[[#This Row],[Month]],1))</f>
        <v/>
      </c>
    </row>
    <row r="2385" spans="7:11" x14ac:dyDescent="0.25">
      <c r="G2385" s="1" t="str">
        <f>IF(Table2[[#This Row],[Description]]="","",VLOOKUP(Table2[[#This Row],[Description]],$Q$1:$S$101,2,FALSE))</f>
        <v/>
      </c>
      <c r="H2385" s="1" t="str">
        <f>IF(Table2[[#This Row],[Description]]="","",VLOOKUP(Table2[[#This Row],[Description]],$Q$1:$S$101,3,FALSE))</f>
        <v/>
      </c>
      <c r="I2385" s="1" t="str">
        <f>IF(Table2[[#This Row],[Description]]="","",IF(Table2[[#This Row],[Currency]]=$O$2,$P$2,HLOOKUP(Table2[[#This Row],[Date]],Funds!$C$10:$GV$11,2,FALSE)))</f>
        <v/>
      </c>
      <c r="J2385" s="215" t="str">
        <f>IF(Table2[[#This Row],[Description]]="","",Table2[[#This Row],[Value]]/Table2[[#This Row],[Conversion]])</f>
        <v/>
      </c>
      <c r="K2385" s="45" t="str">
        <f>IF(Table2[[#This Row],[Description]]="","",DATE(Table2[[#This Row],[Year]],Table2[[#This Row],[Month]],1))</f>
        <v/>
      </c>
    </row>
    <row r="2386" spans="7:11" x14ac:dyDescent="0.25">
      <c r="G2386" s="1" t="str">
        <f>IF(Table2[[#This Row],[Description]]="","",VLOOKUP(Table2[[#This Row],[Description]],$Q$1:$S$101,2,FALSE))</f>
        <v/>
      </c>
      <c r="H2386" s="1" t="str">
        <f>IF(Table2[[#This Row],[Description]]="","",VLOOKUP(Table2[[#This Row],[Description]],$Q$1:$S$101,3,FALSE))</f>
        <v/>
      </c>
      <c r="I2386" s="1" t="str">
        <f>IF(Table2[[#This Row],[Description]]="","",IF(Table2[[#This Row],[Currency]]=$O$2,$P$2,HLOOKUP(Table2[[#This Row],[Date]],Funds!$C$10:$GV$11,2,FALSE)))</f>
        <v/>
      </c>
      <c r="J2386" s="215" t="str">
        <f>IF(Table2[[#This Row],[Description]]="","",Table2[[#This Row],[Value]]/Table2[[#This Row],[Conversion]])</f>
        <v/>
      </c>
      <c r="K2386" s="45" t="str">
        <f>IF(Table2[[#This Row],[Description]]="","",DATE(Table2[[#This Row],[Year]],Table2[[#This Row],[Month]],1))</f>
        <v/>
      </c>
    </row>
    <row r="2387" spans="7:11" x14ac:dyDescent="0.25">
      <c r="G2387" s="1" t="str">
        <f>IF(Table2[[#This Row],[Description]]="","",VLOOKUP(Table2[[#This Row],[Description]],$Q$1:$S$101,2,FALSE))</f>
        <v/>
      </c>
      <c r="H2387" s="1" t="str">
        <f>IF(Table2[[#This Row],[Description]]="","",VLOOKUP(Table2[[#This Row],[Description]],$Q$1:$S$101,3,FALSE))</f>
        <v/>
      </c>
      <c r="I2387" s="1" t="str">
        <f>IF(Table2[[#This Row],[Description]]="","",IF(Table2[[#This Row],[Currency]]=$O$2,$P$2,HLOOKUP(Table2[[#This Row],[Date]],Funds!$C$10:$GV$11,2,FALSE)))</f>
        <v/>
      </c>
      <c r="J2387" s="215" t="str">
        <f>IF(Table2[[#This Row],[Description]]="","",Table2[[#This Row],[Value]]/Table2[[#This Row],[Conversion]])</f>
        <v/>
      </c>
      <c r="K2387" s="45" t="str">
        <f>IF(Table2[[#This Row],[Description]]="","",DATE(Table2[[#This Row],[Year]],Table2[[#This Row],[Month]],1))</f>
        <v/>
      </c>
    </row>
    <row r="2388" spans="7:11" x14ac:dyDescent="0.25">
      <c r="G2388" s="1" t="str">
        <f>IF(Table2[[#This Row],[Description]]="","",VLOOKUP(Table2[[#This Row],[Description]],$Q$1:$S$101,2,FALSE))</f>
        <v/>
      </c>
      <c r="H2388" s="1" t="str">
        <f>IF(Table2[[#This Row],[Description]]="","",VLOOKUP(Table2[[#This Row],[Description]],$Q$1:$S$101,3,FALSE))</f>
        <v/>
      </c>
      <c r="I2388" s="1" t="str">
        <f>IF(Table2[[#This Row],[Description]]="","",IF(Table2[[#This Row],[Currency]]=$O$2,$P$2,HLOOKUP(Table2[[#This Row],[Date]],Funds!$C$10:$GV$11,2,FALSE)))</f>
        <v/>
      </c>
      <c r="J2388" s="215" t="str">
        <f>IF(Table2[[#This Row],[Description]]="","",Table2[[#This Row],[Value]]/Table2[[#This Row],[Conversion]])</f>
        <v/>
      </c>
      <c r="K2388" s="45" t="str">
        <f>IF(Table2[[#This Row],[Description]]="","",DATE(Table2[[#This Row],[Year]],Table2[[#This Row],[Month]],1))</f>
        <v/>
      </c>
    </row>
    <row r="2389" spans="7:11" x14ac:dyDescent="0.25">
      <c r="G2389" s="1" t="str">
        <f>IF(Table2[[#This Row],[Description]]="","",VLOOKUP(Table2[[#This Row],[Description]],$Q$1:$S$101,2,FALSE))</f>
        <v/>
      </c>
      <c r="H2389" s="1" t="str">
        <f>IF(Table2[[#This Row],[Description]]="","",VLOOKUP(Table2[[#This Row],[Description]],$Q$1:$S$101,3,FALSE))</f>
        <v/>
      </c>
      <c r="I2389" s="1" t="str">
        <f>IF(Table2[[#This Row],[Description]]="","",IF(Table2[[#This Row],[Currency]]=$O$2,$P$2,HLOOKUP(Table2[[#This Row],[Date]],Funds!$C$10:$GV$11,2,FALSE)))</f>
        <v/>
      </c>
      <c r="J2389" s="215" t="str">
        <f>IF(Table2[[#This Row],[Description]]="","",Table2[[#This Row],[Value]]/Table2[[#This Row],[Conversion]])</f>
        <v/>
      </c>
      <c r="K2389" s="45" t="str">
        <f>IF(Table2[[#This Row],[Description]]="","",DATE(Table2[[#This Row],[Year]],Table2[[#This Row],[Month]],1))</f>
        <v/>
      </c>
    </row>
    <row r="2390" spans="7:11" x14ac:dyDescent="0.25">
      <c r="G2390" s="1" t="str">
        <f>IF(Table2[[#This Row],[Description]]="","",VLOOKUP(Table2[[#This Row],[Description]],$Q$1:$S$101,2,FALSE))</f>
        <v/>
      </c>
      <c r="H2390" s="1" t="str">
        <f>IF(Table2[[#This Row],[Description]]="","",VLOOKUP(Table2[[#This Row],[Description]],$Q$1:$S$101,3,FALSE))</f>
        <v/>
      </c>
      <c r="I2390" s="1" t="str">
        <f>IF(Table2[[#This Row],[Description]]="","",IF(Table2[[#This Row],[Currency]]=$O$2,$P$2,HLOOKUP(Table2[[#This Row],[Date]],Funds!$C$10:$GV$11,2,FALSE)))</f>
        <v/>
      </c>
      <c r="J2390" s="215" t="str">
        <f>IF(Table2[[#This Row],[Description]]="","",Table2[[#This Row],[Value]]/Table2[[#This Row],[Conversion]])</f>
        <v/>
      </c>
      <c r="K2390" s="45" t="str">
        <f>IF(Table2[[#This Row],[Description]]="","",DATE(Table2[[#This Row],[Year]],Table2[[#This Row],[Month]],1))</f>
        <v/>
      </c>
    </row>
    <row r="2391" spans="7:11" x14ac:dyDescent="0.25">
      <c r="G2391" s="1" t="str">
        <f>IF(Table2[[#This Row],[Description]]="","",VLOOKUP(Table2[[#This Row],[Description]],$Q$1:$S$101,2,FALSE))</f>
        <v/>
      </c>
      <c r="H2391" s="1" t="str">
        <f>IF(Table2[[#This Row],[Description]]="","",VLOOKUP(Table2[[#This Row],[Description]],$Q$1:$S$101,3,FALSE))</f>
        <v/>
      </c>
      <c r="I2391" s="1" t="str">
        <f>IF(Table2[[#This Row],[Description]]="","",IF(Table2[[#This Row],[Currency]]=$O$2,$P$2,HLOOKUP(Table2[[#This Row],[Date]],Funds!$C$10:$GV$11,2,FALSE)))</f>
        <v/>
      </c>
      <c r="J2391" s="215" t="str">
        <f>IF(Table2[[#This Row],[Description]]="","",Table2[[#This Row],[Value]]/Table2[[#This Row],[Conversion]])</f>
        <v/>
      </c>
      <c r="K2391" s="45" t="str">
        <f>IF(Table2[[#This Row],[Description]]="","",DATE(Table2[[#This Row],[Year]],Table2[[#This Row],[Month]],1))</f>
        <v/>
      </c>
    </row>
    <row r="2392" spans="7:11" x14ac:dyDescent="0.25">
      <c r="G2392" s="1" t="str">
        <f>IF(Table2[[#This Row],[Description]]="","",VLOOKUP(Table2[[#This Row],[Description]],$Q$1:$S$101,2,FALSE))</f>
        <v/>
      </c>
      <c r="H2392" s="1" t="str">
        <f>IF(Table2[[#This Row],[Description]]="","",VLOOKUP(Table2[[#This Row],[Description]],$Q$1:$S$101,3,FALSE))</f>
        <v/>
      </c>
      <c r="I2392" s="1" t="str">
        <f>IF(Table2[[#This Row],[Description]]="","",IF(Table2[[#This Row],[Currency]]=$O$2,$P$2,HLOOKUP(Table2[[#This Row],[Date]],Funds!$C$10:$GV$11,2,FALSE)))</f>
        <v/>
      </c>
      <c r="J2392" s="215" t="str">
        <f>IF(Table2[[#This Row],[Description]]="","",Table2[[#This Row],[Value]]/Table2[[#This Row],[Conversion]])</f>
        <v/>
      </c>
      <c r="K2392" s="45" t="str">
        <f>IF(Table2[[#This Row],[Description]]="","",DATE(Table2[[#This Row],[Year]],Table2[[#This Row],[Month]],1))</f>
        <v/>
      </c>
    </row>
    <row r="2393" spans="7:11" x14ac:dyDescent="0.25">
      <c r="G2393" s="1" t="str">
        <f>IF(Table2[[#This Row],[Description]]="","",VLOOKUP(Table2[[#This Row],[Description]],$Q$1:$S$101,2,FALSE))</f>
        <v/>
      </c>
      <c r="H2393" s="1" t="str">
        <f>IF(Table2[[#This Row],[Description]]="","",VLOOKUP(Table2[[#This Row],[Description]],$Q$1:$S$101,3,FALSE))</f>
        <v/>
      </c>
      <c r="I2393" s="1" t="str">
        <f>IF(Table2[[#This Row],[Description]]="","",IF(Table2[[#This Row],[Currency]]=$O$2,$P$2,HLOOKUP(Table2[[#This Row],[Date]],Funds!$C$10:$GV$11,2,FALSE)))</f>
        <v/>
      </c>
      <c r="J2393" s="215" t="str">
        <f>IF(Table2[[#This Row],[Description]]="","",Table2[[#This Row],[Value]]/Table2[[#This Row],[Conversion]])</f>
        <v/>
      </c>
      <c r="K2393" s="45" t="str">
        <f>IF(Table2[[#This Row],[Description]]="","",DATE(Table2[[#This Row],[Year]],Table2[[#This Row],[Month]],1))</f>
        <v/>
      </c>
    </row>
    <row r="2394" spans="7:11" x14ac:dyDescent="0.25">
      <c r="G2394" s="1" t="str">
        <f>IF(Table2[[#This Row],[Description]]="","",VLOOKUP(Table2[[#This Row],[Description]],$Q$1:$S$101,2,FALSE))</f>
        <v/>
      </c>
      <c r="H2394" s="1" t="str">
        <f>IF(Table2[[#This Row],[Description]]="","",VLOOKUP(Table2[[#This Row],[Description]],$Q$1:$S$101,3,FALSE))</f>
        <v/>
      </c>
      <c r="I2394" s="1" t="str">
        <f>IF(Table2[[#This Row],[Description]]="","",IF(Table2[[#This Row],[Currency]]=$O$2,$P$2,HLOOKUP(Table2[[#This Row],[Date]],Funds!$C$10:$GV$11,2,FALSE)))</f>
        <v/>
      </c>
      <c r="J2394" s="215" t="str">
        <f>IF(Table2[[#This Row],[Description]]="","",Table2[[#This Row],[Value]]/Table2[[#This Row],[Conversion]])</f>
        <v/>
      </c>
      <c r="K2394" s="45" t="str">
        <f>IF(Table2[[#This Row],[Description]]="","",DATE(Table2[[#This Row],[Year]],Table2[[#This Row],[Month]],1))</f>
        <v/>
      </c>
    </row>
    <row r="2395" spans="7:11" x14ac:dyDescent="0.25">
      <c r="G2395" s="1" t="str">
        <f>IF(Table2[[#This Row],[Description]]="","",VLOOKUP(Table2[[#This Row],[Description]],$Q$1:$S$101,2,FALSE))</f>
        <v/>
      </c>
      <c r="H2395" s="1" t="str">
        <f>IF(Table2[[#This Row],[Description]]="","",VLOOKUP(Table2[[#This Row],[Description]],$Q$1:$S$101,3,FALSE))</f>
        <v/>
      </c>
      <c r="I2395" s="1" t="str">
        <f>IF(Table2[[#This Row],[Description]]="","",IF(Table2[[#This Row],[Currency]]=$O$2,$P$2,HLOOKUP(Table2[[#This Row],[Date]],Funds!$C$10:$GV$11,2,FALSE)))</f>
        <v/>
      </c>
      <c r="J2395" s="215" t="str">
        <f>IF(Table2[[#This Row],[Description]]="","",Table2[[#This Row],[Value]]/Table2[[#This Row],[Conversion]])</f>
        <v/>
      </c>
      <c r="K2395" s="45" t="str">
        <f>IF(Table2[[#This Row],[Description]]="","",DATE(Table2[[#This Row],[Year]],Table2[[#This Row],[Month]],1))</f>
        <v/>
      </c>
    </row>
    <row r="2396" spans="7:11" x14ac:dyDescent="0.25">
      <c r="G2396" s="1" t="str">
        <f>IF(Table2[[#This Row],[Description]]="","",VLOOKUP(Table2[[#This Row],[Description]],$Q$1:$S$101,2,FALSE))</f>
        <v/>
      </c>
      <c r="H2396" s="1" t="str">
        <f>IF(Table2[[#This Row],[Description]]="","",VLOOKUP(Table2[[#This Row],[Description]],$Q$1:$S$101,3,FALSE))</f>
        <v/>
      </c>
      <c r="I2396" s="1" t="str">
        <f>IF(Table2[[#This Row],[Description]]="","",IF(Table2[[#This Row],[Currency]]=$O$2,$P$2,HLOOKUP(Table2[[#This Row],[Date]],Funds!$C$10:$GV$11,2,FALSE)))</f>
        <v/>
      </c>
      <c r="J2396" s="215" t="str">
        <f>IF(Table2[[#This Row],[Description]]="","",Table2[[#This Row],[Value]]/Table2[[#This Row],[Conversion]])</f>
        <v/>
      </c>
      <c r="K2396" s="45" t="str">
        <f>IF(Table2[[#This Row],[Description]]="","",DATE(Table2[[#This Row],[Year]],Table2[[#This Row],[Month]],1))</f>
        <v/>
      </c>
    </row>
    <row r="2397" spans="7:11" x14ac:dyDescent="0.25">
      <c r="G2397" s="1" t="str">
        <f>IF(Table2[[#This Row],[Description]]="","",VLOOKUP(Table2[[#This Row],[Description]],$Q$1:$S$101,2,FALSE))</f>
        <v/>
      </c>
      <c r="H2397" s="1" t="str">
        <f>IF(Table2[[#This Row],[Description]]="","",VLOOKUP(Table2[[#This Row],[Description]],$Q$1:$S$101,3,FALSE))</f>
        <v/>
      </c>
      <c r="I2397" s="1" t="str">
        <f>IF(Table2[[#This Row],[Description]]="","",IF(Table2[[#This Row],[Currency]]=$O$2,$P$2,HLOOKUP(Table2[[#This Row],[Date]],Funds!$C$10:$GV$11,2,FALSE)))</f>
        <v/>
      </c>
      <c r="J2397" s="215" t="str">
        <f>IF(Table2[[#This Row],[Description]]="","",Table2[[#This Row],[Value]]/Table2[[#This Row],[Conversion]])</f>
        <v/>
      </c>
      <c r="K2397" s="45" t="str">
        <f>IF(Table2[[#This Row],[Description]]="","",DATE(Table2[[#This Row],[Year]],Table2[[#This Row],[Month]],1))</f>
        <v/>
      </c>
    </row>
    <row r="2398" spans="7:11" x14ac:dyDescent="0.25">
      <c r="G2398" s="1" t="str">
        <f>IF(Table2[[#This Row],[Description]]="","",VLOOKUP(Table2[[#This Row],[Description]],$Q$1:$S$101,2,FALSE))</f>
        <v/>
      </c>
      <c r="H2398" s="1" t="str">
        <f>IF(Table2[[#This Row],[Description]]="","",VLOOKUP(Table2[[#This Row],[Description]],$Q$1:$S$101,3,FALSE))</f>
        <v/>
      </c>
      <c r="I2398" s="1" t="str">
        <f>IF(Table2[[#This Row],[Description]]="","",IF(Table2[[#This Row],[Currency]]=$O$2,$P$2,HLOOKUP(Table2[[#This Row],[Date]],Funds!$C$10:$GV$11,2,FALSE)))</f>
        <v/>
      </c>
      <c r="J2398" s="215" t="str">
        <f>IF(Table2[[#This Row],[Description]]="","",Table2[[#This Row],[Value]]/Table2[[#This Row],[Conversion]])</f>
        <v/>
      </c>
      <c r="K2398" s="45" t="str">
        <f>IF(Table2[[#This Row],[Description]]="","",DATE(Table2[[#This Row],[Year]],Table2[[#This Row],[Month]],1))</f>
        <v/>
      </c>
    </row>
    <row r="2399" spans="7:11" x14ac:dyDescent="0.25">
      <c r="G2399" s="1" t="str">
        <f>IF(Table2[[#This Row],[Description]]="","",VLOOKUP(Table2[[#This Row],[Description]],$Q$1:$S$101,2,FALSE))</f>
        <v/>
      </c>
      <c r="H2399" s="1" t="str">
        <f>IF(Table2[[#This Row],[Description]]="","",VLOOKUP(Table2[[#This Row],[Description]],$Q$1:$S$101,3,FALSE))</f>
        <v/>
      </c>
      <c r="I2399" s="1" t="str">
        <f>IF(Table2[[#This Row],[Description]]="","",IF(Table2[[#This Row],[Currency]]=$O$2,$P$2,HLOOKUP(Table2[[#This Row],[Date]],Funds!$C$10:$GV$11,2,FALSE)))</f>
        <v/>
      </c>
      <c r="J2399" s="215" t="str">
        <f>IF(Table2[[#This Row],[Description]]="","",Table2[[#This Row],[Value]]/Table2[[#This Row],[Conversion]])</f>
        <v/>
      </c>
      <c r="K2399" s="45" t="str">
        <f>IF(Table2[[#This Row],[Description]]="","",DATE(Table2[[#This Row],[Year]],Table2[[#This Row],[Month]],1))</f>
        <v/>
      </c>
    </row>
    <row r="2400" spans="7:11" x14ac:dyDescent="0.25">
      <c r="G2400" s="1" t="str">
        <f>IF(Table2[[#This Row],[Description]]="","",VLOOKUP(Table2[[#This Row],[Description]],$Q$1:$S$101,2,FALSE))</f>
        <v/>
      </c>
      <c r="H2400" s="1" t="str">
        <f>IF(Table2[[#This Row],[Description]]="","",VLOOKUP(Table2[[#This Row],[Description]],$Q$1:$S$101,3,FALSE))</f>
        <v/>
      </c>
      <c r="I2400" s="1" t="str">
        <f>IF(Table2[[#This Row],[Description]]="","",IF(Table2[[#This Row],[Currency]]=$O$2,$P$2,HLOOKUP(Table2[[#This Row],[Date]],Funds!$C$10:$GV$11,2,FALSE)))</f>
        <v/>
      </c>
      <c r="J2400" s="215" t="str">
        <f>IF(Table2[[#This Row],[Description]]="","",Table2[[#This Row],[Value]]/Table2[[#This Row],[Conversion]])</f>
        <v/>
      </c>
      <c r="K2400" s="45" t="str">
        <f>IF(Table2[[#This Row],[Description]]="","",DATE(Table2[[#This Row],[Year]],Table2[[#This Row],[Month]],1))</f>
        <v/>
      </c>
    </row>
    <row r="2401" spans="7:11" x14ac:dyDescent="0.25">
      <c r="G2401" s="1" t="str">
        <f>IF(Table2[[#This Row],[Description]]="","",VLOOKUP(Table2[[#This Row],[Description]],$Q$1:$S$101,2,FALSE))</f>
        <v/>
      </c>
      <c r="H2401" s="1" t="str">
        <f>IF(Table2[[#This Row],[Description]]="","",VLOOKUP(Table2[[#This Row],[Description]],$Q$1:$S$101,3,FALSE))</f>
        <v/>
      </c>
      <c r="I2401" s="1" t="str">
        <f>IF(Table2[[#This Row],[Description]]="","",IF(Table2[[#This Row],[Currency]]=$O$2,$P$2,HLOOKUP(Table2[[#This Row],[Date]],Funds!$C$10:$GV$11,2,FALSE)))</f>
        <v/>
      </c>
      <c r="J2401" s="215" t="str">
        <f>IF(Table2[[#This Row],[Description]]="","",Table2[[#This Row],[Value]]/Table2[[#This Row],[Conversion]])</f>
        <v/>
      </c>
      <c r="K2401" s="45" t="str">
        <f>IF(Table2[[#This Row],[Description]]="","",DATE(Table2[[#This Row],[Year]],Table2[[#This Row],[Month]],1))</f>
        <v/>
      </c>
    </row>
    <row r="2402" spans="7:11" x14ac:dyDescent="0.25">
      <c r="G2402" s="1" t="str">
        <f>IF(Table2[[#This Row],[Description]]="","",VLOOKUP(Table2[[#This Row],[Description]],$Q$1:$S$101,2,FALSE))</f>
        <v/>
      </c>
      <c r="H2402" s="1" t="str">
        <f>IF(Table2[[#This Row],[Description]]="","",VLOOKUP(Table2[[#This Row],[Description]],$Q$1:$S$101,3,FALSE))</f>
        <v/>
      </c>
      <c r="I2402" s="1" t="str">
        <f>IF(Table2[[#This Row],[Description]]="","",IF(Table2[[#This Row],[Currency]]=$O$2,$P$2,HLOOKUP(Table2[[#This Row],[Date]],Funds!$C$10:$GV$11,2,FALSE)))</f>
        <v/>
      </c>
      <c r="J2402" s="215" t="str">
        <f>IF(Table2[[#This Row],[Description]]="","",Table2[[#This Row],[Value]]/Table2[[#This Row],[Conversion]])</f>
        <v/>
      </c>
      <c r="K2402" s="45" t="str">
        <f>IF(Table2[[#This Row],[Description]]="","",DATE(Table2[[#This Row],[Year]],Table2[[#This Row],[Month]],1))</f>
        <v/>
      </c>
    </row>
    <row r="2403" spans="7:11" x14ac:dyDescent="0.25">
      <c r="G2403" s="1" t="str">
        <f>IF(Table2[[#This Row],[Description]]="","",VLOOKUP(Table2[[#This Row],[Description]],$Q$1:$S$101,2,FALSE))</f>
        <v/>
      </c>
      <c r="H2403" s="1" t="str">
        <f>IF(Table2[[#This Row],[Description]]="","",VLOOKUP(Table2[[#This Row],[Description]],$Q$1:$S$101,3,FALSE))</f>
        <v/>
      </c>
      <c r="I2403" s="1" t="str">
        <f>IF(Table2[[#This Row],[Description]]="","",IF(Table2[[#This Row],[Currency]]=$O$2,$P$2,HLOOKUP(Table2[[#This Row],[Date]],Funds!$C$10:$GV$11,2,FALSE)))</f>
        <v/>
      </c>
      <c r="J2403" s="215" t="str">
        <f>IF(Table2[[#This Row],[Description]]="","",Table2[[#This Row],[Value]]/Table2[[#This Row],[Conversion]])</f>
        <v/>
      </c>
      <c r="K2403" s="45" t="str">
        <f>IF(Table2[[#This Row],[Description]]="","",DATE(Table2[[#This Row],[Year]],Table2[[#This Row],[Month]],1))</f>
        <v/>
      </c>
    </row>
    <row r="2404" spans="7:11" x14ac:dyDescent="0.25">
      <c r="G2404" s="1" t="str">
        <f>IF(Table2[[#This Row],[Description]]="","",VLOOKUP(Table2[[#This Row],[Description]],$Q$1:$S$101,2,FALSE))</f>
        <v/>
      </c>
      <c r="H2404" s="1" t="str">
        <f>IF(Table2[[#This Row],[Description]]="","",VLOOKUP(Table2[[#This Row],[Description]],$Q$1:$S$101,3,FALSE))</f>
        <v/>
      </c>
      <c r="I2404" s="1" t="str">
        <f>IF(Table2[[#This Row],[Description]]="","",IF(Table2[[#This Row],[Currency]]=$O$2,$P$2,HLOOKUP(Table2[[#This Row],[Date]],Funds!$C$10:$GV$11,2,FALSE)))</f>
        <v/>
      </c>
      <c r="J2404" s="215" t="str">
        <f>IF(Table2[[#This Row],[Description]]="","",Table2[[#This Row],[Value]]/Table2[[#This Row],[Conversion]])</f>
        <v/>
      </c>
      <c r="K2404" s="45" t="str">
        <f>IF(Table2[[#This Row],[Description]]="","",DATE(Table2[[#This Row],[Year]],Table2[[#This Row],[Month]],1))</f>
        <v/>
      </c>
    </row>
    <row r="2405" spans="7:11" x14ac:dyDescent="0.25">
      <c r="G2405" s="1" t="str">
        <f>IF(Table2[[#This Row],[Description]]="","",VLOOKUP(Table2[[#This Row],[Description]],$Q$1:$S$101,2,FALSE))</f>
        <v/>
      </c>
      <c r="H2405" s="1" t="str">
        <f>IF(Table2[[#This Row],[Description]]="","",VLOOKUP(Table2[[#This Row],[Description]],$Q$1:$S$101,3,FALSE))</f>
        <v/>
      </c>
      <c r="I2405" s="1" t="str">
        <f>IF(Table2[[#This Row],[Description]]="","",IF(Table2[[#This Row],[Currency]]=$O$2,$P$2,HLOOKUP(Table2[[#This Row],[Date]],Funds!$C$10:$GV$11,2,FALSE)))</f>
        <v/>
      </c>
      <c r="J2405" s="215" t="str">
        <f>IF(Table2[[#This Row],[Description]]="","",Table2[[#This Row],[Value]]/Table2[[#This Row],[Conversion]])</f>
        <v/>
      </c>
      <c r="K2405" s="45" t="str">
        <f>IF(Table2[[#This Row],[Description]]="","",DATE(Table2[[#This Row],[Year]],Table2[[#This Row],[Month]],1))</f>
        <v/>
      </c>
    </row>
    <row r="2406" spans="7:11" x14ac:dyDescent="0.25">
      <c r="G2406" s="1" t="str">
        <f>IF(Table2[[#This Row],[Description]]="","",VLOOKUP(Table2[[#This Row],[Description]],$Q$1:$S$101,2,FALSE))</f>
        <v/>
      </c>
      <c r="H2406" s="1" t="str">
        <f>IF(Table2[[#This Row],[Description]]="","",VLOOKUP(Table2[[#This Row],[Description]],$Q$1:$S$101,3,FALSE))</f>
        <v/>
      </c>
      <c r="I2406" s="1" t="str">
        <f>IF(Table2[[#This Row],[Description]]="","",IF(Table2[[#This Row],[Currency]]=$O$2,$P$2,HLOOKUP(Table2[[#This Row],[Date]],Funds!$C$10:$GV$11,2,FALSE)))</f>
        <v/>
      </c>
      <c r="J2406" s="215" t="str">
        <f>IF(Table2[[#This Row],[Description]]="","",Table2[[#This Row],[Value]]/Table2[[#This Row],[Conversion]])</f>
        <v/>
      </c>
      <c r="K2406" s="45" t="str">
        <f>IF(Table2[[#This Row],[Description]]="","",DATE(Table2[[#This Row],[Year]],Table2[[#This Row],[Month]],1))</f>
        <v/>
      </c>
    </row>
    <row r="2407" spans="7:11" x14ac:dyDescent="0.25">
      <c r="G2407" s="1" t="str">
        <f>IF(Table2[[#This Row],[Description]]="","",VLOOKUP(Table2[[#This Row],[Description]],$Q$1:$S$101,2,FALSE))</f>
        <v/>
      </c>
      <c r="H2407" s="1" t="str">
        <f>IF(Table2[[#This Row],[Description]]="","",VLOOKUP(Table2[[#This Row],[Description]],$Q$1:$S$101,3,FALSE))</f>
        <v/>
      </c>
      <c r="I2407" s="1" t="str">
        <f>IF(Table2[[#This Row],[Description]]="","",IF(Table2[[#This Row],[Currency]]=$O$2,$P$2,HLOOKUP(Table2[[#This Row],[Date]],Funds!$C$10:$GV$11,2,FALSE)))</f>
        <v/>
      </c>
      <c r="J2407" s="215" t="str">
        <f>IF(Table2[[#This Row],[Description]]="","",Table2[[#This Row],[Value]]/Table2[[#This Row],[Conversion]])</f>
        <v/>
      </c>
      <c r="K2407" s="45" t="str">
        <f>IF(Table2[[#This Row],[Description]]="","",DATE(Table2[[#This Row],[Year]],Table2[[#This Row],[Month]],1))</f>
        <v/>
      </c>
    </row>
    <row r="2408" spans="7:11" x14ac:dyDescent="0.25">
      <c r="G2408" s="1" t="str">
        <f>IF(Table2[[#This Row],[Description]]="","",VLOOKUP(Table2[[#This Row],[Description]],$Q$1:$S$101,2,FALSE))</f>
        <v/>
      </c>
      <c r="H2408" s="1" t="str">
        <f>IF(Table2[[#This Row],[Description]]="","",VLOOKUP(Table2[[#This Row],[Description]],$Q$1:$S$101,3,FALSE))</f>
        <v/>
      </c>
      <c r="I2408" s="1" t="str">
        <f>IF(Table2[[#This Row],[Description]]="","",IF(Table2[[#This Row],[Currency]]=$O$2,$P$2,HLOOKUP(Table2[[#This Row],[Date]],Funds!$C$10:$GV$11,2,FALSE)))</f>
        <v/>
      </c>
      <c r="J2408" s="215" t="str">
        <f>IF(Table2[[#This Row],[Description]]="","",Table2[[#This Row],[Value]]/Table2[[#This Row],[Conversion]])</f>
        <v/>
      </c>
      <c r="K2408" s="45" t="str">
        <f>IF(Table2[[#This Row],[Description]]="","",DATE(Table2[[#This Row],[Year]],Table2[[#This Row],[Month]],1))</f>
        <v/>
      </c>
    </row>
    <row r="2409" spans="7:11" x14ac:dyDescent="0.25">
      <c r="G2409" s="1" t="str">
        <f>IF(Table2[[#This Row],[Description]]="","",VLOOKUP(Table2[[#This Row],[Description]],$Q$1:$S$101,2,FALSE))</f>
        <v/>
      </c>
      <c r="H2409" s="1" t="str">
        <f>IF(Table2[[#This Row],[Description]]="","",VLOOKUP(Table2[[#This Row],[Description]],$Q$1:$S$101,3,FALSE))</f>
        <v/>
      </c>
      <c r="I2409" s="1" t="str">
        <f>IF(Table2[[#This Row],[Description]]="","",IF(Table2[[#This Row],[Currency]]=$O$2,$P$2,HLOOKUP(Table2[[#This Row],[Date]],Funds!$C$10:$GV$11,2,FALSE)))</f>
        <v/>
      </c>
      <c r="J2409" s="215" t="str">
        <f>IF(Table2[[#This Row],[Description]]="","",Table2[[#This Row],[Value]]/Table2[[#This Row],[Conversion]])</f>
        <v/>
      </c>
      <c r="K2409" s="45" t="str">
        <f>IF(Table2[[#This Row],[Description]]="","",DATE(Table2[[#This Row],[Year]],Table2[[#This Row],[Month]],1))</f>
        <v/>
      </c>
    </row>
    <row r="2410" spans="7:11" x14ac:dyDescent="0.25">
      <c r="G2410" s="1" t="str">
        <f>IF(Table2[[#This Row],[Description]]="","",VLOOKUP(Table2[[#This Row],[Description]],$Q$1:$S$101,2,FALSE))</f>
        <v/>
      </c>
      <c r="H2410" s="1" t="str">
        <f>IF(Table2[[#This Row],[Description]]="","",VLOOKUP(Table2[[#This Row],[Description]],$Q$1:$S$101,3,FALSE))</f>
        <v/>
      </c>
      <c r="I2410" s="1" t="str">
        <f>IF(Table2[[#This Row],[Description]]="","",IF(Table2[[#This Row],[Currency]]=$O$2,$P$2,HLOOKUP(Table2[[#This Row],[Date]],Funds!$C$10:$GV$11,2,FALSE)))</f>
        <v/>
      </c>
      <c r="J2410" s="215" t="str">
        <f>IF(Table2[[#This Row],[Description]]="","",Table2[[#This Row],[Value]]/Table2[[#This Row],[Conversion]])</f>
        <v/>
      </c>
      <c r="K2410" s="45" t="str">
        <f>IF(Table2[[#This Row],[Description]]="","",DATE(Table2[[#This Row],[Year]],Table2[[#This Row],[Month]],1))</f>
        <v/>
      </c>
    </row>
    <row r="2411" spans="7:11" x14ac:dyDescent="0.25">
      <c r="G2411" s="1" t="str">
        <f>IF(Table2[[#This Row],[Description]]="","",VLOOKUP(Table2[[#This Row],[Description]],$Q$1:$S$101,2,FALSE))</f>
        <v/>
      </c>
      <c r="H2411" s="1" t="str">
        <f>IF(Table2[[#This Row],[Description]]="","",VLOOKUP(Table2[[#This Row],[Description]],$Q$1:$S$101,3,FALSE))</f>
        <v/>
      </c>
      <c r="I2411" s="1" t="str">
        <f>IF(Table2[[#This Row],[Description]]="","",IF(Table2[[#This Row],[Currency]]=$O$2,$P$2,HLOOKUP(Table2[[#This Row],[Date]],Funds!$C$10:$GV$11,2,FALSE)))</f>
        <v/>
      </c>
      <c r="J2411" s="215" t="str">
        <f>IF(Table2[[#This Row],[Description]]="","",Table2[[#This Row],[Value]]/Table2[[#This Row],[Conversion]])</f>
        <v/>
      </c>
      <c r="K2411" s="45" t="str">
        <f>IF(Table2[[#This Row],[Description]]="","",DATE(Table2[[#This Row],[Year]],Table2[[#This Row],[Month]],1))</f>
        <v/>
      </c>
    </row>
    <row r="2412" spans="7:11" x14ac:dyDescent="0.25">
      <c r="G2412" s="1" t="str">
        <f>IF(Table2[[#This Row],[Description]]="","",VLOOKUP(Table2[[#This Row],[Description]],$Q$1:$S$101,2,FALSE))</f>
        <v/>
      </c>
      <c r="H2412" s="1" t="str">
        <f>IF(Table2[[#This Row],[Description]]="","",VLOOKUP(Table2[[#This Row],[Description]],$Q$1:$S$101,3,FALSE))</f>
        <v/>
      </c>
      <c r="I2412" s="1" t="str">
        <f>IF(Table2[[#This Row],[Description]]="","",IF(Table2[[#This Row],[Currency]]=$O$2,$P$2,HLOOKUP(Table2[[#This Row],[Date]],Funds!$C$10:$GV$11,2,FALSE)))</f>
        <v/>
      </c>
      <c r="J2412" s="215" t="str">
        <f>IF(Table2[[#This Row],[Description]]="","",Table2[[#This Row],[Value]]/Table2[[#This Row],[Conversion]])</f>
        <v/>
      </c>
      <c r="K2412" s="45" t="str">
        <f>IF(Table2[[#This Row],[Description]]="","",DATE(Table2[[#This Row],[Year]],Table2[[#This Row],[Month]],1))</f>
        <v/>
      </c>
    </row>
    <row r="2413" spans="7:11" x14ac:dyDescent="0.25">
      <c r="G2413" s="1" t="str">
        <f>IF(Table2[[#This Row],[Description]]="","",VLOOKUP(Table2[[#This Row],[Description]],$Q$1:$S$101,2,FALSE))</f>
        <v/>
      </c>
      <c r="H2413" s="1" t="str">
        <f>IF(Table2[[#This Row],[Description]]="","",VLOOKUP(Table2[[#This Row],[Description]],$Q$1:$S$101,3,FALSE))</f>
        <v/>
      </c>
      <c r="I2413" s="1" t="str">
        <f>IF(Table2[[#This Row],[Description]]="","",IF(Table2[[#This Row],[Currency]]=$O$2,$P$2,HLOOKUP(Table2[[#This Row],[Date]],Funds!$C$10:$GV$11,2,FALSE)))</f>
        <v/>
      </c>
      <c r="J2413" s="215" t="str">
        <f>IF(Table2[[#This Row],[Description]]="","",Table2[[#This Row],[Value]]/Table2[[#This Row],[Conversion]])</f>
        <v/>
      </c>
      <c r="K2413" s="45" t="str">
        <f>IF(Table2[[#This Row],[Description]]="","",DATE(Table2[[#This Row],[Year]],Table2[[#This Row],[Month]],1))</f>
        <v/>
      </c>
    </row>
    <row r="2414" spans="7:11" x14ac:dyDescent="0.25">
      <c r="G2414" s="1" t="str">
        <f>IF(Table2[[#This Row],[Description]]="","",VLOOKUP(Table2[[#This Row],[Description]],$Q$1:$S$101,2,FALSE))</f>
        <v/>
      </c>
      <c r="H2414" s="1" t="str">
        <f>IF(Table2[[#This Row],[Description]]="","",VLOOKUP(Table2[[#This Row],[Description]],$Q$1:$S$101,3,FALSE))</f>
        <v/>
      </c>
      <c r="I2414" s="1" t="str">
        <f>IF(Table2[[#This Row],[Description]]="","",IF(Table2[[#This Row],[Currency]]=$O$2,$P$2,HLOOKUP(Table2[[#This Row],[Date]],Funds!$C$10:$GV$11,2,FALSE)))</f>
        <v/>
      </c>
      <c r="J2414" s="215" t="str">
        <f>IF(Table2[[#This Row],[Description]]="","",Table2[[#This Row],[Value]]/Table2[[#This Row],[Conversion]])</f>
        <v/>
      </c>
      <c r="K2414" s="45" t="str">
        <f>IF(Table2[[#This Row],[Description]]="","",DATE(Table2[[#This Row],[Year]],Table2[[#This Row],[Month]],1))</f>
        <v/>
      </c>
    </row>
    <row r="2415" spans="7:11" x14ac:dyDescent="0.25">
      <c r="G2415" s="1" t="str">
        <f>IF(Table2[[#This Row],[Description]]="","",VLOOKUP(Table2[[#This Row],[Description]],$Q$1:$S$101,2,FALSE))</f>
        <v/>
      </c>
      <c r="H2415" s="1" t="str">
        <f>IF(Table2[[#This Row],[Description]]="","",VLOOKUP(Table2[[#This Row],[Description]],$Q$1:$S$101,3,FALSE))</f>
        <v/>
      </c>
      <c r="I2415" s="1" t="str">
        <f>IF(Table2[[#This Row],[Description]]="","",IF(Table2[[#This Row],[Currency]]=$O$2,$P$2,HLOOKUP(Table2[[#This Row],[Date]],Funds!$C$10:$GV$11,2,FALSE)))</f>
        <v/>
      </c>
      <c r="J2415" s="215" t="str">
        <f>IF(Table2[[#This Row],[Description]]="","",Table2[[#This Row],[Value]]/Table2[[#This Row],[Conversion]])</f>
        <v/>
      </c>
      <c r="K2415" s="45" t="str">
        <f>IF(Table2[[#This Row],[Description]]="","",DATE(Table2[[#This Row],[Year]],Table2[[#This Row],[Month]],1))</f>
        <v/>
      </c>
    </row>
    <row r="2416" spans="7:11" x14ac:dyDescent="0.25">
      <c r="G2416" s="1" t="str">
        <f>IF(Table2[[#This Row],[Description]]="","",VLOOKUP(Table2[[#This Row],[Description]],$Q$1:$S$101,2,FALSE))</f>
        <v/>
      </c>
      <c r="H2416" s="1" t="str">
        <f>IF(Table2[[#This Row],[Description]]="","",VLOOKUP(Table2[[#This Row],[Description]],$Q$1:$S$101,3,FALSE))</f>
        <v/>
      </c>
      <c r="I2416" s="1" t="str">
        <f>IF(Table2[[#This Row],[Description]]="","",IF(Table2[[#This Row],[Currency]]=$O$2,$P$2,HLOOKUP(Table2[[#This Row],[Date]],Funds!$C$10:$GV$11,2,FALSE)))</f>
        <v/>
      </c>
      <c r="J2416" s="215" t="str">
        <f>IF(Table2[[#This Row],[Description]]="","",Table2[[#This Row],[Value]]/Table2[[#This Row],[Conversion]])</f>
        <v/>
      </c>
      <c r="K2416" s="45" t="str">
        <f>IF(Table2[[#This Row],[Description]]="","",DATE(Table2[[#This Row],[Year]],Table2[[#This Row],[Month]],1))</f>
        <v/>
      </c>
    </row>
    <row r="2417" spans="7:11" x14ac:dyDescent="0.25">
      <c r="G2417" s="1" t="str">
        <f>IF(Table2[[#This Row],[Description]]="","",VLOOKUP(Table2[[#This Row],[Description]],$Q$1:$S$101,2,FALSE))</f>
        <v/>
      </c>
      <c r="H2417" s="1" t="str">
        <f>IF(Table2[[#This Row],[Description]]="","",VLOOKUP(Table2[[#This Row],[Description]],$Q$1:$S$101,3,FALSE))</f>
        <v/>
      </c>
      <c r="I2417" s="1" t="str">
        <f>IF(Table2[[#This Row],[Description]]="","",IF(Table2[[#This Row],[Currency]]=$O$2,$P$2,HLOOKUP(Table2[[#This Row],[Date]],Funds!$C$10:$GV$11,2,FALSE)))</f>
        <v/>
      </c>
      <c r="J2417" s="215" t="str">
        <f>IF(Table2[[#This Row],[Description]]="","",Table2[[#This Row],[Value]]/Table2[[#This Row],[Conversion]])</f>
        <v/>
      </c>
      <c r="K2417" s="45" t="str">
        <f>IF(Table2[[#This Row],[Description]]="","",DATE(Table2[[#This Row],[Year]],Table2[[#This Row],[Month]],1))</f>
        <v/>
      </c>
    </row>
    <row r="2418" spans="7:11" x14ac:dyDescent="0.25">
      <c r="G2418" s="1" t="str">
        <f>IF(Table2[[#This Row],[Description]]="","",VLOOKUP(Table2[[#This Row],[Description]],$Q$1:$S$101,2,FALSE))</f>
        <v/>
      </c>
      <c r="H2418" s="1" t="str">
        <f>IF(Table2[[#This Row],[Description]]="","",VLOOKUP(Table2[[#This Row],[Description]],$Q$1:$S$101,3,FALSE))</f>
        <v/>
      </c>
      <c r="I2418" s="1" t="str">
        <f>IF(Table2[[#This Row],[Description]]="","",IF(Table2[[#This Row],[Currency]]=$O$2,$P$2,HLOOKUP(Table2[[#This Row],[Date]],Funds!$C$10:$GV$11,2,FALSE)))</f>
        <v/>
      </c>
      <c r="J2418" s="215" t="str">
        <f>IF(Table2[[#This Row],[Description]]="","",Table2[[#This Row],[Value]]/Table2[[#This Row],[Conversion]])</f>
        <v/>
      </c>
      <c r="K2418" s="45" t="str">
        <f>IF(Table2[[#This Row],[Description]]="","",DATE(Table2[[#This Row],[Year]],Table2[[#This Row],[Month]],1))</f>
        <v/>
      </c>
    </row>
    <row r="2419" spans="7:11" x14ac:dyDescent="0.25">
      <c r="G2419" s="1" t="str">
        <f>IF(Table2[[#This Row],[Description]]="","",VLOOKUP(Table2[[#This Row],[Description]],$Q$1:$S$101,2,FALSE))</f>
        <v/>
      </c>
      <c r="H2419" s="1" t="str">
        <f>IF(Table2[[#This Row],[Description]]="","",VLOOKUP(Table2[[#This Row],[Description]],$Q$1:$S$101,3,FALSE))</f>
        <v/>
      </c>
      <c r="I2419" s="1" t="str">
        <f>IF(Table2[[#This Row],[Description]]="","",IF(Table2[[#This Row],[Currency]]=$O$2,$P$2,HLOOKUP(Table2[[#This Row],[Date]],Funds!$C$10:$GV$11,2,FALSE)))</f>
        <v/>
      </c>
      <c r="J2419" s="215" t="str">
        <f>IF(Table2[[#This Row],[Description]]="","",Table2[[#This Row],[Value]]/Table2[[#This Row],[Conversion]])</f>
        <v/>
      </c>
      <c r="K2419" s="45" t="str">
        <f>IF(Table2[[#This Row],[Description]]="","",DATE(Table2[[#This Row],[Year]],Table2[[#This Row],[Month]],1))</f>
        <v/>
      </c>
    </row>
    <row r="2420" spans="7:11" x14ac:dyDescent="0.25">
      <c r="G2420" s="1" t="str">
        <f>IF(Table2[[#This Row],[Description]]="","",VLOOKUP(Table2[[#This Row],[Description]],$Q$1:$S$101,2,FALSE))</f>
        <v/>
      </c>
      <c r="H2420" s="1" t="str">
        <f>IF(Table2[[#This Row],[Description]]="","",VLOOKUP(Table2[[#This Row],[Description]],$Q$1:$S$101,3,FALSE))</f>
        <v/>
      </c>
      <c r="I2420" s="1" t="str">
        <f>IF(Table2[[#This Row],[Description]]="","",IF(Table2[[#This Row],[Currency]]=$O$2,$P$2,HLOOKUP(Table2[[#This Row],[Date]],Funds!$C$10:$GV$11,2,FALSE)))</f>
        <v/>
      </c>
      <c r="J2420" s="215" t="str">
        <f>IF(Table2[[#This Row],[Description]]="","",Table2[[#This Row],[Value]]/Table2[[#This Row],[Conversion]])</f>
        <v/>
      </c>
      <c r="K2420" s="45" t="str">
        <f>IF(Table2[[#This Row],[Description]]="","",DATE(Table2[[#This Row],[Year]],Table2[[#This Row],[Month]],1))</f>
        <v/>
      </c>
    </row>
    <row r="2421" spans="7:11" x14ac:dyDescent="0.25">
      <c r="G2421" s="1" t="str">
        <f>IF(Table2[[#This Row],[Description]]="","",VLOOKUP(Table2[[#This Row],[Description]],$Q$1:$S$101,2,FALSE))</f>
        <v/>
      </c>
      <c r="H2421" s="1" t="str">
        <f>IF(Table2[[#This Row],[Description]]="","",VLOOKUP(Table2[[#This Row],[Description]],$Q$1:$S$101,3,FALSE))</f>
        <v/>
      </c>
      <c r="I2421" s="1" t="str">
        <f>IF(Table2[[#This Row],[Description]]="","",IF(Table2[[#This Row],[Currency]]=$O$2,$P$2,HLOOKUP(Table2[[#This Row],[Date]],Funds!$C$10:$GV$11,2,FALSE)))</f>
        <v/>
      </c>
      <c r="J2421" s="215" t="str">
        <f>IF(Table2[[#This Row],[Description]]="","",Table2[[#This Row],[Value]]/Table2[[#This Row],[Conversion]])</f>
        <v/>
      </c>
      <c r="K2421" s="45" t="str">
        <f>IF(Table2[[#This Row],[Description]]="","",DATE(Table2[[#This Row],[Year]],Table2[[#This Row],[Month]],1))</f>
        <v/>
      </c>
    </row>
    <row r="2422" spans="7:11" x14ac:dyDescent="0.25">
      <c r="G2422" s="1" t="str">
        <f>IF(Table2[[#This Row],[Description]]="","",VLOOKUP(Table2[[#This Row],[Description]],$Q$1:$S$101,2,FALSE))</f>
        <v/>
      </c>
      <c r="H2422" s="1" t="str">
        <f>IF(Table2[[#This Row],[Description]]="","",VLOOKUP(Table2[[#This Row],[Description]],$Q$1:$S$101,3,FALSE))</f>
        <v/>
      </c>
      <c r="I2422" s="1" t="str">
        <f>IF(Table2[[#This Row],[Description]]="","",IF(Table2[[#This Row],[Currency]]=$O$2,$P$2,HLOOKUP(Table2[[#This Row],[Date]],Funds!$C$10:$GV$11,2,FALSE)))</f>
        <v/>
      </c>
      <c r="J2422" s="215" t="str">
        <f>IF(Table2[[#This Row],[Description]]="","",Table2[[#This Row],[Value]]/Table2[[#This Row],[Conversion]])</f>
        <v/>
      </c>
      <c r="K2422" s="45" t="str">
        <f>IF(Table2[[#This Row],[Description]]="","",DATE(Table2[[#This Row],[Year]],Table2[[#This Row],[Month]],1))</f>
        <v/>
      </c>
    </row>
    <row r="2423" spans="7:11" x14ac:dyDescent="0.25">
      <c r="G2423" s="1" t="str">
        <f>IF(Table2[[#This Row],[Description]]="","",VLOOKUP(Table2[[#This Row],[Description]],$Q$1:$S$101,2,FALSE))</f>
        <v/>
      </c>
      <c r="H2423" s="1" t="str">
        <f>IF(Table2[[#This Row],[Description]]="","",VLOOKUP(Table2[[#This Row],[Description]],$Q$1:$S$101,3,FALSE))</f>
        <v/>
      </c>
      <c r="I2423" s="1" t="str">
        <f>IF(Table2[[#This Row],[Description]]="","",IF(Table2[[#This Row],[Currency]]=$O$2,$P$2,HLOOKUP(Table2[[#This Row],[Date]],Funds!$C$10:$GV$11,2,FALSE)))</f>
        <v/>
      </c>
      <c r="J2423" s="215" t="str">
        <f>IF(Table2[[#This Row],[Description]]="","",Table2[[#This Row],[Value]]/Table2[[#This Row],[Conversion]])</f>
        <v/>
      </c>
      <c r="K2423" s="45" t="str">
        <f>IF(Table2[[#This Row],[Description]]="","",DATE(Table2[[#This Row],[Year]],Table2[[#This Row],[Month]],1))</f>
        <v/>
      </c>
    </row>
    <row r="2424" spans="7:11" x14ac:dyDescent="0.25">
      <c r="G2424" s="1" t="str">
        <f>IF(Table2[[#This Row],[Description]]="","",VLOOKUP(Table2[[#This Row],[Description]],$Q$1:$S$101,2,FALSE))</f>
        <v/>
      </c>
      <c r="H2424" s="1" t="str">
        <f>IF(Table2[[#This Row],[Description]]="","",VLOOKUP(Table2[[#This Row],[Description]],$Q$1:$S$101,3,FALSE))</f>
        <v/>
      </c>
      <c r="I2424" s="1" t="str">
        <f>IF(Table2[[#This Row],[Description]]="","",IF(Table2[[#This Row],[Currency]]=$O$2,$P$2,HLOOKUP(Table2[[#This Row],[Date]],Funds!$C$10:$GV$11,2,FALSE)))</f>
        <v/>
      </c>
      <c r="J2424" s="215" t="str">
        <f>IF(Table2[[#This Row],[Description]]="","",Table2[[#This Row],[Value]]/Table2[[#This Row],[Conversion]])</f>
        <v/>
      </c>
      <c r="K2424" s="45" t="str">
        <f>IF(Table2[[#This Row],[Description]]="","",DATE(Table2[[#This Row],[Year]],Table2[[#This Row],[Month]],1))</f>
        <v/>
      </c>
    </row>
    <row r="2425" spans="7:11" x14ac:dyDescent="0.25">
      <c r="G2425" s="1" t="str">
        <f>IF(Table2[[#This Row],[Description]]="","",VLOOKUP(Table2[[#This Row],[Description]],$Q$1:$S$101,2,FALSE))</f>
        <v/>
      </c>
      <c r="H2425" s="1" t="str">
        <f>IF(Table2[[#This Row],[Description]]="","",VLOOKUP(Table2[[#This Row],[Description]],$Q$1:$S$101,3,FALSE))</f>
        <v/>
      </c>
      <c r="I2425" s="1" t="str">
        <f>IF(Table2[[#This Row],[Description]]="","",IF(Table2[[#This Row],[Currency]]=$O$2,$P$2,HLOOKUP(Table2[[#This Row],[Date]],Funds!$C$10:$GV$11,2,FALSE)))</f>
        <v/>
      </c>
      <c r="J2425" s="215" t="str">
        <f>IF(Table2[[#This Row],[Description]]="","",Table2[[#This Row],[Value]]/Table2[[#This Row],[Conversion]])</f>
        <v/>
      </c>
      <c r="K2425" s="45" t="str">
        <f>IF(Table2[[#This Row],[Description]]="","",DATE(Table2[[#This Row],[Year]],Table2[[#This Row],[Month]],1))</f>
        <v/>
      </c>
    </row>
    <row r="2426" spans="7:11" x14ac:dyDescent="0.25">
      <c r="G2426" s="1" t="str">
        <f>IF(Table2[[#This Row],[Description]]="","",VLOOKUP(Table2[[#This Row],[Description]],$Q$1:$S$101,2,FALSE))</f>
        <v/>
      </c>
      <c r="H2426" s="1" t="str">
        <f>IF(Table2[[#This Row],[Description]]="","",VLOOKUP(Table2[[#This Row],[Description]],$Q$1:$S$101,3,FALSE))</f>
        <v/>
      </c>
      <c r="I2426" s="1" t="str">
        <f>IF(Table2[[#This Row],[Description]]="","",IF(Table2[[#This Row],[Currency]]=$O$2,$P$2,HLOOKUP(Table2[[#This Row],[Date]],Funds!$C$10:$GV$11,2,FALSE)))</f>
        <v/>
      </c>
      <c r="J2426" s="215" t="str">
        <f>IF(Table2[[#This Row],[Description]]="","",Table2[[#This Row],[Value]]/Table2[[#This Row],[Conversion]])</f>
        <v/>
      </c>
      <c r="K2426" s="45" t="str">
        <f>IF(Table2[[#This Row],[Description]]="","",DATE(Table2[[#This Row],[Year]],Table2[[#This Row],[Month]],1))</f>
        <v/>
      </c>
    </row>
    <row r="2427" spans="7:11" x14ac:dyDescent="0.25">
      <c r="G2427" s="1" t="str">
        <f>IF(Table2[[#This Row],[Description]]="","",VLOOKUP(Table2[[#This Row],[Description]],$Q$1:$S$101,2,FALSE))</f>
        <v/>
      </c>
      <c r="H2427" s="1" t="str">
        <f>IF(Table2[[#This Row],[Description]]="","",VLOOKUP(Table2[[#This Row],[Description]],$Q$1:$S$101,3,FALSE))</f>
        <v/>
      </c>
      <c r="I2427" s="1" t="str">
        <f>IF(Table2[[#This Row],[Description]]="","",IF(Table2[[#This Row],[Currency]]=$O$2,$P$2,HLOOKUP(Table2[[#This Row],[Date]],Funds!$C$10:$GV$11,2,FALSE)))</f>
        <v/>
      </c>
      <c r="J2427" s="215" t="str">
        <f>IF(Table2[[#This Row],[Description]]="","",Table2[[#This Row],[Value]]/Table2[[#This Row],[Conversion]])</f>
        <v/>
      </c>
      <c r="K2427" s="45" t="str">
        <f>IF(Table2[[#This Row],[Description]]="","",DATE(Table2[[#This Row],[Year]],Table2[[#This Row],[Month]],1))</f>
        <v/>
      </c>
    </row>
    <row r="2428" spans="7:11" x14ac:dyDescent="0.25">
      <c r="G2428" s="1" t="str">
        <f>IF(Table2[[#This Row],[Description]]="","",VLOOKUP(Table2[[#This Row],[Description]],$Q$1:$S$101,2,FALSE))</f>
        <v/>
      </c>
      <c r="H2428" s="1" t="str">
        <f>IF(Table2[[#This Row],[Description]]="","",VLOOKUP(Table2[[#This Row],[Description]],$Q$1:$S$101,3,FALSE))</f>
        <v/>
      </c>
      <c r="I2428" s="1" t="str">
        <f>IF(Table2[[#This Row],[Description]]="","",IF(Table2[[#This Row],[Currency]]=$O$2,$P$2,HLOOKUP(Table2[[#This Row],[Date]],Funds!$C$10:$GV$11,2,FALSE)))</f>
        <v/>
      </c>
      <c r="J2428" s="215" t="str">
        <f>IF(Table2[[#This Row],[Description]]="","",Table2[[#This Row],[Value]]/Table2[[#This Row],[Conversion]])</f>
        <v/>
      </c>
      <c r="K2428" s="45" t="str">
        <f>IF(Table2[[#This Row],[Description]]="","",DATE(Table2[[#This Row],[Year]],Table2[[#This Row],[Month]],1))</f>
        <v/>
      </c>
    </row>
    <row r="2429" spans="7:11" x14ac:dyDescent="0.25">
      <c r="G2429" s="1" t="str">
        <f>IF(Table2[[#This Row],[Description]]="","",VLOOKUP(Table2[[#This Row],[Description]],$Q$1:$S$101,2,FALSE))</f>
        <v/>
      </c>
      <c r="H2429" s="1" t="str">
        <f>IF(Table2[[#This Row],[Description]]="","",VLOOKUP(Table2[[#This Row],[Description]],$Q$1:$S$101,3,FALSE))</f>
        <v/>
      </c>
      <c r="I2429" s="1" t="str">
        <f>IF(Table2[[#This Row],[Description]]="","",IF(Table2[[#This Row],[Currency]]=$O$2,$P$2,HLOOKUP(Table2[[#This Row],[Date]],Funds!$C$10:$GV$11,2,FALSE)))</f>
        <v/>
      </c>
      <c r="J2429" s="215" t="str">
        <f>IF(Table2[[#This Row],[Description]]="","",Table2[[#This Row],[Value]]/Table2[[#This Row],[Conversion]])</f>
        <v/>
      </c>
      <c r="K2429" s="45" t="str">
        <f>IF(Table2[[#This Row],[Description]]="","",DATE(Table2[[#This Row],[Year]],Table2[[#This Row],[Month]],1))</f>
        <v/>
      </c>
    </row>
    <row r="2430" spans="7:11" x14ac:dyDescent="0.25">
      <c r="G2430" s="1" t="str">
        <f>IF(Table2[[#This Row],[Description]]="","",VLOOKUP(Table2[[#This Row],[Description]],$Q$1:$S$101,2,FALSE))</f>
        <v/>
      </c>
      <c r="H2430" s="1" t="str">
        <f>IF(Table2[[#This Row],[Description]]="","",VLOOKUP(Table2[[#This Row],[Description]],$Q$1:$S$101,3,FALSE))</f>
        <v/>
      </c>
      <c r="I2430" s="1" t="str">
        <f>IF(Table2[[#This Row],[Description]]="","",IF(Table2[[#This Row],[Currency]]=$O$2,$P$2,HLOOKUP(Table2[[#This Row],[Date]],Funds!$C$10:$GV$11,2,FALSE)))</f>
        <v/>
      </c>
      <c r="J2430" s="215" t="str">
        <f>IF(Table2[[#This Row],[Description]]="","",Table2[[#This Row],[Value]]/Table2[[#This Row],[Conversion]])</f>
        <v/>
      </c>
      <c r="K2430" s="45" t="str">
        <f>IF(Table2[[#This Row],[Description]]="","",DATE(Table2[[#This Row],[Year]],Table2[[#This Row],[Month]],1))</f>
        <v/>
      </c>
    </row>
    <row r="2431" spans="7:11" x14ac:dyDescent="0.25">
      <c r="G2431" s="1" t="str">
        <f>IF(Table2[[#This Row],[Description]]="","",VLOOKUP(Table2[[#This Row],[Description]],$Q$1:$S$101,2,FALSE))</f>
        <v/>
      </c>
      <c r="H2431" s="1" t="str">
        <f>IF(Table2[[#This Row],[Description]]="","",VLOOKUP(Table2[[#This Row],[Description]],$Q$1:$S$101,3,FALSE))</f>
        <v/>
      </c>
      <c r="I2431" s="1" t="str">
        <f>IF(Table2[[#This Row],[Description]]="","",IF(Table2[[#This Row],[Currency]]=$O$2,$P$2,HLOOKUP(Table2[[#This Row],[Date]],Funds!$C$10:$GV$11,2,FALSE)))</f>
        <v/>
      </c>
      <c r="J2431" s="215" t="str">
        <f>IF(Table2[[#This Row],[Description]]="","",Table2[[#This Row],[Value]]/Table2[[#This Row],[Conversion]])</f>
        <v/>
      </c>
      <c r="K2431" s="45" t="str">
        <f>IF(Table2[[#This Row],[Description]]="","",DATE(Table2[[#This Row],[Year]],Table2[[#This Row],[Month]],1))</f>
        <v/>
      </c>
    </row>
    <row r="2432" spans="7:11" x14ac:dyDescent="0.25">
      <c r="G2432" s="1" t="str">
        <f>IF(Table2[[#This Row],[Description]]="","",VLOOKUP(Table2[[#This Row],[Description]],$Q$1:$S$101,2,FALSE))</f>
        <v/>
      </c>
      <c r="H2432" s="1" t="str">
        <f>IF(Table2[[#This Row],[Description]]="","",VLOOKUP(Table2[[#This Row],[Description]],$Q$1:$S$101,3,FALSE))</f>
        <v/>
      </c>
      <c r="I2432" s="1" t="str">
        <f>IF(Table2[[#This Row],[Description]]="","",IF(Table2[[#This Row],[Currency]]=$O$2,$P$2,HLOOKUP(Table2[[#This Row],[Date]],Funds!$C$10:$GV$11,2,FALSE)))</f>
        <v/>
      </c>
      <c r="J2432" s="215" t="str">
        <f>IF(Table2[[#This Row],[Description]]="","",Table2[[#This Row],[Value]]/Table2[[#This Row],[Conversion]])</f>
        <v/>
      </c>
      <c r="K2432" s="45" t="str">
        <f>IF(Table2[[#This Row],[Description]]="","",DATE(Table2[[#This Row],[Year]],Table2[[#This Row],[Month]],1))</f>
        <v/>
      </c>
    </row>
    <row r="2433" spans="7:11" x14ac:dyDescent="0.25">
      <c r="G2433" s="1" t="str">
        <f>IF(Table2[[#This Row],[Description]]="","",VLOOKUP(Table2[[#This Row],[Description]],$Q$1:$S$101,2,FALSE))</f>
        <v/>
      </c>
      <c r="H2433" s="1" t="str">
        <f>IF(Table2[[#This Row],[Description]]="","",VLOOKUP(Table2[[#This Row],[Description]],$Q$1:$S$101,3,FALSE))</f>
        <v/>
      </c>
      <c r="I2433" s="1" t="str">
        <f>IF(Table2[[#This Row],[Description]]="","",IF(Table2[[#This Row],[Currency]]=$O$2,$P$2,HLOOKUP(Table2[[#This Row],[Date]],Funds!$C$10:$GV$11,2,FALSE)))</f>
        <v/>
      </c>
      <c r="J2433" s="215" t="str">
        <f>IF(Table2[[#This Row],[Description]]="","",Table2[[#This Row],[Value]]/Table2[[#This Row],[Conversion]])</f>
        <v/>
      </c>
      <c r="K2433" s="45" t="str">
        <f>IF(Table2[[#This Row],[Description]]="","",DATE(Table2[[#This Row],[Year]],Table2[[#This Row],[Month]],1))</f>
        <v/>
      </c>
    </row>
    <row r="2434" spans="7:11" x14ac:dyDescent="0.25">
      <c r="G2434" s="1" t="str">
        <f>IF(Table2[[#This Row],[Description]]="","",VLOOKUP(Table2[[#This Row],[Description]],$Q$1:$S$101,2,FALSE))</f>
        <v/>
      </c>
      <c r="H2434" s="1" t="str">
        <f>IF(Table2[[#This Row],[Description]]="","",VLOOKUP(Table2[[#This Row],[Description]],$Q$1:$S$101,3,FALSE))</f>
        <v/>
      </c>
      <c r="I2434" s="1" t="str">
        <f>IF(Table2[[#This Row],[Description]]="","",IF(Table2[[#This Row],[Currency]]=$O$2,$P$2,HLOOKUP(Table2[[#This Row],[Date]],Funds!$C$10:$GV$11,2,FALSE)))</f>
        <v/>
      </c>
      <c r="J2434" s="215" t="str">
        <f>IF(Table2[[#This Row],[Description]]="","",Table2[[#This Row],[Value]]/Table2[[#This Row],[Conversion]])</f>
        <v/>
      </c>
      <c r="K2434" s="45" t="str">
        <f>IF(Table2[[#This Row],[Description]]="","",DATE(Table2[[#This Row],[Year]],Table2[[#This Row],[Month]],1))</f>
        <v/>
      </c>
    </row>
    <row r="2435" spans="7:11" x14ac:dyDescent="0.25">
      <c r="G2435" s="1" t="str">
        <f>IF(Table2[[#This Row],[Description]]="","",VLOOKUP(Table2[[#This Row],[Description]],$Q$1:$S$101,2,FALSE))</f>
        <v/>
      </c>
      <c r="H2435" s="1" t="str">
        <f>IF(Table2[[#This Row],[Description]]="","",VLOOKUP(Table2[[#This Row],[Description]],$Q$1:$S$101,3,FALSE))</f>
        <v/>
      </c>
      <c r="I2435" s="1" t="str">
        <f>IF(Table2[[#This Row],[Description]]="","",IF(Table2[[#This Row],[Currency]]=$O$2,$P$2,HLOOKUP(Table2[[#This Row],[Date]],Funds!$C$10:$GV$11,2,FALSE)))</f>
        <v/>
      </c>
      <c r="J2435" s="215" t="str">
        <f>IF(Table2[[#This Row],[Description]]="","",Table2[[#This Row],[Value]]/Table2[[#This Row],[Conversion]])</f>
        <v/>
      </c>
      <c r="K2435" s="45" t="str">
        <f>IF(Table2[[#This Row],[Description]]="","",DATE(Table2[[#This Row],[Year]],Table2[[#This Row],[Month]],1))</f>
        <v/>
      </c>
    </row>
    <row r="2436" spans="7:11" x14ac:dyDescent="0.25">
      <c r="G2436" s="1" t="str">
        <f>IF(Table2[[#This Row],[Description]]="","",VLOOKUP(Table2[[#This Row],[Description]],$Q$1:$S$101,2,FALSE))</f>
        <v/>
      </c>
      <c r="H2436" s="1" t="str">
        <f>IF(Table2[[#This Row],[Description]]="","",VLOOKUP(Table2[[#This Row],[Description]],$Q$1:$S$101,3,FALSE))</f>
        <v/>
      </c>
      <c r="I2436" s="1" t="str">
        <f>IF(Table2[[#This Row],[Description]]="","",IF(Table2[[#This Row],[Currency]]=$O$2,$P$2,HLOOKUP(Table2[[#This Row],[Date]],Funds!$C$10:$GV$11,2,FALSE)))</f>
        <v/>
      </c>
      <c r="J2436" s="215" t="str">
        <f>IF(Table2[[#This Row],[Description]]="","",Table2[[#This Row],[Value]]/Table2[[#This Row],[Conversion]])</f>
        <v/>
      </c>
      <c r="K2436" s="45" t="str">
        <f>IF(Table2[[#This Row],[Description]]="","",DATE(Table2[[#This Row],[Year]],Table2[[#This Row],[Month]],1))</f>
        <v/>
      </c>
    </row>
    <row r="2437" spans="7:11" x14ac:dyDescent="0.25">
      <c r="G2437" s="1" t="str">
        <f>IF(Table2[[#This Row],[Description]]="","",VLOOKUP(Table2[[#This Row],[Description]],$Q$1:$S$101,2,FALSE))</f>
        <v/>
      </c>
      <c r="H2437" s="1" t="str">
        <f>IF(Table2[[#This Row],[Description]]="","",VLOOKUP(Table2[[#This Row],[Description]],$Q$1:$S$101,3,FALSE))</f>
        <v/>
      </c>
      <c r="I2437" s="1" t="str">
        <f>IF(Table2[[#This Row],[Description]]="","",IF(Table2[[#This Row],[Currency]]=$O$2,$P$2,HLOOKUP(Table2[[#This Row],[Date]],Funds!$C$10:$GV$11,2,FALSE)))</f>
        <v/>
      </c>
      <c r="J2437" s="215" t="str">
        <f>IF(Table2[[#This Row],[Description]]="","",Table2[[#This Row],[Value]]/Table2[[#This Row],[Conversion]])</f>
        <v/>
      </c>
      <c r="K2437" s="45" t="str">
        <f>IF(Table2[[#This Row],[Description]]="","",DATE(Table2[[#This Row],[Year]],Table2[[#This Row],[Month]],1))</f>
        <v/>
      </c>
    </row>
    <row r="2438" spans="7:11" x14ac:dyDescent="0.25">
      <c r="G2438" s="1" t="str">
        <f>IF(Table2[[#This Row],[Description]]="","",VLOOKUP(Table2[[#This Row],[Description]],$Q$1:$S$101,2,FALSE))</f>
        <v/>
      </c>
      <c r="H2438" s="1" t="str">
        <f>IF(Table2[[#This Row],[Description]]="","",VLOOKUP(Table2[[#This Row],[Description]],$Q$1:$S$101,3,FALSE))</f>
        <v/>
      </c>
      <c r="I2438" s="1" t="str">
        <f>IF(Table2[[#This Row],[Description]]="","",IF(Table2[[#This Row],[Currency]]=$O$2,$P$2,HLOOKUP(Table2[[#This Row],[Date]],Funds!$C$10:$GV$11,2,FALSE)))</f>
        <v/>
      </c>
      <c r="J2438" s="215" t="str">
        <f>IF(Table2[[#This Row],[Description]]="","",Table2[[#This Row],[Value]]/Table2[[#This Row],[Conversion]])</f>
        <v/>
      </c>
      <c r="K2438" s="45" t="str">
        <f>IF(Table2[[#This Row],[Description]]="","",DATE(Table2[[#This Row],[Year]],Table2[[#This Row],[Month]],1))</f>
        <v/>
      </c>
    </row>
    <row r="2439" spans="7:11" x14ac:dyDescent="0.25">
      <c r="G2439" s="1" t="str">
        <f>IF(Table2[[#This Row],[Description]]="","",VLOOKUP(Table2[[#This Row],[Description]],$Q$1:$S$101,2,FALSE))</f>
        <v/>
      </c>
      <c r="H2439" s="1" t="str">
        <f>IF(Table2[[#This Row],[Description]]="","",VLOOKUP(Table2[[#This Row],[Description]],$Q$1:$S$101,3,FALSE))</f>
        <v/>
      </c>
      <c r="I2439" s="1" t="str">
        <f>IF(Table2[[#This Row],[Description]]="","",IF(Table2[[#This Row],[Currency]]=$O$2,$P$2,HLOOKUP(Table2[[#This Row],[Date]],Funds!$C$10:$GV$11,2,FALSE)))</f>
        <v/>
      </c>
      <c r="J2439" s="215" t="str">
        <f>IF(Table2[[#This Row],[Description]]="","",Table2[[#This Row],[Value]]/Table2[[#This Row],[Conversion]])</f>
        <v/>
      </c>
      <c r="K2439" s="45" t="str">
        <f>IF(Table2[[#This Row],[Description]]="","",DATE(Table2[[#This Row],[Year]],Table2[[#This Row],[Month]],1))</f>
        <v/>
      </c>
    </row>
    <row r="2440" spans="7:11" x14ac:dyDescent="0.25">
      <c r="G2440" s="1" t="str">
        <f>IF(Table2[[#This Row],[Description]]="","",VLOOKUP(Table2[[#This Row],[Description]],$Q$1:$S$101,2,FALSE))</f>
        <v/>
      </c>
      <c r="H2440" s="1" t="str">
        <f>IF(Table2[[#This Row],[Description]]="","",VLOOKUP(Table2[[#This Row],[Description]],$Q$1:$S$101,3,FALSE))</f>
        <v/>
      </c>
      <c r="I2440" s="1" t="str">
        <f>IF(Table2[[#This Row],[Description]]="","",IF(Table2[[#This Row],[Currency]]=$O$2,$P$2,HLOOKUP(Table2[[#This Row],[Date]],Funds!$C$10:$GV$11,2,FALSE)))</f>
        <v/>
      </c>
      <c r="J2440" s="215" t="str">
        <f>IF(Table2[[#This Row],[Description]]="","",Table2[[#This Row],[Value]]/Table2[[#This Row],[Conversion]])</f>
        <v/>
      </c>
      <c r="K2440" s="45" t="str">
        <f>IF(Table2[[#This Row],[Description]]="","",DATE(Table2[[#This Row],[Year]],Table2[[#This Row],[Month]],1))</f>
        <v/>
      </c>
    </row>
    <row r="2441" spans="7:11" x14ac:dyDescent="0.25">
      <c r="G2441" s="1" t="str">
        <f>IF(Table2[[#This Row],[Description]]="","",VLOOKUP(Table2[[#This Row],[Description]],$Q$1:$S$101,2,FALSE))</f>
        <v/>
      </c>
      <c r="H2441" s="1" t="str">
        <f>IF(Table2[[#This Row],[Description]]="","",VLOOKUP(Table2[[#This Row],[Description]],$Q$1:$S$101,3,FALSE))</f>
        <v/>
      </c>
      <c r="I2441" s="1" t="str">
        <f>IF(Table2[[#This Row],[Description]]="","",IF(Table2[[#This Row],[Currency]]=$O$2,$P$2,HLOOKUP(Table2[[#This Row],[Date]],Funds!$C$10:$GV$11,2,FALSE)))</f>
        <v/>
      </c>
      <c r="J2441" s="215" t="str">
        <f>IF(Table2[[#This Row],[Description]]="","",Table2[[#This Row],[Value]]/Table2[[#This Row],[Conversion]])</f>
        <v/>
      </c>
      <c r="K2441" s="45" t="str">
        <f>IF(Table2[[#This Row],[Description]]="","",DATE(Table2[[#This Row],[Year]],Table2[[#This Row],[Month]],1))</f>
        <v/>
      </c>
    </row>
    <row r="2442" spans="7:11" x14ac:dyDescent="0.25">
      <c r="G2442" s="1" t="str">
        <f>IF(Table2[[#This Row],[Description]]="","",VLOOKUP(Table2[[#This Row],[Description]],$Q$1:$S$101,2,FALSE))</f>
        <v/>
      </c>
      <c r="H2442" s="1" t="str">
        <f>IF(Table2[[#This Row],[Description]]="","",VLOOKUP(Table2[[#This Row],[Description]],$Q$1:$S$101,3,FALSE))</f>
        <v/>
      </c>
      <c r="I2442" s="1" t="str">
        <f>IF(Table2[[#This Row],[Description]]="","",IF(Table2[[#This Row],[Currency]]=$O$2,$P$2,HLOOKUP(Table2[[#This Row],[Date]],Funds!$C$10:$GV$11,2,FALSE)))</f>
        <v/>
      </c>
      <c r="J2442" s="215" t="str">
        <f>IF(Table2[[#This Row],[Description]]="","",Table2[[#This Row],[Value]]/Table2[[#This Row],[Conversion]])</f>
        <v/>
      </c>
      <c r="K2442" s="45" t="str">
        <f>IF(Table2[[#This Row],[Description]]="","",DATE(Table2[[#This Row],[Year]],Table2[[#This Row],[Month]],1))</f>
        <v/>
      </c>
    </row>
    <row r="2443" spans="7:11" x14ac:dyDescent="0.25">
      <c r="G2443" s="1" t="str">
        <f>IF(Table2[[#This Row],[Description]]="","",VLOOKUP(Table2[[#This Row],[Description]],$Q$1:$S$101,2,FALSE))</f>
        <v/>
      </c>
      <c r="H2443" s="1" t="str">
        <f>IF(Table2[[#This Row],[Description]]="","",VLOOKUP(Table2[[#This Row],[Description]],$Q$1:$S$101,3,FALSE))</f>
        <v/>
      </c>
      <c r="I2443" s="1" t="str">
        <f>IF(Table2[[#This Row],[Description]]="","",IF(Table2[[#This Row],[Currency]]=$O$2,$P$2,HLOOKUP(Table2[[#This Row],[Date]],Funds!$C$10:$GV$11,2,FALSE)))</f>
        <v/>
      </c>
      <c r="J2443" s="215" t="str">
        <f>IF(Table2[[#This Row],[Description]]="","",Table2[[#This Row],[Value]]/Table2[[#This Row],[Conversion]])</f>
        <v/>
      </c>
      <c r="K2443" s="45" t="str">
        <f>IF(Table2[[#This Row],[Description]]="","",DATE(Table2[[#This Row],[Year]],Table2[[#This Row],[Month]],1))</f>
        <v/>
      </c>
    </row>
    <row r="2444" spans="7:11" x14ac:dyDescent="0.25">
      <c r="G2444" s="1" t="str">
        <f>IF(Table2[[#This Row],[Description]]="","",VLOOKUP(Table2[[#This Row],[Description]],$Q$1:$S$101,2,FALSE))</f>
        <v/>
      </c>
      <c r="H2444" s="1" t="str">
        <f>IF(Table2[[#This Row],[Description]]="","",VLOOKUP(Table2[[#This Row],[Description]],$Q$1:$S$101,3,FALSE))</f>
        <v/>
      </c>
      <c r="I2444" s="1" t="str">
        <f>IF(Table2[[#This Row],[Description]]="","",IF(Table2[[#This Row],[Currency]]=$O$2,$P$2,HLOOKUP(Table2[[#This Row],[Date]],Funds!$C$10:$GV$11,2,FALSE)))</f>
        <v/>
      </c>
      <c r="J2444" s="215" t="str">
        <f>IF(Table2[[#This Row],[Description]]="","",Table2[[#This Row],[Value]]/Table2[[#This Row],[Conversion]])</f>
        <v/>
      </c>
      <c r="K2444" s="45" t="str">
        <f>IF(Table2[[#This Row],[Description]]="","",DATE(Table2[[#This Row],[Year]],Table2[[#This Row],[Month]],1))</f>
        <v/>
      </c>
    </row>
    <row r="2445" spans="7:11" x14ac:dyDescent="0.25">
      <c r="G2445" s="1" t="str">
        <f>IF(Table2[[#This Row],[Description]]="","",VLOOKUP(Table2[[#This Row],[Description]],$Q$1:$S$101,2,FALSE))</f>
        <v/>
      </c>
      <c r="H2445" s="1" t="str">
        <f>IF(Table2[[#This Row],[Description]]="","",VLOOKUP(Table2[[#This Row],[Description]],$Q$1:$S$101,3,FALSE))</f>
        <v/>
      </c>
      <c r="I2445" s="1" t="str">
        <f>IF(Table2[[#This Row],[Description]]="","",IF(Table2[[#This Row],[Currency]]=$O$2,$P$2,HLOOKUP(Table2[[#This Row],[Date]],Funds!$C$10:$GV$11,2,FALSE)))</f>
        <v/>
      </c>
      <c r="J2445" s="215" t="str">
        <f>IF(Table2[[#This Row],[Description]]="","",Table2[[#This Row],[Value]]/Table2[[#This Row],[Conversion]])</f>
        <v/>
      </c>
      <c r="K2445" s="45" t="str">
        <f>IF(Table2[[#This Row],[Description]]="","",DATE(Table2[[#This Row],[Year]],Table2[[#This Row],[Month]],1))</f>
        <v/>
      </c>
    </row>
    <row r="2446" spans="7:11" x14ac:dyDescent="0.25">
      <c r="G2446" s="1" t="str">
        <f>IF(Table2[[#This Row],[Description]]="","",VLOOKUP(Table2[[#This Row],[Description]],$Q$1:$S$101,2,FALSE))</f>
        <v/>
      </c>
      <c r="H2446" s="1" t="str">
        <f>IF(Table2[[#This Row],[Description]]="","",VLOOKUP(Table2[[#This Row],[Description]],$Q$1:$S$101,3,FALSE))</f>
        <v/>
      </c>
      <c r="I2446" s="1" t="str">
        <f>IF(Table2[[#This Row],[Description]]="","",IF(Table2[[#This Row],[Currency]]=$O$2,$P$2,HLOOKUP(Table2[[#This Row],[Date]],Funds!$C$10:$GV$11,2,FALSE)))</f>
        <v/>
      </c>
      <c r="J2446" s="215" t="str">
        <f>IF(Table2[[#This Row],[Description]]="","",Table2[[#This Row],[Value]]/Table2[[#This Row],[Conversion]])</f>
        <v/>
      </c>
      <c r="K2446" s="45" t="str">
        <f>IF(Table2[[#This Row],[Description]]="","",DATE(Table2[[#This Row],[Year]],Table2[[#This Row],[Month]],1))</f>
        <v/>
      </c>
    </row>
    <row r="2447" spans="7:11" x14ac:dyDescent="0.25">
      <c r="G2447" s="1" t="str">
        <f>IF(Table2[[#This Row],[Description]]="","",VLOOKUP(Table2[[#This Row],[Description]],$Q$1:$S$101,2,FALSE))</f>
        <v/>
      </c>
      <c r="H2447" s="1" t="str">
        <f>IF(Table2[[#This Row],[Description]]="","",VLOOKUP(Table2[[#This Row],[Description]],$Q$1:$S$101,3,FALSE))</f>
        <v/>
      </c>
      <c r="I2447" s="1" t="str">
        <f>IF(Table2[[#This Row],[Description]]="","",IF(Table2[[#This Row],[Currency]]=$O$2,$P$2,HLOOKUP(Table2[[#This Row],[Date]],Funds!$C$10:$GV$11,2,FALSE)))</f>
        <v/>
      </c>
      <c r="J2447" s="215" t="str">
        <f>IF(Table2[[#This Row],[Description]]="","",Table2[[#This Row],[Value]]/Table2[[#This Row],[Conversion]])</f>
        <v/>
      </c>
      <c r="K2447" s="45" t="str">
        <f>IF(Table2[[#This Row],[Description]]="","",DATE(Table2[[#This Row],[Year]],Table2[[#This Row],[Month]],1))</f>
        <v/>
      </c>
    </row>
    <row r="2448" spans="7:11" x14ac:dyDescent="0.25">
      <c r="G2448" s="1" t="str">
        <f>IF(Table2[[#This Row],[Description]]="","",VLOOKUP(Table2[[#This Row],[Description]],$Q$1:$S$101,2,FALSE))</f>
        <v/>
      </c>
      <c r="H2448" s="1" t="str">
        <f>IF(Table2[[#This Row],[Description]]="","",VLOOKUP(Table2[[#This Row],[Description]],$Q$1:$S$101,3,FALSE))</f>
        <v/>
      </c>
      <c r="I2448" s="1" t="str">
        <f>IF(Table2[[#This Row],[Description]]="","",IF(Table2[[#This Row],[Currency]]=$O$2,$P$2,HLOOKUP(Table2[[#This Row],[Date]],Funds!$C$10:$GV$11,2,FALSE)))</f>
        <v/>
      </c>
      <c r="J2448" s="215" t="str">
        <f>IF(Table2[[#This Row],[Description]]="","",Table2[[#This Row],[Value]]/Table2[[#This Row],[Conversion]])</f>
        <v/>
      </c>
      <c r="K2448" s="45" t="str">
        <f>IF(Table2[[#This Row],[Description]]="","",DATE(Table2[[#This Row],[Year]],Table2[[#This Row],[Month]],1))</f>
        <v/>
      </c>
    </row>
    <row r="2449" spans="7:11" x14ac:dyDescent="0.25">
      <c r="G2449" s="1" t="str">
        <f>IF(Table2[[#This Row],[Description]]="","",VLOOKUP(Table2[[#This Row],[Description]],$Q$1:$S$101,2,FALSE))</f>
        <v/>
      </c>
      <c r="H2449" s="1" t="str">
        <f>IF(Table2[[#This Row],[Description]]="","",VLOOKUP(Table2[[#This Row],[Description]],$Q$1:$S$101,3,FALSE))</f>
        <v/>
      </c>
      <c r="I2449" s="1" t="str">
        <f>IF(Table2[[#This Row],[Description]]="","",IF(Table2[[#This Row],[Currency]]=$O$2,$P$2,HLOOKUP(Table2[[#This Row],[Date]],Funds!$C$10:$GV$11,2,FALSE)))</f>
        <v/>
      </c>
      <c r="J2449" s="215" t="str">
        <f>IF(Table2[[#This Row],[Description]]="","",Table2[[#This Row],[Value]]/Table2[[#This Row],[Conversion]])</f>
        <v/>
      </c>
      <c r="K2449" s="45" t="str">
        <f>IF(Table2[[#This Row],[Description]]="","",DATE(Table2[[#This Row],[Year]],Table2[[#This Row],[Month]],1))</f>
        <v/>
      </c>
    </row>
    <row r="2450" spans="7:11" x14ac:dyDescent="0.25">
      <c r="G2450" s="1" t="str">
        <f>IF(Table2[[#This Row],[Description]]="","",VLOOKUP(Table2[[#This Row],[Description]],$Q$1:$S$101,2,FALSE))</f>
        <v/>
      </c>
      <c r="H2450" s="1" t="str">
        <f>IF(Table2[[#This Row],[Description]]="","",VLOOKUP(Table2[[#This Row],[Description]],$Q$1:$S$101,3,FALSE))</f>
        <v/>
      </c>
      <c r="I2450" s="1" t="str">
        <f>IF(Table2[[#This Row],[Description]]="","",IF(Table2[[#This Row],[Currency]]=$O$2,$P$2,HLOOKUP(Table2[[#This Row],[Date]],Funds!$C$10:$GV$11,2,FALSE)))</f>
        <v/>
      </c>
      <c r="J2450" s="215" t="str">
        <f>IF(Table2[[#This Row],[Description]]="","",Table2[[#This Row],[Value]]/Table2[[#This Row],[Conversion]])</f>
        <v/>
      </c>
      <c r="K2450" s="45" t="str">
        <f>IF(Table2[[#This Row],[Description]]="","",DATE(Table2[[#This Row],[Year]],Table2[[#This Row],[Month]],1))</f>
        <v/>
      </c>
    </row>
    <row r="2451" spans="7:11" x14ac:dyDescent="0.25">
      <c r="G2451" s="1" t="str">
        <f>IF(Table2[[#This Row],[Description]]="","",VLOOKUP(Table2[[#This Row],[Description]],$Q$1:$S$101,2,FALSE))</f>
        <v/>
      </c>
      <c r="H2451" s="1" t="str">
        <f>IF(Table2[[#This Row],[Description]]="","",VLOOKUP(Table2[[#This Row],[Description]],$Q$1:$S$101,3,FALSE))</f>
        <v/>
      </c>
      <c r="I2451" s="1" t="str">
        <f>IF(Table2[[#This Row],[Description]]="","",IF(Table2[[#This Row],[Currency]]=$O$2,$P$2,HLOOKUP(Table2[[#This Row],[Date]],Funds!$C$10:$GV$11,2,FALSE)))</f>
        <v/>
      </c>
      <c r="J2451" s="215" t="str">
        <f>IF(Table2[[#This Row],[Description]]="","",Table2[[#This Row],[Value]]/Table2[[#This Row],[Conversion]])</f>
        <v/>
      </c>
      <c r="K2451" s="45" t="str">
        <f>IF(Table2[[#This Row],[Description]]="","",DATE(Table2[[#This Row],[Year]],Table2[[#This Row],[Month]],1))</f>
        <v/>
      </c>
    </row>
    <row r="2452" spans="7:11" x14ac:dyDescent="0.25">
      <c r="G2452" s="1" t="str">
        <f>IF(Table2[[#This Row],[Description]]="","",VLOOKUP(Table2[[#This Row],[Description]],$Q$1:$S$101,2,FALSE))</f>
        <v/>
      </c>
      <c r="H2452" s="1" t="str">
        <f>IF(Table2[[#This Row],[Description]]="","",VLOOKUP(Table2[[#This Row],[Description]],$Q$1:$S$101,3,FALSE))</f>
        <v/>
      </c>
      <c r="I2452" s="1" t="str">
        <f>IF(Table2[[#This Row],[Description]]="","",IF(Table2[[#This Row],[Currency]]=$O$2,$P$2,HLOOKUP(Table2[[#This Row],[Date]],Funds!$C$10:$GV$11,2,FALSE)))</f>
        <v/>
      </c>
      <c r="J2452" s="215" t="str">
        <f>IF(Table2[[#This Row],[Description]]="","",Table2[[#This Row],[Value]]/Table2[[#This Row],[Conversion]])</f>
        <v/>
      </c>
      <c r="K2452" s="45" t="str">
        <f>IF(Table2[[#This Row],[Description]]="","",DATE(Table2[[#This Row],[Year]],Table2[[#This Row],[Month]],1))</f>
        <v/>
      </c>
    </row>
    <row r="2453" spans="7:11" x14ac:dyDescent="0.25">
      <c r="G2453" s="1" t="str">
        <f>IF(Table2[[#This Row],[Description]]="","",VLOOKUP(Table2[[#This Row],[Description]],$Q$1:$S$101,2,FALSE))</f>
        <v/>
      </c>
      <c r="H2453" s="1" t="str">
        <f>IF(Table2[[#This Row],[Description]]="","",VLOOKUP(Table2[[#This Row],[Description]],$Q$1:$S$101,3,FALSE))</f>
        <v/>
      </c>
      <c r="I2453" s="1" t="str">
        <f>IF(Table2[[#This Row],[Description]]="","",IF(Table2[[#This Row],[Currency]]=$O$2,$P$2,HLOOKUP(Table2[[#This Row],[Date]],Funds!$C$10:$GV$11,2,FALSE)))</f>
        <v/>
      </c>
      <c r="J2453" s="215" t="str">
        <f>IF(Table2[[#This Row],[Description]]="","",Table2[[#This Row],[Value]]/Table2[[#This Row],[Conversion]])</f>
        <v/>
      </c>
      <c r="K2453" s="45" t="str">
        <f>IF(Table2[[#This Row],[Description]]="","",DATE(Table2[[#This Row],[Year]],Table2[[#This Row],[Month]],1))</f>
        <v/>
      </c>
    </row>
    <row r="2454" spans="7:11" x14ac:dyDescent="0.25">
      <c r="G2454" s="1" t="str">
        <f>IF(Table2[[#This Row],[Description]]="","",VLOOKUP(Table2[[#This Row],[Description]],$Q$1:$S$101,2,FALSE))</f>
        <v/>
      </c>
      <c r="H2454" s="1" t="str">
        <f>IF(Table2[[#This Row],[Description]]="","",VLOOKUP(Table2[[#This Row],[Description]],$Q$1:$S$101,3,FALSE))</f>
        <v/>
      </c>
      <c r="I2454" s="1" t="str">
        <f>IF(Table2[[#This Row],[Description]]="","",IF(Table2[[#This Row],[Currency]]=$O$2,$P$2,HLOOKUP(Table2[[#This Row],[Date]],Funds!$C$10:$GV$11,2,FALSE)))</f>
        <v/>
      </c>
      <c r="J2454" s="215" t="str">
        <f>IF(Table2[[#This Row],[Description]]="","",Table2[[#This Row],[Value]]/Table2[[#This Row],[Conversion]])</f>
        <v/>
      </c>
      <c r="K2454" s="45" t="str">
        <f>IF(Table2[[#This Row],[Description]]="","",DATE(Table2[[#This Row],[Year]],Table2[[#This Row],[Month]],1))</f>
        <v/>
      </c>
    </row>
    <row r="2455" spans="7:11" x14ac:dyDescent="0.25">
      <c r="G2455" s="1" t="str">
        <f>IF(Table2[[#This Row],[Description]]="","",VLOOKUP(Table2[[#This Row],[Description]],$Q$1:$S$101,2,FALSE))</f>
        <v/>
      </c>
      <c r="H2455" s="1" t="str">
        <f>IF(Table2[[#This Row],[Description]]="","",VLOOKUP(Table2[[#This Row],[Description]],$Q$1:$S$101,3,FALSE))</f>
        <v/>
      </c>
      <c r="I2455" s="1" t="str">
        <f>IF(Table2[[#This Row],[Description]]="","",IF(Table2[[#This Row],[Currency]]=$O$2,$P$2,HLOOKUP(Table2[[#This Row],[Date]],Funds!$C$10:$GV$11,2,FALSE)))</f>
        <v/>
      </c>
      <c r="J2455" s="215" t="str">
        <f>IF(Table2[[#This Row],[Description]]="","",Table2[[#This Row],[Value]]/Table2[[#This Row],[Conversion]])</f>
        <v/>
      </c>
      <c r="K2455" s="45" t="str">
        <f>IF(Table2[[#This Row],[Description]]="","",DATE(Table2[[#This Row],[Year]],Table2[[#This Row],[Month]],1))</f>
        <v/>
      </c>
    </row>
    <row r="2456" spans="7:11" x14ac:dyDescent="0.25">
      <c r="G2456" s="1" t="str">
        <f>IF(Table2[[#This Row],[Description]]="","",VLOOKUP(Table2[[#This Row],[Description]],$Q$1:$S$101,2,FALSE))</f>
        <v/>
      </c>
      <c r="H2456" s="1" t="str">
        <f>IF(Table2[[#This Row],[Description]]="","",VLOOKUP(Table2[[#This Row],[Description]],$Q$1:$S$101,3,FALSE))</f>
        <v/>
      </c>
      <c r="I2456" s="1" t="str">
        <f>IF(Table2[[#This Row],[Description]]="","",IF(Table2[[#This Row],[Currency]]=$O$2,$P$2,HLOOKUP(Table2[[#This Row],[Date]],Funds!$C$10:$GV$11,2,FALSE)))</f>
        <v/>
      </c>
      <c r="J2456" s="215" t="str">
        <f>IF(Table2[[#This Row],[Description]]="","",Table2[[#This Row],[Value]]/Table2[[#This Row],[Conversion]])</f>
        <v/>
      </c>
      <c r="K2456" s="45" t="str">
        <f>IF(Table2[[#This Row],[Description]]="","",DATE(Table2[[#This Row],[Year]],Table2[[#This Row],[Month]],1))</f>
        <v/>
      </c>
    </row>
    <row r="2457" spans="7:11" x14ac:dyDescent="0.25">
      <c r="G2457" s="1" t="str">
        <f>IF(Table2[[#This Row],[Description]]="","",VLOOKUP(Table2[[#This Row],[Description]],$Q$1:$S$101,2,FALSE))</f>
        <v/>
      </c>
      <c r="H2457" s="1" t="str">
        <f>IF(Table2[[#This Row],[Description]]="","",VLOOKUP(Table2[[#This Row],[Description]],$Q$1:$S$101,3,FALSE))</f>
        <v/>
      </c>
      <c r="I2457" s="1" t="str">
        <f>IF(Table2[[#This Row],[Description]]="","",IF(Table2[[#This Row],[Currency]]=$O$2,$P$2,HLOOKUP(Table2[[#This Row],[Date]],Funds!$C$10:$GV$11,2,FALSE)))</f>
        <v/>
      </c>
      <c r="J2457" s="215" t="str">
        <f>IF(Table2[[#This Row],[Description]]="","",Table2[[#This Row],[Value]]/Table2[[#This Row],[Conversion]])</f>
        <v/>
      </c>
      <c r="K2457" s="45" t="str">
        <f>IF(Table2[[#This Row],[Description]]="","",DATE(Table2[[#This Row],[Year]],Table2[[#This Row],[Month]],1))</f>
        <v/>
      </c>
    </row>
    <row r="2458" spans="7:11" x14ac:dyDescent="0.25">
      <c r="G2458" s="1" t="str">
        <f>IF(Table2[[#This Row],[Description]]="","",VLOOKUP(Table2[[#This Row],[Description]],$Q$1:$S$101,2,FALSE))</f>
        <v/>
      </c>
      <c r="H2458" s="1" t="str">
        <f>IF(Table2[[#This Row],[Description]]="","",VLOOKUP(Table2[[#This Row],[Description]],$Q$1:$S$101,3,FALSE))</f>
        <v/>
      </c>
      <c r="I2458" s="1" t="str">
        <f>IF(Table2[[#This Row],[Description]]="","",IF(Table2[[#This Row],[Currency]]=$O$2,$P$2,HLOOKUP(Table2[[#This Row],[Date]],Funds!$C$10:$GV$11,2,FALSE)))</f>
        <v/>
      </c>
      <c r="J2458" s="215" t="str">
        <f>IF(Table2[[#This Row],[Description]]="","",Table2[[#This Row],[Value]]/Table2[[#This Row],[Conversion]])</f>
        <v/>
      </c>
      <c r="K2458" s="45" t="str">
        <f>IF(Table2[[#This Row],[Description]]="","",DATE(Table2[[#This Row],[Year]],Table2[[#This Row],[Month]],1))</f>
        <v/>
      </c>
    </row>
    <row r="2459" spans="7:11" x14ac:dyDescent="0.25">
      <c r="G2459" s="1" t="str">
        <f>IF(Table2[[#This Row],[Description]]="","",VLOOKUP(Table2[[#This Row],[Description]],$Q$1:$S$101,2,FALSE))</f>
        <v/>
      </c>
      <c r="H2459" s="1" t="str">
        <f>IF(Table2[[#This Row],[Description]]="","",VLOOKUP(Table2[[#This Row],[Description]],$Q$1:$S$101,3,FALSE))</f>
        <v/>
      </c>
      <c r="I2459" s="1" t="str">
        <f>IF(Table2[[#This Row],[Description]]="","",IF(Table2[[#This Row],[Currency]]=$O$2,$P$2,HLOOKUP(Table2[[#This Row],[Date]],Funds!$C$10:$GV$11,2,FALSE)))</f>
        <v/>
      </c>
      <c r="J2459" s="215" t="str">
        <f>IF(Table2[[#This Row],[Description]]="","",Table2[[#This Row],[Value]]/Table2[[#This Row],[Conversion]])</f>
        <v/>
      </c>
      <c r="K2459" s="45" t="str">
        <f>IF(Table2[[#This Row],[Description]]="","",DATE(Table2[[#This Row],[Year]],Table2[[#This Row],[Month]],1))</f>
        <v/>
      </c>
    </row>
    <row r="2460" spans="7:11" x14ac:dyDescent="0.25">
      <c r="G2460" s="1" t="str">
        <f>IF(Table2[[#This Row],[Description]]="","",VLOOKUP(Table2[[#This Row],[Description]],$Q$1:$S$101,2,FALSE))</f>
        <v/>
      </c>
      <c r="H2460" s="1" t="str">
        <f>IF(Table2[[#This Row],[Description]]="","",VLOOKUP(Table2[[#This Row],[Description]],$Q$1:$S$101,3,FALSE))</f>
        <v/>
      </c>
      <c r="I2460" s="1" t="str">
        <f>IF(Table2[[#This Row],[Description]]="","",IF(Table2[[#This Row],[Currency]]=$O$2,$P$2,HLOOKUP(Table2[[#This Row],[Date]],Funds!$C$10:$GV$11,2,FALSE)))</f>
        <v/>
      </c>
      <c r="J2460" s="215" t="str">
        <f>IF(Table2[[#This Row],[Description]]="","",Table2[[#This Row],[Value]]/Table2[[#This Row],[Conversion]])</f>
        <v/>
      </c>
      <c r="K2460" s="45" t="str">
        <f>IF(Table2[[#This Row],[Description]]="","",DATE(Table2[[#This Row],[Year]],Table2[[#This Row],[Month]],1))</f>
        <v/>
      </c>
    </row>
    <row r="2461" spans="7:11" x14ac:dyDescent="0.25">
      <c r="G2461" s="1" t="str">
        <f>IF(Table2[[#This Row],[Description]]="","",VLOOKUP(Table2[[#This Row],[Description]],$Q$1:$S$101,2,FALSE))</f>
        <v/>
      </c>
      <c r="H2461" s="1" t="str">
        <f>IF(Table2[[#This Row],[Description]]="","",VLOOKUP(Table2[[#This Row],[Description]],$Q$1:$S$101,3,FALSE))</f>
        <v/>
      </c>
      <c r="I2461" s="1" t="str">
        <f>IF(Table2[[#This Row],[Description]]="","",IF(Table2[[#This Row],[Currency]]=$O$2,$P$2,HLOOKUP(Table2[[#This Row],[Date]],Funds!$C$10:$GV$11,2,FALSE)))</f>
        <v/>
      </c>
      <c r="J2461" s="215" t="str">
        <f>IF(Table2[[#This Row],[Description]]="","",Table2[[#This Row],[Value]]/Table2[[#This Row],[Conversion]])</f>
        <v/>
      </c>
      <c r="K2461" s="45" t="str">
        <f>IF(Table2[[#This Row],[Description]]="","",DATE(Table2[[#This Row],[Year]],Table2[[#This Row],[Month]],1))</f>
        <v/>
      </c>
    </row>
    <row r="2462" spans="7:11" x14ac:dyDescent="0.25">
      <c r="G2462" s="1" t="str">
        <f>IF(Table2[[#This Row],[Description]]="","",VLOOKUP(Table2[[#This Row],[Description]],$Q$1:$S$101,2,FALSE))</f>
        <v/>
      </c>
      <c r="H2462" s="1" t="str">
        <f>IF(Table2[[#This Row],[Description]]="","",VLOOKUP(Table2[[#This Row],[Description]],$Q$1:$S$101,3,FALSE))</f>
        <v/>
      </c>
      <c r="I2462" s="1" t="str">
        <f>IF(Table2[[#This Row],[Description]]="","",IF(Table2[[#This Row],[Currency]]=$O$2,$P$2,HLOOKUP(Table2[[#This Row],[Date]],Funds!$C$10:$GV$11,2,FALSE)))</f>
        <v/>
      </c>
      <c r="J2462" s="215" t="str">
        <f>IF(Table2[[#This Row],[Description]]="","",Table2[[#This Row],[Value]]/Table2[[#This Row],[Conversion]])</f>
        <v/>
      </c>
      <c r="K2462" s="45" t="str">
        <f>IF(Table2[[#This Row],[Description]]="","",DATE(Table2[[#This Row],[Year]],Table2[[#This Row],[Month]],1))</f>
        <v/>
      </c>
    </row>
    <row r="2463" spans="7:11" x14ac:dyDescent="0.25">
      <c r="G2463" s="1" t="str">
        <f>IF(Table2[[#This Row],[Description]]="","",VLOOKUP(Table2[[#This Row],[Description]],$Q$1:$S$101,2,FALSE))</f>
        <v/>
      </c>
      <c r="H2463" s="1" t="str">
        <f>IF(Table2[[#This Row],[Description]]="","",VLOOKUP(Table2[[#This Row],[Description]],$Q$1:$S$101,3,FALSE))</f>
        <v/>
      </c>
      <c r="I2463" s="1" t="str">
        <f>IF(Table2[[#This Row],[Description]]="","",IF(Table2[[#This Row],[Currency]]=$O$2,$P$2,HLOOKUP(Table2[[#This Row],[Date]],Funds!$C$10:$GV$11,2,FALSE)))</f>
        <v/>
      </c>
      <c r="J2463" s="215" t="str">
        <f>IF(Table2[[#This Row],[Description]]="","",Table2[[#This Row],[Value]]/Table2[[#This Row],[Conversion]])</f>
        <v/>
      </c>
      <c r="K2463" s="45" t="str">
        <f>IF(Table2[[#This Row],[Description]]="","",DATE(Table2[[#This Row],[Year]],Table2[[#This Row],[Month]],1))</f>
        <v/>
      </c>
    </row>
    <row r="2464" spans="7:11" x14ac:dyDescent="0.25">
      <c r="G2464" s="1" t="str">
        <f>IF(Table2[[#This Row],[Description]]="","",VLOOKUP(Table2[[#This Row],[Description]],$Q$1:$S$101,2,FALSE))</f>
        <v/>
      </c>
      <c r="H2464" s="1" t="str">
        <f>IF(Table2[[#This Row],[Description]]="","",VLOOKUP(Table2[[#This Row],[Description]],$Q$1:$S$101,3,FALSE))</f>
        <v/>
      </c>
      <c r="I2464" s="1" t="str">
        <f>IF(Table2[[#This Row],[Description]]="","",IF(Table2[[#This Row],[Currency]]=$O$2,$P$2,HLOOKUP(Table2[[#This Row],[Date]],Funds!$C$10:$GV$11,2,FALSE)))</f>
        <v/>
      </c>
      <c r="J2464" s="215" t="str">
        <f>IF(Table2[[#This Row],[Description]]="","",Table2[[#This Row],[Value]]/Table2[[#This Row],[Conversion]])</f>
        <v/>
      </c>
      <c r="K2464" s="45" t="str">
        <f>IF(Table2[[#This Row],[Description]]="","",DATE(Table2[[#This Row],[Year]],Table2[[#This Row],[Month]],1))</f>
        <v/>
      </c>
    </row>
    <row r="2465" spans="7:11" x14ac:dyDescent="0.25">
      <c r="G2465" s="1" t="str">
        <f>IF(Table2[[#This Row],[Description]]="","",VLOOKUP(Table2[[#This Row],[Description]],$Q$1:$S$101,2,FALSE))</f>
        <v/>
      </c>
      <c r="H2465" s="1" t="str">
        <f>IF(Table2[[#This Row],[Description]]="","",VLOOKUP(Table2[[#This Row],[Description]],$Q$1:$S$101,3,FALSE))</f>
        <v/>
      </c>
      <c r="I2465" s="1" t="str">
        <f>IF(Table2[[#This Row],[Description]]="","",IF(Table2[[#This Row],[Currency]]=$O$2,$P$2,HLOOKUP(Table2[[#This Row],[Date]],Funds!$C$10:$GV$11,2,FALSE)))</f>
        <v/>
      </c>
      <c r="J2465" s="215" t="str">
        <f>IF(Table2[[#This Row],[Description]]="","",Table2[[#This Row],[Value]]/Table2[[#This Row],[Conversion]])</f>
        <v/>
      </c>
      <c r="K2465" s="45" t="str">
        <f>IF(Table2[[#This Row],[Description]]="","",DATE(Table2[[#This Row],[Year]],Table2[[#This Row],[Month]],1))</f>
        <v/>
      </c>
    </row>
    <row r="2466" spans="7:11" x14ac:dyDescent="0.25">
      <c r="G2466" s="1" t="str">
        <f>IF(Table2[[#This Row],[Description]]="","",VLOOKUP(Table2[[#This Row],[Description]],$Q$1:$S$101,2,FALSE))</f>
        <v/>
      </c>
      <c r="H2466" s="1" t="str">
        <f>IF(Table2[[#This Row],[Description]]="","",VLOOKUP(Table2[[#This Row],[Description]],$Q$1:$S$101,3,FALSE))</f>
        <v/>
      </c>
      <c r="I2466" s="1" t="str">
        <f>IF(Table2[[#This Row],[Description]]="","",IF(Table2[[#This Row],[Currency]]=$O$2,$P$2,HLOOKUP(Table2[[#This Row],[Date]],Funds!$C$10:$GV$11,2,FALSE)))</f>
        <v/>
      </c>
      <c r="J2466" s="215" t="str">
        <f>IF(Table2[[#This Row],[Description]]="","",Table2[[#This Row],[Value]]/Table2[[#This Row],[Conversion]])</f>
        <v/>
      </c>
      <c r="K2466" s="45" t="str">
        <f>IF(Table2[[#This Row],[Description]]="","",DATE(Table2[[#This Row],[Year]],Table2[[#This Row],[Month]],1))</f>
        <v/>
      </c>
    </row>
    <row r="2467" spans="7:11" x14ac:dyDescent="0.25">
      <c r="G2467" s="1" t="str">
        <f>IF(Table2[[#This Row],[Description]]="","",VLOOKUP(Table2[[#This Row],[Description]],$Q$1:$S$101,2,FALSE))</f>
        <v/>
      </c>
      <c r="H2467" s="1" t="str">
        <f>IF(Table2[[#This Row],[Description]]="","",VLOOKUP(Table2[[#This Row],[Description]],$Q$1:$S$101,3,FALSE))</f>
        <v/>
      </c>
      <c r="I2467" s="1" t="str">
        <f>IF(Table2[[#This Row],[Description]]="","",IF(Table2[[#This Row],[Currency]]=$O$2,$P$2,HLOOKUP(Table2[[#This Row],[Date]],Funds!$C$10:$GV$11,2,FALSE)))</f>
        <v/>
      </c>
      <c r="J2467" s="215" t="str">
        <f>IF(Table2[[#This Row],[Description]]="","",Table2[[#This Row],[Value]]/Table2[[#This Row],[Conversion]])</f>
        <v/>
      </c>
      <c r="K2467" s="45" t="str">
        <f>IF(Table2[[#This Row],[Description]]="","",DATE(Table2[[#This Row],[Year]],Table2[[#This Row],[Month]],1))</f>
        <v/>
      </c>
    </row>
    <row r="2468" spans="7:11" x14ac:dyDescent="0.25">
      <c r="G2468" s="1" t="str">
        <f>IF(Table2[[#This Row],[Description]]="","",VLOOKUP(Table2[[#This Row],[Description]],$Q$1:$S$101,2,FALSE))</f>
        <v/>
      </c>
      <c r="H2468" s="1" t="str">
        <f>IF(Table2[[#This Row],[Description]]="","",VLOOKUP(Table2[[#This Row],[Description]],$Q$1:$S$101,3,FALSE))</f>
        <v/>
      </c>
      <c r="I2468" s="1" t="str">
        <f>IF(Table2[[#This Row],[Description]]="","",IF(Table2[[#This Row],[Currency]]=$O$2,$P$2,HLOOKUP(Table2[[#This Row],[Date]],Funds!$C$10:$GV$11,2,FALSE)))</f>
        <v/>
      </c>
      <c r="J2468" s="215" t="str">
        <f>IF(Table2[[#This Row],[Description]]="","",Table2[[#This Row],[Value]]/Table2[[#This Row],[Conversion]])</f>
        <v/>
      </c>
      <c r="K2468" s="45" t="str">
        <f>IF(Table2[[#This Row],[Description]]="","",DATE(Table2[[#This Row],[Year]],Table2[[#This Row],[Month]],1))</f>
        <v/>
      </c>
    </row>
    <row r="2469" spans="7:11" x14ac:dyDescent="0.25">
      <c r="G2469" s="1" t="str">
        <f>IF(Table2[[#This Row],[Description]]="","",VLOOKUP(Table2[[#This Row],[Description]],$Q$1:$S$101,2,FALSE))</f>
        <v/>
      </c>
      <c r="H2469" s="1" t="str">
        <f>IF(Table2[[#This Row],[Description]]="","",VLOOKUP(Table2[[#This Row],[Description]],$Q$1:$S$101,3,FALSE))</f>
        <v/>
      </c>
      <c r="I2469" s="1" t="str">
        <f>IF(Table2[[#This Row],[Description]]="","",IF(Table2[[#This Row],[Currency]]=$O$2,$P$2,HLOOKUP(Table2[[#This Row],[Date]],Funds!$C$10:$GV$11,2,FALSE)))</f>
        <v/>
      </c>
      <c r="J2469" s="215" t="str">
        <f>IF(Table2[[#This Row],[Description]]="","",Table2[[#This Row],[Value]]/Table2[[#This Row],[Conversion]])</f>
        <v/>
      </c>
      <c r="K2469" s="45" t="str">
        <f>IF(Table2[[#This Row],[Description]]="","",DATE(Table2[[#This Row],[Year]],Table2[[#This Row],[Month]],1))</f>
        <v/>
      </c>
    </row>
    <row r="2470" spans="7:11" x14ac:dyDescent="0.25">
      <c r="G2470" s="1" t="str">
        <f>IF(Table2[[#This Row],[Description]]="","",VLOOKUP(Table2[[#This Row],[Description]],$Q$1:$S$101,2,FALSE))</f>
        <v/>
      </c>
      <c r="H2470" s="1" t="str">
        <f>IF(Table2[[#This Row],[Description]]="","",VLOOKUP(Table2[[#This Row],[Description]],$Q$1:$S$101,3,FALSE))</f>
        <v/>
      </c>
      <c r="I2470" s="1" t="str">
        <f>IF(Table2[[#This Row],[Description]]="","",IF(Table2[[#This Row],[Currency]]=$O$2,$P$2,HLOOKUP(Table2[[#This Row],[Date]],Funds!$C$10:$GV$11,2,FALSE)))</f>
        <v/>
      </c>
      <c r="J2470" s="215" t="str">
        <f>IF(Table2[[#This Row],[Description]]="","",Table2[[#This Row],[Value]]/Table2[[#This Row],[Conversion]])</f>
        <v/>
      </c>
      <c r="K2470" s="45" t="str">
        <f>IF(Table2[[#This Row],[Description]]="","",DATE(Table2[[#This Row],[Year]],Table2[[#This Row],[Month]],1))</f>
        <v/>
      </c>
    </row>
    <row r="2471" spans="7:11" x14ac:dyDescent="0.25">
      <c r="G2471" s="1" t="str">
        <f>IF(Table2[[#This Row],[Description]]="","",VLOOKUP(Table2[[#This Row],[Description]],$Q$1:$S$101,2,FALSE))</f>
        <v/>
      </c>
      <c r="H2471" s="1" t="str">
        <f>IF(Table2[[#This Row],[Description]]="","",VLOOKUP(Table2[[#This Row],[Description]],$Q$1:$S$101,3,FALSE))</f>
        <v/>
      </c>
      <c r="I2471" s="1" t="str">
        <f>IF(Table2[[#This Row],[Description]]="","",IF(Table2[[#This Row],[Currency]]=$O$2,$P$2,HLOOKUP(Table2[[#This Row],[Date]],Funds!$C$10:$GV$11,2,FALSE)))</f>
        <v/>
      </c>
      <c r="J2471" s="215" t="str">
        <f>IF(Table2[[#This Row],[Description]]="","",Table2[[#This Row],[Value]]/Table2[[#This Row],[Conversion]])</f>
        <v/>
      </c>
      <c r="K2471" s="45" t="str">
        <f>IF(Table2[[#This Row],[Description]]="","",DATE(Table2[[#This Row],[Year]],Table2[[#This Row],[Month]],1))</f>
        <v/>
      </c>
    </row>
    <row r="2472" spans="7:11" x14ac:dyDescent="0.25">
      <c r="G2472" s="1" t="str">
        <f>IF(Table2[[#This Row],[Description]]="","",VLOOKUP(Table2[[#This Row],[Description]],$Q$1:$S$101,2,FALSE))</f>
        <v/>
      </c>
      <c r="H2472" s="1" t="str">
        <f>IF(Table2[[#This Row],[Description]]="","",VLOOKUP(Table2[[#This Row],[Description]],$Q$1:$S$101,3,FALSE))</f>
        <v/>
      </c>
      <c r="I2472" s="1" t="str">
        <f>IF(Table2[[#This Row],[Description]]="","",IF(Table2[[#This Row],[Currency]]=$O$2,$P$2,HLOOKUP(Table2[[#This Row],[Date]],Funds!$C$10:$GV$11,2,FALSE)))</f>
        <v/>
      </c>
      <c r="J2472" s="215" t="str">
        <f>IF(Table2[[#This Row],[Description]]="","",Table2[[#This Row],[Value]]/Table2[[#This Row],[Conversion]])</f>
        <v/>
      </c>
      <c r="K2472" s="45" t="str">
        <f>IF(Table2[[#This Row],[Description]]="","",DATE(Table2[[#This Row],[Year]],Table2[[#This Row],[Month]],1))</f>
        <v/>
      </c>
    </row>
    <row r="2473" spans="7:11" x14ac:dyDescent="0.25">
      <c r="G2473" s="1" t="str">
        <f>IF(Table2[[#This Row],[Description]]="","",VLOOKUP(Table2[[#This Row],[Description]],$Q$1:$S$101,2,FALSE))</f>
        <v/>
      </c>
      <c r="H2473" s="1" t="str">
        <f>IF(Table2[[#This Row],[Description]]="","",VLOOKUP(Table2[[#This Row],[Description]],$Q$1:$S$101,3,FALSE))</f>
        <v/>
      </c>
      <c r="I2473" s="1" t="str">
        <f>IF(Table2[[#This Row],[Description]]="","",IF(Table2[[#This Row],[Currency]]=$O$2,$P$2,HLOOKUP(Table2[[#This Row],[Date]],Funds!$C$10:$GV$11,2,FALSE)))</f>
        <v/>
      </c>
      <c r="J2473" s="215" t="str">
        <f>IF(Table2[[#This Row],[Description]]="","",Table2[[#This Row],[Value]]/Table2[[#This Row],[Conversion]])</f>
        <v/>
      </c>
      <c r="K2473" s="45" t="str">
        <f>IF(Table2[[#This Row],[Description]]="","",DATE(Table2[[#This Row],[Year]],Table2[[#This Row],[Month]],1))</f>
        <v/>
      </c>
    </row>
    <row r="2474" spans="7:11" x14ac:dyDescent="0.25">
      <c r="G2474" s="1" t="str">
        <f>IF(Table2[[#This Row],[Description]]="","",VLOOKUP(Table2[[#This Row],[Description]],$Q$1:$S$101,2,FALSE))</f>
        <v/>
      </c>
      <c r="H2474" s="1" t="str">
        <f>IF(Table2[[#This Row],[Description]]="","",VLOOKUP(Table2[[#This Row],[Description]],$Q$1:$S$101,3,FALSE))</f>
        <v/>
      </c>
      <c r="I2474" s="1" t="str">
        <f>IF(Table2[[#This Row],[Description]]="","",IF(Table2[[#This Row],[Currency]]=$O$2,$P$2,HLOOKUP(Table2[[#This Row],[Date]],Funds!$C$10:$GV$11,2,FALSE)))</f>
        <v/>
      </c>
      <c r="J2474" s="215" t="str">
        <f>IF(Table2[[#This Row],[Description]]="","",Table2[[#This Row],[Value]]/Table2[[#This Row],[Conversion]])</f>
        <v/>
      </c>
      <c r="K2474" s="45" t="str">
        <f>IF(Table2[[#This Row],[Description]]="","",DATE(Table2[[#This Row],[Year]],Table2[[#This Row],[Month]],1))</f>
        <v/>
      </c>
    </row>
    <row r="2475" spans="7:11" x14ac:dyDescent="0.25">
      <c r="G2475" s="1" t="str">
        <f>IF(Table2[[#This Row],[Description]]="","",VLOOKUP(Table2[[#This Row],[Description]],$Q$1:$S$101,2,FALSE))</f>
        <v/>
      </c>
      <c r="H2475" s="1" t="str">
        <f>IF(Table2[[#This Row],[Description]]="","",VLOOKUP(Table2[[#This Row],[Description]],$Q$1:$S$101,3,FALSE))</f>
        <v/>
      </c>
      <c r="I2475" s="1" t="str">
        <f>IF(Table2[[#This Row],[Description]]="","",IF(Table2[[#This Row],[Currency]]=$O$2,$P$2,HLOOKUP(Table2[[#This Row],[Date]],Funds!$C$10:$GV$11,2,FALSE)))</f>
        <v/>
      </c>
      <c r="J2475" s="215" t="str">
        <f>IF(Table2[[#This Row],[Description]]="","",Table2[[#This Row],[Value]]/Table2[[#This Row],[Conversion]])</f>
        <v/>
      </c>
      <c r="K2475" s="45" t="str">
        <f>IF(Table2[[#This Row],[Description]]="","",DATE(Table2[[#This Row],[Year]],Table2[[#This Row],[Month]],1))</f>
        <v/>
      </c>
    </row>
    <row r="2476" spans="7:11" x14ac:dyDescent="0.25">
      <c r="G2476" s="1" t="str">
        <f>IF(Table2[[#This Row],[Description]]="","",VLOOKUP(Table2[[#This Row],[Description]],$Q$1:$S$101,2,FALSE))</f>
        <v/>
      </c>
      <c r="H2476" s="1" t="str">
        <f>IF(Table2[[#This Row],[Description]]="","",VLOOKUP(Table2[[#This Row],[Description]],$Q$1:$S$101,3,FALSE))</f>
        <v/>
      </c>
      <c r="I2476" s="1" t="str">
        <f>IF(Table2[[#This Row],[Description]]="","",IF(Table2[[#This Row],[Currency]]=$O$2,$P$2,HLOOKUP(Table2[[#This Row],[Date]],Funds!$C$10:$GV$11,2,FALSE)))</f>
        <v/>
      </c>
      <c r="J2476" s="215" t="str">
        <f>IF(Table2[[#This Row],[Description]]="","",Table2[[#This Row],[Value]]/Table2[[#This Row],[Conversion]])</f>
        <v/>
      </c>
      <c r="K2476" s="45" t="str">
        <f>IF(Table2[[#This Row],[Description]]="","",DATE(Table2[[#This Row],[Year]],Table2[[#This Row],[Month]],1))</f>
        <v/>
      </c>
    </row>
    <row r="2477" spans="7:11" x14ac:dyDescent="0.25">
      <c r="G2477" s="1" t="str">
        <f>IF(Table2[[#This Row],[Description]]="","",VLOOKUP(Table2[[#This Row],[Description]],$Q$1:$S$101,2,FALSE))</f>
        <v/>
      </c>
      <c r="H2477" s="1" t="str">
        <f>IF(Table2[[#This Row],[Description]]="","",VLOOKUP(Table2[[#This Row],[Description]],$Q$1:$S$101,3,FALSE))</f>
        <v/>
      </c>
      <c r="I2477" s="1" t="str">
        <f>IF(Table2[[#This Row],[Description]]="","",IF(Table2[[#This Row],[Currency]]=$O$2,$P$2,HLOOKUP(Table2[[#This Row],[Date]],Funds!$C$10:$GV$11,2,FALSE)))</f>
        <v/>
      </c>
      <c r="J2477" s="215" t="str">
        <f>IF(Table2[[#This Row],[Description]]="","",Table2[[#This Row],[Value]]/Table2[[#This Row],[Conversion]])</f>
        <v/>
      </c>
      <c r="K2477" s="45" t="str">
        <f>IF(Table2[[#This Row],[Description]]="","",DATE(Table2[[#This Row],[Year]],Table2[[#This Row],[Month]],1))</f>
        <v/>
      </c>
    </row>
    <row r="2478" spans="7:11" x14ac:dyDescent="0.25">
      <c r="G2478" s="1" t="str">
        <f>IF(Table2[[#This Row],[Description]]="","",VLOOKUP(Table2[[#This Row],[Description]],$Q$1:$S$101,2,FALSE))</f>
        <v/>
      </c>
      <c r="H2478" s="1" t="str">
        <f>IF(Table2[[#This Row],[Description]]="","",VLOOKUP(Table2[[#This Row],[Description]],$Q$1:$S$101,3,FALSE))</f>
        <v/>
      </c>
      <c r="I2478" s="1" t="str">
        <f>IF(Table2[[#This Row],[Description]]="","",IF(Table2[[#This Row],[Currency]]=$O$2,$P$2,HLOOKUP(Table2[[#This Row],[Date]],Funds!$C$10:$GV$11,2,FALSE)))</f>
        <v/>
      </c>
      <c r="J2478" s="215" t="str">
        <f>IF(Table2[[#This Row],[Description]]="","",Table2[[#This Row],[Value]]/Table2[[#This Row],[Conversion]])</f>
        <v/>
      </c>
      <c r="K2478" s="45" t="str">
        <f>IF(Table2[[#This Row],[Description]]="","",DATE(Table2[[#This Row],[Year]],Table2[[#This Row],[Month]],1))</f>
        <v/>
      </c>
    </row>
    <row r="2479" spans="7:11" x14ac:dyDescent="0.25">
      <c r="G2479" s="1" t="str">
        <f>IF(Table2[[#This Row],[Description]]="","",VLOOKUP(Table2[[#This Row],[Description]],$Q$1:$S$101,2,FALSE))</f>
        <v/>
      </c>
      <c r="H2479" s="1" t="str">
        <f>IF(Table2[[#This Row],[Description]]="","",VLOOKUP(Table2[[#This Row],[Description]],$Q$1:$S$101,3,FALSE))</f>
        <v/>
      </c>
      <c r="I2479" s="1" t="str">
        <f>IF(Table2[[#This Row],[Description]]="","",IF(Table2[[#This Row],[Currency]]=$O$2,$P$2,HLOOKUP(Table2[[#This Row],[Date]],Funds!$C$10:$GV$11,2,FALSE)))</f>
        <v/>
      </c>
      <c r="J2479" s="215" t="str">
        <f>IF(Table2[[#This Row],[Description]]="","",Table2[[#This Row],[Value]]/Table2[[#This Row],[Conversion]])</f>
        <v/>
      </c>
      <c r="K2479" s="45" t="str">
        <f>IF(Table2[[#This Row],[Description]]="","",DATE(Table2[[#This Row],[Year]],Table2[[#This Row],[Month]],1))</f>
        <v/>
      </c>
    </row>
    <row r="2480" spans="7:11" x14ac:dyDescent="0.25">
      <c r="G2480" s="1" t="str">
        <f>IF(Table2[[#This Row],[Description]]="","",VLOOKUP(Table2[[#This Row],[Description]],$Q$1:$S$101,2,FALSE))</f>
        <v/>
      </c>
      <c r="H2480" s="1" t="str">
        <f>IF(Table2[[#This Row],[Description]]="","",VLOOKUP(Table2[[#This Row],[Description]],$Q$1:$S$101,3,FALSE))</f>
        <v/>
      </c>
      <c r="I2480" s="1" t="str">
        <f>IF(Table2[[#This Row],[Description]]="","",IF(Table2[[#This Row],[Currency]]=$O$2,$P$2,HLOOKUP(Table2[[#This Row],[Date]],Funds!$C$10:$GV$11,2,FALSE)))</f>
        <v/>
      </c>
      <c r="J2480" s="215" t="str">
        <f>IF(Table2[[#This Row],[Description]]="","",Table2[[#This Row],[Value]]/Table2[[#This Row],[Conversion]])</f>
        <v/>
      </c>
      <c r="K2480" s="45" t="str">
        <f>IF(Table2[[#This Row],[Description]]="","",DATE(Table2[[#This Row],[Year]],Table2[[#This Row],[Month]],1))</f>
        <v/>
      </c>
    </row>
    <row r="2481" spans="7:11" x14ac:dyDescent="0.25">
      <c r="G2481" s="1" t="str">
        <f>IF(Table2[[#This Row],[Description]]="","",VLOOKUP(Table2[[#This Row],[Description]],$Q$1:$S$101,2,FALSE))</f>
        <v/>
      </c>
      <c r="H2481" s="1" t="str">
        <f>IF(Table2[[#This Row],[Description]]="","",VLOOKUP(Table2[[#This Row],[Description]],$Q$1:$S$101,3,FALSE))</f>
        <v/>
      </c>
      <c r="I2481" s="1" t="str">
        <f>IF(Table2[[#This Row],[Description]]="","",IF(Table2[[#This Row],[Currency]]=$O$2,$P$2,HLOOKUP(Table2[[#This Row],[Date]],Funds!$C$10:$GV$11,2,FALSE)))</f>
        <v/>
      </c>
      <c r="J2481" s="215" t="str">
        <f>IF(Table2[[#This Row],[Description]]="","",Table2[[#This Row],[Value]]/Table2[[#This Row],[Conversion]])</f>
        <v/>
      </c>
      <c r="K2481" s="45" t="str">
        <f>IF(Table2[[#This Row],[Description]]="","",DATE(Table2[[#This Row],[Year]],Table2[[#This Row],[Month]],1))</f>
        <v/>
      </c>
    </row>
    <row r="2482" spans="7:11" x14ac:dyDescent="0.25">
      <c r="G2482" s="1" t="str">
        <f>IF(Table2[[#This Row],[Description]]="","",VLOOKUP(Table2[[#This Row],[Description]],$Q$1:$S$101,2,FALSE))</f>
        <v/>
      </c>
      <c r="H2482" s="1" t="str">
        <f>IF(Table2[[#This Row],[Description]]="","",VLOOKUP(Table2[[#This Row],[Description]],$Q$1:$S$101,3,FALSE))</f>
        <v/>
      </c>
      <c r="I2482" s="1" t="str">
        <f>IF(Table2[[#This Row],[Description]]="","",IF(Table2[[#This Row],[Currency]]=$O$2,$P$2,HLOOKUP(Table2[[#This Row],[Date]],Funds!$C$10:$GV$11,2,FALSE)))</f>
        <v/>
      </c>
      <c r="J2482" s="215" t="str">
        <f>IF(Table2[[#This Row],[Description]]="","",Table2[[#This Row],[Value]]/Table2[[#This Row],[Conversion]])</f>
        <v/>
      </c>
      <c r="K2482" s="45" t="str">
        <f>IF(Table2[[#This Row],[Description]]="","",DATE(Table2[[#This Row],[Year]],Table2[[#This Row],[Month]],1))</f>
        <v/>
      </c>
    </row>
    <row r="2483" spans="7:11" x14ac:dyDescent="0.25">
      <c r="G2483" s="1" t="str">
        <f>IF(Table2[[#This Row],[Description]]="","",VLOOKUP(Table2[[#This Row],[Description]],$Q$1:$S$101,2,FALSE))</f>
        <v/>
      </c>
      <c r="H2483" s="1" t="str">
        <f>IF(Table2[[#This Row],[Description]]="","",VLOOKUP(Table2[[#This Row],[Description]],$Q$1:$S$101,3,FALSE))</f>
        <v/>
      </c>
      <c r="I2483" s="1" t="str">
        <f>IF(Table2[[#This Row],[Description]]="","",IF(Table2[[#This Row],[Currency]]=$O$2,$P$2,HLOOKUP(Table2[[#This Row],[Date]],Funds!$C$10:$GV$11,2,FALSE)))</f>
        <v/>
      </c>
      <c r="J2483" s="215" t="str">
        <f>IF(Table2[[#This Row],[Description]]="","",Table2[[#This Row],[Value]]/Table2[[#This Row],[Conversion]])</f>
        <v/>
      </c>
      <c r="K2483" s="45" t="str">
        <f>IF(Table2[[#This Row],[Description]]="","",DATE(Table2[[#This Row],[Year]],Table2[[#This Row],[Month]],1))</f>
        <v/>
      </c>
    </row>
    <row r="2484" spans="7:11" x14ac:dyDescent="0.25">
      <c r="G2484" s="1" t="str">
        <f>IF(Table2[[#This Row],[Description]]="","",VLOOKUP(Table2[[#This Row],[Description]],$Q$1:$S$101,2,FALSE))</f>
        <v/>
      </c>
      <c r="H2484" s="1" t="str">
        <f>IF(Table2[[#This Row],[Description]]="","",VLOOKUP(Table2[[#This Row],[Description]],$Q$1:$S$101,3,FALSE))</f>
        <v/>
      </c>
      <c r="I2484" s="1" t="str">
        <f>IF(Table2[[#This Row],[Description]]="","",IF(Table2[[#This Row],[Currency]]=$O$2,$P$2,HLOOKUP(Table2[[#This Row],[Date]],Funds!$C$10:$GV$11,2,FALSE)))</f>
        <v/>
      </c>
      <c r="J2484" s="215" t="str">
        <f>IF(Table2[[#This Row],[Description]]="","",Table2[[#This Row],[Value]]/Table2[[#This Row],[Conversion]])</f>
        <v/>
      </c>
      <c r="K2484" s="45" t="str">
        <f>IF(Table2[[#This Row],[Description]]="","",DATE(Table2[[#This Row],[Year]],Table2[[#This Row],[Month]],1))</f>
        <v/>
      </c>
    </row>
    <row r="2485" spans="7:11" x14ac:dyDescent="0.25">
      <c r="G2485" s="1" t="str">
        <f>IF(Table2[[#This Row],[Description]]="","",VLOOKUP(Table2[[#This Row],[Description]],$Q$1:$S$101,2,FALSE))</f>
        <v/>
      </c>
      <c r="H2485" s="1" t="str">
        <f>IF(Table2[[#This Row],[Description]]="","",VLOOKUP(Table2[[#This Row],[Description]],$Q$1:$S$101,3,FALSE))</f>
        <v/>
      </c>
      <c r="I2485" s="1" t="str">
        <f>IF(Table2[[#This Row],[Description]]="","",IF(Table2[[#This Row],[Currency]]=$O$2,$P$2,HLOOKUP(Table2[[#This Row],[Date]],Funds!$C$10:$GV$11,2,FALSE)))</f>
        <v/>
      </c>
      <c r="J2485" s="215" t="str">
        <f>IF(Table2[[#This Row],[Description]]="","",Table2[[#This Row],[Value]]/Table2[[#This Row],[Conversion]])</f>
        <v/>
      </c>
      <c r="K2485" s="45" t="str">
        <f>IF(Table2[[#This Row],[Description]]="","",DATE(Table2[[#This Row],[Year]],Table2[[#This Row],[Month]],1))</f>
        <v/>
      </c>
    </row>
    <row r="2486" spans="7:11" x14ac:dyDescent="0.25">
      <c r="G2486" s="1" t="str">
        <f>IF(Table2[[#This Row],[Description]]="","",VLOOKUP(Table2[[#This Row],[Description]],$Q$1:$S$101,2,FALSE))</f>
        <v/>
      </c>
      <c r="H2486" s="1" t="str">
        <f>IF(Table2[[#This Row],[Description]]="","",VLOOKUP(Table2[[#This Row],[Description]],$Q$1:$S$101,3,FALSE))</f>
        <v/>
      </c>
      <c r="I2486" s="1" t="str">
        <f>IF(Table2[[#This Row],[Description]]="","",IF(Table2[[#This Row],[Currency]]=$O$2,$P$2,HLOOKUP(Table2[[#This Row],[Date]],Funds!$C$10:$GV$11,2,FALSE)))</f>
        <v/>
      </c>
      <c r="J2486" s="215" t="str">
        <f>IF(Table2[[#This Row],[Description]]="","",Table2[[#This Row],[Value]]/Table2[[#This Row],[Conversion]])</f>
        <v/>
      </c>
      <c r="K2486" s="45" t="str">
        <f>IF(Table2[[#This Row],[Description]]="","",DATE(Table2[[#This Row],[Year]],Table2[[#This Row],[Month]],1))</f>
        <v/>
      </c>
    </row>
    <row r="2487" spans="7:11" x14ac:dyDescent="0.25">
      <c r="G2487" s="1" t="str">
        <f>IF(Table2[[#This Row],[Description]]="","",VLOOKUP(Table2[[#This Row],[Description]],$Q$1:$S$101,2,FALSE))</f>
        <v/>
      </c>
      <c r="H2487" s="1" t="str">
        <f>IF(Table2[[#This Row],[Description]]="","",VLOOKUP(Table2[[#This Row],[Description]],$Q$1:$S$101,3,FALSE))</f>
        <v/>
      </c>
      <c r="I2487" s="1" t="str">
        <f>IF(Table2[[#This Row],[Description]]="","",IF(Table2[[#This Row],[Currency]]=$O$2,$P$2,HLOOKUP(Table2[[#This Row],[Date]],Funds!$C$10:$GV$11,2,FALSE)))</f>
        <v/>
      </c>
      <c r="J2487" s="215" t="str">
        <f>IF(Table2[[#This Row],[Description]]="","",Table2[[#This Row],[Value]]/Table2[[#This Row],[Conversion]])</f>
        <v/>
      </c>
      <c r="K2487" s="45" t="str">
        <f>IF(Table2[[#This Row],[Description]]="","",DATE(Table2[[#This Row],[Year]],Table2[[#This Row],[Month]],1))</f>
        <v/>
      </c>
    </row>
    <row r="2488" spans="7:11" x14ac:dyDescent="0.25">
      <c r="G2488" s="1" t="str">
        <f>IF(Table2[[#This Row],[Description]]="","",VLOOKUP(Table2[[#This Row],[Description]],$Q$1:$S$101,2,FALSE))</f>
        <v/>
      </c>
      <c r="H2488" s="1" t="str">
        <f>IF(Table2[[#This Row],[Description]]="","",VLOOKUP(Table2[[#This Row],[Description]],$Q$1:$S$101,3,FALSE))</f>
        <v/>
      </c>
      <c r="I2488" s="1" t="str">
        <f>IF(Table2[[#This Row],[Description]]="","",IF(Table2[[#This Row],[Currency]]=$O$2,$P$2,HLOOKUP(Table2[[#This Row],[Date]],Funds!$C$10:$GV$11,2,FALSE)))</f>
        <v/>
      </c>
      <c r="J2488" s="215" t="str">
        <f>IF(Table2[[#This Row],[Description]]="","",Table2[[#This Row],[Value]]/Table2[[#This Row],[Conversion]])</f>
        <v/>
      </c>
      <c r="K2488" s="45" t="str">
        <f>IF(Table2[[#This Row],[Description]]="","",DATE(Table2[[#This Row],[Year]],Table2[[#This Row],[Month]],1))</f>
        <v/>
      </c>
    </row>
    <row r="2489" spans="7:11" x14ac:dyDescent="0.25">
      <c r="G2489" s="1" t="str">
        <f>IF(Table2[[#This Row],[Description]]="","",VLOOKUP(Table2[[#This Row],[Description]],$Q$1:$S$101,2,FALSE))</f>
        <v/>
      </c>
      <c r="H2489" s="1" t="str">
        <f>IF(Table2[[#This Row],[Description]]="","",VLOOKUP(Table2[[#This Row],[Description]],$Q$1:$S$101,3,FALSE))</f>
        <v/>
      </c>
      <c r="I2489" s="1" t="str">
        <f>IF(Table2[[#This Row],[Description]]="","",IF(Table2[[#This Row],[Currency]]=$O$2,$P$2,HLOOKUP(Table2[[#This Row],[Date]],Funds!$C$10:$GV$11,2,FALSE)))</f>
        <v/>
      </c>
      <c r="J2489" s="215" t="str">
        <f>IF(Table2[[#This Row],[Description]]="","",Table2[[#This Row],[Value]]/Table2[[#This Row],[Conversion]])</f>
        <v/>
      </c>
      <c r="K2489" s="45" t="str">
        <f>IF(Table2[[#This Row],[Description]]="","",DATE(Table2[[#This Row],[Year]],Table2[[#This Row],[Month]],1))</f>
        <v/>
      </c>
    </row>
    <row r="2490" spans="7:11" x14ac:dyDescent="0.25">
      <c r="G2490" s="1" t="str">
        <f>IF(Table2[[#This Row],[Description]]="","",VLOOKUP(Table2[[#This Row],[Description]],$Q$1:$S$101,2,FALSE))</f>
        <v/>
      </c>
      <c r="H2490" s="1" t="str">
        <f>IF(Table2[[#This Row],[Description]]="","",VLOOKUP(Table2[[#This Row],[Description]],$Q$1:$S$101,3,FALSE))</f>
        <v/>
      </c>
      <c r="I2490" s="1" t="str">
        <f>IF(Table2[[#This Row],[Description]]="","",IF(Table2[[#This Row],[Currency]]=$O$2,$P$2,HLOOKUP(Table2[[#This Row],[Date]],Funds!$C$10:$GV$11,2,FALSE)))</f>
        <v/>
      </c>
      <c r="J2490" s="215" t="str">
        <f>IF(Table2[[#This Row],[Description]]="","",Table2[[#This Row],[Value]]/Table2[[#This Row],[Conversion]])</f>
        <v/>
      </c>
      <c r="K2490" s="45" t="str">
        <f>IF(Table2[[#This Row],[Description]]="","",DATE(Table2[[#This Row],[Year]],Table2[[#This Row],[Month]],1))</f>
        <v/>
      </c>
    </row>
    <row r="2491" spans="7:11" x14ac:dyDescent="0.25">
      <c r="G2491" s="1" t="str">
        <f>IF(Table2[[#This Row],[Description]]="","",VLOOKUP(Table2[[#This Row],[Description]],$Q$1:$S$101,2,FALSE))</f>
        <v/>
      </c>
      <c r="H2491" s="1" t="str">
        <f>IF(Table2[[#This Row],[Description]]="","",VLOOKUP(Table2[[#This Row],[Description]],$Q$1:$S$101,3,FALSE))</f>
        <v/>
      </c>
      <c r="I2491" s="1" t="str">
        <f>IF(Table2[[#This Row],[Description]]="","",IF(Table2[[#This Row],[Currency]]=$O$2,$P$2,HLOOKUP(Table2[[#This Row],[Date]],Funds!$C$10:$GV$11,2,FALSE)))</f>
        <v/>
      </c>
      <c r="J2491" s="215" t="str">
        <f>IF(Table2[[#This Row],[Description]]="","",Table2[[#This Row],[Value]]/Table2[[#This Row],[Conversion]])</f>
        <v/>
      </c>
      <c r="K2491" s="45" t="str">
        <f>IF(Table2[[#This Row],[Description]]="","",DATE(Table2[[#This Row],[Year]],Table2[[#This Row],[Month]],1))</f>
        <v/>
      </c>
    </row>
    <row r="2492" spans="7:11" x14ac:dyDescent="0.25">
      <c r="G2492" s="1" t="str">
        <f>IF(Table2[[#This Row],[Description]]="","",VLOOKUP(Table2[[#This Row],[Description]],$Q$1:$S$101,2,FALSE))</f>
        <v/>
      </c>
      <c r="H2492" s="1" t="str">
        <f>IF(Table2[[#This Row],[Description]]="","",VLOOKUP(Table2[[#This Row],[Description]],$Q$1:$S$101,3,FALSE))</f>
        <v/>
      </c>
      <c r="I2492" s="1" t="str">
        <f>IF(Table2[[#This Row],[Description]]="","",IF(Table2[[#This Row],[Currency]]=$O$2,$P$2,HLOOKUP(Table2[[#This Row],[Date]],Funds!$C$10:$GV$11,2,FALSE)))</f>
        <v/>
      </c>
      <c r="J2492" s="215" t="str">
        <f>IF(Table2[[#This Row],[Description]]="","",Table2[[#This Row],[Value]]/Table2[[#This Row],[Conversion]])</f>
        <v/>
      </c>
      <c r="K2492" s="45" t="str">
        <f>IF(Table2[[#This Row],[Description]]="","",DATE(Table2[[#This Row],[Year]],Table2[[#This Row],[Month]],1))</f>
        <v/>
      </c>
    </row>
    <row r="2493" spans="7:11" x14ac:dyDescent="0.25">
      <c r="G2493" s="1" t="str">
        <f>IF(Table2[[#This Row],[Description]]="","",VLOOKUP(Table2[[#This Row],[Description]],$Q$1:$S$101,2,FALSE))</f>
        <v/>
      </c>
      <c r="H2493" s="1" t="str">
        <f>IF(Table2[[#This Row],[Description]]="","",VLOOKUP(Table2[[#This Row],[Description]],$Q$1:$S$101,3,FALSE))</f>
        <v/>
      </c>
      <c r="I2493" s="1" t="str">
        <f>IF(Table2[[#This Row],[Description]]="","",IF(Table2[[#This Row],[Currency]]=$O$2,$P$2,HLOOKUP(Table2[[#This Row],[Date]],Funds!$C$10:$GV$11,2,FALSE)))</f>
        <v/>
      </c>
      <c r="J2493" s="215" t="str">
        <f>IF(Table2[[#This Row],[Description]]="","",Table2[[#This Row],[Value]]/Table2[[#This Row],[Conversion]])</f>
        <v/>
      </c>
      <c r="K2493" s="45" t="str">
        <f>IF(Table2[[#This Row],[Description]]="","",DATE(Table2[[#This Row],[Year]],Table2[[#This Row],[Month]],1))</f>
        <v/>
      </c>
    </row>
    <row r="2494" spans="7:11" x14ac:dyDescent="0.25">
      <c r="G2494" s="1" t="str">
        <f>IF(Table2[[#This Row],[Description]]="","",VLOOKUP(Table2[[#This Row],[Description]],$Q$1:$S$101,2,FALSE))</f>
        <v/>
      </c>
      <c r="H2494" s="1" t="str">
        <f>IF(Table2[[#This Row],[Description]]="","",VLOOKUP(Table2[[#This Row],[Description]],$Q$1:$S$101,3,FALSE))</f>
        <v/>
      </c>
      <c r="I2494" s="1" t="str">
        <f>IF(Table2[[#This Row],[Description]]="","",IF(Table2[[#This Row],[Currency]]=$O$2,$P$2,HLOOKUP(Table2[[#This Row],[Date]],Funds!$C$10:$GV$11,2,FALSE)))</f>
        <v/>
      </c>
      <c r="J2494" s="215" t="str">
        <f>IF(Table2[[#This Row],[Description]]="","",Table2[[#This Row],[Value]]/Table2[[#This Row],[Conversion]])</f>
        <v/>
      </c>
      <c r="K2494" s="45" t="str">
        <f>IF(Table2[[#This Row],[Description]]="","",DATE(Table2[[#This Row],[Year]],Table2[[#This Row],[Month]],1))</f>
        <v/>
      </c>
    </row>
    <row r="2495" spans="7:11" x14ac:dyDescent="0.25">
      <c r="G2495" s="1" t="str">
        <f>IF(Table2[[#This Row],[Description]]="","",VLOOKUP(Table2[[#This Row],[Description]],$Q$1:$S$101,2,FALSE))</f>
        <v/>
      </c>
      <c r="H2495" s="1" t="str">
        <f>IF(Table2[[#This Row],[Description]]="","",VLOOKUP(Table2[[#This Row],[Description]],$Q$1:$S$101,3,FALSE))</f>
        <v/>
      </c>
      <c r="I2495" s="1" t="str">
        <f>IF(Table2[[#This Row],[Description]]="","",IF(Table2[[#This Row],[Currency]]=$O$2,$P$2,HLOOKUP(Table2[[#This Row],[Date]],Funds!$C$10:$GV$11,2,FALSE)))</f>
        <v/>
      </c>
      <c r="J2495" s="215" t="str">
        <f>IF(Table2[[#This Row],[Description]]="","",Table2[[#This Row],[Value]]/Table2[[#This Row],[Conversion]])</f>
        <v/>
      </c>
      <c r="K2495" s="45" t="str">
        <f>IF(Table2[[#This Row],[Description]]="","",DATE(Table2[[#This Row],[Year]],Table2[[#This Row],[Month]],1))</f>
        <v/>
      </c>
    </row>
    <row r="2496" spans="7:11" x14ac:dyDescent="0.25">
      <c r="G2496" s="1" t="str">
        <f>IF(Table2[[#This Row],[Description]]="","",VLOOKUP(Table2[[#This Row],[Description]],$Q$1:$S$101,2,FALSE))</f>
        <v/>
      </c>
      <c r="H2496" s="1" t="str">
        <f>IF(Table2[[#This Row],[Description]]="","",VLOOKUP(Table2[[#This Row],[Description]],$Q$1:$S$101,3,FALSE))</f>
        <v/>
      </c>
      <c r="I2496" s="1" t="str">
        <f>IF(Table2[[#This Row],[Description]]="","",IF(Table2[[#This Row],[Currency]]=$O$2,$P$2,HLOOKUP(Table2[[#This Row],[Date]],Funds!$C$10:$GV$11,2,FALSE)))</f>
        <v/>
      </c>
      <c r="J2496" s="215" t="str">
        <f>IF(Table2[[#This Row],[Description]]="","",Table2[[#This Row],[Value]]/Table2[[#This Row],[Conversion]])</f>
        <v/>
      </c>
      <c r="K2496" s="45" t="str">
        <f>IF(Table2[[#This Row],[Description]]="","",DATE(Table2[[#This Row],[Year]],Table2[[#This Row],[Month]],1))</f>
        <v/>
      </c>
    </row>
    <row r="2497" spans="7:11" x14ac:dyDescent="0.25">
      <c r="G2497" s="1" t="str">
        <f>IF(Table2[[#This Row],[Description]]="","",VLOOKUP(Table2[[#This Row],[Description]],$Q$1:$S$101,2,FALSE))</f>
        <v/>
      </c>
      <c r="H2497" s="1" t="str">
        <f>IF(Table2[[#This Row],[Description]]="","",VLOOKUP(Table2[[#This Row],[Description]],$Q$1:$S$101,3,FALSE))</f>
        <v/>
      </c>
      <c r="I2497" s="1" t="str">
        <f>IF(Table2[[#This Row],[Description]]="","",IF(Table2[[#This Row],[Currency]]=$O$2,$P$2,HLOOKUP(Table2[[#This Row],[Date]],Funds!$C$10:$GV$11,2,FALSE)))</f>
        <v/>
      </c>
      <c r="J2497" s="215" t="str">
        <f>IF(Table2[[#This Row],[Description]]="","",Table2[[#This Row],[Value]]/Table2[[#This Row],[Conversion]])</f>
        <v/>
      </c>
      <c r="K2497" s="45" t="str">
        <f>IF(Table2[[#This Row],[Description]]="","",DATE(Table2[[#This Row],[Year]],Table2[[#This Row],[Month]],1))</f>
        <v/>
      </c>
    </row>
    <row r="2498" spans="7:11" x14ac:dyDescent="0.25">
      <c r="G2498" s="1" t="str">
        <f>IF(Table2[[#This Row],[Description]]="","",VLOOKUP(Table2[[#This Row],[Description]],$Q$1:$S$101,2,FALSE))</f>
        <v/>
      </c>
      <c r="H2498" s="1" t="str">
        <f>IF(Table2[[#This Row],[Description]]="","",VLOOKUP(Table2[[#This Row],[Description]],$Q$1:$S$101,3,FALSE))</f>
        <v/>
      </c>
      <c r="I2498" s="1" t="str">
        <f>IF(Table2[[#This Row],[Description]]="","",IF(Table2[[#This Row],[Currency]]=$O$2,$P$2,HLOOKUP(Table2[[#This Row],[Date]],Funds!$C$10:$GV$11,2,FALSE)))</f>
        <v/>
      </c>
      <c r="J2498" s="215" t="str">
        <f>IF(Table2[[#This Row],[Description]]="","",Table2[[#This Row],[Value]]/Table2[[#This Row],[Conversion]])</f>
        <v/>
      </c>
      <c r="K2498" s="45" t="str">
        <f>IF(Table2[[#This Row],[Description]]="","",DATE(Table2[[#This Row],[Year]],Table2[[#This Row],[Month]],1))</f>
        <v/>
      </c>
    </row>
    <row r="2499" spans="7:11" x14ac:dyDescent="0.25">
      <c r="G2499" s="1" t="str">
        <f>IF(Table2[[#This Row],[Description]]="","",VLOOKUP(Table2[[#This Row],[Description]],$Q$1:$S$101,2,FALSE))</f>
        <v/>
      </c>
      <c r="H2499" s="1" t="str">
        <f>IF(Table2[[#This Row],[Description]]="","",VLOOKUP(Table2[[#This Row],[Description]],$Q$1:$S$101,3,FALSE))</f>
        <v/>
      </c>
      <c r="I2499" s="1" t="str">
        <f>IF(Table2[[#This Row],[Description]]="","",IF(Table2[[#This Row],[Currency]]=$O$2,$P$2,HLOOKUP(Table2[[#This Row],[Date]],Funds!$C$10:$GV$11,2,FALSE)))</f>
        <v/>
      </c>
      <c r="J2499" s="215" t="str">
        <f>IF(Table2[[#This Row],[Description]]="","",Table2[[#This Row],[Value]]/Table2[[#This Row],[Conversion]])</f>
        <v/>
      </c>
      <c r="K2499" s="45" t="str">
        <f>IF(Table2[[#This Row],[Description]]="","",DATE(Table2[[#This Row],[Year]],Table2[[#This Row],[Month]],1))</f>
        <v/>
      </c>
    </row>
    <row r="2500" spans="7:11" x14ac:dyDescent="0.25">
      <c r="G2500" s="1" t="str">
        <f>IF(Table2[[#This Row],[Description]]="","",VLOOKUP(Table2[[#This Row],[Description]],$Q$1:$S$101,2,FALSE))</f>
        <v/>
      </c>
      <c r="H2500" s="1" t="str">
        <f>IF(Table2[[#This Row],[Description]]="","",VLOOKUP(Table2[[#This Row],[Description]],$Q$1:$S$101,3,FALSE))</f>
        <v/>
      </c>
      <c r="I2500" s="1" t="str">
        <f>IF(Table2[[#This Row],[Description]]="","",IF(Table2[[#This Row],[Currency]]=$O$2,$P$2,HLOOKUP(Table2[[#This Row],[Date]],Funds!$C$10:$GV$11,2,FALSE)))</f>
        <v/>
      </c>
      <c r="J2500" s="215" t="str">
        <f>IF(Table2[[#This Row],[Description]]="","",Table2[[#This Row],[Value]]/Table2[[#This Row],[Conversion]])</f>
        <v/>
      </c>
      <c r="K2500" s="45" t="str">
        <f>IF(Table2[[#This Row],[Description]]="","",DATE(Table2[[#This Row],[Year]],Table2[[#This Row],[Month]],1))</f>
        <v/>
      </c>
    </row>
    <row r="2501" spans="7:11" x14ac:dyDescent="0.25">
      <c r="G2501" s="1" t="str">
        <f>IF(Table2[[#This Row],[Description]]="","",VLOOKUP(Table2[[#This Row],[Description]],$Q$1:$S$101,2,FALSE))</f>
        <v/>
      </c>
      <c r="H2501" s="1" t="str">
        <f>IF(Table2[[#This Row],[Description]]="","",VLOOKUP(Table2[[#This Row],[Description]],$Q$1:$S$101,3,FALSE))</f>
        <v/>
      </c>
      <c r="I2501" s="1" t="str">
        <f>IF(Table2[[#This Row],[Description]]="","",IF(Table2[[#This Row],[Currency]]=$O$2,$P$2,HLOOKUP(Table2[[#This Row],[Date]],Funds!$C$10:$GV$11,2,FALSE)))</f>
        <v/>
      </c>
      <c r="J2501" s="215" t="str">
        <f>IF(Table2[[#This Row],[Description]]="","",Table2[[#This Row],[Value]]/Table2[[#This Row],[Conversion]])</f>
        <v/>
      </c>
      <c r="K2501" s="45" t="str">
        <f>IF(Table2[[#This Row],[Description]]="","",DATE(Table2[[#This Row],[Year]],Table2[[#This Row],[Month]],1))</f>
        <v/>
      </c>
    </row>
    <row r="2502" spans="7:11" x14ac:dyDescent="0.25">
      <c r="G2502" s="1" t="str">
        <f>IF(Table2[[#This Row],[Description]]="","",VLOOKUP(Table2[[#This Row],[Description]],$Q$1:$S$101,2,FALSE))</f>
        <v/>
      </c>
      <c r="H2502" s="1" t="str">
        <f>IF(Table2[[#This Row],[Description]]="","",VLOOKUP(Table2[[#This Row],[Description]],$Q$1:$S$101,3,FALSE))</f>
        <v/>
      </c>
      <c r="I2502" s="1" t="str">
        <f>IF(Table2[[#This Row],[Description]]="","",IF(Table2[[#This Row],[Currency]]=$O$2,$P$2,HLOOKUP(Table2[[#This Row],[Date]],Funds!$C$10:$GV$11,2,FALSE)))</f>
        <v/>
      </c>
      <c r="J2502" s="215" t="str">
        <f>IF(Table2[[#This Row],[Description]]="","",Table2[[#This Row],[Value]]/Table2[[#This Row],[Conversion]])</f>
        <v/>
      </c>
      <c r="K2502" s="45" t="str">
        <f>IF(Table2[[#This Row],[Description]]="","",DATE(Table2[[#This Row],[Year]],Table2[[#This Row],[Month]],1))</f>
        <v/>
      </c>
    </row>
    <row r="2503" spans="7:11" x14ac:dyDescent="0.25">
      <c r="G2503" s="1" t="str">
        <f>IF(Table2[[#This Row],[Description]]="","",VLOOKUP(Table2[[#This Row],[Description]],$Q$1:$S$101,2,FALSE))</f>
        <v/>
      </c>
      <c r="H2503" s="1" t="str">
        <f>IF(Table2[[#This Row],[Description]]="","",VLOOKUP(Table2[[#This Row],[Description]],$Q$1:$S$101,3,FALSE))</f>
        <v/>
      </c>
      <c r="I2503" s="1" t="str">
        <f>IF(Table2[[#This Row],[Description]]="","",IF(Table2[[#This Row],[Currency]]=$O$2,$P$2,HLOOKUP(Table2[[#This Row],[Date]],Funds!$C$10:$GV$11,2,FALSE)))</f>
        <v/>
      </c>
      <c r="J2503" s="215" t="str">
        <f>IF(Table2[[#This Row],[Description]]="","",Table2[[#This Row],[Value]]/Table2[[#This Row],[Conversion]])</f>
        <v/>
      </c>
      <c r="K2503" s="45" t="str">
        <f>IF(Table2[[#This Row],[Description]]="","",DATE(Table2[[#This Row],[Year]],Table2[[#This Row],[Month]],1))</f>
        <v/>
      </c>
    </row>
    <row r="2504" spans="7:11" x14ac:dyDescent="0.25">
      <c r="G2504" s="1" t="str">
        <f>IF(Table2[[#This Row],[Description]]="","",VLOOKUP(Table2[[#This Row],[Description]],$Q$1:$S$101,2,FALSE))</f>
        <v/>
      </c>
      <c r="H2504" s="1" t="str">
        <f>IF(Table2[[#This Row],[Description]]="","",VLOOKUP(Table2[[#This Row],[Description]],$Q$1:$S$101,3,FALSE))</f>
        <v/>
      </c>
      <c r="I2504" s="1" t="str">
        <f>IF(Table2[[#This Row],[Description]]="","",IF(Table2[[#This Row],[Currency]]=$O$2,$P$2,HLOOKUP(Table2[[#This Row],[Date]],Funds!$C$10:$GV$11,2,FALSE)))</f>
        <v/>
      </c>
      <c r="J2504" s="215" t="str">
        <f>IF(Table2[[#This Row],[Description]]="","",Table2[[#This Row],[Value]]/Table2[[#This Row],[Conversion]])</f>
        <v/>
      </c>
      <c r="K2504" s="45" t="str">
        <f>IF(Table2[[#This Row],[Description]]="","",DATE(Table2[[#This Row],[Year]],Table2[[#This Row],[Month]],1))</f>
        <v/>
      </c>
    </row>
    <row r="2505" spans="7:11" x14ac:dyDescent="0.25">
      <c r="G2505" s="1" t="str">
        <f>IF(Table2[[#This Row],[Description]]="","",VLOOKUP(Table2[[#This Row],[Description]],$Q$1:$S$101,2,FALSE))</f>
        <v/>
      </c>
      <c r="H2505" s="1" t="str">
        <f>IF(Table2[[#This Row],[Description]]="","",VLOOKUP(Table2[[#This Row],[Description]],$Q$1:$S$101,3,FALSE))</f>
        <v/>
      </c>
      <c r="I2505" s="1" t="str">
        <f>IF(Table2[[#This Row],[Description]]="","",IF(Table2[[#This Row],[Currency]]=$O$2,$P$2,HLOOKUP(Table2[[#This Row],[Date]],Funds!$C$10:$GV$11,2,FALSE)))</f>
        <v/>
      </c>
      <c r="J2505" s="215" t="str">
        <f>IF(Table2[[#This Row],[Description]]="","",Table2[[#This Row],[Value]]/Table2[[#This Row],[Conversion]])</f>
        <v/>
      </c>
      <c r="K2505" s="45" t="str">
        <f>IF(Table2[[#This Row],[Description]]="","",DATE(Table2[[#This Row],[Year]],Table2[[#This Row],[Month]],1))</f>
        <v/>
      </c>
    </row>
    <row r="2506" spans="7:11" x14ac:dyDescent="0.25">
      <c r="G2506" s="1" t="str">
        <f>IF(Table2[[#This Row],[Description]]="","",VLOOKUP(Table2[[#This Row],[Description]],$Q$1:$S$101,2,FALSE))</f>
        <v/>
      </c>
      <c r="H2506" s="1" t="str">
        <f>IF(Table2[[#This Row],[Description]]="","",VLOOKUP(Table2[[#This Row],[Description]],$Q$1:$S$101,3,FALSE))</f>
        <v/>
      </c>
      <c r="I2506" s="1" t="str">
        <f>IF(Table2[[#This Row],[Description]]="","",IF(Table2[[#This Row],[Currency]]=$O$2,$P$2,HLOOKUP(Table2[[#This Row],[Date]],Funds!$C$10:$GV$11,2,FALSE)))</f>
        <v/>
      </c>
      <c r="J2506" s="215" t="str">
        <f>IF(Table2[[#This Row],[Description]]="","",Table2[[#This Row],[Value]]/Table2[[#This Row],[Conversion]])</f>
        <v/>
      </c>
      <c r="K2506" s="45" t="str">
        <f>IF(Table2[[#This Row],[Description]]="","",DATE(Table2[[#This Row],[Year]],Table2[[#This Row],[Month]],1))</f>
        <v/>
      </c>
    </row>
    <row r="2507" spans="7:11" x14ac:dyDescent="0.25">
      <c r="G2507" s="1" t="str">
        <f>IF(Table2[[#This Row],[Description]]="","",VLOOKUP(Table2[[#This Row],[Description]],$Q$1:$S$101,2,FALSE))</f>
        <v/>
      </c>
      <c r="H2507" s="1" t="str">
        <f>IF(Table2[[#This Row],[Description]]="","",VLOOKUP(Table2[[#This Row],[Description]],$Q$1:$S$101,3,FALSE))</f>
        <v/>
      </c>
      <c r="I2507" s="1" t="str">
        <f>IF(Table2[[#This Row],[Description]]="","",IF(Table2[[#This Row],[Currency]]=$O$2,$P$2,HLOOKUP(Table2[[#This Row],[Date]],Funds!$C$10:$GV$11,2,FALSE)))</f>
        <v/>
      </c>
      <c r="J2507" s="215" t="str">
        <f>IF(Table2[[#This Row],[Description]]="","",Table2[[#This Row],[Value]]/Table2[[#This Row],[Conversion]])</f>
        <v/>
      </c>
      <c r="K2507" s="45" t="str">
        <f>IF(Table2[[#This Row],[Description]]="","",DATE(Table2[[#This Row],[Year]],Table2[[#This Row],[Month]],1))</f>
        <v/>
      </c>
    </row>
    <row r="2508" spans="7:11" x14ac:dyDescent="0.25">
      <c r="G2508" s="1" t="str">
        <f>IF(Table2[[#This Row],[Description]]="","",VLOOKUP(Table2[[#This Row],[Description]],$Q$1:$S$101,2,FALSE))</f>
        <v/>
      </c>
      <c r="H2508" s="1" t="str">
        <f>IF(Table2[[#This Row],[Description]]="","",VLOOKUP(Table2[[#This Row],[Description]],$Q$1:$S$101,3,FALSE))</f>
        <v/>
      </c>
      <c r="I2508" s="1" t="str">
        <f>IF(Table2[[#This Row],[Description]]="","",IF(Table2[[#This Row],[Currency]]=$O$2,$P$2,HLOOKUP(Table2[[#This Row],[Date]],Funds!$C$10:$GV$11,2,FALSE)))</f>
        <v/>
      </c>
      <c r="J2508" s="215" t="str">
        <f>IF(Table2[[#This Row],[Description]]="","",Table2[[#This Row],[Value]]/Table2[[#This Row],[Conversion]])</f>
        <v/>
      </c>
      <c r="K2508" s="45" t="str">
        <f>IF(Table2[[#This Row],[Description]]="","",DATE(Table2[[#This Row],[Year]],Table2[[#This Row],[Month]],1))</f>
        <v/>
      </c>
    </row>
    <row r="2509" spans="7:11" x14ac:dyDescent="0.25">
      <c r="G2509" s="1" t="str">
        <f>IF(Table2[[#This Row],[Description]]="","",VLOOKUP(Table2[[#This Row],[Description]],$Q$1:$S$101,2,FALSE))</f>
        <v/>
      </c>
      <c r="H2509" s="1" t="str">
        <f>IF(Table2[[#This Row],[Description]]="","",VLOOKUP(Table2[[#This Row],[Description]],$Q$1:$S$101,3,FALSE))</f>
        <v/>
      </c>
      <c r="I2509" s="1" t="str">
        <f>IF(Table2[[#This Row],[Description]]="","",IF(Table2[[#This Row],[Currency]]=$O$2,$P$2,HLOOKUP(Table2[[#This Row],[Date]],Funds!$C$10:$GV$11,2,FALSE)))</f>
        <v/>
      </c>
      <c r="J2509" s="215" t="str">
        <f>IF(Table2[[#This Row],[Description]]="","",Table2[[#This Row],[Value]]/Table2[[#This Row],[Conversion]])</f>
        <v/>
      </c>
      <c r="K2509" s="45" t="str">
        <f>IF(Table2[[#This Row],[Description]]="","",DATE(Table2[[#This Row],[Year]],Table2[[#This Row],[Month]],1))</f>
        <v/>
      </c>
    </row>
    <row r="2510" spans="7:11" x14ac:dyDescent="0.25">
      <c r="G2510" s="1" t="str">
        <f>IF(Table2[[#This Row],[Description]]="","",VLOOKUP(Table2[[#This Row],[Description]],$Q$1:$S$101,2,FALSE))</f>
        <v/>
      </c>
      <c r="H2510" s="1" t="str">
        <f>IF(Table2[[#This Row],[Description]]="","",VLOOKUP(Table2[[#This Row],[Description]],$Q$1:$S$101,3,FALSE))</f>
        <v/>
      </c>
      <c r="I2510" s="1" t="str">
        <f>IF(Table2[[#This Row],[Description]]="","",IF(Table2[[#This Row],[Currency]]=$O$2,$P$2,HLOOKUP(Table2[[#This Row],[Date]],Funds!$C$10:$GV$11,2,FALSE)))</f>
        <v/>
      </c>
      <c r="J2510" s="215" t="str">
        <f>IF(Table2[[#This Row],[Description]]="","",Table2[[#This Row],[Value]]/Table2[[#This Row],[Conversion]])</f>
        <v/>
      </c>
      <c r="K2510" s="45" t="str">
        <f>IF(Table2[[#This Row],[Description]]="","",DATE(Table2[[#This Row],[Year]],Table2[[#This Row],[Month]],1))</f>
        <v/>
      </c>
    </row>
    <row r="2511" spans="7:11" x14ac:dyDescent="0.25">
      <c r="G2511" s="1" t="str">
        <f>IF(Table2[[#This Row],[Description]]="","",VLOOKUP(Table2[[#This Row],[Description]],$Q$1:$S$101,2,FALSE))</f>
        <v/>
      </c>
      <c r="H2511" s="1" t="str">
        <f>IF(Table2[[#This Row],[Description]]="","",VLOOKUP(Table2[[#This Row],[Description]],$Q$1:$S$101,3,FALSE))</f>
        <v/>
      </c>
      <c r="I2511" s="1" t="str">
        <f>IF(Table2[[#This Row],[Description]]="","",IF(Table2[[#This Row],[Currency]]=$O$2,$P$2,HLOOKUP(Table2[[#This Row],[Date]],Funds!$C$10:$GV$11,2,FALSE)))</f>
        <v/>
      </c>
      <c r="J2511" s="215" t="str">
        <f>IF(Table2[[#This Row],[Description]]="","",Table2[[#This Row],[Value]]/Table2[[#This Row],[Conversion]])</f>
        <v/>
      </c>
      <c r="K2511" s="45" t="str">
        <f>IF(Table2[[#This Row],[Description]]="","",DATE(Table2[[#This Row],[Year]],Table2[[#This Row],[Month]],1))</f>
        <v/>
      </c>
    </row>
    <row r="2512" spans="7:11" x14ac:dyDescent="0.25">
      <c r="G2512" s="1" t="str">
        <f>IF(Table2[[#This Row],[Description]]="","",VLOOKUP(Table2[[#This Row],[Description]],$Q$1:$S$101,2,FALSE))</f>
        <v/>
      </c>
      <c r="H2512" s="1" t="str">
        <f>IF(Table2[[#This Row],[Description]]="","",VLOOKUP(Table2[[#This Row],[Description]],$Q$1:$S$101,3,FALSE))</f>
        <v/>
      </c>
      <c r="I2512" s="1" t="str">
        <f>IF(Table2[[#This Row],[Description]]="","",IF(Table2[[#This Row],[Currency]]=$O$2,$P$2,HLOOKUP(Table2[[#This Row],[Date]],Funds!$C$10:$GV$11,2,FALSE)))</f>
        <v/>
      </c>
      <c r="J2512" s="215" t="str">
        <f>IF(Table2[[#This Row],[Description]]="","",Table2[[#This Row],[Value]]/Table2[[#This Row],[Conversion]])</f>
        <v/>
      </c>
      <c r="K2512" s="45" t="str">
        <f>IF(Table2[[#This Row],[Description]]="","",DATE(Table2[[#This Row],[Year]],Table2[[#This Row],[Month]],1))</f>
        <v/>
      </c>
    </row>
    <row r="2513" spans="7:11" x14ac:dyDescent="0.25">
      <c r="G2513" s="1" t="str">
        <f>IF(Table2[[#This Row],[Description]]="","",VLOOKUP(Table2[[#This Row],[Description]],$Q$1:$S$101,2,FALSE))</f>
        <v/>
      </c>
      <c r="H2513" s="1" t="str">
        <f>IF(Table2[[#This Row],[Description]]="","",VLOOKUP(Table2[[#This Row],[Description]],$Q$1:$S$101,3,FALSE))</f>
        <v/>
      </c>
      <c r="I2513" s="1" t="str">
        <f>IF(Table2[[#This Row],[Description]]="","",IF(Table2[[#This Row],[Currency]]=$O$2,$P$2,HLOOKUP(Table2[[#This Row],[Date]],Funds!$C$10:$GV$11,2,FALSE)))</f>
        <v/>
      </c>
      <c r="J2513" s="215" t="str">
        <f>IF(Table2[[#This Row],[Description]]="","",Table2[[#This Row],[Value]]/Table2[[#This Row],[Conversion]])</f>
        <v/>
      </c>
      <c r="K2513" s="45" t="str">
        <f>IF(Table2[[#This Row],[Description]]="","",DATE(Table2[[#This Row],[Year]],Table2[[#This Row],[Month]],1))</f>
        <v/>
      </c>
    </row>
    <row r="2514" spans="7:11" x14ac:dyDescent="0.25">
      <c r="G2514" s="1" t="str">
        <f>IF(Table2[[#This Row],[Description]]="","",VLOOKUP(Table2[[#This Row],[Description]],$Q$1:$S$101,2,FALSE))</f>
        <v/>
      </c>
      <c r="H2514" s="1" t="str">
        <f>IF(Table2[[#This Row],[Description]]="","",VLOOKUP(Table2[[#This Row],[Description]],$Q$1:$S$101,3,FALSE))</f>
        <v/>
      </c>
      <c r="I2514" s="1" t="str">
        <f>IF(Table2[[#This Row],[Description]]="","",IF(Table2[[#This Row],[Currency]]=$O$2,$P$2,HLOOKUP(Table2[[#This Row],[Date]],Funds!$C$10:$GV$11,2,FALSE)))</f>
        <v/>
      </c>
      <c r="J2514" s="215" t="str">
        <f>IF(Table2[[#This Row],[Description]]="","",Table2[[#This Row],[Value]]/Table2[[#This Row],[Conversion]])</f>
        <v/>
      </c>
      <c r="K2514" s="45" t="str">
        <f>IF(Table2[[#This Row],[Description]]="","",DATE(Table2[[#This Row],[Year]],Table2[[#This Row],[Month]],1))</f>
        <v/>
      </c>
    </row>
    <row r="2515" spans="7:11" x14ac:dyDescent="0.25">
      <c r="G2515" s="1" t="str">
        <f>IF(Table2[[#This Row],[Description]]="","",VLOOKUP(Table2[[#This Row],[Description]],$Q$1:$S$101,2,FALSE))</f>
        <v/>
      </c>
      <c r="H2515" s="1" t="str">
        <f>IF(Table2[[#This Row],[Description]]="","",VLOOKUP(Table2[[#This Row],[Description]],$Q$1:$S$101,3,FALSE))</f>
        <v/>
      </c>
      <c r="I2515" s="1" t="str">
        <f>IF(Table2[[#This Row],[Description]]="","",IF(Table2[[#This Row],[Currency]]=$O$2,$P$2,HLOOKUP(Table2[[#This Row],[Date]],Funds!$C$10:$GV$11,2,FALSE)))</f>
        <v/>
      </c>
      <c r="J2515" s="215" t="str">
        <f>IF(Table2[[#This Row],[Description]]="","",Table2[[#This Row],[Value]]/Table2[[#This Row],[Conversion]])</f>
        <v/>
      </c>
      <c r="K2515" s="45" t="str">
        <f>IF(Table2[[#This Row],[Description]]="","",DATE(Table2[[#This Row],[Year]],Table2[[#This Row],[Month]],1))</f>
        <v/>
      </c>
    </row>
    <row r="2516" spans="7:11" x14ac:dyDescent="0.25">
      <c r="G2516" s="1" t="str">
        <f>IF(Table2[[#This Row],[Description]]="","",VLOOKUP(Table2[[#This Row],[Description]],$Q$1:$S$101,2,FALSE))</f>
        <v/>
      </c>
      <c r="H2516" s="1" t="str">
        <f>IF(Table2[[#This Row],[Description]]="","",VLOOKUP(Table2[[#This Row],[Description]],$Q$1:$S$101,3,FALSE))</f>
        <v/>
      </c>
      <c r="I2516" s="1" t="str">
        <f>IF(Table2[[#This Row],[Description]]="","",IF(Table2[[#This Row],[Currency]]=$O$2,$P$2,HLOOKUP(Table2[[#This Row],[Date]],Funds!$C$10:$GV$11,2,FALSE)))</f>
        <v/>
      </c>
      <c r="J2516" s="215" t="str">
        <f>IF(Table2[[#This Row],[Description]]="","",Table2[[#This Row],[Value]]/Table2[[#This Row],[Conversion]])</f>
        <v/>
      </c>
      <c r="K2516" s="45" t="str">
        <f>IF(Table2[[#This Row],[Description]]="","",DATE(Table2[[#This Row],[Year]],Table2[[#This Row],[Month]],1))</f>
        <v/>
      </c>
    </row>
    <row r="2517" spans="7:11" x14ac:dyDescent="0.25">
      <c r="G2517" s="1" t="str">
        <f>IF(Table2[[#This Row],[Description]]="","",VLOOKUP(Table2[[#This Row],[Description]],$Q$1:$S$101,2,FALSE))</f>
        <v/>
      </c>
      <c r="H2517" s="1" t="str">
        <f>IF(Table2[[#This Row],[Description]]="","",VLOOKUP(Table2[[#This Row],[Description]],$Q$1:$S$101,3,FALSE))</f>
        <v/>
      </c>
      <c r="I2517" s="1" t="str">
        <f>IF(Table2[[#This Row],[Description]]="","",IF(Table2[[#This Row],[Currency]]=$O$2,$P$2,HLOOKUP(Table2[[#This Row],[Date]],Funds!$C$10:$GV$11,2,FALSE)))</f>
        <v/>
      </c>
      <c r="J2517" s="215" t="str">
        <f>IF(Table2[[#This Row],[Description]]="","",Table2[[#This Row],[Value]]/Table2[[#This Row],[Conversion]])</f>
        <v/>
      </c>
      <c r="K2517" s="45" t="str">
        <f>IF(Table2[[#This Row],[Description]]="","",DATE(Table2[[#This Row],[Year]],Table2[[#This Row],[Month]],1))</f>
        <v/>
      </c>
    </row>
    <row r="2518" spans="7:11" x14ac:dyDescent="0.25">
      <c r="G2518" s="1" t="str">
        <f>IF(Table2[[#This Row],[Description]]="","",VLOOKUP(Table2[[#This Row],[Description]],$Q$1:$S$101,2,FALSE))</f>
        <v/>
      </c>
      <c r="H2518" s="1" t="str">
        <f>IF(Table2[[#This Row],[Description]]="","",VLOOKUP(Table2[[#This Row],[Description]],$Q$1:$S$101,3,FALSE))</f>
        <v/>
      </c>
      <c r="I2518" s="1" t="str">
        <f>IF(Table2[[#This Row],[Description]]="","",IF(Table2[[#This Row],[Currency]]=$O$2,$P$2,HLOOKUP(Table2[[#This Row],[Date]],Funds!$C$10:$GV$11,2,FALSE)))</f>
        <v/>
      </c>
      <c r="J2518" s="215" t="str">
        <f>IF(Table2[[#This Row],[Description]]="","",Table2[[#This Row],[Value]]/Table2[[#This Row],[Conversion]])</f>
        <v/>
      </c>
      <c r="K2518" s="45" t="str">
        <f>IF(Table2[[#This Row],[Description]]="","",DATE(Table2[[#This Row],[Year]],Table2[[#This Row],[Month]],1))</f>
        <v/>
      </c>
    </row>
    <row r="2519" spans="7:11" x14ac:dyDescent="0.25">
      <c r="G2519" s="1" t="str">
        <f>IF(Table2[[#This Row],[Description]]="","",VLOOKUP(Table2[[#This Row],[Description]],$Q$1:$S$101,2,FALSE))</f>
        <v/>
      </c>
      <c r="H2519" s="1" t="str">
        <f>IF(Table2[[#This Row],[Description]]="","",VLOOKUP(Table2[[#This Row],[Description]],$Q$1:$S$101,3,FALSE))</f>
        <v/>
      </c>
      <c r="I2519" s="1" t="str">
        <f>IF(Table2[[#This Row],[Description]]="","",IF(Table2[[#This Row],[Currency]]=$O$2,$P$2,HLOOKUP(Table2[[#This Row],[Date]],Funds!$C$10:$GV$11,2,FALSE)))</f>
        <v/>
      </c>
      <c r="J2519" s="215" t="str">
        <f>IF(Table2[[#This Row],[Description]]="","",Table2[[#This Row],[Value]]/Table2[[#This Row],[Conversion]])</f>
        <v/>
      </c>
      <c r="K2519" s="45" t="str">
        <f>IF(Table2[[#This Row],[Description]]="","",DATE(Table2[[#This Row],[Year]],Table2[[#This Row],[Month]],1))</f>
        <v/>
      </c>
    </row>
    <row r="2520" spans="7:11" x14ac:dyDescent="0.25">
      <c r="G2520" s="1" t="str">
        <f>IF(Table2[[#This Row],[Description]]="","",VLOOKUP(Table2[[#This Row],[Description]],$Q$1:$S$101,2,FALSE))</f>
        <v/>
      </c>
      <c r="H2520" s="1" t="str">
        <f>IF(Table2[[#This Row],[Description]]="","",VLOOKUP(Table2[[#This Row],[Description]],$Q$1:$S$101,3,FALSE))</f>
        <v/>
      </c>
      <c r="I2520" s="1" t="str">
        <f>IF(Table2[[#This Row],[Description]]="","",IF(Table2[[#This Row],[Currency]]=$O$2,$P$2,HLOOKUP(Table2[[#This Row],[Date]],Funds!$C$10:$GV$11,2,FALSE)))</f>
        <v/>
      </c>
      <c r="J2520" s="215" t="str">
        <f>IF(Table2[[#This Row],[Description]]="","",Table2[[#This Row],[Value]]/Table2[[#This Row],[Conversion]])</f>
        <v/>
      </c>
      <c r="K2520" s="45" t="str">
        <f>IF(Table2[[#This Row],[Description]]="","",DATE(Table2[[#This Row],[Year]],Table2[[#This Row],[Month]],1))</f>
        <v/>
      </c>
    </row>
    <row r="2521" spans="7:11" x14ac:dyDescent="0.25">
      <c r="G2521" s="1" t="str">
        <f>IF(Table2[[#This Row],[Description]]="","",VLOOKUP(Table2[[#This Row],[Description]],$Q$1:$S$101,2,FALSE))</f>
        <v/>
      </c>
      <c r="H2521" s="1" t="str">
        <f>IF(Table2[[#This Row],[Description]]="","",VLOOKUP(Table2[[#This Row],[Description]],$Q$1:$S$101,3,FALSE))</f>
        <v/>
      </c>
      <c r="I2521" s="1" t="str">
        <f>IF(Table2[[#This Row],[Description]]="","",IF(Table2[[#This Row],[Currency]]=$O$2,$P$2,HLOOKUP(Table2[[#This Row],[Date]],Funds!$C$10:$GV$11,2,FALSE)))</f>
        <v/>
      </c>
      <c r="J2521" s="215" t="str">
        <f>IF(Table2[[#This Row],[Description]]="","",Table2[[#This Row],[Value]]/Table2[[#This Row],[Conversion]])</f>
        <v/>
      </c>
      <c r="K2521" s="45" t="str">
        <f>IF(Table2[[#This Row],[Description]]="","",DATE(Table2[[#This Row],[Year]],Table2[[#This Row],[Month]],1))</f>
        <v/>
      </c>
    </row>
    <row r="2522" spans="7:11" x14ac:dyDescent="0.25">
      <c r="G2522" s="1" t="str">
        <f>IF(Table2[[#This Row],[Description]]="","",VLOOKUP(Table2[[#This Row],[Description]],$Q$1:$S$101,2,FALSE))</f>
        <v/>
      </c>
      <c r="H2522" s="1" t="str">
        <f>IF(Table2[[#This Row],[Description]]="","",VLOOKUP(Table2[[#This Row],[Description]],$Q$1:$S$101,3,FALSE))</f>
        <v/>
      </c>
      <c r="I2522" s="1" t="str">
        <f>IF(Table2[[#This Row],[Description]]="","",IF(Table2[[#This Row],[Currency]]=$O$2,$P$2,HLOOKUP(Table2[[#This Row],[Date]],Funds!$C$10:$GV$11,2,FALSE)))</f>
        <v/>
      </c>
      <c r="J2522" s="215" t="str">
        <f>IF(Table2[[#This Row],[Description]]="","",Table2[[#This Row],[Value]]/Table2[[#This Row],[Conversion]])</f>
        <v/>
      </c>
      <c r="K2522" s="45" t="str">
        <f>IF(Table2[[#This Row],[Description]]="","",DATE(Table2[[#This Row],[Year]],Table2[[#This Row],[Month]],1))</f>
        <v/>
      </c>
    </row>
    <row r="2523" spans="7:11" x14ac:dyDescent="0.25">
      <c r="G2523" s="1" t="str">
        <f>IF(Table2[[#This Row],[Description]]="","",VLOOKUP(Table2[[#This Row],[Description]],$Q$1:$S$101,2,FALSE))</f>
        <v/>
      </c>
      <c r="H2523" s="1" t="str">
        <f>IF(Table2[[#This Row],[Description]]="","",VLOOKUP(Table2[[#This Row],[Description]],$Q$1:$S$101,3,FALSE))</f>
        <v/>
      </c>
      <c r="I2523" s="1" t="str">
        <f>IF(Table2[[#This Row],[Description]]="","",IF(Table2[[#This Row],[Currency]]=$O$2,$P$2,HLOOKUP(Table2[[#This Row],[Date]],Funds!$C$10:$GV$11,2,FALSE)))</f>
        <v/>
      </c>
      <c r="J2523" s="215" t="str">
        <f>IF(Table2[[#This Row],[Description]]="","",Table2[[#This Row],[Value]]/Table2[[#This Row],[Conversion]])</f>
        <v/>
      </c>
      <c r="K2523" s="45" t="str">
        <f>IF(Table2[[#This Row],[Description]]="","",DATE(Table2[[#This Row],[Year]],Table2[[#This Row],[Month]],1))</f>
        <v/>
      </c>
    </row>
    <row r="2524" spans="7:11" x14ac:dyDescent="0.25">
      <c r="G2524" s="1" t="str">
        <f>IF(Table2[[#This Row],[Description]]="","",VLOOKUP(Table2[[#This Row],[Description]],$Q$1:$S$101,2,FALSE))</f>
        <v/>
      </c>
      <c r="H2524" s="1" t="str">
        <f>IF(Table2[[#This Row],[Description]]="","",VLOOKUP(Table2[[#This Row],[Description]],$Q$1:$S$101,3,FALSE))</f>
        <v/>
      </c>
      <c r="I2524" s="1" t="str">
        <f>IF(Table2[[#This Row],[Description]]="","",IF(Table2[[#This Row],[Currency]]=$O$2,$P$2,HLOOKUP(Table2[[#This Row],[Date]],Funds!$C$10:$GV$11,2,FALSE)))</f>
        <v/>
      </c>
      <c r="J2524" s="215" t="str">
        <f>IF(Table2[[#This Row],[Description]]="","",Table2[[#This Row],[Value]]/Table2[[#This Row],[Conversion]])</f>
        <v/>
      </c>
      <c r="K2524" s="45" t="str">
        <f>IF(Table2[[#This Row],[Description]]="","",DATE(Table2[[#This Row],[Year]],Table2[[#This Row],[Month]],1))</f>
        <v/>
      </c>
    </row>
    <row r="2525" spans="7:11" x14ac:dyDescent="0.25">
      <c r="G2525" s="1" t="str">
        <f>IF(Table2[[#This Row],[Description]]="","",VLOOKUP(Table2[[#This Row],[Description]],$Q$1:$S$101,2,FALSE))</f>
        <v/>
      </c>
      <c r="H2525" s="1" t="str">
        <f>IF(Table2[[#This Row],[Description]]="","",VLOOKUP(Table2[[#This Row],[Description]],$Q$1:$S$101,3,FALSE))</f>
        <v/>
      </c>
      <c r="I2525" s="1" t="str">
        <f>IF(Table2[[#This Row],[Description]]="","",IF(Table2[[#This Row],[Currency]]=$O$2,$P$2,HLOOKUP(Table2[[#This Row],[Date]],Funds!$C$10:$GV$11,2,FALSE)))</f>
        <v/>
      </c>
      <c r="J2525" s="215" t="str">
        <f>IF(Table2[[#This Row],[Description]]="","",Table2[[#This Row],[Value]]/Table2[[#This Row],[Conversion]])</f>
        <v/>
      </c>
      <c r="K2525" s="45" t="str">
        <f>IF(Table2[[#This Row],[Description]]="","",DATE(Table2[[#This Row],[Year]],Table2[[#This Row],[Month]],1))</f>
        <v/>
      </c>
    </row>
    <row r="2526" spans="7:11" x14ac:dyDescent="0.25">
      <c r="G2526" s="1" t="str">
        <f>IF(Table2[[#This Row],[Description]]="","",VLOOKUP(Table2[[#This Row],[Description]],$Q$1:$S$101,2,FALSE))</f>
        <v/>
      </c>
      <c r="H2526" s="1" t="str">
        <f>IF(Table2[[#This Row],[Description]]="","",VLOOKUP(Table2[[#This Row],[Description]],$Q$1:$S$101,3,FALSE))</f>
        <v/>
      </c>
      <c r="I2526" s="1" t="str">
        <f>IF(Table2[[#This Row],[Description]]="","",IF(Table2[[#This Row],[Currency]]=$O$2,$P$2,HLOOKUP(Table2[[#This Row],[Date]],Funds!$C$10:$GV$11,2,FALSE)))</f>
        <v/>
      </c>
      <c r="J2526" s="215" t="str">
        <f>IF(Table2[[#This Row],[Description]]="","",Table2[[#This Row],[Value]]/Table2[[#This Row],[Conversion]])</f>
        <v/>
      </c>
      <c r="K2526" s="45" t="str">
        <f>IF(Table2[[#This Row],[Description]]="","",DATE(Table2[[#This Row],[Year]],Table2[[#This Row],[Month]],1))</f>
        <v/>
      </c>
    </row>
    <row r="2527" spans="7:11" x14ac:dyDescent="0.25">
      <c r="G2527" s="1" t="str">
        <f>IF(Table2[[#This Row],[Description]]="","",VLOOKUP(Table2[[#This Row],[Description]],$Q$1:$S$101,2,FALSE))</f>
        <v/>
      </c>
      <c r="H2527" s="1" t="str">
        <f>IF(Table2[[#This Row],[Description]]="","",VLOOKUP(Table2[[#This Row],[Description]],$Q$1:$S$101,3,FALSE))</f>
        <v/>
      </c>
      <c r="I2527" s="1" t="str">
        <f>IF(Table2[[#This Row],[Description]]="","",IF(Table2[[#This Row],[Currency]]=$O$2,$P$2,HLOOKUP(Table2[[#This Row],[Date]],Funds!$C$10:$GV$11,2,FALSE)))</f>
        <v/>
      </c>
      <c r="J2527" s="215" t="str">
        <f>IF(Table2[[#This Row],[Description]]="","",Table2[[#This Row],[Value]]/Table2[[#This Row],[Conversion]])</f>
        <v/>
      </c>
      <c r="K2527" s="45" t="str">
        <f>IF(Table2[[#This Row],[Description]]="","",DATE(Table2[[#This Row],[Year]],Table2[[#This Row],[Month]],1))</f>
        <v/>
      </c>
    </row>
    <row r="2528" spans="7:11" x14ac:dyDescent="0.25">
      <c r="G2528" s="1" t="str">
        <f>IF(Table2[[#This Row],[Description]]="","",VLOOKUP(Table2[[#This Row],[Description]],$Q$1:$S$101,2,FALSE))</f>
        <v/>
      </c>
      <c r="H2528" s="1" t="str">
        <f>IF(Table2[[#This Row],[Description]]="","",VLOOKUP(Table2[[#This Row],[Description]],$Q$1:$S$101,3,FALSE))</f>
        <v/>
      </c>
      <c r="I2528" s="1" t="str">
        <f>IF(Table2[[#This Row],[Description]]="","",IF(Table2[[#This Row],[Currency]]=$O$2,$P$2,HLOOKUP(Table2[[#This Row],[Date]],Funds!$C$10:$GV$11,2,FALSE)))</f>
        <v/>
      </c>
      <c r="J2528" s="215" t="str">
        <f>IF(Table2[[#This Row],[Description]]="","",Table2[[#This Row],[Value]]/Table2[[#This Row],[Conversion]])</f>
        <v/>
      </c>
      <c r="K2528" s="45" t="str">
        <f>IF(Table2[[#This Row],[Description]]="","",DATE(Table2[[#This Row],[Year]],Table2[[#This Row],[Month]],1))</f>
        <v/>
      </c>
    </row>
    <row r="2529" spans="7:11" x14ac:dyDescent="0.25">
      <c r="G2529" s="1" t="str">
        <f>IF(Table2[[#This Row],[Description]]="","",VLOOKUP(Table2[[#This Row],[Description]],$Q$1:$S$101,2,FALSE))</f>
        <v/>
      </c>
      <c r="H2529" s="1" t="str">
        <f>IF(Table2[[#This Row],[Description]]="","",VLOOKUP(Table2[[#This Row],[Description]],$Q$1:$S$101,3,FALSE))</f>
        <v/>
      </c>
      <c r="I2529" s="1" t="str">
        <f>IF(Table2[[#This Row],[Description]]="","",IF(Table2[[#This Row],[Currency]]=$O$2,$P$2,HLOOKUP(Table2[[#This Row],[Date]],Funds!$C$10:$GV$11,2,FALSE)))</f>
        <v/>
      </c>
      <c r="J2529" s="215" t="str">
        <f>IF(Table2[[#This Row],[Description]]="","",Table2[[#This Row],[Value]]/Table2[[#This Row],[Conversion]])</f>
        <v/>
      </c>
      <c r="K2529" s="45" t="str">
        <f>IF(Table2[[#This Row],[Description]]="","",DATE(Table2[[#This Row],[Year]],Table2[[#This Row],[Month]],1))</f>
        <v/>
      </c>
    </row>
    <row r="2530" spans="7:11" x14ac:dyDescent="0.25">
      <c r="G2530" s="1" t="str">
        <f>IF(Table2[[#This Row],[Description]]="","",VLOOKUP(Table2[[#This Row],[Description]],$Q$1:$S$101,2,FALSE))</f>
        <v/>
      </c>
      <c r="H2530" s="1" t="str">
        <f>IF(Table2[[#This Row],[Description]]="","",VLOOKUP(Table2[[#This Row],[Description]],$Q$1:$S$101,3,FALSE))</f>
        <v/>
      </c>
      <c r="I2530" s="1" t="str">
        <f>IF(Table2[[#This Row],[Description]]="","",IF(Table2[[#This Row],[Currency]]=$O$2,$P$2,HLOOKUP(Table2[[#This Row],[Date]],Funds!$C$10:$GV$11,2,FALSE)))</f>
        <v/>
      </c>
      <c r="J2530" s="215" t="str">
        <f>IF(Table2[[#This Row],[Description]]="","",Table2[[#This Row],[Value]]/Table2[[#This Row],[Conversion]])</f>
        <v/>
      </c>
      <c r="K2530" s="45" t="str">
        <f>IF(Table2[[#This Row],[Description]]="","",DATE(Table2[[#This Row],[Year]],Table2[[#This Row],[Month]],1))</f>
        <v/>
      </c>
    </row>
    <row r="2531" spans="7:11" x14ac:dyDescent="0.25">
      <c r="G2531" s="1" t="str">
        <f>IF(Table2[[#This Row],[Description]]="","",VLOOKUP(Table2[[#This Row],[Description]],$Q$1:$S$101,2,FALSE))</f>
        <v/>
      </c>
      <c r="H2531" s="1" t="str">
        <f>IF(Table2[[#This Row],[Description]]="","",VLOOKUP(Table2[[#This Row],[Description]],$Q$1:$S$101,3,FALSE))</f>
        <v/>
      </c>
      <c r="I2531" s="1" t="str">
        <f>IF(Table2[[#This Row],[Description]]="","",IF(Table2[[#This Row],[Currency]]=$O$2,$P$2,HLOOKUP(Table2[[#This Row],[Date]],Funds!$C$10:$GV$11,2,FALSE)))</f>
        <v/>
      </c>
      <c r="J2531" s="215" t="str">
        <f>IF(Table2[[#This Row],[Description]]="","",Table2[[#This Row],[Value]]/Table2[[#This Row],[Conversion]])</f>
        <v/>
      </c>
      <c r="K2531" s="45" t="str">
        <f>IF(Table2[[#This Row],[Description]]="","",DATE(Table2[[#This Row],[Year]],Table2[[#This Row],[Month]],1))</f>
        <v/>
      </c>
    </row>
    <row r="2532" spans="7:11" x14ac:dyDescent="0.25">
      <c r="G2532" s="1" t="str">
        <f>IF(Table2[[#This Row],[Description]]="","",VLOOKUP(Table2[[#This Row],[Description]],$Q$1:$S$101,2,FALSE))</f>
        <v/>
      </c>
      <c r="H2532" s="1" t="str">
        <f>IF(Table2[[#This Row],[Description]]="","",VLOOKUP(Table2[[#This Row],[Description]],$Q$1:$S$101,3,FALSE))</f>
        <v/>
      </c>
      <c r="I2532" s="1" t="str">
        <f>IF(Table2[[#This Row],[Description]]="","",IF(Table2[[#This Row],[Currency]]=$O$2,$P$2,HLOOKUP(Table2[[#This Row],[Date]],Funds!$C$10:$GV$11,2,FALSE)))</f>
        <v/>
      </c>
      <c r="J2532" s="215" t="str">
        <f>IF(Table2[[#This Row],[Description]]="","",Table2[[#This Row],[Value]]/Table2[[#This Row],[Conversion]])</f>
        <v/>
      </c>
      <c r="K2532" s="45" t="str">
        <f>IF(Table2[[#This Row],[Description]]="","",DATE(Table2[[#This Row],[Year]],Table2[[#This Row],[Month]],1))</f>
        <v/>
      </c>
    </row>
    <row r="2533" spans="7:11" x14ac:dyDescent="0.25">
      <c r="G2533" s="1" t="str">
        <f>IF(Table2[[#This Row],[Description]]="","",VLOOKUP(Table2[[#This Row],[Description]],$Q$1:$S$101,2,FALSE))</f>
        <v/>
      </c>
      <c r="H2533" s="1" t="str">
        <f>IF(Table2[[#This Row],[Description]]="","",VLOOKUP(Table2[[#This Row],[Description]],$Q$1:$S$101,3,FALSE))</f>
        <v/>
      </c>
      <c r="I2533" s="1" t="str">
        <f>IF(Table2[[#This Row],[Description]]="","",IF(Table2[[#This Row],[Currency]]=$O$2,$P$2,HLOOKUP(Table2[[#This Row],[Date]],Funds!$C$10:$GV$11,2,FALSE)))</f>
        <v/>
      </c>
      <c r="J2533" s="215" t="str">
        <f>IF(Table2[[#This Row],[Description]]="","",Table2[[#This Row],[Value]]/Table2[[#This Row],[Conversion]])</f>
        <v/>
      </c>
      <c r="K2533" s="45" t="str">
        <f>IF(Table2[[#This Row],[Description]]="","",DATE(Table2[[#This Row],[Year]],Table2[[#This Row],[Month]],1))</f>
        <v/>
      </c>
    </row>
    <row r="2534" spans="7:11" x14ac:dyDescent="0.25">
      <c r="G2534" s="1" t="str">
        <f>IF(Table2[[#This Row],[Description]]="","",VLOOKUP(Table2[[#This Row],[Description]],$Q$1:$S$101,2,FALSE))</f>
        <v/>
      </c>
      <c r="H2534" s="1" t="str">
        <f>IF(Table2[[#This Row],[Description]]="","",VLOOKUP(Table2[[#This Row],[Description]],$Q$1:$S$101,3,FALSE))</f>
        <v/>
      </c>
      <c r="I2534" s="1" t="str">
        <f>IF(Table2[[#This Row],[Description]]="","",IF(Table2[[#This Row],[Currency]]=$O$2,$P$2,HLOOKUP(Table2[[#This Row],[Date]],Funds!$C$10:$GV$11,2,FALSE)))</f>
        <v/>
      </c>
      <c r="J2534" s="215" t="str">
        <f>IF(Table2[[#This Row],[Description]]="","",Table2[[#This Row],[Value]]/Table2[[#This Row],[Conversion]])</f>
        <v/>
      </c>
      <c r="K2534" s="45" t="str">
        <f>IF(Table2[[#This Row],[Description]]="","",DATE(Table2[[#This Row],[Year]],Table2[[#This Row],[Month]],1))</f>
        <v/>
      </c>
    </row>
    <row r="2535" spans="7:11" x14ac:dyDescent="0.25">
      <c r="G2535" s="1" t="str">
        <f>IF(Table2[[#This Row],[Description]]="","",VLOOKUP(Table2[[#This Row],[Description]],$Q$1:$S$101,2,FALSE))</f>
        <v/>
      </c>
      <c r="H2535" s="1" t="str">
        <f>IF(Table2[[#This Row],[Description]]="","",VLOOKUP(Table2[[#This Row],[Description]],$Q$1:$S$101,3,FALSE))</f>
        <v/>
      </c>
      <c r="I2535" s="1" t="str">
        <f>IF(Table2[[#This Row],[Description]]="","",IF(Table2[[#This Row],[Currency]]=$O$2,$P$2,HLOOKUP(Table2[[#This Row],[Date]],Funds!$C$10:$GV$11,2,FALSE)))</f>
        <v/>
      </c>
      <c r="J2535" s="215" t="str">
        <f>IF(Table2[[#This Row],[Description]]="","",Table2[[#This Row],[Value]]/Table2[[#This Row],[Conversion]])</f>
        <v/>
      </c>
      <c r="K2535" s="45" t="str">
        <f>IF(Table2[[#This Row],[Description]]="","",DATE(Table2[[#This Row],[Year]],Table2[[#This Row],[Month]],1))</f>
        <v/>
      </c>
    </row>
    <row r="2536" spans="7:11" x14ac:dyDescent="0.25">
      <c r="G2536" s="1" t="str">
        <f>IF(Table2[[#This Row],[Description]]="","",VLOOKUP(Table2[[#This Row],[Description]],$Q$1:$S$101,2,FALSE))</f>
        <v/>
      </c>
      <c r="H2536" s="1" t="str">
        <f>IF(Table2[[#This Row],[Description]]="","",VLOOKUP(Table2[[#This Row],[Description]],$Q$1:$S$101,3,FALSE))</f>
        <v/>
      </c>
      <c r="I2536" s="1" t="str">
        <f>IF(Table2[[#This Row],[Description]]="","",IF(Table2[[#This Row],[Currency]]=$O$2,$P$2,HLOOKUP(Table2[[#This Row],[Date]],Funds!$C$10:$GV$11,2,FALSE)))</f>
        <v/>
      </c>
      <c r="J2536" s="215" t="str">
        <f>IF(Table2[[#This Row],[Description]]="","",Table2[[#This Row],[Value]]/Table2[[#This Row],[Conversion]])</f>
        <v/>
      </c>
      <c r="K2536" s="45" t="str">
        <f>IF(Table2[[#This Row],[Description]]="","",DATE(Table2[[#This Row],[Year]],Table2[[#This Row],[Month]],1))</f>
        <v/>
      </c>
    </row>
    <row r="2537" spans="7:11" x14ac:dyDescent="0.25">
      <c r="G2537" s="1" t="str">
        <f>IF(Table2[[#This Row],[Description]]="","",VLOOKUP(Table2[[#This Row],[Description]],$Q$1:$S$101,2,FALSE))</f>
        <v/>
      </c>
      <c r="H2537" s="1" t="str">
        <f>IF(Table2[[#This Row],[Description]]="","",VLOOKUP(Table2[[#This Row],[Description]],$Q$1:$S$101,3,FALSE))</f>
        <v/>
      </c>
      <c r="I2537" s="1" t="str">
        <f>IF(Table2[[#This Row],[Description]]="","",IF(Table2[[#This Row],[Currency]]=$O$2,$P$2,HLOOKUP(Table2[[#This Row],[Date]],Funds!$C$10:$GV$11,2,FALSE)))</f>
        <v/>
      </c>
      <c r="J2537" s="215" t="str">
        <f>IF(Table2[[#This Row],[Description]]="","",Table2[[#This Row],[Value]]/Table2[[#This Row],[Conversion]])</f>
        <v/>
      </c>
      <c r="K2537" s="45" t="str">
        <f>IF(Table2[[#This Row],[Description]]="","",DATE(Table2[[#This Row],[Year]],Table2[[#This Row],[Month]],1))</f>
        <v/>
      </c>
    </row>
    <row r="2538" spans="7:11" x14ac:dyDescent="0.25">
      <c r="G2538" s="1" t="str">
        <f>IF(Table2[[#This Row],[Description]]="","",VLOOKUP(Table2[[#This Row],[Description]],$Q$1:$S$101,2,FALSE))</f>
        <v/>
      </c>
      <c r="H2538" s="1" t="str">
        <f>IF(Table2[[#This Row],[Description]]="","",VLOOKUP(Table2[[#This Row],[Description]],$Q$1:$S$101,3,FALSE))</f>
        <v/>
      </c>
      <c r="I2538" s="1" t="str">
        <f>IF(Table2[[#This Row],[Description]]="","",IF(Table2[[#This Row],[Currency]]=$O$2,$P$2,HLOOKUP(Table2[[#This Row],[Date]],Funds!$C$10:$GV$11,2,FALSE)))</f>
        <v/>
      </c>
      <c r="J2538" s="215" t="str">
        <f>IF(Table2[[#This Row],[Description]]="","",Table2[[#This Row],[Value]]/Table2[[#This Row],[Conversion]])</f>
        <v/>
      </c>
      <c r="K2538" s="45" t="str">
        <f>IF(Table2[[#This Row],[Description]]="","",DATE(Table2[[#This Row],[Year]],Table2[[#This Row],[Month]],1))</f>
        <v/>
      </c>
    </row>
    <row r="2539" spans="7:11" x14ac:dyDescent="0.25">
      <c r="G2539" s="1" t="str">
        <f>IF(Table2[[#This Row],[Description]]="","",VLOOKUP(Table2[[#This Row],[Description]],$Q$1:$S$101,2,FALSE))</f>
        <v/>
      </c>
      <c r="H2539" s="1" t="str">
        <f>IF(Table2[[#This Row],[Description]]="","",VLOOKUP(Table2[[#This Row],[Description]],$Q$1:$S$101,3,FALSE))</f>
        <v/>
      </c>
      <c r="I2539" s="1" t="str">
        <f>IF(Table2[[#This Row],[Description]]="","",IF(Table2[[#This Row],[Currency]]=$O$2,$P$2,HLOOKUP(Table2[[#This Row],[Date]],Funds!$C$10:$GV$11,2,FALSE)))</f>
        <v/>
      </c>
      <c r="J2539" s="215" t="str">
        <f>IF(Table2[[#This Row],[Description]]="","",Table2[[#This Row],[Value]]/Table2[[#This Row],[Conversion]])</f>
        <v/>
      </c>
      <c r="K2539" s="45" t="str">
        <f>IF(Table2[[#This Row],[Description]]="","",DATE(Table2[[#This Row],[Year]],Table2[[#This Row],[Month]],1))</f>
        <v/>
      </c>
    </row>
    <row r="2540" spans="7:11" x14ac:dyDescent="0.25">
      <c r="G2540" s="1" t="str">
        <f>IF(Table2[[#This Row],[Description]]="","",VLOOKUP(Table2[[#This Row],[Description]],$Q$1:$S$101,2,FALSE))</f>
        <v/>
      </c>
      <c r="H2540" s="1" t="str">
        <f>IF(Table2[[#This Row],[Description]]="","",VLOOKUP(Table2[[#This Row],[Description]],$Q$1:$S$101,3,FALSE))</f>
        <v/>
      </c>
      <c r="I2540" s="1" t="str">
        <f>IF(Table2[[#This Row],[Description]]="","",IF(Table2[[#This Row],[Currency]]=$O$2,$P$2,HLOOKUP(Table2[[#This Row],[Date]],Funds!$C$10:$GV$11,2,FALSE)))</f>
        <v/>
      </c>
      <c r="J2540" s="215" t="str">
        <f>IF(Table2[[#This Row],[Description]]="","",Table2[[#This Row],[Value]]/Table2[[#This Row],[Conversion]])</f>
        <v/>
      </c>
      <c r="K2540" s="45" t="str">
        <f>IF(Table2[[#This Row],[Description]]="","",DATE(Table2[[#This Row],[Year]],Table2[[#This Row],[Month]],1))</f>
        <v/>
      </c>
    </row>
    <row r="2541" spans="7:11" x14ac:dyDescent="0.25">
      <c r="G2541" s="1" t="str">
        <f>IF(Table2[[#This Row],[Description]]="","",VLOOKUP(Table2[[#This Row],[Description]],$Q$1:$S$101,2,FALSE))</f>
        <v/>
      </c>
      <c r="H2541" s="1" t="str">
        <f>IF(Table2[[#This Row],[Description]]="","",VLOOKUP(Table2[[#This Row],[Description]],$Q$1:$S$101,3,FALSE))</f>
        <v/>
      </c>
      <c r="I2541" s="1" t="str">
        <f>IF(Table2[[#This Row],[Description]]="","",IF(Table2[[#This Row],[Currency]]=$O$2,$P$2,HLOOKUP(Table2[[#This Row],[Date]],Funds!$C$10:$GV$11,2,FALSE)))</f>
        <v/>
      </c>
      <c r="J2541" s="215" t="str">
        <f>IF(Table2[[#This Row],[Description]]="","",Table2[[#This Row],[Value]]/Table2[[#This Row],[Conversion]])</f>
        <v/>
      </c>
      <c r="K2541" s="45" t="str">
        <f>IF(Table2[[#This Row],[Description]]="","",DATE(Table2[[#This Row],[Year]],Table2[[#This Row],[Month]],1))</f>
        <v/>
      </c>
    </row>
    <row r="2542" spans="7:11" x14ac:dyDescent="0.25">
      <c r="G2542" s="1" t="str">
        <f>IF(Table2[[#This Row],[Description]]="","",VLOOKUP(Table2[[#This Row],[Description]],$Q$1:$S$101,2,FALSE))</f>
        <v/>
      </c>
      <c r="H2542" s="1" t="str">
        <f>IF(Table2[[#This Row],[Description]]="","",VLOOKUP(Table2[[#This Row],[Description]],$Q$1:$S$101,3,FALSE))</f>
        <v/>
      </c>
      <c r="I2542" s="1" t="str">
        <f>IF(Table2[[#This Row],[Description]]="","",IF(Table2[[#This Row],[Currency]]=$O$2,$P$2,HLOOKUP(Table2[[#This Row],[Date]],Funds!$C$10:$GV$11,2,FALSE)))</f>
        <v/>
      </c>
      <c r="J2542" s="215" t="str">
        <f>IF(Table2[[#This Row],[Description]]="","",Table2[[#This Row],[Value]]/Table2[[#This Row],[Conversion]])</f>
        <v/>
      </c>
      <c r="K2542" s="45" t="str">
        <f>IF(Table2[[#This Row],[Description]]="","",DATE(Table2[[#This Row],[Year]],Table2[[#This Row],[Month]],1))</f>
        <v/>
      </c>
    </row>
    <row r="2543" spans="7:11" x14ac:dyDescent="0.25">
      <c r="G2543" s="1" t="str">
        <f>IF(Table2[[#This Row],[Description]]="","",VLOOKUP(Table2[[#This Row],[Description]],$Q$1:$S$101,2,FALSE))</f>
        <v/>
      </c>
      <c r="H2543" s="1" t="str">
        <f>IF(Table2[[#This Row],[Description]]="","",VLOOKUP(Table2[[#This Row],[Description]],$Q$1:$S$101,3,FALSE))</f>
        <v/>
      </c>
      <c r="I2543" s="1" t="str">
        <f>IF(Table2[[#This Row],[Description]]="","",IF(Table2[[#This Row],[Currency]]=$O$2,$P$2,HLOOKUP(Table2[[#This Row],[Date]],Funds!$C$10:$GV$11,2,FALSE)))</f>
        <v/>
      </c>
      <c r="J2543" s="215" t="str">
        <f>IF(Table2[[#This Row],[Description]]="","",Table2[[#This Row],[Value]]/Table2[[#This Row],[Conversion]])</f>
        <v/>
      </c>
      <c r="K2543" s="45" t="str">
        <f>IF(Table2[[#This Row],[Description]]="","",DATE(Table2[[#This Row],[Year]],Table2[[#This Row],[Month]],1))</f>
        <v/>
      </c>
    </row>
    <row r="2544" spans="7:11" x14ac:dyDescent="0.25">
      <c r="G2544" s="1" t="str">
        <f>IF(Table2[[#This Row],[Description]]="","",VLOOKUP(Table2[[#This Row],[Description]],$Q$1:$S$101,2,FALSE))</f>
        <v/>
      </c>
      <c r="H2544" s="1" t="str">
        <f>IF(Table2[[#This Row],[Description]]="","",VLOOKUP(Table2[[#This Row],[Description]],$Q$1:$S$101,3,FALSE))</f>
        <v/>
      </c>
      <c r="I2544" s="1" t="str">
        <f>IF(Table2[[#This Row],[Description]]="","",IF(Table2[[#This Row],[Currency]]=$O$2,$P$2,HLOOKUP(Table2[[#This Row],[Date]],Funds!$C$10:$GV$11,2,FALSE)))</f>
        <v/>
      </c>
      <c r="J2544" s="215" t="str">
        <f>IF(Table2[[#This Row],[Description]]="","",Table2[[#This Row],[Value]]/Table2[[#This Row],[Conversion]])</f>
        <v/>
      </c>
      <c r="K2544" s="45" t="str">
        <f>IF(Table2[[#This Row],[Description]]="","",DATE(Table2[[#This Row],[Year]],Table2[[#This Row],[Month]],1))</f>
        <v/>
      </c>
    </row>
    <row r="2545" spans="7:11" x14ac:dyDescent="0.25">
      <c r="G2545" s="1" t="str">
        <f>IF(Table2[[#This Row],[Description]]="","",VLOOKUP(Table2[[#This Row],[Description]],$Q$1:$S$101,2,FALSE))</f>
        <v/>
      </c>
      <c r="H2545" s="1" t="str">
        <f>IF(Table2[[#This Row],[Description]]="","",VLOOKUP(Table2[[#This Row],[Description]],$Q$1:$S$101,3,FALSE))</f>
        <v/>
      </c>
      <c r="I2545" s="1" t="str">
        <f>IF(Table2[[#This Row],[Description]]="","",IF(Table2[[#This Row],[Currency]]=$O$2,$P$2,HLOOKUP(Table2[[#This Row],[Date]],Funds!$C$10:$GV$11,2,FALSE)))</f>
        <v/>
      </c>
      <c r="J2545" s="215" t="str">
        <f>IF(Table2[[#This Row],[Description]]="","",Table2[[#This Row],[Value]]/Table2[[#This Row],[Conversion]])</f>
        <v/>
      </c>
      <c r="K2545" s="45" t="str">
        <f>IF(Table2[[#This Row],[Description]]="","",DATE(Table2[[#This Row],[Year]],Table2[[#This Row],[Month]],1))</f>
        <v/>
      </c>
    </row>
    <row r="2546" spans="7:11" x14ac:dyDescent="0.25">
      <c r="G2546" s="1" t="str">
        <f>IF(Table2[[#This Row],[Description]]="","",VLOOKUP(Table2[[#This Row],[Description]],$Q$1:$S$101,2,FALSE))</f>
        <v/>
      </c>
      <c r="H2546" s="1" t="str">
        <f>IF(Table2[[#This Row],[Description]]="","",VLOOKUP(Table2[[#This Row],[Description]],$Q$1:$S$101,3,FALSE))</f>
        <v/>
      </c>
      <c r="I2546" s="1" t="str">
        <f>IF(Table2[[#This Row],[Description]]="","",IF(Table2[[#This Row],[Currency]]=$O$2,$P$2,HLOOKUP(Table2[[#This Row],[Date]],Funds!$C$10:$GV$11,2,FALSE)))</f>
        <v/>
      </c>
      <c r="J2546" s="215" t="str">
        <f>IF(Table2[[#This Row],[Description]]="","",Table2[[#This Row],[Value]]/Table2[[#This Row],[Conversion]])</f>
        <v/>
      </c>
      <c r="K2546" s="45" t="str">
        <f>IF(Table2[[#This Row],[Description]]="","",DATE(Table2[[#This Row],[Year]],Table2[[#This Row],[Month]],1))</f>
        <v/>
      </c>
    </row>
    <row r="2547" spans="7:11" x14ac:dyDescent="0.25">
      <c r="G2547" s="1" t="str">
        <f>IF(Table2[[#This Row],[Description]]="","",VLOOKUP(Table2[[#This Row],[Description]],$Q$1:$S$101,2,FALSE))</f>
        <v/>
      </c>
      <c r="H2547" s="1" t="str">
        <f>IF(Table2[[#This Row],[Description]]="","",VLOOKUP(Table2[[#This Row],[Description]],$Q$1:$S$101,3,FALSE))</f>
        <v/>
      </c>
      <c r="I2547" s="1" t="str">
        <f>IF(Table2[[#This Row],[Description]]="","",IF(Table2[[#This Row],[Currency]]=$O$2,$P$2,HLOOKUP(Table2[[#This Row],[Date]],Funds!$C$10:$GV$11,2,FALSE)))</f>
        <v/>
      </c>
      <c r="J2547" s="215" t="str">
        <f>IF(Table2[[#This Row],[Description]]="","",Table2[[#This Row],[Value]]/Table2[[#This Row],[Conversion]])</f>
        <v/>
      </c>
      <c r="K2547" s="45" t="str">
        <f>IF(Table2[[#This Row],[Description]]="","",DATE(Table2[[#This Row],[Year]],Table2[[#This Row],[Month]],1))</f>
        <v/>
      </c>
    </row>
    <row r="2548" spans="7:11" x14ac:dyDescent="0.25">
      <c r="G2548" s="1" t="str">
        <f>IF(Table2[[#This Row],[Description]]="","",VLOOKUP(Table2[[#This Row],[Description]],$Q$1:$S$101,2,FALSE))</f>
        <v/>
      </c>
      <c r="H2548" s="1" t="str">
        <f>IF(Table2[[#This Row],[Description]]="","",VLOOKUP(Table2[[#This Row],[Description]],$Q$1:$S$101,3,FALSE))</f>
        <v/>
      </c>
      <c r="I2548" s="1" t="str">
        <f>IF(Table2[[#This Row],[Description]]="","",IF(Table2[[#This Row],[Currency]]=$O$2,$P$2,HLOOKUP(Table2[[#This Row],[Date]],Funds!$C$10:$GV$11,2,FALSE)))</f>
        <v/>
      </c>
      <c r="J2548" s="215" t="str">
        <f>IF(Table2[[#This Row],[Description]]="","",Table2[[#This Row],[Value]]/Table2[[#This Row],[Conversion]])</f>
        <v/>
      </c>
      <c r="K2548" s="45" t="str">
        <f>IF(Table2[[#This Row],[Description]]="","",DATE(Table2[[#This Row],[Year]],Table2[[#This Row],[Month]],1))</f>
        <v/>
      </c>
    </row>
    <row r="2549" spans="7:11" x14ac:dyDescent="0.25">
      <c r="G2549" s="1" t="str">
        <f>IF(Table2[[#This Row],[Description]]="","",VLOOKUP(Table2[[#This Row],[Description]],$Q$1:$S$101,2,FALSE))</f>
        <v/>
      </c>
      <c r="H2549" s="1" t="str">
        <f>IF(Table2[[#This Row],[Description]]="","",VLOOKUP(Table2[[#This Row],[Description]],$Q$1:$S$101,3,FALSE))</f>
        <v/>
      </c>
      <c r="I2549" s="1" t="str">
        <f>IF(Table2[[#This Row],[Description]]="","",IF(Table2[[#This Row],[Currency]]=$O$2,$P$2,HLOOKUP(Table2[[#This Row],[Date]],Funds!$C$10:$GV$11,2,FALSE)))</f>
        <v/>
      </c>
      <c r="J2549" s="215" t="str">
        <f>IF(Table2[[#This Row],[Description]]="","",Table2[[#This Row],[Value]]/Table2[[#This Row],[Conversion]])</f>
        <v/>
      </c>
      <c r="K2549" s="45" t="str">
        <f>IF(Table2[[#This Row],[Description]]="","",DATE(Table2[[#This Row],[Year]],Table2[[#This Row],[Month]],1))</f>
        <v/>
      </c>
    </row>
    <row r="2550" spans="7:11" x14ac:dyDescent="0.25">
      <c r="G2550" s="1" t="str">
        <f>IF(Table2[[#This Row],[Description]]="","",VLOOKUP(Table2[[#This Row],[Description]],$Q$1:$S$101,2,FALSE))</f>
        <v/>
      </c>
      <c r="H2550" s="1" t="str">
        <f>IF(Table2[[#This Row],[Description]]="","",VLOOKUP(Table2[[#This Row],[Description]],$Q$1:$S$101,3,FALSE))</f>
        <v/>
      </c>
      <c r="I2550" s="1" t="str">
        <f>IF(Table2[[#This Row],[Description]]="","",IF(Table2[[#This Row],[Currency]]=$O$2,$P$2,HLOOKUP(Table2[[#This Row],[Date]],Funds!$C$10:$GV$11,2,FALSE)))</f>
        <v/>
      </c>
      <c r="J2550" s="215" t="str">
        <f>IF(Table2[[#This Row],[Description]]="","",Table2[[#This Row],[Value]]/Table2[[#This Row],[Conversion]])</f>
        <v/>
      </c>
      <c r="K2550" s="45" t="str">
        <f>IF(Table2[[#This Row],[Description]]="","",DATE(Table2[[#This Row],[Year]],Table2[[#This Row],[Month]],1))</f>
        <v/>
      </c>
    </row>
    <row r="2551" spans="7:11" x14ac:dyDescent="0.25">
      <c r="G2551" s="1" t="str">
        <f>IF(Table2[[#This Row],[Description]]="","",VLOOKUP(Table2[[#This Row],[Description]],$Q$1:$S$101,2,FALSE))</f>
        <v/>
      </c>
      <c r="H2551" s="1" t="str">
        <f>IF(Table2[[#This Row],[Description]]="","",VLOOKUP(Table2[[#This Row],[Description]],$Q$1:$S$101,3,FALSE))</f>
        <v/>
      </c>
      <c r="I2551" s="1" t="str">
        <f>IF(Table2[[#This Row],[Description]]="","",IF(Table2[[#This Row],[Currency]]=$O$2,$P$2,HLOOKUP(Table2[[#This Row],[Date]],Funds!$C$10:$GV$11,2,FALSE)))</f>
        <v/>
      </c>
      <c r="J2551" s="215" t="str">
        <f>IF(Table2[[#This Row],[Description]]="","",Table2[[#This Row],[Value]]/Table2[[#This Row],[Conversion]])</f>
        <v/>
      </c>
      <c r="K2551" s="45" t="str">
        <f>IF(Table2[[#This Row],[Description]]="","",DATE(Table2[[#This Row],[Year]],Table2[[#This Row],[Month]],1))</f>
        <v/>
      </c>
    </row>
    <row r="2552" spans="7:11" x14ac:dyDescent="0.25">
      <c r="G2552" s="1" t="str">
        <f>IF(Table2[[#This Row],[Description]]="","",VLOOKUP(Table2[[#This Row],[Description]],$Q$1:$S$101,2,FALSE))</f>
        <v/>
      </c>
      <c r="H2552" s="1" t="str">
        <f>IF(Table2[[#This Row],[Description]]="","",VLOOKUP(Table2[[#This Row],[Description]],$Q$1:$S$101,3,FALSE))</f>
        <v/>
      </c>
      <c r="I2552" s="1" t="str">
        <f>IF(Table2[[#This Row],[Description]]="","",IF(Table2[[#This Row],[Currency]]=$O$2,$P$2,HLOOKUP(Table2[[#This Row],[Date]],Funds!$C$10:$GV$11,2,FALSE)))</f>
        <v/>
      </c>
      <c r="J2552" s="215" t="str">
        <f>IF(Table2[[#This Row],[Description]]="","",Table2[[#This Row],[Value]]/Table2[[#This Row],[Conversion]])</f>
        <v/>
      </c>
      <c r="K2552" s="45" t="str">
        <f>IF(Table2[[#This Row],[Description]]="","",DATE(Table2[[#This Row],[Year]],Table2[[#This Row],[Month]],1))</f>
        <v/>
      </c>
    </row>
    <row r="2553" spans="7:11" x14ac:dyDescent="0.25">
      <c r="G2553" s="1" t="str">
        <f>IF(Table2[[#This Row],[Description]]="","",VLOOKUP(Table2[[#This Row],[Description]],$Q$1:$S$101,2,FALSE))</f>
        <v/>
      </c>
      <c r="H2553" s="1" t="str">
        <f>IF(Table2[[#This Row],[Description]]="","",VLOOKUP(Table2[[#This Row],[Description]],$Q$1:$S$101,3,FALSE))</f>
        <v/>
      </c>
      <c r="I2553" s="1" t="str">
        <f>IF(Table2[[#This Row],[Description]]="","",IF(Table2[[#This Row],[Currency]]=$O$2,$P$2,HLOOKUP(Table2[[#This Row],[Date]],Funds!$C$10:$GV$11,2,FALSE)))</f>
        <v/>
      </c>
      <c r="J2553" s="215" t="str">
        <f>IF(Table2[[#This Row],[Description]]="","",Table2[[#This Row],[Value]]/Table2[[#This Row],[Conversion]])</f>
        <v/>
      </c>
      <c r="K2553" s="45" t="str">
        <f>IF(Table2[[#This Row],[Description]]="","",DATE(Table2[[#This Row],[Year]],Table2[[#This Row],[Month]],1))</f>
        <v/>
      </c>
    </row>
    <row r="2554" spans="7:11" x14ac:dyDescent="0.25">
      <c r="G2554" s="1" t="str">
        <f>IF(Table2[[#This Row],[Description]]="","",VLOOKUP(Table2[[#This Row],[Description]],$Q$1:$S$101,2,FALSE))</f>
        <v/>
      </c>
      <c r="H2554" s="1" t="str">
        <f>IF(Table2[[#This Row],[Description]]="","",VLOOKUP(Table2[[#This Row],[Description]],$Q$1:$S$101,3,FALSE))</f>
        <v/>
      </c>
      <c r="I2554" s="1" t="str">
        <f>IF(Table2[[#This Row],[Description]]="","",IF(Table2[[#This Row],[Currency]]=$O$2,$P$2,HLOOKUP(Table2[[#This Row],[Date]],Funds!$C$10:$GV$11,2,FALSE)))</f>
        <v/>
      </c>
      <c r="J2554" s="215" t="str">
        <f>IF(Table2[[#This Row],[Description]]="","",Table2[[#This Row],[Value]]/Table2[[#This Row],[Conversion]])</f>
        <v/>
      </c>
      <c r="K2554" s="45" t="str">
        <f>IF(Table2[[#This Row],[Description]]="","",DATE(Table2[[#This Row],[Year]],Table2[[#This Row],[Month]],1))</f>
        <v/>
      </c>
    </row>
    <row r="2555" spans="7:11" x14ac:dyDescent="0.25">
      <c r="G2555" s="1" t="str">
        <f>IF(Table2[[#This Row],[Description]]="","",VLOOKUP(Table2[[#This Row],[Description]],$Q$1:$S$101,2,FALSE))</f>
        <v/>
      </c>
      <c r="H2555" s="1" t="str">
        <f>IF(Table2[[#This Row],[Description]]="","",VLOOKUP(Table2[[#This Row],[Description]],$Q$1:$S$101,3,FALSE))</f>
        <v/>
      </c>
      <c r="I2555" s="1" t="str">
        <f>IF(Table2[[#This Row],[Description]]="","",IF(Table2[[#This Row],[Currency]]=$O$2,$P$2,HLOOKUP(Table2[[#This Row],[Date]],Funds!$C$10:$GV$11,2,FALSE)))</f>
        <v/>
      </c>
      <c r="J2555" s="215" t="str">
        <f>IF(Table2[[#This Row],[Description]]="","",Table2[[#This Row],[Value]]/Table2[[#This Row],[Conversion]])</f>
        <v/>
      </c>
      <c r="K2555" s="45" t="str">
        <f>IF(Table2[[#This Row],[Description]]="","",DATE(Table2[[#This Row],[Year]],Table2[[#This Row],[Month]],1))</f>
        <v/>
      </c>
    </row>
    <row r="2556" spans="7:11" x14ac:dyDescent="0.25">
      <c r="G2556" s="1" t="str">
        <f>IF(Table2[[#This Row],[Description]]="","",VLOOKUP(Table2[[#This Row],[Description]],$Q$1:$S$101,2,FALSE))</f>
        <v/>
      </c>
      <c r="H2556" s="1" t="str">
        <f>IF(Table2[[#This Row],[Description]]="","",VLOOKUP(Table2[[#This Row],[Description]],$Q$1:$S$101,3,FALSE))</f>
        <v/>
      </c>
      <c r="I2556" s="1" t="str">
        <f>IF(Table2[[#This Row],[Description]]="","",IF(Table2[[#This Row],[Currency]]=$O$2,$P$2,HLOOKUP(Table2[[#This Row],[Date]],Funds!$C$10:$GV$11,2,FALSE)))</f>
        <v/>
      </c>
      <c r="J2556" s="215" t="str">
        <f>IF(Table2[[#This Row],[Description]]="","",Table2[[#This Row],[Value]]/Table2[[#This Row],[Conversion]])</f>
        <v/>
      </c>
      <c r="K2556" s="45" t="str">
        <f>IF(Table2[[#This Row],[Description]]="","",DATE(Table2[[#This Row],[Year]],Table2[[#This Row],[Month]],1))</f>
        <v/>
      </c>
    </row>
    <row r="2557" spans="7:11" x14ac:dyDescent="0.25">
      <c r="G2557" s="1" t="str">
        <f>IF(Table2[[#This Row],[Description]]="","",VLOOKUP(Table2[[#This Row],[Description]],$Q$1:$S$101,2,FALSE))</f>
        <v/>
      </c>
      <c r="H2557" s="1" t="str">
        <f>IF(Table2[[#This Row],[Description]]="","",VLOOKUP(Table2[[#This Row],[Description]],$Q$1:$S$101,3,FALSE))</f>
        <v/>
      </c>
      <c r="I2557" s="1" t="str">
        <f>IF(Table2[[#This Row],[Description]]="","",IF(Table2[[#This Row],[Currency]]=$O$2,$P$2,HLOOKUP(Table2[[#This Row],[Date]],Funds!$C$10:$GV$11,2,FALSE)))</f>
        <v/>
      </c>
      <c r="J2557" s="215" t="str">
        <f>IF(Table2[[#This Row],[Description]]="","",Table2[[#This Row],[Value]]/Table2[[#This Row],[Conversion]])</f>
        <v/>
      </c>
      <c r="K2557" s="45" t="str">
        <f>IF(Table2[[#This Row],[Description]]="","",DATE(Table2[[#This Row],[Year]],Table2[[#This Row],[Month]],1))</f>
        <v/>
      </c>
    </row>
    <row r="2558" spans="7:11" x14ac:dyDescent="0.25">
      <c r="G2558" s="1" t="str">
        <f>IF(Table2[[#This Row],[Description]]="","",VLOOKUP(Table2[[#This Row],[Description]],$Q$1:$S$101,2,FALSE))</f>
        <v/>
      </c>
      <c r="H2558" s="1" t="str">
        <f>IF(Table2[[#This Row],[Description]]="","",VLOOKUP(Table2[[#This Row],[Description]],$Q$1:$S$101,3,FALSE))</f>
        <v/>
      </c>
      <c r="I2558" s="1" t="str">
        <f>IF(Table2[[#This Row],[Description]]="","",IF(Table2[[#This Row],[Currency]]=$O$2,$P$2,HLOOKUP(Table2[[#This Row],[Date]],Funds!$C$10:$GV$11,2,FALSE)))</f>
        <v/>
      </c>
      <c r="J2558" s="215" t="str">
        <f>IF(Table2[[#This Row],[Description]]="","",Table2[[#This Row],[Value]]/Table2[[#This Row],[Conversion]])</f>
        <v/>
      </c>
      <c r="K2558" s="45" t="str">
        <f>IF(Table2[[#This Row],[Description]]="","",DATE(Table2[[#This Row],[Year]],Table2[[#This Row],[Month]],1))</f>
        <v/>
      </c>
    </row>
    <row r="2559" spans="7:11" x14ac:dyDescent="0.25">
      <c r="G2559" s="1" t="str">
        <f>IF(Table2[[#This Row],[Description]]="","",VLOOKUP(Table2[[#This Row],[Description]],$Q$1:$S$101,2,FALSE))</f>
        <v/>
      </c>
      <c r="H2559" s="1" t="str">
        <f>IF(Table2[[#This Row],[Description]]="","",VLOOKUP(Table2[[#This Row],[Description]],$Q$1:$S$101,3,FALSE))</f>
        <v/>
      </c>
      <c r="I2559" s="1" t="str">
        <f>IF(Table2[[#This Row],[Description]]="","",IF(Table2[[#This Row],[Currency]]=$O$2,$P$2,HLOOKUP(Table2[[#This Row],[Date]],Funds!$C$10:$GV$11,2,FALSE)))</f>
        <v/>
      </c>
      <c r="J2559" s="215" t="str">
        <f>IF(Table2[[#This Row],[Description]]="","",Table2[[#This Row],[Value]]/Table2[[#This Row],[Conversion]])</f>
        <v/>
      </c>
      <c r="K2559" s="45" t="str">
        <f>IF(Table2[[#This Row],[Description]]="","",DATE(Table2[[#This Row],[Year]],Table2[[#This Row],[Month]],1))</f>
        <v/>
      </c>
    </row>
    <row r="2560" spans="7:11" x14ac:dyDescent="0.25">
      <c r="G2560" s="1" t="str">
        <f>IF(Table2[[#This Row],[Description]]="","",VLOOKUP(Table2[[#This Row],[Description]],$Q$1:$S$101,2,FALSE))</f>
        <v/>
      </c>
      <c r="H2560" s="1" t="str">
        <f>IF(Table2[[#This Row],[Description]]="","",VLOOKUP(Table2[[#This Row],[Description]],$Q$1:$S$101,3,FALSE))</f>
        <v/>
      </c>
      <c r="I2560" s="1" t="str">
        <f>IF(Table2[[#This Row],[Description]]="","",IF(Table2[[#This Row],[Currency]]=$O$2,$P$2,HLOOKUP(Table2[[#This Row],[Date]],Funds!$C$10:$GV$11,2,FALSE)))</f>
        <v/>
      </c>
      <c r="J2560" s="215" t="str">
        <f>IF(Table2[[#This Row],[Description]]="","",Table2[[#This Row],[Value]]/Table2[[#This Row],[Conversion]])</f>
        <v/>
      </c>
      <c r="K2560" s="45" t="str">
        <f>IF(Table2[[#This Row],[Description]]="","",DATE(Table2[[#This Row],[Year]],Table2[[#This Row],[Month]],1))</f>
        <v/>
      </c>
    </row>
    <row r="2561" spans="7:11" x14ac:dyDescent="0.25">
      <c r="G2561" s="1" t="str">
        <f>IF(Table2[[#This Row],[Description]]="","",VLOOKUP(Table2[[#This Row],[Description]],$Q$1:$S$101,2,FALSE))</f>
        <v/>
      </c>
      <c r="H2561" s="1" t="str">
        <f>IF(Table2[[#This Row],[Description]]="","",VLOOKUP(Table2[[#This Row],[Description]],$Q$1:$S$101,3,FALSE))</f>
        <v/>
      </c>
      <c r="I2561" s="1" t="str">
        <f>IF(Table2[[#This Row],[Description]]="","",IF(Table2[[#This Row],[Currency]]=$O$2,$P$2,HLOOKUP(Table2[[#This Row],[Date]],Funds!$C$10:$GV$11,2,FALSE)))</f>
        <v/>
      </c>
      <c r="J2561" s="215" t="str">
        <f>IF(Table2[[#This Row],[Description]]="","",Table2[[#This Row],[Value]]/Table2[[#This Row],[Conversion]])</f>
        <v/>
      </c>
      <c r="K2561" s="45" t="str">
        <f>IF(Table2[[#This Row],[Description]]="","",DATE(Table2[[#This Row],[Year]],Table2[[#This Row],[Month]],1))</f>
        <v/>
      </c>
    </row>
    <row r="2562" spans="7:11" x14ac:dyDescent="0.25">
      <c r="G2562" s="1" t="str">
        <f>IF(Table2[[#This Row],[Description]]="","",VLOOKUP(Table2[[#This Row],[Description]],$Q$1:$S$101,2,FALSE))</f>
        <v/>
      </c>
      <c r="H2562" s="1" t="str">
        <f>IF(Table2[[#This Row],[Description]]="","",VLOOKUP(Table2[[#This Row],[Description]],$Q$1:$S$101,3,FALSE))</f>
        <v/>
      </c>
      <c r="I2562" s="1" t="str">
        <f>IF(Table2[[#This Row],[Description]]="","",IF(Table2[[#This Row],[Currency]]=$O$2,$P$2,HLOOKUP(Table2[[#This Row],[Date]],Funds!$C$10:$GV$11,2,FALSE)))</f>
        <v/>
      </c>
      <c r="J2562" s="215" t="str">
        <f>IF(Table2[[#This Row],[Description]]="","",Table2[[#This Row],[Value]]/Table2[[#This Row],[Conversion]])</f>
        <v/>
      </c>
      <c r="K2562" s="45" t="str">
        <f>IF(Table2[[#This Row],[Description]]="","",DATE(Table2[[#This Row],[Year]],Table2[[#This Row],[Month]],1))</f>
        <v/>
      </c>
    </row>
    <row r="2563" spans="7:11" x14ac:dyDescent="0.25">
      <c r="G2563" s="1" t="str">
        <f>IF(Table2[[#This Row],[Description]]="","",VLOOKUP(Table2[[#This Row],[Description]],$Q$1:$S$101,2,FALSE))</f>
        <v/>
      </c>
      <c r="H2563" s="1" t="str">
        <f>IF(Table2[[#This Row],[Description]]="","",VLOOKUP(Table2[[#This Row],[Description]],$Q$1:$S$101,3,FALSE))</f>
        <v/>
      </c>
      <c r="I2563" s="1" t="str">
        <f>IF(Table2[[#This Row],[Description]]="","",IF(Table2[[#This Row],[Currency]]=$O$2,$P$2,HLOOKUP(Table2[[#This Row],[Date]],Funds!$C$10:$GV$11,2,FALSE)))</f>
        <v/>
      </c>
      <c r="J2563" s="215" t="str">
        <f>IF(Table2[[#This Row],[Description]]="","",Table2[[#This Row],[Value]]/Table2[[#This Row],[Conversion]])</f>
        <v/>
      </c>
      <c r="K2563" s="45" t="str">
        <f>IF(Table2[[#This Row],[Description]]="","",DATE(Table2[[#This Row],[Year]],Table2[[#This Row],[Month]],1))</f>
        <v/>
      </c>
    </row>
    <row r="2564" spans="7:11" x14ac:dyDescent="0.25">
      <c r="G2564" s="1" t="str">
        <f>IF(Table2[[#This Row],[Description]]="","",VLOOKUP(Table2[[#This Row],[Description]],$Q$1:$S$101,2,FALSE))</f>
        <v/>
      </c>
      <c r="H2564" s="1" t="str">
        <f>IF(Table2[[#This Row],[Description]]="","",VLOOKUP(Table2[[#This Row],[Description]],$Q$1:$S$101,3,FALSE))</f>
        <v/>
      </c>
      <c r="I2564" s="1" t="str">
        <f>IF(Table2[[#This Row],[Description]]="","",IF(Table2[[#This Row],[Currency]]=$O$2,$P$2,HLOOKUP(Table2[[#This Row],[Date]],Funds!$C$10:$GV$11,2,FALSE)))</f>
        <v/>
      </c>
      <c r="J2564" s="215" t="str">
        <f>IF(Table2[[#This Row],[Description]]="","",Table2[[#This Row],[Value]]/Table2[[#This Row],[Conversion]])</f>
        <v/>
      </c>
      <c r="K2564" s="45" t="str">
        <f>IF(Table2[[#This Row],[Description]]="","",DATE(Table2[[#This Row],[Year]],Table2[[#This Row],[Month]],1))</f>
        <v/>
      </c>
    </row>
    <row r="2565" spans="7:11" x14ac:dyDescent="0.25">
      <c r="G2565" s="1" t="str">
        <f>IF(Table2[[#This Row],[Description]]="","",VLOOKUP(Table2[[#This Row],[Description]],$Q$1:$S$101,2,FALSE))</f>
        <v/>
      </c>
      <c r="H2565" s="1" t="str">
        <f>IF(Table2[[#This Row],[Description]]="","",VLOOKUP(Table2[[#This Row],[Description]],$Q$1:$S$101,3,FALSE))</f>
        <v/>
      </c>
      <c r="I2565" s="1" t="str">
        <f>IF(Table2[[#This Row],[Description]]="","",IF(Table2[[#This Row],[Currency]]=$O$2,$P$2,HLOOKUP(Table2[[#This Row],[Date]],Funds!$C$10:$GV$11,2,FALSE)))</f>
        <v/>
      </c>
      <c r="J2565" s="215" t="str">
        <f>IF(Table2[[#This Row],[Description]]="","",Table2[[#This Row],[Value]]/Table2[[#This Row],[Conversion]])</f>
        <v/>
      </c>
      <c r="K2565" s="45" t="str">
        <f>IF(Table2[[#This Row],[Description]]="","",DATE(Table2[[#This Row],[Year]],Table2[[#This Row],[Month]],1))</f>
        <v/>
      </c>
    </row>
    <row r="2566" spans="7:11" x14ac:dyDescent="0.25">
      <c r="G2566" s="1" t="str">
        <f>IF(Table2[[#This Row],[Description]]="","",VLOOKUP(Table2[[#This Row],[Description]],$Q$1:$S$101,2,FALSE))</f>
        <v/>
      </c>
      <c r="H2566" s="1" t="str">
        <f>IF(Table2[[#This Row],[Description]]="","",VLOOKUP(Table2[[#This Row],[Description]],$Q$1:$S$101,3,FALSE))</f>
        <v/>
      </c>
      <c r="I2566" s="1" t="str">
        <f>IF(Table2[[#This Row],[Description]]="","",IF(Table2[[#This Row],[Currency]]=$O$2,$P$2,HLOOKUP(Table2[[#This Row],[Date]],Funds!$C$10:$GV$11,2,FALSE)))</f>
        <v/>
      </c>
      <c r="J2566" s="215" t="str">
        <f>IF(Table2[[#This Row],[Description]]="","",Table2[[#This Row],[Value]]/Table2[[#This Row],[Conversion]])</f>
        <v/>
      </c>
      <c r="K2566" s="45" t="str">
        <f>IF(Table2[[#This Row],[Description]]="","",DATE(Table2[[#This Row],[Year]],Table2[[#This Row],[Month]],1))</f>
        <v/>
      </c>
    </row>
    <row r="2567" spans="7:11" x14ac:dyDescent="0.25">
      <c r="G2567" s="1" t="str">
        <f>IF(Table2[[#This Row],[Description]]="","",VLOOKUP(Table2[[#This Row],[Description]],$Q$1:$S$101,2,FALSE))</f>
        <v/>
      </c>
      <c r="H2567" s="1" t="str">
        <f>IF(Table2[[#This Row],[Description]]="","",VLOOKUP(Table2[[#This Row],[Description]],$Q$1:$S$101,3,FALSE))</f>
        <v/>
      </c>
      <c r="I2567" s="1" t="str">
        <f>IF(Table2[[#This Row],[Description]]="","",IF(Table2[[#This Row],[Currency]]=$O$2,$P$2,HLOOKUP(Table2[[#This Row],[Date]],Funds!$C$10:$GV$11,2,FALSE)))</f>
        <v/>
      </c>
      <c r="J2567" s="215" t="str">
        <f>IF(Table2[[#This Row],[Description]]="","",Table2[[#This Row],[Value]]/Table2[[#This Row],[Conversion]])</f>
        <v/>
      </c>
      <c r="K2567" s="45" t="str">
        <f>IF(Table2[[#This Row],[Description]]="","",DATE(Table2[[#This Row],[Year]],Table2[[#This Row],[Month]],1))</f>
        <v/>
      </c>
    </row>
    <row r="2568" spans="7:11" x14ac:dyDescent="0.25">
      <c r="G2568" s="1" t="str">
        <f>IF(Table2[[#This Row],[Description]]="","",VLOOKUP(Table2[[#This Row],[Description]],$Q$1:$S$101,2,FALSE))</f>
        <v/>
      </c>
      <c r="H2568" s="1" t="str">
        <f>IF(Table2[[#This Row],[Description]]="","",VLOOKUP(Table2[[#This Row],[Description]],$Q$1:$S$101,3,FALSE))</f>
        <v/>
      </c>
      <c r="I2568" s="1" t="str">
        <f>IF(Table2[[#This Row],[Description]]="","",IF(Table2[[#This Row],[Currency]]=$O$2,$P$2,HLOOKUP(Table2[[#This Row],[Date]],Funds!$C$10:$GV$11,2,FALSE)))</f>
        <v/>
      </c>
      <c r="J2568" s="215" t="str">
        <f>IF(Table2[[#This Row],[Description]]="","",Table2[[#This Row],[Value]]/Table2[[#This Row],[Conversion]])</f>
        <v/>
      </c>
      <c r="K2568" s="45" t="str">
        <f>IF(Table2[[#This Row],[Description]]="","",DATE(Table2[[#This Row],[Year]],Table2[[#This Row],[Month]],1))</f>
        <v/>
      </c>
    </row>
    <row r="2569" spans="7:11" x14ac:dyDescent="0.25">
      <c r="G2569" s="1" t="str">
        <f>IF(Table2[[#This Row],[Description]]="","",VLOOKUP(Table2[[#This Row],[Description]],$Q$1:$S$101,2,FALSE))</f>
        <v/>
      </c>
      <c r="H2569" s="1" t="str">
        <f>IF(Table2[[#This Row],[Description]]="","",VLOOKUP(Table2[[#This Row],[Description]],$Q$1:$S$101,3,FALSE))</f>
        <v/>
      </c>
      <c r="I2569" s="1" t="str">
        <f>IF(Table2[[#This Row],[Description]]="","",IF(Table2[[#This Row],[Currency]]=$O$2,$P$2,HLOOKUP(Table2[[#This Row],[Date]],Funds!$C$10:$GV$11,2,FALSE)))</f>
        <v/>
      </c>
      <c r="J2569" s="215" t="str">
        <f>IF(Table2[[#This Row],[Description]]="","",Table2[[#This Row],[Value]]/Table2[[#This Row],[Conversion]])</f>
        <v/>
      </c>
      <c r="K2569" s="45" t="str">
        <f>IF(Table2[[#This Row],[Description]]="","",DATE(Table2[[#This Row],[Year]],Table2[[#This Row],[Month]],1))</f>
        <v/>
      </c>
    </row>
    <row r="2570" spans="7:11" x14ac:dyDescent="0.25">
      <c r="G2570" s="1" t="str">
        <f>IF(Table2[[#This Row],[Description]]="","",VLOOKUP(Table2[[#This Row],[Description]],$Q$1:$S$101,2,FALSE))</f>
        <v/>
      </c>
      <c r="H2570" s="1" t="str">
        <f>IF(Table2[[#This Row],[Description]]="","",VLOOKUP(Table2[[#This Row],[Description]],$Q$1:$S$101,3,FALSE))</f>
        <v/>
      </c>
      <c r="I2570" s="1" t="str">
        <f>IF(Table2[[#This Row],[Description]]="","",IF(Table2[[#This Row],[Currency]]=$O$2,$P$2,HLOOKUP(Table2[[#This Row],[Date]],Funds!$C$10:$GV$11,2,FALSE)))</f>
        <v/>
      </c>
      <c r="J2570" s="215" t="str">
        <f>IF(Table2[[#This Row],[Description]]="","",Table2[[#This Row],[Value]]/Table2[[#This Row],[Conversion]])</f>
        <v/>
      </c>
      <c r="K2570" s="45" t="str">
        <f>IF(Table2[[#This Row],[Description]]="","",DATE(Table2[[#This Row],[Year]],Table2[[#This Row],[Month]],1))</f>
        <v/>
      </c>
    </row>
    <row r="2571" spans="7:11" x14ac:dyDescent="0.25">
      <c r="G2571" s="1" t="str">
        <f>IF(Table2[[#This Row],[Description]]="","",VLOOKUP(Table2[[#This Row],[Description]],$Q$1:$S$101,2,FALSE))</f>
        <v/>
      </c>
      <c r="H2571" s="1" t="str">
        <f>IF(Table2[[#This Row],[Description]]="","",VLOOKUP(Table2[[#This Row],[Description]],$Q$1:$S$101,3,FALSE))</f>
        <v/>
      </c>
      <c r="I2571" s="1" t="str">
        <f>IF(Table2[[#This Row],[Description]]="","",IF(Table2[[#This Row],[Currency]]=$O$2,$P$2,HLOOKUP(Table2[[#This Row],[Date]],Funds!$C$10:$GV$11,2,FALSE)))</f>
        <v/>
      </c>
      <c r="J2571" s="215" t="str">
        <f>IF(Table2[[#This Row],[Description]]="","",Table2[[#This Row],[Value]]/Table2[[#This Row],[Conversion]])</f>
        <v/>
      </c>
      <c r="K2571" s="45" t="str">
        <f>IF(Table2[[#This Row],[Description]]="","",DATE(Table2[[#This Row],[Year]],Table2[[#This Row],[Month]],1))</f>
        <v/>
      </c>
    </row>
    <row r="2572" spans="7:11" x14ac:dyDescent="0.25">
      <c r="G2572" s="1" t="str">
        <f>IF(Table2[[#This Row],[Description]]="","",VLOOKUP(Table2[[#This Row],[Description]],$Q$1:$S$101,2,FALSE))</f>
        <v/>
      </c>
      <c r="H2572" s="1" t="str">
        <f>IF(Table2[[#This Row],[Description]]="","",VLOOKUP(Table2[[#This Row],[Description]],$Q$1:$S$101,3,FALSE))</f>
        <v/>
      </c>
      <c r="I2572" s="1" t="str">
        <f>IF(Table2[[#This Row],[Description]]="","",IF(Table2[[#This Row],[Currency]]=$O$2,$P$2,HLOOKUP(Table2[[#This Row],[Date]],Funds!$C$10:$GV$11,2,FALSE)))</f>
        <v/>
      </c>
      <c r="J2572" s="215" t="str">
        <f>IF(Table2[[#This Row],[Description]]="","",Table2[[#This Row],[Value]]/Table2[[#This Row],[Conversion]])</f>
        <v/>
      </c>
      <c r="K2572" s="45" t="str">
        <f>IF(Table2[[#This Row],[Description]]="","",DATE(Table2[[#This Row],[Year]],Table2[[#This Row],[Month]],1))</f>
        <v/>
      </c>
    </row>
    <row r="2573" spans="7:11" x14ac:dyDescent="0.25">
      <c r="G2573" s="1" t="str">
        <f>IF(Table2[[#This Row],[Description]]="","",VLOOKUP(Table2[[#This Row],[Description]],$Q$1:$S$101,2,FALSE))</f>
        <v/>
      </c>
      <c r="H2573" s="1" t="str">
        <f>IF(Table2[[#This Row],[Description]]="","",VLOOKUP(Table2[[#This Row],[Description]],$Q$1:$S$101,3,FALSE))</f>
        <v/>
      </c>
      <c r="I2573" s="1" t="str">
        <f>IF(Table2[[#This Row],[Description]]="","",IF(Table2[[#This Row],[Currency]]=$O$2,$P$2,HLOOKUP(Table2[[#This Row],[Date]],Funds!$C$10:$GV$11,2,FALSE)))</f>
        <v/>
      </c>
      <c r="J2573" s="215" t="str">
        <f>IF(Table2[[#This Row],[Description]]="","",Table2[[#This Row],[Value]]/Table2[[#This Row],[Conversion]])</f>
        <v/>
      </c>
      <c r="K2573" s="45" t="str">
        <f>IF(Table2[[#This Row],[Description]]="","",DATE(Table2[[#This Row],[Year]],Table2[[#This Row],[Month]],1))</f>
        <v/>
      </c>
    </row>
    <row r="2574" spans="7:11" x14ac:dyDescent="0.25">
      <c r="G2574" s="1" t="str">
        <f>IF(Table2[[#This Row],[Description]]="","",VLOOKUP(Table2[[#This Row],[Description]],$Q$1:$S$101,2,FALSE))</f>
        <v/>
      </c>
      <c r="H2574" s="1" t="str">
        <f>IF(Table2[[#This Row],[Description]]="","",VLOOKUP(Table2[[#This Row],[Description]],$Q$1:$S$101,3,FALSE))</f>
        <v/>
      </c>
      <c r="I2574" s="1" t="str">
        <f>IF(Table2[[#This Row],[Description]]="","",IF(Table2[[#This Row],[Currency]]=$O$2,$P$2,HLOOKUP(Table2[[#This Row],[Date]],Funds!$C$10:$GV$11,2,FALSE)))</f>
        <v/>
      </c>
      <c r="J2574" s="215" t="str">
        <f>IF(Table2[[#This Row],[Description]]="","",Table2[[#This Row],[Value]]/Table2[[#This Row],[Conversion]])</f>
        <v/>
      </c>
      <c r="K2574" s="45" t="str">
        <f>IF(Table2[[#This Row],[Description]]="","",DATE(Table2[[#This Row],[Year]],Table2[[#This Row],[Month]],1))</f>
        <v/>
      </c>
    </row>
    <row r="2575" spans="7:11" x14ac:dyDescent="0.25">
      <c r="G2575" s="1" t="str">
        <f>IF(Table2[[#This Row],[Description]]="","",VLOOKUP(Table2[[#This Row],[Description]],$Q$1:$S$101,2,FALSE))</f>
        <v/>
      </c>
      <c r="H2575" s="1" t="str">
        <f>IF(Table2[[#This Row],[Description]]="","",VLOOKUP(Table2[[#This Row],[Description]],$Q$1:$S$101,3,FALSE))</f>
        <v/>
      </c>
      <c r="I2575" s="1" t="str">
        <f>IF(Table2[[#This Row],[Description]]="","",IF(Table2[[#This Row],[Currency]]=$O$2,$P$2,HLOOKUP(Table2[[#This Row],[Date]],Funds!$C$10:$GV$11,2,FALSE)))</f>
        <v/>
      </c>
      <c r="J2575" s="215" t="str">
        <f>IF(Table2[[#This Row],[Description]]="","",Table2[[#This Row],[Value]]/Table2[[#This Row],[Conversion]])</f>
        <v/>
      </c>
      <c r="K2575" s="45" t="str">
        <f>IF(Table2[[#This Row],[Description]]="","",DATE(Table2[[#This Row],[Year]],Table2[[#This Row],[Month]],1))</f>
        <v/>
      </c>
    </row>
    <row r="2576" spans="7:11" x14ac:dyDescent="0.25">
      <c r="G2576" s="1" t="str">
        <f>IF(Table2[[#This Row],[Description]]="","",VLOOKUP(Table2[[#This Row],[Description]],$Q$1:$S$101,2,FALSE))</f>
        <v/>
      </c>
      <c r="H2576" s="1" t="str">
        <f>IF(Table2[[#This Row],[Description]]="","",VLOOKUP(Table2[[#This Row],[Description]],$Q$1:$S$101,3,FALSE))</f>
        <v/>
      </c>
      <c r="I2576" s="1" t="str">
        <f>IF(Table2[[#This Row],[Description]]="","",IF(Table2[[#This Row],[Currency]]=$O$2,$P$2,HLOOKUP(Table2[[#This Row],[Date]],Funds!$C$10:$GV$11,2,FALSE)))</f>
        <v/>
      </c>
      <c r="J2576" s="215" t="str">
        <f>IF(Table2[[#This Row],[Description]]="","",Table2[[#This Row],[Value]]/Table2[[#This Row],[Conversion]])</f>
        <v/>
      </c>
      <c r="K2576" s="45" t="str">
        <f>IF(Table2[[#This Row],[Description]]="","",DATE(Table2[[#This Row],[Year]],Table2[[#This Row],[Month]],1))</f>
        <v/>
      </c>
    </row>
    <row r="2577" spans="7:11" x14ac:dyDescent="0.25">
      <c r="G2577" s="1" t="str">
        <f>IF(Table2[[#This Row],[Description]]="","",VLOOKUP(Table2[[#This Row],[Description]],$Q$1:$S$101,2,FALSE))</f>
        <v/>
      </c>
      <c r="H2577" s="1" t="str">
        <f>IF(Table2[[#This Row],[Description]]="","",VLOOKUP(Table2[[#This Row],[Description]],$Q$1:$S$101,3,FALSE))</f>
        <v/>
      </c>
      <c r="I2577" s="1" t="str">
        <f>IF(Table2[[#This Row],[Description]]="","",IF(Table2[[#This Row],[Currency]]=$O$2,$P$2,HLOOKUP(Table2[[#This Row],[Date]],Funds!$C$10:$GV$11,2,FALSE)))</f>
        <v/>
      </c>
      <c r="J2577" s="215" t="str">
        <f>IF(Table2[[#This Row],[Description]]="","",Table2[[#This Row],[Value]]/Table2[[#This Row],[Conversion]])</f>
        <v/>
      </c>
      <c r="K2577" s="45" t="str">
        <f>IF(Table2[[#This Row],[Description]]="","",DATE(Table2[[#This Row],[Year]],Table2[[#This Row],[Month]],1))</f>
        <v/>
      </c>
    </row>
    <row r="2578" spans="7:11" x14ac:dyDescent="0.25">
      <c r="G2578" s="1" t="str">
        <f>IF(Table2[[#This Row],[Description]]="","",VLOOKUP(Table2[[#This Row],[Description]],$Q$1:$S$101,2,FALSE))</f>
        <v/>
      </c>
      <c r="H2578" s="1" t="str">
        <f>IF(Table2[[#This Row],[Description]]="","",VLOOKUP(Table2[[#This Row],[Description]],$Q$1:$S$101,3,FALSE))</f>
        <v/>
      </c>
      <c r="I2578" s="1" t="str">
        <f>IF(Table2[[#This Row],[Description]]="","",IF(Table2[[#This Row],[Currency]]=$O$2,$P$2,HLOOKUP(Table2[[#This Row],[Date]],Funds!$C$10:$GV$11,2,FALSE)))</f>
        <v/>
      </c>
      <c r="J2578" s="215" t="str">
        <f>IF(Table2[[#This Row],[Description]]="","",Table2[[#This Row],[Value]]/Table2[[#This Row],[Conversion]])</f>
        <v/>
      </c>
      <c r="K2578" s="45" t="str">
        <f>IF(Table2[[#This Row],[Description]]="","",DATE(Table2[[#This Row],[Year]],Table2[[#This Row],[Month]],1))</f>
        <v/>
      </c>
    </row>
    <row r="2579" spans="7:11" x14ac:dyDescent="0.25">
      <c r="G2579" s="1" t="str">
        <f>IF(Table2[[#This Row],[Description]]="","",VLOOKUP(Table2[[#This Row],[Description]],$Q$1:$S$101,2,FALSE))</f>
        <v/>
      </c>
      <c r="H2579" s="1" t="str">
        <f>IF(Table2[[#This Row],[Description]]="","",VLOOKUP(Table2[[#This Row],[Description]],$Q$1:$S$101,3,FALSE))</f>
        <v/>
      </c>
      <c r="I2579" s="1" t="str">
        <f>IF(Table2[[#This Row],[Description]]="","",IF(Table2[[#This Row],[Currency]]=$O$2,$P$2,HLOOKUP(Table2[[#This Row],[Date]],Funds!$C$10:$GV$11,2,FALSE)))</f>
        <v/>
      </c>
      <c r="J2579" s="215" t="str">
        <f>IF(Table2[[#This Row],[Description]]="","",Table2[[#This Row],[Value]]/Table2[[#This Row],[Conversion]])</f>
        <v/>
      </c>
      <c r="K2579" s="45" t="str">
        <f>IF(Table2[[#This Row],[Description]]="","",DATE(Table2[[#This Row],[Year]],Table2[[#This Row],[Month]],1))</f>
        <v/>
      </c>
    </row>
    <row r="2580" spans="7:11" x14ac:dyDescent="0.25">
      <c r="G2580" s="1" t="str">
        <f>IF(Table2[[#This Row],[Description]]="","",VLOOKUP(Table2[[#This Row],[Description]],$Q$1:$S$101,2,FALSE))</f>
        <v/>
      </c>
      <c r="H2580" s="1" t="str">
        <f>IF(Table2[[#This Row],[Description]]="","",VLOOKUP(Table2[[#This Row],[Description]],$Q$1:$S$101,3,FALSE))</f>
        <v/>
      </c>
      <c r="I2580" s="1" t="str">
        <f>IF(Table2[[#This Row],[Description]]="","",IF(Table2[[#This Row],[Currency]]=$O$2,$P$2,HLOOKUP(Table2[[#This Row],[Date]],Funds!$C$10:$GV$11,2,FALSE)))</f>
        <v/>
      </c>
      <c r="J2580" s="215" t="str">
        <f>IF(Table2[[#This Row],[Description]]="","",Table2[[#This Row],[Value]]/Table2[[#This Row],[Conversion]])</f>
        <v/>
      </c>
      <c r="K2580" s="45" t="str">
        <f>IF(Table2[[#This Row],[Description]]="","",DATE(Table2[[#This Row],[Year]],Table2[[#This Row],[Month]],1))</f>
        <v/>
      </c>
    </row>
    <row r="2581" spans="7:11" x14ac:dyDescent="0.25">
      <c r="G2581" s="1" t="str">
        <f>IF(Table2[[#This Row],[Description]]="","",VLOOKUP(Table2[[#This Row],[Description]],$Q$1:$S$101,2,FALSE))</f>
        <v/>
      </c>
      <c r="H2581" s="1" t="str">
        <f>IF(Table2[[#This Row],[Description]]="","",VLOOKUP(Table2[[#This Row],[Description]],$Q$1:$S$101,3,FALSE))</f>
        <v/>
      </c>
      <c r="I2581" s="1" t="str">
        <f>IF(Table2[[#This Row],[Description]]="","",IF(Table2[[#This Row],[Currency]]=$O$2,$P$2,HLOOKUP(Table2[[#This Row],[Date]],Funds!$C$10:$GV$11,2,FALSE)))</f>
        <v/>
      </c>
      <c r="J2581" s="215" t="str">
        <f>IF(Table2[[#This Row],[Description]]="","",Table2[[#This Row],[Value]]/Table2[[#This Row],[Conversion]])</f>
        <v/>
      </c>
      <c r="K2581" s="45" t="str">
        <f>IF(Table2[[#This Row],[Description]]="","",DATE(Table2[[#This Row],[Year]],Table2[[#This Row],[Month]],1))</f>
        <v/>
      </c>
    </row>
    <row r="2582" spans="7:11" x14ac:dyDescent="0.25">
      <c r="G2582" s="1" t="str">
        <f>IF(Table2[[#This Row],[Description]]="","",VLOOKUP(Table2[[#This Row],[Description]],$Q$1:$S$101,2,FALSE))</f>
        <v/>
      </c>
      <c r="H2582" s="1" t="str">
        <f>IF(Table2[[#This Row],[Description]]="","",VLOOKUP(Table2[[#This Row],[Description]],$Q$1:$S$101,3,FALSE))</f>
        <v/>
      </c>
      <c r="I2582" s="1" t="str">
        <f>IF(Table2[[#This Row],[Description]]="","",IF(Table2[[#This Row],[Currency]]=$O$2,$P$2,HLOOKUP(Table2[[#This Row],[Date]],Funds!$C$10:$GV$11,2,FALSE)))</f>
        <v/>
      </c>
      <c r="J2582" s="215" t="str">
        <f>IF(Table2[[#This Row],[Description]]="","",Table2[[#This Row],[Value]]/Table2[[#This Row],[Conversion]])</f>
        <v/>
      </c>
      <c r="K2582" s="45" t="str">
        <f>IF(Table2[[#This Row],[Description]]="","",DATE(Table2[[#This Row],[Year]],Table2[[#This Row],[Month]],1))</f>
        <v/>
      </c>
    </row>
    <row r="2583" spans="7:11" x14ac:dyDescent="0.25">
      <c r="G2583" s="1" t="str">
        <f>IF(Table2[[#This Row],[Description]]="","",VLOOKUP(Table2[[#This Row],[Description]],$Q$1:$S$101,2,FALSE))</f>
        <v/>
      </c>
      <c r="H2583" s="1" t="str">
        <f>IF(Table2[[#This Row],[Description]]="","",VLOOKUP(Table2[[#This Row],[Description]],$Q$1:$S$101,3,FALSE))</f>
        <v/>
      </c>
      <c r="I2583" s="1" t="str">
        <f>IF(Table2[[#This Row],[Description]]="","",IF(Table2[[#This Row],[Currency]]=$O$2,$P$2,HLOOKUP(Table2[[#This Row],[Date]],Funds!$C$10:$GV$11,2,FALSE)))</f>
        <v/>
      </c>
      <c r="J2583" s="215" t="str">
        <f>IF(Table2[[#This Row],[Description]]="","",Table2[[#This Row],[Value]]/Table2[[#This Row],[Conversion]])</f>
        <v/>
      </c>
      <c r="K2583" s="45" t="str">
        <f>IF(Table2[[#This Row],[Description]]="","",DATE(Table2[[#This Row],[Year]],Table2[[#This Row],[Month]],1))</f>
        <v/>
      </c>
    </row>
    <row r="2584" spans="7:11" x14ac:dyDescent="0.25">
      <c r="G2584" s="1" t="str">
        <f>IF(Table2[[#This Row],[Description]]="","",VLOOKUP(Table2[[#This Row],[Description]],$Q$1:$S$101,2,FALSE))</f>
        <v/>
      </c>
      <c r="H2584" s="1" t="str">
        <f>IF(Table2[[#This Row],[Description]]="","",VLOOKUP(Table2[[#This Row],[Description]],$Q$1:$S$101,3,FALSE))</f>
        <v/>
      </c>
      <c r="I2584" s="1" t="str">
        <f>IF(Table2[[#This Row],[Description]]="","",IF(Table2[[#This Row],[Currency]]=$O$2,$P$2,HLOOKUP(Table2[[#This Row],[Date]],Funds!$C$10:$GV$11,2,FALSE)))</f>
        <v/>
      </c>
      <c r="J2584" s="215" t="str">
        <f>IF(Table2[[#This Row],[Description]]="","",Table2[[#This Row],[Value]]/Table2[[#This Row],[Conversion]])</f>
        <v/>
      </c>
      <c r="K2584" s="45" t="str">
        <f>IF(Table2[[#This Row],[Description]]="","",DATE(Table2[[#This Row],[Year]],Table2[[#This Row],[Month]],1))</f>
        <v/>
      </c>
    </row>
    <row r="2585" spans="7:11" x14ac:dyDescent="0.25">
      <c r="G2585" s="1" t="str">
        <f>IF(Table2[[#This Row],[Description]]="","",VLOOKUP(Table2[[#This Row],[Description]],$Q$1:$S$101,2,FALSE))</f>
        <v/>
      </c>
      <c r="H2585" s="1" t="str">
        <f>IF(Table2[[#This Row],[Description]]="","",VLOOKUP(Table2[[#This Row],[Description]],$Q$1:$S$101,3,FALSE))</f>
        <v/>
      </c>
      <c r="I2585" s="1" t="str">
        <f>IF(Table2[[#This Row],[Description]]="","",IF(Table2[[#This Row],[Currency]]=$O$2,$P$2,HLOOKUP(Table2[[#This Row],[Date]],Funds!$C$10:$GV$11,2,FALSE)))</f>
        <v/>
      </c>
      <c r="J2585" s="215" t="str">
        <f>IF(Table2[[#This Row],[Description]]="","",Table2[[#This Row],[Value]]/Table2[[#This Row],[Conversion]])</f>
        <v/>
      </c>
      <c r="K2585" s="45" t="str">
        <f>IF(Table2[[#This Row],[Description]]="","",DATE(Table2[[#This Row],[Year]],Table2[[#This Row],[Month]],1))</f>
        <v/>
      </c>
    </row>
    <row r="2586" spans="7:11" x14ac:dyDescent="0.25">
      <c r="G2586" s="1" t="str">
        <f>IF(Table2[[#This Row],[Description]]="","",VLOOKUP(Table2[[#This Row],[Description]],$Q$1:$S$101,2,FALSE))</f>
        <v/>
      </c>
      <c r="H2586" s="1" t="str">
        <f>IF(Table2[[#This Row],[Description]]="","",VLOOKUP(Table2[[#This Row],[Description]],$Q$1:$S$101,3,FALSE))</f>
        <v/>
      </c>
      <c r="I2586" s="1" t="str">
        <f>IF(Table2[[#This Row],[Description]]="","",IF(Table2[[#This Row],[Currency]]=$O$2,$P$2,HLOOKUP(Table2[[#This Row],[Date]],Funds!$C$10:$GV$11,2,FALSE)))</f>
        <v/>
      </c>
      <c r="J2586" s="215" t="str">
        <f>IF(Table2[[#This Row],[Description]]="","",Table2[[#This Row],[Value]]/Table2[[#This Row],[Conversion]])</f>
        <v/>
      </c>
      <c r="K2586" s="45" t="str">
        <f>IF(Table2[[#This Row],[Description]]="","",DATE(Table2[[#This Row],[Year]],Table2[[#This Row],[Month]],1))</f>
        <v/>
      </c>
    </row>
    <row r="2587" spans="7:11" x14ac:dyDescent="0.25">
      <c r="G2587" s="1" t="str">
        <f>IF(Table2[[#This Row],[Description]]="","",VLOOKUP(Table2[[#This Row],[Description]],$Q$1:$S$101,2,FALSE))</f>
        <v/>
      </c>
      <c r="H2587" s="1" t="str">
        <f>IF(Table2[[#This Row],[Description]]="","",VLOOKUP(Table2[[#This Row],[Description]],$Q$1:$S$101,3,FALSE))</f>
        <v/>
      </c>
      <c r="I2587" s="1" t="str">
        <f>IF(Table2[[#This Row],[Description]]="","",IF(Table2[[#This Row],[Currency]]=$O$2,$P$2,HLOOKUP(Table2[[#This Row],[Date]],Funds!$C$10:$GV$11,2,FALSE)))</f>
        <v/>
      </c>
      <c r="J2587" s="215" t="str">
        <f>IF(Table2[[#This Row],[Description]]="","",Table2[[#This Row],[Value]]/Table2[[#This Row],[Conversion]])</f>
        <v/>
      </c>
      <c r="K2587" s="45" t="str">
        <f>IF(Table2[[#This Row],[Description]]="","",DATE(Table2[[#This Row],[Year]],Table2[[#This Row],[Month]],1))</f>
        <v/>
      </c>
    </row>
    <row r="2588" spans="7:11" x14ac:dyDescent="0.25">
      <c r="G2588" s="1" t="str">
        <f>IF(Table2[[#This Row],[Description]]="","",VLOOKUP(Table2[[#This Row],[Description]],$Q$1:$S$101,2,FALSE))</f>
        <v/>
      </c>
      <c r="H2588" s="1" t="str">
        <f>IF(Table2[[#This Row],[Description]]="","",VLOOKUP(Table2[[#This Row],[Description]],$Q$1:$S$101,3,FALSE))</f>
        <v/>
      </c>
      <c r="I2588" s="1" t="str">
        <f>IF(Table2[[#This Row],[Description]]="","",IF(Table2[[#This Row],[Currency]]=$O$2,$P$2,HLOOKUP(Table2[[#This Row],[Date]],Funds!$C$10:$GV$11,2,FALSE)))</f>
        <v/>
      </c>
      <c r="J2588" s="215" t="str">
        <f>IF(Table2[[#This Row],[Description]]="","",Table2[[#This Row],[Value]]/Table2[[#This Row],[Conversion]])</f>
        <v/>
      </c>
      <c r="K2588" s="45" t="str">
        <f>IF(Table2[[#This Row],[Description]]="","",DATE(Table2[[#This Row],[Year]],Table2[[#This Row],[Month]],1))</f>
        <v/>
      </c>
    </row>
    <row r="2589" spans="7:11" x14ac:dyDescent="0.25">
      <c r="G2589" s="1" t="str">
        <f>IF(Table2[[#This Row],[Description]]="","",VLOOKUP(Table2[[#This Row],[Description]],$Q$1:$S$101,2,FALSE))</f>
        <v/>
      </c>
      <c r="H2589" s="1" t="str">
        <f>IF(Table2[[#This Row],[Description]]="","",VLOOKUP(Table2[[#This Row],[Description]],$Q$1:$S$101,3,FALSE))</f>
        <v/>
      </c>
      <c r="I2589" s="1" t="str">
        <f>IF(Table2[[#This Row],[Description]]="","",IF(Table2[[#This Row],[Currency]]=$O$2,$P$2,HLOOKUP(Table2[[#This Row],[Date]],Funds!$C$10:$GV$11,2,FALSE)))</f>
        <v/>
      </c>
      <c r="J2589" s="215" t="str">
        <f>IF(Table2[[#This Row],[Description]]="","",Table2[[#This Row],[Value]]/Table2[[#This Row],[Conversion]])</f>
        <v/>
      </c>
      <c r="K2589" s="45" t="str">
        <f>IF(Table2[[#This Row],[Description]]="","",DATE(Table2[[#This Row],[Year]],Table2[[#This Row],[Month]],1))</f>
        <v/>
      </c>
    </row>
    <row r="2590" spans="7:11" x14ac:dyDescent="0.25">
      <c r="G2590" s="1" t="str">
        <f>IF(Table2[[#This Row],[Description]]="","",VLOOKUP(Table2[[#This Row],[Description]],$Q$1:$S$101,2,FALSE))</f>
        <v/>
      </c>
      <c r="H2590" s="1" t="str">
        <f>IF(Table2[[#This Row],[Description]]="","",VLOOKUP(Table2[[#This Row],[Description]],$Q$1:$S$101,3,FALSE))</f>
        <v/>
      </c>
      <c r="I2590" s="1" t="str">
        <f>IF(Table2[[#This Row],[Description]]="","",IF(Table2[[#This Row],[Currency]]=$O$2,$P$2,HLOOKUP(Table2[[#This Row],[Date]],Funds!$C$10:$GV$11,2,FALSE)))</f>
        <v/>
      </c>
      <c r="J2590" s="215" t="str">
        <f>IF(Table2[[#This Row],[Description]]="","",Table2[[#This Row],[Value]]/Table2[[#This Row],[Conversion]])</f>
        <v/>
      </c>
      <c r="K2590" s="45" t="str">
        <f>IF(Table2[[#This Row],[Description]]="","",DATE(Table2[[#This Row],[Year]],Table2[[#This Row],[Month]],1))</f>
        <v/>
      </c>
    </row>
    <row r="2591" spans="7:11" x14ac:dyDescent="0.25">
      <c r="G2591" s="1" t="str">
        <f>IF(Table2[[#This Row],[Description]]="","",VLOOKUP(Table2[[#This Row],[Description]],$Q$1:$S$101,2,FALSE))</f>
        <v/>
      </c>
      <c r="H2591" s="1" t="str">
        <f>IF(Table2[[#This Row],[Description]]="","",VLOOKUP(Table2[[#This Row],[Description]],$Q$1:$S$101,3,FALSE))</f>
        <v/>
      </c>
      <c r="I2591" s="1" t="str">
        <f>IF(Table2[[#This Row],[Description]]="","",IF(Table2[[#This Row],[Currency]]=$O$2,$P$2,HLOOKUP(Table2[[#This Row],[Date]],Funds!$C$10:$GV$11,2,FALSE)))</f>
        <v/>
      </c>
      <c r="J2591" s="215" t="str">
        <f>IF(Table2[[#This Row],[Description]]="","",Table2[[#This Row],[Value]]/Table2[[#This Row],[Conversion]])</f>
        <v/>
      </c>
      <c r="K2591" s="45" t="str">
        <f>IF(Table2[[#This Row],[Description]]="","",DATE(Table2[[#This Row],[Year]],Table2[[#This Row],[Month]],1))</f>
        <v/>
      </c>
    </row>
    <row r="2592" spans="7:11" x14ac:dyDescent="0.25">
      <c r="G2592" s="1" t="str">
        <f>IF(Table2[[#This Row],[Description]]="","",VLOOKUP(Table2[[#This Row],[Description]],$Q$1:$S$101,2,FALSE))</f>
        <v/>
      </c>
      <c r="H2592" s="1" t="str">
        <f>IF(Table2[[#This Row],[Description]]="","",VLOOKUP(Table2[[#This Row],[Description]],$Q$1:$S$101,3,FALSE))</f>
        <v/>
      </c>
      <c r="I2592" s="1" t="str">
        <f>IF(Table2[[#This Row],[Description]]="","",IF(Table2[[#This Row],[Currency]]=$O$2,$P$2,HLOOKUP(Table2[[#This Row],[Date]],Funds!$C$10:$GV$11,2,FALSE)))</f>
        <v/>
      </c>
      <c r="J2592" s="215" t="str">
        <f>IF(Table2[[#This Row],[Description]]="","",Table2[[#This Row],[Value]]/Table2[[#This Row],[Conversion]])</f>
        <v/>
      </c>
      <c r="K2592" s="45" t="str">
        <f>IF(Table2[[#This Row],[Description]]="","",DATE(Table2[[#This Row],[Year]],Table2[[#This Row],[Month]],1))</f>
        <v/>
      </c>
    </row>
    <row r="2593" spans="7:11" x14ac:dyDescent="0.25">
      <c r="G2593" s="1" t="str">
        <f>IF(Table2[[#This Row],[Description]]="","",VLOOKUP(Table2[[#This Row],[Description]],$Q$1:$S$101,2,FALSE))</f>
        <v/>
      </c>
      <c r="H2593" s="1" t="str">
        <f>IF(Table2[[#This Row],[Description]]="","",VLOOKUP(Table2[[#This Row],[Description]],$Q$1:$S$101,3,FALSE))</f>
        <v/>
      </c>
      <c r="I2593" s="1" t="str">
        <f>IF(Table2[[#This Row],[Description]]="","",IF(Table2[[#This Row],[Currency]]=$O$2,$P$2,HLOOKUP(Table2[[#This Row],[Date]],Funds!$C$10:$GV$11,2,FALSE)))</f>
        <v/>
      </c>
      <c r="J2593" s="215" t="str">
        <f>IF(Table2[[#This Row],[Description]]="","",Table2[[#This Row],[Value]]/Table2[[#This Row],[Conversion]])</f>
        <v/>
      </c>
      <c r="K2593" s="45" t="str">
        <f>IF(Table2[[#This Row],[Description]]="","",DATE(Table2[[#This Row],[Year]],Table2[[#This Row],[Month]],1))</f>
        <v/>
      </c>
    </row>
    <row r="2594" spans="7:11" x14ac:dyDescent="0.25">
      <c r="G2594" s="1" t="str">
        <f>IF(Table2[[#This Row],[Description]]="","",VLOOKUP(Table2[[#This Row],[Description]],$Q$1:$S$101,2,FALSE))</f>
        <v/>
      </c>
      <c r="H2594" s="1" t="str">
        <f>IF(Table2[[#This Row],[Description]]="","",VLOOKUP(Table2[[#This Row],[Description]],$Q$1:$S$101,3,FALSE))</f>
        <v/>
      </c>
      <c r="I2594" s="1" t="str">
        <f>IF(Table2[[#This Row],[Description]]="","",IF(Table2[[#This Row],[Currency]]=$O$2,$P$2,HLOOKUP(Table2[[#This Row],[Date]],Funds!$C$10:$GV$11,2,FALSE)))</f>
        <v/>
      </c>
      <c r="J2594" s="215" t="str">
        <f>IF(Table2[[#This Row],[Description]]="","",Table2[[#This Row],[Value]]/Table2[[#This Row],[Conversion]])</f>
        <v/>
      </c>
      <c r="K2594" s="45" t="str">
        <f>IF(Table2[[#This Row],[Description]]="","",DATE(Table2[[#This Row],[Year]],Table2[[#This Row],[Month]],1))</f>
        <v/>
      </c>
    </row>
    <row r="2595" spans="7:11" x14ac:dyDescent="0.25">
      <c r="G2595" s="1" t="str">
        <f>IF(Table2[[#This Row],[Description]]="","",VLOOKUP(Table2[[#This Row],[Description]],$Q$1:$S$101,2,FALSE))</f>
        <v/>
      </c>
      <c r="H2595" s="1" t="str">
        <f>IF(Table2[[#This Row],[Description]]="","",VLOOKUP(Table2[[#This Row],[Description]],$Q$1:$S$101,3,FALSE))</f>
        <v/>
      </c>
      <c r="I2595" s="1" t="str">
        <f>IF(Table2[[#This Row],[Description]]="","",IF(Table2[[#This Row],[Currency]]=$O$2,$P$2,HLOOKUP(Table2[[#This Row],[Date]],Funds!$C$10:$GV$11,2,FALSE)))</f>
        <v/>
      </c>
      <c r="J2595" s="215" t="str">
        <f>IF(Table2[[#This Row],[Description]]="","",Table2[[#This Row],[Value]]/Table2[[#This Row],[Conversion]])</f>
        <v/>
      </c>
      <c r="K2595" s="45" t="str">
        <f>IF(Table2[[#This Row],[Description]]="","",DATE(Table2[[#This Row],[Year]],Table2[[#This Row],[Month]],1))</f>
        <v/>
      </c>
    </row>
    <row r="2596" spans="7:11" x14ac:dyDescent="0.25">
      <c r="G2596" s="1" t="str">
        <f>IF(Table2[[#This Row],[Description]]="","",VLOOKUP(Table2[[#This Row],[Description]],$Q$1:$S$101,2,FALSE))</f>
        <v/>
      </c>
      <c r="H2596" s="1" t="str">
        <f>IF(Table2[[#This Row],[Description]]="","",VLOOKUP(Table2[[#This Row],[Description]],$Q$1:$S$101,3,FALSE))</f>
        <v/>
      </c>
      <c r="I2596" s="1" t="str">
        <f>IF(Table2[[#This Row],[Description]]="","",IF(Table2[[#This Row],[Currency]]=$O$2,$P$2,HLOOKUP(Table2[[#This Row],[Date]],Funds!$C$10:$GV$11,2,FALSE)))</f>
        <v/>
      </c>
      <c r="J2596" s="215" t="str">
        <f>IF(Table2[[#This Row],[Description]]="","",Table2[[#This Row],[Value]]/Table2[[#This Row],[Conversion]])</f>
        <v/>
      </c>
      <c r="K2596" s="45" t="str">
        <f>IF(Table2[[#This Row],[Description]]="","",DATE(Table2[[#This Row],[Year]],Table2[[#This Row],[Month]],1))</f>
        <v/>
      </c>
    </row>
    <row r="2597" spans="7:11" x14ac:dyDescent="0.25">
      <c r="G2597" s="1" t="str">
        <f>IF(Table2[[#This Row],[Description]]="","",VLOOKUP(Table2[[#This Row],[Description]],$Q$1:$S$101,2,FALSE))</f>
        <v/>
      </c>
      <c r="H2597" s="1" t="str">
        <f>IF(Table2[[#This Row],[Description]]="","",VLOOKUP(Table2[[#This Row],[Description]],$Q$1:$S$101,3,FALSE))</f>
        <v/>
      </c>
      <c r="I2597" s="1" t="str">
        <f>IF(Table2[[#This Row],[Description]]="","",IF(Table2[[#This Row],[Currency]]=$O$2,$P$2,HLOOKUP(Table2[[#This Row],[Date]],Funds!$C$10:$GV$11,2,FALSE)))</f>
        <v/>
      </c>
      <c r="J2597" s="215" t="str">
        <f>IF(Table2[[#This Row],[Description]]="","",Table2[[#This Row],[Value]]/Table2[[#This Row],[Conversion]])</f>
        <v/>
      </c>
      <c r="K2597" s="45" t="str">
        <f>IF(Table2[[#This Row],[Description]]="","",DATE(Table2[[#This Row],[Year]],Table2[[#This Row],[Month]],1))</f>
        <v/>
      </c>
    </row>
    <row r="2598" spans="7:11" x14ac:dyDescent="0.25">
      <c r="G2598" s="1" t="str">
        <f>IF(Table2[[#This Row],[Description]]="","",VLOOKUP(Table2[[#This Row],[Description]],$Q$1:$S$101,2,FALSE))</f>
        <v/>
      </c>
      <c r="H2598" s="1" t="str">
        <f>IF(Table2[[#This Row],[Description]]="","",VLOOKUP(Table2[[#This Row],[Description]],$Q$1:$S$101,3,FALSE))</f>
        <v/>
      </c>
      <c r="I2598" s="1" t="str">
        <f>IF(Table2[[#This Row],[Description]]="","",IF(Table2[[#This Row],[Currency]]=$O$2,$P$2,HLOOKUP(Table2[[#This Row],[Date]],Funds!$C$10:$GV$11,2,FALSE)))</f>
        <v/>
      </c>
      <c r="J2598" s="215" t="str">
        <f>IF(Table2[[#This Row],[Description]]="","",Table2[[#This Row],[Value]]/Table2[[#This Row],[Conversion]])</f>
        <v/>
      </c>
      <c r="K2598" s="45" t="str">
        <f>IF(Table2[[#This Row],[Description]]="","",DATE(Table2[[#This Row],[Year]],Table2[[#This Row],[Month]],1))</f>
        <v/>
      </c>
    </row>
    <row r="2599" spans="7:11" x14ac:dyDescent="0.25">
      <c r="G2599" s="1" t="str">
        <f>IF(Table2[[#This Row],[Description]]="","",VLOOKUP(Table2[[#This Row],[Description]],$Q$1:$S$101,2,FALSE))</f>
        <v/>
      </c>
      <c r="H2599" s="1" t="str">
        <f>IF(Table2[[#This Row],[Description]]="","",VLOOKUP(Table2[[#This Row],[Description]],$Q$1:$S$101,3,FALSE))</f>
        <v/>
      </c>
      <c r="I2599" s="1" t="str">
        <f>IF(Table2[[#This Row],[Description]]="","",IF(Table2[[#This Row],[Currency]]=$O$2,$P$2,HLOOKUP(Table2[[#This Row],[Date]],Funds!$C$10:$GV$11,2,FALSE)))</f>
        <v/>
      </c>
      <c r="J2599" s="215" t="str">
        <f>IF(Table2[[#This Row],[Description]]="","",Table2[[#This Row],[Value]]/Table2[[#This Row],[Conversion]])</f>
        <v/>
      </c>
      <c r="K2599" s="45" t="str">
        <f>IF(Table2[[#This Row],[Description]]="","",DATE(Table2[[#This Row],[Year]],Table2[[#This Row],[Month]],1))</f>
        <v/>
      </c>
    </row>
    <row r="2600" spans="7:11" x14ac:dyDescent="0.25">
      <c r="G2600" s="1" t="str">
        <f>IF(Table2[[#This Row],[Description]]="","",VLOOKUP(Table2[[#This Row],[Description]],$Q$1:$S$101,2,FALSE))</f>
        <v/>
      </c>
      <c r="H2600" s="1" t="str">
        <f>IF(Table2[[#This Row],[Description]]="","",VLOOKUP(Table2[[#This Row],[Description]],$Q$1:$S$101,3,FALSE))</f>
        <v/>
      </c>
      <c r="I2600" s="1" t="str">
        <f>IF(Table2[[#This Row],[Description]]="","",IF(Table2[[#This Row],[Currency]]=$O$2,$P$2,HLOOKUP(Table2[[#This Row],[Date]],Funds!$C$10:$GV$11,2,FALSE)))</f>
        <v/>
      </c>
      <c r="J2600" s="215" t="str">
        <f>IF(Table2[[#This Row],[Description]]="","",Table2[[#This Row],[Value]]/Table2[[#This Row],[Conversion]])</f>
        <v/>
      </c>
      <c r="K2600" s="45" t="str">
        <f>IF(Table2[[#This Row],[Description]]="","",DATE(Table2[[#This Row],[Year]],Table2[[#This Row],[Month]],1))</f>
        <v/>
      </c>
    </row>
    <row r="2601" spans="7:11" x14ac:dyDescent="0.25">
      <c r="G2601" s="1" t="str">
        <f>IF(Table2[[#This Row],[Description]]="","",VLOOKUP(Table2[[#This Row],[Description]],$Q$1:$S$101,2,FALSE))</f>
        <v/>
      </c>
      <c r="H2601" s="1" t="str">
        <f>IF(Table2[[#This Row],[Description]]="","",VLOOKUP(Table2[[#This Row],[Description]],$Q$1:$S$101,3,FALSE))</f>
        <v/>
      </c>
      <c r="I2601" s="1" t="str">
        <f>IF(Table2[[#This Row],[Description]]="","",IF(Table2[[#This Row],[Currency]]=$O$2,$P$2,HLOOKUP(Table2[[#This Row],[Date]],Funds!$C$10:$GV$11,2,FALSE)))</f>
        <v/>
      </c>
      <c r="J2601" s="215" t="str">
        <f>IF(Table2[[#This Row],[Description]]="","",Table2[[#This Row],[Value]]/Table2[[#This Row],[Conversion]])</f>
        <v/>
      </c>
      <c r="K2601" s="45" t="str">
        <f>IF(Table2[[#This Row],[Description]]="","",DATE(Table2[[#This Row],[Year]],Table2[[#This Row],[Month]],1))</f>
        <v/>
      </c>
    </row>
    <row r="2602" spans="7:11" x14ac:dyDescent="0.25">
      <c r="G2602" s="1" t="str">
        <f>IF(Table2[[#This Row],[Description]]="","",VLOOKUP(Table2[[#This Row],[Description]],$Q$1:$S$101,2,FALSE))</f>
        <v/>
      </c>
      <c r="H2602" s="1" t="str">
        <f>IF(Table2[[#This Row],[Description]]="","",VLOOKUP(Table2[[#This Row],[Description]],$Q$1:$S$101,3,FALSE))</f>
        <v/>
      </c>
      <c r="I2602" s="1" t="str">
        <f>IF(Table2[[#This Row],[Description]]="","",IF(Table2[[#This Row],[Currency]]=$O$2,$P$2,HLOOKUP(Table2[[#This Row],[Date]],Funds!$C$10:$GV$11,2,FALSE)))</f>
        <v/>
      </c>
      <c r="J2602" s="215" t="str">
        <f>IF(Table2[[#This Row],[Description]]="","",Table2[[#This Row],[Value]]/Table2[[#This Row],[Conversion]])</f>
        <v/>
      </c>
      <c r="K2602" s="45" t="str">
        <f>IF(Table2[[#This Row],[Description]]="","",DATE(Table2[[#This Row],[Year]],Table2[[#This Row],[Month]],1))</f>
        <v/>
      </c>
    </row>
    <row r="2603" spans="7:11" x14ac:dyDescent="0.25">
      <c r="G2603" s="1" t="str">
        <f>IF(Table2[[#This Row],[Description]]="","",VLOOKUP(Table2[[#This Row],[Description]],$Q$1:$S$101,2,FALSE))</f>
        <v/>
      </c>
      <c r="H2603" s="1" t="str">
        <f>IF(Table2[[#This Row],[Description]]="","",VLOOKUP(Table2[[#This Row],[Description]],$Q$1:$S$101,3,FALSE))</f>
        <v/>
      </c>
      <c r="I2603" s="1" t="str">
        <f>IF(Table2[[#This Row],[Description]]="","",IF(Table2[[#This Row],[Currency]]=$O$2,$P$2,HLOOKUP(Table2[[#This Row],[Date]],Funds!$C$10:$GV$11,2,FALSE)))</f>
        <v/>
      </c>
      <c r="J2603" s="215" t="str">
        <f>IF(Table2[[#This Row],[Description]]="","",Table2[[#This Row],[Value]]/Table2[[#This Row],[Conversion]])</f>
        <v/>
      </c>
      <c r="K2603" s="45" t="str">
        <f>IF(Table2[[#This Row],[Description]]="","",DATE(Table2[[#This Row],[Year]],Table2[[#This Row],[Month]],1))</f>
        <v/>
      </c>
    </row>
    <row r="2604" spans="7:11" x14ac:dyDescent="0.25">
      <c r="G2604" s="1" t="str">
        <f>IF(Table2[[#This Row],[Description]]="","",VLOOKUP(Table2[[#This Row],[Description]],$Q$1:$S$101,2,FALSE))</f>
        <v/>
      </c>
      <c r="H2604" s="1" t="str">
        <f>IF(Table2[[#This Row],[Description]]="","",VLOOKUP(Table2[[#This Row],[Description]],$Q$1:$S$101,3,FALSE))</f>
        <v/>
      </c>
      <c r="I2604" s="1" t="str">
        <f>IF(Table2[[#This Row],[Description]]="","",IF(Table2[[#This Row],[Currency]]=$O$2,$P$2,HLOOKUP(Table2[[#This Row],[Date]],Funds!$C$10:$GV$11,2,FALSE)))</f>
        <v/>
      </c>
      <c r="J2604" s="215" t="str">
        <f>IF(Table2[[#This Row],[Description]]="","",Table2[[#This Row],[Value]]/Table2[[#This Row],[Conversion]])</f>
        <v/>
      </c>
      <c r="K2604" s="45" t="str">
        <f>IF(Table2[[#This Row],[Description]]="","",DATE(Table2[[#This Row],[Year]],Table2[[#This Row],[Month]],1))</f>
        <v/>
      </c>
    </row>
    <row r="2605" spans="7:11" x14ac:dyDescent="0.25">
      <c r="G2605" s="1" t="str">
        <f>IF(Table2[[#This Row],[Description]]="","",VLOOKUP(Table2[[#This Row],[Description]],$Q$1:$S$101,2,FALSE))</f>
        <v/>
      </c>
      <c r="H2605" s="1" t="str">
        <f>IF(Table2[[#This Row],[Description]]="","",VLOOKUP(Table2[[#This Row],[Description]],$Q$1:$S$101,3,FALSE))</f>
        <v/>
      </c>
      <c r="I2605" s="1" t="str">
        <f>IF(Table2[[#This Row],[Description]]="","",IF(Table2[[#This Row],[Currency]]=$O$2,$P$2,HLOOKUP(Table2[[#This Row],[Date]],Funds!$C$10:$GV$11,2,FALSE)))</f>
        <v/>
      </c>
      <c r="J2605" s="215" t="str">
        <f>IF(Table2[[#This Row],[Description]]="","",Table2[[#This Row],[Value]]/Table2[[#This Row],[Conversion]])</f>
        <v/>
      </c>
      <c r="K2605" s="45" t="str">
        <f>IF(Table2[[#This Row],[Description]]="","",DATE(Table2[[#This Row],[Year]],Table2[[#This Row],[Month]],1))</f>
        <v/>
      </c>
    </row>
    <row r="2606" spans="7:11" x14ac:dyDescent="0.25">
      <c r="G2606" s="1" t="str">
        <f>IF(Table2[[#This Row],[Description]]="","",VLOOKUP(Table2[[#This Row],[Description]],$Q$1:$S$101,2,FALSE))</f>
        <v/>
      </c>
      <c r="H2606" s="1" t="str">
        <f>IF(Table2[[#This Row],[Description]]="","",VLOOKUP(Table2[[#This Row],[Description]],$Q$1:$S$101,3,FALSE))</f>
        <v/>
      </c>
      <c r="I2606" s="1" t="str">
        <f>IF(Table2[[#This Row],[Description]]="","",IF(Table2[[#This Row],[Currency]]=$O$2,$P$2,HLOOKUP(Table2[[#This Row],[Date]],Funds!$C$10:$GV$11,2,FALSE)))</f>
        <v/>
      </c>
      <c r="J2606" s="215" t="str">
        <f>IF(Table2[[#This Row],[Description]]="","",Table2[[#This Row],[Value]]/Table2[[#This Row],[Conversion]])</f>
        <v/>
      </c>
      <c r="K2606" s="45" t="str">
        <f>IF(Table2[[#This Row],[Description]]="","",DATE(Table2[[#This Row],[Year]],Table2[[#This Row],[Month]],1))</f>
        <v/>
      </c>
    </row>
    <row r="2607" spans="7:11" x14ac:dyDescent="0.25">
      <c r="G2607" s="1" t="str">
        <f>IF(Table2[[#This Row],[Description]]="","",VLOOKUP(Table2[[#This Row],[Description]],$Q$1:$S$101,2,FALSE))</f>
        <v/>
      </c>
      <c r="H2607" s="1" t="str">
        <f>IF(Table2[[#This Row],[Description]]="","",VLOOKUP(Table2[[#This Row],[Description]],$Q$1:$S$101,3,FALSE))</f>
        <v/>
      </c>
      <c r="I2607" s="1" t="str">
        <f>IF(Table2[[#This Row],[Description]]="","",IF(Table2[[#This Row],[Currency]]=$O$2,$P$2,HLOOKUP(Table2[[#This Row],[Date]],Funds!$C$10:$GV$11,2,FALSE)))</f>
        <v/>
      </c>
      <c r="J2607" s="215" t="str">
        <f>IF(Table2[[#This Row],[Description]]="","",Table2[[#This Row],[Value]]/Table2[[#This Row],[Conversion]])</f>
        <v/>
      </c>
      <c r="K2607" s="45" t="str">
        <f>IF(Table2[[#This Row],[Description]]="","",DATE(Table2[[#This Row],[Year]],Table2[[#This Row],[Month]],1))</f>
        <v/>
      </c>
    </row>
    <row r="2608" spans="7:11" x14ac:dyDescent="0.25">
      <c r="G2608" s="1" t="str">
        <f>IF(Table2[[#This Row],[Description]]="","",VLOOKUP(Table2[[#This Row],[Description]],$Q$1:$S$101,2,FALSE))</f>
        <v/>
      </c>
      <c r="H2608" s="1" t="str">
        <f>IF(Table2[[#This Row],[Description]]="","",VLOOKUP(Table2[[#This Row],[Description]],$Q$1:$S$101,3,FALSE))</f>
        <v/>
      </c>
      <c r="I2608" s="1" t="str">
        <f>IF(Table2[[#This Row],[Description]]="","",IF(Table2[[#This Row],[Currency]]=$O$2,$P$2,HLOOKUP(Table2[[#This Row],[Date]],Funds!$C$10:$GV$11,2,FALSE)))</f>
        <v/>
      </c>
      <c r="J2608" s="215" t="str">
        <f>IF(Table2[[#This Row],[Description]]="","",Table2[[#This Row],[Value]]/Table2[[#This Row],[Conversion]])</f>
        <v/>
      </c>
      <c r="K2608" s="45" t="str">
        <f>IF(Table2[[#This Row],[Description]]="","",DATE(Table2[[#This Row],[Year]],Table2[[#This Row],[Month]],1))</f>
        <v/>
      </c>
    </row>
    <row r="2609" spans="7:11" x14ac:dyDescent="0.25">
      <c r="G2609" s="1" t="str">
        <f>IF(Table2[[#This Row],[Description]]="","",VLOOKUP(Table2[[#This Row],[Description]],$Q$1:$S$101,2,FALSE))</f>
        <v/>
      </c>
      <c r="H2609" s="1" t="str">
        <f>IF(Table2[[#This Row],[Description]]="","",VLOOKUP(Table2[[#This Row],[Description]],$Q$1:$S$101,3,FALSE))</f>
        <v/>
      </c>
      <c r="I2609" s="1" t="str">
        <f>IF(Table2[[#This Row],[Description]]="","",IF(Table2[[#This Row],[Currency]]=$O$2,$P$2,HLOOKUP(Table2[[#This Row],[Date]],Funds!$C$10:$GV$11,2,FALSE)))</f>
        <v/>
      </c>
      <c r="J2609" s="215" t="str">
        <f>IF(Table2[[#This Row],[Description]]="","",Table2[[#This Row],[Value]]/Table2[[#This Row],[Conversion]])</f>
        <v/>
      </c>
      <c r="K2609" s="45" t="str">
        <f>IF(Table2[[#This Row],[Description]]="","",DATE(Table2[[#This Row],[Year]],Table2[[#This Row],[Month]],1))</f>
        <v/>
      </c>
    </row>
    <row r="2610" spans="7:11" x14ac:dyDescent="0.25">
      <c r="G2610" s="1" t="str">
        <f>IF(Table2[[#This Row],[Description]]="","",VLOOKUP(Table2[[#This Row],[Description]],$Q$1:$S$101,2,FALSE))</f>
        <v/>
      </c>
      <c r="H2610" s="1" t="str">
        <f>IF(Table2[[#This Row],[Description]]="","",VLOOKUP(Table2[[#This Row],[Description]],$Q$1:$S$101,3,FALSE))</f>
        <v/>
      </c>
      <c r="I2610" s="1" t="str">
        <f>IF(Table2[[#This Row],[Description]]="","",IF(Table2[[#This Row],[Currency]]=$O$2,$P$2,HLOOKUP(Table2[[#This Row],[Date]],Funds!$C$10:$GV$11,2,FALSE)))</f>
        <v/>
      </c>
      <c r="J2610" s="215" t="str">
        <f>IF(Table2[[#This Row],[Description]]="","",Table2[[#This Row],[Value]]/Table2[[#This Row],[Conversion]])</f>
        <v/>
      </c>
      <c r="K2610" s="45" t="str">
        <f>IF(Table2[[#This Row],[Description]]="","",DATE(Table2[[#This Row],[Year]],Table2[[#This Row],[Month]],1))</f>
        <v/>
      </c>
    </row>
    <row r="2611" spans="7:11" x14ac:dyDescent="0.25">
      <c r="G2611" s="1" t="str">
        <f>IF(Table2[[#This Row],[Description]]="","",VLOOKUP(Table2[[#This Row],[Description]],$Q$1:$S$101,2,FALSE))</f>
        <v/>
      </c>
      <c r="H2611" s="1" t="str">
        <f>IF(Table2[[#This Row],[Description]]="","",VLOOKUP(Table2[[#This Row],[Description]],$Q$1:$S$101,3,FALSE))</f>
        <v/>
      </c>
      <c r="I2611" s="1" t="str">
        <f>IF(Table2[[#This Row],[Description]]="","",IF(Table2[[#This Row],[Currency]]=$O$2,$P$2,HLOOKUP(Table2[[#This Row],[Date]],Funds!$C$10:$GV$11,2,FALSE)))</f>
        <v/>
      </c>
      <c r="J2611" s="215" t="str">
        <f>IF(Table2[[#This Row],[Description]]="","",Table2[[#This Row],[Value]]/Table2[[#This Row],[Conversion]])</f>
        <v/>
      </c>
      <c r="K2611" s="45" t="str">
        <f>IF(Table2[[#This Row],[Description]]="","",DATE(Table2[[#This Row],[Year]],Table2[[#This Row],[Month]],1))</f>
        <v/>
      </c>
    </row>
    <row r="2612" spans="7:11" x14ac:dyDescent="0.25">
      <c r="G2612" s="1" t="str">
        <f>IF(Table2[[#This Row],[Description]]="","",VLOOKUP(Table2[[#This Row],[Description]],$Q$1:$S$101,2,FALSE))</f>
        <v/>
      </c>
      <c r="H2612" s="1" t="str">
        <f>IF(Table2[[#This Row],[Description]]="","",VLOOKUP(Table2[[#This Row],[Description]],$Q$1:$S$101,3,FALSE))</f>
        <v/>
      </c>
      <c r="I2612" s="1" t="str">
        <f>IF(Table2[[#This Row],[Description]]="","",IF(Table2[[#This Row],[Currency]]=$O$2,$P$2,HLOOKUP(Table2[[#This Row],[Date]],Funds!$C$10:$GV$11,2,FALSE)))</f>
        <v/>
      </c>
      <c r="J2612" s="215" t="str">
        <f>IF(Table2[[#This Row],[Description]]="","",Table2[[#This Row],[Value]]/Table2[[#This Row],[Conversion]])</f>
        <v/>
      </c>
      <c r="K2612" s="45" t="str">
        <f>IF(Table2[[#This Row],[Description]]="","",DATE(Table2[[#This Row],[Year]],Table2[[#This Row],[Month]],1))</f>
        <v/>
      </c>
    </row>
    <row r="2613" spans="7:11" x14ac:dyDescent="0.25">
      <c r="G2613" s="1" t="str">
        <f>IF(Table2[[#This Row],[Description]]="","",VLOOKUP(Table2[[#This Row],[Description]],$Q$1:$S$101,2,FALSE))</f>
        <v/>
      </c>
      <c r="H2613" s="1" t="str">
        <f>IF(Table2[[#This Row],[Description]]="","",VLOOKUP(Table2[[#This Row],[Description]],$Q$1:$S$101,3,FALSE))</f>
        <v/>
      </c>
      <c r="I2613" s="1" t="str">
        <f>IF(Table2[[#This Row],[Description]]="","",IF(Table2[[#This Row],[Currency]]=$O$2,$P$2,HLOOKUP(Table2[[#This Row],[Date]],Funds!$C$10:$GV$11,2,FALSE)))</f>
        <v/>
      </c>
      <c r="J2613" s="215" t="str">
        <f>IF(Table2[[#This Row],[Description]]="","",Table2[[#This Row],[Value]]/Table2[[#This Row],[Conversion]])</f>
        <v/>
      </c>
      <c r="K2613" s="45" t="str">
        <f>IF(Table2[[#This Row],[Description]]="","",DATE(Table2[[#This Row],[Year]],Table2[[#This Row],[Month]],1))</f>
        <v/>
      </c>
    </row>
    <row r="2614" spans="7:11" x14ac:dyDescent="0.25">
      <c r="G2614" s="1" t="str">
        <f>IF(Table2[[#This Row],[Description]]="","",VLOOKUP(Table2[[#This Row],[Description]],$Q$1:$S$101,2,FALSE))</f>
        <v/>
      </c>
      <c r="H2614" s="1" t="str">
        <f>IF(Table2[[#This Row],[Description]]="","",VLOOKUP(Table2[[#This Row],[Description]],$Q$1:$S$101,3,FALSE))</f>
        <v/>
      </c>
      <c r="I2614" s="1" t="str">
        <f>IF(Table2[[#This Row],[Description]]="","",IF(Table2[[#This Row],[Currency]]=$O$2,$P$2,HLOOKUP(Table2[[#This Row],[Date]],Funds!$C$10:$GV$11,2,FALSE)))</f>
        <v/>
      </c>
      <c r="J2614" s="215" t="str">
        <f>IF(Table2[[#This Row],[Description]]="","",Table2[[#This Row],[Value]]/Table2[[#This Row],[Conversion]])</f>
        <v/>
      </c>
      <c r="K2614" s="45" t="str">
        <f>IF(Table2[[#This Row],[Description]]="","",DATE(Table2[[#This Row],[Year]],Table2[[#This Row],[Month]],1))</f>
        <v/>
      </c>
    </row>
    <row r="2615" spans="7:11" x14ac:dyDescent="0.25">
      <c r="G2615" s="1" t="str">
        <f>IF(Table2[[#This Row],[Description]]="","",VLOOKUP(Table2[[#This Row],[Description]],$Q$1:$S$101,2,FALSE))</f>
        <v/>
      </c>
      <c r="H2615" s="1" t="str">
        <f>IF(Table2[[#This Row],[Description]]="","",VLOOKUP(Table2[[#This Row],[Description]],$Q$1:$S$101,3,FALSE))</f>
        <v/>
      </c>
      <c r="I2615" s="1" t="str">
        <f>IF(Table2[[#This Row],[Description]]="","",IF(Table2[[#This Row],[Currency]]=$O$2,$P$2,HLOOKUP(Table2[[#This Row],[Date]],Funds!$C$10:$GV$11,2,FALSE)))</f>
        <v/>
      </c>
      <c r="J2615" s="215" t="str">
        <f>IF(Table2[[#This Row],[Description]]="","",Table2[[#This Row],[Value]]/Table2[[#This Row],[Conversion]])</f>
        <v/>
      </c>
      <c r="K2615" s="45" t="str">
        <f>IF(Table2[[#This Row],[Description]]="","",DATE(Table2[[#This Row],[Year]],Table2[[#This Row],[Month]],1))</f>
        <v/>
      </c>
    </row>
    <row r="2616" spans="7:11" x14ac:dyDescent="0.25">
      <c r="G2616" s="1" t="str">
        <f>IF(Table2[[#This Row],[Description]]="","",VLOOKUP(Table2[[#This Row],[Description]],$Q$1:$S$101,2,FALSE))</f>
        <v/>
      </c>
      <c r="H2616" s="1" t="str">
        <f>IF(Table2[[#This Row],[Description]]="","",VLOOKUP(Table2[[#This Row],[Description]],$Q$1:$S$101,3,FALSE))</f>
        <v/>
      </c>
      <c r="I2616" s="1" t="str">
        <f>IF(Table2[[#This Row],[Description]]="","",IF(Table2[[#This Row],[Currency]]=$O$2,$P$2,HLOOKUP(Table2[[#This Row],[Date]],Funds!$C$10:$GV$11,2,FALSE)))</f>
        <v/>
      </c>
      <c r="J2616" s="215" t="str">
        <f>IF(Table2[[#This Row],[Description]]="","",Table2[[#This Row],[Value]]/Table2[[#This Row],[Conversion]])</f>
        <v/>
      </c>
      <c r="K2616" s="45" t="str">
        <f>IF(Table2[[#This Row],[Description]]="","",DATE(Table2[[#This Row],[Year]],Table2[[#This Row],[Month]],1))</f>
        <v/>
      </c>
    </row>
    <row r="2617" spans="7:11" x14ac:dyDescent="0.25">
      <c r="G2617" s="1" t="str">
        <f>IF(Table2[[#This Row],[Description]]="","",VLOOKUP(Table2[[#This Row],[Description]],$Q$1:$S$101,2,FALSE))</f>
        <v/>
      </c>
      <c r="H2617" s="1" t="str">
        <f>IF(Table2[[#This Row],[Description]]="","",VLOOKUP(Table2[[#This Row],[Description]],$Q$1:$S$101,3,FALSE))</f>
        <v/>
      </c>
      <c r="I2617" s="1" t="str">
        <f>IF(Table2[[#This Row],[Description]]="","",IF(Table2[[#This Row],[Currency]]=$O$2,$P$2,HLOOKUP(Table2[[#This Row],[Date]],Funds!$C$10:$GV$11,2,FALSE)))</f>
        <v/>
      </c>
      <c r="J2617" s="215" t="str">
        <f>IF(Table2[[#This Row],[Description]]="","",Table2[[#This Row],[Value]]/Table2[[#This Row],[Conversion]])</f>
        <v/>
      </c>
      <c r="K2617" s="45" t="str">
        <f>IF(Table2[[#This Row],[Description]]="","",DATE(Table2[[#This Row],[Year]],Table2[[#This Row],[Month]],1))</f>
        <v/>
      </c>
    </row>
    <row r="2618" spans="7:11" x14ac:dyDescent="0.25">
      <c r="G2618" s="1" t="str">
        <f>IF(Table2[[#This Row],[Description]]="","",VLOOKUP(Table2[[#This Row],[Description]],$Q$1:$S$101,2,FALSE))</f>
        <v/>
      </c>
      <c r="H2618" s="1" t="str">
        <f>IF(Table2[[#This Row],[Description]]="","",VLOOKUP(Table2[[#This Row],[Description]],$Q$1:$S$101,3,FALSE))</f>
        <v/>
      </c>
      <c r="I2618" s="1" t="str">
        <f>IF(Table2[[#This Row],[Description]]="","",IF(Table2[[#This Row],[Currency]]=$O$2,$P$2,HLOOKUP(Table2[[#This Row],[Date]],Funds!$C$10:$GV$11,2,FALSE)))</f>
        <v/>
      </c>
      <c r="J2618" s="215" t="str">
        <f>IF(Table2[[#This Row],[Description]]="","",Table2[[#This Row],[Value]]/Table2[[#This Row],[Conversion]])</f>
        <v/>
      </c>
      <c r="K2618" s="45" t="str">
        <f>IF(Table2[[#This Row],[Description]]="","",DATE(Table2[[#This Row],[Year]],Table2[[#This Row],[Month]],1))</f>
        <v/>
      </c>
    </row>
    <row r="2619" spans="7:11" x14ac:dyDescent="0.25">
      <c r="G2619" s="1" t="str">
        <f>IF(Table2[[#This Row],[Description]]="","",VLOOKUP(Table2[[#This Row],[Description]],$Q$1:$S$101,2,FALSE))</f>
        <v/>
      </c>
      <c r="H2619" s="1" t="str">
        <f>IF(Table2[[#This Row],[Description]]="","",VLOOKUP(Table2[[#This Row],[Description]],$Q$1:$S$101,3,FALSE))</f>
        <v/>
      </c>
      <c r="I2619" s="1" t="str">
        <f>IF(Table2[[#This Row],[Description]]="","",IF(Table2[[#This Row],[Currency]]=$O$2,$P$2,HLOOKUP(Table2[[#This Row],[Date]],Funds!$C$10:$GV$11,2,FALSE)))</f>
        <v/>
      </c>
      <c r="J2619" s="215" t="str">
        <f>IF(Table2[[#This Row],[Description]]="","",Table2[[#This Row],[Value]]/Table2[[#This Row],[Conversion]])</f>
        <v/>
      </c>
      <c r="K2619" s="45" t="str">
        <f>IF(Table2[[#This Row],[Description]]="","",DATE(Table2[[#This Row],[Year]],Table2[[#This Row],[Month]],1))</f>
        <v/>
      </c>
    </row>
    <row r="2620" spans="7:11" x14ac:dyDescent="0.25">
      <c r="G2620" s="1" t="str">
        <f>IF(Table2[[#This Row],[Description]]="","",VLOOKUP(Table2[[#This Row],[Description]],$Q$1:$S$101,2,FALSE))</f>
        <v/>
      </c>
      <c r="H2620" s="1" t="str">
        <f>IF(Table2[[#This Row],[Description]]="","",VLOOKUP(Table2[[#This Row],[Description]],$Q$1:$S$101,3,FALSE))</f>
        <v/>
      </c>
      <c r="I2620" s="1" t="str">
        <f>IF(Table2[[#This Row],[Description]]="","",IF(Table2[[#This Row],[Currency]]=$O$2,$P$2,HLOOKUP(Table2[[#This Row],[Date]],Funds!$C$10:$GV$11,2,FALSE)))</f>
        <v/>
      </c>
      <c r="J2620" s="215" t="str">
        <f>IF(Table2[[#This Row],[Description]]="","",Table2[[#This Row],[Value]]/Table2[[#This Row],[Conversion]])</f>
        <v/>
      </c>
      <c r="K2620" s="45" t="str">
        <f>IF(Table2[[#This Row],[Description]]="","",DATE(Table2[[#This Row],[Year]],Table2[[#This Row],[Month]],1))</f>
        <v/>
      </c>
    </row>
    <row r="2621" spans="7:11" x14ac:dyDescent="0.25">
      <c r="G2621" s="1" t="str">
        <f>IF(Table2[[#This Row],[Description]]="","",VLOOKUP(Table2[[#This Row],[Description]],$Q$1:$S$101,2,FALSE))</f>
        <v/>
      </c>
      <c r="H2621" s="1" t="str">
        <f>IF(Table2[[#This Row],[Description]]="","",VLOOKUP(Table2[[#This Row],[Description]],$Q$1:$S$101,3,FALSE))</f>
        <v/>
      </c>
      <c r="I2621" s="1" t="str">
        <f>IF(Table2[[#This Row],[Description]]="","",IF(Table2[[#This Row],[Currency]]=$O$2,$P$2,HLOOKUP(Table2[[#This Row],[Date]],Funds!$C$10:$GV$11,2,FALSE)))</f>
        <v/>
      </c>
      <c r="J2621" s="215" t="str">
        <f>IF(Table2[[#This Row],[Description]]="","",Table2[[#This Row],[Value]]/Table2[[#This Row],[Conversion]])</f>
        <v/>
      </c>
      <c r="K2621" s="45" t="str">
        <f>IF(Table2[[#This Row],[Description]]="","",DATE(Table2[[#This Row],[Year]],Table2[[#This Row],[Month]],1))</f>
        <v/>
      </c>
    </row>
    <row r="2622" spans="7:11" x14ac:dyDescent="0.25">
      <c r="G2622" s="1" t="str">
        <f>IF(Table2[[#This Row],[Description]]="","",VLOOKUP(Table2[[#This Row],[Description]],$Q$1:$S$101,2,FALSE))</f>
        <v/>
      </c>
      <c r="H2622" s="1" t="str">
        <f>IF(Table2[[#This Row],[Description]]="","",VLOOKUP(Table2[[#This Row],[Description]],$Q$1:$S$101,3,FALSE))</f>
        <v/>
      </c>
      <c r="I2622" s="1" t="str">
        <f>IF(Table2[[#This Row],[Description]]="","",IF(Table2[[#This Row],[Currency]]=$O$2,$P$2,HLOOKUP(Table2[[#This Row],[Date]],Funds!$C$10:$GV$11,2,FALSE)))</f>
        <v/>
      </c>
      <c r="J2622" s="215" t="str">
        <f>IF(Table2[[#This Row],[Description]]="","",Table2[[#This Row],[Value]]/Table2[[#This Row],[Conversion]])</f>
        <v/>
      </c>
      <c r="K2622" s="45" t="str">
        <f>IF(Table2[[#This Row],[Description]]="","",DATE(Table2[[#This Row],[Year]],Table2[[#This Row],[Month]],1))</f>
        <v/>
      </c>
    </row>
    <row r="2623" spans="7:11" x14ac:dyDescent="0.25">
      <c r="G2623" s="1" t="str">
        <f>IF(Table2[[#This Row],[Description]]="","",VLOOKUP(Table2[[#This Row],[Description]],$Q$1:$S$101,2,FALSE))</f>
        <v/>
      </c>
      <c r="H2623" s="1" t="str">
        <f>IF(Table2[[#This Row],[Description]]="","",VLOOKUP(Table2[[#This Row],[Description]],$Q$1:$S$101,3,FALSE))</f>
        <v/>
      </c>
      <c r="I2623" s="1" t="str">
        <f>IF(Table2[[#This Row],[Description]]="","",IF(Table2[[#This Row],[Currency]]=$O$2,$P$2,HLOOKUP(Table2[[#This Row],[Date]],Funds!$C$10:$GV$11,2,FALSE)))</f>
        <v/>
      </c>
      <c r="J2623" s="215" t="str">
        <f>IF(Table2[[#This Row],[Description]]="","",Table2[[#This Row],[Value]]/Table2[[#This Row],[Conversion]])</f>
        <v/>
      </c>
      <c r="K2623" s="45" t="str">
        <f>IF(Table2[[#This Row],[Description]]="","",DATE(Table2[[#This Row],[Year]],Table2[[#This Row],[Month]],1))</f>
        <v/>
      </c>
    </row>
    <row r="2624" spans="7:11" x14ac:dyDescent="0.25">
      <c r="G2624" s="1" t="str">
        <f>IF(Table2[[#This Row],[Description]]="","",VLOOKUP(Table2[[#This Row],[Description]],$Q$1:$S$101,2,FALSE))</f>
        <v/>
      </c>
      <c r="H2624" s="1" t="str">
        <f>IF(Table2[[#This Row],[Description]]="","",VLOOKUP(Table2[[#This Row],[Description]],$Q$1:$S$101,3,FALSE))</f>
        <v/>
      </c>
      <c r="I2624" s="1" t="str">
        <f>IF(Table2[[#This Row],[Description]]="","",IF(Table2[[#This Row],[Currency]]=$O$2,$P$2,HLOOKUP(Table2[[#This Row],[Date]],Funds!$C$10:$GV$11,2,FALSE)))</f>
        <v/>
      </c>
      <c r="J2624" s="215" t="str">
        <f>IF(Table2[[#This Row],[Description]]="","",Table2[[#This Row],[Value]]/Table2[[#This Row],[Conversion]])</f>
        <v/>
      </c>
      <c r="K2624" s="45" t="str">
        <f>IF(Table2[[#This Row],[Description]]="","",DATE(Table2[[#This Row],[Year]],Table2[[#This Row],[Month]],1))</f>
        <v/>
      </c>
    </row>
    <row r="2625" spans="7:11" x14ac:dyDescent="0.25">
      <c r="G2625" s="1" t="str">
        <f>IF(Table2[[#This Row],[Description]]="","",VLOOKUP(Table2[[#This Row],[Description]],$Q$1:$S$101,2,FALSE))</f>
        <v/>
      </c>
      <c r="H2625" s="1" t="str">
        <f>IF(Table2[[#This Row],[Description]]="","",VLOOKUP(Table2[[#This Row],[Description]],$Q$1:$S$101,3,FALSE))</f>
        <v/>
      </c>
      <c r="I2625" s="1" t="str">
        <f>IF(Table2[[#This Row],[Description]]="","",IF(Table2[[#This Row],[Currency]]=$O$2,$P$2,HLOOKUP(Table2[[#This Row],[Date]],Funds!$C$10:$GV$11,2,FALSE)))</f>
        <v/>
      </c>
      <c r="J2625" s="215" t="str">
        <f>IF(Table2[[#This Row],[Description]]="","",Table2[[#This Row],[Value]]/Table2[[#This Row],[Conversion]])</f>
        <v/>
      </c>
      <c r="K2625" s="45" t="str">
        <f>IF(Table2[[#This Row],[Description]]="","",DATE(Table2[[#This Row],[Year]],Table2[[#This Row],[Month]],1))</f>
        <v/>
      </c>
    </row>
    <row r="2626" spans="7:11" x14ac:dyDescent="0.25">
      <c r="G2626" s="1" t="str">
        <f>IF(Table2[[#This Row],[Description]]="","",VLOOKUP(Table2[[#This Row],[Description]],$Q$1:$S$101,2,FALSE))</f>
        <v/>
      </c>
      <c r="H2626" s="1" t="str">
        <f>IF(Table2[[#This Row],[Description]]="","",VLOOKUP(Table2[[#This Row],[Description]],$Q$1:$S$101,3,FALSE))</f>
        <v/>
      </c>
      <c r="I2626" s="1" t="str">
        <f>IF(Table2[[#This Row],[Description]]="","",IF(Table2[[#This Row],[Currency]]=$O$2,$P$2,HLOOKUP(Table2[[#This Row],[Date]],Funds!$C$10:$GV$11,2,FALSE)))</f>
        <v/>
      </c>
      <c r="J2626" s="215" t="str">
        <f>IF(Table2[[#This Row],[Description]]="","",Table2[[#This Row],[Value]]/Table2[[#This Row],[Conversion]])</f>
        <v/>
      </c>
      <c r="K2626" s="45" t="str">
        <f>IF(Table2[[#This Row],[Description]]="","",DATE(Table2[[#This Row],[Year]],Table2[[#This Row],[Month]],1))</f>
        <v/>
      </c>
    </row>
    <row r="2627" spans="7:11" x14ac:dyDescent="0.25">
      <c r="G2627" s="1" t="str">
        <f>IF(Table2[[#This Row],[Description]]="","",VLOOKUP(Table2[[#This Row],[Description]],$Q$1:$S$101,2,FALSE))</f>
        <v/>
      </c>
      <c r="H2627" s="1" t="str">
        <f>IF(Table2[[#This Row],[Description]]="","",VLOOKUP(Table2[[#This Row],[Description]],$Q$1:$S$101,3,FALSE))</f>
        <v/>
      </c>
      <c r="I2627" s="1" t="str">
        <f>IF(Table2[[#This Row],[Description]]="","",IF(Table2[[#This Row],[Currency]]=$O$2,$P$2,HLOOKUP(Table2[[#This Row],[Date]],Funds!$C$10:$GV$11,2,FALSE)))</f>
        <v/>
      </c>
      <c r="J2627" s="215" t="str">
        <f>IF(Table2[[#This Row],[Description]]="","",Table2[[#This Row],[Value]]/Table2[[#This Row],[Conversion]])</f>
        <v/>
      </c>
      <c r="K2627" s="45" t="str">
        <f>IF(Table2[[#This Row],[Description]]="","",DATE(Table2[[#This Row],[Year]],Table2[[#This Row],[Month]],1))</f>
        <v/>
      </c>
    </row>
    <row r="2628" spans="7:11" x14ac:dyDescent="0.25">
      <c r="G2628" s="1" t="str">
        <f>IF(Table2[[#This Row],[Description]]="","",VLOOKUP(Table2[[#This Row],[Description]],$Q$1:$S$101,2,FALSE))</f>
        <v/>
      </c>
      <c r="H2628" s="1" t="str">
        <f>IF(Table2[[#This Row],[Description]]="","",VLOOKUP(Table2[[#This Row],[Description]],$Q$1:$S$101,3,FALSE))</f>
        <v/>
      </c>
      <c r="I2628" s="1" t="str">
        <f>IF(Table2[[#This Row],[Description]]="","",IF(Table2[[#This Row],[Currency]]=$O$2,$P$2,HLOOKUP(Table2[[#This Row],[Date]],Funds!$C$10:$GV$11,2,FALSE)))</f>
        <v/>
      </c>
      <c r="J2628" s="215" t="str">
        <f>IF(Table2[[#This Row],[Description]]="","",Table2[[#This Row],[Value]]/Table2[[#This Row],[Conversion]])</f>
        <v/>
      </c>
      <c r="K2628" s="45" t="str">
        <f>IF(Table2[[#This Row],[Description]]="","",DATE(Table2[[#This Row],[Year]],Table2[[#This Row],[Month]],1))</f>
        <v/>
      </c>
    </row>
    <row r="2629" spans="7:11" x14ac:dyDescent="0.25">
      <c r="G2629" s="1" t="str">
        <f>IF(Table2[[#This Row],[Description]]="","",VLOOKUP(Table2[[#This Row],[Description]],$Q$1:$S$101,2,FALSE))</f>
        <v/>
      </c>
      <c r="H2629" s="1" t="str">
        <f>IF(Table2[[#This Row],[Description]]="","",VLOOKUP(Table2[[#This Row],[Description]],$Q$1:$S$101,3,FALSE))</f>
        <v/>
      </c>
      <c r="I2629" s="1" t="str">
        <f>IF(Table2[[#This Row],[Description]]="","",IF(Table2[[#This Row],[Currency]]=$O$2,$P$2,HLOOKUP(Table2[[#This Row],[Date]],Funds!$C$10:$GV$11,2,FALSE)))</f>
        <v/>
      </c>
      <c r="J2629" s="215" t="str">
        <f>IF(Table2[[#This Row],[Description]]="","",Table2[[#This Row],[Value]]/Table2[[#This Row],[Conversion]])</f>
        <v/>
      </c>
      <c r="K2629" s="45" t="str">
        <f>IF(Table2[[#This Row],[Description]]="","",DATE(Table2[[#This Row],[Year]],Table2[[#This Row],[Month]],1))</f>
        <v/>
      </c>
    </row>
    <row r="2630" spans="7:11" x14ac:dyDescent="0.25">
      <c r="G2630" s="1" t="str">
        <f>IF(Table2[[#This Row],[Description]]="","",VLOOKUP(Table2[[#This Row],[Description]],$Q$1:$S$101,2,FALSE))</f>
        <v/>
      </c>
      <c r="H2630" s="1" t="str">
        <f>IF(Table2[[#This Row],[Description]]="","",VLOOKUP(Table2[[#This Row],[Description]],$Q$1:$S$101,3,FALSE))</f>
        <v/>
      </c>
      <c r="I2630" s="1" t="str">
        <f>IF(Table2[[#This Row],[Description]]="","",IF(Table2[[#This Row],[Currency]]=$O$2,$P$2,HLOOKUP(Table2[[#This Row],[Date]],Funds!$C$10:$GV$11,2,FALSE)))</f>
        <v/>
      </c>
      <c r="J2630" s="215" t="str">
        <f>IF(Table2[[#This Row],[Description]]="","",Table2[[#This Row],[Value]]/Table2[[#This Row],[Conversion]])</f>
        <v/>
      </c>
      <c r="K2630" s="45" t="str">
        <f>IF(Table2[[#This Row],[Description]]="","",DATE(Table2[[#This Row],[Year]],Table2[[#This Row],[Month]],1))</f>
        <v/>
      </c>
    </row>
    <row r="2631" spans="7:11" x14ac:dyDescent="0.25">
      <c r="G2631" s="1" t="str">
        <f>IF(Table2[[#This Row],[Description]]="","",VLOOKUP(Table2[[#This Row],[Description]],$Q$1:$S$101,2,FALSE))</f>
        <v/>
      </c>
      <c r="H2631" s="1" t="str">
        <f>IF(Table2[[#This Row],[Description]]="","",VLOOKUP(Table2[[#This Row],[Description]],$Q$1:$S$101,3,FALSE))</f>
        <v/>
      </c>
      <c r="I2631" s="1" t="str">
        <f>IF(Table2[[#This Row],[Description]]="","",IF(Table2[[#This Row],[Currency]]=$O$2,$P$2,HLOOKUP(Table2[[#This Row],[Date]],Funds!$C$10:$GV$11,2,FALSE)))</f>
        <v/>
      </c>
      <c r="J2631" s="215" t="str">
        <f>IF(Table2[[#This Row],[Description]]="","",Table2[[#This Row],[Value]]/Table2[[#This Row],[Conversion]])</f>
        <v/>
      </c>
      <c r="K2631" s="45" t="str">
        <f>IF(Table2[[#This Row],[Description]]="","",DATE(Table2[[#This Row],[Year]],Table2[[#This Row],[Month]],1))</f>
        <v/>
      </c>
    </row>
    <row r="2632" spans="7:11" x14ac:dyDescent="0.25">
      <c r="G2632" s="1" t="str">
        <f>IF(Table2[[#This Row],[Description]]="","",VLOOKUP(Table2[[#This Row],[Description]],$Q$1:$S$101,2,FALSE))</f>
        <v/>
      </c>
      <c r="H2632" s="1" t="str">
        <f>IF(Table2[[#This Row],[Description]]="","",VLOOKUP(Table2[[#This Row],[Description]],$Q$1:$S$101,3,FALSE))</f>
        <v/>
      </c>
      <c r="I2632" s="1" t="str">
        <f>IF(Table2[[#This Row],[Description]]="","",IF(Table2[[#This Row],[Currency]]=$O$2,$P$2,HLOOKUP(Table2[[#This Row],[Date]],Funds!$C$10:$GV$11,2,FALSE)))</f>
        <v/>
      </c>
      <c r="J2632" s="215" t="str">
        <f>IF(Table2[[#This Row],[Description]]="","",Table2[[#This Row],[Value]]/Table2[[#This Row],[Conversion]])</f>
        <v/>
      </c>
      <c r="K2632" s="45" t="str">
        <f>IF(Table2[[#This Row],[Description]]="","",DATE(Table2[[#This Row],[Year]],Table2[[#This Row],[Month]],1))</f>
        <v/>
      </c>
    </row>
    <row r="2633" spans="7:11" x14ac:dyDescent="0.25">
      <c r="G2633" s="1" t="str">
        <f>IF(Table2[[#This Row],[Description]]="","",VLOOKUP(Table2[[#This Row],[Description]],$Q$1:$S$101,2,FALSE))</f>
        <v/>
      </c>
      <c r="H2633" s="1" t="str">
        <f>IF(Table2[[#This Row],[Description]]="","",VLOOKUP(Table2[[#This Row],[Description]],$Q$1:$S$101,3,FALSE))</f>
        <v/>
      </c>
      <c r="I2633" s="1" t="str">
        <f>IF(Table2[[#This Row],[Description]]="","",IF(Table2[[#This Row],[Currency]]=$O$2,$P$2,HLOOKUP(Table2[[#This Row],[Date]],Funds!$C$10:$GV$11,2,FALSE)))</f>
        <v/>
      </c>
      <c r="J2633" s="215" t="str">
        <f>IF(Table2[[#This Row],[Description]]="","",Table2[[#This Row],[Value]]/Table2[[#This Row],[Conversion]])</f>
        <v/>
      </c>
      <c r="K2633" s="45" t="str">
        <f>IF(Table2[[#This Row],[Description]]="","",DATE(Table2[[#This Row],[Year]],Table2[[#This Row],[Month]],1))</f>
        <v/>
      </c>
    </row>
    <row r="2634" spans="7:11" x14ac:dyDescent="0.25">
      <c r="G2634" s="1" t="str">
        <f>IF(Table2[[#This Row],[Description]]="","",VLOOKUP(Table2[[#This Row],[Description]],$Q$1:$S$101,2,FALSE))</f>
        <v/>
      </c>
      <c r="H2634" s="1" t="str">
        <f>IF(Table2[[#This Row],[Description]]="","",VLOOKUP(Table2[[#This Row],[Description]],$Q$1:$S$101,3,FALSE))</f>
        <v/>
      </c>
      <c r="I2634" s="1" t="str">
        <f>IF(Table2[[#This Row],[Description]]="","",IF(Table2[[#This Row],[Currency]]=$O$2,$P$2,HLOOKUP(Table2[[#This Row],[Date]],Funds!$C$10:$GV$11,2,FALSE)))</f>
        <v/>
      </c>
      <c r="J2634" s="215" t="str">
        <f>IF(Table2[[#This Row],[Description]]="","",Table2[[#This Row],[Value]]/Table2[[#This Row],[Conversion]])</f>
        <v/>
      </c>
      <c r="K2634" s="45" t="str">
        <f>IF(Table2[[#This Row],[Description]]="","",DATE(Table2[[#This Row],[Year]],Table2[[#This Row],[Month]],1))</f>
        <v/>
      </c>
    </row>
    <row r="2635" spans="7:11" x14ac:dyDescent="0.25">
      <c r="G2635" s="1" t="str">
        <f>IF(Table2[[#This Row],[Description]]="","",VLOOKUP(Table2[[#This Row],[Description]],$Q$1:$S$101,2,FALSE))</f>
        <v/>
      </c>
      <c r="H2635" s="1" t="str">
        <f>IF(Table2[[#This Row],[Description]]="","",VLOOKUP(Table2[[#This Row],[Description]],$Q$1:$S$101,3,FALSE))</f>
        <v/>
      </c>
      <c r="I2635" s="1" t="str">
        <f>IF(Table2[[#This Row],[Description]]="","",IF(Table2[[#This Row],[Currency]]=$O$2,$P$2,HLOOKUP(Table2[[#This Row],[Date]],Funds!$C$10:$GV$11,2,FALSE)))</f>
        <v/>
      </c>
      <c r="J2635" s="215" t="str">
        <f>IF(Table2[[#This Row],[Description]]="","",Table2[[#This Row],[Value]]/Table2[[#This Row],[Conversion]])</f>
        <v/>
      </c>
      <c r="K2635" s="45" t="str">
        <f>IF(Table2[[#This Row],[Description]]="","",DATE(Table2[[#This Row],[Year]],Table2[[#This Row],[Month]],1))</f>
        <v/>
      </c>
    </row>
    <row r="2636" spans="7:11" x14ac:dyDescent="0.25">
      <c r="G2636" s="1" t="str">
        <f>IF(Table2[[#This Row],[Description]]="","",VLOOKUP(Table2[[#This Row],[Description]],$Q$1:$S$101,2,FALSE))</f>
        <v/>
      </c>
      <c r="H2636" s="1" t="str">
        <f>IF(Table2[[#This Row],[Description]]="","",VLOOKUP(Table2[[#This Row],[Description]],$Q$1:$S$101,3,FALSE))</f>
        <v/>
      </c>
      <c r="I2636" s="1" t="str">
        <f>IF(Table2[[#This Row],[Description]]="","",IF(Table2[[#This Row],[Currency]]=$O$2,$P$2,HLOOKUP(Table2[[#This Row],[Date]],Funds!$C$10:$GV$11,2,FALSE)))</f>
        <v/>
      </c>
      <c r="J2636" s="215" t="str">
        <f>IF(Table2[[#This Row],[Description]]="","",Table2[[#This Row],[Value]]/Table2[[#This Row],[Conversion]])</f>
        <v/>
      </c>
      <c r="K2636" s="45" t="str">
        <f>IF(Table2[[#This Row],[Description]]="","",DATE(Table2[[#This Row],[Year]],Table2[[#This Row],[Month]],1))</f>
        <v/>
      </c>
    </row>
    <row r="2637" spans="7:11" x14ac:dyDescent="0.25">
      <c r="G2637" s="1" t="str">
        <f>IF(Table2[[#This Row],[Description]]="","",VLOOKUP(Table2[[#This Row],[Description]],$Q$1:$S$101,2,FALSE))</f>
        <v/>
      </c>
      <c r="H2637" s="1" t="str">
        <f>IF(Table2[[#This Row],[Description]]="","",VLOOKUP(Table2[[#This Row],[Description]],$Q$1:$S$101,3,FALSE))</f>
        <v/>
      </c>
      <c r="I2637" s="1" t="str">
        <f>IF(Table2[[#This Row],[Description]]="","",IF(Table2[[#This Row],[Currency]]=$O$2,$P$2,HLOOKUP(Table2[[#This Row],[Date]],Funds!$C$10:$GV$11,2,FALSE)))</f>
        <v/>
      </c>
      <c r="J2637" s="215" t="str">
        <f>IF(Table2[[#This Row],[Description]]="","",Table2[[#This Row],[Value]]/Table2[[#This Row],[Conversion]])</f>
        <v/>
      </c>
      <c r="K2637" s="45" t="str">
        <f>IF(Table2[[#This Row],[Description]]="","",DATE(Table2[[#This Row],[Year]],Table2[[#This Row],[Month]],1))</f>
        <v/>
      </c>
    </row>
    <row r="2638" spans="7:11" x14ac:dyDescent="0.25">
      <c r="G2638" s="1" t="str">
        <f>IF(Table2[[#This Row],[Description]]="","",VLOOKUP(Table2[[#This Row],[Description]],$Q$1:$S$101,2,FALSE))</f>
        <v/>
      </c>
      <c r="H2638" s="1" t="str">
        <f>IF(Table2[[#This Row],[Description]]="","",VLOOKUP(Table2[[#This Row],[Description]],$Q$1:$S$101,3,FALSE))</f>
        <v/>
      </c>
      <c r="I2638" s="1" t="str">
        <f>IF(Table2[[#This Row],[Description]]="","",IF(Table2[[#This Row],[Currency]]=$O$2,$P$2,HLOOKUP(Table2[[#This Row],[Date]],Funds!$C$10:$GV$11,2,FALSE)))</f>
        <v/>
      </c>
      <c r="J2638" s="215" t="str">
        <f>IF(Table2[[#This Row],[Description]]="","",Table2[[#This Row],[Value]]/Table2[[#This Row],[Conversion]])</f>
        <v/>
      </c>
      <c r="K2638" s="45" t="str">
        <f>IF(Table2[[#This Row],[Description]]="","",DATE(Table2[[#This Row],[Year]],Table2[[#This Row],[Month]],1))</f>
        <v/>
      </c>
    </row>
    <row r="2639" spans="7:11" x14ac:dyDescent="0.25">
      <c r="G2639" s="1" t="str">
        <f>IF(Table2[[#This Row],[Description]]="","",VLOOKUP(Table2[[#This Row],[Description]],$Q$1:$S$101,2,FALSE))</f>
        <v/>
      </c>
      <c r="H2639" s="1" t="str">
        <f>IF(Table2[[#This Row],[Description]]="","",VLOOKUP(Table2[[#This Row],[Description]],$Q$1:$S$101,3,FALSE))</f>
        <v/>
      </c>
      <c r="I2639" s="1" t="str">
        <f>IF(Table2[[#This Row],[Description]]="","",IF(Table2[[#This Row],[Currency]]=$O$2,$P$2,HLOOKUP(Table2[[#This Row],[Date]],Funds!$C$10:$GV$11,2,FALSE)))</f>
        <v/>
      </c>
      <c r="J2639" s="215" t="str">
        <f>IF(Table2[[#This Row],[Description]]="","",Table2[[#This Row],[Value]]/Table2[[#This Row],[Conversion]])</f>
        <v/>
      </c>
      <c r="K2639" s="45" t="str">
        <f>IF(Table2[[#This Row],[Description]]="","",DATE(Table2[[#This Row],[Year]],Table2[[#This Row],[Month]],1))</f>
        <v/>
      </c>
    </row>
    <row r="2640" spans="7:11" x14ac:dyDescent="0.25">
      <c r="G2640" s="1" t="str">
        <f>IF(Table2[[#This Row],[Description]]="","",VLOOKUP(Table2[[#This Row],[Description]],$Q$1:$S$101,2,FALSE))</f>
        <v/>
      </c>
      <c r="H2640" s="1" t="str">
        <f>IF(Table2[[#This Row],[Description]]="","",VLOOKUP(Table2[[#This Row],[Description]],$Q$1:$S$101,3,FALSE))</f>
        <v/>
      </c>
      <c r="I2640" s="1" t="str">
        <f>IF(Table2[[#This Row],[Description]]="","",IF(Table2[[#This Row],[Currency]]=$O$2,$P$2,HLOOKUP(Table2[[#This Row],[Date]],Funds!$C$10:$GV$11,2,FALSE)))</f>
        <v/>
      </c>
      <c r="J2640" s="215" t="str">
        <f>IF(Table2[[#This Row],[Description]]="","",Table2[[#This Row],[Value]]/Table2[[#This Row],[Conversion]])</f>
        <v/>
      </c>
      <c r="K2640" s="45" t="str">
        <f>IF(Table2[[#This Row],[Description]]="","",DATE(Table2[[#This Row],[Year]],Table2[[#This Row],[Month]],1))</f>
        <v/>
      </c>
    </row>
    <row r="2641" spans="7:11" x14ac:dyDescent="0.25">
      <c r="G2641" s="1" t="str">
        <f>IF(Table2[[#This Row],[Description]]="","",VLOOKUP(Table2[[#This Row],[Description]],$Q$1:$S$101,2,FALSE))</f>
        <v/>
      </c>
      <c r="H2641" s="1" t="str">
        <f>IF(Table2[[#This Row],[Description]]="","",VLOOKUP(Table2[[#This Row],[Description]],$Q$1:$S$101,3,FALSE))</f>
        <v/>
      </c>
      <c r="I2641" s="1" t="str">
        <f>IF(Table2[[#This Row],[Description]]="","",IF(Table2[[#This Row],[Currency]]=$O$2,$P$2,HLOOKUP(Table2[[#This Row],[Date]],Funds!$C$10:$GV$11,2,FALSE)))</f>
        <v/>
      </c>
      <c r="J2641" s="215" t="str">
        <f>IF(Table2[[#This Row],[Description]]="","",Table2[[#This Row],[Value]]/Table2[[#This Row],[Conversion]])</f>
        <v/>
      </c>
      <c r="K2641" s="45" t="str">
        <f>IF(Table2[[#This Row],[Description]]="","",DATE(Table2[[#This Row],[Year]],Table2[[#This Row],[Month]],1))</f>
        <v/>
      </c>
    </row>
    <row r="2642" spans="7:11" x14ac:dyDescent="0.25">
      <c r="G2642" s="1" t="str">
        <f>IF(Table2[[#This Row],[Description]]="","",VLOOKUP(Table2[[#This Row],[Description]],$Q$1:$S$101,2,FALSE))</f>
        <v/>
      </c>
      <c r="H2642" s="1" t="str">
        <f>IF(Table2[[#This Row],[Description]]="","",VLOOKUP(Table2[[#This Row],[Description]],$Q$1:$S$101,3,FALSE))</f>
        <v/>
      </c>
      <c r="I2642" s="1" t="str">
        <f>IF(Table2[[#This Row],[Description]]="","",IF(Table2[[#This Row],[Currency]]=$O$2,$P$2,HLOOKUP(Table2[[#This Row],[Date]],Funds!$C$10:$GV$11,2,FALSE)))</f>
        <v/>
      </c>
      <c r="J2642" s="215" t="str">
        <f>IF(Table2[[#This Row],[Description]]="","",Table2[[#This Row],[Value]]/Table2[[#This Row],[Conversion]])</f>
        <v/>
      </c>
      <c r="K2642" s="45" t="str">
        <f>IF(Table2[[#This Row],[Description]]="","",DATE(Table2[[#This Row],[Year]],Table2[[#This Row],[Month]],1))</f>
        <v/>
      </c>
    </row>
    <row r="2643" spans="7:11" x14ac:dyDescent="0.25">
      <c r="G2643" s="1" t="str">
        <f>IF(Table2[[#This Row],[Description]]="","",VLOOKUP(Table2[[#This Row],[Description]],$Q$1:$S$101,2,FALSE))</f>
        <v/>
      </c>
      <c r="H2643" s="1" t="str">
        <f>IF(Table2[[#This Row],[Description]]="","",VLOOKUP(Table2[[#This Row],[Description]],$Q$1:$S$101,3,FALSE))</f>
        <v/>
      </c>
      <c r="I2643" s="1" t="str">
        <f>IF(Table2[[#This Row],[Description]]="","",IF(Table2[[#This Row],[Currency]]=$O$2,$P$2,HLOOKUP(Table2[[#This Row],[Date]],Funds!$C$10:$GV$11,2,FALSE)))</f>
        <v/>
      </c>
      <c r="J2643" s="215" t="str">
        <f>IF(Table2[[#This Row],[Description]]="","",Table2[[#This Row],[Value]]/Table2[[#This Row],[Conversion]])</f>
        <v/>
      </c>
      <c r="K2643" s="45" t="str">
        <f>IF(Table2[[#This Row],[Description]]="","",DATE(Table2[[#This Row],[Year]],Table2[[#This Row],[Month]],1))</f>
        <v/>
      </c>
    </row>
    <row r="2644" spans="7:11" x14ac:dyDescent="0.25">
      <c r="G2644" s="1" t="str">
        <f>IF(Table2[[#This Row],[Description]]="","",VLOOKUP(Table2[[#This Row],[Description]],$Q$1:$S$101,2,FALSE))</f>
        <v/>
      </c>
      <c r="H2644" s="1" t="str">
        <f>IF(Table2[[#This Row],[Description]]="","",VLOOKUP(Table2[[#This Row],[Description]],$Q$1:$S$101,3,FALSE))</f>
        <v/>
      </c>
      <c r="I2644" s="1" t="str">
        <f>IF(Table2[[#This Row],[Description]]="","",IF(Table2[[#This Row],[Currency]]=$O$2,$P$2,HLOOKUP(Table2[[#This Row],[Date]],Funds!$C$10:$GV$11,2,FALSE)))</f>
        <v/>
      </c>
      <c r="J2644" s="215" t="str">
        <f>IF(Table2[[#This Row],[Description]]="","",Table2[[#This Row],[Value]]/Table2[[#This Row],[Conversion]])</f>
        <v/>
      </c>
      <c r="K2644" s="45" t="str">
        <f>IF(Table2[[#This Row],[Description]]="","",DATE(Table2[[#This Row],[Year]],Table2[[#This Row],[Month]],1))</f>
        <v/>
      </c>
    </row>
    <row r="2645" spans="7:11" x14ac:dyDescent="0.25">
      <c r="G2645" s="1" t="str">
        <f>IF(Table2[[#This Row],[Description]]="","",VLOOKUP(Table2[[#This Row],[Description]],$Q$1:$S$101,2,FALSE))</f>
        <v/>
      </c>
      <c r="H2645" s="1" t="str">
        <f>IF(Table2[[#This Row],[Description]]="","",VLOOKUP(Table2[[#This Row],[Description]],$Q$1:$S$101,3,FALSE))</f>
        <v/>
      </c>
      <c r="I2645" s="1" t="str">
        <f>IF(Table2[[#This Row],[Description]]="","",IF(Table2[[#This Row],[Currency]]=$O$2,$P$2,HLOOKUP(Table2[[#This Row],[Date]],Funds!$C$10:$GV$11,2,FALSE)))</f>
        <v/>
      </c>
      <c r="J2645" s="215" t="str">
        <f>IF(Table2[[#This Row],[Description]]="","",Table2[[#This Row],[Value]]/Table2[[#This Row],[Conversion]])</f>
        <v/>
      </c>
      <c r="K2645" s="45" t="str">
        <f>IF(Table2[[#This Row],[Description]]="","",DATE(Table2[[#This Row],[Year]],Table2[[#This Row],[Month]],1))</f>
        <v/>
      </c>
    </row>
    <row r="2646" spans="7:11" x14ac:dyDescent="0.25">
      <c r="G2646" s="1" t="str">
        <f>IF(Table2[[#This Row],[Description]]="","",VLOOKUP(Table2[[#This Row],[Description]],$Q$1:$S$101,2,FALSE))</f>
        <v/>
      </c>
      <c r="H2646" s="1" t="str">
        <f>IF(Table2[[#This Row],[Description]]="","",VLOOKUP(Table2[[#This Row],[Description]],$Q$1:$S$101,3,FALSE))</f>
        <v/>
      </c>
      <c r="I2646" s="1" t="str">
        <f>IF(Table2[[#This Row],[Description]]="","",IF(Table2[[#This Row],[Currency]]=$O$2,$P$2,HLOOKUP(Table2[[#This Row],[Date]],Funds!$C$10:$GV$11,2,FALSE)))</f>
        <v/>
      </c>
      <c r="J2646" s="215" t="str">
        <f>IF(Table2[[#This Row],[Description]]="","",Table2[[#This Row],[Value]]/Table2[[#This Row],[Conversion]])</f>
        <v/>
      </c>
      <c r="K2646" s="45" t="str">
        <f>IF(Table2[[#This Row],[Description]]="","",DATE(Table2[[#This Row],[Year]],Table2[[#This Row],[Month]],1))</f>
        <v/>
      </c>
    </row>
    <row r="2647" spans="7:11" x14ac:dyDescent="0.25">
      <c r="G2647" s="1" t="str">
        <f>IF(Table2[[#This Row],[Description]]="","",VLOOKUP(Table2[[#This Row],[Description]],$Q$1:$S$101,2,FALSE))</f>
        <v/>
      </c>
      <c r="H2647" s="1" t="str">
        <f>IF(Table2[[#This Row],[Description]]="","",VLOOKUP(Table2[[#This Row],[Description]],$Q$1:$S$101,3,FALSE))</f>
        <v/>
      </c>
      <c r="I2647" s="1" t="str">
        <f>IF(Table2[[#This Row],[Description]]="","",IF(Table2[[#This Row],[Currency]]=$O$2,$P$2,HLOOKUP(Table2[[#This Row],[Date]],Funds!$C$10:$GV$11,2,FALSE)))</f>
        <v/>
      </c>
      <c r="J2647" s="215" t="str">
        <f>IF(Table2[[#This Row],[Description]]="","",Table2[[#This Row],[Value]]/Table2[[#This Row],[Conversion]])</f>
        <v/>
      </c>
      <c r="K2647" s="45" t="str">
        <f>IF(Table2[[#This Row],[Description]]="","",DATE(Table2[[#This Row],[Year]],Table2[[#This Row],[Month]],1))</f>
        <v/>
      </c>
    </row>
    <row r="2648" spans="7:11" x14ac:dyDescent="0.25">
      <c r="G2648" s="1" t="str">
        <f>IF(Table2[[#This Row],[Description]]="","",VLOOKUP(Table2[[#This Row],[Description]],$Q$1:$S$101,2,FALSE))</f>
        <v/>
      </c>
      <c r="H2648" s="1" t="str">
        <f>IF(Table2[[#This Row],[Description]]="","",VLOOKUP(Table2[[#This Row],[Description]],$Q$1:$S$101,3,FALSE))</f>
        <v/>
      </c>
      <c r="I2648" s="1" t="str">
        <f>IF(Table2[[#This Row],[Description]]="","",IF(Table2[[#This Row],[Currency]]=$O$2,$P$2,HLOOKUP(Table2[[#This Row],[Date]],Funds!$C$10:$GV$11,2,FALSE)))</f>
        <v/>
      </c>
      <c r="J2648" s="215" t="str">
        <f>IF(Table2[[#This Row],[Description]]="","",Table2[[#This Row],[Value]]/Table2[[#This Row],[Conversion]])</f>
        <v/>
      </c>
      <c r="K2648" s="45" t="str">
        <f>IF(Table2[[#This Row],[Description]]="","",DATE(Table2[[#This Row],[Year]],Table2[[#This Row],[Month]],1))</f>
        <v/>
      </c>
    </row>
    <row r="2649" spans="7:11" x14ac:dyDescent="0.25">
      <c r="G2649" s="1" t="str">
        <f>IF(Table2[[#This Row],[Description]]="","",VLOOKUP(Table2[[#This Row],[Description]],$Q$1:$S$101,2,FALSE))</f>
        <v/>
      </c>
      <c r="H2649" s="1" t="str">
        <f>IF(Table2[[#This Row],[Description]]="","",VLOOKUP(Table2[[#This Row],[Description]],$Q$1:$S$101,3,FALSE))</f>
        <v/>
      </c>
      <c r="I2649" s="1" t="str">
        <f>IF(Table2[[#This Row],[Description]]="","",IF(Table2[[#This Row],[Currency]]=$O$2,$P$2,HLOOKUP(Table2[[#This Row],[Date]],Funds!$C$10:$GV$11,2,FALSE)))</f>
        <v/>
      </c>
      <c r="J2649" s="215" t="str">
        <f>IF(Table2[[#This Row],[Description]]="","",Table2[[#This Row],[Value]]/Table2[[#This Row],[Conversion]])</f>
        <v/>
      </c>
      <c r="K2649" s="45" t="str">
        <f>IF(Table2[[#This Row],[Description]]="","",DATE(Table2[[#This Row],[Year]],Table2[[#This Row],[Month]],1))</f>
        <v/>
      </c>
    </row>
    <row r="2650" spans="7:11" x14ac:dyDescent="0.25">
      <c r="G2650" s="1" t="str">
        <f>IF(Table2[[#This Row],[Description]]="","",VLOOKUP(Table2[[#This Row],[Description]],$Q$1:$S$101,2,FALSE))</f>
        <v/>
      </c>
      <c r="H2650" s="1" t="str">
        <f>IF(Table2[[#This Row],[Description]]="","",VLOOKUP(Table2[[#This Row],[Description]],$Q$1:$S$101,3,FALSE))</f>
        <v/>
      </c>
      <c r="I2650" s="1" t="str">
        <f>IF(Table2[[#This Row],[Description]]="","",IF(Table2[[#This Row],[Currency]]=$O$2,$P$2,HLOOKUP(Table2[[#This Row],[Date]],Funds!$C$10:$GV$11,2,FALSE)))</f>
        <v/>
      </c>
      <c r="J2650" s="215" t="str">
        <f>IF(Table2[[#This Row],[Description]]="","",Table2[[#This Row],[Value]]/Table2[[#This Row],[Conversion]])</f>
        <v/>
      </c>
      <c r="K2650" s="45" t="str">
        <f>IF(Table2[[#This Row],[Description]]="","",DATE(Table2[[#This Row],[Year]],Table2[[#This Row],[Month]],1))</f>
        <v/>
      </c>
    </row>
    <row r="2651" spans="7:11" x14ac:dyDescent="0.25">
      <c r="G2651" s="1" t="str">
        <f>IF(Table2[[#This Row],[Description]]="","",VLOOKUP(Table2[[#This Row],[Description]],$Q$1:$S$101,2,FALSE))</f>
        <v/>
      </c>
      <c r="H2651" s="1" t="str">
        <f>IF(Table2[[#This Row],[Description]]="","",VLOOKUP(Table2[[#This Row],[Description]],$Q$1:$S$101,3,FALSE))</f>
        <v/>
      </c>
      <c r="I2651" s="1" t="str">
        <f>IF(Table2[[#This Row],[Description]]="","",IF(Table2[[#This Row],[Currency]]=$O$2,$P$2,HLOOKUP(Table2[[#This Row],[Date]],Funds!$C$10:$GV$11,2,FALSE)))</f>
        <v/>
      </c>
      <c r="J2651" s="215" t="str">
        <f>IF(Table2[[#This Row],[Description]]="","",Table2[[#This Row],[Value]]/Table2[[#This Row],[Conversion]])</f>
        <v/>
      </c>
      <c r="K2651" s="45" t="str">
        <f>IF(Table2[[#This Row],[Description]]="","",DATE(Table2[[#This Row],[Year]],Table2[[#This Row],[Month]],1))</f>
        <v/>
      </c>
    </row>
    <row r="2652" spans="7:11" x14ac:dyDescent="0.25">
      <c r="G2652" s="1" t="str">
        <f>IF(Table2[[#This Row],[Description]]="","",VLOOKUP(Table2[[#This Row],[Description]],$Q$1:$S$101,2,FALSE))</f>
        <v/>
      </c>
      <c r="H2652" s="1" t="str">
        <f>IF(Table2[[#This Row],[Description]]="","",VLOOKUP(Table2[[#This Row],[Description]],$Q$1:$S$101,3,FALSE))</f>
        <v/>
      </c>
      <c r="I2652" s="1" t="str">
        <f>IF(Table2[[#This Row],[Description]]="","",IF(Table2[[#This Row],[Currency]]=$O$2,$P$2,HLOOKUP(Table2[[#This Row],[Date]],Funds!$C$10:$GV$11,2,FALSE)))</f>
        <v/>
      </c>
      <c r="J2652" s="215" t="str">
        <f>IF(Table2[[#This Row],[Description]]="","",Table2[[#This Row],[Value]]/Table2[[#This Row],[Conversion]])</f>
        <v/>
      </c>
      <c r="K2652" s="45" t="str">
        <f>IF(Table2[[#This Row],[Description]]="","",DATE(Table2[[#This Row],[Year]],Table2[[#This Row],[Month]],1))</f>
        <v/>
      </c>
    </row>
    <row r="2653" spans="7:11" x14ac:dyDescent="0.25">
      <c r="G2653" s="1" t="str">
        <f>IF(Table2[[#This Row],[Description]]="","",VLOOKUP(Table2[[#This Row],[Description]],$Q$1:$S$101,2,FALSE))</f>
        <v/>
      </c>
      <c r="H2653" s="1" t="str">
        <f>IF(Table2[[#This Row],[Description]]="","",VLOOKUP(Table2[[#This Row],[Description]],$Q$1:$S$101,3,FALSE))</f>
        <v/>
      </c>
      <c r="I2653" s="1" t="str">
        <f>IF(Table2[[#This Row],[Description]]="","",IF(Table2[[#This Row],[Currency]]=$O$2,$P$2,HLOOKUP(Table2[[#This Row],[Date]],Funds!$C$10:$GV$11,2,FALSE)))</f>
        <v/>
      </c>
      <c r="J2653" s="215" t="str">
        <f>IF(Table2[[#This Row],[Description]]="","",Table2[[#This Row],[Value]]/Table2[[#This Row],[Conversion]])</f>
        <v/>
      </c>
      <c r="K2653" s="45" t="str">
        <f>IF(Table2[[#This Row],[Description]]="","",DATE(Table2[[#This Row],[Year]],Table2[[#This Row],[Month]],1))</f>
        <v/>
      </c>
    </row>
    <row r="2654" spans="7:11" x14ac:dyDescent="0.25">
      <c r="G2654" s="1" t="str">
        <f>IF(Table2[[#This Row],[Description]]="","",VLOOKUP(Table2[[#This Row],[Description]],$Q$1:$S$101,2,FALSE))</f>
        <v/>
      </c>
      <c r="H2654" s="1" t="str">
        <f>IF(Table2[[#This Row],[Description]]="","",VLOOKUP(Table2[[#This Row],[Description]],$Q$1:$S$101,3,FALSE))</f>
        <v/>
      </c>
      <c r="I2654" s="1" t="str">
        <f>IF(Table2[[#This Row],[Description]]="","",IF(Table2[[#This Row],[Currency]]=$O$2,$P$2,HLOOKUP(Table2[[#This Row],[Date]],Funds!$C$10:$GV$11,2,FALSE)))</f>
        <v/>
      </c>
      <c r="J2654" s="215" t="str">
        <f>IF(Table2[[#This Row],[Description]]="","",Table2[[#This Row],[Value]]/Table2[[#This Row],[Conversion]])</f>
        <v/>
      </c>
      <c r="K2654" s="45" t="str">
        <f>IF(Table2[[#This Row],[Description]]="","",DATE(Table2[[#This Row],[Year]],Table2[[#This Row],[Month]],1))</f>
        <v/>
      </c>
    </row>
    <row r="2655" spans="7:11" x14ac:dyDescent="0.25">
      <c r="G2655" s="1" t="str">
        <f>IF(Table2[[#This Row],[Description]]="","",VLOOKUP(Table2[[#This Row],[Description]],$Q$1:$S$101,2,FALSE))</f>
        <v/>
      </c>
      <c r="H2655" s="1" t="str">
        <f>IF(Table2[[#This Row],[Description]]="","",VLOOKUP(Table2[[#This Row],[Description]],$Q$1:$S$101,3,FALSE))</f>
        <v/>
      </c>
      <c r="I2655" s="1" t="str">
        <f>IF(Table2[[#This Row],[Description]]="","",IF(Table2[[#This Row],[Currency]]=$O$2,$P$2,HLOOKUP(Table2[[#This Row],[Date]],Funds!$C$10:$GV$11,2,FALSE)))</f>
        <v/>
      </c>
      <c r="J2655" s="215" t="str">
        <f>IF(Table2[[#This Row],[Description]]="","",Table2[[#This Row],[Value]]/Table2[[#This Row],[Conversion]])</f>
        <v/>
      </c>
      <c r="K2655" s="45" t="str">
        <f>IF(Table2[[#This Row],[Description]]="","",DATE(Table2[[#This Row],[Year]],Table2[[#This Row],[Month]],1))</f>
        <v/>
      </c>
    </row>
    <row r="2656" spans="7:11" x14ac:dyDescent="0.25">
      <c r="G2656" s="1" t="str">
        <f>IF(Table2[[#This Row],[Description]]="","",VLOOKUP(Table2[[#This Row],[Description]],$Q$1:$S$101,2,FALSE))</f>
        <v/>
      </c>
      <c r="H2656" s="1" t="str">
        <f>IF(Table2[[#This Row],[Description]]="","",VLOOKUP(Table2[[#This Row],[Description]],$Q$1:$S$101,3,FALSE))</f>
        <v/>
      </c>
      <c r="I2656" s="1" t="str">
        <f>IF(Table2[[#This Row],[Description]]="","",IF(Table2[[#This Row],[Currency]]=$O$2,$P$2,HLOOKUP(Table2[[#This Row],[Date]],Funds!$C$10:$GV$11,2,FALSE)))</f>
        <v/>
      </c>
      <c r="J2656" s="215" t="str">
        <f>IF(Table2[[#This Row],[Description]]="","",Table2[[#This Row],[Value]]/Table2[[#This Row],[Conversion]])</f>
        <v/>
      </c>
      <c r="K2656" s="45" t="str">
        <f>IF(Table2[[#This Row],[Description]]="","",DATE(Table2[[#This Row],[Year]],Table2[[#This Row],[Month]],1))</f>
        <v/>
      </c>
    </row>
    <row r="2657" spans="7:11" x14ac:dyDescent="0.25">
      <c r="G2657" s="1" t="str">
        <f>IF(Table2[[#This Row],[Description]]="","",VLOOKUP(Table2[[#This Row],[Description]],$Q$1:$S$101,2,FALSE))</f>
        <v/>
      </c>
      <c r="H2657" s="1" t="str">
        <f>IF(Table2[[#This Row],[Description]]="","",VLOOKUP(Table2[[#This Row],[Description]],$Q$1:$S$101,3,FALSE))</f>
        <v/>
      </c>
      <c r="I2657" s="1" t="str">
        <f>IF(Table2[[#This Row],[Description]]="","",IF(Table2[[#This Row],[Currency]]=$O$2,$P$2,HLOOKUP(Table2[[#This Row],[Date]],Funds!$C$10:$GV$11,2,FALSE)))</f>
        <v/>
      </c>
      <c r="J2657" s="215" t="str">
        <f>IF(Table2[[#This Row],[Description]]="","",Table2[[#This Row],[Value]]/Table2[[#This Row],[Conversion]])</f>
        <v/>
      </c>
      <c r="K2657" s="45" t="str">
        <f>IF(Table2[[#This Row],[Description]]="","",DATE(Table2[[#This Row],[Year]],Table2[[#This Row],[Month]],1))</f>
        <v/>
      </c>
    </row>
    <row r="2658" spans="7:11" x14ac:dyDescent="0.25">
      <c r="G2658" s="1" t="str">
        <f>IF(Table2[[#This Row],[Description]]="","",VLOOKUP(Table2[[#This Row],[Description]],$Q$1:$S$101,2,FALSE))</f>
        <v/>
      </c>
      <c r="H2658" s="1" t="str">
        <f>IF(Table2[[#This Row],[Description]]="","",VLOOKUP(Table2[[#This Row],[Description]],$Q$1:$S$101,3,FALSE))</f>
        <v/>
      </c>
      <c r="I2658" s="1" t="str">
        <f>IF(Table2[[#This Row],[Description]]="","",IF(Table2[[#This Row],[Currency]]=$O$2,$P$2,HLOOKUP(Table2[[#This Row],[Date]],Funds!$C$10:$GV$11,2,FALSE)))</f>
        <v/>
      </c>
      <c r="J2658" s="215" t="str">
        <f>IF(Table2[[#This Row],[Description]]="","",Table2[[#This Row],[Value]]/Table2[[#This Row],[Conversion]])</f>
        <v/>
      </c>
      <c r="K2658" s="45" t="str">
        <f>IF(Table2[[#This Row],[Description]]="","",DATE(Table2[[#This Row],[Year]],Table2[[#This Row],[Month]],1))</f>
        <v/>
      </c>
    </row>
    <row r="2659" spans="7:11" x14ac:dyDescent="0.25">
      <c r="G2659" s="1" t="str">
        <f>IF(Table2[[#This Row],[Description]]="","",VLOOKUP(Table2[[#This Row],[Description]],$Q$1:$S$101,2,FALSE))</f>
        <v/>
      </c>
      <c r="H2659" s="1" t="str">
        <f>IF(Table2[[#This Row],[Description]]="","",VLOOKUP(Table2[[#This Row],[Description]],$Q$1:$S$101,3,FALSE))</f>
        <v/>
      </c>
      <c r="I2659" s="1" t="str">
        <f>IF(Table2[[#This Row],[Description]]="","",IF(Table2[[#This Row],[Currency]]=$O$2,$P$2,HLOOKUP(Table2[[#This Row],[Date]],Funds!$C$10:$GV$11,2,FALSE)))</f>
        <v/>
      </c>
      <c r="J2659" s="215" t="str">
        <f>IF(Table2[[#This Row],[Description]]="","",Table2[[#This Row],[Value]]/Table2[[#This Row],[Conversion]])</f>
        <v/>
      </c>
      <c r="K2659" s="45" t="str">
        <f>IF(Table2[[#This Row],[Description]]="","",DATE(Table2[[#This Row],[Year]],Table2[[#This Row],[Month]],1))</f>
        <v/>
      </c>
    </row>
    <row r="2660" spans="7:11" x14ac:dyDescent="0.25">
      <c r="G2660" s="1" t="str">
        <f>IF(Table2[[#This Row],[Description]]="","",VLOOKUP(Table2[[#This Row],[Description]],$Q$1:$S$101,2,FALSE))</f>
        <v/>
      </c>
      <c r="H2660" s="1" t="str">
        <f>IF(Table2[[#This Row],[Description]]="","",VLOOKUP(Table2[[#This Row],[Description]],$Q$1:$S$101,3,FALSE))</f>
        <v/>
      </c>
      <c r="I2660" s="1" t="str">
        <f>IF(Table2[[#This Row],[Description]]="","",IF(Table2[[#This Row],[Currency]]=$O$2,$P$2,HLOOKUP(Table2[[#This Row],[Date]],Funds!$C$10:$GV$11,2,FALSE)))</f>
        <v/>
      </c>
      <c r="J2660" s="215" t="str">
        <f>IF(Table2[[#This Row],[Description]]="","",Table2[[#This Row],[Value]]/Table2[[#This Row],[Conversion]])</f>
        <v/>
      </c>
      <c r="K2660" s="45" t="str">
        <f>IF(Table2[[#This Row],[Description]]="","",DATE(Table2[[#This Row],[Year]],Table2[[#This Row],[Month]],1))</f>
        <v/>
      </c>
    </row>
    <row r="2661" spans="7:11" x14ac:dyDescent="0.25">
      <c r="G2661" s="1" t="str">
        <f>IF(Table2[[#This Row],[Description]]="","",VLOOKUP(Table2[[#This Row],[Description]],$Q$1:$S$101,2,FALSE))</f>
        <v/>
      </c>
      <c r="H2661" s="1" t="str">
        <f>IF(Table2[[#This Row],[Description]]="","",VLOOKUP(Table2[[#This Row],[Description]],$Q$1:$S$101,3,FALSE))</f>
        <v/>
      </c>
      <c r="I2661" s="1" t="str">
        <f>IF(Table2[[#This Row],[Description]]="","",IF(Table2[[#This Row],[Currency]]=$O$2,$P$2,HLOOKUP(Table2[[#This Row],[Date]],Funds!$C$10:$GV$11,2,FALSE)))</f>
        <v/>
      </c>
      <c r="J2661" s="215" t="str">
        <f>IF(Table2[[#This Row],[Description]]="","",Table2[[#This Row],[Value]]/Table2[[#This Row],[Conversion]])</f>
        <v/>
      </c>
      <c r="K2661" s="45" t="str">
        <f>IF(Table2[[#This Row],[Description]]="","",DATE(Table2[[#This Row],[Year]],Table2[[#This Row],[Month]],1))</f>
        <v/>
      </c>
    </row>
    <row r="2662" spans="7:11" x14ac:dyDescent="0.25">
      <c r="G2662" s="1" t="str">
        <f>IF(Table2[[#This Row],[Description]]="","",VLOOKUP(Table2[[#This Row],[Description]],$Q$1:$S$101,2,FALSE))</f>
        <v/>
      </c>
      <c r="H2662" s="1" t="str">
        <f>IF(Table2[[#This Row],[Description]]="","",VLOOKUP(Table2[[#This Row],[Description]],$Q$1:$S$101,3,FALSE))</f>
        <v/>
      </c>
      <c r="I2662" s="1" t="str">
        <f>IF(Table2[[#This Row],[Description]]="","",IF(Table2[[#This Row],[Currency]]=$O$2,$P$2,HLOOKUP(Table2[[#This Row],[Date]],Funds!$C$10:$GV$11,2,FALSE)))</f>
        <v/>
      </c>
      <c r="J2662" s="215" t="str">
        <f>IF(Table2[[#This Row],[Description]]="","",Table2[[#This Row],[Value]]/Table2[[#This Row],[Conversion]])</f>
        <v/>
      </c>
      <c r="K2662" s="45" t="str">
        <f>IF(Table2[[#This Row],[Description]]="","",DATE(Table2[[#This Row],[Year]],Table2[[#This Row],[Month]],1))</f>
        <v/>
      </c>
    </row>
    <row r="2663" spans="7:11" x14ac:dyDescent="0.25">
      <c r="G2663" s="1" t="str">
        <f>IF(Table2[[#This Row],[Description]]="","",VLOOKUP(Table2[[#This Row],[Description]],$Q$1:$S$101,2,FALSE))</f>
        <v/>
      </c>
      <c r="H2663" s="1" t="str">
        <f>IF(Table2[[#This Row],[Description]]="","",VLOOKUP(Table2[[#This Row],[Description]],$Q$1:$S$101,3,FALSE))</f>
        <v/>
      </c>
      <c r="I2663" s="1" t="str">
        <f>IF(Table2[[#This Row],[Description]]="","",IF(Table2[[#This Row],[Currency]]=$O$2,$P$2,HLOOKUP(Table2[[#This Row],[Date]],Funds!$C$10:$GV$11,2,FALSE)))</f>
        <v/>
      </c>
      <c r="J2663" s="215" t="str">
        <f>IF(Table2[[#This Row],[Description]]="","",Table2[[#This Row],[Value]]/Table2[[#This Row],[Conversion]])</f>
        <v/>
      </c>
      <c r="K2663" s="45" t="str">
        <f>IF(Table2[[#This Row],[Description]]="","",DATE(Table2[[#This Row],[Year]],Table2[[#This Row],[Month]],1))</f>
        <v/>
      </c>
    </row>
    <row r="2664" spans="7:11" x14ac:dyDescent="0.25">
      <c r="G2664" s="1" t="str">
        <f>IF(Table2[[#This Row],[Description]]="","",VLOOKUP(Table2[[#This Row],[Description]],$Q$1:$S$101,2,FALSE))</f>
        <v/>
      </c>
      <c r="H2664" s="1" t="str">
        <f>IF(Table2[[#This Row],[Description]]="","",VLOOKUP(Table2[[#This Row],[Description]],$Q$1:$S$101,3,FALSE))</f>
        <v/>
      </c>
      <c r="I2664" s="1" t="str">
        <f>IF(Table2[[#This Row],[Description]]="","",IF(Table2[[#This Row],[Currency]]=$O$2,$P$2,HLOOKUP(Table2[[#This Row],[Date]],Funds!$C$10:$GV$11,2,FALSE)))</f>
        <v/>
      </c>
      <c r="J2664" s="215" t="str">
        <f>IF(Table2[[#This Row],[Description]]="","",Table2[[#This Row],[Value]]/Table2[[#This Row],[Conversion]])</f>
        <v/>
      </c>
      <c r="K2664" s="45" t="str">
        <f>IF(Table2[[#This Row],[Description]]="","",DATE(Table2[[#This Row],[Year]],Table2[[#This Row],[Month]],1))</f>
        <v/>
      </c>
    </row>
    <row r="2665" spans="7:11" x14ac:dyDescent="0.25">
      <c r="G2665" s="1" t="str">
        <f>IF(Table2[[#This Row],[Description]]="","",VLOOKUP(Table2[[#This Row],[Description]],$Q$1:$S$101,2,FALSE))</f>
        <v/>
      </c>
      <c r="H2665" s="1" t="str">
        <f>IF(Table2[[#This Row],[Description]]="","",VLOOKUP(Table2[[#This Row],[Description]],$Q$1:$S$101,3,FALSE))</f>
        <v/>
      </c>
      <c r="I2665" s="1" t="str">
        <f>IF(Table2[[#This Row],[Description]]="","",IF(Table2[[#This Row],[Currency]]=$O$2,$P$2,HLOOKUP(Table2[[#This Row],[Date]],Funds!$C$10:$GV$11,2,FALSE)))</f>
        <v/>
      </c>
      <c r="J2665" s="215" t="str">
        <f>IF(Table2[[#This Row],[Description]]="","",Table2[[#This Row],[Value]]/Table2[[#This Row],[Conversion]])</f>
        <v/>
      </c>
      <c r="K2665" s="45" t="str">
        <f>IF(Table2[[#This Row],[Description]]="","",DATE(Table2[[#This Row],[Year]],Table2[[#This Row],[Month]],1))</f>
        <v/>
      </c>
    </row>
    <row r="2666" spans="7:11" x14ac:dyDescent="0.25">
      <c r="G2666" s="1" t="str">
        <f>IF(Table2[[#This Row],[Description]]="","",VLOOKUP(Table2[[#This Row],[Description]],$Q$1:$S$101,2,FALSE))</f>
        <v/>
      </c>
      <c r="H2666" s="1" t="str">
        <f>IF(Table2[[#This Row],[Description]]="","",VLOOKUP(Table2[[#This Row],[Description]],$Q$1:$S$101,3,FALSE))</f>
        <v/>
      </c>
      <c r="I2666" s="1" t="str">
        <f>IF(Table2[[#This Row],[Description]]="","",IF(Table2[[#This Row],[Currency]]=$O$2,$P$2,HLOOKUP(Table2[[#This Row],[Date]],Funds!$C$10:$GV$11,2,FALSE)))</f>
        <v/>
      </c>
      <c r="J2666" s="215" t="str">
        <f>IF(Table2[[#This Row],[Description]]="","",Table2[[#This Row],[Value]]/Table2[[#This Row],[Conversion]])</f>
        <v/>
      </c>
      <c r="K2666" s="45" t="str">
        <f>IF(Table2[[#This Row],[Description]]="","",DATE(Table2[[#This Row],[Year]],Table2[[#This Row],[Month]],1))</f>
        <v/>
      </c>
    </row>
    <row r="2667" spans="7:11" x14ac:dyDescent="0.25">
      <c r="G2667" s="1" t="str">
        <f>IF(Table2[[#This Row],[Description]]="","",VLOOKUP(Table2[[#This Row],[Description]],$Q$1:$S$101,2,FALSE))</f>
        <v/>
      </c>
      <c r="H2667" s="1" t="str">
        <f>IF(Table2[[#This Row],[Description]]="","",VLOOKUP(Table2[[#This Row],[Description]],$Q$1:$S$101,3,FALSE))</f>
        <v/>
      </c>
      <c r="I2667" s="1" t="str">
        <f>IF(Table2[[#This Row],[Description]]="","",IF(Table2[[#This Row],[Currency]]=$O$2,$P$2,HLOOKUP(Table2[[#This Row],[Date]],Funds!$C$10:$GV$11,2,FALSE)))</f>
        <v/>
      </c>
      <c r="J2667" s="215" t="str">
        <f>IF(Table2[[#This Row],[Description]]="","",Table2[[#This Row],[Value]]/Table2[[#This Row],[Conversion]])</f>
        <v/>
      </c>
      <c r="K2667" s="45" t="str">
        <f>IF(Table2[[#This Row],[Description]]="","",DATE(Table2[[#This Row],[Year]],Table2[[#This Row],[Month]],1))</f>
        <v/>
      </c>
    </row>
    <row r="2668" spans="7:11" x14ac:dyDescent="0.25">
      <c r="G2668" s="1" t="str">
        <f>IF(Table2[[#This Row],[Description]]="","",VLOOKUP(Table2[[#This Row],[Description]],$Q$1:$S$101,2,FALSE))</f>
        <v/>
      </c>
      <c r="H2668" s="1" t="str">
        <f>IF(Table2[[#This Row],[Description]]="","",VLOOKUP(Table2[[#This Row],[Description]],$Q$1:$S$101,3,FALSE))</f>
        <v/>
      </c>
      <c r="I2668" s="1" t="str">
        <f>IF(Table2[[#This Row],[Description]]="","",IF(Table2[[#This Row],[Currency]]=$O$2,$P$2,HLOOKUP(Table2[[#This Row],[Date]],Funds!$C$10:$GV$11,2,FALSE)))</f>
        <v/>
      </c>
      <c r="J2668" s="215" t="str">
        <f>IF(Table2[[#This Row],[Description]]="","",Table2[[#This Row],[Value]]/Table2[[#This Row],[Conversion]])</f>
        <v/>
      </c>
      <c r="K2668" s="45" t="str">
        <f>IF(Table2[[#This Row],[Description]]="","",DATE(Table2[[#This Row],[Year]],Table2[[#This Row],[Month]],1))</f>
        <v/>
      </c>
    </row>
    <row r="2669" spans="7:11" x14ac:dyDescent="0.25">
      <c r="G2669" s="1" t="str">
        <f>IF(Table2[[#This Row],[Description]]="","",VLOOKUP(Table2[[#This Row],[Description]],$Q$1:$S$101,2,FALSE))</f>
        <v/>
      </c>
      <c r="H2669" s="1" t="str">
        <f>IF(Table2[[#This Row],[Description]]="","",VLOOKUP(Table2[[#This Row],[Description]],$Q$1:$S$101,3,FALSE))</f>
        <v/>
      </c>
      <c r="I2669" s="1" t="str">
        <f>IF(Table2[[#This Row],[Description]]="","",IF(Table2[[#This Row],[Currency]]=$O$2,$P$2,HLOOKUP(Table2[[#This Row],[Date]],Funds!$C$10:$GV$11,2,FALSE)))</f>
        <v/>
      </c>
      <c r="J2669" s="215" t="str">
        <f>IF(Table2[[#This Row],[Description]]="","",Table2[[#This Row],[Value]]/Table2[[#This Row],[Conversion]])</f>
        <v/>
      </c>
      <c r="K2669" s="45" t="str">
        <f>IF(Table2[[#This Row],[Description]]="","",DATE(Table2[[#This Row],[Year]],Table2[[#This Row],[Month]],1))</f>
        <v/>
      </c>
    </row>
    <row r="2670" spans="7:11" x14ac:dyDescent="0.25">
      <c r="G2670" s="1" t="str">
        <f>IF(Table2[[#This Row],[Description]]="","",VLOOKUP(Table2[[#This Row],[Description]],$Q$1:$S$101,2,FALSE))</f>
        <v/>
      </c>
      <c r="H2670" s="1" t="str">
        <f>IF(Table2[[#This Row],[Description]]="","",VLOOKUP(Table2[[#This Row],[Description]],$Q$1:$S$101,3,FALSE))</f>
        <v/>
      </c>
      <c r="I2670" s="1" t="str">
        <f>IF(Table2[[#This Row],[Description]]="","",IF(Table2[[#This Row],[Currency]]=$O$2,$P$2,HLOOKUP(Table2[[#This Row],[Date]],Funds!$C$10:$GV$11,2,FALSE)))</f>
        <v/>
      </c>
      <c r="J2670" s="215" t="str">
        <f>IF(Table2[[#This Row],[Description]]="","",Table2[[#This Row],[Value]]/Table2[[#This Row],[Conversion]])</f>
        <v/>
      </c>
      <c r="K2670" s="45" t="str">
        <f>IF(Table2[[#This Row],[Description]]="","",DATE(Table2[[#This Row],[Year]],Table2[[#This Row],[Month]],1))</f>
        <v/>
      </c>
    </row>
    <row r="2671" spans="7:11" x14ac:dyDescent="0.25">
      <c r="G2671" s="1" t="str">
        <f>IF(Table2[[#This Row],[Description]]="","",VLOOKUP(Table2[[#This Row],[Description]],$Q$1:$S$101,2,FALSE))</f>
        <v/>
      </c>
      <c r="H2671" s="1" t="str">
        <f>IF(Table2[[#This Row],[Description]]="","",VLOOKUP(Table2[[#This Row],[Description]],$Q$1:$S$101,3,FALSE))</f>
        <v/>
      </c>
      <c r="I2671" s="1" t="str">
        <f>IF(Table2[[#This Row],[Description]]="","",IF(Table2[[#This Row],[Currency]]=$O$2,$P$2,HLOOKUP(Table2[[#This Row],[Date]],Funds!$C$10:$GV$11,2,FALSE)))</f>
        <v/>
      </c>
      <c r="J2671" s="215" t="str">
        <f>IF(Table2[[#This Row],[Description]]="","",Table2[[#This Row],[Value]]/Table2[[#This Row],[Conversion]])</f>
        <v/>
      </c>
      <c r="K2671" s="45" t="str">
        <f>IF(Table2[[#This Row],[Description]]="","",DATE(Table2[[#This Row],[Year]],Table2[[#This Row],[Month]],1))</f>
        <v/>
      </c>
    </row>
    <row r="2672" spans="7:11" x14ac:dyDescent="0.25">
      <c r="G2672" s="1" t="str">
        <f>IF(Table2[[#This Row],[Description]]="","",VLOOKUP(Table2[[#This Row],[Description]],$Q$1:$S$101,2,FALSE))</f>
        <v/>
      </c>
      <c r="H2672" s="1" t="str">
        <f>IF(Table2[[#This Row],[Description]]="","",VLOOKUP(Table2[[#This Row],[Description]],$Q$1:$S$101,3,FALSE))</f>
        <v/>
      </c>
      <c r="I2672" s="1" t="str">
        <f>IF(Table2[[#This Row],[Description]]="","",IF(Table2[[#This Row],[Currency]]=$O$2,$P$2,HLOOKUP(Table2[[#This Row],[Date]],Funds!$C$10:$GV$11,2,FALSE)))</f>
        <v/>
      </c>
      <c r="J2672" s="215" t="str">
        <f>IF(Table2[[#This Row],[Description]]="","",Table2[[#This Row],[Value]]/Table2[[#This Row],[Conversion]])</f>
        <v/>
      </c>
      <c r="K2672" s="45" t="str">
        <f>IF(Table2[[#This Row],[Description]]="","",DATE(Table2[[#This Row],[Year]],Table2[[#This Row],[Month]],1))</f>
        <v/>
      </c>
    </row>
    <row r="2673" spans="7:11" x14ac:dyDescent="0.25">
      <c r="G2673" s="1" t="str">
        <f>IF(Table2[[#This Row],[Description]]="","",VLOOKUP(Table2[[#This Row],[Description]],$Q$1:$S$101,2,FALSE))</f>
        <v/>
      </c>
      <c r="H2673" s="1" t="str">
        <f>IF(Table2[[#This Row],[Description]]="","",VLOOKUP(Table2[[#This Row],[Description]],$Q$1:$S$101,3,FALSE))</f>
        <v/>
      </c>
      <c r="I2673" s="1" t="str">
        <f>IF(Table2[[#This Row],[Description]]="","",IF(Table2[[#This Row],[Currency]]=$O$2,$P$2,HLOOKUP(Table2[[#This Row],[Date]],Funds!$C$10:$GV$11,2,FALSE)))</f>
        <v/>
      </c>
      <c r="J2673" s="215" t="str">
        <f>IF(Table2[[#This Row],[Description]]="","",Table2[[#This Row],[Value]]/Table2[[#This Row],[Conversion]])</f>
        <v/>
      </c>
      <c r="K2673" s="45" t="str">
        <f>IF(Table2[[#This Row],[Description]]="","",DATE(Table2[[#This Row],[Year]],Table2[[#This Row],[Month]],1))</f>
        <v/>
      </c>
    </row>
    <row r="2674" spans="7:11" x14ac:dyDescent="0.25">
      <c r="G2674" s="1" t="str">
        <f>IF(Table2[[#This Row],[Description]]="","",VLOOKUP(Table2[[#This Row],[Description]],$Q$1:$S$101,2,FALSE))</f>
        <v/>
      </c>
      <c r="H2674" s="1" t="str">
        <f>IF(Table2[[#This Row],[Description]]="","",VLOOKUP(Table2[[#This Row],[Description]],$Q$1:$S$101,3,FALSE))</f>
        <v/>
      </c>
      <c r="I2674" s="1" t="str">
        <f>IF(Table2[[#This Row],[Description]]="","",IF(Table2[[#This Row],[Currency]]=$O$2,$P$2,HLOOKUP(Table2[[#This Row],[Date]],Funds!$C$10:$GV$11,2,FALSE)))</f>
        <v/>
      </c>
      <c r="J2674" s="215" t="str">
        <f>IF(Table2[[#This Row],[Description]]="","",Table2[[#This Row],[Value]]/Table2[[#This Row],[Conversion]])</f>
        <v/>
      </c>
      <c r="K2674" s="45" t="str">
        <f>IF(Table2[[#This Row],[Description]]="","",DATE(Table2[[#This Row],[Year]],Table2[[#This Row],[Month]],1))</f>
        <v/>
      </c>
    </row>
    <row r="2675" spans="7:11" x14ac:dyDescent="0.25">
      <c r="G2675" s="1" t="str">
        <f>IF(Table2[[#This Row],[Description]]="","",VLOOKUP(Table2[[#This Row],[Description]],$Q$1:$S$101,2,FALSE))</f>
        <v/>
      </c>
      <c r="H2675" s="1" t="str">
        <f>IF(Table2[[#This Row],[Description]]="","",VLOOKUP(Table2[[#This Row],[Description]],$Q$1:$S$101,3,FALSE))</f>
        <v/>
      </c>
      <c r="I2675" s="1" t="str">
        <f>IF(Table2[[#This Row],[Description]]="","",IF(Table2[[#This Row],[Currency]]=$O$2,$P$2,HLOOKUP(Table2[[#This Row],[Date]],Funds!$C$10:$GV$11,2,FALSE)))</f>
        <v/>
      </c>
      <c r="J2675" s="215" t="str">
        <f>IF(Table2[[#This Row],[Description]]="","",Table2[[#This Row],[Value]]/Table2[[#This Row],[Conversion]])</f>
        <v/>
      </c>
      <c r="K2675" s="45" t="str">
        <f>IF(Table2[[#This Row],[Description]]="","",DATE(Table2[[#This Row],[Year]],Table2[[#This Row],[Month]],1))</f>
        <v/>
      </c>
    </row>
    <row r="2676" spans="7:11" x14ac:dyDescent="0.25">
      <c r="G2676" s="1" t="str">
        <f>IF(Table2[[#This Row],[Description]]="","",VLOOKUP(Table2[[#This Row],[Description]],$Q$1:$S$101,2,FALSE))</f>
        <v/>
      </c>
      <c r="H2676" s="1" t="str">
        <f>IF(Table2[[#This Row],[Description]]="","",VLOOKUP(Table2[[#This Row],[Description]],$Q$1:$S$101,3,FALSE))</f>
        <v/>
      </c>
      <c r="I2676" s="1" t="str">
        <f>IF(Table2[[#This Row],[Description]]="","",IF(Table2[[#This Row],[Currency]]=$O$2,$P$2,HLOOKUP(Table2[[#This Row],[Date]],Funds!$C$10:$GV$11,2,FALSE)))</f>
        <v/>
      </c>
      <c r="J2676" s="215" t="str">
        <f>IF(Table2[[#This Row],[Description]]="","",Table2[[#This Row],[Value]]/Table2[[#This Row],[Conversion]])</f>
        <v/>
      </c>
      <c r="K2676" s="45" t="str">
        <f>IF(Table2[[#This Row],[Description]]="","",DATE(Table2[[#This Row],[Year]],Table2[[#This Row],[Month]],1))</f>
        <v/>
      </c>
    </row>
    <row r="2677" spans="7:11" x14ac:dyDescent="0.25">
      <c r="G2677" s="1" t="str">
        <f>IF(Table2[[#This Row],[Description]]="","",VLOOKUP(Table2[[#This Row],[Description]],$Q$1:$S$101,2,FALSE))</f>
        <v/>
      </c>
      <c r="H2677" s="1" t="str">
        <f>IF(Table2[[#This Row],[Description]]="","",VLOOKUP(Table2[[#This Row],[Description]],$Q$1:$S$101,3,FALSE))</f>
        <v/>
      </c>
      <c r="I2677" s="1" t="str">
        <f>IF(Table2[[#This Row],[Description]]="","",IF(Table2[[#This Row],[Currency]]=$O$2,$P$2,HLOOKUP(Table2[[#This Row],[Date]],Funds!$C$10:$GV$11,2,FALSE)))</f>
        <v/>
      </c>
      <c r="J2677" s="215" t="str">
        <f>IF(Table2[[#This Row],[Description]]="","",Table2[[#This Row],[Value]]/Table2[[#This Row],[Conversion]])</f>
        <v/>
      </c>
      <c r="K2677" s="45" t="str">
        <f>IF(Table2[[#This Row],[Description]]="","",DATE(Table2[[#This Row],[Year]],Table2[[#This Row],[Month]],1))</f>
        <v/>
      </c>
    </row>
    <row r="2678" spans="7:11" x14ac:dyDescent="0.25">
      <c r="G2678" s="1" t="str">
        <f>IF(Table2[[#This Row],[Description]]="","",VLOOKUP(Table2[[#This Row],[Description]],$Q$1:$S$101,2,FALSE))</f>
        <v/>
      </c>
      <c r="H2678" s="1" t="str">
        <f>IF(Table2[[#This Row],[Description]]="","",VLOOKUP(Table2[[#This Row],[Description]],$Q$1:$S$101,3,FALSE))</f>
        <v/>
      </c>
      <c r="I2678" s="1" t="str">
        <f>IF(Table2[[#This Row],[Description]]="","",IF(Table2[[#This Row],[Currency]]=$O$2,$P$2,HLOOKUP(Table2[[#This Row],[Date]],Funds!$C$10:$GV$11,2,FALSE)))</f>
        <v/>
      </c>
      <c r="J2678" s="215" t="str">
        <f>IF(Table2[[#This Row],[Description]]="","",Table2[[#This Row],[Value]]/Table2[[#This Row],[Conversion]])</f>
        <v/>
      </c>
      <c r="K2678" s="45" t="str">
        <f>IF(Table2[[#This Row],[Description]]="","",DATE(Table2[[#This Row],[Year]],Table2[[#This Row],[Month]],1))</f>
        <v/>
      </c>
    </row>
    <row r="2679" spans="7:11" x14ac:dyDescent="0.25">
      <c r="G2679" s="1" t="str">
        <f>IF(Table2[[#This Row],[Description]]="","",VLOOKUP(Table2[[#This Row],[Description]],$Q$1:$S$101,2,FALSE))</f>
        <v/>
      </c>
      <c r="H2679" s="1" t="str">
        <f>IF(Table2[[#This Row],[Description]]="","",VLOOKUP(Table2[[#This Row],[Description]],$Q$1:$S$101,3,FALSE))</f>
        <v/>
      </c>
      <c r="I2679" s="1" t="str">
        <f>IF(Table2[[#This Row],[Description]]="","",IF(Table2[[#This Row],[Currency]]=$O$2,$P$2,HLOOKUP(Table2[[#This Row],[Date]],Funds!$C$10:$GV$11,2,FALSE)))</f>
        <v/>
      </c>
      <c r="J2679" s="215" t="str">
        <f>IF(Table2[[#This Row],[Description]]="","",Table2[[#This Row],[Value]]/Table2[[#This Row],[Conversion]])</f>
        <v/>
      </c>
      <c r="K2679" s="45" t="str">
        <f>IF(Table2[[#This Row],[Description]]="","",DATE(Table2[[#This Row],[Year]],Table2[[#This Row],[Month]],1))</f>
        <v/>
      </c>
    </row>
    <row r="2680" spans="7:11" x14ac:dyDescent="0.25">
      <c r="G2680" s="1" t="str">
        <f>IF(Table2[[#This Row],[Description]]="","",VLOOKUP(Table2[[#This Row],[Description]],$Q$1:$S$101,2,FALSE))</f>
        <v/>
      </c>
      <c r="H2680" s="1" t="str">
        <f>IF(Table2[[#This Row],[Description]]="","",VLOOKUP(Table2[[#This Row],[Description]],$Q$1:$S$101,3,FALSE))</f>
        <v/>
      </c>
      <c r="I2680" s="1" t="str">
        <f>IF(Table2[[#This Row],[Description]]="","",IF(Table2[[#This Row],[Currency]]=$O$2,$P$2,HLOOKUP(Table2[[#This Row],[Date]],Funds!$C$10:$GV$11,2,FALSE)))</f>
        <v/>
      </c>
      <c r="J2680" s="215" t="str">
        <f>IF(Table2[[#This Row],[Description]]="","",Table2[[#This Row],[Value]]/Table2[[#This Row],[Conversion]])</f>
        <v/>
      </c>
      <c r="K2680" s="45" t="str">
        <f>IF(Table2[[#This Row],[Description]]="","",DATE(Table2[[#This Row],[Year]],Table2[[#This Row],[Month]],1))</f>
        <v/>
      </c>
    </row>
    <row r="2681" spans="7:11" x14ac:dyDescent="0.25">
      <c r="G2681" s="1" t="str">
        <f>IF(Table2[[#This Row],[Description]]="","",VLOOKUP(Table2[[#This Row],[Description]],$Q$1:$S$101,2,FALSE))</f>
        <v/>
      </c>
      <c r="H2681" s="1" t="str">
        <f>IF(Table2[[#This Row],[Description]]="","",VLOOKUP(Table2[[#This Row],[Description]],$Q$1:$S$101,3,FALSE))</f>
        <v/>
      </c>
      <c r="I2681" s="1" t="str">
        <f>IF(Table2[[#This Row],[Description]]="","",IF(Table2[[#This Row],[Currency]]=$O$2,$P$2,HLOOKUP(Table2[[#This Row],[Date]],Funds!$C$10:$GV$11,2,FALSE)))</f>
        <v/>
      </c>
      <c r="J2681" s="215" t="str">
        <f>IF(Table2[[#This Row],[Description]]="","",Table2[[#This Row],[Value]]/Table2[[#This Row],[Conversion]])</f>
        <v/>
      </c>
      <c r="K2681" s="45" t="str">
        <f>IF(Table2[[#This Row],[Description]]="","",DATE(Table2[[#This Row],[Year]],Table2[[#This Row],[Month]],1))</f>
        <v/>
      </c>
    </row>
    <row r="2682" spans="7:11" x14ac:dyDescent="0.25">
      <c r="G2682" s="1" t="str">
        <f>IF(Table2[[#This Row],[Description]]="","",VLOOKUP(Table2[[#This Row],[Description]],$Q$1:$S$101,2,FALSE))</f>
        <v/>
      </c>
      <c r="H2682" s="1" t="str">
        <f>IF(Table2[[#This Row],[Description]]="","",VLOOKUP(Table2[[#This Row],[Description]],$Q$1:$S$101,3,FALSE))</f>
        <v/>
      </c>
      <c r="I2682" s="1" t="str">
        <f>IF(Table2[[#This Row],[Description]]="","",IF(Table2[[#This Row],[Currency]]=$O$2,$P$2,HLOOKUP(Table2[[#This Row],[Date]],Funds!$C$10:$GV$11,2,FALSE)))</f>
        <v/>
      </c>
      <c r="J2682" s="215" t="str">
        <f>IF(Table2[[#This Row],[Description]]="","",Table2[[#This Row],[Value]]/Table2[[#This Row],[Conversion]])</f>
        <v/>
      </c>
      <c r="K2682" s="45" t="str">
        <f>IF(Table2[[#This Row],[Description]]="","",DATE(Table2[[#This Row],[Year]],Table2[[#This Row],[Month]],1))</f>
        <v/>
      </c>
    </row>
    <row r="2683" spans="7:11" x14ac:dyDescent="0.25">
      <c r="G2683" s="1" t="str">
        <f>IF(Table2[[#This Row],[Description]]="","",VLOOKUP(Table2[[#This Row],[Description]],$Q$1:$S$101,2,FALSE))</f>
        <v/>
      </c>
      <c r="H2683" s="1" t="str">
        <f>IF(Table2[[#This Row],[Description]]="","",VLOOKUP(Table2[[#This Row],[Description]],$Q$1:$S$101,3,FALSE))</f>
        <v/>
      </c>
      <c r="I2683" s="1" t="str">
        <f>IF(Table2[[#This Row],[Description]]="","",IF(Table2[[#This Row],[Currency]]=$O$2,$P$2,HLOOKUP(Table2[[#This Row],[Date]],Funds!$C$10:$GV$11,2,FALSE)))</f>
        <v/>
      </c>
      <c r="J2683" s="215" t="str">
        <f>IF(Table2[[#This Row],[Description]]="","",Table2[[#This Row],[Value]]/Table2[[#This Row],[Conversion]])</f>
        <v/>
      </c>
      <c r="K2683" s="45" t="str">
        <f>IF(Table2[[#This Row],[Description]]="","",DATE(Table2[[#This Row],[Year]],Table2[[#This Row],[Month]],1))</f>
        <v/>
      </c>
    </row>
    <row r="2684" spans="7:11" x14ac:dyDescent="0.25">
      <c r="G2684" s="1" t="str">
        <f>IF(Table2[[#This Row],[Description]]="","",VLOOKUP(Table2[[#This Row],[Description]],$Q$1:$S$101,2,FALSE))</f>
        <v/>
      </c>
      <c r="H2684" s="1" t="str">
        <f>IF(Table2[[#This Row],[Description]]="","",VLOOKUP(Table2[[#This Row],[Description]],$Q$1:$S$101,3,FALSE))</f>
        <v/>
      </c>
      <c r="I2684" s="1" t="str">
        <f>IF(Table2[[#This Row],[Description]]="","",IF(Table2[[#This Row],[Currency]]=$O$2,$P$2,HLOOKUP(Table2[[#This Row],[Date]],Funds!$C$10:$GV$11,2,FALSE)))</f>
        <v/>
      </c>
      <c r="J2684" s="215" t="str">
        <f>IF(Table2[[#This Row],[Description]]="","",Table2[[#This Row],[Value]]/Table2[[#This Row],[Conversion]])</f>
        <v/>
      </c>
      <c r="K2684" s="45" t="str">
        <f>IF(Table2[[#This Row],[Description]]="","",DATE(Table2[[#This Row],[Year]],Table2[[#This Row],[Month]],1))</f>
        <v/>
      </c>
    </row>
    <row r="2685" spans="7:11" x14ac:dyDescent="0.25">
      <c r="G2685" s="1" t="str">
        <f>IF(Table2[[#This Row],[Description]]="","",VLOOKUP(Table2[[#This Row],[Description]],$Q$1:$S$101,2,FALSE))</f>
        <v/>
      </c>
      <c r="H2685" s="1" t="str">
        <f>IF(Table2[[#This Row],[Description]]="","",VLOOKUP(Table2[[#This Row],[Description]],$Q$1:$S$101,3,FALSE))</f>
        <v/>
      </c>
      <c r="I2685" s="1" t="str">
        <f>IF(Table2[[#This Row],[Description]]="","",IF(Table2[[#This Row],[Currency]]=$O$2,$P$2,HLOOKUP(Table2[[#This Row],[Date]],Funds!$C$10:$GV$11,2,FALSE)))</f>
        <v/>
      </c>
      <c r="J2685" s="215" t="str">
        <f>IF(Table2[[#This Row],[Description]]="","",Table2[[#This Row],[Value]]/Table2[[#This Row],[Conversion]])</f>
        <v/>
      </c>
      <c r="K2685" s="45" t="str">
        <f>IF(Table2[[#This Row],[Description]]="","",DATE(Table2[[#This Row],[Year]],Table2[[#This Row],[Month]],1))</f>
        <v/>
      </c>
    </row>
    <row r="2686" spans="7:11" x14ac:dyDescent="0.25">
      <c r="G2686" s="1" t="str">
        <f>IF(Table2[[#This Row],[Description]]="","",VLOOKUP(Table2[[#This Row],[Description]],$Q$1:$S$101,2,FALSE))</f>
        <v/>
      </c>
      <c r="H2686" s="1" t="str">
        <f>IF(Table2[[#This Row],[Description]]="","",VLOOKUP(Table2[[#This Row],[Description]],$Q$1:$S$101,3,FALSE))</f>
        <v/>
      </c>
      <c r="I2686" s="1" t="str">
        <f>IF(Table2[[#This Row],[Description]]="","",IF(Table2[[#This Row],[Currency]]=$O$2,$P$2,HLOOKUP(Table2[[#This Row],[Date]],Funds!$C$10:$GV$11,2,FALSE)))</f>
        <v/>
      </c>
      <c r="J2686" s="215" t="str">
        <f>IF(Table2[[#This Row],[Description]]="","",Table2[[#This Row],[Value]]/Table2[[#This Row],[Conversion]])</f>
        <v/>
      </c>
      <c r="K2686" s="45" t="str">
        <f>IF(Table2[[#This Row],[Description]]="","",DATE(Table2[[#This Row],[Year]],Table2[[#This Row],[Month]],1))</f>
        <v/>
      </c>
    </row>
    <row r="2687" spans="7:11" x14ac:dyDescent="0.25">
      <c r="G2687" s="1" t="str">
        <f>IF(Table2[[#This Row],[Description]]="","",VLOOKUP(Table2[[#This Row],[Description]],$Q$1:$S$101,2,FALSE))</f>
        <v/>
      </c>
      <c r="H2687" s="1" t="str">
        <f>IF(Table2[[#This Row],[Description]]="","",VLOOKUP(Table2[[#This Row],[Description]],$Q$1:$S$101,3,FALSE))</f>
        <v/>
      </c>
      <c r="I2687" s="1" t="str">
        <f>IF(Table2[[#This Row],[Description]]="","",IF(Table2[[#This Row],[Currency]]=$O$2,$P$2,HLOOKUP(Table2[[#This Row],[Date]],Funds!$C$10:$GV$11,2,FALSE)))</f>
        <v/>
      </c>
      <c r="J2687" s="215" t="str">
        <f>IF(Table2[[#This Row],[Description]]="","",Table2[[#This Row],[Value]]/Table2[[#This Row],[Conversion]])</f>
        <v/>
      </c>
      <c r="K2687" s="45" t="str">
        <f>IF(Table2[[#This Row],[Description]]="","",DATE(Table2[[#This Row],[Year]],Table2[[#This Row],[Month]],1))</f>
        <v/>
      </c>
    </row>
    <row r="2688" spans="7:11" x14ac:dyDescent="0.25">
      <c r="G2688" s="1" t="str">
        <f>IF(Table2[[#This Row],[Description]]="","",VLOOKUP(Table2[[#This Row],[Description]],$Q$1:$S$101,2,FALSE))</f>
        <v/>
      </c>
      <c r="H2688" s="1" t="str">
        <f>IF(Table2[[#This Row],[Description]]="","",VLOOKUP(Table2[[#This Row],[Description]],$Q$1:$S$101,3,FALSE))</f>
        <v/>
      </c>
      <c r="I2688" s="1" t="str">
        <f>IF(Table2[[#This Row],[Description]]="","",IF(Table2[[#This Row],[Currency]]=$O$2,$P$2,HLOOKUP(Table2[[#This Row],[Date]],Funds!$C$10:$GV$11,2,FALSE)))</f>
        <v/>
      </c>
      <c r="J2688" s="215" t="str">
        <f>IF(Table2[[#This Row],[Description]]="","",Table2[[#This Row],[Value]]/Table2[[#This Row],[Conversion]])</f>
        <v/>
      </c>
      <c r="K2688" s="45" t="str">
        <f>IF(Table2[[#This Row],[Description]]="","",DATE(Table2[[#This Row],[Year]],Table2[[#This Row],[Month]],1))</f>
        <v/>
      </c>
    </row>
    <row r="2689" spans="7:11" x14ac:dyDescent="0.25">
      <c r="G2689" s="1" t="str">
        <f>IF(Table2[[#This Row],[Description]]="","",VLOOKUP(Table2[[#This Row],[Description]],$Q$1:$S$101,2,FALSE))</f>
        <v/>
      </c>
      <c r="H2689" s="1" t="str">
        <f>IF(Table2[[#This Row],[Description]]="","",VLOOKUP(Table2[[#This Row],[Description]],$Q$1:$S$101,3,FALSE))</f>
        <v/>
      </c>
      <c r="I2689" s="1" t="str">
        <f>IF(Table2[[#This Row],[Description]]="","",IF(Table2[[#This Row],[Currency]]=$O$2,$P$2,HLOOKUP(Table2[[#This Row],[Date]],Funds!$C$10:$GV$11,2,FALSE)))</f>
        <v/>
      </c>
      <c r="J2689" s="215" t="str">
        <f>IF(Table2[[#This Row],[Description]]="","",Table2[[#This Row],[Value]]/Table2[[#This Row],[Conversion]])</f>
        <v/>
      </c>
      <c r="K2689" s="45" t="str">
        <f>IF(Table2[[#This Row],[Description]]="","",DATE(Table2[[#This Row],[Year]],Table2[[#This Row],[Month]],1))</f>
        <v/>
      </c>
    </row>
    <row r="2690" spans="7:11" x14ac:dyDescent="0.25">
      <c r="G2690" s="1" t="str">
        <f>IF(Table2[[#This Row],[Description]]="","",VLOOKUP(Table2[[#This Row],[Description]],$Q$1:$S$101,2,FALSE))</f>
        <v/>
      </c>
      <c r="H2690" s="1" t="str">
        <f>IF(Table2[[#This Row],[Description]]="","",VLOOKUP(Table2[[#This Row],[Description]],$Q$1:$S$101,3,FALSE))</f>
        <v/>
      </c>
      <c r="I2690" s="1" t="str">
        <f>IF(Table2[[#This Row],[Description]]="","",IF(Table2[[#This Row],[Currency]]=$O$2,$P$2,HLOOKUP(Table2[[#This Row],[Date]],Funds!$C$10:$GV$11,2,FALSE)))</f>
        <v/>
      </c>
      <c r="J2690" s="215" t="str">
        <f>IF(Table2[[#This Row],[Description]]="","",Table2[[#This Row],[Value]]/Table2[[#This Row],[Conversion]])</f>
        <v/>
      </c>
      <c r="K2690" s="45" t="str">
        <f>IF(Table2[[#This Row],[Description]]="","",DATE(Table2[[#This Row],[Year]],Table2[[#This Row],[Month]],1))</f>
        <v/>
      </c>
    </row>
    <row r="2691" spans="7:11" x14ac:dyDescent="0.25">
      <c r="G2691" s="1" t="str">
        <f>IF(Table2[[#This Row],[Description]]="","",VLOOKUP(Table2[[#This Row],[Description]],$Q$1:$S$101,2,FALSE))</f>
        <v/>
      </c>
      <c r="H2691" s="1" t="str">
        <f>IF(Table2[[#This Row],[Description]]="","",VLOOKUP(Table2[[#This Row],[Description]],$Q$1:$S$101,3,FALSE))</f>
        <v/>
      </c>
      <c r="I2691" s="1" t="str">
        <f>IF(Table2[[#This Row],[Description]]="","",IF(Table2[[#This Row],[Currency]]=$O$2,$P$2,HLOOKUP(Table2[[#This Row],[Date]],Funds!$C$10:$GV$11,2,FALSE)))</f>
        <v/>
      </c>
      <c r="J2691" s="215" t="str">
        <f>IF(Table2[[#This Row],[Description]]="","",Table2[[#This Row],[Value]]/Table2[[#This Row],[Conversion]])</f>
        <v/>
      </c>
      <c r="K2691" s="45" t="str">
        <f>IF(Table2[[#This Row],[Description]]="","",DATE(Table2[[#This Row],[Year]],Table2[[#This Row],[Month]],1))</f>
        <v/>
      </c>
    </row>
    <row r="2692" spans="7:11" x14ac:dyDescent="0.25">
      <c r="G2692" s="1" t="str">
        <f>IF(Table2[[#This Row],[Description]]="","",VLOOKUP(Table2[[#This Row],[Description]],$Q$1:$S$101,2,FALSE))</f>
        <v/>
      </c>
      <c r="H2692" s="1" t="str">
        <f>IF(Table2[[#This Row],[Description]]="","",VLOOKUP(Table2[[#This Row],[Description]],$Q$1:$S$101,3,FALSE))</f>
        <v/>
      </c>
      <c r="I2692" s="1" t="str">
        <f>IF(Table2[[#This Row],[Description]]="","",IF(Table2[[#This Row],[Currency]]=$O$2,$P$2,HLOOKUP(Table2[[#This Row],[Date]],Funds!$C$10:$GV$11,2,FALSE)))</f>
        <v/>
      </c>
      <c r="J2692" s="215" t="str">
        <f>IF(Table2[[#This Row],[Description]]="","",Table2[[#This Row],[Value]]/Table2[[#This Row],[Conversion]])</f>
        <v/>
      </c>
      <c r="K2692" s="45" t="str">
        <f>IF(Table2[[#This Row],[Description]]="","",DATE(Table2[[#This Row],[Year]],Table2[[#This Row],[Month]],1))</f>
        <v/>
      </c>
    </row>
    <row r="2693" spans="7:11" x14ac:dyDescent="0.25">
      <c r="G2693" s="1" t="str">
        <f>IF(Table2[[#This Row],[Description]]="","",VLOOKUP(Table2[[#This Row],[Description]],$Q$1:$S$101,2,FALSE))</f>
        <v/>
      </c>
      <c r="H2693" s="1" t="str">
        <f>IF(Table2[[#This Row],[Description]]="","",VLOOKUP(Table2[[#This Row],[Description]],$Q$1:$S$101,3,FALSE))</f>
        <v/>
      </c>
      <c r="I2693" s="1" t="str">
        <f>IF(Table2[[#This Row],[Description]]="","",IF(Table2[[#This Row],[Currency]]=$O$2,$P$2,HLOOKUP(Table2[[#This Row],[Date]],Funds!$C$10:$GV$11,2,FALSE)))</f>
        <v/>
      </c>
      <c r="J2693" s="215" t="str">
        <f>IF(Table2[[#This Row],[Description]]="","",Table2[[#This Row],[Value]]/Table2[[#This Row],[Conversion]])</f>
        <v/>
      </c>
      <c r="K2693" s="45" t="str">
        <f>IF(Table2[[#This Row],[Description]]="","",DATE(Table2[[#This Row],[Year]],Table2[[#This Row],[Month]],1))</f>
        <v/>
      </c>
    </row>
    <row r="2694" spans="7:11" x14ac:dyDescent="0.25">
      <c r="G2694" s="1" t="str">
        <f>IF(Table2[[#This Row],[Description]]="","",VLOOKUP(Table2[[#This Row],[Description]],$Q$1:$S$101,2,FALSE))</f>
        <v/>
      </c>
      <c r="H2694" s="1" t="str">
        <f>IF(Table2[[#This Row],[Description]]="","",VLOOKUP(Table2[[#This Row],[Description]],$Q$1:$S$101,3,FALSE))</f>
        <v/>
      </c>
      <c r="I2694" s="1" t="str">
        <f>IF(Table2[[#This Row],[Description]]="","",IF(Table2[[#This Row],[Currency]]=$O$2,$P$2,HLOOKUP(Table2[[#This Row],[Date]],Funds!$C$10:$GV$11,2,FALSE)))</f>
        <v/>
      </c>
      <c r="J2694" s="215" t="str">
        <f>IF(Table2[[#This Row],[Description]]="","",Table2[[#This Row],[Value]]/Table2[[#This Row],[Conversion]])</f>
        <v/>
      </c>
      <c r="K2694" s="45" t="str">
        <f>IF(Table2[[#This Row],[Description]]="","",DATE(Table2[[#This Row],[Year]],Table2[[#This Row],[Month]],1))</f>
        <v/>
      </c>
    </row>
    <row r="2695" spans="7:11" x14ac:dyDescent="0.25">
      <c r="G2695" s="1" t="str">
        <f>IF(Table2[[#This Row],[Description]]="","",VLOOKUP(Table2[[#This Row],[Description]],$Q$1:$S$101,2,FALSE))</f>
        <v/>
      </c>
      <c r="H2695" s="1" t="str">
        <f>IF(Table2[[#This Row],[Description]]="","",VLOOKUP(Table2[[#This Row],[Description]],$Q$1:$S$101,3,FALSE))</f>
        <v/>
      </c>
      <c r="I2695" s="1" t="str">
        <f>IF(Table2[[#This Row],[Description]]="","",IF(Table2[[#This Row],[Currency]]=$O$2,$P$2,HLOOKUP(Table2[[#This Row],[Date]],Funds!$C$10:$GV$11,2,FALSE)))</f>
        <v/>
      </c>
      <c r="J2695" s="215" t="str">
        <f>IF(Table2[[#This Row],[Description]]="","",Table2[[#This Row],[Value]]/Table2[[#This Row],[Conversion]])</f>
        <v/>
      </c>
      <c r="K2695" s="45" t="str">
        <f>IF(Table2[[#This Row],[Description]]="","",DATE(Table2[[#This Row],[Year]],Table2[[#This Row],[Month]],1))</f>
        <v/>
      </c>
    </row>
    <row r="2696" spans="7:11" x14ac:dyDescent="0.25">
      <c r="G2696" s="1" t="str">
        <f>IF(Table2[[#This Row],[Description]]="","",VLOOKUP(Table2[[#This Row],[Description]],$Q$1:$S$101,2,FALSE))</f>
        <v/>
      </c>
      <c r="H2696" s="1" t="str">
        <f>IF(Table2[[#This Row],[Description]]="","",VLOOKUP(Table2[[#This Row],[Description]],$Q$1:$S$101,3,FALSE))</f>
        <v/>
      </c>
      <c r="I2696" s="1" t="str">
        <f>IF(Table2[[#This Row],[Description]]="","",IF(Table2[[#This Row],[Currency]]=$O$2,$P$2,HLOOKUP(Table2[[#This Row],[Date]],Funds!$C$10:$GV$11,2,FALSE)))</f>
        <v/>
      </c>
      <c r="J2696" s="215" t="str">
        <f>IF(Table2[[#This Row],[Description]]="","",Table2[[#This Row],[Value]]/Table2[[#This Row],[Conversion]])</f>
        <v/>
      </c>
      <c r="K2696" s="45" t="str">
        <f>IF(Table2[[#This Row],[Description]]="","",DATE(Table2[[#This Row],[Year]],Table2[[#This Row],[Month]],1))</f>
        <v/>
      </c>
    </row>
    <row r="2697" spans="7:11" x14ac:dyDescent="0.25">
      <c r="G2697" s="1" t="str">
        <f>IF(Table2[[#This Row],[Description]]="","",VLOOKUP(Table2[[#This Row],[Description]],$Q$1:$S$101,2,FALSE))</f>
        <v/>
      </c>
      <c r="H2697" s="1" t="str">
        <f>IF(Table2[[#This Row],[Description]]="","",VLOOKUP(Table2[[#This Row],[Description]],$Q$1:$S$101,3,FALSE))</f>
        <v/>
      </c>
      <c r="I2697" s="1" t="str">
        <f>IF(Table2[[#This Row],[Description]]="","",IF(Table2[[#This Row],[Currency]]=$O$2,$P$2,HLOOKUP(Table2[[#This Row],[Date]],Funds!$C$10:$GV$11,2,FALSE)))</f>
        <v/>
      </c>
      <c r="J2697" s="215" t="str">
        <f>IF(Table2[[#This Row],[Description]]="","",Table2[[#This Row],[Value]]/Table2[[#This Row],[Conversion]])</f>
        <v/>
      </c>
      <c r="K2697" s="45" t="str">
        <f>IF(Table2[[#This Row],[Description]]="","",DATE(Table2[[#This Row],[Year]],Table2[[#This Row],[Month]],1))</f>
        <v/>
      </c>
    </row>
    <row r="2698" spans="7:11" x14ac:dyDescent="0.25">
      <c r="G2698" s="1" t="str">
        <f>IF(Table2[[#This Row],[Description]]="","",VLOOKUP(Table2[[#This Row],[Description]],$Q$1:$S$101,2,FALSE))</f>
        <v/>
      </c>
      <c r="H2698" s="1" t="str">
        <f>IF(Table2[[#This Row],[Description]]="","",VLOOKUP(Table2[[#This Row],[Description]],$Q$1:$S$101,3,FALSE))</f>
        <v/>
      </c>
      <c r="I2698" s="1" t="str">
        <f>IF(Table2[[#This Row],[Description]]="","",IF(Table2[[#This Row],[Currency]]=$O$2,$P$2,HLOOKUP(Table2[[#This Row],[Date]],Funds!$C$10:$GV$11,2,FALSE)))</f>
        <v/>
      </c>
      <c r="J2698" s="215" t="str">
        <f>IF(Table2[[#This Row],[Description]]="","",Table2[[#This Row],[Value]]/Table2[[#This Row],[Conversion]])</f>
        <v/>
      </c>
      <c r="K2698" s="45" t="str">
        <f>IF(Table2[[#This Row],[Description]]="","",DATE(Table2[[#This Row],[Year]],Table2[[#This Row],[Month]],1))</f>
        <v/>
      </c>
    </row>
    <row r="2699" spans="7:11" x14ac:dyDescent="0.25">
      <c r="G2699" s="1" t="str">
        <f>IF(Table2[[#This Row],[Description]]="","",VLOOKUP(Table2[[#This Row],[Description]],$Q$1:$S$101,2,FALSE))</f>
        <v/>
      </c>
      <c r="H2699" s="1" t="str">
        <f>IF(Table2[[#This Row],[Description]]="","",VLOOKUP(Table2[[#This Row],[Description]],$Q$1:$S$101,3,FALSE))</f>
        <v/>
      </c>
      <c r="I2699" s="1" t="str">
        <f>IF(Table2[[#This Row],[Description]]="","",IF(Table2[[#This Row],[Currency]]=$O$2,$P$2,HLOOKUP(Table2[[#This Row],[Date]],Funds!$C$10:$GV$11,2,FALSE)))</f>
        <v/>
      </c>
      <c r="J2699" s="215" t="str">
        <f>IF(Table2[[#This Row],[Description]]="","",Table2[[#This Row],[Value]]/Table2[[#This Row],[Conversion]])</f>
        <v/>
      </c>
      <c r="K2699" s="45" t="str">
        <f>IF(Table2[[#This Row],[Description]]="","",DATE(Table2[[#This Row],[Year]],Table2[[#This Row],[Month]],1))</f>
        <v/>
      </c>
    </row>
    <row r="2700" spans="7:11" x14ac:dyDescent="0.25">
      <c r="G2700" s="1" t="str">
        <f>IF(Table2[[#This Row],[Description]]="","",VLOOKUP(Table2[[#This Row],[Description]],$Q$1:$S$101,2,FALSE))</f>
        <v/>
      </c>
      <c r="H2700" s="1" t="str">
        <f>IF(Table2[[#This Row],[Description]]="","",VLOOKUP(Table2[[#This Row],[Description]],$Q$1:$S$101,3,FALSE))</f>
        <v/>
      </c>
      <c r="I2700" s="1" t="str">
        <f>IF(Table2[[#This Row],[Description]]="","",IF(Table2[[#This Row],[Currency]]=$O$2,$P$2,HLOOKUP(Table2[[#This Row],[Date]],Funds!$C$10:$GV$11,2,FALSE)))</f>
        <v/>
      </c>
      <c r="J2700" s="215" t="str">
        <f>IF(Table2[[#This Row],[Description]]="","",Table2[[#This Row],[Value]]/Table2[[#This Row],[Conversion]])</f>
        <v/>
      </c>
      <c r="K2700" s="45" t="str">
        <f>IF(Table2[[#This Row],[Description]]="","",DATE(Table2[[#This Row],[Year]],Table2[[#This Row],[Month]],1))</f>
        <v/>
      </c>
    </row>
    <row r="2701" spans="7:11" x14ac:dyDescent="0.25">
      <c r="G2701" s="1" t="str">
        <f>IF(Table2[[#This Row],[Description]]="","",VLOOKUP(Table2[[#This Row],[Description]],$Q$1:$S$101,2,FALSE))</f>
        <v/>
      </c>
      <c r="H2701" s="1" t="str">
        <f>IF(Table2[[#This Row],[Description]]="","",VLOOKUP(Table2[[#This Row],[Description]],$Q$1:$S$101,3,FALSE))</f>
        <v/>
      </c>
      <c r="I2701" s="1" t="str">
        <f>IF(Table2[[#This Row],[Description]]="","",IF(Table2[[#This Row],[Currency]]=$O$2,$P$2,HLOOKUP(Table2[[#This Row],[Date]],Funds!$C$10:$GV$11,2,FALSE)))</f>
        <v/>
      </c>
      <c r="J2701" s="215" t="str">
        <f>IF(Table2[[#This Row],[Description]]="","",Table2[[#This Row],[Value]]/Table2[[#This Row],[Conversion]])</f>
        <v/>
      </c>
      <c r="K2701" s="45" t="str">
        <f>IF(Table2[[#This Row],[Description]]="","",DATE(Table2[[#This Row],[Year]],Table2[[#This Row],[Month]],1))</f>
        <v/>
      </c>
    </row>
    <row r="2702" spans="7:11" x14ac:dyDescent="0.25">
      <c r="G2702" s="1" t="str">
        <f>IF(Table2[[#This Row],[Description]]="","",VLOOKUP(Table2[[#This Row],[Description]],$Q$1:$S$101,2,FALSE))</f>
        <v/>
      </c>
      <c r="H2702" s="1" t="str">
        <f>IF(Table2[[#This Row],[Description]]="","",VLOOKUP(Table2[[#This Row],[Description]],$Q$1:$S$101,3,FALSE))</f>
        <v/>
      </c>
      <c r="I2702" s="1" t="str">
        <f>IF(Table2[[#This Row],[Description]]="","",IF(Table2[[#This Row],[Currency]]=$O$2,$P$2,HLOOKUP(Table2[[#This Row],[Date]],Funds!$C$10:$GV$11,2,FALSE)))</f>
        <v/>
      </c>
      <c r="J2702" s="215" t="str">
        <f>IF(Table2[[#This Row],[Description]]="","",Table2[[#This Row],[Value]]/Table2[[#This Row],[Conversion]])</f>
        <v/>
      </c>
      <c r="K2702" s="45" t="str">
        <f>IF(Table2[[#This Row],[Description]]="","",DATE(Table2[[#This Row],[Year]],Table2[[#This Row],[Month]],1))</f>
        <v/>
      </c>
    </row>
    <row r="2703" spans="7:11" x14ac:dyDescent="0.25">
      <c r="G2703" s="1" t="str">
        <f>IF(Table2[[#This Row],[Description]]="","",VLOOKUP(Table2[[#This Row],[Description]],$Q$1:$S$101,2,FALSE))</f>
        <v/>
      </c>
      <c r="H2703" s="1" t="str">
        <f>IF(Table2[[#This Row],[Description]]="","",VLOOKUP(Table2[[#This Row],[Description]],$Q$1:$S$101,3,FALSE))</f>
        <v/>
      </c>
      <c r="I2703" s="1" t="str">
        <f>IF(Table2[[#This Row],[Description]]="","",IF(Table2[[#This Row],[Currency]]=$O$2,$P$2,HLOOKUP(Table2[[#This Row],[Date]],Funds!$C$10:$GV$11,2,FALSE)))</f>
        <v/>
      </c>
      <c r="J2703" s="215" t="str">
        <f>IF(Table2[[#This Row],[Description]]="","",Table2[[#This Row],[Value]]/Table2[[#This Row],[Conversion]])</f>
        <v/>
      </c>
      <c r="K2703" s="45" t="str">
        <f>IF(Table2[[#This Row],[Description]]="","",DATE(Table2[[#This Row],[Year]],Table2[[#This Row],[Month]],1))</f>
        <v/>
      </c>
    </row>
    <row r="2704" spans="7:11" x14ac:dyDescent="0.25">
      <c r="G2704" s="1" t="str">
        <f>IF(Table2[[#This Row],[Description]]="","",VLOOKUP(Table2[[#This Row],[Description]],$Q$1:$S$101,2,FALSE))</f>
        <v/>
      </c>
      <c r="H2704" s="1" t="str">
        <f>IF(Table2[[#This Row],[Description]]="","",VLOOKUP(Table2[[#This Row],[Description]],$Q$1:$S$101,3,FALSE))</f>
        <v/>
      </c>
      <c r="I2704" s="1" t="str">
        <f>IF(Table2[[#This Row],[Description]]="","",IF(Table2[[#This Row],[Currency]]=$O$2,$P$2,HLOOKUP(Table2[[#This Row],[Date]],Funds!$C$10:$GV$11,2,FALSE)))</f>
        <v/>
      </c>
      <c r="J2704" s="215" t="str">
        <f>IF(Table2[[#This Row],[Description]]="","",Table2[[#This Row],[Value]]/Table2[[#This Row],[Conversion]])</f>
        <v/>
      </c>
      <c r="K2704" s="45" t="str">
        <f>IF(Table2[[#This Row],[Description]]="","",DATE(Table2[[#This Row],[Year]],Table2[[#This Row],[Month]],1))</f>
        <v/>
      </c>
    </row>
    <row r="2705" spans="7:11" x14ac:dyDescent="0.25">
      <c r="G2705" s="1" t="str">
        <f>IF(Table2[[#This Row],[Description]]="","",VLOOKUP(Table2[[#This Row],[Description]],$Q$1:$S$101,2,FALSE))</f>
        <v/>
      </c>
      <c r="H2705" s="1" t="str">
        <f>IF(Table2[[#This Row],[Description]]="","",VLOOKUP(Table2[[#This Row],[Description]],$Q$1:$S$101,3,FALSE))</f>
        <v/>
      </c>
      <c r="I2705" s="1" t="str">
        <f>IF(Table2[[#This Row],[Description]]="","",IF(Table2[[#This Row],[Currency]]=$O$2,$P$2,HLOOKUP(Table2[[#This Row],[Date]],Funds!$C$10:$GV$11,2,FALSE)))</f>
        <v/>
      </c>
      <c r="J2705" s="215" t="str">
        <f>IF(Table2[[#This Row],[Description]]="","",Table2[[#This Row],[Value]]/Table2[[#This Row],[Conversion]])</f>
        <v/>
      </c>
      <c r="K2705" s="45" t="str">
        <f>IF(Table2[[#This Row],[Description]]="","",DATE(Table2[[#This Row],[Year]],Table2[[#This Row],[Month]],1))</f>
        <v/>
      </c>
    </row>
    <row r="2706" spans="7:11" x14ac:dyDescent="0.25">
      <c r="G2706" s="1" t="str">
        <f>IF(Table2[[#This Row],[Description]]="","",VLOOKUP(Table2[[#This Row],[Description]],$Q$1:$S$101,2,FALSE))</f>
        <v/>
      </c>
      <c r="H2706" s="1" t="str">
        <f>IF(Table2[[#This Row],[Description]]="","",VLOOKUP(Table2[[#This Row],[Description]],$Q$1:$S$101,3,FALSE))</f>
        <v/>
      </c>
      <c r="I2706" s="1" t="str">
        <f>IF(Table2[[#This Row],[Description]]="","",IF(Table2[[#This Row],[Currency]]=$O$2,$P$2,HLOOKUP(Table2[[#This Row],[Date]],Funds!$C$10:$GV$11,2,FALSE)))</f>
        <v/>
      </c>
      <c r="J2706" s="215" t="str">
        <f>IF(Table2[[#This Row],[Description]]="","",Table2[[#This Row],[Value]]/Table2[[#This Row],[Conversion]])</f>
        <v/>
      </c>
      <c r="K2706" s="45" t="str">
        <f>IF(Table2[[#This Row],[Description]]="","",DATE(Table2[[#This Row],[Year]],Table2[[#This Row],[Month]],1))</f>
        <v/>
      </c>
    </row>
    <row r="2707" spans="7:11" x14ac:dyDescent="0.25">
      <c r="G2707" s="1" t="str">
        <f>IF(Table2[[#This Row],[Description]]="","",VLOOKUP(Table2[[#This Row],[Description]],$Q$1:$S$101,2,FALSE))</f>
        <v/>
      </c>
      <c r="H2707" s="1" t="str">
        <f>IF(Table2[[#This Row],[Description]]="","",VLOOKUP(Table2[[#This Row],[Description]],$Q$1:$S$101,3,FALSE))</f>
        <v/>
      </c>
      <c r="I2707" s="1" t="str">
        <f>IF(Table2[[#This Row],[Description]]="","",IF(Table2[[#This Row],[Currency]]=$O$2,$P$2,HLOOKUP(Table2[[#This Row],[Date]],Funds!$C$10:$GV$11,2,FALSE)))</f>
        <v/>
      </c>
      <c r="J2707" s="215" t="str">
        <f>IF(Table2[[#This Row],[Description]]="","",Table2[[#This Row],[Value]]/Table2[[#This Row],[Conversion]])</f>
        <v/>
      </c>
      <c r="K2707" s="45" t="str">
        <f>IF(Table2[[#This Row],[Description]]="","",DATE(Table2[[#This Row],[Year]],Table2[[#This Row],[Month]],1))</f>
        <v/>
      </c>
    </row>
    <row r="2708" spans="7:11" x14ac:dyDescent="0.25">
      <c r="G2708" s="1" t="str">
        <f>IF(Table2[[#This Row],[Description]]="","",VLOOKUP(Table2[[#This Row],[Description]],$Q$1:$S$101,2,FALSE))</f>
        <v/>
      </c>
      <c r="H2708" s="1" t="str">
        <f>IF(Table2[[#This Row],[Description]]="","",VLOOKUP(Table2[[#This Row],[Description]],$Q$1:$S$101,3,FALSE))</f>
        <v/>
      </c>
      <c r="I2708" s="1" t="str">
        <f>IF(Table2[[#This Row],[Description]]="","",IF(Table2[[#This Row],[Currency]]=$O$2,$P$2,HLOOKUP(Table2[[#This Row],[Date]],Funds!$C$10:$GV$11,2,FALSE)))</f>
        <v/>
      </c>
      <c r="J2708" s="215" t="str">
        <f>IF(Table2[[#This Row],[Description]]="","",Table2[[#This Row],[Value]]/Table2[[#This Row],[Conversion]])</f>
        <v/>
      </c>
      <c r="K2708" s="45" t="str">
        <f>IF(Table2[[#This Row],[Description]]="","",DATE(Table2[[#This Row],[Year]],Table2[[#This Row],[Month]],1))</f>
        <v/>
      </c>
    </row>
    <row r="2709" spans="7:11" x14ac:dyDescent="0.25">
      <c r="G2709" s="1" t="str">
        <f>IF(Table2[[#This Row],[Description]]="","",VLOOKUP(Table2[[#This Row],[Description]],$Q$1:$S$101,2,FALSE))</f>
        <v/>
      </c>
      <c r="H2709" s="1" t="str">
        <f>IF(Table2[[#This Row],[Description]]="","",VLOOKUP(Table2[[#This Row],[Description]],$Q$1:$S$101,3,FALSE))</f>
        <v/>
      </c>
      <c r="I2709" s="1" t="str">
        <f>IF(Table2[[#This Row],[Description]]="","",IF(Table2[[#This Row],[Currency]]=$O$2,$P$2,HLOOKUP(Table2[[#This Row],[Date]],Funds!$C$10:$GV$11,2,FALSE)))</f>
        <v/>
      </c>
      <c r="J2709" s="215" t="str">
        <f>IF(Table2[[#This Row],[Description]]="","",Table2[[#This Row],[Value]]/Table2[[#This Row],[Conversion]])</f>
        <v/>
      </c>
      <c r="K2709" s="45" t="str">
        <f>IF(Table2[[#This Row],[Description]]="","",DATE(Table2[[#This Row],[Year]],Table2[[#This Row],[Month]],1))</f>
        <v/>
      </c>
    </row>
    <row r="2710" spans="7:11" x14ac:dyDescent="0.25">
      <c r="G2710" s="1" t="str">
        <f>IF(Table2[[#This Row],[Description]]="","",VLOOKUP(Table2[[#This Row],[Description]],$Q$1:$S$101,2,FALSE))</f>
        <v/>
      </c>
      <c r="H2710" s="1" t="str">
        <f>IF(Table2[[#This Row],[Description]]="","",VLOOKUP(Table2[[#This Row],[Description]],$Q$1:$S$101,3,FALSE))</f>
        <v/>
      </c>
      <c r="I2710" s="1" t="str">
        <f>IF(Table2[[#This Row],[Description]]="","",IF(Table2[[#This Row],[Currency]]=$O$2,$P$2,HLOOKUP(Table2[[#This Row],[Date]],Funds!$C$10:$GV$11,2,FALSE)))</f>
        <v/>
      </c>
      <c r="J2710" s="215" t="str">
        <f>IF(Table2[[#This Row],[Description]]="","",Table2[[#This Row],[Value]]/Table2[[#This Row],[Conversion]])</f>
        <v/>
      </c>
      <c r="K2710" s="45" t="str">
        <f>IF(Table2[[#This Row],[Description]]="","",DATE(Table2[[#This Row],[Year]],Table2[[#This Row],[Month]],1))</f>
        <v/>
      </c>
    </row>
    <row r="2711" spans="7:11" x14ac:dyDescent="0.25">
      <c r="G2711" s="1" t="str">
        <f>IF(Table2[[#This Row],[Description]]="","",VLOOKUP(Table2[[#This Row],[Description]],$Q$1:$S$101,2,FALSE))</f>
        <v/>
      </c>
      <c r="H2711" s="1" t="str">
        <f>IF(Table2[[#This Row],[Description]]="","",VLOOKUP(Table2[[#This Row],[Description]],$Q$1:$S$101,3,FALSE))</f>
        <v/>
      </c>
      <c r="I2711" s="1" t="str">
        <f>IF(Table2[[#This Row],[Description]]="","",IF(Table2[[#This Row],[Currency]]=$O$2,$P$2,HLOOKUP(Table2[[#This Row],[Date]],Funds!$C$10:$GV$11,2,FALSE)))</f>
        <v/>
      </c>
      <c r="J2711" s="215" t="str">
        <f>IF(Table2[[#This Row],[Description]]="","",Table2[[#This Row],[Value]]/Table2[[#This Row],[Conversion]])</f>
        <v/>
      </c>
      <c r="K2711" s="45" t="str">
        <f>IF(Table2[[#This Row],[Description]]="","",DATE(Table2[[#This Row],[Year]],Table2[[#This Row],[Month]],1))</f>
        <v/>
      </c>
    </row>
    <row r="2712" spans="7:11" x14ac:dyDescent="0.25">
      <c r="G2712" s="1" t="str">
        <f>IF(Table2[[#This Row],[Description]]="","",VLOOKUP(Table2[[#This Row],[Description]],$Q$1:$S$101,2,FALSE))</f>
        <v/>
      </c>
      <c r="H2712" s="1" t="str">
        <f>IF(Table2[[#This Row],[Description]]="","",VLOOKUP(Table2[[#This Row],[Description]],$Q$1:$S$101,3,FALSE))</f>
        <v/>
      </c>
      <c r="I2712" s="1" t="str">
        <f>IF(Table2[[#This Row],[Description]]="","",IF(Table2[[#This Row],[Currency]]=$O$2,$P$2,HLOOKUP(Table2[[#This Row],[Date]],Funds!$C$10:$GV$11,2,FALSE)))</f>
        <v/>
      </c>
      <c r="J2712" s="215" t="str">
        <f>IF(Table2[[#This Row],[Description]]="","",Table2[[#This Row],[Value]]/Table2[[#This Row],[Conversion]])</f>
        <v/>
      </c>
      <c r="K2712" s="45" t="str">
        <f>IF(Table2[[#This Row],[Description]]="","",DATE(Table2[[#This Row],[Year]],Table2[[#This Row],[Month]],1))</f>
        <v/>
      </c>
    </row>
    <row r="2713" spans="7:11" x14ac:dyDescent="0.25">
      <c r="G2713" s="1" t="str">
        <f>IF(Table2[[#This Row],[Description]]="","",VLOOKUP(Table2[[#This Row],[Description]],$Q$1:$S$101,2,FALSE))</f>
        <v/>
      </c>
      <c r="H2713" s="1" t="str">
        <f>IF(Table2[[#This Row],[Description]]="","",VLOOKUP(Table2[[#This Row],[Description]],$Q$1:$S$101,3,FALSE))</f>
        <v/>
      </c>
      <c r="I2713" s="1" t="str">
        <f>IF(Table2[[#This Row],[Description]]="","",IF(Table2[[#This Row],[Currency]]=$O$2,$P$2,HLOOKUP(Table2[[#This Row],[Date]],Funds!$C$10:$GV$11,2,FALSE)))</f>
        <v/>
      </c>
      <c r="J2713" s="215" t="str">
        <f>IF(Table2[[#This Row],[Description]]="","",Table2[[#This Row],[Value]]/Table2[[#This Row],[Conversion]])</f>
        <v/>
      </c>
      <c r="K2713" s="45" t="str">
        <f>IF(Table2[[#This Row],[Description]]="","",DATE(Table2[[#This Row],[Year]],Table2[[#This Row],[Month]],1))</f>
        <v/>
      </c>
    </row>
    <row r="2714" spans="7:11" x14ac:dyDescent="0.25">
      <c r="G2714" s="1" t="str">
        <f>IF(Table2[[#This Row],[Description]]="","",VLOOKUP(Table2[[#This Row],[Description]],$Q$1:$S$101,2,FALSE))</f>
        <v/>
      </c>
      <c r="H2714" s="1" t="str">
        <f>IF(Table2[[#This Row],[Description]]="","",VLOOKUP(Table2[[#This Row],[Description]],$Q$1:$S$101,3,FALSE))</f>
        <v/>
      </c>
      <c r="I2714" s="1" t="str">
        <f>IF(Table2[[#This Row],[Description]]="","",IF(Table2[[#This Row],[Currency]]=$O$2,$P$2,HLOOKUP(Table2[[#This Row],[Date]],Funds!$C$10:$GV$11,2,FALSE)))</f>
        <v/>
      </c>
      <c r="J2714" s="215" t="str">
        <f>IF(Table2[[#This Row],[Description]]="","",Table2[[#This Row],[Value]]/Table2[[#This Row],[Conversion]])</f>
        <v/>
      </c>
      <c r="K2714" s="45" t="str">
        <f>IF(Table2[[#This Row],[Description]]="","",DATE(Table2[[#This Row],[Year]],Table2[[#This Row],[Month]],1))</f>
        <v/>
      </c>
    </row>
    <row r="2715" spans="7:11" x14ac:dyDescent="0.25">
      <c r="G2715" s="1" t="str">
        <f>IF(Table2[[#This Row],[Description]]="","",VLOOKUP(Table2[[#This Row],[Description]],$Q$1:$S$101,2,FALSE))</f>
        <v/>
      </c>
      <c r="H2715" s="1" t="str">
        <f>IF(Table2[[#This Row],[Description]]="","",VLOOKUP(Table2[[#This Row],[Description]],$Q$1:$S$101,3,FALSE))</f>
        <v/>
      </c>
      <c r="I2715" s="1" t="str">
        <f>IF(Table2[[#This Row],[Description]]="","",IF(Table2[[#This Row],[Currency]]=$O$2,$P$2,HLOOKUP(Table2[[#This Row],[Date]],Funds!$C$10:$GV$11,2,FALSE)))</f>
        <v/>
      </c>
      <c r="J2715" s="215" t="str">
        <f>IF(Table2[[#This Row],[Description]]="","",Table2[[#This Row],[Value]]/Table2[[#This Row],[Conversion]])</f>
        <v/>
      </c>
      <c r="K2715" s="45" t="str">
        <f>IF(Table2[[#This Row],[Description]]="","",DATE(Table2[[#This Row],[Year]],Table2[[#This Row],[Month]],1))</f>
        <v/>
      </c>
    </row>
    <row r="2716" spans="7:11" x14ac:dyDescent="0.25">
      <c r="G2716" s="1" t="str">
        <f>IF(Table2[[#This Row],[Description]]="","",VLOOKUP(Table2[[#This Row],[Description]],$Q$1:$S$101,2,FALSE))</f>
        <v/>
      </c>
      <c r="H2716" s="1" t="str">
        <f>IF(Table2[[#This Row],[Description]]="","",VLOOKUP(Table2[[#This Row],[Description]],$Q$1:$S$101,3,FALSE))</f>
        <v/>
      </c>
      <c r="I2716" s="1" t="str">
        <f>IF(Table2[[#This Row],[Description]]="","",IF(Table2[[#This Row],[Currency]]=$O$2,$P$2,HLOOKUP(Table2[[#This Row],[Date]],Funds!$C$10:$GV$11,2,FALSE)))</f>
        <v/>
      </c>
      <c r="J2716" s="215" t="str">
        <f>IF(Table2[[#This Row],[Description]]="","",Table2[[#This Row],[Value]]/Table2[[#This Row],[Conversion]])</f>
        <v/>
      </c>
      <c r="K2716" s="45" t="str">
        <f>IF(Table2[[#This Row],[Description]]="","",DATE(Table2[[#This Row],[Year]],Table2[[#This Row],[Month]],1))</f>
        <v/>
      </c>
    </row>
    <row r="2717" spans="7:11" x14ac:dyDescent="0.25">
      <c r="G2717" s="1" t="str">
        <f>IF(Table2[[#This Row],[Description]]="","",VLOOKUP(Table2[[#This Row],[Description]],$Q$1:$S$101,2,FALSE))</f>
        <v/>
      </c>
      <c r="H2717" s="1" t="str">
        <f>IF(Table2[[#This Row],[Description]]="","",VLOOKUP(Table2[[#This Row],[Description]],$Q$1:$S$101,3,FALSE))</f>
        <v/>
      </c>
      <c r="I2717" s="1" t="str">
        <f>IF(Table2[[#This Row],[Description]]="","",IF(Table2[[#This Row],[Currency]]=$O$2,$P$2,HLOOKUP(Table2[[#This Row],[Date]],Funds!$C$10:$GV$11,2,FALSE)))</f>
        <v/>
      </c>
      <c r="J2717" s="215" t="str">
        <f>IF(Table2[[#This Row],[Description]]="","",Table2[[#This Row],[Value]]/Table2[[#This Row],[Conversion]])</f>
        <v/>
      </c>
      <c r="K2717" s="45" t="str">
        <f>IF(Table2[[#This Row],[Description]]="","",DATE(Table2[[#This Row],[Year]],Table2[[#This Row],[Month]],1))</f>
        <v/>
      </c>
    </row>
    <row r="2718" spans="7:11" x14ac:dyDescent="0.25">
      <c r="G2718" s="1" t="str">
        <f>IF(Table2[[#This Row],[Description]]="","",VLOOKUP(Table2[[#This Row],[Description]],$Q$1:$S$101,2,FALSE))</f>
        <v/>
      </c>
      <c r="H2718" s="1" t="str">
        <f>IF(Table2[[#This Row],[Description]]="","",VLOOKUP(Table2[[#This Row],[Description]],$Q$1:$S$101,3,FALSE))</f>
        <v/>
      </c>
      <c r="I2718" s="1" t="str">
        <f>IF(Table2[[#This Row],[Description]]="","",IF(Table2[[#This Row],[Currency]]=$O$2,$P$2,HLOOKUP(Table2[[#This Row],[Date]],Funds!$C$10:$GV$11,2,FALSE)))</f>
        <v/>
      </c>
      <c r="J2718" s="215" t="str">
        <f>IF(Table2[[#This Row],[Description]]="","",Table2[[#This Row],[Value]]/Table2[[#This Row],[Conversion]])</f>
        <v/>
      </c>
      <c r="K2718" s="45" t="str">
        <f>IF(Table2[[#This Row],[Description]]="","",DATE(Table2[[#This Row],[Year]],Table2[[#This Row],[Month]],1))</f>
        <v/>
      </c>
    </row>
    <row r="2719" spans="7:11" x14ac:dyDescent="0.25">
      <c r="G2719" s="1" t="str">
        <f>IF(Table2[[#This Row],[Description]]="","",VLOOKUP(Table2[[#This Row],[Description]],$Q$1:$S$101,2,FALSE))</f>
        <v/>
      </c>
      <c r="H2719" s="1" t="str">
        <f>IF(Table2[[#This Row],[Description]]="","",VLOOKUP(Table2[[#This Row],[Description]],$Q$1:$S$101,3,FALSE))</f>
        <v/>
      </c>
      <c r="I2719" s="1" t="str">
        <f>IF(Table2[[#This Row],[Description]]="","",IF(Table2[[#This Row],[Currency]]=$O$2,$P$2,HLOOKUP(Table2[[#This Row],[Date]],Funds!$C$10:$GV$11,2,FALSE)))</f>
        <v/>
      </c>
      <c r="J2719" s="215" t="str">
        <f>IF(Table2[[#This Row],[Description]]="","",Table2[[#This Row],[Value]]/Table2[[#This Row],[Conversion]])</f>
        <v/>
      </c>
      <c r="K2719" s="45" t="str">
        <f>IF(Table2[[#This Row],[Description]]="","",DATE(Table2[[#This Row],[Year]],Table2[[#This Row],[Month]],1))</f>
        <v/>
      </c>
    </row>
    <row r="2720" spans="7:11" x14ac:dyDescent="0.25">
      <c r="G2720" s="1" t="str">
        <f>IF(Table2[[#This Row],[Description]]="","",VLOOKUP(Table2[[#This Row],[Description]],$Q$1:$S$101,2,FALSE))</f>
        <v/>
      </c>
      <c r="H2720" s="1" t="str">
        <f>IF(Table2[[#This Row],[Description]]="","",VLOOKUP(Table2[[#This Row],[Description]],$Q$1:$S$101,3,FALSE))</f>
        <v/>
      </c>
      <c r="I2720" s="1" t="str">
        <f>IF(Table2[[#This Row],[Description]]="","",IF(Table2[[#This Row],[Currency]]=$O$2,$P$2,HLOOKUP(Table2[[#This Row],[Date]],Funds!$C$10:$GV$11,2,FALSE)))</f>
        <v/>
      </c>
      <c r="J2720" s="215" t="str">
        <f>IF(Table2[[#This Row],[Description]]="","",Table2[[#This Row],[Value]]/Table2[[#This Row],[Conversion]])</f>
        <v/>
      </c>
      <c r="K2720" s="45" t="str">
        <f>IF(Table2[[#This Row],[Description]]="","",DATE(Table2[[#This Row],[Year]],Table2[[#This Row],[Month]],1))</f>
        <v/>
      </c>
    </row>
    <row r="2721" spans="7:11" x14ac:dyDescent="0.25">
      <c r="G2721" s="1" t="str">
        <f>IF(Table2[[#This Row],[Description]]="","",VLOOKUP(Table2[[#This Row],[Description]],$Q$1:$S$101,2,FALSE))</f>
        <v/>
      </c>
      <c r="H2721" s="1" t="str">
        <f>IF(Table2[[#This Row],[Description]]="","",VLOOKUP(Table2[[#This Row],[Description]],$Q$1:$S$101,3,FALSE))</f>
        <v/>
      </c>
      <c r="I2721" s="1" t="str">
        <f>IF(Table2[[#This Row],[Description]]="","",IF(Table2[[#This Row],[Currency]]=$O$2,$P$2,HLOOKUP(Table2[[#This Row],[Date]],Funds!$C$10:$GV$11,2,FALSE)))</f>
        <v/>
      </c>
      <c r="J2721" s="215" t="str">
        <f>IF(Table2[[#This Row],[Description]]="","",Table2[[#This Row],[Value]]/Table2[[#This Row],[Conversion]])</f>
        <v/>
      </c>
      <c r="K2721" s="45" t="str">
        <f>IF(Table2[[#This Row],[Description]]="","",DATE(Table2[[#This Row],[Year]],Table2[[#This Row],[Month]],1))</f>
        <v/>
      </c>
    </row>
    <row r="2722" spans="7:11" x14ac:dyDescent="0.25">
      <c r="G2722" s="1" t="str">
        <f>IF(Table2[[#This Row],[Description]]="","",VLOOKUP(Table2[[#This Row],[Description]],$Q$1:$S$101,2,FALSE))</f>
        <v/>
      </c>
      <c r="H2722" s="1" t="str">
        <f>IF(Table2[[#This Row],[Description]]="","",VLOOKUP(Table2[[#This Row],[Description]],$Q$1:$S$101,3,FALSE))</f>
        <v/>
      </c>
      <c r="I2722" s="1" t="str">
        <f>IF(Table2[[#This Row],[Description]]="","",IF(Table2[[#This Row],[Currency]]=$O$2,$P$2,HLOOKUP(Table2[[#This Row],[Date]],Funds!$C$10:$GV$11,2,FALSE)))</f>
        <v/>
      </c>
      <c r="J2722" s="215" t="str">
        <f>IF(Table2[[#This Row],[Description]]="","",Table2[[#This Row],[Value]]/Table2[[#This Row],[Conversion]])</f>
        <v/>
      </c>
      <c r="K2722" s="45" t="str">
        <f>IF(Table2[[#This Row],[Description]]="","",DATE(Table2[[#This Row],[Year]],Table2[[#This Row],[Month]],1))</f>
        <v/>
      </c>
    </row>
    <row r="2723" spans="7:11" x14ac:dyDescent="0.25">
      <c r="G2723" s="1" t="str">
        <f>IF(Table2[[#This Row],[Description]]="","",VLOOKUP(Table2[[#This Row],[Description]],$Q$1:$S$101,2,FALSE))</f>
        <v/>
      </c>
      <c r="H2723" s="1" t="str">
        <f>IF(Table2[[#This Row],[Description]]="","",VLOOKUP(Table2[[#This Row],[Description]],$Q$1:$S$101,3,FALSE))</f>
        <v/>
      </c>
      <c r="I2723" s="1" t="str">
        <f>IF(Table2[[#This Row],[Description]]="","",IF(Table2[[#This Row],[Currency]]=$O$2,$P$2,HLOOKUP(Table2[[#This Row],[Date]],Funds!$C$10:$GV$11,2,FALSE)))</f>
        <v/>
      </c>
      <c r="J2723" s="215" t="str">
        <f>IF(Table2[[#This Row],[Description]]="","",Table2[[#This Row],[Value]]/Table2[[#This Row],[Conversion]])</f>
        <v/>
      </c>
      <c r="K2723" s="45" t="str">
        <f>IF(Table2[[#This Row],[Description]]="","",DATE(Table2[[#This Row],[Year]],Table2[[#This Row],[Month]],1))</f>
        <v/>
      </c>
    </row>
    <row r="2724" spans="7:11" x14ac:dyDescent="0.25">
      <c r="G2724" s="1" t="str">
        <f>IF(Table2[[#This Row],[Description]]="","",VLOOKUP(Table2[[#This Row],[Description]],$Q$1:$S$101,2,FALSE))</f>
        <v/>
      </c>
      <c r="H2724" s="1" t="str">
        <f>IF(Table2[[#This Row],[Description]]="","",VLOOKUP(Table2[[#This Row],[Description]],$Q$1:$S$101,3,FALSE))</f>
        <v/>
      </c>
      <c r="I2724" s="1" t="str">
        <f>IF(Table2[[#This Row],[Description]]="","",IF(Table2[[#This Row],[Currency]]=$O$2,$P$2,HLOOKUP(Table2[[#This Row],[Date]],Funds!$C$10:$GV$11,2,FALSE)))</f>
        <v/>
      </c>
      <c r="J2724" s="215" t="str">
        <f>IF(Table2[[#This Row],[Description]]="","",Table2[[#This Row],[Value]]/Table2[[#This Row],[Conversion]])</f>
        <v/>
      </c>
      <c r="K2724" s="45" t="str">
        <f>IF(Table2[[#This Row],[Description]]="","",DATE(Table2[[#This Row],[Year]],Table2[[#This Row],[Month]],1))</f>
        <v/>
      </c>
    </row>
    <row r="2725" spans="7:11" x14ac:dyDescent="0.25">
      <c r="G2725" s="1" t="str">
        <f>IF(Table2[[#This Row],[Description]]="","",VLOOKUP(Table2[[#This Row],[Description]],$Q$1:$S$101,2,FALSE))</f>
        <v/>
      </c>
      <c r="H2725" s="1" t="str">
        <f>IF(Table2[[#This Row],[Description]]="","",VLOOKUP(Table2[[#This Row],[Description]],$Q$1:$S$101,3,FALSE))</f>
        <v/>
      </c>
      <c r="I2725" s="1" t="str">
        <f>IF(Table2[[#This Row],[Description]]="","",IF(Table2[[#This Row],[Currency]]=$O$2,$P$2,HLOOKUP(Table2[[#This Row],[Date]],Funds!$C$10:$GV$11,2,FALSE)))</f>
        <v/>
      </c>
      <c r="J2725" s="215" t="str">
        <f>IF(Table2[[#This Row],[Description]]="","",Table2[[#This Row],[Value]]/Table2[[#This Row],[Conversion]])</f>
        <v/>
      </c>
      <c r="K2725" s="45" t="str">
        <f>IF(Table2[[#This Row],[Description]]="","",DATE(Table2[[#This Row],[Year]],Table2[[#This Row],[Month]],1))</f>
        <v/>
      </c>
    </row>
    <row r="2726" spans="7:11" x14ac:dyDescent="0.25">
      <c r="G2726" s="1" t="str">
        <f>IF(Table2[[#This Row],[Description]]="","",VLOOKUP(Table2[[#This Row],[Description]],$Q$1:$S$101,2,FALSE))</f>
        <v/>
      </c>
      <c r="H2726" s="1" t="str">
        <f>IF(Table2[[#This Row],[Description]]="","",VLOOKUP(Table2[[#This Row],[Description]],$Q$1:$S$101,3,FALSE))</f>
        <v/>
      </c>
      <c r="I2726" s="1" t="str">
        <f>IF(Table2[[#This Row],[Description]]="","",IF(Table2[[#This Row],[Currency]]=$O$2,$P$2,HLOOKUP(Table2[[#This Row],[Date]],Funds!$C$10:$GV$11,2,FALSE)))</f>
        <v/>
      </c>
      <c r="J2726" s="215" t="str">
        <f>IF(Table2[[#This Row],[Description]]="","",Table2[[#This Row],[Value]]/Table2[[#This Row],[Conversion]])</f>
        <v/>
      </c>
      <c r="K2726" s="45" t="str">
        <f>IF(Table2[[#This Row],[Description]]="","",DATE(Table2[[#This Row],[Year]],Table2[[#This Row],[Month]],1))</f>
        <v/>
      </c>
    </row>
    <row r="2727" spans="7:11" x14ac:dyDescent="0.25">
      <c r="G2727" s="1" t="str">
        <f>IF(Table2[[#This Row],[Description]]="","",VLOOKUP(Table2[[#This Row],[Description]],$Q$1:$S$101,2,FALSE))</f>
        <v/>
      </c>
      <c r="H2727" s="1" t="str">
        <f>IF(Table2[[#This Row],[Description]]="","",VLOOKUP(Table2[[#This Row],[Description]],$Q$1:$S$101,3,FALSE))</f>
        <v/>
      </c>
      <c r="I2727" s="1" t="str">
        <f>IF(Table2[[#This Row],[Description]]="","",IF(Table2[[#This Row],[Currency]]=$O$2,$P$2,HLOOKUP(Table2[[#This Row],[Date]],Funds!$C$10:$GV$11,2,FALSE)))</f>
        <v/>
      </c>
      <c r="J2727" s="215" t="str">
        <f>IF(Table2[[#This Row],[Description]]="","",Table2[[#This Row],[Value]]/Table2[[#This Row],[Conversion]])</f>
        <v/>
      </c>
      <c r="K2727" s="45" t="str">
        <f>IF(Table2[[#This Row],[Description]]="","",DATE(Table2[[#This Row],[Year]],Table2[[#This Row],[Month]],1))</f>
        <v/>
      </c>
    </row>
    <row r="2728" spans="7:11" x14ac:dyDescent="0.25">
      <c r="G2728" s="1" t="str">
        <f>IF(Table2[[#This Row],[Description]]="","",VLOOKUP(Table2[[#This Row],[Description]],$Q$1:$S$101,2,FALSE))</f>
        <v/>
      </c>
      <c r="H2728" s="1" t="str">
        <f>IF(Table2[[#This Row],[Description]]="","",VLOOKUP(Table2[[#This Row],[Description]],$Q$1:$S$101,3,FALSE))</f>
        <v/>
      </c>
      <c r="I2728" s="1" t="str">
        <f>IF(Table2[[#This Row],[Description]]="","",IF(Table2[[#This Row],[Currency]]=$O$2,$P$2,HLOOKUP(Table2[[#This Row],[Date]],Funds!$C$10:$GV$11,2,FALSE)))</f>
        <v/>
      </c>
      <c r="J2728" s="215" t="str">
        <f>IF(Table2[[#This Row],[Description]]="","",Table2[[#This Row],[Value]]/Table2[[#This Row],[Conversion]])</f>
        <v/>
      </c>
      <c r="K2728" s="45" t="str">
        <f>IF(Table2[[#This Row],[Description]]="","",DATE(Table2[[#This Row],[Year]],Table2[[#This Row],[Month]],1))</f>
        <v/>
      </c>
    </row>
    <row r="2729" spans="7:11" x14ac:dyDescent="0.25">
      <c r="G2729" s="1" t="str">
        <f>IF(Table2[[#This Row],[Description]]="","",VLOOKUP(Table2[[#This Row],[Description]],$Q$1:$S$101,2,FALSE))</f>
        <v/>
      </c>
      <c r="H2729" s="1" t="str">
        <f>IF(Table2[[#This Row],[Description]]="","",VLOOKUP(Table2[[#This Row],[Description]],$Q$1:$S$101,3,FALSE))</f>
        <v/>
      </c>
      <c r="I2729" s="1" t="str">
        <f>IF(Table2[[#This Row],[Description]]="","",IF(Table2[[#This Row],[Currency]]=$O$2,$P$2,HLOOKUP(Table2[[#This Row],[Date]],Funds!$C$10:$GV$11,2,FALSE)))</f>
        <v/>
      </c>
      <c r="J2729" s="215" t="str">
        <f>IF(Table2[[#This Row],[Description]]="","",Table2[[#This Row],[Value]]/Table2[[#This Row],[Conversion]])</f>
        <v/>
      </c>
      <c r="K2729" s="45" t="str">
        <f>IF(Table2[[#This Row],[Description]]="","",DATE(Table2[[#This Row],[Year]],Table2[[#This Row],[Month]],1))</f>
        <v/>
      </c>
    </row>
    <row r="2730" spans="7:11" x14ac:dyDescent="0.25">
      <c r="G2730" s="1" t="str">
        <f>IF(Table2[[#This Row],[Description]]="","",VLOOKUP(Table2[[#This Row],[Description]],$Q$1:$S$101,2,FALSE))</f>
        <v/>
      </c>
      <c r="H2730" s="1" t="str">
        <f>IF(Table2[[#This Row],[Description]]="","",VLOOKUP(Table2[[#This Row],[Description]],$Q$1:$S$101,3,FALSE))</f>
        <v/>
      </c>
      <c r="I2730" s="1" t="str">
        <f>IF(Table2[[#This Row],[Description]]="","",IF(Table2[[#This Row],[Currency]]=$O$2,$P$2,HLOOKUP(Table2[[#This Row],[Date]],Funds!$C$10:$GV$11,2,FALSE)))</f>
        <v/>
      </c>
      <c r="J2730" s="215" t="str">
        <f>IF(Table2[[#This Row],[Description]]="","",Table2[[#This Row],[Value]]/Table2[[#This Row],[Conversion]])</f>
        <v/>
      </c>
      <c r="K2730" s="45" t="str">
        <f>IF(Table2[[#This Row],[Description]]="","",DATE(Table2[[#This Row],[Year]],Table2[[#This Row],[Month]],1))</f>
        <v/>
      </c>
    </row>
    <row r="2731" spans="7:11" x14ac:dyDescent="0.25">
      <c r="G2731" s="1" t="str">
        <f>IF(Table2[[#This Row],[Description]]="","",VLOOKUP(Table2[[#This Row],[Description]],$Q$1:$S$101,2,FALSE))</f>
        <v/>
      </c>
      <c r="H2731" s="1" t="str">
        <f>IF(Table2[[#This Row],[Description]]="","",VLOOKUP(Table2[[#This Row],[Description]],$Q$1:$S$101,3,FALSE))</f>
        <v/>
      </c>
      <c r="I2731" s="1" t="str">
        <f>IF(Table2[[#This Row],[Description]]="","",IF(Table2[[#This Row],[Currency]]=$O$2,$P$2,HLOOKUP(Table2[[#This Row],[Date]],Funds!$C$10:$GV$11,2,FALSE)))</f>
        <v/>
      </c>
      <c r="J2731" s="215" t="str">
        <f>IF(Table2[[#This Row],[Description]]="","",Table2[[#This Row],[Value]]/Table2[[#This Row],[Conversion]])</f>
        <v/>
      </c>
      <c r="K2731" s="45" t="str">
        <f>IF(Table2[[#This Row],[Description]]="","",DATE(Table2[[#This Row],[Year]],Table2[[#This Row],[Month]],1))</f>
        <v/>
      </c>
    </row>
    <row r="2732" spans="7:11" x14ac:dyDescent="0.25">
      <c r="G2732" s="1" t="str">
        <f>IF(Table2[[#This Row],[Description]]="","",VLOOKUP(Table2[[#This Row],[Description]],$Q$1:$S$101,2,FALSE))</f>
        <v/>
      </c>
      <c r="H2732" s="1" t="str">
        <f>IF(Table2[[#This Row],[Description]]="","",VLOOKUP(Table2[[#This Row],[Description]],$Q$1:$S$101,3,FALSE))</f>
        <v/>
      </c>
      <c r="I2732" s="1" t="str">
        <f>IF(Table2[[#This Row],[Description]]="","",IF(Table2[[#This Row],[Currency]]=$O$2,$P$2,HLOOKUP(Table2[[#This Row],[Date]],Funds!$C$10:$GV$11,2,FALSE)))</f>
        <v/>
      </c>
      <c r="J2732" s="215" t="str">
        <f>IF(Table2[[#This Row],[Description]]="","",Table2[[#This Row],[Value]]/Table2[[#This Row],[Conversion]])</f>
        <v/>
      </c>
      <c r="K2732" s="45" t="str">
        <f>IF(Table2[[#This Row],[Description]]="","",DATE(Table2[[#This Row],[Year]],Table2[[#This Row],[Month]],1))</f>
        <v/>
      </c>
    </row>
    <row r="2733" spans="7:11" x14ac:dyDescent="0.25">
      <c r="G2733" s="1" t="str">
        <f>IF(Table2[[#This Row],[Description]]="","",VLOOKUP(Table2[[#This Row],[Description]],$Q$1:$S$101,2,FALSE))</f>
        <v/>
      </c>
      <c r="H2733" s="1" t="str">
        <f>IF(Table2[[#This Row],[Description]]="","",VLOOKUP(Table2[[#This Row],[Description]],$Q$1:$S$101,3,FALSE))</f>
        <v/>
      </c>
      <c r="I2733" s="1" t="str">
        <f>IF(Table2[[#This Row],[Description]]="","",IF(Table2[[#This Row],[Currency]]=$O$2,$P$2,HLOOKUP(Table2[[#This Row],[Date]],Funds!$C$10:$GV$11,2,FALSE)))</f>
        <v/>
      </c>
      <c r="J2733" s="215" t="str">
        <f>IF(Table2[[#This Row],[Description]]="","",Table2[[#This Row],[Value]]/Table2[[#This Row],[Conversion]])</f>
        <v/>
      </c>
      <c r="K2733" s="45" t="str">
        <f>IF(Table2[[#This Row],[Description]]="","",DATE(Table2[[#This Row],[Year]],Table2[[#This Row],[Month]],1))</f>
        <v/>
      </c>
    </row>
    <row r="2734" spans="7:11" x14ac:dyDescent="0.25">
      <c r="G2734" s="1" t="str">
        <f>IF(Table2[[#This Row],[Description]]="","",VLOOKUP(Table2[[#This Row],[Description]],$Q$1:$S$101,2,FALSE))</f>
        <v/>
      </c>
      <c r="H2734" s="1" t="str">
        <f>IF(Table2[[#This Row],[Description]]="","",VLOOKUP(Table2[[#This Row],[Description]],$Q$1:$S$101,3,FALSE))</f>
        <v/>
      </c>
      <c r="I2734" s="1" t="str">
        <f>IF(Table2[[#This Row],[Description]]="","",IF(Table2[[#This Row],[Currency]]=$O$2,$P$2,HLOOKUP(Table2[[#This Row],[Date]],Funds!$C$10:$GV$11,2,FALSE)))</f>
        <v/>
      </c>
      <c r="J2734" s="215" t="str">
        <f>IF(Table2[[#This Row],[Description]]="","",Table2[[#This Row],[Value]]/Table2[[#This Row],[Conversion]])</f>
        <v/>
      </c>
      <c r="K2734" s="45" t="str">
        <f>IF(Table2[[#This Row],[Description]]="","",DATE(Table2[[#This Row],[Year]],Table2[[#This Row],[Month]],1))</f>
        <v/>
      </c>
    </row>
    <row r="2735" spans="7:11" x14ac:dyDescent="0.25">
      <c r="G2735" s="1" t="str">
        <f>IF(Table2[[#This Row],[Description]]="","",VLOOKUP(Table2[[#This Row],[Description]],$Q$1:$S$101,2,FALSE))</f>
        <v/>
      </c>
      <c r="H2735" s="1" t="str">
        <f>IF(Table2[[#This Row],[Description]]="","",VLOOKUP(Table2[[#This Row],[Description]],$Q$1:$S$101,3,FALSE))</f>
        <v/>
      </c>
      <c r="I2735" s="1" t="str">
        <f>IF(Table2[[#This Row],[Description]]="","",IF(Table2[[#This Row],[Currency]]=$O$2,$P$2,HLOOKUP(Table2[[#This Row],[Date]],Funds!$C$10:$GV$11,2,FALSE)))</f>
        <v/>
      </c>
      <c r="J2735" s="215" t="str">
        <f>IF(Table2[[#This Row],[Description]]="","",Table2[[#This Row],[Value]]/Table2[[#This Row],[Conversion]])</f>
        <v/>
      </c>
      <c r="K2735" s="45" t="str">
        <f>IF(Table2[[#This Row],[Description]]="","",DATE(Table2[[#This Row],[Year]],Table2[[#This Row],[Month]],1))</f>
        <v/>
      </c>
    </row>
    <row r="2736" spans="7:11" x14ac:dyDescent="0.25">
      <c r="G2736" s="1" t="str">
        <f>IF(Table2[[#This Row],[Description]]="","",VLOOKUP(Table2[[#This Row],[Description]],$Q$1:$S$101,2,FALSE))</f>
        <v/>
      </c>
      <c r="H2736" s="1" t="str">
        <f>IF(Table2[[#This Row],[Description]]="","",VLOOKUP(Table2[[#This Row],[Description]],$Q$1:$S$101,3,FALSE))</f>
        <v/>
      </c>
      <c r="I2736" s="1" t="str">
        <f>IF(Table2[[#This Row],[Description]]="","",IF(Table2[[#This Row],[Currency]]=$O$2,$P$2,HLOOKUP(Table2[[#This Row],[Date]],Funds!$C$10:$GV$11,2,FALSE)))</f>
        <v/>
      </c>
      <c r="J2736" s="215" t="str">
        <f>IF(Table2[[#This Row],[Description]]="","",Table2[[#This Row],[Value]]/Table2[[#This Row],[Conversion]])</f>
        <v/>
      </c>
      <c r="K2736" s="45" t="str">
        <f>IF(Table2[[#This Row],[Description]]="","",DATE(Table2[[#This Row],[Year]],Table2[[#This Row],[Month]],1))</f>
        <v/>
      </c>
    </row>
    <row r="2737" spans="7:11" x14ac:dyDescent="0.25">
      <c r="G2737" s="1" t="str">
        <f>IF(Table2[[#This Row],[Description]]="","",VLOOKUP(Table2[[#This Row],[Description]],$Q$1:$S$101,2,FALSE))</f>
        <v/>
      </c>
      <c r="H2737" s="1" t="str">
        <f>IF(Table2[[#This Row],[Description]]="","",VLOOKUP(Table2[[#This Row],[Description]],$Q$1:$S$101,3,FALSE))</f>
        <v/>
      </c>
      <c r="I2737" s="1" t="str">
        <f>IF(Table2[[#This Row],[Description]]="","",IF(Table2[[#This Row],[Currency]]=$O$2,$P$2,HLOOKUP(Table2[[#This Row],[Date]],Funds!$C$10:$GV$11,2,FALSE)))</f>
        <v/>
      </c>
      <c r="J2737" s="215" t="str">
        <f>IF(Table2[[#This Row],[Description]]="","",Table2[[#This Row],[Value]]/Table2[[#This Row],[Conversion]])</f>
        <v/>
      </c>
      <c r="K2737" s="45" t="str">
        <f>IF(Table2[[#This Row],[Description]]="","",DATE(Table2[[#This Row],[Year]],Table2[[#This Row],[Month]],1))</f>
        <v/>
      </c>
    </row>
    <row r="2738" spans="7:11" x14ac:dyDescent="0.25">
      <c r="G2738" s="1" t="str">
        <f>IF(Table2[[#This Row],[Description]]="","",VLOOKUP(Table2[[#This Row],[Description]],$Q$1:$S$101,2,FALSE))</f>
        <v/>
      </c>
      <c r="H2738" s="1" t="str">
        <f>IF(Table2[[#This Row],[Description]]="","",VLOOKUP(Table2[[#This Row],[Description]],$Q$1:$S$101,3,FALSE))</f>
        <v/>
      </c>
      <c r="I2738" s="1" t="str">
        <f>IF(Table2[[#This Row],[Description]]="","",IF(Table2[[#This Row],[Currency]]=$O$2,$P$2,HLOOKUP(Table2[[#This Row],[Date]],Funds!$C$10:$GV$11,2,FALSE)))</f>
        <v/>
      </c>
      <c r="J2738" s="215" t="str">
        <f>IF(Table2[[#This Row],[Description]]="","",Table2[[#This Row],[Value]]/Table2[[#This Row],[Conversion]])</f>
        <v/>
      </c>
      <c r="K2738" s="45" t="str">
        <f>IF(Table2[[#This Row],[Description]]="","",DATE(Table2[[#This Row],[Year]],Table2[[#This Row],[Month]],1))</f>
        <v/>
      </c>
    </row>
    <row r="2739" spans="7:11" x14ac:dyDescent="0.25">
      <c r="G2739" s="1" t="str">
        <f>IF(Table2[[#This Row],[Description]]="","",VLOOKUP(Table2[[#This Row],[Description]],$Q$1:$S$101,2,FALSE))</f>
        <v/>
      </c>
      <c r="H2739" s="1" t="str">
        <f>IF(Table2[[#This Row],[Description]]="","",VLOOKUP(Table2[[#This Row],[Description]],$Q$1:$S$101,3,FALSE))</f>
        <v/>
      </c>
      <c r="I2739" s="1" t="str">
        <f>IF(Table2[[#This Row],[Description]]="","",IF(Table2[[#This Row],[Currency]]=$O$2,$P$2,HLOOKUP(Table2[[#This Row],[Date]],Funds!$C$10:$GV$11,2,FALSE)))</f>
        <v/>
      </c>
      <c r="J2739" s="215" t="str">
        <f>IF(Table2[[#This Row],[Description]]="","",Table2[[#This Row],[Value]]/Table2[[#This Row],[Conversion]])</f>
        <v/>
      </c>
      <c r="K2739" s="45" t="str">
        <f>IF(Table2[[#This Row],[Description]]="","",DATE(Table2[[#This Row],[Year]],Table2[[#This Row],[Month]],1))</f>
        <v/>
      </c>
    </row>
    <row r="2740" spans="7:11" x14ac:dyDescent="0.25">
      <c r="G2740" s="1" t="str">
        <f>IF(Table2[[#This Row],[Description]]="","",VLOOKUP(Table2[[#This Row],[Description]],$Q$1:$S$101,2,FALSE))</f>
        <v/>
      </c>
      <c r="H2740" s="1" t="str">
        <f>IF(Table2[[#This Row],[Description]]="","",VLOOKUP(Table2[[#This Row],[Description]],$Q$1:$S$101,3,FALSE))</f>
        <v/>
      </c>
      <c r="I2740" s="1" t="str">
        <f>IF(Table2[[#This Row],[Description]]="","",IF(Table2[[#This Row],[Currency]]=$O$2,$P$2,HLOOKUP(Table2[[#This Row],[Date]],Funds!$C$10:$GV$11,2,FALSE)))</f>
        <v/>
      </c>
      <c r="J2740" s="215" t="str">
        <f>IF(Table2[[#This Row],[Description]]="","",Table2[[#This Row],[Value]]/Table2[[#This Row],[Conversion]])</f>
        <v/>
      </c>
      <c r="K2740" s="45" t="str">
        <f>IF(Table2[[#This Row],[Description]]="","",DATE(Table2[[#This Row],[Year]],Table2[[#This Row],[Month]],1))</f>
        <v/>
      </c>
    </row>
    <row r="2741" spans="7:11" x14ac:dyDescent="0.25">
      <c r="G2741" s="1" t="str">
        <f>IF(Table2[[#This Row],[Description]]="","",VLOOKUP(Table2[[#This Row],[Description]],$Q$1:$S$101,2,FALSE))</f>
        <v/>
      </c>
      <c r="H2741" s="1" t="str">
        <f>IF(Table2[[#This Row],[Description]]="","",VLOOKUP(Table2[[#This Row],[Description]],$Q$1:$S$101,3,FALSE))</f>
        <v/>
      </c>
      <c r="I2741" s="1" t="str">
        <f>IF(Table2[[#This Row],[Description]]="","",IF(Table2[[#This Row],[Currency]]=$O$2,$P$2,HLOOKUP(Table2[[#This Row],[Date]],Funds!$C$10:$GV$11,2,FALSE)))</f>
        <v/>
      </c>
      <c r="J2741" s="215" t="str">
        <f>IF(Table2[[#This Row],[Description]]="","",Table2[[#This Row],[Value]]/Table2[[#This Row],[Conversion]])</f>
        <v/>
      </c>
      <c r="K2741" s="45" t="str">
        <f>IF(Table2[[#This Row],[Description]]="","",DATE(Table2[[#This Row],[Year]],Table2[[#This Row],[Month]],1))</f>
        <v/>
      </c>
    </row>
    <row r="2742" spans="7:11" x14ac:dyDescent="0.25">
      <c r="G2742" s="1" t="str">
        <f>IF(Table2[[#This Row],[Description]]="","",VLOOKUP(Table2[[#This Row],[Description]],$Q$1:$S$101,2,FALSE))</f>
        <v/>
      </c>
      <c r="H2742" s="1" t="str">
        <f>IF(Table2[[#This Row],[Description]]="","",VLOOKUP(Table2[[#This Row],[Description]],$Q$1:$S$101,3,FALSE))</f>
        <v/>
      </c>
      <c r="I2742" s="1" t="str">
        <f>IF(Table2[[#This Row],[Description]]="","",IF(Table2[[#This Row],[Currency]]=$O$2,$P$2,HLOOKUP(Table2[[#This Row],[Date]],Funds!$C$10:$GV$11,2,FALSE)))</f>
        <v/>
      </c>
      <c r="J2742" s="215" t="str">
        <f>IF(Table2[[#This Row],[Description]]="","",Table2[[#This Row],[Value]]/Table2[[#This Row],[Conversion]])</f>
        <v/>
      </c>
      <c r="K2742" s="45" t="str">
        <f>IF(Table2[[#This Row],[Description]]="","",DATE(Table2[[#This Row],[Year]],Table2[[#This Row],[Month]],1))</f>
        <v/>
      </c>
    </row>
    <row r="2743" spans="7:11" x14ac:dyDescent="0.25">
      <c r="G2743" s="1" t="str">
        <f>IF(Table2[[#This Row],[Description]]="","",VLOOKUP(Table2[[#This Row],[Description]],$Q$1:$S$101,2,FALSE))</f>
        <v/>
      </c>
      <c r="H2743" s="1" t="str">
        <f>IF(Table2[[#This Row],[Description]]="","",VLOOKUP(Table2[[#This Row],[Description]],$Q$1:$S$101,3,FALSE))</f>
        <v/>
      </c>
      <c r="I2743" s="1" t="str">
        <f>IF(Table2[[#This Row],[Description]]="","",IF(Table2[[#This Row],[Currency]]=$O$2,$P$2,HLOOKUP(Table2[[#This Row],[Date]],Funds!$C$10:$GV$11,2,FALSE)))</f>
        <v/>
      </c>
      <c r="J2743" s="215" t="str">
        <f>IF(Table2[[#This Row],[Description]]="","",Table2[[#This Row],[Value]]/Table2[[#This Row],[Conversion]])</f>
        <v/>
      </c>
      <c r="K2743" s="45" t="str">
        <f>IF(Table2[[#This Row],[Description]]="","",DATE(Table2[[#This Row],[Year]],Table2[[#This Row],[Month]],1))</f>
        <v/>
      </c>
    </row>
    <row r="2744" spans="7:11" x14ac:dyDescent="0.25">
      <c r="G2744" s="1" t="str">
        <f>IF(Table2[[#This Row],[Description]]="","",VLOOKUP(Table2[[#This Row],[Description]],$Q$1:$S$101,2,FALSE))</f>
        <v/>
      </c>
      <c r="H2744" s="1" t="str">
        <f>IF(Table2[[#This Row],[Description]]="","",VLOOKUP(Table2[[#This Row],[Description]],$Q$1:$S$101,3,FALSE))</f>
        <v/>
      </c>
      <c r="I2744" s="1" t="str">
        <f>IF(Table2[[#This Row],[Description]]="","",IF(Table2[[#This Row],[Currency]]=$O$2,$P$2,HLOOKUP(Table2[[#This Row],[Date]],Funds!$C$10:$GV$11,2,FALSE)))</f>
        <v/>
      </c>
      <c r="J2744" s="215" t="str">
        <f>IF(Table2[[#This Row],[Description]]="","",Table2[[#This Row],[Value]]/Table2[[#This Row],[Conversion]])</f>
        <v/>
      </c>
      <c r="K2744" s="45" t="str">
        <f>IF(Table2[[#This Row],[Description]]="","",DATE(Table2[[#This Row],[Year]],Table2[[#This Row],[Month]],1))</f>
        <v/>
      </c>
    </row>
    <row r="2745" spans="7:11" x14ac:dyDescent="0.25">
      <c r="G2745" s="1" t="str">
        <f>IF(Table2[[#This Row],[Description]]="","",VLOOKUP(Table2[[#This Row],[Description]],$Q$1:$S$101,2,FALSE))</f>
        <v/>
      </c>
      <c r="H2745" s="1" t="str">
        <f>IF(Table2[[#This Row],[Description]]="","",VLOOKUP(Table2[[#This Row],[Description]],$Q$1:$S$101,3,FALSE))</f>
        <v/>
      </c>
      <c r="I2745" s="1" t="str">
        <f>IF(Table2[[#This Row],[Description]]="","",IF(Table2[[#This Row],[Currency]]=$O$2,$P$2,HLOOKUP(Table2[[#This Row],[Date]],Funds!$C$10:$GV$11,2,FALSE)))</f>
        <v/>
      </c>
      <c r="J2745" s="215" t="str">
        <f>IF(Table2[[#This Row],[Description]]="","",Table2[[#This Row],[Value]]/Table2[[#This Row],[Conversion]])</f>
        <v/>
      </c>
      <c r="K2745" s="45" t="str">
        <f>IF(Table2[[#This Row],[Description]]="","",DATE(Table2[[#This Row],[Year]],Table2[[#This Row],[Month]],1))</f>
        <v/>
      </c>
    </row>
    <row r="2746" spans="7:11" x14ac:dyDescent="0.25">
      <c r="G2746" s="1" t="str">
        <f>IF(Table2[[#This Row],[Description]]="","",VLOOKUP(Table2[[#This Row],[Description]],$Q$1:$S$101,2,FALSE))</f>
        <v/>
      </c>
      <c r="H2746" s="1" t="str">
        <f>IF(Table2[[#This Row],[Description]]="","",VLOOKUP(Table2[[#This Row],[Description]],$Q$1:$S$101,3,FALSE))</f>
        <v/>
      </c>
      <c r="I2746" s="1" t="str">
        <f>IF(Table2[[#This Row],[Description]]="","",IF(Table2[[#This Row],[Currency]]=$O$2,$P$2,HLOOKUP(Table2[[#This Row],[Date]],Funds!$C$10:$GV$11,2,FALSE)))</f>
        <v/>
      </c>
      <c r="J2746" s="215" t="str">
        <f>IF(Table2[[#This Row],[Description]]="","",Table2[[#This Row],[Value]]/Table2[[#This Row],[Conversion]])</f>
        <v/>
      </c>
      <c r="K2746" s="45" t="str">
        <f>IF(Table2[[#This Row],[Description]]="","",DATE(Table2[[#This Row],[Year]],Table2[[#This Row],[Month]],1))</f>
        <v/>
      </c>
    </row>
    <row r="2747" spans="7:11" x14ac:dyDescent="0.25">
      <c r="G2747" s="1" t="str">
        <f>IF(Table2[[#This Row],[Description]]="","",VLOOKUP(Table2[[#This Row],[Description]],$Q$1:$S$101,2,FALSE))</f>
        <v/>
      </c>
      <c r="H2747" s="1" t="str">
        <f>IF(Table2[[#This Row],[Description]]="","",VLOOKUP(Table2[[#This Row],[Description]],$Q$1:$S$101,3,FALSE))</f>
        <v/>
      </c>
      <c r="I2747" s="1" t="str">
        <f>IF(Table2[[#This Row],[Description]]="","",IF(Table2[[#This Row],[Currency]]=$O$2,$P$2,HLOOKUP(Table2[[#This Row],[Date]],Funds!$C$10:$GV$11,2,FALSE)))</f>
        <v/>
      </c>
      <c r="J2747" s="215" t="str">
        <f>IF(Table2[[#This Row],[Description]]="","",Table2[[#This Row],[Value]]/Table2[[#This Row],[Conversion]])</f>
        <v/>
      </c>
      <c r="K2747" s="45" t="str">
        <f>IF(Table2[[#This Row],[Description]]="","",DATE(Table2[[#This Row],[Year]],Table2[[#This Row],[Month]],1))</f>
        <v/>
      </c>
    </row>
    <row r="2748" spans="7:11" x14ac:dyDescent="0.25">
      <c r="G2748" s="1" t="str">
        <f>IF(Table2[[#This Row],[Description]]="","",VLOOKUP(Table2[[#This Row],[Description]],$Q$1:$S$101,2,FALSE))</f>
        <v/>
      </c>
      <c r="H2748" s="1" t="str">
        <f>IF(Table2[[#This Row],[Description]]="","",VLOOKUP(Table2[[#This Row],[Description]],$Q$1:$S$101,3,FALSE))</f>
        <v/>
      </c>
      <c r="I2748" s="1" t="str">
        <f>IF(Table2[[#This Row],[Description]]="","",IF(Table2[[#This Row],[Currency]]=$O$2,$P$2,HLOOKUP(Table2[[#This Row],[Date]],Funds!$C$10:$GV$11,2,FALSE)))</f>
        <v/>
      </c>
      <c r="J2748" s="215" t="str">
        <f>IF(Table2[[#This Row],[Description]]="","",Table2[[#This Row],[Value]]/Table2[[#This Row],[Conversion]])</f>
        <v/>
      </c>
      <c r="K2748" s="45" t="str">
        <f>IF(Table2[[#This Row],[Description]]="","",DATE(Table2[[#This Row],[Year]],Table2[[#This Row],[Month]],1))</f>
        <v/>
      </c>
    </row>
    <row r="2749" spans="7:11" x14ac:dyDescent="0.25">
      <c r="G2749" s="1" t="str">
        <f>IF(Table2[[#This Row],[Description]]="","",VLOOKUP(Table2[[#This Row],[Description]],$Q$1:$S$101,2,FALSE))</f>
        <v/>
      </c>
      <c r="H2749" s="1" t="str">
        <f>IF(Table2[[#This Row],[Description]]="","",VLOOKUP(Table2[[#This Row],[Description]],$Q$1:$S$101,3,FALSE))</f>
        <v/>
      </c>
      <c r="I2749" s="1" t="str">
        <f>IF(Table2[[#This Row],[Description]]="","",IF(Table2[[#This Row],[Currency]]=$O$2,$P$2,HLOOKUP(Table2[[#This Row],[Date]],Funds!$C$10:$GV$11,2,FALSE)))</f>
        <v/>
      </c>
      <c r="J2749" s="215" t="str">
        <f>IF(Table2[[#This Row],[Description]]="","",Table2[[#This Row],[Value]]/Table2[[#This Row],[Conversion]])</f>
        <v/>
      </c>
      <c r="K2749" s="45" t="str">
        <f>IF(Table2[[#This Row],[Description]]="","",DATE(Table2[[#This Row],[Year]],Table2[[#This Row],[Month]],1))</f>
        <v/>
      </c>
    </row>
    <row r="2750" spans="7:11" x14ac:dyDescent="0.25">
      <c r="G2750" s="1" t="str">
        <f>IF(Table2[[#This Row],[Description]]="","",VLOOKUP(Table2[[#This Row],[Description]],$Q$1:$S$101,2,FALSE))</f>
        <v/>
      </c>
      <c r="H2750" s="1" t="str">
        <f>IF(Table2[[#This Row],[Description]]="","",VLOOKUP(Table2[[#This Row],[Description]],$Q$1:$S$101,3,FALSE))</f>
        <v/>
      </c>
      <c r="I2750" s="1" t="str">
        <f>IF(Table2[[#This Row],[Description]]="","",IF(Table2[[#This Row],[Currency]]=$O$2,$P$2,HLOOKUP(Table2[[#This Row],[Date]],Funds!$C$10:$GV$11,2,FALSE)))</f>
        <v/>
      </c>
      <c r="J2750" s="215" t="str">
        <f>IF(Table2[[#This Row],[Description]]="","",Table2[[#This Row],[Value]]/Table2[[#This Row],[Conversion]])</f>
        <v/>
      </c>
      <c r="K2750" s="45" t="str">
        <f>IF(Table2[[#This Row],[Description]]="","",DATE(Table2[[#This Row],[Year]],Table2[[#This Row],[Month]],1))</f>
        <v/>
      </c>
    </row>
    <row r="2751" spans="7:11" x14ac:dyDescent="0.25">
      <c r="G2751" s="1" t="str">
        <f>IF(Table2[[#This Row],[Description]]="","",VLOOKUP(Table2[[#This Row],[Description]],$Q$1:$S$101,2,FALSE))</f>
        <v/>
      </c>
      <c r="H2751" s="1" t="str">
        <f>IF(Table2[[#This Row],[Description]]="","",VLOOKUP(Table2[[#This Row],[Description]],$Q$1:$S$101,3,FALSE))</f>
        <v/>
      </c>
      <c r="I2751" s="1" t="str">
        <f>IF(Table2[[#This Row],[Description]]="","",IF(Table2[[#This Row],[Currency]]=$O$2,$P$2,HLOOKUP(Table2[[#This Row],[Date]],Funds!$C$10:$GV$11,2,FALSE)))</f>
        <v/>
      </c>
      <c r="J2751" s="215" t="str">
        <f>IF(Table2[[#This Row],[Description]]="","",Table2[[#This Row],[Value]]/Table2[[#This Row],[Conversion]])</f>
        <v/>
      </c>
      <c r="K2751" s="45" t="str">
        <f>IF(Table2[[#This Row],[Description]]="","",DATE(Table2[[#This Row],[Year]],Table2[[#This Row],[Month]],1))</f>
        <v/>
      </c>
    </row>
    <row r="2752" spans="7:11" x14ac:dyDescent="0.25">
      <c r="G2752" s="1" t="str">
        <f>IF(Table2[[#This Row],[Description]]="","",VLOOKUP(Table2[[#This Row],[Description]],$Q$1:$S$101,2,FALSE))</f>
        <v/>
      </c>
      <c r="H2752" s="1" t="str">
        <f>IF(Table2[[#This Row],[Description]]="","",VLOOKUP(Table2[[#This Row],[Description]],$Q$1:$S$101,3,FALSE))</f>
        <v/>
      </c>
      <c r="I2752" s="1" t="str">
        <f>IF(Table2[[#This Row],[Description]]="","",IF(Table2[[#This Row],[Currency]]=$O$2,$P$2,HLOOKUP(Table2[[#This Row],[Date]],Funds!$C$10:$GV$11,2,FALSE)))</f>
        <v/>
      </c>
      <c r="J2752" s="215" t="str">
        <f>IF(Table2[[#This Row],[Description]]="","",Table2[[#This Row],[Value]]/Table2[[#This Row],[Conversion]])</f>
        <v/>
      </c>
      <c r="K2752" s="45" t="str">
        <f>IF(Table2[[#This Row],[Description]]="","",DATE(Table2[[#This Row],[Year]],Table2[[#This Row],[Month]],1))</f>
        <v/>
      </c>
    </row>
    <row r="2753" spans="7:11" x14ac:dyDescent="0.25">
      <c r="G2753" s="1" t="str">
        <f>IF(Table2[[#This Row],[Description]]="","",VLOOKUP(Table2[[#This Row],[Description]],$Q$1:$S$101,2,FALSE))</f>
        <v/>
      </c>
      <c r="H2753" s="1" t="str">
        <f>IF(Table2[[#This Row],[Description]]="","",VLOOKUP(Table2[[#This Row],[Description]],$Q$1:$S$101,3,FALSE))</f>
        <v/>
      </c>
      <c r="I2753" s="1" t="str">
        <f>IF(Table2[[#This Row],[Description]]="","",IF(Table2[[#This Row],[Currency]]=$O$2,$P$2,HLOOKUP(Table2[[#This Row],[Date]],Funds!$C$10:$GV$11,2,FALSE)))</f>
        <v/>
      </c>
      <c r="J2753" s="215" t="str">
        <f>IF(Table2[[#This Row],[Description]]="","",Table2[[#This Row],[Value]]/Table2[[#This Row],[Conversion]])</f>
        <v/>
      </c>
      <c r="K2753" s="45" t="str">
        <f>IF(Table2[[#This Row],[Description]]="","",DATE(Table2[[#This Row],[Year]],Table2[[#This Row],[Month]],1))</f>
        <v/>
      </c>
    </row>
    <row r="2754" spans="7:11" x14ac:dyDescent="0.25">
      <c r="G2754" s="1" t="str">
        <f>IF(Table2[[#This Row],[Description]]="","",VLOOKUP(Table2[[#This Row],[Description]],$Q$1:$S$101,2,FALSE))</f>
        <v/>
      </c>
      <c r="H2754" s="1" t="str">
        <f>IF(Table2[[#This Row],[Description]]="","",VLOOKUP(Table2[[#This Row],[Description]],$Q$1:$S$101,3,FALSE))</f>
        <v/>
      </c>
      <c r="I2754" s="1" t="str">
        <f>IF(Table2[[#This Row],[Description]]="","",IF(Table2[[#This Row],[Currency]]=$O$2,$P$2,HLOOKUP(Table2[[#This Row],[Date]],Funds!$C$10:$GV$11,2,FALSE)))</f>
        <v/>
      </c>
      <c r="J2754" s="215" t="str">
        <f>IF(Table2[[#This Row],[Description]]="","",Table2[[#This Row],[Value]]/Table2[[#This Row],[Conversion]])</f>
        <v/>
      </c>
      <c r="K2754" s="45" t="str">
        <f>IF(Table2[[#This Row],[Description]]="","",DATE(Table2[[#This Row],[Year]],Table2[[#This Row],[Month]],1))</f>
        <v/>
      </c>
    </row>
    <row r="2755" spans="7:11" x14ac:dyDescent="0.25">
      <c r="G2755" s="1" t="str">
        <f>IF(Table2[[#This Row],[Description]]="","",VLOOKUP(Table2[[#This Row],[Description]],$Q$1:$S$101,2,FALSE))</f>
        <v/>
      </c>
      <c r="H2755" s="1" t="str">
        <f>IF(Table2[[#This Row],[Description]]="","",VLOOKUP(Table2[[#This Row],[Description]],$Q$1:$S$101,3,FALSE))</f>
        <v/>
      </c>
      <c r="I2755" s="1" t="str">
        <f>IF(Table2[[#This Row],[Description]]="","",IF(Table2[[#This Row],[Currency]]=$O$2,$P$2,HLOOKUP(Table2[[#This Row],[Date]],Funds!$C$10:$GV$11,2,FALSE)))</f>
        <v/>
      </c>
      <c r="J2755" s="215" t="str">
        <f>IF(Table2[[#This Row],[Description]]="","",Table2[[#This Row],[Value]]/Table2[[#This Row],[Conversion]])</f>
        <v/>
      </c>
      <c r="K2755" s="45" t="str">
        <f>IF(Table2[[#This Row],[Description]]="","",DATE(Table2[[#This Row],[Year]],Table2[[#This Row],[Month]],1))</f>
        <v/>
      </c>
    </row>
    <row r="2756" spans="7:11" x14ac:dyDescent="0.25">
      <c r="G2756" s="1" t="str">
        <f>IF(Table2[[#This Row],[Description]]="","",VLOOKUP(Table2[[#This Row],[Description]],$Q$1:$S$101,2,FALSE))</f>
        <v/>
      </c>
      <c r="H2756" s="1" t="str">
        <f>IF(Table2[[#This Row],[Description]]="","",VLOOKUP(Table2[[#This Row],[Description]],$Q$1:$S$101,3,FALSE))</f>
        <v/>
      </c>
      <c r="I2756" s="1" t="str">
        <f>IF(Table2[[#This Row],[Description]]="","",IF(Table2[[#This Row],[Currency]]=$O$2,$P$2,HLOOKUP(Table2[[#This Row],[Date]],Funds!$C$10:$GV$11,2,FALSE)))</f>
        <v/>
      </c>
      <c r="J2756" s="215" t="str">
        <f>IF(Table2[[#This Row],[Description]]="","",Table2[[#This Row],[Value]]/Table2[[#This Row],[Conversion]])</f>
        <v/>
      </c>
      <c r="K2756" s="45" t="str">
        <f>IF(Table2[[#This Row],[Description]]="","",DATE(Table2[[#This Row],[Year]],Table2[[#This Row],[Month]],1))</f>
        <v/>
      </c>
    </row>
    <row r="2757" spans="7:11" x14ac:dyDescent="0.25">
      <c r="G2757" s="1" t="str">
        <f>IF(Table2[[#This Row],[Description]]="","",VLOOKUP(Table2[[#This Row],[Description]],$Q$1:$S$101,2,FALSE))</f>
        <v/>
      </c>
      <c r="H2757" s="1" t="str">
        <f>IF(Table2[[#This Row],[Description]]="","",VLOOKUP(Table2[[#This Row],[Description]],$Q$1:$S$101,3,FALSE))</f>
        <v/>
      </c>
      <c r="I2757" s="1" t="str">
        <f>IF(Table2[[#This Row],[Description]]="","",IF(Table2[[#This Row],[Currency]]=$O$2,$P$2,HLOOKUP(Table2[[#This Row],[Date]],Funds!$C$10:$GV$11,2,FALSE)))</f>
        <v/>
      </c>
      <c r="J2757" s="215" t="str">
        <f>IF(Table2[[#This Row],[Description]]="","",Table2[[#This Row],[Value]]/Table2[[#This Row],[Conversion]])</f>
        <v/>
      </c>
      <c r="K2757" s="45" t="str">
        <f>IF(Table2[[#This Row],[Description]]="","",DATE(Table2[[#This Row],[Year]],Table2[[#This Row],[Month]],1))</f>
        <v/>
      </c>
    </row>
    <row r="2758" spans="7:11" x14ac:dyDescent="0.25">
      <c r="G2758" s="1" t="str">
        <f>IF(Table2[[#This Row],[Description]]="","",VLOOKUP(Table2[[#This Row],[Description]],$Q$1:$S$101,2,FALSE))</f>
        <v/>
      </c>
      <c r="H2758" s="1" t="str">
        <f>IF(Table2[[#This Row],[Description]]="","",VLOOKUP(Table2[[#This Row],[Description]],$Q$1:$S$101,3,FALSE))</f>
        <v/>
      </c>
      <c r="I2758" s="1" t="str">
        <f>IF(Table2[[#This Row],[Description]]="","",IF(Table2[[#This Row],[Currency]]=$O$2,$P$2,HLOOKUP(Table2[[#This Row],[Date]],Funds!$C$10:$GV$11,2,FALSE)))</f>
        <v/>
      </c>
      <c r="J2758" s="215" t="str">
        <f>IF(Table2[[#This Row],[Description]]="","",Table2[[#This Row],[Value]]/Table2[[#This Row],[Conversion]])</f>
        <v/>
      </c>
      <c r="K2758" s="45" t="str">
        <f>IF(Table2[[#This Row],[Description]]="","",DATE(Table2[[#This Row],[Year]],Table2[[#This Row],[Month]],1))</f>
        <v/>
      </c>
    </row>
    <row r="2759" spans="7:11" x14ac:dyDescent="0.25">
      <c r="G2759" s="1" t="str">
        <f>IF(Table2[[#This Row],[Description]]="","",VLOOKUP(Table2[[#This Row],[Description]],$Q$1:$S$101,2,FALSE))</f>
        <v/>
      </c>
      <c r="H2759" s="1" t="str">
        <f>IF(Table2[[#This Row],[Description]]="","",VLOOKUP(Table2[[#This Row],[Description]],$Q$1:$S$101,3,FALSE))</f>
        <v/>
      </c>
      <c r="I2759" s="1" t="str">
        <f>IF(Table2[[#This Row],[Description]]="","",IF(Table2[[#This Row],[Currency]]=$O$2,$P$2,HLOOKUP(Table2[[#This Row],[Date]],Funds!$C$10:$GV$11,2,FALSE)))</f>
        <v/>
      </c>
      <c r="J2759" s="215" t="str">
        <f>IF(Table2[[#This Row],[Description]]="","",Table2[[#This Row],[Value]]/Table2[[#This Row],[Conversion]])</f>
        <v/>
      </c>
      <c r="K2759" s="45" t="str">
        <f>IF(Table2[[#This Row],[Description]]="","",DATE(Table2[[#This Row],[Year]],Table2[[#This Row],[Month]],1))</f>
        <v/>
      </c>
    </row>
    <row r="2760" spans="7:11" x14ac:dyDescent="0.25">
      <c r="G2760" s="1" t="str">
        <f>IF(Table2[[#This Row],[Description]]="","",VLOOKUP(Table2[[#This Row],[Description]],$Q$1:$S$101,2,FALSE))</f>
        <v/>
      </c>
      <c r="H2760" s="1" t="str">
        <f>IF(Table2[[#This Row],[Description]]="","",VLOOKUP(Table2[[#This Row],[Description]],$Q$1:$S$101,3,FALSE))</f>
        <v/>
      </c>
      <c r="I2760" s="1" t="str">
        <f>IF(Table2[[#This Row],[Description]]="","",IF(Table2[[#This Row],[Currency]]=$O$2,$P$2,HLOOKUP(Table2[[#This Row],[Date]],Funds!$C$10:$GV$11,2,FALSE)))</f>
        <v/>
      </c>
      <c r="J2760" s="215" t="str">
        <f>IF(Table2[[#This Row],[Description]]="","",Table2[[#This Row],[Value]]/Table2[[#This Row],[Conversion]])</f>
        <v/>
      </c>
      <c r="K2760" s="45" t="str">
        <f>IF(Table2[[#This Row],[Description]]="","",DATE(Table2[[#This Row],[Year]],Table2[[#This Row],[Month]],1))</f>
        <v/>
      </c>
    </row>
    <row r="2761" spans="7:11" x14ac:dyDescent="0.25">
      <c r="G2761" s="1" t="str">
        <f>IF(Table2[[#This Row],[Description]]="","",VLOOKUP(Table2[[#This Row],[Description]],$Q$1:$S$101,2,FALSE))</f>
        <v/>
      </c>
      <c r="H2761" s="1" t="str">
        <f>IF(Table2[[#This Row],[Description]]="","",VLOOKUP(Table2[[#This Row],[Description]],$Q$1:$S$101,3,FALSE))</f>
        <v/>
      </c>
      <c r="I2761" s="1" t="str">
        <f>IF(Table2[[#This Row],[Description]]="","",IF(Table2[[#This Row],[Currency]]=$O$2,$P$2,HLOOKUP(Table2[[#This Row],[Date]],Funds!$C$10:$GV$11,2,FALSE)))</f>
        <v/>
      </c>
      <c r="J2761" s="215" t="str">
        <f>IF(Table2[[#This Row],[Description]]="","",Table2[[#This Row],[Value]]/Table2[[#This Row],[Conversion]])</f>
        <v/>
      </c>
      <c r="K2761" s="45" t="str">
        <f>IF(Table2[[#This Row],[Description]]="","",DATE(Table2[[#This Row],[Year]],Table2[[#This Row],[Month]],1))</f>
        <v/>
      </c>
    </row>
    <row r="2762" spans="7:11" x14ac:dyDescent="0.25">
      <c r="G2762" s="1" t="str">
        <f>IF(Table2[[#This Row],[Description]]="","",VLOOKUP(Table2[[#This Row],[Description]],$Q$1:$S$101,2,FALSE))</f>
        <v/>
      </c>
      <c r="H2762" s="1" t="str">
        <f>IF(Table2[[#This Row],[Description]]="","",VLOOKUP(Table2[[#This Row],[Description]],$Q$1:$S$101,3,FALSE))</f>
        <v/>
      </c>
      <c r="I2762" s="1" t="str">
        <f>IF(Table2[[#This Row],[Description]]="","",IF(Table2[[#This Row],[Currency]]=$O$2,$P$2,HLOOKUP(Table2[[#This Row],[Date]],Funds!$C$10:$GV$11,2,FALSE)))</f>
        <v/>
      </c>
      <c r="J2762" s="215" t="str">
        <f>IF(Table2[[#This Row],[Description]]="","",Table2[[#This Row],[Value]]/Table2[[#This Row],[Conversion]])</f>
        <v/>
      </c>
      <c r="K2762" s="45" t="str">
        <f>IF(Table2[[#This Row],[Description]]="","",DATE(Table2[[#This Row],[Year]],Table2[[#This Row],[Month]],1))</f>
        <v/>
      </c>
    </row>
    <row r="2763" spans="7:11" x14ac:dyDescent="0.25">
      <c r="G2763" s="1" t="str">
        <f>IF(Table2[[#This Row],[Description]]="","",VLOOKUP(Table2[[#This Row],[Description]],$Q$1:$S$101,2,FALSE))</f>
        <v/>
      </c>
      <c r="H2763" s="1" t="str">
        <f>IF(Table2[[#This Row],[Description]]="","",VLOOKUP(Table2[[#This Row],[Description]],$Q$1:$S$101,3,FALSE))</f>
        <v/>
      </c>
      <c r="I2763" s="1" t="str">
        <f>IF(Table2[[#This Row],[Description]]="","",IF(Table2[[#This Row],[Currency]]=$O$2,$P$2,HLOOKUP(Table2[[#This Row],[Date]],Funds!$C$10:$GV$11,2,FALSE)))</f>
        <v/>
      </c>
      <c r="J2763" s="215" t="str">
        <f>IF(Table2[[#This Row],[Description]]="","",Table2[[#This Row],[Value]]/Table2[[#This Row],[Conversion]])</f>
        <v/>
      </c>
      <c r="K2763" s="45" t="str">
        <f>IF(Table2[[#This Row],[Description]]="","",DATE(Table2[[#This Row],[Year]],Table2[[#This Row],[Month]],1))</f>
        <v/>
      </c>
    </row>
    <row r="2764" spans="7:11" x14ac:dyDescent="0.25">
      <c r="G2764" s="1" t="str">
        <f>IF(Table2[[#This Row],[Description]]="","",VLOOKUP(Table2[[#This Row],[Description]],$Q$1:$S$101,2,FALSE))</f>
        <v/>
      </c>
      <c r="H2764" s="1" t="str">
        <f>IF(Table2[[#This Row],[Description]]="","",VLOOKUP(Table2[[#This Row],[Description]],$Q$1:$S$101,3,FALSE))</f>
        <v/>
      </c>
      <c r="I2764" s="1" t="str">
        <f>IF(Table2[[#This Row],[Description]]="","",IF(Table2[[#This Row],[Currency]]=$O$2,$P$2,HLOOKUP(Table2[[#This Row],[Date]],Funds!$C$10:$GV$11,2,FALSE)))</f>
        <v/>
      </c>
      <c r="J2764" s="215" t="str">
        <f>IF(Table2[[#This Row],[Description]]="","",Table2[[#This Row],[Value]]/Table2[[#This Row],[Conversion]])</f>
        <v/>
      </c>
      <c r="K2764" s="45" t="str">
        <f>IF(Table2[[#This Row],[Description]]="","",DATE(Table2[[#This Row],[Year]],Table2[[#This Row],[Month]],1))</f>
        <v/>
      </c>
    </row>
    <row r="2765" spans="7:11" x14ac:dyDescent="0.25">
      <c r="G2765" s="1" t="str">
        <f>IF(Table2[[#This Row],[Description]]="","",VLOOKUP(Table2[[#This Row],[Description]],$Q$1:$S$101,2,FALSE))</f>
        <v/>
      </c>
      <c r="H2765" s="1" t="str">
        <f>IF(Table2[[#This Row],[Description]]="","",VLOOKUP(Table2[[#This Row],[Description]],$Q$1:$S$101,3,FALSE))</f>
        <v/>
      </c>
      <c r="I2765" s="1" t="str">
        <f>IF(Table2[[#This Row],[Description]]="","",IF(Table2[[#This Row],[Currency]]=$O$2,$P$2,HLOOKUP(Table2[[#This Row],[Date]],Funds!$C$10:$GV$11,2,FALSE)))</f>
        <v/>
      </c>
      <c r="J2765" s="215" t="str">
        <f>IF(Table2[[#This Row],[Description]]="","",Table2[[#This Row],[Value]]/Table2[[#This Row],[Conversion]])</f>
        <v/>
      </c>
      <c r="K2765" s="45" t="str">
        <f>IF(Table2[[#This Row],[Description]]="","",DATE(Table2[[#This Row],[Year]],Table2[[#This Row],[Month]],1))</f>
        <v/>
      </c>
    </row>
    <row r="2766" spans="7:11" x14ac:dyDescent="0.25">
      <c r="G2766" s="1" t="str">
        <f>IF(Table2[[#This Row],[Description]]="","",VLOOKUP(Table2[[#This Row],[Description]],$Q$1:$S$101,2,FALSE))</f>
        <v/>
      </c>
      <c r="H2766" s="1" t="str">
        <f>IF(Table2[[#This Row],[Description]]="","",VLOOKUP(Table2[[#This Row],[Description]],$Q$1:$S$101,3,FALSE))</f>
        <v/>
      </c>
      <c r="I2766" s="1" t="str">
        <f>IF(Table2[[#This Row],[Description]]="","",IF(Table2[[#This Row],[Currency]]=$O$2,$P$2,HLOOKUP(Table2[[#This Row],[Date]],Funds!$C$10:$GV$11,2,FALSE)))</f>
        <v/>
      </c>
      <c r="J2766" s="215" t="str">
        <f>IF(Table2[[#This Row],[Description]]="","",Table2[[#This Row],[Value]]/Table2[[#This Row],[Conversion]])</f>
        <v/>
      </c>
      <c r="K2766" s="45" t="str">
        <f>IF(Table2[[#This Row],[Description]]="","",DATE(Table2[[#This Row],[Year]],Table2[[#This Row],[Month]],1))</f>
        <v/>
      </c>
    </row>
    <row r="2767" spans="7:11" x14ac:dyDescent="0.25">
      <c r="G2767" s="1" t="str">
        <f>IF(Table2[[#This Row],[Description]]="","",VLOOKUP(Table2[[#This Row],[Description]],$Q$1:$S$101,2,FALSE))</f>
        <v/>
      </c>
      <c r="H2767" s="1" t="str">
        <f>IF(Table2[[#This Row],[Description]]="","",VLOOKUP(Table2[[#This Row],[Description]],$Q$1:$S$101,3,FALSE))</f>
        <v/>
      </c>
      <c r="I2767" s="1" t="str">
        <f>IF(Table2[[#This Row],[Description]]="","",IF(Table2[[#This Row],[Currency]]=$O$2,$P$2,HLOOKUP(Table2[[#This Row],[Date]],Funds!$C$10:$GV$11,2,FALSE)))</f>
        <v/>
      </c>
      <c r="J2767" s="215" t="str">
        <f>IF(Table2[[#This Row],[Description]]="","",Table2[[#This Row],[Value]]/Table2[[#This Row],[Conversion]])</f>
        <v/>
      </c>
      <c r="K2767" s="45" t="str">
        <f>IF(Table2[[#This Row],[Description]]="","",DATE(Table2[[#This Row],[Year]],Table2[[#This Row],[Month]],1))</f>
        <v/>
      </c>
    </row>
    <row r="2768" spans="7:11" x14ac:dyDescent="0.25">
      <c r="G2768" s="1" t="str">
        <f>IF(Table2[[#This Row],[Description]]="","",VLOOKUP(Table2[[#This Row],[Description]],$Q$1:$S$101,2,FALSE))</f>
        <v/>
      </c>
      <c r="H2768" s="1" t="str">
        <f>IF(Table2[[#This Row],[Description]]="","",VLOOKUP(Table2[[#This Row],[Description]],$Q$1:$S$101,3,FALSE))</f>
        <v/>
      </c>
      <c r="I2768" s="1" t="str">
        <f>IF(Table2[[#This Row],[Description]]="","",IF(Table2[[#This Row],[Currency]]=$O$2,$P$2,HLOOKUP(Table2[[#This Row],[Date]],Funds!$C$10:$GV$11,2,FALSE)))</f>
        <v/>
      </c>
      <c r="J2768" s="215" t="str">
        <f>IF(Table2[[#This Row],[Description]]="","",Table2[[#This Row],[Value]]/Table2[[#This Row],[Conversion]])</f>
        <v/>
      </c>
      <c r="K2768" s="45" t="str">
        <f>IF(Table2[[#This Row],[Description]]="","",DATE(Table2[[#This Row],[Year]],Table2[[#This Row],[Month]],1))</f>
        <v/>
      </c>
    </row>
    <row r="2769" spans="7:11" x14ac:dyDescent="0.25">
      <c r="G2769" s="1" t="str">
        <f>IF(Table2[[#This Row],[Description]]="","",VLOOKUP(Table2[[#This Row],[Description]],$Q$1:$S$101,2,FALSE))</f>
        <v/>
      </c>
      <c r="H2769" s="1" t="str">
        <f>IF(Table2[[#This Row],[Description]]="","",VLOOKUP(Table2[[#This Row],[Description]],$Q$1:$S$101,3,FALSE))</f>
        <v/>
      </c>
      <c r="I2769" s="1" t="str">
        <f>IF(Table2[[#This Row],[Description]]="","",IF(Table2[[#This Row],[Currency]]=$O$2,$P$2,HLOOKUP(Table2[[#This Row],[Date]],Funds!$C$10:$GV$11,2,FALSE)))</f>
        <v/>
      </c>
      <c r="J2769" s="215" t="str">
        <f>IF(Table2[[#This Row],[Description]]="","",Table2[[#This Row],[Value]]/Table2[[#This Row],[Conversion]])</f>
        <v/>
      </c>
      <c r="K2769" s="45" t="str">
        <f>IF(Table2[[#This Row],[Description]]="","",DATE(Table2[[#This Row],[Year]],Table2[[#This Row],[Month]],1))</f>
        <v/>
      </c>
    </row>
    <row r="2770" spans="7:11" x14ac:dyDescent="0.25">
      <c r="G2770" s="1" t="str">
        <f>IF(Table2[[#This Row],[Description]]="","",VLOOKUP(Table2[[#This Row],[Description]],$Q$1:$S$101,2,FALSE))</f>
        <v/>
      </c>
      <c r="H2770" s="1" t="str">
        <f>IF(Table2[[#This Row],[Description]]="","",VLOOKUP(Table2[[#This Row],[Description]],$Q$1:$S$101,3,FALSE))</f>
        <v/>
      </c>
      <c r="I2770" s="1" t="str">
        <f>IF(Table2[[#This Row],[Description]]="","",IF(Table2[[#This Row],[Currency]]=$O$2,$P$2,HLOOKUP(Table2[[#This Row],[Date]],Funds!$C$10:$GV$11,2,FALSE)))</f>
        <v/>
      </c>
      <c r="J2770" s="215" t="str">
        <f>IF(Table2[[#This Row],[Description]]="","",Table2[[#This Row],[Value]]/Table2[[#This Row],[Conversion]])</f>
        <v/>
      </c>
      <c r="K2770" s="45" t="str">
        <f>IF(Table2[[#This Row],[Description]]="","",DATE(Table2[[#This Row],[Year]],Table2[[#This Row],[Month]],1))</f>
        <v/>
      </c>
    </row>
    <row r="2771" spans="7:11" x14ac:dyDescent="0.25">
      <c r="G2771" s="1" t="str">
        <f>IF(Table2[[#This Row],[Description]]="","",VLOOKUP(Table2[[#This Row],[Description]],$Q$1:$S$101,2,FALSE))</f>
        <v/>
      </c>
      <c r="H2771" s="1" t="str">
        <f>IF(Table2[[#This Row],[Description]]="","",VLOOKUP(Table2[[#This Row],[Description]],$Q$1:$S$101,3,FALSE))</f>
        <v/>
      </c>
      <c r="I2771" s="1" t="str">
        <f>IF(Table2[[#This Row],[Description]]="","",IF(Table2[[#This Row],[Currency]]=$O$2,$P$2,HLOOKUP(Table2[[#This Row],[Date]],Funds!$C$10:$GV$11,2,FALSE)))</f>
        <v/>
      </c>
      <c r="J2771" s="215" t="str">
        <f>IF(Table2[[#This Row],[Description]]="","",Table2[[#This Row],[Value]]/Table2[[#This Row],[Conversion]])</f>
        <v/>
      </c>
      <c r="K2771" s="45" t="str">
        <f>IF(Table2[[#This Row],[Description]]="","",DATE(Table2[[#This Row],[Year]],Table2[[#This Row],[Month]],1))</f>
        <v/>
      </c>
    </row>
    <row r="2772" spans="7:11" x14ac:dyDescent="0.25">
      <c r="G2772" s="1" t="str">
        <f>IF(Table2[[#This Row],[Description]]="","",VLOOKUP(Table2[[#This Row],[Description]],$Q$1:$S$101,2,FALSE))</f>
        <v/>
      </c>
      <c r="H2772" s="1" t="str">
        <f>IF(Table2[[#This Row],[Description]]="","",VLOOKUP(Table2[[#This Row],[Description]],$Q$1:$S$101,3,FALSE))</f>
        <v/>
      </c>
      <c r="I2772" s="1" t="str">
        <f>IF(Table2[[#This Row],[Description]]="","",IF(Table2[[#This Row],[Currency]]=$O$2,$P$2,HLOOKUP(Table2[[#This Row],[Date]],Funds!$C$10:$GV$11,2,FALSE)))</f>
        <v/>
      </c>
      <c r="J2772" s="215" t="str">
        <f>IF(Table2[[#This Row],[Description]]="","",Table2[[#This Row],[Value]]/Table2[[#This Row],[Conversion]])</f>
        <v/>
      </c>
      <c r="K2772" s="45" t="str">
        <f>IF(Table2[[#This Row],[Description]]="","",DATE(Table2[[#This Row],[Year]],Table2[[#This Row],[Month]],1))</f>
        <v/>
      </c>
    </row>
    <row r="2773" spans="7:11" x14ac:dyDescent="0.25">
      <c r="G2773" s="1" t="str">
        <f>IF(Table2[[#This Row],[Description]]="","",VLOOKUP(Table2[[#This Row],[Description]],$Q$1:$S$101,2,FALSE))</f>
        <v/>
      </c>
      <c r="H2773" s="1" t="str">
        <f>IF(Table2[[#This Row],[Description]]="","",VLOOKUP(Table2[[#This Row],[Description]],$Q$1:$S$101,3,FALSE))</f>
        <v/>
      </c>
      <c r="I2773" s="1" t="str">
        <f>IF(Table2[[#This Row],[Description]]="","",IF(Table2[[#This Row],[Currency]]=$O$2,$P$2,HLOOKUP(Table2[[#This Row],[Date]],Funds!$C$10:$GV$11,2,FALSE)))</f>
        <v/>
      </c>
      <c r="J2773" s="215" t="str">
        <f>IF(Table2[[#This Row],[Description]]="","",Table2[[#This Row],[Value]]/Table2[[#This Row],[Conversion]])</f>
        <v/>
      </c>
      <c r="K2773" s="45" t="str">
        <f>IF(Table2[[#This Row],[Description]]="","",DATE(Table2[[#This Row],[Year]],Table2[[#This Row],[Month]],1))</f>
        <v/>
      </c>
    </row>
    <row r="2774" spans="7:11" x14ac:dyDescent="0.25">
      <c r="G2774" s="1" t="str">
        <f>IF(Table2[[#This Row],[Description]]="","",VLOOKUP(Table2[[#This Row],[Description]],$Q$1:$S$101,2,FALSE))</f>
        <v/>
      </c>
      <c r="H2774" s="1" t="str">
        <f>IF(Table2[[#This Row],[Description]]="","",VLOOKUP(Table2[[#This Row],[Description]],$Q$1:$S$101,3,FALSE))</f>
        <v/>
      </c>
      <c r="I2774" s="1" t="str">
        <f>IF(Table2[[#This Row],[Description]]="","",IF(Table2[[#This Row],[Currency]]=$O$2,$P$2,HLOOKUP(Table2[[#This Row],[Date]],Funds!$C$10:$GV$11,2,FALSE)))</f>
        <v/>
      </c>
      <c r="J2774" s="215" t="str">
        <f>IF(Table2[[#This Row],[Description]]="","",Table2[[#This Row],[Value]]/Table2[[#This Row],[Conversion]])</f>
        <v/>
      </c>
      <c r="K2774" s="45" t="str">
        <f>IF(Table2[[#This Row],[Description]]="","",DATE(Table2[[#This Row],[Year]],Table2[[#This Row],[Month]],1))</f>
        <v/>
      </c>
    </row>
    <row r="2775" spans="7:11" x14ac:dyDescent="0.25">
      <c r="G2775" s="1" t="str">
        <f>IF(Table2[[#This Row],[Description]]="","",VLOOKUP(Table2[[#This Row],[Description]],$Q$1:$S$101,2,FALSE))</f>
        <v/>
      </c>
      <c r="H2775" s="1" t="str">
        <f>IF(Table2[[#This Row],[Description]]="","",VLOOKUP(Table2[[#This Row],[Description]],$Q$1:$S$101,3,FALSE))</f>
        <v/>
      </c>
      <c r="I2775" s="1" t="str">
        <f>IF(Table2[[#This Row],[Description]]="","",IF(Table2[[#This Row],[Currency]]=$O$2,$P$2,HLOOKUP(Table2[[#This Row],[Date]],Funds!$C$10:$GV$11,2,FALSE)))</f>
        <v/>
      </c>
      <c r="J2775" s="215" t="str">
        <f>IF(Table2[[#This Row],[Description]]="","",Table2[[#This Row],[Value]]/Table2[[#This Row],[Conversion]])</f>
        <v/>
      </c>
      <c r="K2775" s="45" t="str">
        <f>IF(Table2[[#This Row],[Description]]="","",DATE(Table2[[#This Row],[Year]],Table2[[#This Row],[Month]],1))</f>
        <v/>
      </c>
    </row>
    <row r="2776" spans="7:11" x14ac:dyDescent="0.25">
      <c r="G2776" s="1" t="str">
        <f>IF(Table2[[#This Row],[Description]]="","",VLOOKUP(Table2[[#This Row],[Description]],$Q$1:$S$101,2,FALSE))</f>
        <v/>
      </c>
      <c r="H2776" s="1" t="str">
        <f>IF(Table2[[#This Row],[Description]]="","",VLOOKUP(Table2[[#This Row],[Description]],$Q$1:$S$101,3,FALSE))</f>
        <v/>
      </c>
      <c r="I2776" s="1" t="str">
        <f>IF(Table2[[#This Row],[Description]]="","",IF(Table2[[#This Row],[Currency]]=$O$2,$P$2,HLOOKUP(Table2[[#This Row],[Date]],Funds!$C$10:$GV$11,2,FALSE)))</f>
        <v/>
      </c>
      <c r="J2776" s="215" t="str">
        <f>IF(Table2[[#This Row],[Description]]="","",Table2[[#This Row],[Value]]/Table2[[#This Row],[Conversion]])</f>
        <v/>
      </c>
      <c r="K2776" s="45" t="str">
        <f>IF(Table2[[#This Row],[Description]]="","",DATE(Table2[[#This Row],[Year]],Table2[[#This Row],[Month]],1))</f>
        <v/>
      </c>
    </row>
    <row r="2777" spans="7:11" x14ac:dyDescent="0.25">
      <c r="G2777" s="1" t="str">
        <f>IF(Table2[[#This Row],[Description]]="","",VLOOKUP(Table2[[#This Row],[Description]],$Q$1:$S$101,2,FALSE))</f>
        <v/>
      </c>
      <c r="H2777" s="1" t="str">
        <f>IF(Table2[[#This Row],[Description]]="","",VLOOKUP(Table2[[#This Row],[Description]],$Q$1:$S$101,3,FALSE))</f>
        <v/>
      </c>
      <c r="I2777" s="1" t="str">
        <f>IF(Table2[[#This Row],[Description]]="","",IF(Table2[[#This Row],[Currency]]=$O$2,$P$2,HLOOKUP(Table2[[#This Row],[Date]],Funds!$C$10:$GV$11,2,FALSE)))</f>
        <v/>
      </c>
      <c r="J2777" s="215" t="str">
        <f>IF(Table2[[#This Row],[Description]]="","",Table2[[#This Row],[Value]]/Table2[[#This Row],[Conversion]])</f>
        <v/>
      </c>
      <c r="K2777" s="45" t="str">
        <f>IF(Table2[[#This Row],[Description]]="","",DATE(Table2[[#This Row],[Year]],Table2[[#This Row],[Month]],1))</f>
        <v/>
      </c>
    </row>
    <row r="2778" spans="7:11" x14ac:dyDescent="0.25">
      <c r="G2778" s="1" t="str">
        <f>IF(Table2[[#This Row],[Description]]="","",VLOOKUP(Table2[[#This Row],[Description]],$Q$1:$S$101,2,FALSE))</f>
        <v/>
      </c>
      <c r="H2778" s="1" t="str">
        <f>IF(Table2[[#This Row],[Description]]="","",VLOOKUP(Table2[[#This Row],[Description]],$Q$1:$S$101,3,FALSE))</f>
        <v/>
      </c>
      <c r="I2778" s="1" t="str">
        <f>IF(Table2[[#This Row],[Description]]="","",IF(Table2[[#This Row],[Currency]]=$O$2,$P$2,HLOOKUP(Table2[[#This Row],[Date]],Funds!$C$10:$GV$11,2,FALSE)))</f>
        <v/>
      </c>
      <c r="J2778" s="215" t="str">
        <f>IF(Table2[[#This Row],[Description]]="","",Table2[[#This Row],[Value]]/Table2[[#This Row],[Conversion]])</f>
        <v/>
      </c>
      <c r="K2778" s="45" t="str">
        <f>IF(Table2[[#This Row],[Description]]="","",DATE(Table2[[#This Row],[Year]],Table2[[#This Row],[Month]],1))</f>
        <v/>
      </c>
    </row>
    <row r="2779" spans="7:11" x14ac:dyDescent="0.25">
      <c r="G2779" s="1" t="str">
        <f>IF(Table2[[#This Row],[Description]]="","",VLOOKUP(Table2[[#This Row],[Description]],$Q$1:$S$101,2,FALSE))</f>
        <v/>
      </c>
      <c r="H2779" s="1" t="str">
        <f>IF(Table2[[#This Row],[Description]]="","",VLOOKUP(Table2[[#This Row],[Description]],$Q$1:$S$101,3,FALSE))</f>
        <v/>
      </c>
      <c r="I2779" s="1" t="str">
        <f>IF(Table2[[#This Row],[Description]]="","",IF(Table2[[#This Row],[Currency]]=$O$2,$P$2,HLOOKUP(Table2[[#This Row],[Date]],Funds!$C$10:$GV$11,2,FALSE)))</f>
        <v/>
      </c>
      <c r="J2779" s="215" t="str">
        <f>IF(Table2[[#This Row],[Description]]="","",Table2[[#This Row],[Value]]/Table2[[#This Row],[Conversion]])</f>
        <v/>
      </c>
      <c r="K2779" s="45" t="str">
        <f>IF(Table2[[#This Row],[Description]]="","",DATE(Table2[[#This Row],[Year]],Table2[[#This Row],[Month]],1))</f>
        <v/>
      </c>
    </row>
    <row r="2780" spans="7:11" x14ac:dyDescent="0.25">
      <c r="G2780" s="1" t="str">
        <f>IF(Table2[[#This Row],[Description]]="","",VLOOKUP(Table2[[#This Row],[Description]],$Q$1:$S$101,2,FALSE))</f>
        <v/>
      </c>
      <c r="H2780" s="1" t="str">
        <f>IF(Table2[[#This Row],[Description]]="","",VLOOKUP(Table2[[#This Row],[Description]],$Q$1:$S$101,3,FALSE))</f>
        <v/>
      </c>
      <c r="I2780" s="1" t="str">
        <f>IF(Table2[[#This Row],[Description]]="","",IF(Table2[[#This Row],[Currency]]=$O$2,$P$2,HLOOKUP(Table2[[#This Row],[Date]],Funds!$C$10:$GV$11,2,FALSE)))</f>
        <v/>
      </c>
      <c r="J2780" s="215" t="str">
        <f>IF(Table2[[#This Row],[Description]]="","",Table2[[#This Row],[Value]]/Table2[[#This Row],[Conversion]])</f>
        <v/>
      </c>
      <c r="K2780" s="45" t="str">
        <f>IF(Table2[[#This Row],[Description]]="","",DATE(Table2[[#This Row],[Year]],Table2[[#This Row],[Month]],1))</f>
        <v/>
      </c>
    </row>
    <row r="2781" spans="7:11" x14ac:dyDescent="0.25">
      <c r="G2781" s="1" t="str">
        <f>IF(Table2[[#This Row],[Description]]="","",VLOOKUP(Table2[[#This Row],[Description]],$Q$1:$S$101,2,FALSE))</f>
        <v/>
      </c>
      <c r="H2781" s="1" t="str">
        <f>IF(Table2[[#This Row],[Description]]="","",VLOOKUP(Table2[[#This Row],[Description]],$Q$1:$S$101,3,FALSE))</f>
        <v/>
      </c>
      <c r="I2781" s="1" t="str">
        <f>IF(Table2[[#This Row],[Description]]="","",IF(Table2[[#This Row],[Currency]]=$O$2,$P$2,HLOOKUP(Table2[[#This Row],[Date]],Funds!$C$10:$GV$11,2,FALSE)))</f>
        <v/>
      </c>
      <c r="J2781" s="215" t="str">
        <f>IF(Table2[[#This Row],[Description]]="","",Table2[[#This Row],[Value]]/Table2[[#This Row],[Conversion]])</f>
        <v/>
      </c>
      <c r="K2781" s="45" t="str">
        <f>IF(Table2[[#This Row],[Description]]="","",DATE(Table2[[#This Row],[Year]],Table2[[#This Row],[Month]],1))</f>
        <v/>
      </c>
    </row>
    <row r="2782" spans="7:11" x14ac:dyDescent="0.25">
      <c r="G2782" s="1" t="str">
        <f>IF(Table2[[#This Row],[Description]]="","",VLOOKUP(Table2[[#This Row],[Description]],$Q$1:$S$101,2,FALSE))</f>
        <v/>
      </c>
      <c r="H2782" s="1" t="str">
        <f>IF(Table2[[#This Row],[Description]]="","",VLOOKUP(Table2[[#This Row],[Description]],$Q$1:$S$101,3,FALSE))</f>
        <v/>
      </c>
      <c r="I2782" s="1" t="str">
        <f>IF(Table2[[#This Row],[Description]]="","",IF(Table2[[#This Row],[Currency]]=$O$2,$P$2,HLOOKUP(Table2[[#This Row],[Date]],Funds!$C$10:$GV$11,2,FALSE)))</f>
        <v/>
      </c>
      <c r="J2782" s="215" t="str">
        <f>IF(Table2[[#This Row],[Description]]="","",Table2[[#This Row],[Value]]/Table2[[#This Row],[Conversion]])</f>
        <v/>
      </c>
      <c r="K2782" s="45" t="str">
        <f>IF(Table2[[#This Row],[Description]]="","",DATE(Table2[[#This Row],[Year]],Table2[[#This Row],[Month]],1))</f>
        <v/>
      </c>
    </row>
    <row r="2783" spans="7:11" x14ac:dyDescent="0.25">
      <c r="G2783" s="1" t="str">
        <f>IF(Table2[[#This Row],[Description]]="","",VLOOKUP(Table2[[#This Row],[Description]],$Q$1:$S$101,2,FALSE))</f>
        <v/>
      </c>
      <c r="H2783" s="1" t="str">
        <f>IF(Table2[[#This Row],[Description]]="","",VLOOKUP(Table2[[#This Row],[Description]],$Q$1:$S$101,3,FALSE))</f>
        <v/>
      </c>
      <c r="I2783" s="1" t="str">
        <f>IF(Table2[[#This Row],[Description]]="","",IF(Table2[[#This Row],[Currency]]=$O$2,$P$2,HLOOKUP(Table2[[#This Row],[Date]],Funds!$C$10:$GV$11,2,FALSE)))</f>
        <v/>
      </c>
      <c r="J2783" s="215" t="str">
        <f>IF(Table2[[#This Row],[Description]]="","",Table2[[#This Row],[Value]]/Table2[[#This Row],[Conversion]])</f>
        <v/>
      </c>
      <c r="K2783" s="45" t="str">
        <f>IF(Table2[[#This Row],[Description]]="","",DATE(Table2[[#This Row],[Year]],Table2[[#This Row],[Month]],1))</f>
        <v/>
      </c>
    </row>
    <row r="2784" spans="7:11" x14ac:dyDescent="0.25">
      <c r="G2784" s="1" t="str">
        <f>IF(Table2[[#This Row],[Description]]="","",VLOOKUP(Table2[[#This Row],[Description]],$Q$1:$S$101,2,FALSE))</f>
        <v/>
      </c>
      <c r="H2784" s="1" t="str">
        <f>IF(Table2[[#This Row],[Description]]="","",VLOOKUP(Table2[[#This Row],[Description]],$Q$1:$S$101,3,FALSE))</f>
        <v/>
      </c>
      <c r="I2784" s="1" t="str">
        <f>IF(Table2[[#This Row],[Description]]="","",IF(Table2[[#This Row],[Currency]]=$O$2,$P$2,HLOOKUP(Table2[[#This Row],[Date]],Funds!$C$10:$GV$11,2,FALSE)))</f>
        <v/>
      </c>
      <c r="J2784" s="215" t="str">
        <f>IF(Table2[[#This Row],[Description]]="","",Table2[[#This Row],[Value]]/Table2[[#This Row],[Conversion]])</f>
        <v/>
      </c>
      <c r="K2784" s="45" t="str">
        <f>IF(Table2[[#This Row],[Description]]="","",DATE(Table2[[#This Row],[Year]],Table2[[#This Row],[Month]],1))</f>
        <v/>
      </c>
    </row>
    <row r="2785" spans="7:11" x14ac:dyDescent="0.25">
      <c r="G2785" s="1" t="str">
        <f>IF(Table2[[#This Row],[Description]]="","",VLOOKUP(Table2[[#This Row],[Description]],$Q$1:$S$101,2,FALSE))</f>
        <v/>
      </c>
      <c r="H2785" s="1" t="str">
        <f>IF(Table2[[#This Row],[Description]]="","",VLOOKUP(Table2[[#This Row],[Description]],$Q$1:$S$101,3,FALSE))</f>
        <v/>
      </c>
      <c r="I2785" s="1" t="str">
        <f>IF(Table2[[#This Row],[Description]]="","",IF(Table2[[#This Row],[Currency]]=$O$2,$P$2,HLOOKUP(Table2[[#This Row],[Date]],Funds!$C$10:$GV$11,2,FALSE)))</f>
        <v/>
      </c>
      <c r="J2785" s="215" t="str">
        <f>IF(Table2[[#This Row],[Description]]="","",Table2[[#This Row],[Value]]/Table2[[#This Row],[Conversion]])</f>
        <v/>
      </c>
      <c r="K2785" s="45" t="str">
        <f>IF(Table2[[#This Row],[Description]]="","",DATE(Table2[[#This Row],[Year]],Table2[[#This Row],[Month]],1))</f>
        <v/>
      </c>
    </row>
    <row r="2786" spans="7:11" x14ac:dyDescent="0.25">
      <c r="G2786" s="1" t="str">
        <f>IF(Table2[[#This Row],[Description]]="","",VLOOKUP(Table2[[#This Row],[Description]],$Q$1:$S$101,2,FALSE))</f>
        <v/>
      </c>
      <c r="H2786" s="1" t="str">
        <f>IF(Table2[[#This Row],[Description]]="","",VLOOKUP(Table2[[#This Row],[Description]],$Q$1:$S$101,3,FALSE))</f>
        <v/>
      </c>
      <c r="I2786" s="1" t="str">
        <f>IF(Table2[[#This Row],[Description]]="","",IF(Table2[[#This Row],[Currency]]=$O$2,$P$2,HLOOKUP(Table2[[#This Row],[Date]],Funds!$C$10:$GV$11,2,FALSE)))</f>
        <v/>
      </c>
      <c r="J2786" s="215" t="str">
        <f>IF(Table2[[#This Row],[Description]]="","",Table2[[#This Row],[Value]]/Table2[[#This Row],[Conversion]])</f>
        <v/>
      </c>
      <c r="K2786" s="45" t="str">
        <f>IF(Table2[[#This Row],[Description]]="","",DATE(Table2[[#This Row],[Year]],Table2[[#This Row],[Month]],1))</f>
        <v/>
      </c>
    </row>
    <row r="2787" spans="7:11" x14ac:dyDescent="0.25">
      <c r="G2787" s="1" t="str">
        <f>IF(Table2[[#This Row],[Description]]="","",VLOOKUP(Table2[[#This Row],[Description]],$Q$1:$S$101,2,FALSE))</f>
        <v/>
      </c>
      <c r="H2787" s="1" t="str">
        <f>IF(Table2[[#This Row],[Description]]="","",VLOOKUP(Table2[[#This Row],[Description]],$Q$1:$S$101,3,FALSE))</f>
        <v/>
      </c>
      <c r="I2787" s="1" t="str">
        <f>IF(Table2[[#This Row],[Description]]="","",IF(Table2[[#This Row],[Currency]]=$O$2,$P$2,HLOOKUP(Table2[[#This Row],[Date]],Funds!$C$10:$GV$11,2,FALSE)))</f>
        <v/>
      </c>
      <c r="J2787" s="215" t="str">
        <f>IF(Table2[[#This Row],[Description]]="","",Table2[[#This Row],[Value]]/Table2[[#This Row],[Conversion]])</f>
        <v/>
      </c>
      <c r="K2787" s="45" t="str">
        <f>IF(Table2[[#This Row],[Description]]="","",DATE(Table2[[#This Row],[Year]],Table2[[#This Row],[Month]],1))</f>
        <v/>
      </c>
    </row>
    <row r="2788" spans="7:11" x14ac:dyDescent="0.25">
      <c r="G2788" s="1" t="str">
        <f>IF(Table2[[#This Row],[Description]]="","",VLOOKUP(Table2[[#This Row],[Description]],$Q$1:$S$101,2,FALSE))</f>
        <v/>
      </c>
      <c r="H2788" s="1" t="str">
        <f>IF(Table2[[#This Row],[Description]]="","",VLOOKUP(Table2[[#This Row],[Description]],$Q$1:$S$101,3,FALSE))</f>
        <v/>
      </c>
      <c r="I2788" s="1" t="str">
        <f>IF(Table2[[#This Row],[Description]]="","",IF(Table2[[#This Row],[Currency]]=$O$2,$P$2,HLOOKUP(Table2[[#This Row],[Date]],Funds!$C$10:$GV$11,2,FALSE)))</f>
        <v/>
      </c>
      <c r="J2788" s="215" t="str">
        <f>IF(Table2[[#This Row],[Description]]="","",Table2[[#This Row],[Value]]/Table2[[#This Row],[Conversion]])</f>
        <v/>
      </c>
      <c r="K2788" s="45" t="str">
        <f>IF(Table2[[#This Row],[Description]]="","",DATE(Table2[[#This Row],[Year]],Table2[[#This Row],[Month]],1))</f>
        <v/>
      </c>
    </row>
    <row r="2789" spans="7:11" x14ac:dyDescent="0.25">
      <c r="G2789" s="1" t="str">
        <f>IF(Table2[[#This Row],[Description]]="","",VLOOKUP(Table2[[#This Row],[Description]],$Q$1:$S$101,2,FALSE))</f>
        <v/>
      </c>
      <c r="H2789" s="1" t="str">
        <f>IF(Table2[[#This Row],[Description]]="","",VLOOKUP(Table2[[#This Row],[Description]],$Q$1:$S$101,3,FALSE))</f>
        <v/>
      </c>
      <c r="I2789" s="1" t="str">
        <f>IF(Table2[[#This Row],[Description]]="","",IF(Table2[[#This Row],[Currency]]=$O$2,$P$2,HLOOKUP(Table2[[#This Row],[Date]],Funds!$C$10:$GV$11,2,FALSE)))</f>
        <v/>
      </c>
      <c r="J2789" s="215" t="str">
        <f>IF(Table2[[#This Row],[Description]]="","",Table2[[#This Row],[Value]]/Table2[[#This Row],[Conversion]])</f>
        <v/>
      </c>
      <c r="K2789" s="45" t="str">
        <f>IF(Table2[[#This Row],[Description]]="","",DATE(Table2[[#This Row],[Year]],Table2[[#This Row],[Month]],1))</f>
        <v/>
      </c>
    </row>
    <row r="2790" spans="7:11" x14ac:dyDescent="0.25">
      <c r="G2790" s="1" t="str">
        <f>IF(Table2[[#This Row],[Description]]="","",VLOOKUP(Table2[[#This Row],[Description]],$Q$1:$S$101,2,FALSE))</f>
        <v/>
      </c>
      <c r="H2790" s="1" t="str">
        <f>IF(Table2[[#This Row],[Description]]="","",VLOOKUP(Table2[[#This Row],[Description]],$Q$1:$S$101,3,FALSE))</f>
        <v/>
      </c>
      <c r="I2790" s="1" t="str">
        <f>IF(Table2[[#This Row],[Description]]="","",IF(Table2[[#This Row],[Currency]]=$O$2,$P$2,HLOOKUP(Table2[[#This Row],[Date]],Funds!$C$10:$GV$11,2,FALSE)))</f>
        <v/>
      </c>
      <c r="J2790" s="215" t="str">
        <f>IF(Table2[[#This Row],[Description]]="","",Table2[[#This Row],[Value]]/Table2[[#This Row],[Conversion]])</f>
        <v/>
      </c>
      <c r="K2790" s="45" t="str">
        <f>IF(Table2[[#This Row],[Description]]="","",DATE(Table2[[#This Row],[Year]],Table2[[#This Row],[Month]],1))</f>
        <v/>
      </c>
    </row>
    <row r="2791" spans="7:11" x14ac:dyDescent="0.25">
      <c r="G2791" s="1" t="str">
        <f>IF(Table2[[#This Row],[Description]]="","",VLOOKUP(Table2[[#This Row],[Description]],$Q$1:$S$101,2,FALSE))</f>
        <v/>
      </c>
      <c r="H2791" s="1" t="str">
        <f>IF(Table2[[#This Row],[Description]]="","",VLOOKUP(Table2[[#This Row],[Description]],$Q$1:$S$101,3,FALSE))</f>
        <v/>
      </c>
      <c r="I2791" s="1" t="str">
        <f>IF(Table2[[#This Row],[Description]]="","",IF(Table2[[#This Row],[Currency]]=$O$2,$P$2,HLOOKUP(Table2[[#This Row],[Date]],Funds!$C$10:$GV$11,2,FALSE)))</f>
        <v/>
      </c>
      <c r="J2791" s="215" t="str">
        <f>IF(Table2[[#This Row],[Description]]="","",Table2[[#This Row],[Value]]/Table2[[#This Row],[Conversion]])</f>
        <v/>
      </c>
      <c r="K2791" s="45" t="str">
        <f>IF(Table2[[#This Row],[Description]]="","",DATE(Table2[[#This Row],[Year]],Table2[[#This Row],[Month]],1))</f>
        <v/>
      </c>
    </row>
    <row r="2792" spans="7:11" x14ac:dyDescent="0.25">
      <c r="G2792" s="1" t="str">
        <f>IF(Table2[[#This Row],[Description]]="","",VLOOKUP(Table2[[#This Row],[Description]],$Q$1:$S$101,2,FALSE))</f>
        <v/>
      </c>
      <c r="H2792" s="1" t="str">
        <f>IF(Table2[[#This Row],[Description]]="","",VLOOKUP(Table2[[#This Row],[Description]],$Q$1:$S$101,3,FALSE))</f>
        <v/>
      </c>
      <c r="I2792" s="1" t="str">
        <f>IF(Table2[[#This Row],[Description]]="","",IF(Table2[[#This Row],[Currency]]=$O$2,$P$2,HLOOKUP(Table2[[#This Row],[Date]],Funds!$C$10:$GV$11,2,FALSE)))</f>
        <v/>
      </c>
      <c r="J2792" s="215" t="str">
        <f>IF(Table2[[#This Row],[Description]]="","",Table2[[#This Row],[Value]]/Table2[[#This Row],[Conversion]])</f>
        <v/>
      </c>
      <c r="K2792" s="45" t="str">
        <f>IF(Table2[[#This Row],[Description]]="","",DATE(Table2[[#This Row],[Year]],Table2[[#This Row],[Month]],1))</f>
        <v/>
      </c>
    </row>
    <row r="2793" spans="7:11" x14ac:dyDescent="0.25">
      <c r="G2793" s="1" t="str">
        <f>IF(Table2[[#This Row],[Description]]="","",VLOOKUP(Table2[[#This Row],[Description]],$Q$1:$S$101,2,FALSE))</f>
        <v/>
      </c>
      <c r="H2793" s="1" t="str">
        <f>IF(Table2[[#This Row],[Description]]="","",VLOOKUP(Table2[[#This Row],[Description]],$Q$1:$S$101,3,FALSE))</f>
        <v/>
      </c>
      <c r="I2793" s="1" t="str">
        <f>IF(Table2[[#This Row],[Description]]="","",IF(Table2[[#This Row],[Currency]]=$O$2,$P$2,HLOOKUP(Table2[[#This Row],[Date]],Funds!$C$10:$GV$11,2,FALSE)))</f>
        <v/>
      </c>
      <c r="J2793" s="215" t="str">
        <f>IF(Table2[[#This Row],[Description]]="","",Table2[[#This Row],[Value]]/Table2[[#This Row],[Conversion]])</f>
        <v/>
      </c>
      <c r="K2793" s="45" t="str">
        <f>IF(Table2[[#This Row],[Description]]="","",DATE(Table2[[#This Row],[Year]],Table2[[#This Row],[Month]],1))</f>
        <v/>
      </c>
    </row>
    <row r="2794" spans="7:11" x14ac:dyDescent="0.25">
      <c r="G2794" s="1" t="str">
        <f>IF(Table2[[#This Row],[Description]]="","",VLOOKUP(Table2[[#This Row],[Description]],$Q$1:$S$101,2,FALSE))</f>
        <v/>
      </c>
      <c r="H2794" s="1" t="str">
        <f>IF(Table2[[#This Row],[Description]]="","",VLOOKUP(Table2[[#This Row],[Description]],$Q$1:$S$101,3,FALSE))</f>
        <v/>
      </c>
      <c r="I2794" s="1" t="str">
        <f>IF(Table2[[#This Row],[Description]]="","",IF(Table2[[#This Row],[Currency]]=$O$2,$P$2,HLOOKUP(Table2[[#This Row],[Date]],Funds!$C$10:$GV$11,2,FALSE)))</f>
        <v/>
      </c>
      <c r="J2794" s="215" t="str">
        <f>IF(Table2[[#This Row],[Description]]="","",Table2[[#This Row],[Value]]/Table2[[#This Row],[Conversion]])</f>
        <v/>
      </c>
      <c r="K2794" s="45" t="str">
        <f>IF(Table2[[#This Row],[Description]]="","",DATE(Table2[[#This Row],[Year]],Table2[[#This Row],[Month]],1))</f>
        <v/>
      </c>
    </row>
    <row r="2795" spans="7:11" x14ac:dyDescent="0.25">
      <c r="G2795" s="1" t="str">
        <f>IF(Table2[[#This Row],[Description]]="","",VLOOKUP(Table2[[#This Row],[Description]],$Q$1:$S$101,2,FALSE))</f>
        <v/>
      </c>
      <c r="H2795" s="1" t="str">
        <f>IF(Table2[[#This Row],[Description]]="","",VLOOKUP(Table2[[#This Row],[Description]],$Q$1:$S$101,3,FALSE))</f>
        <v/>
      </c>
      <c r="I2795" s="1" t="str">
        <f>IF(Table2[[#This Row],[Description]]="","",IF(Table2[[#This Row],[Currency]]=$O$2,$P$2,HLOOKUP(Table2[[#This Row],[Date]],Funds!$C$10:$GV$11,2,FALSE)))</f>
        <v/>
      </c>
      <c r="J2795" s="215" t="str">
        <f>IF(Table2[[#This Row],[Description]]="","",Table2[[#This Row],[Value]]/Table2[[#This Row],[Conversion]])</f>
        <v/>
      </c>
      <c r="K2795" s="45" t="str">
        <f>IF(Table2[[#This Row],[Description]]="","",DATE(Table2[[#This Row],[Year]],Table2[[#This Row],[Month]],1))</f>
        <v/>
      </c>
    </row>
    <row r="2796" spans="7:11" x14ac:dyDescent="0.25">
      <c r="G2796" s="1" t="str">
        <f>IF(Table2[[#This Row],[Description]]="","",VLOOKUP(Table2[[#This Row],[Description]],$Q$1:$S$101,2,FALSE))</f>
        <v/>
      </c>
      <c r="H2796" s="1" t="str">
        <f>IF(Table2[[#This Row],[Description]]="","",VLOOKUP(Table2[[#This Row],[Description]],$Q$1:$S$101,3,FALSE))</f>
        <v/>
      </c>
      <c r="I2796" s="1" t="str">
        <f>IF(Table2[[#This Row],[Description]]="","",IF(Table2[[#This Row],[Currency]]=$O$2,$P$2,HLOOKUP(Table2[[#This Row],[Date]],Funds!$C$10:$GV$11,2,FALSE)))</f>
        <v/>
      </c>
      <c r="J2796" s="215" t="str">
        <f>IF(Table2[[#This Row],[Description]]="","",Table2[[#This Row],[Value]]/Table2[[#This Row],[Conversion]])</f>
        <v/>
      </c>
      <c r="K2796" s="45" t="str">
        <f>IF(Table2[[#This Row],[Description]]="","",DATE(Table2[[#This Row],[Year]],Table2[[#This Row],[Month]],1))</f>
        <v/>
      </c>
    </row>
    <row r="2797" spans="7:11" x14ac:dyDescent="0.25">
      <c r="G2797" s="1" t="str">
        <f>IF(Table2[[#This Row],[Description]]="","",VLOOKUP(Table2[[#This Row],[Description]],$Q$1:$S$101,2,FALSE))</f>
        <v/>
      </c>
      <c r="H2797" s="1" t="str">
        <f>IF(Table2[[#This Row],[Description]]="","",VLOOKUP(Table2[[#This Row],[Description]],$Q$1:$S$101,3,FALSE))</f>
        <v/>
      </c>
      <c r="I2797" s="1" t="str">
        <f>IF(Table2[[#This Row],[Description]]="","",IF(Table2[[#This Row],[Currency]]=$O$2,$P$2,HLOOKUP(Table2[[#This Row],[Date]],Funds!$C$10:$GV$11,2,FALSE)))</f>
        <v/>
      </c>
      <c r="J2797" s="215" t="str">
        <f>IF(Table2[[#This Row],[Description]]="","",Table2[[#This Row],[Value]]/Table2[[#This Row],[Conversion]])</f>
        <v/>
      </c>
      <c r="K2797" s="45" t="str">
        <f>IF(Table2[[#This Row],[Description]]="","",DATE(Table2[[#This Row],[Year]],Table2[[#This Row],[Month]],1))</f>
        <v/>
      </c>
    </row>
    <row r="2798" spans="7:11" x14ac:dyDescent="0.25">
      <c r="G2798" s="1" t="str">
        <f>IF(Table2[[#This Row],[Description]]="","",VLOOKUP(Table2[[#This Row],[Description]],$Q$1:$S$101,2,FALSE))</f>
        <v/>
      </c>
      <c r="H2798" s="1" t="str">
        <f>IF(Table2[[#This Row],[Description]]="","",VLOOKUP(Table2[[#This Row],[Description]],$Q$1:$S$101,3,FALSE))</f>
        <v/>
      </c>
      <c r="I2798" s="1" t="str">
        <f>IF(Table2[[#This Row],[Description]]="","",IF(Table2[[#This Row],[Currency]]=$O$2,$P$2,HLOOKUP(Table2[[#This Row],[Date]],Funds!$C$10:$GV$11,2,FALSE)))</f>
        <v/>
      </c>
      <c r="J2798" s="215" t="str">
        <f>IF(Table2[[#This Row],[Description]]="","",Table2[[#This Row],[Value]]/Table2[[#This Row],[Conversion]])</f>
        <v/>
      </c>
      <c r="K2798" s="45" t="str">
        <f>IF(Table2[[#This Row],[Description]]="","",DATE(Table2[[#This Row],[Year]],Table2[[#This Row],[Month]],1))</f>
        <v/>
      </c>
    </row>
    <row r="2799" spans="7:11" x14ac:dyDescent="0.25">
      <c r="G2799" s="1" t="str">
        <f>IF(Table2[[#This Row],[Description]]="","",VLOOKUP(Table2[[#This Row],[Description]],$Q$1:$S$101,2,FALSE))</f>
        <v/>
      </c>
      <c r="H2799" s="1" t="str">
        <f>IF(Table2[[#This Row],[Description]]="","",VLOOKUP(Table2[[#This Row],[Description]],$Q$1:$S$101,3,FALSE))</f>
        <v/>
      </c>
      <c r="I2799" s="1" t="str">
        <f>IF(Table2[[#This Row],[Description]]="","",IF(Table2[[#This Row],[Currency]]=$O$2,$P$2,HLOOKUP(Table2[[#This Row],[Date]],Funds!$C$10:$GV$11,2,FALSE)))</f>
        <v/>
      </c>
      <c r="J2799" s="215" t="str">
        <f>IF(Table2[[#This Row],[Description]]="","",Table2[[#This Row],[Value]]/Table2[[#This Row],[Conversion]])</f>
        <v/>
      </c>
      <c r="K2799" s="45" t="str">
        <f>IF(Table2[[#This Row],[Description]]="","",DATE(Table2[[#This Row],[Year]],Table2[[#This Row],[Month]],1))</f>
        <v/>
      </c>
    </row>
    <row r="2800" spans="7:11" x14ac:dyDescent="0.25">
      <c r="G2800" s="1" t="str">
        <f>IF(Table2[[#This Row],[Description]]="","",VLOOKUP(Table2[[#This Row],[Description]],$Q$1:$S$101,2,FALSE))</f>
        <v/>
      </c>
      <c r="H2800" s="1" t="str">
        <f>IF(Table2[[#This Row],[Description]]="","",VLOOKUP(Table2[[#This Row],[Description]],$Q$1:$S$101,3,FALSE))</f>
        <v/>
      </c>
      <c r="I2800" s="1" t="str">
        <f>IF(Table2[[#This Row],[Description]]="","",IF(Table2[[#This Row],[Currency]]=$O$2,$P$2,HLOOKUP(Table2[[#This Row],[Date]],Funds!$C$10:$GV$11,2,FALSE)))</f>
        <v/>
      </c>
      <c r="J2800" s="215" t="str">
        <f>IF(Table2[[#This Row],[Description]]="","",Table2[[#This Row],[Value]]/Table2[[#This Row],[Conversion]])</f>
        <v/>
      </c>
      <c r="K2800" s="45" t="str">
        <f>IF(Table2[[#This Row],[Description]]="","",DATE(Table2[[#This Row],[Year]],Table2[[#This Row],[Month]],1))</f>
        <v/>
      </c>
    </row>
    <row r="2801" spans="7:11" x14ac:dyDescent="0.25">
      <c r="G2801" s="1" t="str">
        <f>IF(Table2[[#This Row],[Description]]="","",VLOOKUP(Table2[[#This Row],[Description]],$Q$1:$S$101,2,FALSE))</f>
        <v/>
      </c>
      <c r="H2801" s="1" t="str">
        <f>IF(Table2[[#This Row],[Description]]="","",VLOOKUP(Table2[[#This Row],[Description]],$Q$1:$S$101,3,FALSE))</f>
        <v/>
      </c>
      <c r="I2801" s="1" t="str">
        <f>IF(Table2[[#This Row],[Description]]="","",IF(Table2[[#This Row],[Currency]]=$O$2,$P$2,HLOOKUP(Table2[[#This Row],[Date]],Funds!$C$10:$GV$11,2,FALSE)))</f>
        <v/>
      </c>
      <c r="J2801" s="215" t="str">
        <f>IF(Table2[[#This Row],[Description]]="","",Table2[[#This Row],[Value]]/Table2[[#This Row],[Conversion]])</f>
        <v/>
      </c>
      <c r="K2801" s="45" t="str">
        <f>IF(Table2[[#This Row],[Description]]="","",DATE(Table2[[#This Row],[Year]],Table2[[#This Row],[Month]],1))</f>
        <v/>
      </c>
    </row>
    <row r="2802" spans="7:11" x14ac:dyDescent="0.25">
      <c r="G2802" s="1" t="str">
        <f>IF(Table2[[#This Row],[Description]]="","",VLOOKUP(Table2[[#This Row],[Description]],$Q$1:$S$101,2,FALSE))</f>
        <v/>
      </c>
      <c r="H2802" s="1" t="str">
        <f>IF(Table2[[#This Row],[Description]]="","",VLOOKUP(Table2[[#This Row],[Description]],$Q$1:$S$101,3,FALSE))</f>
        <v/>
      </c>
      <c r="I2802" s="1" t="str">
        <f>IF(Table2[[#This Row],[Description]]="","",IF(Table2[[#This Row],[Currency]]=$O$2,$P$2,HLOOKUP(Table2[[#This Row],[Date]],Funds!$C$10:$GV$11,2,FALSE)))</f>
        <v/>
      </c>
      <c r="J2802" s="215" t="str">
        <f>IF(Table2[[#This Row],[Description]]="","",Table2[[#This Row],[Value]]/Table2[[#This Row],[Conversion]])</f>
        <v/>
      </c>
      <c r="K2802" s="45" t="str">
        <f>IF(Table2[[#This Row],[Description]]="","",DATE(Table2[[#This Row],[Year]],Table2[[#This Row],[Month]],1))</f>
        <v/>
      </c>
    </row>
    <row r="2803" spans="7:11" x14ac:dyDescent="0.25">
      <c r="G2803" s="1" t="str">
        <f>IF(Table2[[#This Row],[Description]]="","",VLOOKUP(Table2[[#This Row],[Description]],$Q$1:$S$101,2,FALSE))</f>
        <v/>
      </c>
      <c r="H2803" s="1" t="str">
        <f>IF(Table2[[#This Row],[Description]]="","",VLOOKUP(Table2[[#This Row],[Description]],$Q$1:$S$101,3,FALSE))</f>
        <v/>
      </c>
      <c r="I2803" s="1" t="str">
        <f>IF(Table2[[#This Row],[Description]]="","",IF(Table2[[#This Row],[Currency]]=$O$2,$P$2,HLOOKUP(Table2[[#This Row],[Date]],Funds!$C$10:$GV$11,2,FALSE)))</f>
        <v/>
      </c>
      <c r="J2803" s="215" t="str">
        <f>IF(Table2[[#This Row],[Description]]="","",Table2[[#This Row],[Value]]/Table2[[#This Row],[Conversion]])</f>
        <v/>
      </c>
      <c r="K2803" s="45" t="str">
        <f>IF(Table2[[#This Row],[Description]]="","",DATE(Table2[[#This Row],[Year]],Table2[[#This Row],[Month]],1))</f>
        <v/>
      </c>
    </row>
    <row r="2804" spans="7:11" x14ac:dyDescent="0.25">
      <c r="G2804" s="1" t="str">
        <f>IF(Table2[[#This Row],[Description]]="","",VLOOKUP(Table2[[#This Row],[Description]],$Q$1:$S$101,2,FALSE))</f>
        <v/>
      </c>
      <c r="H2804" s="1" t="str">
        <f>IF(Table2[[#This Row],[Description]]="","",VLOOKUP(Table2[[#This Row],[Description]],$Q$1:$S$101,3,FALSE))</f>
        <v/>
      </c>
      <c r="I2804" s="1" t="str">
        <f>IF(Table2[[#This Row],[Description]]="","",IF(Table2[[#This Row],[Currency]]=$O$2,$P$2,HLOOKUP(Table2[[#This Row],[Date]],Funds!$C$10:$GV$11,2,FALSE)))</f>
        <v/>
      </c>
      <c r="J2804" s="215" t="str">
        <f>IF(Table2[[#This Row],[Description]]="","",Table2[[#This Row],[Value]]/Table2[[#This Row],[Conversion]])</f>
        <v/>
      </c>
      <c r="K2804" s="45" t="str">
        <f>IF(Table2[[#This Row],[Description]]="","",DATE(Table2[[#This Row],[Year]],Table2[[#This Row],[Month]],1))</f>
        <v/>
      </c>
    </row>
    <row r="2805" spans="7:11" x14ac:dyDescent="0.25">
      <c r="G2805" s="1" t="str">
        <f>IF(Table2[[#This Row],[Description]]="","",VLOOKUP(Table2[[#This Row],[Description]],$Q$1:$S$101,2,FALSE))</f>
        <v/>
      </c>
      <c r="H2805" s="1" t="str">
        <f>IF(Table2[[#This Row],[Description]]="","",VLOOKUP(Table2[[#This Row],[Description]],$Q$1:$S$101,3,FALSE))</f>
        <v/>
      </c>
      <c r="I2805" s="1" t="str">
        <f>IF(Table2[[#This Row],[Description]]="","",IF(Table2[[#This Row],[Currency]]=$O$2,$P$2,HLOOKUP(Table2[[#This Row],[Date]],Funds!$C$10:$GV$11,2,FALSE)))</f>
        <v/>
      </c>
      <c r="J2805" s="215" t="str">
        <f>IF(Table2[[#This Row],[Description]]="","",Table2[[#This Row],[Value]]/Table2[[#This Row],[Conversion]])</f>
        <v/>
      </c>
      <c r="K2805" s="45" t="str">
        <f>IF(Table2[[#This Row],[Description]]="","",DATE(Table2[[#This Row],[Year]],Table2[[#This Row],[Month]],1))</f>
        <v/>
      </c>
    </row>
    <row r="2806" spans="7:11" x14ac:dyDescent="0.25">
      <c r="G2806" s="1" t="str">
        <f>IF(Table2[[#This Row],[Description]]="","",VLOOKUP(Table2[[#This Row],[Description]],$Q$1:$S$101,2,FALSE))</f>
        <v/>
      </c>
      <c r="H2806" s="1" t="str">
        <f>IF(Table2[[#This Row],[Description]]="","",VLOOKUP(Table2[[#This Row],[Description]],$Q$1:$S$101,3,FALSE))</f>
        <v/>
      </c>
      <c r="I2806" s="1" t="str">
        <f>IF(Table2[[#This Row],[Description]]="","",IF(Table2[[#This Row],[Currency]]=$O$2,$P$2,HLOOKUP(Table2[[#This Row],[Date]],Funds!$C$10:$GV$11,2,FALSE)))</f>
        <v/>
      </c>
      <c r="J2806" s="215" t="str">
        <f>IF(Table2[[#This Row],[Description]]="","",Table2[[#This Row],[Value]]/Table2[[#This Row],[Conversion]])</f>
        <v/>
      </c>
      <c r="K2806" s="45" t="str">
        <f>IF(Table2[[#This Row],[Description]]="","",DATE(Table2[[#This Row],[Year]],Table2[[#This Row],[Month]],1))</f>
        <v/>
      </c>
    </row>
    <row r="2807" spans="7:11" x14ac:dyDescent="0.25">
      <c r="G2807" s="1" t="str">
        <f>IF(Table2[[#This Row],[Description]]="","",VLOOKUP(Table2[[#This Row],[Description]],$Q$1:$S$101,2,FALSE))</f>
        <v/>
      </c>
      <c r="H2807" s="1" t="str">
        <f>IF(Table2[[#This Row],[Description]]="","",VLOOKUP(Table2[[#This Row],[Description]],$Q$1:$S$101,3,FALSE))</f>
        <v/>
      </c>
      <c r="I2807" s="1" t="str">
        <f>IF(Table2[[#This Row],[Description]]="","",IF(Table2[[#This Row],[Currency]]=$O$2,$P$2,HLOOKUP(Table2[[#This Row],[Date]],Funds!$C$10:$GV$11,2,FALSE)))</f>
        <v/>
      </c>
      <c r="J2807" s="215" t="str">
        <f>IF(Table2[[#This Row],[Description]]="","",Table2[[#This Row],[Value]]/Table2[[#This Row],[Conversion]])</f>
        <v/>
      </c>
      <c r="K2807" s="45" t="str">
        <f>IF(Table2[[#This Row],[Description]]="","",DATE(Table2[[#This Row],[Year]],Table2[[#This Row],[Month]],1))</f>
        <v/>
      </c>
    </row>
    <row r="2808" spans="7:11" x14ac:dyDescent="0.25">
      <c r="G2808" s="1" t="str">
        <f>IF(Table2[[#This Row],[Description]]="","",VLOOKUP(Table2[[#This Row],[Description]],$Q$1:$S$101,2,FALSE))</f>
        <v/>
      </c>
      <c r="H2808" s="1" t="str">
        <f>IF(Table2[[#This Row],[Description]]="","",VLOOKUP(Table2[[#This Row],[Description]],$Q$1:$S$101,3,FALSE))</f>
        <v/>
      </c>
      <c r="I2808" s="1" t="str">
        <f>IF(Table2[[#This Row],[Description]]="","",IF(Table2[[#This Row],[Currency]]=$O$2,$P$2,HLOOKUP(Table2[[#This Row],[Date]],Funds!$C$10:$GV$11,2,FALSE)))</f>
        <v/>
      </c>
      <c r="J2808" s="215" t="str">
        <f>IF(Table2[[#This Row],[Description]]="","",Table2[[#This Row],[Value]]/Table2[[#This Row],[Conversion]])</f>
        <v/>
      </c>
      <c r="K2808" s="45" t="str">
        <f>IF(Table2[[#This Row],[Description]]="","",DATE(Table2[[#This Row],[Year]],Table2[[#This Row],[Month]],1))</f>
        <v/>
      </c>
    </row>
    <row r="2809" spans="7:11" x14ac:dyDescent="0.25">
      <c r="G2809" s="1" t="str">
        <f>IF(Table2[[#This Row],[Description]]="","",VLOOKUP(Table2[[#This Row],[Description]],$Q$1:$S$101,2,FALSE))</f>
        <v/>
      </c>
      <c r="H2809" s="1" t="str">
        <f>IF(Table2[[#This Row],[Description]]="","",VLOOKUP(Table2[[#This Row],[Description]],$Q$1:$S$101,3,FALSE))</f>
        <v/>
      </c>
      <c r="I2809" s="1" t="str">
        <f>IF(Table2[[#This Row],[Description]]="","",IF(Table2[[#This Row],[Currency]]=$O$2,$P$2,HLOOKUP(Table2[[#This Row],[Date]],Funds!$C$10:$GV$11,2,FALSE)))</f>
        <v/>
      </c>
      <c r="J2809" s="215" t="str">
        <f>IF(Table2[[#This Row],[Description]]="","",Table2[[#This Row],[Value]]/Table2[[#This Row],[Conversion]])</f>
        <v/>
      </c>
      <c r="K2809" s="45" t="str">
        <f>IF(Table2[[#This Row],[Description]]="","",DATE(Table2[[#This Row],[Year]],Table2[[#This Row],[Month]],1))</f>
        <v/>
      </c>
    </row>
    <row r="2810" spans="7:11" x14ac:dyDescent="0.25">
      <c r="G2810" s="1" t="str">
        <f>IF(Table2[[#This Row],[Description]]="","",VLOOKUP(Table2[[#This Row],[Description]],$Q$1:$S$101,2,FALSE))</f>
        <v/>
      </c>
      <c r="H2810" s="1" t="str">
        <f>IF(Table2[[#This Row],[Description]]="","",VLOOKUP(Table2[[#This Row],[Description]],$Q$1:$S$101,3,FALSE))</f>
        <v/>
      </c>
      <c r="I2810" s="1" t="str">
        <f>IF(Table2[[#This Row],[Description]]="","",IF(Table2[[#This Row],[Currency]]=$O$2,$P$2,HLOOKUP(Table2[[#This Row],[Date]],Funds!$C$10:$GV$11,2,FALSE)))</f>
        <v/>
      </c>
      <c r="J2810" s="215" t="str">
        <f>IF(Table2[[#This Row],[Description]]="","",Table2[[#This Row],[Value]]/Table2[[#This Row],[Conversion]])</f>
        <v/>
      </c>
      <c r="K2810" s="45" t="str">
        <f>IF(Table2[[#This Row],[Description]]="","",DATE(Table2[[#This Row],[Year]],Table2[[#This Row],[Month]],1))</f>
        <v/>
      </c>
    </row>
    <row r="2811" spans="7:11" x14ac:dyDescent="0.25">
      <c r="G2811" s="1" t="str">
        <f>IF(Table2[[#This Row],[Description]]="","",VLOOKUP(Table2[[#This Row],[Description]],$Q$1:$S$101,2,FALSE))</f>
        <v/>
      </c>
      <c r="H2811" s="1" t="str">
        <f>IF(Table2[[#This Row],[Description]]="","",VLOOKUP(Table2[[#This Row],[Description]],$Q$1:$S$101,3,FALSE))</f>
        <v/>
      </c>
      <c r="I2811" s="1" t="str">
        <f>IF(Table2[[#This Row],[Description]]="","",IF(Table2[[#This Row],[Currency]]=$O$2,$P$2,HLOOKUP(Table2[[#This Row],[Date]],Funds!$C$10:$GV$11,2,FALSE)))</f>
        <v/>
      </c>
      <c r="J2811" s="215" t="str">
        <f>IF(Table2[[#This Row],[Description]]="","",Table2[[#This Row],[Value]]/Table2[[#This Row],[Conversion]])</f>
        <v/>
      </c>
      <c r="K2811" s="45" t="str">
        <f>IF(Table2[[#This Row],[Description]]="","",DATE(Table2[[#This Row],[Year]],Table2[[#This Row],[Month]],1))</f>
        <v/>
      </c>
    </row>
    <row r="2812" spans="7:11" x14ac:dyDescent="0.25">
      <c r="G2812" s="1" t="str">
        <f>IF(Table2[[#This Row],[Description]]="","",VLOOKUP(Table2[[#This Row],[Description]],$Q$1:$S$101,2,FALSE))</f>
        <v/>
      </c>
      <c r="H2812" s="1" t="str">
        <f>IF(Table2[[#This Row],[Description]]="","",VLOOKUP(Table2[[#This Row],[Description]],$Q$1:$S$101,3,FALSE))</f>
        <v/>
      </c>
      <c r="I2812" s="1" t="str">
        <f>IF(Table2[[#This Row],[Description]]="","",IF(Table2[[#This Row],[Currency]]=$O$2,$P$2,HLOOKUP(Table2[[#This Row],[Date]],Funds!$C$10:$GV$11,2,FALSE)))</f>
        <v/>
      </c>
      <c r="J2812" s="215" t="str">
        <f>IF(Table2[[#This Row],[Description]]="","",Table2[[#This Row],[Value]]/Table2[[#This Row],[Conversion]])</f>
        <v/>
      </c>
      <c r="K2812" s="45" t="str">
        <f>IF(Table2[[#This Row],[Description]]="","",DATE(Table2[[#This Row],[Year]],Table2[[#This Row],[Month]],1))</f>
        <v/>
      </c>
    </row>
    <row r="2813" spans="7:11" x14ac:dyDescent="0.25">
      <c r="G2813" s="1" t="str">
        <f>IF(Table2[[#This Row],[Description]]="","",VLOOKUP(Table2[[#This Row],[Description]],$Q$1:$S$101,2,FALSE))</f>
        <v/>
      </c>
      <c r="H2813" s="1" t="str">
        <f>IF(Table2[[#This Row],[Description]]="","",VLOOKUP(Table2[[#This Row],[Description]],$Q$1:$S$101,3,FALSE))</f>
        <v/>
      </c>
      <c r="I2813" s="1" t="str">
        <f>IF(Table2[[#This Row],[Description]]="","",IF(Table2[[#This Row],[Currency]]=$O$2,$P$2,HLOOKUP(Table2[[#This Row],[Date]],Funds!$C$10:$GV$11,2,FALSE)))</f>
        <v/>
      </c>
      <c r="J2813" s="215" t="str">
        <f>IF(Table2[[#This Row],[Description]]="","",Table2[[#This Row],[Value]]/Table2[[#This Row],[Conversion]])</f>
        <v/>
      </c>
      <c r="K2813" s="45" t="str">
        <f>IF(Table2[[#This Row],[Description]]="","",DATE(Table2[[#This Row],[Year]],Table2[[#This Row],[Month]],1))</f>
        <v/>
      </c>
    </row>
    <row r="2814" spans="7:11" x14ac:dyDescent="0.25">
      <c r="G2814" s="1" t="str">
        <f>IF(Table2[[#This Row],[Description]]="","",VLOOKUP(Table2[[#This Row],[Description]],$Q$1:$S$101,2,FALSE))</f>
        <v/>
      </c>
      <c r="H2814" s="1" t="str">
        <f>IF(Table2[[#This Row],[Description]]="","",VLOOKUP(Table2[[#This Row],[Description]],$Q$1:$S$101,3,FALSE))</f>
        <v/>
      </c>
      <c r="I2814" s="1" t="str">
        <f>IF(Table2[[#This Row],[Description]]="","",IF(Table2[[#This Row],[Currency]]=$O$2,$P$2,HLOOKUP(Table2[[#This Row],[Date]],Funds!$C$10:$GV$11,2,FALSE)))</f>
        <v/>
      </c>
      <c r="J2814" s="215" t="str">
        <f>IF(Table2[[#This Row],[Description]]="","",Table2[[#This Row],[Value]]/Table2[[#This Row],[Conversion]])</f>
        <v/>
      </c>
      <c r="K2814" s="45" t="str">
        <f>IF(Table2[[#This Row],[Description]]="","",DATE(Table2[[#This Row],[Year]],Table2[[#This Row],[Month]],1))</f>
        <v/>
      </c>
    </row>
    <row r="2815" spans="7:11" x14ac:dyDescent="0.25">
      <c r="G2815" s="1" t="str">
        <f>IF(Table2[[#This Row],[Description]]="","",VLOOKUP(Table2[[#This Row],[Description]],$Q$1:$S$101,2,FALSE))</f>
        <v/>
      </c>
      <c r="H2815" s="1" t="str">
        <f>IF(Table2[[#This Row],[Description]]="","",VLOOKUP(Table2[[#This Row],[Description]],$Q$1:$S$101,3,FALSE))</f>
        <v/>
      </c>
      <c r="I2815" s="1" t="str">
        <f>IF(Table2[[#This Row],[Description]]="","",IF(Table2[[#This Row],[Currency]]=$O$2,$P$2,HLOOKUP(Table2[[#This Row],[Date]],Funds!$C$10:$GV$11,2,FALSE)))</f>
        <v/>
      </c>
      <c r="J2815" s="215" t="str">
        <f>IF(Table2[[#This Row],[Description]]="","",Table2[[#This Row],[Value]]/Table2[[#This Row],[Conversion]])</f>
        <v/>
      </c>
      <c r="K2815" s="45" t="str">
        <f>IF(Table2[[#This Row],[Description]]="","",DATE(Table2[[#This Row],[Year]],Table2[[#This Row],[Month]],1))</f>
        <v/>
      </c>
    </row>
    <row r="2816" spans="7:11" x14ac:dyDescent="0.25">
      <c r="G2816" s="1" t="str">
        <f>IF(Table2[[#This Row],[Description]]="","",VLOOKUP(Table2[[#This Row],[Description]],$Q$1:$S$101,2,FALSE))</f>
        <v/>
      </c>
      <c r="H2816" s="1" t="str">
        <f>IF(Table2[[#This Row],[Description]]="","",VLOOKUP(Table2[[#This Row],[Description]],$Q$1:$S$101,3,FALSE))</f>
        <v/>
      </c>
      <c r="I2816" s="1" t="str">
        <f>IF(Table2[[#This Row],[Description]]="","",IF(Table2[[#This Row],[Currency]]=$O$2,$P$2,HLOOKUP(Table2[[#This Row],[Date]],Funds!$C$10:$GV$11,2,FALSE)))</f>
        <v/>
      </c>
      <c r="J2816" s="215" t="str">
        <f>IF(Table2[[#This Row],[Description]]="","",Table2[[#This Row],[Value]]/Table2[[#This Row],[Conversion]])</f>
        <v/>
      </c>
      <c r="K2816" s="45" t="str">
        <f>IF(Table2[[#This Row],[Description]]="","",DATE(Table2[[#This Row],[Year]],Table2[[#This Row],[Month]],1))</f>
        <v/>
      </c>
    </row>
    <row r="2817" spans="7:11" x14ac:dyDescent="0.25">
      <c r="G2817" s="1" t="str">
        <f>IF(Table2[[#This Row],[Description]]="","",VLOOKUP(Table2[[#This Row],[Description]],$Q$1:$S$101,2,FALSE))</f>
        <v/>
      </c>
      <c r="H2817" s="1" t="str">
        <f>IF(Table2[[#This Row],[Description]]="","",VLOOKUP(Table2[[#This Row],[Description]],$Q$1:$S$101,3,FALSE))</f>
        <v/>
      </c>
      <c r="I2817" s="1" t="str">
        <f>IF(Table2[[#This Row],[Description]]="","",IF(Table2[[#This Row],[Currency]]=$O$2,$P$2,HLOOKUP(Table2[[#This Row],[Date]],Funds!$C$10:$GV$11,2,FALSE)))</f>
        <v/>
      </c>
      <c r="J2817" s="215" t="str">
        <f>IF(Table2[[#This Row],[Description]]="","",Table2[[#This Row],[Value]]/Table2[[#This Row],[Conversion]])</f>
        <v/>
      </c>
      <c r="K2817" s="45" t="str">
        <f>IF(Table2[[#This Row],[Description]]="","",DATE(Table2[[#This Row],[Year]],Table2[[#This Row],[Month]],1))</f>
        <v/>
      </c>
    </row>
    <row r="2818" spans="7:11" x14ac:dyDescent="0.25">
      <c r="G2818" s="1" t="str">
        <f>IF(Table2[[#This Row],[Description]]="","",VLOOKUP(Table2[[#This Row],[Description]],$Q$1:$S$101,2,FALSE))</f>
        <v/>
      </c>
      <c r="H2818" s="1" t="str">
        <f>IF(Table2[[#This Row],[Description]]="","",VLOOKUP(Table2[[#This Row],[Description]],$Q$1:$S$101,3,FALSE))</f>
        <v/>
      </c>
      <c r="I2818" s="1" t="str">
        <f>IF(Table2[[#This Row],[Description]]="","",IF(Table2[[#This Row],[Currency]]=$O$2,$P$2,HLOOKUP(Table2[[#This Row],[Date]],Funds!$C$10:$GV$11,2,FALSE)))</f>
        <v/>
      </c>
      <c r="J2818" s="215" t="str">
        <f>IF(Table2[[#This Row],[Description]]="","",Table2[[#This Row],[Value]]/Table2[[#This Row],[Conversion]])</f>
        <v/>
      </c>
      <c r="K2818" s="45" t="str">
        <f>IF(Table2[[#This Row],[Description]]="","",DATE(Table2[[#This Row],[Year]],Table2[[#This Row],[Month]],1))</f>
        <v/>
      </c>
    </row>
    <row r="2819" spans="7:11" x14ac:dyDescent="0.25">
      <c r="G2819" s="1" t="str">
        <f>IF(Table2[[#This Row],[Description]]="","",VLOOKUP(Table2[[#This Row],[Description]],$Q$1:$S$101,2,FALSE))</f>
        <v/>
      </c>
      <c r="H2819" s="1" t="str">
        <f>IF(Table2[[#This Row],[Description]]="","",VLOOKUP(Table2[[#This Row],[Description]],$Q$1:$S$101,3,FALSE))</f>
        <v/>
      </c>
      <c r="I2819" s="1" t="str">
        <f>IF(Table2[[#This Row],[Description]]="","",IF(Table2[[#This Row],[Currency]]=$O$2,$P$2,HLOOKUP(Table2[[#This Row],[Date]],Funds!$C$10:$GV$11,2,FALSE)))</f>
        <v/>
      </c>
      <c r="J2819" s="215" t="str">
        <f>IF(Table2[[#This Row],[Description]]="","",Table2[[#This Row],[Value]]/Table2[[#This Row],[Conversion]])</f>
        <v/>
      </c>
      <c r="K2819" s="45" t="str">
        <f>IF(Table2[[#This Row],[Description]]="","",DATE(Table2[[#This Row],[Year]],Table2[[#This Row],[Month]],1))</f>
        <v/>
      </c>
    </row>
    <row r="2820" spans="7:11" x14ac:dyDescent="0.25">
      <c r="G2820" s="1" t="str">
        <f>IF(Table2[[#This Row],[Description]]="","",VLOOKUP(Table2[[#This Row],[Description]],$Q$1:$S$101,2,FALSE))</f>
        <v/>
      </c>
      <c r="H2820" s="1" t="str">
        <f>IF(Table2[[#This Row],[Description]]="","",VLOOKUP(Table2[[#This Row],[Description]],$Q$1:$S$101,3,FALSE))</f>
        <v/>
      </c>
      <c r="I2820" s="1" t="str">
        <f>IF(Table2[[#This Row],[Description]]="","",IF(Table2[[#This Row],[Currency]]=$O$2,$P$2,HLOOKUP(Table2[[#This Row],[Date]],Funds!$C$10:$GV$11,2,FALSE)))</f>
        <v/>
      </c>
      <c r="J2820" s="215" t="str">
        <f>IF(Table2[[#This Row],[Description]]="","",Table2[[#This Row],[Value]]/Table2[[#This Row],[Conversion]])</f>
        <v/>
      </c>
      <c r="K2820" s="45" t="str">
        <f>IF(Table2[[#This Row],[Description]]="","",DATE(Table2[[#This Row],[Year]],Table2[[#This Row],[Month]],1))</f>
        <v/>
      </c>
    </row>
    <row r="2821" spans="7:11" x14ac:dyDescent="0.25">
      <c r="G2821" s="1" t="str">
        <f>IF(Table2[[#This Row],[Description]]="","",VLOOKUP(Table2[[#This Row],[Description]],$Q$1:$S$101,2,FALSE))</f>
        <v/>
      </c>
      <c r="H2821" s="1" t="str">
        <f>IF(Table2[[#This Row],[Description]]="","",VLOOKUP(Table2[[#This Row],[Description]],$Q$1:$S$101,3,FALSE))</f>
        <v/>
      </c>
      <c r="I2821" s="1" t="str">
        <f>IF(Table2[[#This Row],[Description]]="","",IF(Table2[[#This Row],[Currency]]=$O$2,$P$2,HLOOKUP(Table2[[#This Row],[Date]],Funds!$C$10:$GV$11,2,FALSE)))</f>
        <v/>
      </c>
      <c r="J2821" s="215" t="str">
        <f>IF(Table2[[#This Row],[Description]]="","",Table2[[#This Row],[Value]]/Table2[[#This Row],[Conversion]])</f>
        <v/>
      </c>
      <c r="K2821" s="45" t="str">
        <f>IF(Table2[[#This Row],[Description]]="","",DATE(Table2[[#This Row],[Year]],Table2[[#This Row],[Month]],1))</f>
        <v/>
      </c>
    </row>
    <row r="2822" spans="7:11" x14ac:dyDescent="0.25">
      <c r="G2822" s="1" t="str">
        <f>IF(Table2[[#This Row],[Description]]="","",VLOOKUP(Table2[[#This Row],[Description]],$Q$1:$S$101,2,FALSE))</f>
        <v/>
      </c>
      <c r="H2822" s="1" t="str">
        <f>IF(Table2[[#This Row],[Description]]="","",VLOOKUP(Table2[[#This Row],[Description]],$Q$1:$S$101,3,FALSE))</f>
        <v/>
      </c>
      <c r="I2822" s="1" t="str">
        <f>IF(Table2[[#This Row],[Description]]="","",IF(Table2[[#This Row],[Currency]]=$O$2,$P$2,HLOOKUP(Table2[[#This Row],[Date]],Funds!$C$10:$GV$11,2,FALSE)))</f>
        <v/>
      </c>
      <c r="J2822" s="215" t="str">
        <f>IF(Table2[[#This Row],[Description]]="","",Table2[[#This Row],[Value]]/Table2[[#This Row],[Conversion]])</f>
        <v/>
      </c>
      <c r="K2822" s="45" t="str">
        <f>IF(Table2[[#This Row],[Description]]="","",DATE(Table2[[#This Row],[Year]],Table2[[#This Row],[Month]],1))</f>
        <v/>
      </c>
    </row>
    <row r="2823" spans="7:11" x14ac:dyDescent="0.25">
      <c r="G2823" s="1" t="str">
        <f>IF(Table2[[#This Row],[Description]]="","",VLOOKUP(Table2[[#This Row],[Description]],$Q$1:$S$101,2,FALSE))</f>
        <v/>
      </c>
      <c r="H2823" s="1" t="str">
        <f>IF(Table2[[#This Row],[Description]]="","",VLOOKUP(Table2[[#This Row],[Description]],$Q$1:$S$101,3,FALSE))</f>
        <v/>
      </c>
      <c r="I2823" s="1" t="str">
        <f>IF(Table2[[#This Row],[Description]]="","",IF(Table2[[#This Row],[Currency]]=$O$2,$P$2,HLOOKUP(Table2[[#This Row],[Date]],Funds!$C$10:$GV$11,2,FALSE)))</f>
        <v/>
      </c>
      <c r="J2823" s="215" t="str">
        <f>IF(Table2[[#This Row],[Description]]="","",Table2[[#This Row],[Value]]/Table2[[#This Row],[Conversion]])</f>
        <v/>
      </c>
      <c r="K2823" s="45" t="str">
        <f>IF(Table2[[#This Row],[Description]]="","",DATE(Table2[[#This Row],[Year]],Table2[[#This Row],[Month]],1))</f>
        <v/>
      </c>
    </row>
    <row r="2824" spans="7:11" x14ac:dyDescent="0.25">
      <c r="G2824" s="1" t="str">
        <f>IF(Table2[[#This Row],[Description]]="","",VLOOKUP(Table2[[#This Row],[Description]],$Q$1:$S$101,2,FALSE))</f>
        <v/>
      </c>
      <c r="H2824" s="1" t="str">
        <f>IF(Table2[[#This Row],[Description]]="","",VLOOKUP(Table2[[#This Row],[Description]],$Q$1:$S$101,3,FALSE))</f>
        <v/>
      </c>
      <c r="I2824" s="1" t="str">
        <f>IF(Table2[[#This Row],[Description]]="","",IF(Table2[[#This Row],[Currency]]=$O$2,$P$2,HLOOKUP(Table2[[#This Row],[Date]],Funds!$C$10:$GV$11,2,FALSE)))</f>
        <v/>
      </c>
      <c r="J2824" s="215" t="str">
        <f>IF(Table2[[#This Row],[Description]]="","",Table2[[#This Row],[Value]]/Table2[[#This Row],[Conversion]])</f>
        <v/>
      </c>
      <c r="K2824" s="45" t="str">
        <f>IF(Table2[[#This Row],[Description]]="","",DATE(Table2[[#This Row],[Year]],Table2[[#This Row],[Month]],1))</f>
        <v/>
      </c>
    </row>
    <row r="2825" spans="7:11" x14ac:dyDescent="0.25">
      <c r="G2825" s="1" t="str">
        <f>IF(Table2[[#This Row],[Description]]="","",VLOOKUP(Table2[[#This Row],[Description]],$Q$1:$S$101,2,FALSE))</f>
        <v/>
      </c>
      <c r="H2825" s="1" t="str">
        <f>IF(Table2[[#This Row],[Description]]="","",VLOOKUP(Table2[[#This Row],[Description]],$Q$1:$S$101,3,FALSE))</f>
        <v/>
      </c>
      <c r="I2825" s="1" t="str">
        <f>IF(Table2[[#This Row],[Description]]="","",IF(Table2[[#This Row],[Currency]]=$O$2,$P$2,HLOOKUP(Table2[[#This Row],[Date]],Funds!$C$10:$GV$11,2,FALSE)))</f>
        <v/>
      </c>
      <c r="J2825" s="215" t="str">
        <f>IF(Table2[[#This Row],[Description]]="","",Table2[[#This Row],[Value]]/Table2[[#This Row],[Conversion]])</f>
        <v/>
      </c>
      <c r="K2825" s="45" t="str">
        <f>IF(Table2[[#This Row],[Description]]="","",DATE(Table2[[#This Row],[Year]],Table2[[#This Row],[Month]],1))</f>
        <v/>
      </c>
    </row>
    <row r="2826" spans="7:11" x14ac:dyDescent="0.25">
      <c r="G2826" s="1" t="str">
        <f>IF(Table2[[#This Row],[Description]]="","",VLOOKUP(Table2[[#This Row],[Description]],$Q$1:$S$101,2,FALSE))</f>
        <v/>
      </c>
      <c r="H2826" s="1" t="str">
        <f>IF(Table2[[#This Row],[Description]]="","",VLOOKUP(Table2[[#This Row],[Description]],$Q$1:$S$101,3,FALSE))</f>
        <v/>
      </c>
      <c r="I2826" s="1" t="str">
        <f>IF(Table2[[#This Row],[Description]]="","",IF(Table2[[#This Row],[Currency]]=$O$2,$P$2,HLOOKUP(Table2[[#This Row],[Date]],Funds!$C$10:$GV$11,2,FALSE)))</f>
        <v/>
      </c>
      <c r="J2826" s="215" t="str">
        <f>IF(Table2[[#This Row],[Description]]="","",Table2[[#This Row],[Value]]/Table2[[#This Row],[Conversion]])</f>
        <v/>
      </c>
      <c r="K2826" s="45" t="str">
        <f>IF(Table2[[#This Row],[Description]]="","",DATE(Table2[[#This Row],[Year]],Table2[[#This Row],[Month]],1))</f>
        <v/>
      </c>
    </row>
    <row r="2827" spans="7:11" x14ac:dyDescent="0.25">
      <c r="G2827" s="1" t="str">
        <f>IF(Table2[[#This Row],[Description]]="","",VLOOKUP(Table2[[#This Row],[Description]],$Q$1:$S$101,2,FALSE))</f>
        <v/>
      </c>
      <c r="H2827" s="1" t="str">
        <f>IF(Table2[[#This Row],[Description]]="","",VLOOKUP(Table2[[#This Row],[Description]],$Q$1:$S$101,3,FALSE))</f>
        <v/>
      </c>
      <c r="I2827" s="1" t="str">
        <f>IF(Table2[[#This Row],[Description]]="","",IF(Table2[[#This Row],[Currency]]=$O$2,$P$2,HLOOKUP(Table2[[#This Row],[Date]],Funds!$C$10:$GV$11,2,FALSE)))</f>
        <v/>
      </c>
      <c r="J2827" s="215" t="str">
        <f>IF(Table2[[#This Row],[Description]]="","",Table2[[#This Row],[Value]]/Table2[[#This Row],[Conversion]])</f>
        <v/>
      </c>
      <c r="K2827" s="45" t="str">
        <f>IF(Table2[[#This Row],[Description]]="","",DATE(Table2[[#This Row],[Year]],Table2[[#This Row],[Month]],1))</f>
        <v/>
      </c>
    </row>
    <row r="2828" spans="7:11" x14ac:dyDescent="0.25">
      <c r="G2828" s="1" t="str">
        <f>IF(Table2[[#This Row],[Description]]="","",VLOOKUP(Table2[[#This Row],[Description]],$Q$1:$S$101,2,FALSE))</f>
        <v/>
      </c>
      <c r="H2828" s="1" t="str">
        <f>IF(Table2[[#This Row],[Description]]="","",VLOOKUP(Table2[[#This Row],[Description]],$Q$1:$S$101,3,FALSE))</f>
        <v/>
      </c>
      <c r="I2828" s="1" t="str">
        <f>IF(Table2[[#This Row],[Description]]="","",IF(Table2[[#This Row],[Currency]]=$O$2,$P$2,HLOOKUP(Table2[[#This Row],[Date]],Funds!$C$10:$GV$11,2,FALSE)))</f>
        <v/>
      </c>
      <c r="J2828" s="215" t="str">
        <f>IF(Table2[[#This Row],[Description]]="","",Table2[[#This Row],[Value]]/Table2[[#This Row],[Conversion]])</f>
        <v/>
      </c>
      <c r="K2828" s="45" t="str">
        <f>IF(Table2[[#This Row],[Description]]="","",DATE(Table2[[#This Row],[Year]],Table2[[#This Row],[Month]],1))</f>
        <v/>
      </c>
    </row>
    <row r="2829" spans="7:11" x14ac:dyDescent="0.25">
      <c r="G2829" s="1" t="str">
        <f>IF(Table2[[#This Row],[Description]]="","",VLOOKUP(Table2[[#This Row],[Description]],$Q$1:$S$101,2,FALSE))</f>
        <v/>
      </c>
      <c r="H2829" s="1" t="str">
        <f>IF(Table2[[#This Row],[Description]]="","",VLOOKUP(Table2[[#This Row],[Description]],$Q$1:$S$101,3,FALSE))</f>
        <v/>
      </c>
      <c r="I2829" s="1" t="str">
        <f>IF(Table2[[#This Row],[Description]]="","",IF(Table2[[#This Row],[Currency]]=$O$2,$P$2,HLOOKUP(Table2[[#This Row],[Date]],Funds!$C$10:$GV$11,2,FALSE)))</f>
        <v/>
      </c>
      <c r="J2829" s="215" t="str">
        <f>IF(Table2[[#This Row],[Description]]="","",Table2[[#This Row],[Value]]/Table2[[#This Row],[Conversion]])</f>
        <v/>
      </c>
      <c r="K2829" s="45" t="str">
        <f>IF(Table2[[#This Row],[Description]]="","",DATE(Table2[[#This Row],[Year]],Table2[[#This Row],[Month]],1))</f>
        <v/>
      </c>
    </row>
    <row r="2830" spans="7:11" x14ac:dyDescent="0.25">
      <c r="G2830" s="1" t="str">
        <f>IF(Table2[[#This Row],[Description]]="","",VLOOKUP(Table2[[#This Row],[Description]],$Q$1:$S$101,2,FALSE))</f>
        <v/>
      </c>
      <c r="H2830" s="1" t="str">
        <f>IF(Table2[[#This Row],[Description]]="","",VLOOKUP(Table2[[#This Row],[Description]],$Q$1:$S$101,3,FALSE))</f>
        <v/>
      </c>
      <c r="I2830" s="1" t="str">
        <f>IF(Table2[[#This Row],[Description]]="","",IF(Table2[[#This Row],[Currency]]=$O$2,$P$2,HLOOKUP(Table2[[#This Row],[Date]],Funds!$C$10:$GV$11,2,FALSE)))</f>
        <v/>
      </c>
      <c r="J2830" s="215" t="str">
        <f>IF(Table2[[#This Row],[Description]]="","",Table2[[#This Row],[Value]]/Table2[[#This Row],[Conversion]])</f>
        <v/>
      </c>
      <c r="K2830" s="45" t="str">
        <f>IF(Table2[[#This Row],[Description]]="","",DATE(Table2[[#This Row],[Year]],Table2[[#This Row],[Month]],1))</f>
        <v/>
      </c>
    </row>
    <row r="2831" spans="7:11" x14ac:dyDescent="0.25">
      <c r="G2831" s="1" t="str">
        <f>IF(Table2[[#This Row],[Description]]="","",VLOOKUP(Table2[[#This Row],[Description]],$Q$1:$S$101,2,FALSE))</f>
        <v/>
      </c>
      <c r="H2831" s="1" t="str">
        <f>IF(Table2[[#This Row],[Description]]="","",VLOOKUP(Table2[[#This Row],[Description]],$Q$1:$S$101,3,FALSE))</f>
        <v/>
      </c>
      <c r="I2831" s="1" t="str">
        <f>IF(Table2[[#This Row],[Description]]="","",IF(Table2[[#This Row],[Currency]]=$O$2,$P$2,HLOOKUP(Table2[[#This Row],[Date]],Funds!$C$10:$GV$11,2,FALSE)))</f>
        <v/>
      </c>
      <c r="J2831" s="215" t="str">
        <f>IF(Table2[[#This Row],[Description]]="","",Table2[[#This Row],[Value]]/Table2[[#This Row],[Conversion]])</f>
        <v/>
      </c>
      <c r="K2831" s="45" t="str">
        <f>IF(Table2[[#This Row],[Description]]="","",DATE(Table2[[#This Row],[Year]],Table2[[#This Row],[Month]],1))</f>
        <v/>
      </c>
    </row>
    <row r="2832" spans="7:11" x14ac:dyDescent="0.25">
      <c r="G2832" s="1" t="str">
        <f>IF(Table2[[#This Row],[Description]]="","",VLOOKUP(Table2[[#This Row],[Description]],$Q$1:$S$101,2,FALSE))</f>
        <v/>
      </c>
      <c r="H2832" s="1" t="str">
        <f>IF(Table2[[#This Row],[Description]]="","",VLOOKUP(Table2[[#This Row],[Description]],$Q$1:$S$101,3,FALSE))</f>
        <v/>
      </c>
      <c r="I2832" s="1" t="str">
        <f>IF(Table2[[#This Row],[Description]]="","",IF(Table2[[#This Row],[Currency]]=$O$2,$P$2,HLOOKUP(Table2[[#This Row],[Date]],Funds!$C$10:$GV$11,2,FALSE)))</f>
        <v/>
      </c>
      <c r="J2832" s="215" t="str">
        <f>IF(Table2[[#This Row],[Description]]="","",Table2[[#This Row],[Value]]/Table2[[#This Row],[Conversion]])</f>
        <v/>
      </c>
      <c r="K2832" s="45" t="str">
        <f>IF(Table2[[#This Row],[Description]]="","",DATE(Table2[[#This Row],[Year]],Table2[[#This Row],[Month]],1))</f>
        <v/>
      </c>
    </row>
    <row r="2833" spans="7:11" x14ac:dyDescent="0.25">
      <c r="G2833" s="1" t="str">
        <f>IF(Table2[[#This Row],[Description]]="","",VLOOKUP(Table2[[#This Row],[Description]],$Q$1:$S$101,2,FALSE))</f>
        <v/>
      </c>
      <c r="H2833" s="1" t="str">
        <f>IF(Table2[[#This Row],[Description]]="","",VLOOKUP(Table2[[#This Row],[Description]],$Q$1:$S$101,3,FALSE))</f>
        <v/>
      </c>
      <c r="I2833" s="1" t="str">
        <f>IF(Table2[[#This Row],[Description]]="","",IF(Table2[[#This Row],[Currency]]=$O$2,$P$2,HLOOKUP(Table2[[#This Row],[Date]],Funds!$C$10:$GV$11,2,FALSE)))</f>
        <v/>
      </c>
      <c r="J2833" s="215" t="str">
        <f>IF(Table2[[#This Row],[Description]]="","",Table2[[#This Row],[Value]]/Table2[[#This Row],[Conversion]])</f>
        <v/>
      </c>
      <c r="K2833" s="45" t="str">
        <f>IF(Table2[[#This Row],[Description]]="","",DATE(Table2[[#This Row],[Year]],Table2[[#This Row],[Month]],1))</f>
        <v/>
      </c>
    </row>
    <row r="2834" spans="7:11" x14ac:dyDescent="0.25">
      <c r="G2834" s="1" t="str">
        <f>IF(Table2[[#This Row],[Description]]="","",VLOOKUP(Table2[[#This Row],[Description]],$Q$1:$S$101,2,FALSE))</f>
        <v/>
      </c>
      <c r="H2834" s="1" t="str">
        <f>IF(Table2[[#This Row],[Description]]="","",VLOOKUP(Table2[[#This Row],[Description]],$Q$1:$S$101,3,FALSE))</f>
        <v/>
      </c>
      <c r="I2834" s="1" t="str">
        <f>IF(Table2[[#This Row],[Description]]="","",IF(Table2[[#This Row],[Currency]]=$O$2,$P$2,HLOOKUP(Table2[[#This Row],[Date]],Funds!$C$10:$GV$11,2,FALSE)))</f>
        <v/>
      </c>
      <c r="J2834" s="215" t="str">
        <f>IF(Table2[[#This Row],[Description]]="","",Table2[[#This Row],[Value]]/Table2[[#This Row],[Conversion]])</f>
        <v/>
      </c>
      <c r="K2834" s="45" t="str">
        <f>IF(Table2[[#This Row],[Description]]="","",DATE(Table2[[#This Row],[Year]],Table2[[#This Row],[Month]],1))</f>
        <v/>
      </c>
    </row>
    <row r="2835" spans="7:11" x14ac:dyDescent="0.25">
      <c r="G2835" s="1" t="str">
        <f>IF(Table2[[#This Row],[Description]]="","",VLOOKUP(Table2[[#This Row],[Description]],$Q$1:$S$101,2,FALSE))</f>
        <v/>
      </c>
      <c r="H2835" s="1" t="str">
        <f>IF(Table2[[#This Row],[Description]]="","",VLOOKUP(Table2[[#This Row],[Description]],$Q$1:$S$101,3,FALSE))</f>
        <v/>
      </c>
      <c r="I2835" s="1" t="str">
        <f>IF(Table2[[#This Row],[Description]]="","",IF(Table2[[#This Row],[Currency]]=$O$2,$P$2,HLOOKUP(Table2[[#This Row],[Date]],Funds!$C$10:$GV$11,2,FALSE)))</f>
        <v/>
      </c>
      <c r="J2835" s="215" t="str">
        <f>IF(Table2[[#This Row],[Description]]="","",Table2[[#This Row],[Value]]/Table2[[#This Row],[Conversion]])</f>
        <v/>
      </c>
      <c r="K2835" s="45" t="str">
        <f>IF(Table2[[#This Row],[Description]]="","",DATE(Table2[[#This Row],[Year]],Table2[[#This Row],[Month]],1))</f>
        <v/>
      </c>
    </row>
    <row r="2836" spans="7:11" x14ac:dyDescent="0.25">
      <c r="G2836" s="1" t="str">
        <f>IF(Table2[[#This Row],[Description]]="","",VLOOKUP(Table2[[#This Row],[Description]],$Q$1:$S$101,2,FALSE))</f>
        <v/>
      </c>
      <c r="H2836" s="1" t="str">
        <f>IF(Table2[[#This Row],[Description]]="","",VLOOKUP(Table2[[#This Row],[Description]],$Q$1:$S$101,3,FALSE))</f>
        <v/>
      </c>
      <c r="I2836" s="1" t="str">
        <f>IF(Table2[[#This Row],[Description]]="","",IF(Table2[[#This Row],[Currency]]=$O$2,$P$2,HLOOKUP(Table2[[#This Row],[Date]],Funds!$C$10:$GV$11,2,FALSE)))</f>
        <v/>
      </c>
      <c r="J2836" s="215" t="str">
        <f>IF(Table2[[#This Row],[Description]]="","",Table2[[#This Row],[Value]]/Table2[[#This Row],[Conversion]])</f>
        <v/>
      </c>
      <c r="K2836" s="45" t="str">
        <f>IF(Table2[[#This Row],[Description]]="","",DATE(Table2[[#This Row],[Year]],Table2[[#This Row],[Month]],1))</f>
        <v/>
      </c>
    </row>
    <row r="2837" spans="7:11" x14ac:dyDescent="0.25">
      <c r="G2837" s="1" t="str">
        <f>IF(Table2[[#This Row],[Description]]="","",VLOOKUP(Table2[[#This Row],[Description]],$Q$1:$S$101,2,FALSE))</f>
        <v/>
      </c>
      <c r="H2837" s="1" t="str">
        <f>IF(Table2[[#This Row],[Description]]="","",VLOOKUP(Table2[[#This Row],[Description]],$Q$1:$S$101,3,FALSE))</f>
        <v/>
      </c>
      <c r="I2837" s="1" t="str">
        <f>IF(Table2[[#This Row],[Description]]="","",IF(Table2[[#This Row],[Currency]]=$O$2,$P$2,HLOOKUP(Table2[[#This Row],[Date]],Funds!$C$10:$GV$11,2,FALSE)))</f>
        <v/>
      </c>
      <c r="J2837" s="215" t="str">
        <f>IF(Table2[[#This Row],[Description]]="","",Table2[[#This Row],[Value]]/Table2[[#This Row],[Conversion]])</f>
        <v/>
      </c>
      <c r="K2837" s="45" t="str">
        <f>IF(Table2[[#This Row],[Description]]="","",DATE(Table2[[#This Row],[Year]],Table2[[#This Row],[Month]],1))</f>
        <v/>
      </c>
    </row>
    <row r="2838" spans="7:11" x14ac:dyDescent="0.25">
      <c r="G2838" s="1" t="str">
        <f>IF(Table2[[#This Row],[Description]]="","",VLOOKUP(Table2[[#This Row],[Description]],$Q$1:$S$101,2,FALSE))</f>
        <v/>
      </c>
      <c r="H2838" s="1" t="str">
        <f>IF(Table2[[#This Row],[Description]]="","",VLOOKUP(Table2[[#This Row],[Description]],$Q$1:$S$101,3,FALSE))</f>
        <v/>
      </c>
      <c r="I2838" s="1" t="str">
        <f>IF(Table2[[#This Row],[Description]]="","",IF(Table2[[#This Row],[Currency]]=$O$2,$P$2,HLOOKUP(Table2[[#This Row],[Date]],Funds!$C$10:$GV$11,2,FALSE)))</f>
        <v/>
      </c>
      <c r="J2838" s="215" t="str">
        <f>IF(Table2[[#This Row],[Description]]="","",Table2[[#This Row],[Value]]/Table2[[#This Row],[Conversion]])</f>
        <v/>
      </c>
      <c r="K2838" s="45" t="str">
        <f>IF(Table2[[#This Row],[Description]]="","",DATE(Table2[[#This Row],[Year]],Table2[[#This Row],[Month]],1))</f>
        <v/>
      </c>
    </row>
    <row r="2839" spans="7:11" x14ac:dyDescent="0.25">
      <c r="G2839" s="1" t="str">
        <f>IF(Table2[[#This Row],[Description]]="","",VLOOKUP(Table2[[#This Row],[Description]],$Q$1:$S$101,2,FALSE))</f>
        <v/>
      </c>
      <c r="H2839" s="1" t="str">
        <f>IF(Table2[[#This Row],[Description]]="","",VLOOKUP(Table2[[#This Row],[Description]],$Q$1:$S$101,3,FALSE))</f>
        <v/>
      </c>
      <c r="I2839" s="1" t="str">
        <f>IF(Table2[[#This Row],[Description]]="","",IF(Table2[[#This Row],[Currency]]=$O$2,$P$2,HLOOKUP(Table2[[#This Row],[Date]],Funds!$C$10:$GV$11,2,FALSE)))</f>
        <v/>
      </c>
      <c r="J2839" s="215" t="str">
        <f>IF(Table2[[#This Row],[Description]]="","",Table2[[#This Row],[Value]]/Table2[[#This Row],[Conversion]])</f>
        <v/>
      </c>
      <c r="K2839" s="45" t="str">
        <f>IF(Table2[[#This Row],[Description]]="","",DATE(Table2[[#This Row],[Year]],Table2[[#This Row],[Month]],1))</f>
        <v/>
      </c>
    </row>
    <row r="2840" spans="7:11" x14ac:dyDescent="0.25">
      <c r="G2840" s="1" t="str">
        <f>IF(Table2[[#This Row],[Description]]="","",VLOOKUP(Table2[[#This Row],[Description]],$Q$1:$S$101,2,FALSE))</f>
        <v/>
      </c>
      <c r="H2840" s="1" t="str">
        <f>IF(Table2[[#This Row],[Description]]="","",VLOOKUP(Table2[[#This Row],[Description]],$Q$1:$S$101,3,FALSE))</f>
        <v/>
      </c>
      <c r="I2840" s="1" t="str">
        <f>IF(Table2[[#This Row],[Description]]="","",IF(Table2[[#This Row],[Currency]]=$O$2,$P$2,HLOOKUP(Table2[[#This Row],[Date]],Funds!$C$10:$GV$11,2,FALSE)))</f>
        <v/>
      </c>
      <c r="J2840" s="215" t="str">
        <f>IF(Table2[[#This Row],[Description]]="","",Table2[[#This Row],[Value]]/Table2[[#This Row],[Conversion]])</f>
        <v/>
      </c>
      <c r="K2840" s="45" t="str">
        <f>IF(Table2[[#This Row],[Description]]="","",DATE(Table2[[#This Row],[Year]],Table2[[#This Row],[Month]],1))</f>
        <v/>
      </c>
    </row>
    <row r="2841" spans="7:11" x14ac:dyDescent="0.25">
      <c r="G2841" s="1" t="str">
        <f>IF(Table2[[#This Row],[Description]]="","",VLOOKUP(Table2[[#This Row],[Description]],$Q$1:$S$101,2,FALSE))</f>
        <v/>
      </c>
      <c r="H2841" s="1" t="str">
        <f>IF(Table2[[#This Row],[Description]]="","",VLOOKUP(Table2[[#This Row],[Description]],$Q$1:$S$101,3,FALSE))</f>
        <v/>
      </c>
      <c r="I2841" s="1" t="str">
        <f>IF(Table2[[#This Row],[Description]]="","",IF(Table2[[#This Row],[Currency]]=$O$2,$P$2,HLOOKUP(Table2[[#This Row],[Date]],Funds!$C$10:$GV$11,2,FALSE)))</f>
        <v/>
      </c>
      <c r="J2841" s="215" t="str">
        <f>IF(Table2[[#This Row],[Description]]="","",Table2[[#This Row],[Value]]/Table2[[#This Row],[Conversion]])</f>
        <v/>
      </c>
      <c r="K2841" s="45" t="str">
        <f>IF(Table2[[#This Row],[Description]]="","",DATE(Table2[[#This Row],[Year]],Table2[[#This Row],[Month]],1))</f>
        <v/>
      </c>
    </row>
    <row r="2842" spans="7:11" x14ac:dyDescent="0.25">
      <c r="G2842" s="1" t="str">
        <f>IF(Table2[[#This Row],[Description]]="","",VLOOKUP(Table2[[#This Row],[Description]],$Q$1:$S$101,2,FALSE))</f>
        <v/>
      </c>
      <c r="H2842" s="1" t="str">
        <f>IF(Table2[[#This Row],[Description]]="","",VLOOKUP(Table2[[#This Row],[Description]],$Q$1:$S$101,3,FALSE))</f>
        <v/>
      </c>
      <c r="I2842" s="1" t="str">
        <f>IF(Table2[[#This Row],[Description]]="","",IF(Table2[[#This Row],[Currency]]=$O$2,$P$2,HLOOKUP(Table2[[#This Row],[Date]],Funds!$C$10:$GV$11,2,FALSE)))</f>
        <v/>
      </c>
      <c r="J2842" s="215" t="str">
        <f>IF(Table2[[#This Row],[Description]]="","",Table2[[#This Row],[Value]]/Table2[[#This Row],[Conversion]])</f>
        <v/>
      </c>
      <c r="K2842" s="45" t="str">
        <f>IF(Table2[[#This Row],[Description]]="","",DATE(Table2[[#This Row],[Year]],Table2[[#This Row],[Month]],1))</f>
        <v/>
      </c>
    </row>
    <row r="2843" spans="7:11" x14ac:dyDescent="0.25">
      <c r="G2843" s="1" t="str">
        <f>IF(Table2[[#This Row],[Description]]="","",VLOOKUP(Table2[[#This Row],[Description]],$Q$1:$S$101,2,FALSE))</f>
        <v/>
      </c>
      <c r="H2843" s="1" t="str">
        <f>IF(Table2[[#This Row],[Description]]="","",VLOOKUP(Table2[[#This Row],[Description]],$Q$1:$S$101,3,FALSE))</f>
        <v/>
      </c>
      <c r="I2843" s="1" t="str">
        <f>IF(Table2[[#This Row],[Description]]="","",IF(Table2[[#This Row],[Currency]]=$O$2,$P$2,HLOOKUP(Table2[[#This Row],[Date]],Funds!$C$10:$GV$11,2,FALSE)))</f>
        <v/>
      </c>
      <c r="J2843" s="215" t="str">
        <f>IF(Table2[[#This Row],[Description]]="","",Table2[[#This Row],[Value]]/Table2[[#This Row],[Conversion]])</f>
        <v/>
      </c>
      <c r="K2843" s="45" t="str">
        <f>IF(Table2[[#This Row],[Description]]="","",DATE(Table2[[#This Row],[Year]],Table2[[#This Row],[Month]],1))</f>
        <v/>
      </c>
    </row>
    <row r="2844" spans="7:11" x14ac:dyDescent="0.25">
      <c r="G2844" s="1" t="str">
        <f>IF(Table2[[#This Row],[Description]]="","",VLOOKUP(Table2[[#This Row],[Description]],$Q$1:$S$101,2,FALSE))</f>
        <v/>
      </c>
      <c r="H2844" s="1" t="str">
        <f>IF(Table2[[#This Row],[Description]]="","",VLOOKUP(Table2[[#This Row],[Description]],$Q$1:$S$101,3,FALSE))</f>
        <v/>
      </c>
      <c r="I2844" s="1" t="str">
        <f>IF(Table2[[#This Row],[Description]]="","",IF(Table2[[#This Row],[Currency]]=$O$2,$P$2,HLOOKUP(Table2[[#This Row],[Date]],Funds!$C$10:$GV$11,2,FALSE)))</f>
        <v/>
      </c>
      <c r="J2844" s="215" t="str">
        <f>IF(Table2[[#This Row],[Description]]="","",Table2[[#This Row],[Value]]/Table2[[#This Row],[Conversion]])</f>
        <v/>
      </c>
      <c r="K2844" s="45" t="str">
        <f>IF(Table2[[#This Row],[Description]]="","",DATE(Table2[[#This Row],[Year]],Table2[[#This Row],[Month]],1))</f>
        <v/>
      </c>
    </row>
    <row r="2845" spans="7:11" x14ac:dyDescent="0.25">
      <c r="G2845" s="1" t="str">
        <f>IF(Table2[[#This Row],[Description]]="","",VLOOKUP(Table2[[#This Row],[Description]],$Q$1:$S$101,2,FALSE))</f>
        <v/>
      </c>
      <c r="H2845" s="1" t="str">
        <f>IF(Table2[[#This Row],[Description]]="","",VLOOKUP(Table2[[#This Row],[Description]],$Q$1:$S$101,3,FALSE))</f>
        <v/>
      </c>
      <c r="I2845" s="1" t="str">
        <f>IF(Table2[[#This Row],[Description]]="","",IF(Table2[[#This Row],[Currency]]=$O$2,$P$2,HLOOKUP(Table2[[#This Row],[Date]],Funds!$C$10:$GV$11,2,FALSE)))</f>
        <v/>
      </c>
      <c r="J2845" s="215" t="str">
        <f>IF(Table2[[#This Row],[Description]]="","",Table2[[#This Row],[Value]]/Table2[[#This Row],[Conversion]])</f>
        <v/>
      </c>
      <c r="K2845" s="45" t="str">
        <f>IF(Table2[[#This Row],[Description]]="","",DATE(Table2[[#This Row],[Year]],Table2[[#This Row],[Month]],1))</f>
        <v/>
      </c>
    </row>
    <row r="2846" spans="7:11" x14ac:dyDescent="0.25">
      <c r="G2846" s="1" t="str">
        <f>IF(Table2[[#This Row],[Description]]="","",VLOOKUP(Table2[[#This Row],[Description]],$Q$1:$S$101,2,FALSE))</f>
        <v/>
      </c>
      <c r="H2846" s="1" t="str">
        <f>IF(Table2[[#This Row],[Description]]="","",VLOOKUP(Table2[[#This Row],[Description]],$Q$1:$S$101,3,FALSE))</f>
        <v/>
      </c>
      <c r="I2846" s="1" t="str">
        <f>IF(Table2[[#This Row],[Description]]="","",IF(Table2[[#This Row],[Currency]]=$O$2,$P$2,HLOOKUP(Table2[[#This Row],[Date]],Funds!$C$10:$GV$11,2,FALSE)))</f>
        <v/>
      </c>
      <c r="J2846" s="215" t="str">
        <f>IF(Table2[[#This Row],[Description]]="","",Table2[[#This Row],[Value]]/Table2[[#This Row],[Conversion]])</f>
        <v/>
      </c>
      <c r="K2846" s="45" t="str">
        <f>IF(Table2[[#This Row],[Description]]="","",DATE(Table2[[#This Row],[Year]],Table2[[#This Row],[Month]],1))</f>
        <v/>
      </c>
    </row>
    <row r="2847" spans="7:11" x14ac:dyDescent="0.25">
      <c r="G2847" s="1" t="str">
        <f>IF(Table2[[#This Row],[Description]]="","",VLOOKUP(Table2[[#This Row],[Description]],$Q$1:$S$101,2,FALSE))</f>
        <v/>
      </c>
      <c r="H2847" s="1" t="str">
        <f>IF(Table2[[#This Row],[Description]]="","",VLOOKUP(Table2[[#This Row],[Description]],$Q$1:$S$101,3,FALSE))</f>
        <v/>
      </c>
      <c r="I2847" s="1" t="str">
        <f>IF(Table2[[#This Row],[Description]]="","",IF(Table2[[#This Row],[Currency]]=$O$2,$P$2,HLOOKUP(Table2[[#This Row],[Date]],Funds!$C$10:$GV$11,2,FALSE)))</f>
        <v/>
      </c>
      <c r="J2847" s="215" t="str">
        <f>IF(Table2[[#This Row],[Description]]="","",Table2[[#This Row],[Value]]/Table2[[#This Row],[Conversion]])</f>
        <v/>
      </c>
      <c r="K2847" s="45" t="str">
        <f>IF(Table2[[#This Row],[Description]]="","",DATE(Table2[[#This Row],[Year]],Table2[[#This Row],[Month]],1))</f>
        <v/>
      </c>
    </row>
    <row r="2848" spans="7:11" x14ac:dyDescent="0.25">
      <c r="G2848" s="1" t="str">
        <f>IF(Table2[[#This Row],[Description]]="","",VLOOKUP(Table2[[#This Row],[Description]],$Q$1:$S$101,2,FALSE))</f>
        <v/>
      </c>
      <c r="H2848" s="1" t="str">
        <f>IF(Table2[[#This Row],[Description]]="","",VLOOKUP(Table2[[#This Row],[Description]],$Q$1:$S$101,3,FALSE))</f>
        <v/>
      </c>
      <c r="I2848" s="1" t="str">
        <f>IF(Table2[[#This Row],[Description]]="","",IF(Table2[[#This Row],[Currency]]=$O$2,$P$2,HLOOKUP(Table2[[#This Row],[Date]],Funds!$C$10:$GV$11,2,FALSE)))</f>
        <v/>
      </c>
      <c r="J2848" s="215" t="str">
        <f>IF(Table2[[#This Row],[Description]]="","",Table2[[#This Row],[Value]]/Table2[[#This Row],[Conversion]])</f>
        <v/>
      </c>
      <c r="K2848" s="45" t="str">
        <f>IF(Table2[[#This Row],[Description]]="","",DATE(Table2[[#This Row],[Year]],Table2[[#This Row],[Month]],1))</f>
        <v/>
      </c>
    </row>
    <row r="2849" spans="7:11" x14ac:dyDescent="0.25">
      <c r="G2849" s="1" t="str">
        <f>IF(Table2[[#This Row],[Description]]="","",VLOOKUP(Table2[[#This Row],[Description]],$Q$1:$S$101,2,FALSE))</f>
        <v/>
      </c>
      <c r="H2849" s="1" t="str">
        <f>IF(Table2[[#This Row],[Description]]="","",VLOOKUP(Table2[[#This Row],[Description]],$Q$1:$S$101,3,FALSE))</f>
        <v/>
      </c>
      <c r="I2849" s="1" t="str">
        <f>IF(Table2[[#This Row],[Description]]="","",IF(Table2[[#This Row],[Currency]]=$O$2,$P$2,HLOOKUP(Table2[[#This Row],[Date]],Funds!$C$10:$GV$11,2,FALSE)))</f>
        <v/>
      </c>
      <c r="J2849" s="215" t="str">
        <f>IF(Table2[[#This Row],[Description]]="","",Table2[[#This Row],[Value]]/Table2[[#This Row],[Conversion]])</f>
        <v/>
      </c>
      <c r="K2849" s="45" t="str">
        <f>IF(Table2[[#This Row],[Description]]="","",DATE(Table2[[#This Row],[Year]],Table2[[#This Row],[Month]],1))</f>
        <v/>
      </c>
    </row>
    <row r="2850" spans="7:11" x14ac:dyDescent="0.25">
      <c r="G2850" s="1" t="str">
        <f>IF(Table2[[#This Row],[Description]]="","",VLOOKUP(Table2[[#This Row],[Description]],$Q$1:$S$101,2,FALSE))</f>
        <v/>
      </c>
      <c r="H2850" s="1" t="str">
        <f>IF(Table2[[#This Row],[Description]]="","",VLOOKUP(Table2[[#This Row],[Description]],$Q$1:$S$101,3,FALSE))</f>
        <v/>
      </c>
      <c r="I2850" s="1" t="str">
        <f>IF(Table2[[#This Row],[Description]]="","",IF(Table2[[#This Row],[Currency]]=$O$2,$P$2,HLOOKUP(Table2[[#This Row],[Date]],Funds!$C$10:$GV$11,2,FALSE)))</f>
        <v/>
      </c>
      <c r="J2850" s="215" t="str">
        <f>IF(Table2[[#This Row],[Description]]="","",Table2[[#This Row],[Value]]/Table2[[#This Row],[Conversion]])</f>
        <v/>
      </c>
      <c r="K2850" s="45" t="str">
        <f>IF(Table2[[#This Row],[Description]]="","",DATE(Table2[[#This Row],[Year]],Table2[[#This Row],[Month]],1))</f>
        <v/>
      </c>
    </row>
    <row r="2851" spans="7:11" x14ac:dyDescent="0.25">
      <c r="G2851" s="1" t="str">
        <f>IF(Table2[[#This Row],[Description]]="","",VLOOKUP(Table2[[#This Row],[Description]],$Q$1:$S$101,2,FALSE))</f>
        <v/>
      </c>
      <c r="H2851" s="1" t="str">
        <f>IF(Table2[[#This Row],[Description]]="","",VLOOKUP(Table2[[#This Row],[Description]],$Q$1:$S$101,3,FALSE))</f>
        <v/>
      </c>
      <c r="I2851" s="1" t="str">
        <f>IF(Table2[[#This Row],[Description]]="","",IF(Table2[[#This Row],[Currency]]=$O$2,$P$2,HLOOKUP(Table2[[#This Row],[Date]],Funds!$C$10:$GV$11,2,FALSE)))</f>
        <v/>
      </c>
      <c r="J2851" s="215" t="str">
        <f>IF(Table2[[#This Row],[Description]]="","",Table2[[#This Row],[Value]]/Table2[[#This Row],[Conversion]])</f>
        <v/>
      </c>
      <c r="K2851" s="45" t="str">
        <f>IF(Table2[[#This Row],[Description]]="","",DATE(Table2[[#This Row],[Year]],Table2[[#This Row],[Month]],1))</f>
        <v/>
      </c>
    </row>
    <row r="2852" spans="7:11" x14ac:dyDescent="0.25">
      <c r="G2852" s="1" t="str">
        <f>IF(Table2[[#This Row],[Description]]="","",VLOOKUP(Table2[[#This Row],[Description]],$Q$1:$S$101,2,FALSE))</f>
        <v/>
      </c>
      <c r="H2852" s="1" t="str">
        <f>IF(Table2[[#This Row],[Description]]="","",VLOOKUP(Table2[[#This Row],[Description]],$Q$1:$S$101,3,FALSE))</f>
        <v/>
      </c>
      <c r="I2852" s="1" t="str">
        <f>IF(Table2[[#This Row],[Description]]="","",IF(Table2[[#This Row],[Currency]]=$O$2,$P$2,HLOOKUP(Table2[[#This Row],[Date]],Funds!$C$10:$GV$11,2,FALSE)))</f>
        <v/>
      </c>
      <c r="J2852" s="215" t="str">
        <f>IF(Table2[[#This Row],[Description]]="","",Table2[[#This Row],[Value]]/Table2[[#This Row],[Conversion]])</f>
        <v/>
      </c>
      <c r="K2852" s="45" t="str">
        <f>IF(Table2[[#This Row],[Description]]="","",DATE(Table2[[#This Row],[Year]],Table2[[#This Row],[Month]],1))</f>
        <v/>
      </c>
    </row>
    <row r="2853" spans="7:11" x14ac:dyDescent="0.25">
      <c r="G2853" s="1" t="str">
        <f>IF(Table2[[#This Row],[Description]]="","",VLOOKUP(Table2[[#This Row],[Description]],$Q$1:$S$101,2,FALSE))</f>
        <v/>
      </c>
      <c r="H2853" s="1" t="str">
        <f>IF(Table2[[#This Row],[Description]]="","",VLOOKUP(Table2[[#This Row],[Description]],$Q$1:$S$101,3,FALSE))</f>
        <v/>
      </c>
      <c r="I2853" s="1" t="str">
        <f>IF(Table2[[#This Row],[Description]]="","",IF(Table2[[#This Row],[Currency]]=$O$2,$P$2,HLOOKUP(Table2[[#This Row],[Date]],Funds!$C$10:$GV$11,2,FALSE)))</f>
        <v/>
      </c>
      <c r="J2853" s="215" t="str">
        <f>IF(Table2[[#This Row],[Description]]="","",Table2[[#This Row],[Value]]/Table2[[#This Row],[Conversion]])</f>
        <v/>
      </c>
      <c r="K2853" s="45" t="str">
        <f>IF(Table2[[#This Row],[Description]]="","",DATE(Table2[[#This Row],[Year]],Table2[[#This Row],[Month]],1))</f>
        <v/>
      </c>
    </row>
    <row r="2854" spans="7:11" x14ac:dyDescent="0.25">
      <c r="G2854" s="1" t="str">
        <f>IF(Table2[[#This Row],[Description]]="","",VLOOKUP(Table2[[#This Row],[Description]],$Q$1:$S$101,2,FALSE))</f>
        <v/>
      </c>
      <c r="H2854" s="1" t="str">
        <f>IF(Table2[[#This Row],[Description]]="","",VLOOKUP(Table2[[#This Row],[Description]],$Q$1:$S$101,3,FALSE))</f>
        <v/>
      </c>
      <c r="I2854" s="1" t="str">
        <f>IF(Table2[[#This Row],[Description]]="","",IF(Table2[[#This Row],[Currency]]=$O$2,$P$2,HLOOKUP(Table2[[#This Row],[Date]],Funds!$C$10:$GV$11,2,FALSE)))</f>
        <v/>
      </c>
      <c r="J2854" s="215" t="str">
        <f>IF(Table2[[#This Row],[Description]]="","",Table2[[#This Row],[Value]]/Table2[[#This Row],[Conversion]])</f>
        <v/>
      </c>
      <c r="K2854" s="45" t="str">
        <f>IF(Table2[[#This Row],[Description]]="","",DATE(Table2[[#This Row],[Year]],Table2[[#This Row],[Month]],1))</f>
        <v/>
      </c>
    </row>
    <row r="2855" spans="7:11" x14ac:dyDescent="0.25">
      <c r="G2855" s="1" t="str">
        <f>IF(Table2[[#This Row],[Description]]="","",VLOOKUP(Table2[[#This Row],[Description]],$Q$1:$S$101,2,FALSE))</f>
        <v/>
      </c>
      <c r="H2855" s="1" t="str">
        <f>IF(Table2[[#This Row],[Description]]="","",VLOOKUP(Table2[[#This Row],[Description]],$Q$1:$S$101,3,FALSE))</f>
        <v/>
      </c>
      <c r="I2855" s="1" t="str">
        <f>IF(Table2[[#This Row],[Description]]="","",IF(Table2[[#This Row],[Currency]]=$O$2,$P$2,HLOOKUP(Table2[[#This Row],[Date]],Funds!$C$10:$GV$11,2,FALSE)))</f>
        <v/>
      </c>
      <c r="J2855" s="215" t="str">
        <f>IF(Table2[[#This Row],[Description]]="","",Table2[[#This Row],[Value]]/Table2[[#This Row],[Conversion]])</f>
        <v/>
      </c>
      <c r="K2855" s="45" t="str">
        <f>IF(Table2[[#This Row],[Description]]="","",DATE(Table2[[#This Row],[Year]],Table2[[#This Row],[Month]],1))</f>
        <v/>
      </c>
    </row>
    <row r="2856" spans="7:11" x14ac:dyDescent="0.25">
      <c r="G2856" s="1" t="str">
        <f>IF(Table2[[#This Row],[Description]]="","",VLOOKUP(Table2[[#This Row],[Description]],$Q$1:$S$101,2,FALSE))</f>
        <v/>
      </c>
      <c r="H2856" s="1" t="str">
        <f>IF(Table2[[#This Row],[Description]]="","",VLOOKUP(Table2[[#This Row],[Description]],$Q$1:$S$101,3,FALSE))</f>
        <v/>
      </c>
      <c r="I2856" s="1" t="str">
        <f>IF(Table2[[#This Row],[Description]]="","",IF(Table2[[#This Row],[Currency]]=$O$2,$P$2,HLOOKUP(Table2[[#This Row],[Date]],Funds!$C$10:$GV$11,2,FALSE)))</f>
        <v/>
      </c>
      <c r="J2856" s="215" t="str">
        <f>IF(Table2[[#This Row],[Description]]="","",Table2[[#This Row],[Value]]/Table2[[#This Row],[Conversion]])</f>
        <v/>
      </c>
      <c r="K2856" s="45" t="str">
        <f>IF(Table2[[#This Row],[Description]]="","",DATE(Table2[[#This Row],[Year]],Table2[[#This Row],[Month]],1))</f>
        <v/>
      </c>
    </row>
    <row r="2857" spans="7:11" x14ac:dyDescent="0.25">
      <c r="G2857" s="1" t="str">
        <f>IF(Table2[[#This Row],[Description]]="","",VLOOKUP(Table2[[#This Row],[Description]],$Q$1:$S$101,2,FALSE))</f>
        <v/>
      </c>
      <c r="H2857" s="1" t="str">
        <f>IF(Table2[[#This Row],[Description]]="","",VLOOKUP(Table2[[#This Row],[Description]],$Q$1:$S$101,3,FALSE))</f>
        <v/>
      </c>
      <c r="I2857" s="1" t="str">
        <f>IF(Table2[[#This Row],[Description]]="","",IF(Table2[[#This Row],[Currency]]=$O$2,$P$2,HLOOKUP(Table2[[#This Row],[Date]],Funds!$C$10:$GV$11,2,FALSE)))</f>
        <v/>
      </c>
      <c r="J2857" s="215" t="str">
        <f>IF(Table2[[#This Row],[Description]]="","",Table2[[#This Row],[Value]]/Table2[[#This Row],[Conversion]])</f>
        <v/>
      </c>
      <c r="K2857" s="45" t="str">
        <f>IF(Table2[[#This Row],[Description]]="","",DATE(Table2[[#This Row],[Year]],Table2[[#This Row],[Month]],1))</f>
        <v/>
      </c>
    </row>
    <row r="2858" spans="7:11" x14ac:dyDescent="0.25">
      <c r="G2858" s="1" t="str">
        <f>IF(Table2[[#This Row],[Description]]="","",VLOOKUP(Table2[[#This Row],[Description]],$Q$1:$S$101,2,FALSE))</f>
        <v/>
      </c>
      <c r="H2858" s="1" t="str">
        <f>IF(Table2[[#This Row],[Description]]="","",VLOOKUP(Table2[[#This Row],[Description]],$Q$1:$S$101,3,FALSE))</f>
        <v/>
      </c>
      <c r="I2858" s="1" t="str">
        <f>IF(Table2[[#This Row],[Description]]="","",IF(Table2[[#This Row],[Currency]]=$O$2,$P$2,HLOOKUP(Table2[[#This Row],[Date]],Funds!$C$10:$GV$11,2,FALSE)))</f>
        <v/>
      </c>
      <c r="J2858" s="215" t="str">
        <f>IF(Table2[[#This Row],[Description]]="","",Table2[[#This Row],[Value]]/Table2[[#This Row],[Conversion]])</f>
        <v/>
      </c>
      <c r="K2858" s="45" t="str">
        <f>IF(Table2[[#This Row],[Description]]="","",DATE(Table2[[#This Row],[Year]],Table2[[#This Row],[Month]],1))</f>
        <v/>
      </c>
    </row>
    <row r="2859" spans="7:11" x14ac:dyDescent="0.25">
      <c r="G2859" s="1" t="str">
        <f>IF(Table2[[#This Row],[Description]]="","",VLOOKUP(Table2[[#This Row],[Description]],$Q$1:$S$101,2,FALSE))</f>
        <v/>
      </c>
      <c r="H2859" s="1" t="str">
        <f>IF(Table2[[#This Row],[Description]]="","",VLOOKUP(Table2[[#This Row],[Description]],$Q$1:$S$101,3,FALSE))</f>
        <v/>
      </c>
      <c r="I2859" s="1" t="str">
        <f>IF(Table2[[#This Row],[Description]]="","",IF(Table2[[#This Row],[Currency]]=$O$2,$P$2,HLOOKUP(Table2[[#This Row],[Date]],Funds!$C$10:$GV$11,2,FALSE)))</f>
        <v/>
      </c>
      <c r="J2859" s="215" t="str">
        <f>IF(Table2[[#This Row],[Description]]="","",Table2[[#This Row],[Value]]/Table2[[#This Row],[Conversion]])</f>
        <v/>
      </c>
      <c r="K2859" s="45" t="str">
        <f>IF(Table2[[#This Row],[Description]]="","",DATE(Table2[[#This Row],[Year]],Table2[[#This Row],[Month]],1))</f>
        <v/>
      </c>
    </row>
    <row r="2860" spans="7:11" x14ac:dyDescent="0.25">
      <c r="G2860" s="1" t="str">
        <f>IF(Table2[[#This Row],[Description]]="","",VLOOKUP(Table2[[#This Row],[Description]],$Q$1:$S$101,2,FALSE))</f>
        <v/>
      </c>
      <c r="H2860" s="1" t="str">
        <f>IF(Table2[[#This Row],[Description]]="","",VLOOKUP(Table2[[#This Row],[Description]],$Q$1:$S$101,3,FALSE))</f>
        <v/>
      </c>
      <c r="I2860" s="1" t="str">
        <f>IF(Table2[[#This Row],[Description]]="","",IF(Table2[[#This Row],[Currency]]=$O$2,$P$2,HLOOKUP(Table2[[#This Row],[Date]],Funds!$C$10:$GV$11,2,FALSE)))</f>
        <v/>
      </c>
      <c r="J2860" s="215" t="str">
        <f>IF(Table2[[#This Row],[Description]]="","",Table2[[#This Row],[Value]]/Table2[[#This Row],[Conversion]])</f>
        <v/>
      </c>
      <c r="K2860" s="45" t="str">
        <f>IF(Table2[[#This Row],[Description]]="","",DATE(Table2[[#This Row],[Year]],Table2[[#This Row],[Month]],1))</f>
        <v/>
      </c>
    </row>
    <row r="2861" spans="7:11" x14ac:dyDescent="0.25">
      <c r="G2861" s="1" t="str">
        <f>IF(Table2[[#This Row],[Description]]="","",VLOOKUP(Table2[[#This Row],[Description]],$Q$1:$S$101,2,FALSE))</f>
        <v/>
      </c>
      <c r="H2861" s="1" t="str">
        <f>IF(Table2[[#This Row],[Description]]="","",VLOOKUP(Table2[[#This Row],[Description]],$Q$1:$S$101,3,FALSE))</f>
        <v/>
      </c>
      <c r="I2861" s="1" t="str">
        <f>IF(Table2[[#This Row],[Description]]="","",IF(Table2[[#This Row],[Currency]]=$O$2,$P$2,HLOOKUP(Table2[[#This Row],[Date]],Funds!$C$10:$GV$11,2,FALSE)))</f>
        <v/>
      </c>
      <c r="J2861" s="215" t="str">
        <f>IF(Table2[[#This Row],[Description]]="","",Table2[[#This Row],[Value]]/Table2[[#This Row],[Conversion]])</f>
        <v/>
      </c>
      <c r="K2861" s="45" t="str">
        <f>IF(Table2[[#This Row],[Description]]="","",DATE(Table2[[#This Row],[Year]],Table2[[#This Row],[Month]],1))</f>
        <v/>
      </c>
    </row>
    <row r="2862" spans="7:11" x14ac:dyDescent="0.25">
      <c r="G2862" s="1" t="str">
        <f>IF(Table2[[#This Row],[Description]]="","",VLOOKUP(Table2[[#This Row],[Description]],$Q$1:$S$101,2,FALSE))</f>
        <v/>
      </c>
      <c r="H2862" s="1" t="str">
        <f>IF(Table2[[#This Row],[Description]]="","",VLOOKUP(Table2[[#This Row],[Description]],$Q$1:$S$101,3,FALSE))</f>
        <v/>
      </c>
      <c r="I2862" s="1" t="str">
        <f>IF(Table2[[#This Row],[Description]]="","",IF(Table2[[#This Row],[Currency]]=$O$2,$P$2,HLOOKUP(Table2[[#This Row],[Date]],Funds!$C$10:$GV$11,2,FALSE)))</f>
        <v/>
      </c>
      <c r="J2862" s="215" t="str">
        <f>IF(Table2[[#This Row],[Description]]="","",Table2[[#This Row],[Value]]/Table2[[#This Row],[Conversion]])</f>
        <v/>
      </c>
      <c r="K2862" s="45" t="str">
        <f>IF(Table2[[#This Row],[Description]]="","",DATE(Table2[[#This Row],[Year]],Table2[[#This Row],[Month]],1))</f>
        <v/>
      </c>
    </row>
    <row r="2863" spans="7:11" x14ac:dyDescent="0.25">
      <c r="G2863" s="1" t="str">
        <f>IF(Table2[[#This Row],[Description]]="","",VLOOKUP(Table2[[#This Row],[Description]],$Q$1:$S$101,2,FALSE))</f>
        <v/>
      </c>
      <c r="H2863" s="1" t="str">
        <f>IF(Table2[[#This Row],[Description]]="","",VLOOKUP(Table2[[#This Row],[Description]],$Q$1:$S$101,3,FALSE))</f>
        <v/>
      </c>
      <c r="I2863" s="1" t="str">
        <f>IF(Table2[[#This Row],[Description]]="","",IF(Table2[[#This Row],[Currency]]=$O$2,$P$2,HLOOKUP(Table2[[#This Row],[Date]],Funds!$C$10:$GV$11,2,FALSE)))</f>
        <v/>
      </c>
      <c r="J2863" s="215" t="str">
        <f>IF(Table2[[#This Row],[Description]]="","",Table2[[#This Row],[Value]]/Table2[[#This Row],[Conversion]])</f>
        <v/>
      </c>
      <c r="K2863" s="45" t="str">
        <f>IF(Table2[[#This Row],[Description]]="","",DATE(Table2[[#This Row],[Year]],Table2[[#This Row],[Month]],1))</f>
        <v/>
      </c>
    </row>
    <row r="2864" spans="7:11" x14ac:dyDescent="0.25">
      <c r="G2864" s="1" t="str">
        <f>IF(Table2[[#This Row],[Description]]="","",VLOOKUP(Table2[[#This Row],[Description]],$Q$1:$S$101,2,FALSE))</f>
        <v/>
      </c>
      <c r="H2864" s="1" t="str">
        <f>IF(Table2[[#This Row],[Description]]="","",VLOOKUP(Table2[[#This Row],[Description]],$Q$1:$S$101,3,FALSE))</f>
        <v/>
      </c>
      <c r="I2864" s="1" t="str">
        <f>IF(Table2[[#This Row],[Description]]="","",IF(Table2[[#This Row],[Currency]]=$O$2,$P$2,HLOOKUP(Table2[[#This Row],[Date]],Funds!$C$10:$GV$11,2,FALSE)))</f>
        <v/>
      </c>
      <c r="J2864" s="215" t="str">
        <f>IF(Table2[[#This Row],[Description]]="","",Table2[[#This Row],[Value]]/Table2[[#This Row],[Conversion]])</f>
        <v/>
      </c>
      <c r="K2864" s="45" t="str">
        <f>IF(Table2[[#This Row],[Description]]="","",DATE(Table2[[#This Row],[Year]],Table2[[#This Row],[Month]],1))</f>
        <v/>
      </c>
    </row>
    <row r="2865" spans="7:11" x14ac:dyDescent="0.25">
      <c r="G2865" s="1" t="str">
        <f>IF(Table2[[#This Row],[Description]]="","",VLOOKUP(Table2[[#This Row],[Description]],$Q$1:$S$101,2,FALSE))</f>
        <v/>
      </c>
      <c r="H2865" s="1" t="str">
        <f>IF(Table2[[#This Row],[Description]]="","",VLOOKUP(Table2[[#This Row],[Description]],$Q$1:$S$101,3,FALSE))</f>
        <v/>
      </c>
      <c r="I2865" s="1" t="str">
        <f>IF(Table2[[#This Row],[Description]]="","",IF(Table2[[#This Row],[Currency]]=$O$2,$P$2,HLOOKUP(Table2[[#This Row],[Date]],Funds!$C$10:$GV$11,2,FALSE)))</f>
        <v/>
      </c>
      <c r="J2865" s="215" t="str">
        <f>IF(Table2[[#This Row],[Description]]="","",Table2[[#This Row],[Value]]/Table2[[#This Row],[Conversion]])</f>
        <v/>
      </c>
      <c r="K2865" s="45" t="str">
        <f>IF(Table2[[#This Row],[Description]]="","",DATE(Table2[[#This Row],[Year]],Table2[[#This Row],[Month]],1))</f>
        <v/>
      </c>
    </row>
    <row r="2866" spans="7:11" x14ac:dyDescent="0.25">
      <c r="G2866" s="1" t="str">
        <f>IF(Table2[[#This Row],[Description]]="","",VLOOKUP(Table2[[#This Row],[Description]],$Q$1:$S$101,2,FALSE))</f>
        <v/>
      </c>
      <c r="H2866" s="1" t="str">
        <f>IF(Table2[[#This Row],[Description]]="","",VLOOKUP(Table2[[#This Row],[Description]],$Q$1:$S$101,3,FALSE))</f>
        <v/>
      </c>
      <c r="I2866" s="1" t="str">
        <f>IF(Table2[[#This Row],[Description]]="","",IF(Table2[[#This Row],[Currency]]=$O$2,$P$2,HLOOKUP(Table2[[#This Row],[Date]],Funds!$C$10:$GV$11,2,FALSE)))</f>
        <v/>
      </c>
      <c r="J2866" s="215" t="str">
        <f>IF(Table2[[#This Row],[Description]]="","",Table2[[#This Row],[Value]]/Table2[[#This Row],[Conversion]])</f>
        <v/>
      </c>
      <c r="K2866" s="45" t="str">
        <f>IF(Table2[[#This Row],[Description]]="","",DATE(Table2[[#This Row],[Year]],Table2[[#This Row],[Month]],1))</f>
        <v/>
      </c>
    </row>
    <row r="2867" spans="7:11" x14ac:dyDescent="0.25">
      <c r="G2867" s="1" t="str">
        <f>IF(Table2[[#This Row],[Description]]="","",VLOOKUP(Table2[[#This Row],[Description]],$Q$1:$S$101,2,FALSE))</f>
        <v/>
      </c>
      <c r="H2867" s="1" t="str">
        <f>IF(Table2[[#This Row],[Description]]="","",VLOOKUP(Table2[[#This Row],[Description]],$Q$1:$S$101,3,FALSE))</f>
        <v/>
      </c>
      <c r="I2867" s="1" t="str">
        <f>IF(Table2[[#This Row],[Description]]="","",IF(Table2[[#This Row],[Currency]]=$O$2,$P$2,HLOOKUP(Table2[[#This Row],[Date]],Funds!$C$10:$GV$11,2,FALSE)))</f>
        <v/>
      </c>
      <c r="J2867" s="215" t="str">
        <f>IF(Table2[[#This Row],[Description]]="","",Table2[[#This Row],[Value]]/Table2[[#This Row],[Conversion]])</f>
        <v/>
      </c>
      <c r="K2867" s="45" t="str">
        <f>IF(Table2[[#This Row],[Description]]="","",DATE(Table2[[#This Row],[Year]],Table2[[#This Row],[Month]],1))</f>
        <v/>
      </c>
    </row>
    <row r="2868" spans="7:11" x14ac:dyDescent="0.25">
      <c r="G2868" s="1" t="str">
        <f>IF(Table2[[#This Row],[Description]]="","",VLOOKUP(Table2[[#This Row],[Description]],$Q$1:$S$101,2,FALSE))</f>
        <v/>
      </c>
      <c r="H2868" s="1" t="str">
        <f>IF(Table2[[#This Row],[Description]]="","",VLOOKUP(Table2[[#This Row],[Description]],$Q$1:$S$101,3,FALSE))</f>
        <v/>
      </c>
      <c r="I2868" s="1" t="str">
        <f>IF(Table2[[#This Row],[Description]]="","",IF(Table2[[#This Row],[Currency]]=$O$2,$P$2,HLOOKUP(Table2[[#This Row],[Date]],Funds!$C$10:$GV$11,2,FALSE)))</f>
        <v/>
      </c>
      <c r="J2868" s="215" t="str">
        <f>IF(Table2[[#This Row],[Description]]="","",Table2[[#This Row],[Value]]/Table2[[#This Row],[Conversion]])</f>
        <v/>
      </c>
      <c r="K2868" s="45" t="str">
        <f>IF(Table2[[#This Row],[Description]]="","",DATE(Table2[[#This Row],[Year]],Table2[[#This Row],[Month]],1))</f>
        <v/>
      </c>
    </row>
    <row r="2869" spans="7:11" x14ac:dyDescent="0.25">
      <c r="G2869" s="1" t="str">
        <f>IF(Table2[[#This Row],[Description]]="","",VLOOKUP(Table2[[#This Row],[Description]],$Q$1:$S$101,2,FALSE))</f>
        <v/>
      </c>
      <c r="H2869" s="1" t="str">
        <f>IF(Table2[[#This Row],[Description]]="","",VLOOKUP(Table2[[#This Row],[Description]],$Q$1:$S$101,3,FALSE))</f>
        <v/>
      </c>
      <c r="I2869" s="1" t="str">
        <f>IF(Table2[[#This Row],[Description]]="","",IF(Table2[[#This Row],[Currency]]=$O$2,$P$2,HLOOKUP(Table2[[#This Row],[Date]],Funds!$C$10:$GV$11,2,FALSE)))</f>
        <v/>
      </c>
      <c r="J2869" s="215" t="str">
        <f>IF(Table2[[#This Row],[Description]]="","",Table2[[#This Row],[Value]]/Table2[[#This Row],[Conversion]])</f>
        <v/>
      </c>
      <c r="K2869" s="45" t="str">
        <f>IF(Table2[[#This Row],[Description]]="","",DATE(Table2[[#This Row],[Year]],Table2[[#This Row],[Month]],1))</f>
        <v/>
      </c>
    </row>
    <row r="2870" spans="7:11" x14ac:dyDescent="0.25">
      <c r="G2870" s="1" t="str">
        <f>IF(Table2[[#This Row],[Description]]="","",VLOOKUP(Table2[[#This Row],[Description]],$Q$1:$S$101,2,FALSE))</f>
        <v/>
      </c>
      <c r="H2870" s="1" t="str">
        <f>IF(Table2[[#This Row],[Description]]="","",VLOOKUP(Table2[[#This Row],[Description]],$Q$1:$S$101,3,FALSE))</f>
        <v/>
      </c>
      <c r="I2870" s="1" t="str">
        <f>IF(Table2[[#This Row],[Description]]="","",IF(Table2[[#This Row],[Currency]]=$O$2,$P$2,HLOOKUP(Table2[[#This Row],[Date]],Funds!$C$10:$GV$11,2,FALSE)))</f>
        <v/>
      </c>
      <c r="J2870" s="215" t="str">
        <f>IF(Table2[[#This Row],[Description]]="","",Table2[[#This Row],[Value]]/Table2[[#This Row],[Conversion]])</f>
        <v/>
      </c>
      <c r="K2870" s="45" t="str">
        <f>IF(Table2[[#This Row],[Description]]="","",DATE(Table2[[#This Row],[Year]],Table2[[#This Row],[Month]],1))</f>
        <v/>
      </c>
    </row>
    <row r="2871" spans="7:11" x14ac:dyDescent="0.25">
      <c r="G2871" s="1" t="str">
        <f>IF(Table2[[#This Row],[Description]]="","",VLOOKUP(Table2[[#This Row],[Description]],$Q$1:$S$101,2,FALSE))</f>
        <v/>
      </c>
      <c r="H2871" s="1" t="str">
        <f>IF(Table2[[#This Row],[Description]]="","",VLOOKUP(Table2[[#This Row],[Description]],$Q$1:$S$101,3,FALSE))</f>
        <v/>
      </c>
      <c r="I2871" s="1" t="str">
        <f>IF(Table2[[#This Row],[Description]]="","",IF(Table2[[#This Row],[Currency]]=$O$2,$P$2,HLOOKUP(Table2[[#This Row],[Date]],Funds!$C$10:$GV$11,2,FALSE)))</f>
        <v/>
      </c>
      <c r="J2871" s="215" t="str">
        <f>IF(Table2[[#This Row],[Description]]="","",Table2[[#This Row],[Value]]/Table2[[#This Row],[Conversion]])</f>
        <v/>
      </c>
      <c r="K2871" s="45" t="str">
        <f>IF(Table2[[#This Row],[Description]]="","",DATE(Table2[[#This Row],[Year]],Table2[[#This Row],[Month]],1))</f>
        <v/>
      </c>
    </row>
    <row r="2872" spans="7:11" x14ac:dyDescent="0.25">
      <c r="G2872" s="1" t="str">
        <f>IF(Table2[[#This Row],[Description]]="","",VLOOKUP(Table2[[#This Row],[Description]],$Q$1:$S$101,2,FALSE))</f>
        <v/>
      </c>
      <c r="H2872" s="1" t="str">
        <f>IF(Table2[[#This Row],[Description]]="","",VLOOKUP(Table2[[#This Row],[Description]],$Q$1:$S$101,3,FALSE))</f>
        <v/>
      </c>
      <c r="I2872" s="1" t="str">
        <f>IF(Table2[[#This Row],[Description]]="","",IF(Table2[[#This Row],[Currency]]=$O$2,$P$2,HLOOKUP(Table2[[#This Row],[Date]],Funds!$C$10:$GV$11,2,FALSE)))</f>
        <v/>
      </c>
      <c r="J2872" s="215" t="str">
        <f>IF(Table2[[#This Row],[Description]]="","",Table2[[#This Row],[Value]]/Table2[[#This Row],[Conversion]])</f>
        <v/>
      </c>
      <c r="K2872" s="45" t="str">
        <f>IF(Table2[[#This Row],[Description]]="","",DATE(Table2[[#This Row],[Year]],Table2[[#This Row],[Month]],1))</f>
        <v/>
      </c>
    </row>
    <row r="2873" spans="7:11" x14ac:dyDescent="0.25">
      <c r="G2873" s="1" t="str">
        <f>IF(Table2[[#This Row],[Description]]="","",VLOOKUP(Table2[[#This Row],[Description]],$Q$1:$S$101,2,FALSE))</f>
        <v/>
      </c>
      <c r="H2873" s="1" t="str">
        <f>IF(Table2[[#This Row],[Description]]="","",VLOOKUP(Table2[[#This Row],[Description]],$Q$1:$S$101,3,FALSE))</f>
        <v/>
      </c>
      <c r="I2873" s="1" t="str">
        <f>IF(Table2[[#This Row],[Description]]="","",IF(Table2[[#This Row],[Currency]]=$O$2,$P$2,HLOOKUP(Table2[[#This Row],[Date]],Funds!$C$10:$GV$11,2,FALSE)))</f>
        <v/>
      </c>
      <c r="J2873" s="215" t="str">
        <f>IF(Table2[[#This Row],[Description]]="","",Table2[[#This Row],[Value]]/Table2[[#This Row],[Conversion]])</f>
        <v/>
      </c>
      <c r="K2873" s="45" t="str">
        <f>IF(Table2[[#This Row],[Description]]="","",DATE(Table2[[#This Row],[Year]],Table2[[#This Row],[Month]],1))</f>
        <v/>
      </c>
    </row>
    <row r="2874" spans="7:11" x14ac:dyDescent="0.25">
      <c r="G2874" s="1" t="str">
        <f>IF(Table2[[#This Row],[Description]]="","",VLOOKUP(Table2[[#This Row],[Description]],$Q$1:$S$101,2,FALSE))</f>
        <v/>
      </c>
      <c r="H2874" s="1" t="str">
        <f>IF(Table2[[#This Row],[Description]]="","",VLOOKUP(Table2[[#This Row],[Description]],$Q$1:$S$101,3,FALSE))</f>
        <v/>
      </c>
      <c r="I2874" s="1" t="str">
        <f>IF(Table2[[#This Row],[Description]]="","",IF(Table2[[#This Row],[Currency]]=$O$2,$P$2,HLOOKUP(Table2[[#This Row],[Date]],Funds!$C$10:$GV$11,2,FALSE)))</f>
        <v/>
      </c>
      <c r="J2874" s="215" t="str">
        <f>IF(Table2[[#This Row],[Description]]="","",Table2[[#This Row],[Value]]/Table2[[#This Row],[Conversion]])</f>
        <v/>
      </c>
      <c r="K2874" s="45" t="str">
        <f>IF(Table2[[#This Row],[Description]]="","",DATE(Table2[[#This Row],[Year]],Table2[[#This Row],[Month]],1))</f>
        <v/>
      </c>
    </row>
    <row r="2875" spans="7:11" x14ac:dyDescent="0.25">
      <c r="G2875" s="1" t="str">
        <f>IF(Table2[[#This Row],[Description]]="","",VLOOKUP(Table2[[#This Row],[Description]],$Q$1:$S$101,2,FALSE))</f>
        <v/>
      </c>
      <c r="H2875" s="1" t="str">
        <f>IF(Table2[[#This Row],[Description]]="","",VLOOKUP(Table2[[#This Row],[Description]],$Q$1:$S$101,3,FALSE))</f>
        <v/>
      </c>
      <c r="I2875" s="1" t="str">
        <f>IF(Table2[[#This Row],[Description]]="","",IF(Table2[[#This Row],[Currency]]=$O$2,$P$2,HLOOKUP(Table2[[#This Row],[Date]],Funds!$C$10:$GV$11,2,FALSE)))</f>
        <v/>
      </c>
      <c r="J2875" s="215" t="str">
        <f>IF(Table2[[#This Row],[Description]]="","",Table2[[#This Row],[Value]]/Table2[[#This Row],[Conversion]])</f>
        <v/>
      </c>
      <c r="K2875" s="45" t="str">
        <f>IF(Table2[[#This Row],[Description]]="","",DATE(Table2[[#This Row],[Year]],Table2[[#This Row],[Month]],1))</f>
        <v/>
      </c>
    </row>
    <row r="2876" spans="7:11" x14ac:dyDescent="0.25">
      <c r="G2876" s="1" t="str">
        <f>IF(Table2[[#This Row],[Description]]="","",VLOOKUP(Table2[[#This Row],[Description]],$Q$1:$S$101,2,FALSE))</f>
        <v/>
      </c>
      <c r="H2876" s="1" t="str">
        <f>IF(Table2[[#This Row],[Description]]="","",VLOOKUP(Table2[[#This Row],[Description]],$Q$1:$S$101,3,FALSE))</f>
        <v/>
      </c>
      <c r="I2876" s="1" t="str">
        <f>IF(Table2[[#This Row],[Description]]="","",IF(Table2[[#This Row],[Currency]]=$O$2,$P$2,HLOOKUP(Table2[[#This Row],[Date]],Funds!$C$10:$GV$11,2,FALSE)))</f>
        <v/>
      </c>
      <c r="J2876" s="215" t="str">
        <f>IF(Table2[[#This Row],[Description]]="","",Table2[[#This Row],[Value]]/Table2[[#This Row],[Conversion]])</f>
        <v/>
      </c>
      <c r="K2876" s="45" t="str">
        <f>IF(Table2[[#This Row],[Description]]="","",DATE(Table2[[#This Row],[Year]],Table2[[#This Row],[Month]],1))</f>
        <v/>
      </c>
    </row>
    <row r="2877" spans="7:11" x14ac:dyDescent="0.25">
      <c r="G2877" s="1" t="str">
        <f>IF(Table2[[#This Row],[Description]]="","",VLOOKUP(Table2[[#This Row],[Description]],$Q$1:$S$101,2,FALSE))</f>
        <v/>
      </c>
      <c r="H2877" s="1" t="str">
        <f>IF(Table2[[#This Row],[Description]]="","",VLOOKUP(Table2[[#This Row],[Description]],$Q$1:$S$101,3,FALSE))</f>
        <v/>
      </c>
      <c r="I2877" s="1" t="str">
        <f>IF(Table2[[#This Row],[Description]]="","",IF(Table2[[#This Row],[Currency]]=$O$2,$P$2,HLOOKUP(Table2[[#This Row],[Date]],Funds!$C$10:$GV$11,2,FALSE)))</f>
        <v/>
      </c>
      <c r="J2877" s="215" t="str">
        <f>IF(Table2[[#This Row],[Description]]="","",Table2[[#This Row],[Value]]/Table2[[#This Row],[Conversion]])</f>
        <v/>
      </c>
      <c r="K2877" s="45" t="str">
        <f>IF(Table2[[#This Row],[Description]]="","",DATE(Table2[[#This Row],[Year]],Table2[[#This Row],[Month]],1))</f>
        <v/>
      </c>
    </row>
    <row r="2878" spans="7:11" x14ac:dyDescent="0.25">
      <c r="G2878" s="1" t="str">
        <f>IF(Table2[[#This Row],[Description]]="","",VLOOKUP(Table2[[#This Row],[Description]],$Q$1:$S$101,2,FALSE))</f>
        <v/>
      </c>
      <c r="H2878" s="1" t="str">
        <f>IF(Table2[[#This Row],[Description]]="","",VLOOKUP(Table2[[#This Row],[Description]],$Q$1:$S$101,3,FALSE))</f>
        <v/>
      </c>
      <c r="I2878" s="1" t="str">
        <f>IF(Table2[[#This Row],[Description]]="","",IF(Table2[[#This Row],[Currency]]=$O$2,$P$2,HLOOKUP(Table2[[#This Row],[Date]],Funds!$C$10:$GV$11,2,FALSE)))</f>
        <v/>
      </c>
      <c r="J2878" s="215" t="str">
        <f>IF(Table2[[#This Row],[Description]]="","",Table2[[#This Row],[Value]]/Table2[[#This Row],[Conversion]])</f>
        <v/>
      </c>
      <c r="K2878" s="45" t="str">
        <f>IF(Table2[[#This Row],[Description]]="","",DATE(Table2[[#This Row],[Year]],Table2[[#This Row],[Month]],1))</f>
        <v/>
      </c>
    </row>
    <row r="2879" spans="7:11" x14ac:dyDescent="0.25">
      <c r="G2879" s="1" t="str">
        <f>IF(Table2[[#This Row],[Description]]="","",VLOOKUP(Table2[[#This Row],[Description]],$Q$1:$S$101,2,FALSE))</f>
        <v/>
      </c>
      <c r="H2879" s="1" t="str">
        <f>IF(Table2[[#This Row],[Description]]="","",VLOOKUP(Table2[[#This Row],[Description]],$Q$1:$S$101,3,FALSE))</f>
        <v/>
      </c>
      <c r="I2879" s="1" t="str">
        <f>IF(Table2[[#This Row],[Description]]="","",IF(Table2[[#This Row],[Currency]]=$O$2,$P$2,HLOOKUP(Table2[[#This Row],[Date]],Funds!$C$10:$GV$11,2,FALSE)))</f>
        <v/>
      </c>
      <c r="J2879" s="215" t="str">
        <f>IF(Table2[[#This Row],[Description]]="","",Table2[[#This Row],[Value]]/Table2[[#This Row],[Conversion]])</f>
        <v/>
      </c>
      <c r="K2879" s="45" t="str">
        <f>IF(Table2[[#This Row],[Description]]="","",DATE(Table2[[#This Row],[Year]],Table2[[#This Row],[Month]],1))</f>
        <v/>
      </c>
    </row>
    <row r="2880" spans="7:11" x14ac:dyDescent="0.25">
      <c r="G2880" s="1" t="str">
        <f>IF(Table2[[#This Row],[Description]]="","",VLOOKUP(Table2[[#This Row],[Description]],$Q$1:$S$101,2,FALSE))</f>
        <v/>
      </c>
      <c r="H2880" s="1" t="str">
        <f>IF(Table2[[#This Row],[Description]]="","",VLOOKUP(Table2[[#This Row],[Description]],$Q$1:$S$101,3,FALSE))</f>
        <v/>
      </c>
      <c r="I2880" s="1" t="str">
        <f>IF(Table2[[#This Row],[Description]]="","",IF(Table2[[#This Row],[Currency]]=$O$2,$P$2,HLOOKUP(Table2[[#This Row],[Date]],Funds!$C$10:$GV$11,2,FALSE)))</f>
        <v/>
      </c>
      <c r="J2880" s="215" t="str">
        <f>IF(Table2[[#This Row],[Description]]="","",Table2[[#This Row],[Value]]/Table2[[#This Row],[Conversion]])</f>
        <v/>
      </c>
      <c r="K2880" s="45" t="str">
        <f>IF(Table2[[#This Row],[Description]]="","",DATE(Table2[[#This Row],[Year]],Table2[[#This Row],[Month]],1))</f>
        <v/>
      </c>
    </row>
    <row r="2881" spans="7:11" x14ac:dyDescent="0.25">
      <c r="G2881" s="1" t="str">
        <f>IF(Table2[[#This Row],[Description]]="","",VLOOKUP(Table2[[#This Row],[Description]],$Q$1:$S$101,2,FALSE))</f>
        <v/>
      </c>
      <c r="H2881" s="1" t="str">
        <f>IF(Table2[[#This Row],[Description]]="","",VLOOKUP(Table2[[#This Row],[Description]],$Q$1:$S$101,3,FALSE))</f>
        <v/>
      </c>
      <c r="I2881" s="1" t="str">
        <f>IF(Table2[[#This Row],[Description]]="","",IF(Table2[[#This Row],[Currency]]=$O$2,$P$2,HLOOKUP(Table2[[#This Row],[Date]],Funds!$C$10:$GV$11,2,FALSE)))</f>
        <v/>
      </c>
      <c r="J2881" s="215" t="str">
        <f>IF(Table2[[#This Row],[Description]]="","",Table2[[#This Row],[Value]]/Table2[[#This Row],[Conversion]])</f>
        <v/>
      </c>
      <c r="K2881" s="45" t="str">
        <f>IF(Table2[[#This Row],[Description]]="","",DATE(Table2[[#This Row],[Year]],Table2[[#This Row],[Month]],1))</f>
        <v/>
      </c>
    </row>
    <row r="2882" spans="7:11" x14ac:dyDescent="0.25">
      <c r="G2882" s="1" t="str">
        <f>IF(Table2[[#This Row],[Description]]="","",VLOOKUP(Table2[[#This Row],[Description]],$Q$1:$S$101,2,FALSE))</f>
        <v/>
      </c>
      <c r="H2882" s="1" t="str">
        <f>IF(Table2[[#This Row],[Description]]="","",VLOOKUP(Table2[[#This Row],[Description]],$Q$1:$S$101,3,FALSE))</f>
        <v/>
      </c>
      <c r="I2882" s="1" t="str">
        <f>IF(Table2[[#This Row],[Description]]="","",IF(Table2[[#This Row],[Currency]]=$O$2,$P$2,HLOOKUP(Table2[[#This Row],[Date]],Funds!$C$10:$GV$11,2,FALSE)))</f>
        <v/>
      </c>
      <c r="J2882" s="215" t="str">
        <f>IF(Table2[[#This Row],[Description]]="","",Table2[[#This Row],[Value]]/Table2[[#This Row],[Conversion]])</f>
        <v/>
      </c>
      <c r="K2882" s="45" t="str">
        <f>IF(Table2[[#This Row],[Description]]="","",DATE(Table2[[#This Row],[Year]],Table2[[#This Row],[Month]],1))</f>
        <v/>
      </c>
    </row>
    <row r="2883" spans="7:11" x14ac:dyDescent="0.25">
      <c r="G2883" s="1" t="str">
        <f>IF(Table2[[#This Row],[Description]]="","",VLOOKUP(Table2[[#This Row],[Description]],$Q$1:$S$101,2,FALSE))</f>
        <v/>
      </c>
      <c r="H2883" s="1" t="str">
        <f>IF(Table2[[#This Row],[Description]]="","",VLOOKUP(Table2[[#This Row],[Description]],$Q$1:$S$101,3,FALSE))</f>
        <v/>
      </c>
      <c r="I2883" s="1" t="str">
        <f>IF(Table2[[#This Row],[Description]]="","",IF(Table2[[#This Row],[Currency]]=$O$2,$P$2,HLOOKUP(Table2[[#This Row],[Date]],Funds!$C$10:$GV$11,2,FALSE)))</f>
        <v/>
      </c>
      <c r="J2883" s="215" t="str">
        <f>IF(Table2[[#This Row],[Description]]="","",Table2[[#This Row],[Value]]/Table2[[#This Row],[Conversion]])</f>
        <v/>
      </c>
      <c r="K2883" s="45" t="str">
        <f>IF(Table2[[#This Row],[Description]]="","",DATE(Table2[[#This Row],[Year]],Table2[[#This Row],[Month]],1))</f>
        <v/>
      </c>
    </row>
    <row r="2884" spans="7:11" x14ac:dyDescent="0.25">
      <c r="G2884" s="1" t="str">
        <f>IF(Table2[[#This Row],[Description]]="","",VLOOKUP(Table2[[#This Row],[Description]],$Q$1:$S$101,2,FALSE))</f>
        <v/>
      </c>
      <c r="H2884" s="1" t="str">
        <f>IF(Table2[[#This Row],[Description]]="","",VLOOKUP(Table2[[#This Row],[Description]],$Q$1:$S$101,3,FALSE))</f>
        <v/>
      </c>
      <c r="I2884" s="1" t="str">
        <f>IF(Table2[[#This Row],[Description]]="","",IF(Table2[[#This Row],[Currency]]=$O$2,$P$2,HLOOKUP(Table2[[#This Row],[Date]],Funds!$C$10:$GV$11,2,FALSE)))</f>
        <v/>
      </c>
      <c r="J2884" s="215" t="str">
        <f>IF(Table2[[#This Row],[Description]]="","",Table2[[#This Row],[Value]]/Table2[[#This Row],[Conversion]])</f>
        <v/>
      </c>
      <c r="K2884" s="45" t="str">
        <f>IF(Table2[[#This Row],[Description]]="","",DATE(Table2[[#This Row],[Year]],Table2[[#This Row],[Month]],1))</f>
        <v/>
      </c>
    </row>
    <row r="2885" spans="7:11" x14ac:dyDescent="0.25">
      <c r="G2885" s="1" t="str">
        <f>IF(Table2[[#This Row],[Description]]="","",VLOOKUP(Table2[[#This Row],[Description]],$Q$1:$S$101,2,FALSE))</f>
        <v/>
      </c>
      <c r="H2885" s="1" t="str">
        <f>IF(Table2[[#This Row],[Description]]="","",VLOOKUP(Table2[[#This Row],[Description]],$Q$1:$S$101,3,FALSE))</f>
        <v/>
      </c>
      <c r="I2885" s="1" t="str">
        <f>IF(Table2[[#This Row],[Description]]="","",IF(Table2[[#This Row],[Currency]]=$O$2,$P$2,HLOOKUP(Table2[[#This Row],[Date]],Funds!$C$10:$GV$11,2,FALSE)))</f>
        <v/>
      </c>
      <c r="J2885" s="215" t="str">
        <f>IF(Table2[[#This Row],[Description]]="","",Table2[[#This Row],[Value]]/Table2[[#This Row],[Conversion]])</f>
        <v/>
      </c>
      <c r="K2885" s="45" t="str">
        <f>IF(Table2[[#This Row],[Description]]="","",DATE(Table2[[#This Row],[Year]],Table2[[#This Row],[Month]],1))</f>
        <v/>
      </c>
    </row>
    <row r="2886" spans="7:11" x14ac:dyDescent="0.25">
      <c r="G2886" s="1" t="str">
        <f>IF(Table2[[#This Row],[Description]]="","",VLOOKUP(Table2[[#This Row],[Description]],$Q$1:$S$101,2,FALSE))</f>
        <v/>
      </c>
      <c r="H2886" s="1" t="str">
        <f>IF(Table2[[#This Row],[Description]]="","",VLOOKUP(Table2[[#This Row],[Description]],$Q$1:$S$101,3,FALSE))</f>
        <v/>
      </c>
      <c r="I2886" s="1" t="str">
        <f>IF(Table2[[#This Row],[Description]]="","",IF(Table2[[#This Row],[Currency]]=$O$2,$P$2,HLOOKUP(Table2[[#This Row],[Date]],Funds!$C$10:$GV$11,2,FALSE)))</f>
        <v/>
      </c>
      <c r="J2886" s="215" t="str">
        <f>IF(Table2[[#This Row],[Description]]="","",Table2[[#This Row],[Value]]/Table2[[#This Row],[Conversion]])</f>
        <v/>
      </c>
      <c r="K2886" s="45" t="str">
        <f>IF(Table2[[#This Row],[Description]]="","",DATE(Table2[[#This Row],[Year]],Table2[[#This Row],[Month]],1))</f>
        <v/>
      </c>
    </row>
    <row r="2887" spans="7:11" x14ac:dyDescent="0.25">
      <c r="G2887" s="1" t="str">
        <f>IF(Table2[[#This Row],[Description]]="","",VLOOKUP(Table2[[#This Row],[Description]],$Q$1:$S$101,2,FALSE))</f>
        <v/>
      </c>
      <c r="H2887" s="1" t="str">
        <f>IF(Table2[[#This Row],[Description]]="","",VLOOKUP(Table2[[#This Row],[Description]],$Q$1:$S$101,3,FALSE))</f>
        <v/>
      </c>
      <c r="I2887" s="1" t="str">
        <f>IF(Table2[[#This Row],[Description]]="","",IF(Table2[[#This Row],[Currency]]=$O$2,$P$2,HLOOKUP(Table2[[#This Row],[Date]],Funds!$C$10:$GV$11,2,FALSE)))</f>
        <v/>
      </c>
      <c r="J2887" s="215" t="str">
        <f>IF(Table2[[#This Row],[Description]]="","",Table2[[#This Row],[Value]]/Table2[[#This Row],[Conversion]])</f>
        <v/>
      </c>
      <c r="K2887" s="45" t="str">
        <f>IF(Table2[[#This Row],[Description]]="","",DATE(Table2[[#This Row],[Year]],Table2[[#This Row],[Month]],1))</f>
        <v/>
      </c>
    </row>
    <row r="2888" spans="7:11" x14ac:dyDescent="0.25">
      <c r="G2888" s="1" t="str">
        <f>IF(Table2[[#This Row],[Description]]="","",VLOOKUP(Table2[[#This Row],[Description]],$Q$1:$S$101,2,FALSE))</f>
        <v/>
      </c>
      <c r="H2888" s="1" t="str">
        <f>IF(Table2[[#This Row],[Description]]="","",VLOOKUP(Table2[[#This Row],[Description]],$Q$1:$S$101,3,FALSE))</f>
        <v/>
      </c>
      <c r="I2888" s="1" t="str">
        <f>IF(Table2[[#This Row],[Description]]="","",IF(Table2[[#This Row],[Currency]]=$O$2,$P$2,HLOOKUP(Table2[[#This Row],[Date]],Funds!$C$10:$GV$11,2,FALSE)))</f>
        <v/>
      </c>
      <c r="J2888" s="215" t="str">
        <f>IF(Table2[[#This Row],[Description]]="","",Table2[[#This Row],[Value]]/Table2[[#This Row],[Conversion]])</f>
        <v/>
      </c>
      <c r="K2888" s="45" t="str">
        <f>IF(Table2[[#This Row],[Description]]="","",DATE(Table2[[#This Row],[Year]],Table2[[#This Row],[Month]],1))</f>
        <v/>
      </c>
    </row>
    <row r="2889" spans="7:11" x14ac:dyDescent="0.25">
      <c r="G2889" s="1" t="str">
        <f>IF(Table2[[#This Row],[Description]]="","",VLOOKUP(Table2[[#This Row],[Description]],$Q$1:$S$101,2,FALSE))</f>
        <v/>
      </c>
      <c r="H2889" s="1" t="str">
        <f>IF(Table2[[#This Row],[Description]]="","",VLOOKUP(Table2[[#This Row],[Description]],$Q$1:$S$101,3,FALSE))</f>
        <v/>
      </c>
      <c r="I2889" s="1" t="str">
        <f>IF(Table2[[#This Row],[Description]]="","",IF(Table2[[#This Row],[Currency]]=$O$2,$P$2,HLOOKUP(Table2[[#This Row],[Date]],Funds!$C$10:$GV$11,2,FALSE)))</f>
        <v/>
      </c>
      <c r="J2889" s="215" t="str">
        <f>IF(Table2[[#This Row],[Description]]="","",Table2[[#This Row],[Value]]/Table2[[#This Row],[Conversion]])</f>
        <v/>
      </c>
      <c r="K2889" s="45" t="str">
        <f>IF(Table2[[#This Row],[Description]]="","",DATE(Table2[[#This Row],[Year]],Table2[[#This Row],[Month]],1))</f>
        <v/>
      </c>
    </row>
    <row r="2890" spans="7:11" x14ac:dyDescent="0.25">
      <c r="G2890" s="1" t="str">
        <f>IF(Table2[[#This Row],[Description]]="","",VLOOKUP(Table2[[#This Row],[Description]],$Q$1:$S$101,2,FALSE))</f>
        <v/>
      </c>
      <c r="H2890" s="1" t="str">
        <f>IF(Table2[[#This Row],[Description]]="","",VLOOKUP(Table2[[#This Row],[Description]],$Q$1:$S$101,3,FALSE))</f>
        <v/>
      </c>
      <c r="I2890" s="1" t="str">
        <f>IF(Table2[[#This Row],[Description]]="","",IF(Table2[[#This Row],[Currency]]=$O$2,$P$2,HLOOKUP(Table2[[#This Row],[Date]],Funds!$C$10:$GV$11,2,FALSE)))</f>
        <v/>
      </c>
      <c r="J2890" s="215" t="str">
        <f>IF(Table2[[#This Row],[Description]]="","",Table2[[#This Row],[Value]]/Table2[[#This Row],[Conversion]])</f>
        <v/>
      </c>
      <c r="K2890" s="45" t="str">
        <f>IF(Table2[[#This Row],[Description]]="","",DATE(Table2[[#This Row],[Year]],Table2[[#This Row],[Month]],1))</f>
        <v/>
      </c>
    </row>
    <row r="2891" spans="7:11" x14ac:dyDescent="0.25">
      <c r="G2891" s="1" t="str">
        <f>IF(Table2[[#This Row],[Description]]="","",VLOOKUP(Table2[[#This Row],[Description]],$Q$1:$S$101,2,FALSE))</f>
        <v/>
      </c>
      <c r="H2891" s="1" t="str">
        <f>IF(Table2[[#This Row],[Description]]="","",VLOOKUP(Table2[[#This Row],[Description]],$Q$1:$S$101,3,FALSE))</f>
        <v/>
      </c>
      <c r="I2891" s="1" t="str">
        <f>IF(Table2[[#This Row],[Description]]="","",IF(Table2[[#This Row],[Currency]]=$O$2,$P$2,HLOOKUP(Table2[[#This Row],[Date]],Funds!$C$10:$GV$11,2,FALSE)))</f>
        <v/>
      </c>
      <c r="J2891" s="215" t="str">
        <f>IF(Table2[[#This Row],[Description]]="","",Table2[[#This Row],[Value]]/Table2[[#This Row],[Conversion]])</f>
        <v/>
      </c>
      <c r="K2891" s="45" t="str">
        <f>IF(Table2[[#This Row],[Description]]="","",DATE(Table2[[#This Row],[Year]],Table2[[#This Row],[Month]],1))</f>
        <v/>
      </c>
    </row>
    <row r="2892" spans="7:11" x14ac:dyDescent="0.25">
      <c r="G2892" s="1" t="str">
        <f>IF(Table2[[#This Row],[Description]]="","",VLOOKUP(Table2[[#This Row],[Description]],$Q$1:$S$101,2,FALSE))</f>
        <v/>
      </c>
      <c r="H2892" s="1" t="str">
        <f>IF(Table2[[#This Row],[Description]]="","",VLOOKUP(Table2[[#This Row],[Description]],$Q$1:$S$101,3,FALSE))</f>
        <v/>
      </c>
      <c r="I2892" s="1" t="str">
        <f>IF(Table2[[#This Row],[Description]]="","",IF(Table2[[#This Row],[Currency]]=$O$2,$P$2,HLOOKUP(Table2[[#This Row],[Date]],Funds!$C$10:$GV$11,2,FALSE)))</f>
        <v/>
      </c>
      <c r="J2892" s="215" t="str">
        <f>IF(Table2[[#This Row],[Description]]="","",Table2[[#This Row],[Value]]/Table2[[#This Row],[Conversion]])</f>
        <v/>
      </c>
      <c r="K2892" s="45" t="str">
        <f>IF(Table2[[#This Row],[Description]]="","",DATE(Table2[[#This Row],[Year]],Table2[[#This Row],[Month]],1))</f>
        <v/>
      </c>
    </row>
    <row r="2893" spans="7:11" x14ac:dyDescent="0.25">
      <c r="G2893" s="1" t="str">
        <f>IF(Table2[[#This Row],[Description]]="","",VLOOKUP(Table2[[#This Row],[Description]],$Q$1:$S$101,2,FALSE))</f>
        <v/>
      </c>
      <c r="H2893" s="1" t="str">
        <f>IF(Table2[[#This Row],[Description]]="","",VLOOKUP(Table2[[#This Row],[Description]],$Q$1:$S$101,3,FALSE))</f>
        <v/>
      </c>
      <c r="I2893" s="1" t="str">
        <f>IF(Table2[[#This Row],[Description]]="","",IF(Table2[[#This Row],[Currency]]=$O$2,$P$2,HLOOKUP(Table2[[#This Row],[Date]],Funds!$C$10:$GV$11,2,FALSE)))</f>
        <v/>
      </c>
      <c r="J2893" s="215" t="str">
        <f>IF(Table2[[#This Row],[Description]]="","",Table2[[#This Row],[Value]]/Table2[[#This Row],[Conversion]])</f>
        <v/>
      </c>
      <c r="K2893" s="45" t="str">
        <f>IF(Table2[[#This Row],[Description]]="","",DATE(Table2[[#This Row],[Year]],Table2[[#This Row],[Month]],1))</f>
        <v/>
      </c>
    </row>
    <row r="2894" spans="7:11" x14ac:dyDescent="0.25">
      <c r="G2894" s="1" t="str">
        <f>IF(Table2[[#This Row],[Description]]="","",VLOOKUP(Table2[[#This Row],[Description]],$Q$1:$S$101,2,FALSE))</f>
        <v/>
      </c>
      <c r="H2894" s="1" t="str">
        <f>IF(Table2[[#This Row],[Description]]="","",VLOOKUP(Table2[[#This Row],[Description]],$Q$1:$S$101,3,FALSE))</f>
        <v/>
      </c>
      <c r="I2894" s="1" t="str">
        <f>IF(Table2[[#This Row],[Description]]="","",IF(Table2[[#This Row],[Currency]]=$O$2,$P$2,HLOOKUP(Table2[[#This Row],[Date]],Funds!$C$10:$GV$11,2,FALSE)))</f>
        <v/>
      </c>
      <c r="J2894" s="215" t="str">
        <f>IF(Table2[[#This Row],[Description]]="","",Table2[[#This Row],[Value]]/Table2[[#This Row],[Conversion]])</f>
        <v/>
      </c>
      <c r="K2894" s="45" t="str">
        <f>IF(Table2[[#This Row],[Description]]="","",DATE(Table2[[#This Row],[Year]],Table2[[#This Row],[Month]],1))</f>
        <v/>
      </c>
    </row>
    <row r="2895" spans="7:11" x14ac:dyDescent="0.25">
      <c r="G2895" s="1" t="str">
        <f>IF(Table2[[#This Row],[Description]]="","",VLOOKUP(Table2[[#This Row],[Description]],$Q$1:$S$101,2,FALSE))</f>
        <v/>
      </c>
      <c r="H2895" s="1" t="str">
        <f>IF(Table2[[#This Row],[Description]]="","",VLOOKUP(Table2[[#This Row],[Description]],$Q$1:$S$101,3,FALSE))</f>
        <v/>
      </c>
      <c r="I2895" s="1" t="str">
        <f>IF(Table2[[#This Row],[Description]]="","",IF(Table2[[#This Row],[Currency]]=$O$2,$P$2,HLOOKUP(Table2[[#This Row],[Date]],Funds!$C$10:$GV$11,2,FALSE)))</f>
        <v/>
      </c>
      <c r="J2895" s="215" t="str">
        <f>IF(Table2[[#This Row],[Description]]="","",Table2[[#This Row],[Value]]/Table2[[#This Row],[Conversion]])</f>
        <v/>
      </c>
      <c r="K2895" s="45" t="str">
        <f>IF(Table2[[#This Row],[Description]]="","",DATE(Table2[[#This Row],[Year]],Table2[[#This Row],[Month]],1))</f>
        <v/>
      </c>
    </row>
    <row r="2896" spans="7:11" x14ac:dyDescent="0.25">
      <c r="G2896" s="1" t="str">
        <f>IF(Table2[[#This Row],[Description]]="","",VLOOKUP(Table2[[#This Row],[Description]],$Q$1:$S$101,2,FALSE))</f>
        <v/>
      </c>
      <c r="H2896" s="1" t="str">
        <f>IF(Table2[[#This Row],[Description]]="","",VLOOKUP(Table2[[#This Row],[Description]],$Q$1:$S$101,3,FALSE))</f>
        <v/>
      </c>
      <c r="I2896" s="1" t="str">
        <f>IF(Table2[[#This Row],[Description]]="","",IF(Table2[[#This Row],[Currency]]=$O$2,$P$2,HLOOKUP(Table2[[#This Row],[Date]],Funds!$C$10:$GV$11,2,FALSE)))</f>
        <v/>
      </c>
      <c r="J2896" s="215" t="str">
        <f>IF(Table2[[#This Row],[Description]]="","",Table2[[#This Row],[Value]]/Table2[[#This Row],[Conversion]])</f>
        <v/>
      </c>
      <c r="K2896" s="45" t="str">
        <f>IF(Table2[[#This Row],[Description]]="","",DATE(Table2[[#This Row],[Year]],Table2[[#This Row],[Month]],1))</f>
        <v/>
      </c>
    </row>
    <row r="2897" spans="7:11" x14ac:dyDescent="0.25">
      <c r="G2897" s="1" t="str">
        <f>IF(Table2[[#This Row],[Description]]="","",VLOOKUP(Table2[[#This Row],[Description]],$Q$1:$S$101,2,FALSE))</f>
        <v/>
      </c>
      <c r="H2897" s="1" t="str">
        <f>IF(Table2[[#This Row],[Description]]="","",VLOOKUP(Table2[[#This Row],[Description]],$Q$1:$S$101,3,FALSE))</f>
        <v/>
      </c>
      <c r="I2897" s="1" t="str">
        <f>IF(Table2[[#This Row],[Description]]="","",IF(Table2[[#This Row],[Currency]]=$O$2,$P$2,HLOOKUP(Table2[[#This Row],[Date]],Funds!$C$10:$GV$11,2,FALSE)))</f>
        <v/>
      </c>
      <c r="J2897" s="215" t="str">
        <f>IF(Table2[[#This Row],[Description]]="","",Table2[[#This Row],[Value]]/Table2[[#This Row],[Conversion]])</f>
        <v/>
      </c>
      <c r="K2897" s="45" t="str">
        <f>IF(Table2[[#This Row],[Description]]="","",DATE(Table2[[#This Row],[Year]],Table2[[#This Row],[Month]],1))</f>
        <v/>
      </c>
    </row>
    <row r="2898" spans="7:11" x14ac:dyDescent="0.25">
      <c r="G2898" s="1" t="str">
        <f>IF(Table2[[#This Row],[Description]]="","",VLOOKUP(Table2[[#This Row],[Description]],$Q$1:$S$101,2,FALSE))</f>
        <v/>
      </c>
      <c r="H2898" s="1" t="str">
        <f>IF(Table2[[#This Row],[Description]]="","",VLOOKUP(Table2[[#This Row],[Description]],$Q$1:$S$101,3,FALSE))</f>
        <v/>
      </c>
      <c r="I2898" s="1" t="str">
        <f>IF(Table2[[#This Row],[Description]]="","",IF(Table2[[#This Row],[Currency]]=$O$2,$P$2,HLOOKUP(Table2[[#This Row],[Date]],Funds!$C$10:$GV$11,2,FALSE)))</f>
        <v/>
      </c>
      <c r="J2898" s="215" t="str">
        <f>IF(Table2[[#This Row],[Description]]="","",Table2[[#This Row],[Value]]/Table2[[#This Row],[Conversion]])</f>
        <v/>
      </c>
      <c r="K2898" s="45" t="str">
        <f>IF(Table2[[#This Row],[Description]]="","",DATE(Table2[[#This Row],[Year]],Table2[[#This Row],[Month]],1))</f>
        <v/>
      </c>
    </row>
    <row r="2899" spans="7:11" x14ac:dyDescent="0.25">
      <c r="G2899" s="1" t="str">
        <f>IF(Table2[[#This Row],[Description]]="","",VLOOKUP(Table2[[#This Row],[Description]],$Q$1:$S$101,2,FALSE))</f>
        <v/>
      </c>
      <c r="H2899" s="1" t="str">
        <f>IF(Table2[[#This Row],[Description]]="","",VLOOKUP(Table2[[#This Row],[Description]],$Q$1:$S$101,3,FALSE))</f>
        <v/>
      </c>
      <c r="I2899" s="1" t="str">
        <f>IF(Table2[[#This Row],[Description]]="","",IF(Table2[[#This Row],[Currency]]=$O$2,$P$2,HLOOKUP(Table2[[#This Row],[Date]],Funds!$C$10:$GV$11,2,FALSE)))</f>
        <v/>
      </c>
      <c r="J2899" s="215" t="str">
        <f>IF(Table2[[#This Row],[Description]]="","",Table2[[#This Row],[Value]]/Table2[[#This Row],[Conversion]])</f>
        <v/>
      </c>
      <c r="K2899" s="45" t="str">
        <f>IF(Table2[[#This Row],[Description]]="","",DATE(Table2[[#This Row],[Year]],Table2[[#This Row],[Month]],1))</f>
        <v/>
      </c>
    </row>
    <row r="2900" spans="7:11" x14ac:dyDescent="0.25">
      <c r="G2900" s="1" t="str">
        <f>IF(Table2[[#This Row],[Description]]="","",VLOOKUP(Table2[[#This Row],[Description]],$Q$1:$S$101,2,FALSE))</f>
        <v/>
      </c>
      <c r="H2900" s="1" t="str">
        <f>IF(Table2[[#This Row],[Description]]="","",VLOOKUP(Table2[[#This Row],[Description]],$Q$1:$S$101,3,FALSE))</f>
        <v/>
      </c>
      <c r="I2900" s="1" t="str">
        <f>IF(Table2[[#This Row],[Description]]="","",IF(Table2[[#This Row],[Currency]]=$O$2,$P$2,HLOOKUP(Table2[[#This Row],[Date]],Funds!$C$10:$GV$11,2,FALSE)))</f>
        <v/>
      </c>
      <c r="J2900" s="215" t="str">
        <f>IF(Table2[[#This Row],[Description]]="","",Table2[[#This Row],[Value]]/Table2[[#This Row],[Conversion]])</f>
        <v/>
      </c>
      <c r="K2900" s="45" t="str">
        <f>IF(Table2[[#This Row],[Description]]="","",DATE(Table2[[#This Row],[Year]],Table2[[#This Row],[Month]],1))</f>
        <v/>
      </c>
    </row>
    <row r="2901" spans="7:11" x14ac:dyDescent="0.25">
      <c r="G2901" s="1" t="str">
        <f>IF(Table2[[#This Row],[Description]]="","",VLOOKUP(Table2[[#This Row],[Description]],$Q$1:$S$101,2,FALSE))</f>
        <v/>
      </c>
      <c r="H2901" s="1" t="str">
        <f>IF(Table2[[#This Row],[Description]]="","",VLOOKUP(Table2[[#This Row],[Description]],$Q$1:$S$101,3,FALSE))</f>
        <v/>
      </c>
      <c r="I2901" s="1" t="str">
        <f>IF(Table2[[#This Row],[Description]]="","",IF(Table2[[#This Row],[Currency]]=$O$2,$P$2,HLOOKUP(Table2[[#This Row],[Date]],Funds!$C$10:$GV$11,2,FALSE)))</f>
        <v/>
      </c>
      <c r="J2901" s="215" t="str">
        <f>IF(Table2[[#This Row],[Description]]="","",Table2[[#This Row],[Value]]/Table2[[#This Row],[Conversion]])</f>
        <v/>
      </c>
      <c r="K2901" s="45" t="str">
        <f>IF(Table2[[#This Row],[Description]]="","",DATE(Table2[[#This Row],[Year]],Table2[[#This Row],[Month]],1))</f>
        <v/>
      </c>
    </row>
    <row r="2902" spans="7:11" x14ac:dyDescent="0.25">
      <c r="G2902" s="1" t="str">
        <f>IF(Table2[[#This Row],[Description]]="","",VLOOKUP(Table2[[#This Row],[Description]],$Q$1:$S$101,2,FALSE))</f>
        <v/>
      </c>
      <c r="H2902" s="1" t="str">
        <f>IF(Table2[[#This Row],[Description]]="","",VLOOKUP(Table2[[#This Row],[Description]],$Q$1:$S$101,3,FALSE))</f>
        <v/>
      </c>
      <c r="I2902" s="1" t="str">
        <f>IF(Table2[[#This Row],[Description]]="","",IF(Table2[[#This Row],[Currency]]=$O$2,$P$2,HLOOKUP(Table2[[#This Row],[Date]],Funds!$C$10:$GV$11,2,FALSE)))</f>
        <v/>
      </c>
      <c r="J2902" s="215" t="str">
        <f>IF(Table2[[#This Row],[Description]]="","",Table2[[#This Row],[Value]]/Table2[[#This Row],[Conversion]])</f>
        <v/>
      </c>
      <c r="K2902" s="45" t="str">
        <f>IF(Table2[[#This Row],[Description]]="","",DATE(Table2[[#This Row],[Year]],Table2[[#This Row],[Month]],1))</f>
        <v/>
      </c>
    </row>
    <row r="2903" spans="7:11" x14ac:dyDescent="0.25">
      <c r="G2903" s="1" t="str">
        <f>IF(Table2[[#This Row],[Description]]="","",VLOOKUP(Table2[[#This Row],[Description]],$Q$1:$S$101,2,FALSE))</f>
        <v/>
      </c>
      <c r="H2903" s="1" t="str">
        <f>IF(Table2[[#This Row],[Description]]="","",VLOOKUP(Table2[[#This Row],[Description]],$Q$1:$S$101,3,FALSE))</f>
        <v/>
      </c>
      <c r="I2903" s="1" t="str">
        <f>IF(Table2[[#This Row],[Description]]="","",IF(Table2[[#This Row],[Currency]]=$O$2,$P$2,HLOOKUP(Table2[[#This Row],[Date]],Funds!$C$10:$GV$11,2,FALSE)))</f>
        <v/>
      </c>
      <c r="J2903" s="215" t="str">
        <f>IF(Table2[[#This Row],[Description]]="","",Table2[[#This Row],[Value]]/Table2[[#This Row],[Conversion]])</f>
        <v/>
      </c>
      <c r="K2903" s="45" t="str">
        <f>IF(Table2[[#This Row],[Description]]="","",DATE(Table2[[#This Row],[Year]],Table2[[#This Row],[Month]],1))</f>
        <v/>
      </c>
    </row>
    <row r="2904" spans="7:11" x14ac:dyDescent="0.25">
      <c r="G2904" s="1" t="str">
        <f>IF(Table2[[#This Row],[Description]]="","",VLOOKUP(Table2[[#This Row],[Description]],$Q$1:$S$101,2,FALSE))</f>
        <v/>
      </c>
      <c r="H2904" s="1" t="str">
        <f>IF(Table2[[#This Row],[Description]]="","",VLOOKUP(Table2[[#This Row],[Description]],$Q$1:$S$101,3,FALSE))</f>
        <v/>
      </c>
      <c r="I2904" s="1" t="str">
        <f>IF(Table2[[#This Row],[Description]]="","",IF(Table2[[#This Row],[Currency]]=$O$2,$P$2,HLOOKUP(Table2[[#This Row],[Date]],Funds!$C$10:$GV$11,2,FALSE)))</f>
        <v/>
      </c>
      <c r="J2904" s="215" t="str">
        <f>IF(Table2[[#This Row],[Description]]="","",Table2[[#This Row],[Value]]/Table2[[#This Row],[Conversion]])</f>
        <v/>
      </c>
      <c r="K2904" s="45" t="str">
        <f>IF(Table2[[#This Row],[Description]]="","",DATE(Table2[[#This Row],[Year]],Table2[[#This Row],[Month]],1))</f>
        <v/>
      </c>
    </row>
    <row r="2905" spans="7:11" x14ac:dyDescent="0.25">
      <c r="G2905" s="1" t="str">
        <f>IF(Table2[[#This Row],[Description]]="","",VLOOKUP(Table2[[#This Row],[Description]],$Q$1:$S$101,2,FALSE))</f>
        <v/>
      </c>
      <c r="H2905" s="1" t="str">
        <f>IF(Table2[[#This Row],[Description]]="","",VLOOKUP(Table2[[#This Row],[Description]],$Q$1:$S$101,3,FALSE))</f>
        <v/>
      </c>
      <c r="I2905" s="1" t="str">
        <f>IF(Table2[[#This Row],[Description]]="","",IF(Table2[[#This Row],[Currency]]=$O$2,$P$2,HLOOKUP(Table2[[#This Row],[Date]],Funds!$C$10:$GV$11,2,FALSE)))</f>
        <v/>
      </c>
      <c r="J2905" s="215" t="str">
        <f>IF(Table2[[#This Row],[Description]]="","",Table2[[#This Row],[Value]]/Table2[[#This Row],[Conversion]])</f>
        <v/>
      </c>
      <c r="K2905" s="45" t="str">
        <f>IF(Table2[[#This Row],[Description]]="","",DATE(Table2[[#This Row],[Year]],Table2[[#This Row],[Month]],1))</f>
        <v/>
      </c>
    </row>
    <row r="2906" spans="7:11" x14ac:dyDescent="0.25">
      <c r="G2906" s="1" t="str">
        <f>IF(Table2[[#This Row],[Description]]="","",VLOOKUP(Table2[[#This Row],[Description]],$Q$1:$S$101,2,FALSE))</f>
        <v/>
      </c>
      <c r="H2906" s="1" t="str">
        <f>IF(Table2[[#This Row],[Description]]="","",VLOOKUP(Table2[[#This Row],[Description]],$Q$1:$S$101,3,FALSE))</f>
        <v/>
      </c>
      <c r="I2906" s="1" t="str">
        <f>IF(Table2[[#This Row],[Description]]="","",IF(Table2[[#This Row],[Currency]]=$O$2,$P$2,HLOOKUP(Table2[[#This Row],[Date]],Funds!$C$10:$GV$11,2,FALSE)))</f>
        <v/>
      </c>
      <c r="J2906" s="215" t="str">
        <f>IF(Table2[[#This Row],[Description]]="","",Table2[[#This Row],[Value]]/Table2[[#This Row],[Conversion]])</f>
        <v/>
      </c>
      <c r="K2906" s="45" t="str">
        <f>IF(Table2[[#This Row],[Description]]="","",DATE(Table2[[#This Row],[Year]],Table2[[#This Row],[Month]],1))</f>
        <v/>
      </c>
    </row>
    <row r="2907" spans="7:11" x14ac:dyDescent="0.25">
      <c r="G2907" s="1" t="str">
        <f>IF(Table2[[#This Row],[Description]]="","",VLOOKUP(Table2[[#This Row],[Description]],$Q$1:$S$101,2,FALSE))</f>
        <v/>
      </c>
      <c r="H2907" s="1" t="str">
        <f>IF(Table2[[#This Row],[Description]]="","",VLOOKUP(Table2[[#This Row],[Description]],$Q$1:$S$101,3,FALSE))</f>
        <v/>
      </c>
      <c r="I2907" s="1" t="str">
        <f>IF(Table2[[#This Row],[Description]]="","",IF(Table2[[#This Row],[Currency]]=$O$2,$P$2,HLOOKUP(Table2[[#This Row],[Date]],Funds!$C$10:$GV$11,2,FALSE)))</f>
        <v/>
      </c>
      <c r="J2907" s="215" t="str">
        <f>IF(Table2[[#This Row],[Description]]="","",Table2[[#This Row],[Value]]/Table2[[#This Row],[Conversion]])</f>
        <v/>
      </c>
      <c r="K2907" s="45" t="str">
        <f>IF(Table2[[#This Row],[Description]]="","",DATE(Table2[[#This Row],[Year]],Table2[[#This Row],[Month]],1))</f>
        <v/>
      </c>
    </row>
    <row r="2908" spans="7:11" x14ac:dyDescent="0.25">
      <c r="G2908" s="1" t="str">
        <f>IF(Table2[[#This Row],[Description]]="","",VLOOKUP(Table2[[#This Row],[Description]],$Q$1:$S$101,2,FALSE))</f>
        <v/>
      </c>
      <c r="H2908" s="1" t="str">
        <f>IF(Table2[[#This Row],[Description]]="","",VLOOKUP(Table2[[#This Row],[Description]],$Q$1:$S$101,3,FALSE))</f>
        <v/>
      </c>
      <c r="I2908" s="1" t="str">
        <f>IF(Table2[[#This Row],[Description]]="","",IF(Table2[[#This Row],[Currency]]=$O$2,$P$2,HLOOKUP(Table2[[#This Row],[Date]],Funds!$C$10:$GV$11,2,FALSE)))</f>
        <v/>
      </c>
      <c r="J2908" s="215" t="str">
        <f>IF(Table2[[#This Row],[Description]]="","",Table2[[#This Row],[Value]]/Table2[[#This Row],[Conversion]])</f>
        <v/>
      </c>
      <c r="K2908" s="45" t="str">
        <f>IF(Table2[[#This Row],[Description]]="","",DATE(Table2[[#This Row],[Year]],Table2[[#This Row],[Month]],1))</f>
        <v/>
      </c>
    </row>
    <row r="2909" spans="7:11" x14ac:dyDescent="0.25">
      <c r="G2909" s="1" t="str">
        <f>IF(Table2[[#This Row],[Description]]="","",VLOOKUP(Table2[[#This Row],[Description]],$Q$1:$S$101,2,FALSE))</f>
        <v/>
      </c>
      <c r="H2909" s="1" t="str">
        <f>IF(Table2[[#This Row],[Description]]="","",VLOOKUP(Table2[[#This Row],[Description]],$Q$1:$S$101,3,FALSE))</f>
        <v/>
      </c>
      <c r="I2909" s="1" t="str">
        <f>IF(Table2[[#This Row],[Description]]="","",IF(Table2[[#This Row],[Currency]]=$O$2,$P$2,HLOOKUP(Table2[[#This Row],[Date]],Funds!$C$10:$GV$11,2,FALSE)))</f>
        <v/>
      </c>
      <c r="J2909" s="215" t="str">
        <f>IF(Table2[[#This Row],[Description]]="","",Table2[[#This Row],[Value]]/Table2[[#This Row],[Conversion]])</f>
        <v/>
      </c>
      <c r="K2909" s="45" t="str">
        <f>IF(Table2[[#This Row],[Description]]="","",DATE(Table2[[#This Row],[Year]],Table2[[#This Row],[Month]],1))</f>
        <v/>
      </c>
    </row>
    <row r="2910" spans="7:11" x14ac:dyDescent="0.25">
      <c r="G2910" s="1" t="str">
        <f>IF(Table2[[#This Row],[Description]]="","",VLOOKUP(Table2[[#This Row],[Description]],$Q$1:$S$101,2,FALSE))</f>
        <v/>
      </c>
      <c r="H2910" s="1" t="str">
        <f>IF(Table2[[#This Row],[Description]]="","",VLOOKUP(Table2[[#This Row],[Description]],$Q$1:$S$101,3,FALSE))</f>
        <v/>
      </c>
      <c r="I2910" s="1" t="str">
        <f>IF(Table2[[#This Row],[Description]]="","",IF(Table2[[#This Row],[Currency]]=$O$2,$P$2,HLOOKUP(Table2[[#This Row],[Date]],Funds!$C$10:$GV$11,2,FALSE)))</f>
        <v/>
      </c>
      <c r="J2910" s="215" t="str">
        <f>IF(Table2[[#This Row],[Description]]="","",Table2[[#This Row],[Value]]/Table2[[#This Row],[Conversion]])</f>
        <v/>
      </c>
      <c r="K2910" s="45" t="str">
        <f>IF(Table2[[#This Row],[Description]]="","",DATE(Table2[[#This Row],[Year]],Table2[[#This Row],[Month]],1))</f>
        <v/>
      </c>
    </row>
    <row r="2911" spans="7:11" x14ac:dyDescent="0.25">
      <c r="G2911" s="1" t="str">
        <f>IF(Table2[[#This Row],[Description]]="","",VLOOKUP(Table2[[#This Row],[Description]],$Q$1:$S$101,2,FALSE))</f>
        <v/>
      </c>
      <c r="H2911" s="1" t="str">
        <f>IF(Table2[[#This Row],[Description]]="","",VLOOKUP(Table2[[#This Row],[Description]],$Q$1:$S$101,3,FALSE))</f>
        <v/>
      </c>
      <c r="I2911" s="1" t="str">
        <f>IF(Table2[[#This Row],[Description]]="","",IF(Table2[[#This Row],[Currency]]=$O$2,$P$2,HLOOKUP(Table2[[#This Row],[Date]],Funds!$C$10:$GV$11,2,FALSE)))</f>
        <v/>
      </c>
      <c r="J2911" s="215" t="str">
        <f>IF(Table2[[#This Row],[Description]]="","",Table2[[#This Row],[Value]]/Table2[[#This Row],[Conversion]])</f>
        <v/>
      </c>
      <c r="K2911" s="45" t="str">
        <f>IF(Table2[[#This Row],[Description]]="","",DATE(Table2[[#This Row],[Year]],Table2[[#This Row],[Month]],1))</f>
        <v/>
      </c>
    </row>
    <row r="2912" spans="7:11" x14ac:dyDescent="0.25">
      <c r="G2912" s="1" t="str">
        <f>IF(Table2[[#This Row],[Description]]="","",VLOOKUP(Table2[[#This Row],[Description]],$Q$1:$S$101,2,FALSE))</f>
        <v/>
      </c>
      <c r="H2912" s="1" t="str">
        <f>IF(Table2[[#This Row],[Description]]="","",VLOOKUP(Table2[[#This Row],[Description]],$Q$1:$S$101,3,FALSE))</f>
        <v/>
      </c>
      <c r="I2912" s="1" t="str">
        <f>IF(Table2[[#This Row],[Description]]="","",IF(Table2[[#This Row],[Currency]]=$O$2,$P$2,HLOOKUP(Table2[[#This Row],[Date]],Funds!$C$10:$GV$11,2,FALSE)))</f>
        <v/>
      </c>
      <c r="J2912" s="215" t="str">
        <f>IF(Table2[[#This Row],[Description]]="","",Table2[[#This Row],[Value]]/Table2[[#This Row],[Conversion]])</f>
        <v/>
      </c>
      <c r="K2912" s="45" t="str">
        <f>IF(Table2[[#This Row],[Description]]="","",DATE(Table2[[#This Row],[Year]],Table2[[#This Row],[Month]],1))</f>
        <v/>
      </c>
    </row>
    <row r="2913" spans="7:11" x14ac:dyDescent="0.25">
      <c r="G2913" s="1" t="str">
        <f>IF(Table2[[#This Row],[Description]]="","",VLOOKUP(Table2[[#This Row],[Description]],$Q$1:$S$101,2,FALSE))</f>
        <v/>
      </c>
      <c r="H2913" s="1" t="str">
        <f>IF(Table2[[#This Row],[Description]]="","",VLOOKUP(Table2[[#This Row],[Description]],$Q$1:$S$101,3,FALSE))</f>
        <v/>
      </c>
      <c r="I2913" s="1" t="str">
        <f>IF(Table2[[#This Row],[Description]]="","",IF(Table2[[#This Row],[Currency]]=$O$2,$P$2,HLOOKUP(Table2[[#This Row],[Date]],Funds!$C$10:$GV$11,2,FALSE)))</f>
        <v/>
      </c>
      <c r="J2913" s="215" t="str">
        <f>IF(Table2[[#This Row],[Description]]="","",Table2[[#This Row],[Value]]/Table2[[#This Row],[Conversion]])</f>
        <v/>
      </c>
      <c r="K2913" s="45" t="str">
        <f>IF(Table2[[#This Row],[Description]]="","",DATE(Table2[[#This Row],[Year]],Table2[[#This Row],[Month]],1))</f>
        <v/>
      </c>
    </row>
    <row r="2914" spans="7:11" x14ac:dyDescent="0.25">
      <c r="G2914" s="1" t="str">
        <f>IF(Table2[[#This Row],[Description]]="","",VLOOKUP(Table2[[#This Row],[Description]],$Q$1:$S$101,2,FALSE))</f>
        <v/>
      </c>
      <c r="H2914" s="1" t="str">
        <f>IF(Table2[[#This Row],[Description]]="","",VLOOKUP(Table2[[#This Row],[Description]],$Q$1:$S$101,3,FALSE))</f>
        <v/>
      </c>
      <c r="I2914" s="1" t="str">
        <f>IF(Table2[[#This Row],[Description]]="","",IF(Table2[[#This Row],[Currency]]=$O$2,$P$2,HLOOKUP(Table2[[#This Row],[Date]],Funds!$C$10:$GV$11,2,FALSE)))</f>
        <v/>
      </c>
      <c r="J2914" s="215" t="str">
        <f>IF(Table2[[#This Row],[Description]]="","",Table2[[#This Row],[Value]]/Table2[[#This Row],[Conversion]])</f>
        <v/>
      </c>
      <c r="K2914" s="45" t="str">
        <f>IF(Table2[[#This Row],[Description]]="","",DATE(Table2[[#This Row],[Year]],Table2[[#This Row],[Month]],1))</f>
        <v/>
      </c>
    </row>
    <row r="2915" spans="7:11" x14ac:dyDescent="0.25">
      <c r="G2915" s="1" t="str">
        <f>IF(Table2[[#This Row],[Description]]="","",VLOOKUP(Table2[[#This Row],[Description]],$Q$1:$S$101,2,FALSE))</f>
        <v/>
      </c>
      <c r="H2915" s="1" t="str">
        <f>IF(Table2[[#This Row],[Description]]="","",VLOOKUP(Table2[[#This Row],[Description]],$Q$1:$S$101,3,FALSE))</f>
        <v/>
      </c>
      <c r="I2915" s="1" t="str">
        <f>IF(Table2[[#This Row],[Description]]="","",IF(Table2[[#This Row],[Currency]]=$O$2,$P$2,HLOOKUP(Table2[[#This Row],[Date]],Funds!$C$10:$GV$11,2,FALSE)))</f>
        <v/>
      </c>
      <c r="J2915" s="215" t="str">
        <f>IF(Table2[[#This Row],[Description]]="","",Table2[[#This Row],[Value]]/Table2[[#This Row],[Conversion]])</f>
        <v/>
      </c>
      <c r="K2915" s="45" t="str">
        <f>IF(Table2[[#This Row],[Description]]="","",DATE(Table2[[#This Row],[Year]],Table2[[#This Row],[Month]],1))</f>
        <v/>
      </c>
    </row>
    <row r="2916" spans="7:11" x14ac:dyDescent="0.25">
      <c r="G2916" s="1" t="str">
        <f>IF(Table2[[#This Row],[Description]]="","",VLOOKUP(Table2[[#This Row],[Description]],$Q$1:$S$101,2,FALSE))</f>
        <v/>
      </c>
      <c r="H2916" s="1" t="str">
        <f>IF(Table2[[#This Row],[Description]]="","",VLOOKUP(Table2[[#This Row],[Description]],$Q$1:$S$101,3,FALSE))</f>
        <v/>
      </c>
      <c r="I2916" s="1" t="str">
        <f>IF(Table2[[#This Row],[Description]]="","",IF(Table2[[#This Row],[Currency]]=$O$2,$P$2,HLOOKUP(Table2[[#This Row],[Date]],Funds!$C$10:$GV$11,2,FALSE)))</f>
        <v/>
      </c>
      <c r="J2916" s="215" t="str">
        <f>IF(Table2[[#This Row],[Description]]="","",Table2[[#This Row],[Value]]/Table2[[#This Row],[Conversion]])</f>
        <v/>
      </c>
      <c r="K2916" s="45" t="str">
        <f>IF(Table2[[#This Row],[Description]]="","",DATE(Table2[[#This Row],[Year]],Table2[[#This Row],[Month]],1))</f>
        <v/>
      </c>
    </row>
    <row r="2917" spans="7:11" x14ac:dyDescent="0.25">
      <c r="G2917" s="1" t="str">
        <f>IF(Table2[[#This Row],[Description]]="","",VLOOKUP(Table2[[#This Row],[Description]],$Q$1:$S$101,2,FALSE))</f>
        <v/>
      </c>
      <c r="H2917" s="1" t="str">
        <f>IF(Table2[[#This Row],[Description]]="","",VLOOKUP(Table2[[#This Row],[Description]],$Q$1:$S$101,3,FALSE))</f>
        <v/>
      </c>
      <c r="I2917" s="1" t="str">
        <f>IF(Table2[[#This Row],[Description]]="","",IF(Table2[[#This Row],[Currency]]=$O$2,$P$2,HLOOKUP(Table2[[#This Row],[Date]],Funds!$C$10:$GV$11,2,FALSE)))</f>
        <v/>
      </c>
      <c r="J2917" s="215" t="str">
        <f>IF(Table2[[#This Row],[Description]]="","",Table2[[#This Row],[Value]]/Table2[[#This Row],[Conversion]])</f>
        <v/>
      </c>
      <c r="K2917" s="45" t="str">
        <f>IF(Table2[[#This Row],[Description]]="","",DATE(Table2[[#This Row],[Year]],Table2[[#This Row],[Month]],1))</f>
        <v/>
      </c>
    </row>
    <row r="2918" spans="7:11" x14ac:dyDescent="0.25">
      <c r="G2918" s="1" t="str">
        <f>IF(Table2[[#This Row],[Description]]="","",VLOOKUP(Table2[[#This Row],[Description]],$Q$1:$S$101,2,FALSE))</f>
        <v/>
      </c>
      <c r="H2918" s="1" t="str">
        <f>IF(Table2[[#This Row],[Description]]="","",VLOOKUP(Table2[[#This Row],[Description]],$Q$1:$S$101,3,FALSE))</f>
        <v/>
      </c>
      <c r="I2918" s="1" t="str">
        <f>IF(Table2[[#This Row],[Description]]="","",IF(Table2[[#This Row],[Currency]]=$O$2,$P$2,HLOOKUP(Table2[[#This Row],[Date]],Funds!$C$10:$GV$11,2,FALSE)))</f>
        <v/>
      </c>
      <c r="J2918" s="215" t="str">
        <f>IF(Table2[[#This Row],[Description]]="","",Table2[[#This Row],[Value]]/Table2[[#This Row],[Conversion]])</f>
        <v/>
      </c>
      <c r="K2918" s="45" t="str">
        <f>IF(Table2[[#This Row],[Description]]="","",DATE(Table2[[#This Row],[Year]],Table2[[#This Row],[Month]],1))</f>
        <v/>
      </c>
    </row>
    <row r="2919" spans="7:11" x14ac:dyDescent="0.25">
      <c r="G2919" s="1" t="str">
        <f>IF(Table2[[#This Row],[Description]]="","",VLOOKUP(Table2[[#This Row],[Description]],$Q$1:$S$101,2,FALSE))</f>
        <v/>
      </c>
      <c r="H2919" s="1" t="str">
        <f>IF(Table2[[#This Row],[Description]]="","",VLOOKUP(Table2[[#This Row],[Description]],$Q$1:$S$101,3,FALSE))</f>
        <v/>
      </c>
      <c r="I2919" s="1" t="str">
        <f>IF(Table2[[#This Row],[Description]]="","",IF(Table2[[#This Row],[Currency]]=$O$2,$P$2,HLOOKUP(Table2[[#This Row],[Date]],Funds!$C$10:$GV$11,2,FALSE)))</f>
        <v/>
      </c>
      <c r="J2919" s="215" t="str">
        <f>IF(Table2[[#This Row],[Description]]="","",Table2[[#This Row],[Value]]/Table2[[#This Row],[Conversion]])</f>
        <v/>
      </c>
      <c r="K2919" s="45" t="str">
        <f>IF(Table2[[#This Row],[Description]]="","",DATE(Table2[[#This Row],[Year]],Table2[[#This Row],[Month]],1))</f>
        <v/>
      </c>
    </row>
    <row r="2920" spans="7:11" x14ac:dyDescent="0.25">
      <c r="G2920" s="1" t="str">
        <f>IF(Table2[[#This Row],[Description]]="","",VLOOKUP(Table2[[#This Row],[Description]],$Q$1:$S$101,2,FALSE))</f>
        <v/>
      </c>
      <c r="H2920" s="1" t="str">
        <f>IF(Table2[[#This Row],[Description]]="","",VLOOKUP(Table2[[#This Row],[Description]],$Q$1:$S$101,3,FALSE))</f>
        <v/>
      </c>
      <c r="I2920" s="1" t="str">
        <f>IF(Table2[[#This Row],[Description]]="","",IF(Table2[[#This Row],[Currency]]=$O$2,$P$2,HLOOKUP(Table2[[#This Row],[Date]],Funds!$C$10:$GV$11,2,FALSE)))</f>
        <v/>
      </c>
      <c r="J2920" s="215" t="str">
        <f>IF(Table2[[#This Row],[Description]]="","",Table2[[#This Row],[Value]]/Table2[[#This Row],[Conversion]])</f>
        <v/>
      </c>
      <c r="K2920" s="45" t="str">
        <f>IF(Table2[[#This Row],[Description]]="","",DATE(Table2[[#This Row],[Year]],Table2[[#This Row],[Month]],1))</f>
        <v/>
      </c>
    </row>
    <row r="2921" spans="7:11" x14ac:dyDescent="0.25">
      <c r="G2921" s="1" t="str">
        <f>IF(Table2[[#This Row],[Description]]="","",VLOOKUP(Table2[[#This Row],[Description]],$Q$1:$S$101,2,FALSE))</f>
        <v/>
      </c>
      <c r="H2921" s="1" t="str">
        <f>IF(Table2[[#This Row],[Description]]="","",VLOOKUP(Table2[[#This Row],[Description]],$Q$1:$S$101,3,FALSE))</f>
        <v/>
      </c>
      <c r="I2921" s="1" t="str">
        <f>IF(Table2[[#This Row],[Description]]="","",IF(Table2[[#This Row],[Currency]]=$O$2,$P$2,HLOOKUP(Table2[[#This Row],[Date]],Funds!$C$10:$GV$11,2,FALSE)))</f>
        <v/>
      </c>
      <c r="J2921" s="215" t="str">
        <f>IF(Table2[[#This Row],[Description]]="","",Table2[[#This Row],[Value]]/Table2[[#This Row],[Conversion]])</f>
        <v/>
      </c>
      <c r="K2921" s="45" t="str">
        <f>IF(Table2[[#This Row],[Description]]="","",DATE(Table2[[#This Row],[Year]],Table2[[#This Row],[Month]],1))</f>
        <v/>
      </c>
    </row>
    <row r="2922" spans="7:11" x14ac:dyDescent="0.25">
      <c r="G2922" s="1" t="str">
        <f>IF(Table2[[#This Row],[Description]]="","",VLOOKUP(Table2[[#This Row],[Description]],$Q$1:$S$101,2,FALSE))</f>
        <v/>
      </c>
      <c r="H2922" s="1" t="str">
        <f>IF(Table2[[#This Row],[Description]]="","",VLOOKUP(Table2[[#This Row],[Description]],$Q$1:$S$101,3,FALSE))</f>
        <v/>
      </c>
      <c r="I2922" s="1" t="str">
        <f>IF(Table2[[#This Row],[Description]]="","",IF(Table2[[#This Row],[Currency]]=$O$2,$P$2,HLOOKUP(Table2[[#This Row],[Date]],Funds!$C$10:$GV$11,2,FALSE)))</f>
        <v/>
      </c>
      <c r="J2922" s="215" t="str">
        <f>IF(Table2[[#This Row],[Description]]="","",Table2[[#This Row],[Value]]/Table2[[#This Row],[Conversion]])</f>
        <v/>
      </c>
      <c r="K2922" s="45" t="str">
        <f>IF(Table2[[#This Row],[Description]]="","",DATE(Table2[[#This Row],[Year]],Table2[[#This Row],[Month]],1))</f>
        <v/>
      </c>
    </row>
    <row r="2923" spans="7:11" x14ac:dyDescent="0.25">
      <c r="G2923" s="1" t="str">
        <f>IF(Table2[[#This Row],[Description]]="","",VLOOKUP(Table2[[#This Row],[Description]],$Q$1:$S$101,2,FALSE))</f>
        <v/>
      </c>
      <c r="H2923" s="1" t="str">
        <f>IF(Table2[[#This Row],[Description]]="","",VLOOKUP(Table2[[#This Row],[Description]],$Q$1:$S$101,3,FALSE))</f>
        <v/>
      </c>
      <c r="I2923" s="1" t="str">
        <f>IF(Table2[[#This Row],[Description]]="","",IF(Table2[[#This Row],[Currency]]=$O$2,$P$2,HLOOKUP(Table2[[#This Row],[Date]],Funds!$C$10:$GV$11,2,FALSE)))</f>
        <v/>
      </c>
      <c r="J2923" s="215" t="str">
        <f>IF(Table2[[#This Row],[Description]]="","",Table2[[#This Row],[Value]]/Table2[[#This Row],[Conversion]])</f>
        <v/>
      </c>
      <c r="K2923" s="45" t="str">
        <f>IF(Table2[[#This Row],[Description]]="","",DATE(Table2[[#This Row],[Year]],Table2[[#This Row],[Month]],1))</f>
        <v/>
      </c>
    </row>
    <row r="2924" spans="7:11" x14ac:dyDescent="0.25">
      <c r="G2924" s="1" t="str">
        <f>IF(Table2[[#This Row],[Description]]="","",VLOOKUP(Table2[[#This Row],[Description]],$Q$1:$S$101,2,FALSE))</f>
        <v/>
      </c>
      <c r="H2924" s="1" t="str">
        <f>IF(Table2[[#This Row],[Description]]="","",VLOOKUP(Table2[[#This Row],[Description]],$Q$1:$S$101,3,FALSE))</f>
        <v/>
      </c>
      <c r="I2924" s="1" t="str">
        <f>IF(Table2[[#This Row],[Description]]="","",IF(Table2[[#This Row],[Currency]]=$O$2,$P$2,HLOOKUP(Table2[[#This Row],[Date]],Funds!$C$10:$GV$11,2,FALSE)))</f>
        <v/>
      </c>
      <c r="J2924" s="215" t="str">
        <f>IF(Table2[[#This Row],[Description]]="","",Table2[[#This Row],[Value]]/Table2[[#This Row],[Conversion]])</f>
        <v/>
      </c>
      <c r="K2924" s="45" t="str">
        <f>IF(Table2[[#This Row],[Description]]="","",DATE(Table2[[#This Row],[Year]],Table2[[#This Row],[Month]],1))</f>
        <v/>
      </c>
    </row>
    <row r="2925" spans="7:11" x14ac:dyDescent="0.25">
      <c r="G2925" s="1" t="str">
        <f>IF(Table2[[#This Row],[Description]]="","",VLOOKUP(Table2[[#This Row],[Description]],$Q$1:$S$101,2,FALSE))</f>
        <v/>
      </c>
      <c r="H2925" s="1" t="str">
        <f>IF(Table2[[#This Row],[Description]]="","",VLOOKUP(Table2[[#This Row],[Description]],$Q$1:$S$101,3,FALSE))</f>
        <v/>
      </c>
      <c r="I2925" s="1" t="str">
        <f>IF(Table2[[#This Row],[Description]]="","",IF(Table2[[#This Row],[Currency]]=$O$2,$P$2,HLOOKUP(Table2[[#This Row],[Date]],Funds!$C$10:$GV$11,2,FALSE)))</f>
        <v/>
      </c>
      <c r="J2925" s="215" t="str">
        <f>IF(Table2[[#This Row],[Description]]="","",Table2[[#This Row],[Value]]/Table2[[#This Row],[Conversion]])</f>
        <v/>
      </c>
      <c r="K2925" s="45" t="str">
        <f>IF(Table2[[#This Row],[Description]]="","",DATE(Table2[[#This Row],[Year]],Table2[[#This Row],[Month]],1))</f>
        <v/>
      </c>
    </row>
    <row r="2926" spans="7:11" x14ac:dyDescent="0.25">
      <c r="G2926" s="1" t="str">
        <f>IF(Table2[[#This Row],[Description]]="","",VLOOKUP(Table2[[#This Row],[Description]],$Q$1:$S$101,2,FALSE))</f>
        <v/>
      </c>
      <c r="H2926" s="1" t="str">
        <f>IF(Table2[[#This Row],[Description]]="","",VLOOKUP(Table2[[#This Row],[Description]],$Q$1:$S$101,3,FALSE))</f>
        <v/>
      </c>
      <c r="I2926" s="1" t="str">
        <f>IF(Table2[[#This Row],[Description]]="","",IF(Table2[[#This Row],[Currency]]=$O$2,$P$2,HLOOKUP(Table2[[#This Row],[Date]],Funds!$C$10:$GV$11,2,FALSE)))</f>
        <v/>
      </c>
      <c r="J2926" s="215" t="str">
        <f>IF(Table2[[#This Row],[Description]]="","",Table2[[#This Row],[Value]]/Table2[[#This Row],[Conversion]])</f>
        <v/>
      </c>
      <c r="K2926" s="45" t="str">
        <f>IF(Table2[[#This Row],[Description]]="","",DATE(Table2[[#This Row],[Year]],Table2[[#This Row],[Month]],1))</f>
        <v/>
      </c>
    </row>
    <row r="2927" spans="7:11" x14ac:dyDescent="0.25">
      <c r="G2927" s="1" t="str">
        <f>IF(Table2[[#This Row],[Description]]="","",VLOOKUP(Table2[[#This Row],[Description]],$Q$1:$S$101,2,FALSE))</f>
        <v/>
      </c>
      <c r="H2927" s="1" t="str">
        <f>IF(Table2[[#This Row],[Description]]="","",VLOOKUP(Table2[[#This Row],[Description]],$Q$1:$S$101,3,FALSE))</f>
        <v/>
      </c>
      <c r="I2927" s="1" t="str">
        <f>IF(Table2[[#This Row],[Description]]="","",IF(Table2[[#This Row],[Currency]]=$O$2,$P$2,HLOOKUP(Table2[[#This Row],[Date]],Funds!$C$10:$GV$11,2,FALSE)))</f>
        <v/>
      </c>
      <c r="J2927" s="215" t="str">
        <f>IF(Table2[[#This Row],[Description]]="","",Table2[[#This Row],[Value]]/Table2[[#This Row],[Conversion]])</f>
        <v/>
      </c>
      <c r="K2927" s="45" t="str">
        <f>IF(Table2[[#This Row],[Description]]="","",DATE(Table2[[#This Row],[Year]],Table2[[#This Row],[Month]],1))</f>
        <v/>
      </c>
    </row>
    <row r="2928" spans="7:11" x14ac:dyDescent="0.25">
      <c r="G2928" s="1" t="str">
        <f>IF(Table2[[#This Row],[Description]]="","",VLOOKUP(Table2[[#This Row],[Description]],$Q$1:$S$101,2,FALSE))</f>
        <v/>
      </c>
      <c r="H2928" s="1" t="str">
        <f>IF(Table2[[#This Row],[Description]]="","",VLOOKUP(Table2[[#This Row],[Description]],$Q$1:$S$101,3,FALSE))</f>
        <v/>
      </c>
      <c r="I2928" s="1" t="str">
        <f>IF(Table2[[#This Row],[Description]]="","",IF(Table2[[#This Row],[Currency]]=$O$2,$P$2,HLOOKUP(Table2[[#This Row],[Date]],Funds!$C$10:$GV$11,2,FALSE)))</f>
        <v/>
      </c>
      <c r="J2928" s="215" t="str">
        <f>IF(Table2[[#This Row],[Description]]="","",Table2[[#This Row],[Value]]/Table2[[#This Row],[Conversion]])</f>
        <v/>
      </c>
      <c r="K2928" s="45" t="str">
        <f>IF(Table2[[#This Row],[Description]]="","",DATE(Table2[[#This Row],[Year]],Table2[[#This Row],[Month]],1))</f>
        <v/>
      </c>
    </row>
    <row r="2929" spans="7:11" x14ac:dyDescent="0.25">
      <c r="G2929" s="1" t="str">
        <f>IF(Table2[[#This Row],[Description]]="","",VLOOKUP(Table2[[#This Row],[Description]],$Q$1:$S$101,2,FALSE))</f>
        <v/>
      </c>
      <c r="H2929" s="1" t="str">
        <f>IF(Table2[[#This Row],[Description]]="","",VLOOKUP(Table2[[#This Row],[Description]],$Q$1:$S$101,3,FALSE))</f>
        <v/>
      </c>
      <c r="I2929" s="1" t="str">
        <f>IF(Table2[[#This Row],[Description]]="","",IF(Table2[[#This Row],[Currency]]=$O$2,$P$2,HLOOKUP(Table2[[#This Row],[Date]],Funds!$C$10:$GV$11,2,FALSE)))</f>
        <v/>
      </c>
      <c r="J2929" s="215" t="str">
        <f>IF(Table2[[#This Row],[Description]]="","",Table2[[#This Row],[Value]]/Table2[[#This Row],[Conversion]])</f>
        <v/>
      </c>
      <c r="K2929" s="45" t="str">
        <f>IF(Table2[[#This Row],[Description]]="","",DATE(Table2[[#This Row],[Year]],Table2[[#This Row],[Month]],1))</f>
        <v/>
      </c>
    </row>
    <row r="2930" spans="7:11" x14ac:dyDescent="0.25">
      <c r="G2930" s="1" t="str">
        <f>IF(Table2[[#This Row],[Description]]="","",VLOOKUP(Table2[[#This Row],[Description]],$Q$1:$S$101,2,FALSE))</f>
        <v/>
      </c>
      <c r="H2930" s="1" t="str">
        <f>IF(Table2[[#This Row],[Description]]="","",VLOOKUP(Table2[[#This Row],[Description]],$Q$1:$S$101,3,FALSE))</f>
        <v/>
      </c>
      <c r="I2930" s="1" t="str">
        <f>IF(Table2[[#This Row],[Description]]="","",IF(Table2[[#This Row],[Currency]]=$O$2,$P$2,HLOOKUP(Table2[[#This Row],[Date]],Funds!$C$10:$GV$11,2,FALSE)))</f>
        <v/>
      </c>
      <c r="J2930" s="215" t="str">
        <f>IF(Table2[[#This Row],[Description]]="","",Table2[[#This Row],[Value]]/Table2[[#This Row],[Conversion]])</f>
        <v/>
      </c>
      <c r="K2930" s="45" t="str">
        <f>IF(Table2[[#This Row],[Description]]="","",DATE(Table2[[#This Row],[Year]],Table2[[#This Row],[Month]],1))</f>
        <v/>
      </c>
    </row>
    <row r="2931" spans="7:11" x14ac:dyDescent="0.25">
      <c r="G2931" s="1" t="str">
        <f>IF(Table2[[#This Row],[Description]]="","",VLOOKUP(Table2[[#This Row],[Description]],$Q$1:$S$101,2,FALSE))</f>
        <v/>
      </c>
      <c r="H2931" s="1" t="str">
        <f>IF(Table2[[#This Row],[Description]]="","",VLOOKUP(Table2[[#This Row],[Description]],$Q$1:$S$101,3,FALSE))</f>
        <v/>
      </c>
      <c r="I2931" s="1" t="str">
        <f>IF(Table2[[#This Row],[Description]]="","",IF(Table2[[#This Row],[Currency]]=$O$2,$P$2,HLOOKUP(Table2[[#This Row],[Date]],Funds!$C$10:$GV$11,2,FALSE)))</f>
        <v/>
      </c>
      <c r="J2931" s="215" t="str">
        <f>IF(Table2[[#This Row],[Description]]="","",Table2[[#This Row],[Value]]/Table2[[#This Row],[Conversion]])</f>
        <v/>
      </c>
      <c r="K2931" s="45" t="str">
        <f>IF(Table2[[#This Row],[Description]]="","",DATE(Table2[[#This Row],[Year]],Table2[[#This Row],[Month]],1))</f>
        <v/>
      </c>
    </row>
    <row r="2932" spans="7:11" x14ac:dyDescent="0.25">
      <c r="G2932" s="1" t="str">
        <f>IF(Table2[[#This Row],[Description]]="","",VLOOKUP(Table2[[#This Row],[Description]],$Q$1:$S$101,2,FALSE))</f>
        <v/>
      </c>
      <c r="H2932" s="1" t="str">
        <f>IF(Table2[[#This Row],[Description]]="","",VLOOKUP(Table2[[#This Row],[Description]],$Q$1:$S$101,3,FALSE))</f>
        <v/>
      </c>
      <c r="I2932" s="1" t="str">
        <f>IF(Table2[[#This Row],[Description]]="","",IF(Table2[[#This Row],[Currency]]=$O$2,$P$2,HLOOKUP(Table2[[#This Row],[Date]],Funds!$C$10:$GV$11,2,FALSE)))</f>
        <v/>
      </c>
      <c r="J2932" s="215" t="str">
        <f>IF(Table2[[#This Row],[Description]]="","",Table2[[#This Row],[Value]]/Table2[[#This Row],[Conversion]])</f>
        <v/>
      </c>
      <c r="K2932" s="45" t="str">
        <f>IF(Table2[[#This Row],[Description]]="","",DATE(Table2[[#This Row],[Year]],Table2[[#This Row],[Month]],1))</f>
        <v/>
      </c>
    </row>
    <row r="2933" spans="7:11" x14ac:dyDescent="0.25">
      <c r="G2933" s="1" t="str">
        <f>IF(Table2[[#This Row],[Description]]="","",VLOOKUP(Table2[[#This Row],[Description]],$Q$1:$S$101,2,FALSE))</f>
        <v/>
      </c>
      <c r="H2933" s="1" t="str">
        <f>IF(Table2[[#This Row],[Description]]="","",VLOOKUP(Table2[[#This Row],[Description]],$Q$1:$S$101,3,FALSE))</f>
        <v/>
      </c>
      <c r="I2933" s="1" t="str">
        <f>IF(Table2[[#This Row],[Description]]="","",IF(Table2[[#This Row],[Currency]]=$O$2,$P$2,HLOOKUP(Table2[[#This Row],[Date]],Funds!$C$10:$GV$11,2,FALSE)))</f>
        <v/>
      </c>
      <c r="J2933" s="215" t="str">
        <f>IF(Table2[[#This Row],[Description]]="","",Table2[[#This Row],[Value]]/Table2[[#This Row],[Conversion]])</f>
        <v/>
      </c>
      <c r="K2933" s="45" t="str">
        <f>IF(Table2[[#This Row],[Description]]="","",DATE(Table2[[#This Row],[Year]],Table2[[#This Row],[Month]],1))</f>
        <v/>
      </c>
    </row>
    <row r="2934" spans="7:11" x14ac:dyDescent="0.25">
      <c r="G2934" s="1" t="str">
        <f>IF(Table2[[#This Row],[Description]]="","",VLOOKUP(Table2[[#This Row],[Description]],$Q$1:$S$101,2,FALSE))</f>
        <v/>
      </c>
      <c r="H2934" s="1" t="str">
        <f>IF(Table2[[#This Row],[Description]]="","",VLOOKUP(Table2[[#This Row],[Description]],$Q$1:$S$101,3,FALSE))</f>
        <v/>
      </c>
      <c r="I2934" s="1" t="str">
        <f>IF(Table2[[#This Row],[Description]]="","",IF(Table2[[#This Row],[Currency]]=$O$2,$P$2,HLOOKUP(Table2[[#This Row],[Date]],Funds!$C$10:$GV$11,2,FALSE)))</f>
        <v/>
      </c>
      <c r="J2934" s="215" t="str">
        <f>IF(Table2[[#This Row],[Description]]="","",Table2[[#This Row],[Value]]/Table2[[#This Row],[Conversion]])</f>
        <v/>
      </c>
      <c r="K2934" s="45" t="str">
        <f>IF(Table2[[#This Row],[Description]]="","",DATE(Table2[[#This Row],[Year]],Table2[[#This Row],[Month]],1))</f>
        <v/>
      </c>
    </row>
    <row r="2935" spans="7:11" x14ac:dyDescent="0.25">
      <c r="G2935" s="1" t="str">
        <f>IF(Table2[[#This Row],[Description]]="","",VLOOKUP(Table2[[#This Row],[Description]],$Q$1:$S$101,2,FALSE))</f>
        <v/>
      </c>
      <c r="H2935" s="1" t="str">
        <f>IF(Table2[[#This Row],[Description]]="","",VLOOKUP(Table2[[#This Row],[Description]],$Q$1:$S$101,3,FALSE))</f>
        <v/>
      </c>
      <c r="I2935" s="1" t="str">
        <f>IF(Table2[[#This Row],[Description]]="","",IF(Table2[[#This Row],[Currency]]=$O$2,$P$2,HLOOKUP(Table2[[#This Row],[Date]],Funds!$C$10:$GV$11,2,FALSE)))</f>
        <v/>
      </c>
      <c r="J2935" s="215" t="str">
        <f>IF(Table2[[#This Row],[Description]]="","",Table2[[#This Row],[Value]]/Table2[[#This Row],[Conversion]])</f>
        <v/>
      </c>
      <c r="K2935" s="45" t="str">
        <f>IF(Table2[[#This Row],[Description]]="","",DATE(Table2[[#This Row],[Year]],Table2[[#This Row],[Month]],1))</f>
        <v/>
      </c>
    </row>
    <row r="2936" spans="7:11" x14ac:dyDescent="0.25">
      <c r="G2936" s="1" t="str">
        <f>IF(Table2[[#This Row],[Description]]="","",VLOOKUP(Table2[[#This Row],[Description]],$Q$1:$S$101,2,FALSE))</f>
        <v/>
      </c>
      <c r="H2936" s="1" t="str">
        <f>IF(Table2[[#This Row],[Description]]="","",VLOOKUP(Table2[[#This Row],[Description]],$Q$1:$S$101,3,FALSE))</f>
        <v/>
      </c>
      <c r="I2936" s="1" t="str">
        <f>IF(Table2[[#This Row],[Description]]="","",IF(Table2[[#This Row],[Currency]]=$O$2,$P$2,HLOOKUP(Table2[[#This Row],[Date]],Funds!$C$10:$GV$11,2,FALSE)))</f>
        <v/>
      </c>
      <c r="J2936" s="215" t="str">
        <f>IF(Table2[[#This Row],[Description]]="","",Table2[[#This Row],[Value]]/Table2[[#This Row],[Conversion]])</f>
        <v/>
      </c>
      <c r="K2936" s="45" t="str">
        <f>IF(Table2[[#This Row],[Description]]="","",DATE(Table2[[#This Row],[Year]],Table2[[#This Row],[Month]],1))</f>
        <v/>
      </c>
    </row>
    <row r="2937" spans="7:11" x14ac:dyDescent="0.25">
      <c r="G2937" s="1" t="str">
        <f>IF(Table2[[#This Row],[Description]]="","",VLOOKUP(Table2[[#This Row],[Description]],$Q$1:$S$101,2,FALSE))</f>
        <v/>
      </c>
      <c r="H2937" s="1" t="str">
        <f>IF(Table2[[#This Row],[Description]]="","",VLOOKUP(Table2[[#This Row],[Description]],$Q$1:$S$101,3,FALSE))</f>
        <v/>
      </c>
      <c r="I2937" s="1" t="str">
        <f>IF(Table2[[#This Row],[Description]]="","",IF(Table2[[#This Row],[Currency]]=$O$2,$P$2,HLOOKUP(Table2[[#This Row],[Date]],Funds!$C$10:$GV$11,2,FALSE)))</f>
        <v/>
      </c>
      <c r="J2937" s="215" t="str">
        <f>IF(Table2[[#This Row],[Description]]="","",Table2[[#This Row],[Value]]/Table2[[#This Row],[Conversion]])</f>
        <v/>
      </c>
      <c r="K2937" s="45" t="str">
        <f>IF(Table2[[#This Row],[Description]]="","",DATE(Table2[[#This Row],[Year]],Table2[[#This Row],[Month]],1))</f>
        <v/>
      </c>
    </row>
    <row r="2938" spans="7:11" x14ac:dyDescent="0.25">
      <c r="G2938" s="1" t="str">
        <f>IF(Table2[[#This Row],[Description]]="","",VLOOKUP(Table2[[#This Row],[Description]],$Q$1:$S$101,2,FALSE))</f>
        <v/>
      </c>
      <c r="H2938" s="1" t="str">
        <f>IF(Table2[[#This Row],[Description]]="","",VLOOKUP(Table2[[#This Row],[Description]],$Q$1:$S$101,3,FALSE))</f>
        <v/>
      </c>
      <c r="I2938" s="1" t="str">
        <f>IF(Table2[[#This Row],[Description]]="","",IF(Table2[[#This Row],[Currency]]=$O$2,$P$2,HLOOKUP(Table2[[#This Row],[Date]],Funds!$C$10:$GV$11,2,FALSE)))</f>
        <v/>
      </c>
      <c r="J2938" s="215" t="str">
        <f>IF(Table2[[#This Row],[Description]]="","",Table2[[#This Row],[Value]]/Table2[[#This Row],[Conversion]])</f>
        <v/>
      </c>
      <c r="K2938" s="45" t="str">
        <f>IF(Table2[[#This Row],[Description]]="","",DATE(Table2[[#This Row],[Year]],Table2[[#This Row],[Month]],1))</f>
        <v/>
      </c>
    </row>
    <row r="2939" spans="7:11" x14ac:dyDescent="0.25">
      <c r="G2939" s="1" t="str">
        <f>IF(Table2[[#This Row],[Description]]="","",VLOOKUP(Table2[[#This Row],[Description]],$Q$1:$S$101,2,FALSE))</f>
        <v/>
      </c>
      <c r="H2939" s="1" t="str">
        <f>IF(Table2[[#This Row],[Description]]="","",VLOOKUP(Table2[[#This Row],[Description]],$Q$1:$S$101,3,FALSE))</f>
        <v/>
      </c>
      <c r="I2939" s="1" t="str">
        <f>IF(Table2[[#This Row],[Description]]="","",IF(Table2[[#This Row],[Currency]]=$O$2,$P$2,HLOOKUP(Table2[[#This Row],[Date]],Funds!$C$10:$GV$11,2,FALSE)))</f>
        <v/>
      </c>
      <c r="J2939" s="215" t="str">
        <f>IF(Table2[[#This Row],[Description]]="","",Table2[[#This Row],[Value]]/Table2[[#This Row],[Conversion]])</f>
        <v/>
      </c>
      <c r="K2939" s="45" t="str">
        <f>IF(Table2[[#This Row],[Description]]="","",DATE(Table2[[#This Row],[Year]],Table2[[#This Row],[Month]],1))</f>
        <v/>
      </c>
    </row>
    <row r="2940" spans="7:11" x14ac:dyDescent="0.25">
      <c r="G2940" s="1" t="str">
        <f>IF(Table2[[#This Row],[Description]]="","",VLOOKUP(Table2[[#This Row],[Description]],$Q$1:$S$101,2,FALSE))</f>
        <v/>
      </c>
      <c r="H2940" s="1" t="str">
        <f>IF(Table2[[#This Row],[Description]]="","",VLOOKUP(Table2[[#This Row],[Description]],$Q$1:$S$101,3,FALSE))</f>
        <v/>
      </c>
      <c r="I2940" s="1" t="str">
        <f>IF(Table2[[#This Row],[Description]]="","",IF(Table2[[#This Row],[Currency]]=$O$2,$P$2,HLOOKUP(Table2[[#This Row],[Date]],Funds!$C$10:$GV$11,2,FALSE)))</f>
        <v/>
      </c>
      <c r="J2940" s="215" t="str">
        <f>IF(Table2[[#This Row],[Description]]="","",Table2[[#This Row],[Value]]/Table2[[#This Row],[Conversion]])</f>
        <v/>
      </c>
      <c r="K2940" s="45" t="str">
        <f>IF(Table2[[#This Row],[Description]]="","",DATE(Table2[[#This Row],[Year]],Table2[[#This Row],[Month]],1))</f>
        <v/>
      </c>
    </row>
    <row r="2941" spans="7:11" x14ac:dyDescent="0.25">
      <c r="G2941" s="1" t="str">
        <f>IF(Table2[[#This Row],[Description]]="","",VLOOKUP(Table2[[#This Row],[Description]],$Q$1:$S$101,2,FALSE))</f>
        <v/>
      </c>
      <c r="H2941" s="1" t="str">
        <f>IF(Table2[[#This Row],[Description]]="","",VLOOKUP(Table2[[#This Row],[Description]],$Q$1:$S$101,3,FALSE))</f>
        <v/>
      </c>
      <c r="I2941" s="1" t="str">
        <f>IF(Table2[[#This Row],[Description]]="","",IF(Table2[[#This Row],[Currency]]=$O$2,$P$2,HLOOKUP(Table2[[#This Row],[Date]],Funds!$C$10:$GV$11,2,FALSE)))</f>
        <v/>
      </c>
      <c r="J2941" s="215" t="str">
        <f>IF(Table2[[#This Row],[Description]]="","",Table2[[#This Row],[Value]]/Table2[[#This Row],[Conversion]])</f>
        <v/>
      </c>
      <c r="K2941" s="45" t="str">
        <f>IF(Table2[[#This Row],[Description]]="","",DATE(Table2[[#This Row],[Year]],Table2[[#This Row],[Month]],1))</f>
        <v/>
      </c>
    </row>
    <row r="2942" spans="7:11" x14ac:dyDescent="0.25">
      <c r="G2942" s="1" t="str">
        <f>IF(Table2[[#This Row],[Description]]="","",VLOOKUP(Table2[[#This Row],[Description]],$Q$1:$S$101,2,FALSE))</f>
        <v/>
      </c>
      <c r="H2942" s="1" t="str">
        <f>IF(Table2[[#This Row],[Description]]="","",VLOOKUP(Table2[[#This Row],[Description]],$Q$1:$S$101,3,FALSE))</f>
        <v/>
      </c>
      <c r="I2942" s="1" t="str">
        <f>IF(Table2[[#This Row],[Description]]="","",IF(Table2[[#This Row],[Currency]]=$O$2,$P$2,HLOOKUP(Table2[[#This Row],[Date]],Funds!$C$10:$GV$11,2,FALSE)))</f>
        <v/>
      </c>
      <c r="J2942" s="215" t="str">
        <f>IF(Table2[[#This Row],[Description]]="","",Table2[[#This Row],[Value]]/Table2[[#This Row],[Conversion]])</f>
        <v/>
      </c>
      <c r="K2942" s="45" t="str">
        <f>IF(Table2[[#This Row],[Description]]="","",DATE(Table2[[#This Row],[Year]],Table2[[#This Row],[Month]],1))</f>
        <v/>
      </c>
    </row>
    <row r="2943" spans="7:11" x14ac:dyDescent="0.25">
      <c r="G2943" s="1" t="str">
        <f>IF(Table2[[#This Row],[Description]]="","",VLOOKUP(Table2[[#This Row],[Description]],$Q$1:$S$101,2,FALSE))</f>
        <v/>
      </c>
      <c r="H2943" s="1" t="str">
        <f>IF(Table2[[#This Row],[Description]]="","",VLOOKUP(Table2[[#This Row],[Description]],$Q$1:$S$101,3,FALSE))</f>
        <v/>
      </c>
      <c r="I2943" s="1" t="str">
        <f>IF(Table2[[#This Row],[Description]]="","",IF(Table2[[#This Row],[Currency]]=$O$2,$P$2,HLOOKUP(Table2[[#This Row],[Date]],Funds!$C$10:$GV$11,2,FALSE)))</f>
        <v/>
      </c>
      <c r="J2943" s="215" t="str">
        <f>IF(Table2[[#This Row],[Description]]="","",Table2[[#This Row],[Value]]/Table2[[#This Row],[Conversion]])</f>
        <v/>
      </c>
      <c r="K2943" s="45" t="str">
        <f>IF(Table2[[#This Row],[Description]]="","",DATE(Table2[[#This Row],[Year]],Table2[[#This Row],[Month]],1))</f>
        <v/>
      </c>
    </row>
    <row r="2944" spans="7:11" x14ac:dyDescent="0.25">
      <c r="G2944" s="1" t="str">
        <f>IF(Table2[[#This Row],[Description]]="","",VLOOKUP(Table2[[#This Row],[Description]],$Q$1:$S$101,2,FALSE))</f>
        <v/>
      </c>
      <c r="H2944" s="1" t="str">
        <f>IF(Table2[[#This Row],[Description]]="","",VLOOKUP(Table2[[#This Row],[Description]],$Q$1:$S$101,3,FALSE))</f>
        <v/>
      </c>
      <c r="I2944" s="1" t="str">
        <f>IF(Table2[[#This Row],[Description]]="","",IF(Table2[[#This Row],[Currency]]=$O$2,$P$2,HLOOKUP(Table2[[#This Row],[Date]],Funds!$C$10:$GV$11,2,FALSE)))</f>
        <v/>
      </c>
      <c r="J2944" s="215" t="str">
        <f>IF(Table2[[#This Row],[Description]]="","",Table2[[#This Row],[Value]]/Table2[[#This Row],[Conversion]])</f>
        <v/>
      </c>
      <c r="K2944" s="45" t="str">
        <f>IF(Table2[[#This Row],[Description]]="","",DATE(Table2[[#This Row],[Year]],Table2[[#This Row],[Month]],1))</f>
        <v/>
      </c>
    </row>
    <row r="2945" spans="7:11" x14ac:dyDescent="0.25">
      <c r="G2945" s="1" t="str">
        <f>IF(Table2[[#This Row],[Description]]="","",VLOOKUP(Table2[[#This Row],[Description]],$Q$1:$S$101,2,FALSE))</f>
        <v/>
      </c>
      <c r="H2945" s="1" t="str">
        <f>IF(Table2[[#This Row],[Description]]="","",VLOOKUP(Table2[[#This Row],[Description]],$Q$1:$S$101,3,FALSE))</f>
        <v/>
      </c>
      <c r="I2945" s="1" t="str">
        <f>IF(Table2[[#This Row],[Description]]="","",IF(Table2[[#This Row],[Currency]]=$O$2,$P$2,HLOOKUP(Table2[[#This Row],[Date]],Funds!$C$10:$GV$11,2,FALSE)))</f>
        <v/>
      </c>
      <c r="J2945" s="215" t="str">
        <f>IF(Table2[[#This Row],[Description]]="","",Table2[[#This Row],[Value]]/Table2[[#This Row],[Conversion]])</f>
        <v/>
      </c>
      <c r="K2945" s="45" t="str">
        <f>IF(Table2[[#This Row],[Description]]="","",DATE(Table2[[#This Row],[Year]],Table2[[#This Row],[Month]],1))</f>
        <v/>
      </c>
    </row>
    <row r="2946" spans="7:11" x14ac:dyDescent="0.25">
      <c r="G2946" s="1" t="str">
        <f>IF(Table2[[#This Row],[Description]]="","",VLOOKUP(Table2[[#This Row],[Description]],$Q$1:$S$101,2,FALSE))</f>
        <v/>
      </c>
      <c r="H2946" s="1" t="str">
        <f>IF(Table2[[#This Row],[Description]]="","",VLOOKUP(Table2[[#This Row],[Description]],$Q$1:$S$101,3,FALSE))</f>
        <v/>
      </c>
      <c r="I2946" s="1" t="str">
        <f>IF(Table2[[#This Row],[Description]]="","",IF(Table2[[#This Row],[Currency]]=$O$2,$P$2,HLOOKUP(Table2[[#This Row],[Date]],Funds!$C$10:$GV$11,2,FALSE)))</f>
        <v/>
      </c>
      <c r="J2946" s="215" t="str">
        <f>IF(Table2[[#This Row],[Description]]="","",Table2[[#This Row],[Value]]/Table2[[#This Row],[Conversion]])</f>
        <v/>
      </c>
      <c r="K2946" s="45" t="str">
        <f>IF(Table2[[#This Row],[Description]]="","",DATE(Table2[[#This Row],[Year]],Table2[[#This Row],[Month]],1))</f>
        <v/>
      </c>
    </row>
    <row r="2947" spans="7:11" x14ac:dyDescent="0.25">
      <c r="G2947" s="1" t="str">
        <f>IF(Table2[[#This Row],[Description]]="","",VLOOKUP(Table2[[#This Row],[Description]],$Q$1:$S$101,2,FALSE))</f>
        <v/>
      </c>
      <c r="H2947" s="1" t="str">
        <f>IF(Table2[[#This Row],[Description]]="","",VLOOKUP(Table2[[#This Row],[Description]],$Q$1:$S$101,3,FALSE))</f>
        <v/>
      </c>
      <c r="I2947" s="1" t="str">
        <f>IF(Table2[[#This Row],[Description]]="","",IF(Table2[[#This Row],[Currency]]=$O$2,$P$2,HLOOKUP(Table2[[#This Row],[Date]],Funds!$C$10:$GV$11,2,FALSE)))</f>
        <v/>
      </c>
      <c r="J2947" s="215" t="str">
        <f>IF(Table2[[#This Row],[Description]]="","",Table2[[#This Row],[Value]]/Table2[[#This Row],[Conversion]])</f>
        <v/>
      </c>
      <c r="K2947" s="45" t="str">
        <f>IF(Table2[[#This Row],[Description]]="","",DATE(Table2[[#This Row],[Year]],Table2[[#This Row],[Month]],1))</f>
        <v/>
      </c>
    </row>
    <row r="2948" spans="7:11" x14ac:dyDescent="0.25">
      <c r="G2948" s="1" t="str">
        <f>IF(Table2[[#This Row],[Description]]="","",VLOOKUP(Table2[[#This Row],[Description]],$Q$1:$S$101,2,FALSE))</f>
        <v/>
      </c>
      <c r="H2948" s="1" t="str">
        <f>IF(Table2[[#This Row],[Description]]="","",VLOOKUP(Table2[[#This Row],[Description]],$Q$1:$S$101,3,FALSE))</f>
        <v/>
      </c>
      <c r="I2948" s="1" t="str">
        <f>IF(Table2[[#This Row],[Description]]="","",IF(Table2[[#This Row],[Currency]]=$O$2,$P$2,HLOOKUP(Table2[[#This Row],[Date]],Funds!$C$10:$GV$11,2,FALSE)))</f>
        <v/>
      </c>
      <c r="J2948" s="215" t="str">
        <f>IF(Table2[[#This Row],[Description]]="","",Table2[[#This Row],[Value]]/Table2[[#This Row],[Conversion]])</f>
        <v/>
      </c>
      <c r="K2948" s="45" t="str">
        <f>IF(Table2[[#This Row],[Description]]="","",DATE(Table2[[#This Row],[Year]],Table2[[#This Row],[Month]],1))</f>
        <v/>
      </c>
    </row>
    <row r="2949" spans="7:11" x14ac:dyDescent="0.25">
      <c r="G2949" s="1" t="str">
        <f>IF(Table2[[#This Row],[Description]]="","",VLOOKUP(Table2[[#This Row],[Description]],$Q$1:$S$101,2,FALSE))</f>
        <v/>
      </c>
      <c r="H2949" s="1" t="str">
        <f>IF(Table2[[#This Row],[Description]]="","",VLOOKUP(Table2[[#This Row],[Description]],$Q$1:$S$101,3,FALSE))</f>
        <v/>
      </c>
      <c r="I2949" s="1" t="str">
        <f>IF(Table2[[#This Row],[Description]]="","",IF(Table2[[#This Row],[Currency]]=$O$2,$P$2,HLOOKUP(Table2[[#This Row],[Date]],Funds!$C$10:$GV$11,2,FALSE)))</f>
        <v/>
      </c>
      <c r="J2949" s="215" t="str">
        <f>IF(Table2[[#This Row],[Description]]="","",Table2[[#This Row],[Value]]/Table2[[#This Row],[Conversion]])</f>
        <v/>
      </c>
      <c r="K2949" s="45" t="str">
        <f>IF(Table2[[#This Row],[Description]]="","",DATE(Table2[[#This Row],[Year]],Table2[[#This Row],[Month]],1))</f>
        <v/>
      </c>
    </row>
    <row r="2950" spans="7:11" x14ac:dyDescent="0.25">
      <c r="G2950" s="1" t="str">
        <f>IF(Table2[[#This Row],[Description]]="","",VLOOKUP(Table2[[#This Row],[Description]],$Q$1:$S$101,2,FALSE))</f>
        <v/>
      </c>
      <c r="H2950" s="1" t="str">
        <f>IF(Table2[[#This Row],[Description]]="","",VLOOKUP(Table2[[#This Row],[Description]],$Q$1:$S$101,3,FALSE))</f>
        <v/>
      </c>
      <c r="I2950" s="1" t="str">
        <f>IF(Table2[[#This Row],[Description]]="","",IF(Table2[[#This Row],[Currency]]=$O$2,$P$2,HLOOKUP(Table2[[#This Row],[Date]],Funds!$C$10:$GV$11,2,FALSE)))</f>
        <v/>
      </c>
      <c r="J2950" s="215" t="str">
        <f>IF(Table2[[#This Row],[Description]]="","",Table2[[#This Row],[Value]]/Table2[[#This Row],[Conversion]])</f>
        <v/>
      </c>
      <c r="K2950" s="45" t="str">
        <f>IF(Table2[[#This Row],[Description]]="","",DATE(Table2[[#This Row],[Year]],Table2[[#This Row],[Month]],1))</f>
        <v/>
      </c>
    </row>
    <row r="2951" spans="7:11" x14ac:dyDescent="0.25">
      <c r="G2951" s="1" t="str">
        <f>IF(Table2[[#This Row],[Description]]="","",VLOOKUP(Table2[[#This Row],[Description]],$Q$1:$S$101,2,FALSE))</f>
        <v/>
      </c>
      <c r="H2951" s="1" t="str">
        <f>IF(Table2[[#This Row],[Description]]="","",VLOOKUP(Table2[[#This Row],[Description]],$Q$1:$S$101,3,FALSE))</f>
        <v/>
      </c>
      <c r="I2951" s="1" t="str">
        <f>IF(Table2[[#This Row],[Description]]="","",IF(Table2[[#This Row],[Currency]]=$O$2,$P$2,HLOOKUP(Table2[[#This Row],[Date]],Funds!$C$10:$GV$11,2,FALSE)))</f>
        <v/>
      </c>
      <c r="J2951" s="215" t="str">
        <f>IF(Table2[[#This Row],[Description]]="","",Table2[[#This Row],[Value]]/Table2[[#This Row],[Conversion]])</f>
        <v/>
      </c>
      <c r="K2951" s="45" t="str">
        <f>IF(Table2[[#This Row],[Description]]="","",DATE(Table2[[#This Row],[Year]],Table2[[#This Row],[Month]],1))</f>
        <v/>
      </c>
    </row>
    <row r="2952" spans="7:11" x14ac:dyDescent="0.25">
      <c r="G2952" s="1" t="str">
        <f>IF(Table2[[#This Row],[Description]]="","",VLOOKUP(Table2[[#This Row],[Description]],$Q$1:$S$101,2,FALSE))</f>
        <v/>
      </c>
      <c r="H2952" s="1" t="str">
        <f>IF(Table2[[#This Row],[Description]]="","",VLOOKUP(Table2[[#This Row],[Description]],$Q$1:$S$101,3,FALSE))</f>
        <v/>
      </c>
      <c r="I2952" s="1" t="str">
        <f>IF(Table2[[#This Row],[Description]]="","",IF(Table2[[#This Row],[Currency]]=$O$2,$P$2,HLOOKUP(Table2[[#This Row],[Date]],Funds!$C$10:$GV$11,2,FALSE)))</f>
        <v/>
      </c>
      <c r="J2952" s="215" t="str">
        <f>IF(Table2[[#This Row],[Description]]="","",Table2[[#This Row],[Value]]/Table2[[#This Row],[Conversion]])</f>
        <v/>
      </c>
      <c r="K2952" s="45" t="str">
        <f>IF(Table2[[#This Row],[Description]]="","",DATE(Table2[[#This Row],[Year]],Table2[[#This Row],[Month]],1))</f>
        <v/>
      </c>
    </row>
    <row r="2953" spans="7:11" x14ac:dyDescent="0.25">
      <c r="G2953" s="1" t="str">
        <f>IF(Table2[[#This Row],[Description]]="","",VLOOKUP(Table2[[#This Row],[Description]],$Q$1:$S$101,2,FALSE))</f>
        <v/>
      </c>
      <c r="H2953" s="1" t="str">
        <f>IF(Table2[[#This Row],[Description]]="","",VLOOKUP(Table2[[#This Row],[Description]],$Q$1:$S$101,3,FALSE))</f>
        <v/>
      </c>
      <c r="I2953" s="1" t="str">
        <f>IF(Table2[[#This Row],[Description]]="","",IF(Table2[[#This Row],[Currency]]=$O$2,$P$2,HLOOKUP(Table2[[#This Row],[Date]],Funds!$C$10:$GV$11,2,FALSE)))</f>
        <v/>
      </c>
      <c r="J2953" s="215" t="str">
        <f>IF(Table2[[#This Row],[Description]]="","",Table2[[#This Row],[Value]]/Table2[[#This Row],[Conversion]])</f>
        <v/>
      </c>
      <c r="K2953" s="45" t="str">
        <f>IF(Table2[[#This Row],[Description]]="","",DATE(Table2[[#This Row],[Year]],Table2[[#This Row],[Month]],1))</f>
        <v/>
      </c>
    </row>
    <row r="2954" spans="7:11" x14ac:dyDescent="0.25">
      <c r="G2954" s="1" t="str">
        <f>IF(Table2[[#This Row],[Description]]="","",VLOOKUP(Table2[[#This Row],[Description]],$Q$1:$S$101,2,FALSE))</f>
        <v/>
      </c>
      <c r="H2954" s="1" t="str">
        <f>IF(Table2[[#This Row],[Description]]="","",VLOOKUP(Table2[[#This Row],[Description]],$Q$1:$S$101,3,FALSE))</f>
        <v/>
      </c>
      <c r="I2954" s="1" t="str">
        <f>IF(Table2[[#This Row],[Description]]="","",IF(Table2[[#This Row],[Currency]]=$O$2,$P$2,HLOOKUP(Table2[[#This Row],[Date]],Funds!$C$10:$GV$11,2,FALSE)))</f>
        <v/>
      </c>
      <c r="J2954" s="215" t="str">
        <f>IF(Table2[[#This Row],[Description]]="","",Table2[[#This Row],[Value]]/Table2[[#This Row],[Conversion]])</f>
        <v/>
      </c>
      <c r="K2954" s="45" t="str">
        <f>IF(Table2[[#This Row],[Description]]="","",DATE(Table2[[#This Row],[Year]],Table2[[#This Row],[Month]],1))</f>
        <v/>
      </c>
    </row>
    <row r="2955" spans="7:11" x14ac:dyDescent="0.25">
      <c r="G2955" s="1" t="str">
        <f>IF(Table2[[#This Row],[Description]]="","",VLOOKUP(Table2[[#This Row],[Description]],$Q$1:$S$101,2,FALSE))</f>
        <v/>
      </c>
      <c r="H2955" s="1" t="str">
        <f>IF(Table2[[#This Row],[Description]]="","",VLOOKUP(Table2[[#This Row],[Description]],$Q$1:$S$101,3,FALSE))</f>
        <v/>
      </c>
      <c r="I2955" s="1" t="str">
        <f>IF(Table2[[#This Row],[Description]]="","",IF(Table2[[#This Row],[Currency]]=$O$2,$P$2,HLOOKUP(Table2[[#This Row],[Date]],Funds!$C$10:$GV$11,2,FALSE)))</f>
        <v/>
      </c>
      <c r="J2955" s="215" t="str">
        <f>IF(Table2[[#This Row],[Description]]="","",Table2[[#This Row],[Value]]/Table2[[#This Row],[Conversion]])</f>
        <v/>
      </c>
      <c r="K2955" s="45" t="str">
        <f>IF(Table2[[#This Row],[Description]]="","",DATE(Table2[[#This Row],[Year]],Table2[[#This Row],[Month]],1))</f>
        <v/>
      </c>
    </row>
    <row r="2956" spans="7:11" x14ac:dyDescent="0.25">
      <c r="G2956" s="1" t="str">
        <f>IF(Table2[[#This Row],[Description]]="","",VLOOKUP(Table2[[#This Row],[Description]],$Q$1:$S$101,2,FALSE))</f>
        <v/>
      </c>
      <c r="H2956" s="1" t="str">
        <f>IF(Table2[[#This Row],[Description]]="","",VLOOKUP(Table2[[#This Row],[Description]],$Q$1:$S$101,3,FALSE))</f>
        <v/>
      </c>
      <c r="I2956" s="1" t="str">
        <f>IF(Table2[[#This Row],[Description]]="","",IF(Table2[[#This Row],[Currency]]=$O$2,$P$2,HLOOKUP(Table2[[#This Row],[Date]],Funds!$C$10:$GV$11,2,FALSE)))</f>
        <v/>
      </c>
      <c r="J2956" s="215" t="str">
        <f>IF(Table2[[#This Row],[Description]]="","",Table2[[#This Row],[Value]]/Table2[[#This Row],[Conversion]])</f>
        <v/>
      </c>
      <c r="K2956" s="45" t="str">
        <f>IF(Table2[[#This Row],[Description]]="","",DATE(Table2[[#This Row],[Year]],Table2[[#This Row],[Month]],1))</f>
        <v/>
      </c>
    </row>
    <row r="2957" spans="7:11" x14ac:dyDescent="0.25">
      <c r="G2957" s="1" t="str">
        <f>IF(Table2[[#This Row],[Description]]="","",VLOOKUP(Table2[[#This Row],[Description]],$Q$1:$S$101,2,FALSE))</f>
        <v/>
      </c>
      <c r="H2957" s="1" t="str">
        <f>IF(Table2[[#This Row],[Description]]="","",VLOOKUP(Table2[[#This Row],[Description]],$Q$1:$S$101,3,FALSE))</f>
        <v/>
      </c>
      <c r="I2957" s="1" t="str">
        <f>IF(Table2[[#This Row],[Description]]="","",IF(Table2[[#This Row],[Currency]]=$O$2,$P$2,HLOOKUP(Table2[[#This Row],[Date]],Funds!$C$10:$GV$11,2,FALSE)))</f>
        <v/>
      </c>
      <c r="J2957" s="215" t="str">
        <f>IF(Table2[[#This Row],[Description]]="","",Table2[[#This Row],[Value]]/Table2[[#This Row],[Conversion]])</f>
        <v/>
      </c>
      <c r="K2957" s="45" t="str">
        <f>IF(Table2[[#This Row],[Description]]="","",DATE(Table2[[#This Row],[Year]],Table2[[#This Row],[Month]],1))</f>
        <v/>
      </c>
    </row>
    <row r="2958" spans="7:11" x14ac:dyDescent="0.25">
      <c r="G2958" s="1" t="str">
        <f>IF(Table2[[#This Row],[Description]]="","",VLOOKUP(Table2[[#This Row],[Description]],$Q$1:$S$101,2,FALSE))</f>
        <v/>
      </c>
      <c r="H2958" s="1" t="str">
        <f>IF(Table2[[#This Row],[Description]]="","",VLOOKUP(Table2[[#This Row],[Description]],$Q$1:$S$101,3,FALSE))</f>
        <v/>
      </c>
      <c r="I2958" s="1" t="str">
        <f>IF(Table2[[#This Row],[Description]]="","",IF(Table2[[#This Row],[Currency]]=$O$2,$P$2,HLOOKUP(Table2[[#This Row],[Date]],Funds!$C$10:$GV$11,2,FALSE)))</f>
        <v/>
      </c>
      <c r="J2958" s="215" t="str">
        <f>IF(Table2[[#This Row],[Description]]="","",Table2[[#This Row],[Value]]/Table2[[#This Row],[Conversion]])</f>
        <v/>
      </c>
      <c r="K2958" s="45" t="str">
        <f>IF(Table2[[#This Row],[Description]]="","",DATE(Table2[[#This Row],[Year]],Table2[[#This Row],[Month]],1))</f>
        <v/>
      </c>
    </row>
    <row r="2959" spans="7:11" x14ac:dyDescent="0.25">
      <c r="G2959" s="1" t="str">
        <f>IF(Table2[[#This Row],[Description]]="","",VLOOKUP(Table2[[#This Row],[Description]],$Q$1:$S$101,2,FALSE))</f>
        <v/>
      </c>
      <c r="H2959" s="1" t="str">
        <f>IF(Table2[[#This Row],[Description]]="","",VLOOKUP(Table2[[#This Row],[Description]],$Q$1:$S$101,3,FALSE))</f>
        <v/>
      </c>
      <c r="I2959" s="1" t="str">
        <f>IF(Table2[[#This Row],[Description]]="","",IF(Table2[[#This Row],[Currency]]=$O$2,$P$2,HLOOKUP(Table2[[#This Row],[Date]],Funds!$C$10:$GV$11,2,FALSE)))</f>
        <v/>
      </c>
      <c r="J2959" s="215" t="str">
        <f>IF(Table2[[#This Row],[Description]]="","",Table2[[#This Row],[Value]]/Table2[[#This Row],[Conversion]])</f>
        <v/>
      </c>
      <c r="K2959" s="45" t="str">
        <f>IF(Table2[[#This Row],[Description]]="","",DATE(Table2[[#This Row],[Year]],Table2[[#This Row],[Month]],1))</f>
        <v/>
      </c>
    </row>
    <row r="2960" spans="7:11" x14ac:dyDescent="0.25">
      <c r="G2960" s="1" t="str">
        <f>IF(Table2[[#This Row],[Description]]="","",VLOOKUP(Table2[[#This Row],[Description]],$Q$1:$S$101,2,FALSE))</f>
        <v/>
      </c>
      <c r="H2960" s="1" t="str">
        <f>IF(Table2[[#This Row],[Description]]="","",VLOOKUP(Table2[[#This Row],[Description]],$Q$1:$S$101,3,FALSE))</f>
        <v/>
      </c>
      <c r="I2960" s="1" t="str">
        <f>IF(Table2[[#This Row],[Description]]="","",IF(Table2[[#This Row],[Currency]]=$O$2,$P$2,HLOOKUP(Table2[[#This Row],[Date]],Funds!$C$10:$GV$11,2,FALSE)))</f>
        <v/>
      </c>
      <c r="J2960" s="215" t="str">
        <f>IF(Table2[[#This Row],[Description]]="","",Table2[[#This Row],[Value]]/Table2[[#This Row],[Conversion]])</f>
        <v/>
      </c>
      <c r="K2960" s="45" t="str">
        <f>IF(Table2[[#This Row],[Description]]="","",DATE(Table2[[#This Row],[Year]],Table2[[#This Row],[Month]],1))</f>
        <v/>
      </c>
    </row>
    <row r="2961" spans="7:11" x14ac:dyDescent="0.25">
      <c r="G2961" s="1" t="str">
        <f>IF(Table2[[#This Row],[Description]]="","",VLOOKUP(Table2[[#This Row],[Description]],$Q$1:$S$101,2,FALSE))</f>
        <v/>
      </c>
      <c r="H2961" s="1" t="str">
        <f>IF(Table2[[#This Row],[Description]]="","",VLOOKUP(Table2[[#This Row],[Description]],$Q$1:$S$101,3,FALSE))</f>
        <v/>
      </c>
      <c r="I2961" s="1" t="str">
        <f>IF(Table2[[#This Row],[Description]]="","",IF(Table2[[#This Row],[Currency]]=$O$2,$P$2,HLOOKUP(Table2[[#This Row],[Date]],Funds!$C$10:$GV$11,2,FALSE)))</f>
        <v/>
      </c>
      <c r="J2961" s="215" t="str">
        <f>IF(Table2[[#This Row],[Description]]="","",Table2[[#This Row],[Value]]/Table2[[#This Row],[Conversion]])</f>
        <v/>
      </c>
      <c r="K2961" s="45" t="str">
        <f>IF(Table2[[#This Row],[Description]]="","",DATE(Table2[[#This Row],[Year]],Table2[[#This Row],[Month]],1))</f>
        <v/>
      </c>
    </row>
    <row r="2962" spans="7:11" x14ac:dyDescent="0.25">
      <c r="G2962" s="1" t="str">
        <f>IF(Table2[[#This Row],[Description]]="","",VLOOKUP(Table2[[#This Row],[Description]],$Q$1:$S$101,2,FALSE))</f>
        <v/>
      </c>
      <c r="H2962" s="1" t="str">
        <f>IF(Table2[[#This Row],[Description]]="","",VLOOKUP(Table2[[#This Row],[Description]],$Q$1:$S$101,3,FALSE))</f>
        <v/>
      </c>
      <c r="I2962" s="1" t="str">
        <f>IF(Table2[[#This Row],[Description]]="","",IF(Table2[[#This Row],[Currency]]=$O$2,$P$2,HLOOKUP(Table2[[#This Row],[Date]],Funds!$C$10:$GV$11,2,FALSE)))</f>
        <v/>
      </c>
      <c r="J2962" s="215" t="str">
        <f>IF(Table2[[#This Row],[Description]]="","",Table2[[#This Row],[Value]]/Table2[[#This Row],[Conversion]])</f>
        <v/>
      </c>
      <c r="K2962" s="45" t="str">
        <f>IF(Table2[[#This Row],[Description]]="","",DATE(Table2[[#This Row],[Year]],Table2[[#This Row],[Month]],1))</f>
        <v/>
      </c>
    </row>
    <row r="2963" spans="7:11" x14ac:dyDescent="0.25">
      <c r="G2963" s="1" t="str">
        <f>IF(Table2[[#This Row],[Description]]="","",VLOOKUP(Table2[[#This Row],[Description]],$Q$1:$S$101,2,FALSE))</f>
        <v/>
      </c>
      <c r="H2963" s="1" t="str">
        <f>IF(Table2[[#This Row],[Description]]="","",VLOOKUP(Table2[[#This Row],[Description]],$Q$1:$S$101,3,FALSE))</f>
        <v/>
      </c>
      <c r="I2963" s="1" t="str">
        <f>IF(Table2[[#This Row],[Description]]="","",IF(Table2[[#This Row],[Currency]]=$O$2,$P$2,HLOOKUP(Table2[[#This Row],[Date]],Funds!$C$10:$GV$11,2,FALSE)))</f>
        <v/>
      </c>
      <c r="J2963" s="215" t="str">
        <f>IF(Table2[[#This Row],[Description]]="","",Table2[[#This Row],[Value]]/Table2[[#This Row],[Conversion]])</f>
        <v/>
      </c>
      <c r="K2963" s="45" t="str">
        <f>IF(Table2[[#This Row],[Description]]="","",DATE(Table2[[#This Row],[Year]],Table2[[#This Row],[Month]],1))</f>
        <v/>
      </c>
    </row>
    <row r="2964" spans="7:11" x14ac:dyDescent="0.25">
      <c r="G2964" s="1" t="str">
        <f>IF(Table2[[#This Row],[Description]]="","",VLOOKUP(Table2[[#This Row],[Description]],$Q$1:$S$101,2,FALSE))</f>
        <v/>
      </c>
      <c r="H2964" s="1" t="str">
        <f>IF(Table2[[#This Row],[Description]]="","",VLOOKUP(Table2[[#This Row],[Description]],$Q$1:$S$101,3,FALSE))</f>
        <v/>
      </c>
      <c r="I2964" s="1" t="str">
        <f>IF(Table2[[#This Row],[Description]]="","",IF(Table2[[#This Row],[Currency]]=$O$2,$P$2,HLOOKUP(Table2[[#This Row],[Date]],Funds!$C$10:$GV$11,2,FALSE)))</f>
        <v/>
      </c>
      <c r="J2964" s="215" t="str">
        <f>IF(Table2[[#This Row],[Description]]="","",Table2[[#This Row],[Value]]/Table2[[#This Row],[Conversion]])</f>
        <v/>
      </c>
      <c r="K2964" s="45" t="str">
        <f>IF(Table2[[#This Row],[Description]]="","",DATE(Table2[[#This Row],[Year]],Table2[[#This Row],[Month]],1))</f>
        <v/>
      </c>
    </row>
    <row r="2965" spans="7:11" x14ac:dyDescent="0.25">
      <c r="G2965" s="1" t="str">
        <f>IF(Table2[[#This Row],[Description]]="","",VLOOKUP(Table2[[#This Row],[Description]],$Q$1:$S$101,2,FALSE))</f>
        <v/>
      </c>
      <c r="H2965" s="1" t="str">
        <f>IF(Table2[[#This Row],[Description]]="","",VLOOKUP(Table2[[#This Row],[Description]],$Q$1:$S$101,3,FALSE))</f>
        <v/>
      </c>
      <c r="I2965" s="1" t="str">
        <f>IF(Table2[[#This Row],[Description]]="","",IF(Table2[[#This Row],[Currency]]=$O$2,$P$2,HLOOKUP(Table2[[#This Row],[Date]],Funds!$C$10:$GV$11,2,FALSE)))</f>
        <v/>
      </c>
      <c r="J2965" s="215" t="str">
        <f>IF(Table2[[#This Row],[Description]]="","",Table2[[#This Row],[Value]]/Table2[[#This Row],[Conversion]])</f>
        <v/>
      </c>
      <c r="K2965" s="45" t="str">
        <f>IF(Table2[[#This Row],[Description]]="","",DATE(Table2[[#This Row],[Year]],Table2[[#This Row],[Month]],1))</f>
        <v/>
      </c>
    </row>
    <row r="2966" spans="7:11" x14ac:dyDescent="0.25">
      <c r="G2966" s="1" t="str">
        <f>IF(Table2[[#This Row],[Description]]="","",VLOOKUP(Table2[[#This Row],[Description]],$Q$1:$S$101,2,FALSE))</f>
        <v/>
      </c>
      <c r="H2966" s="1" t="str">
        <f>IF(Table2[[#This Row],[Description]]="","",VLOOKUP(Table2[[#This Row],[Description]],$Q$1:$S$101,3,FALSE))</f>
        <v/>
      </c>
      <c r="I2966" s="1" t="str">
        <f>IF(Table2[[#This Row],[Description]]="","",IF(Table2[[#This Row],[Currency]]=$O$2,$P$2,HLOOKUP(Table2[[#This Row],[Date]],Funds!$C$10:$GV$11,2,FALSE)))</f>
        <v/>
      </c>
      <c r="J2966" s="215" t="str">
        <f>IF(Table2[[#This Row],[Description]]="","",Table2[[#This Row],[Value]]/Table2[[#This Row],[Conversion]])</f>
        <v/>
      </c>
      <c r="K2966" s="45" t="str">
        <f>IF(Table2[[#This Row],[Description]]="","",DATE(Table2[[#This Row],[Year]],Table2[[#This Row],[Month]],1))</f>
        <v/>
      </c>
    </row>
    <row r="2967" spans="7:11" x14ac:dyDescent="0.25">
      <c r="G2967" s="1" t="str">
        <f>IF(Table2[[#This Row],[Description]]="","",VLOOKUP(Table2[[#This Row],[Description]],$Q$1:$S$101,2,FALSE))</f>
        <v/>
      </c>
      <c r="H2967" s="1" t="str">
        <f>IF(Table2[[#This Row],[Description]]="","",VLOOKUP(Table2[[#This Row],[Description]],$Q$1:$S$101,3,FALSE))</f>
        <v/>
      </c>
      <c r="I2967" s="1" t="str">
        <f>IF(Table2[[#This Row],[Description]]="","",IF(Table2[[#This Row],[Currency]]=$O$2,$P$2,HLOOKUP(Table2[[#This Row],[Date]],Funds!$C$10:$GV$11,2,FALSE)))</f>
        <v/>
      </c>
      <c r="J2967" s="215" t="str">
        <f>IF(Table2[[#This Row],[Description]]="","",Table2[[#This Row],[Value]]/Table2[[#This Row],[Conversion]])</f>
        <v/>
      </c>
      <c r="K2967" s="45" t="str">
        <f>IF(Table2[[#This Row],[Description]]="","",DATE(Table2[[#This Row],[Year]],Table2[[#This Row],[Month]],1))</f>
        <v/>
      </c>
    </row>
    <row r="2968" spans="7:11" x14ac:dyDescent="0.25">
      <c r="G2968" s="1" t="str">
        <f>IF(Table2[[#This Row],[Description]]="","",VLOOKUP(Table2[[#This Row],[Description]],$Q$1:$S$101,2,FALSE))</f>
        <v/>
      </c>
      <c r="H2968" s="1" t="str">
        <f>IF(Table2[[#This Row],[Description]]="","",VLOOKUP(Table2[[#This Row],[Description]],$Q$1:$S$101,3,FALSE))</f>
        <v/>
      </c>
      <c r="I2968" s="1" t="str">
        <f>IF(Table2[[#This Row],[Description]]="","",IF(Table2[[#This Row],[Currency]]=$O$2,$P$2,HLOOKUP(Table2[[#This Row],[Date]],Funds!$C$10:$GV$11,2,FALSE)))</f>
        <v/>
      </c>
      <c r="J2968" s="215" t="str">
        <f>IF(Table2[[#This Row],[Description]]="","",Table2[[#This Row],[Value]]/Table2[[#This Row],[Conversion]])</f>
        <v/>
      </c>
      <c r="K2968" s="45" t="str">
        <f>IF(Table2[[#This Row],[Description]]="","",DATE(Table2[[#This Row],[Year]],Table2[[#This Row],[Month]],1))</f>
        <v/>
      </c>
    </row>
    <row r="2969" spans="7:11" x14ac:dyDescent="0.25">
      <c r="G2969" s="1" t="str">
        <f>IF(Table2[[#This Row],[Description]]="","",VLOOKUP(Table2[[#This Row],[Description]],$Q$1:$S$101,2,FALSE))</f>
        <v/>
      </c>
      <c r="H2969" s="1" t="str">
        <f>IF(Table2[[#This Row],[Description]]="","",VLOOKUP(Table2[[#This Row],[Description]],$Q$1:$S$101,3,FALSE))</f>
        <v/>
      </c>
      <c r="I2969" s="1" t="str">
        <f>IF(Table2[[#This Row],[Description]]="","",IF(Table2[[#This Row],[Currency]]=$O$2,$P$2,HLOOKUP(Table2[[#This Row],[Date]],Funds!$C$10:$GV$11,2,FALSE)))</f>
        <v/>
      </c>
      <c r="J2969" s="215" t="str">
        <f>IF(Table2[[#This Row],[Description]]="","",Table2[[#This Row],[Value]]/Table2[[#This Row],[Conversion]])</f>
        <v/>
      </c>
      <c r="K2969" s="45" t="str">
        <f>IF(Table2[[#This Row],[Description]]="","",DATE(Table2[[#This Row],[Year]],Table2[[#This Row],[Month]],1))</f>
        <v/>
      </c>
    </row>
    <row r="2970" spans="7:11" x14ac:dyDescent="0.25">
      <c r="G2970" s="1" t="str">
        <f>IF(Table2[[#This Row],[Description]]="","",VLOOKUP(Table2[[#This Row],[Description]],$Q$1:$S$101,2,FALSE))</f>
        <v/>
      </c>
      <c r="H2970" s="1" t="str">
        <f>IF(Table2[[#This Row],[Description]]="","",VLOOKUP(Table2[[#This Row],[Description]],$Q$1:$S$101,3,FALSE))</f>
        <v/>
      </c>
      <c r="I2970" s="1" t="str">
        <f>IF(Table2[[#This Row],[Description]]="","",IF(Table2[[#This Row],[Currency]]=$O$2,$P$2,HLOOKUP(Table2[[#This Row],[Date]],Funds!$C$10:$GV$11,2,FALSE)))</f>
        <v/>
      </c>
      <c r="J2970" s="215" t="str">
        <f>IF(Table2[[#This Row],[Description]]="","",Table2[[#This Row],[Value]]/Table2[[#This Row],[Conversion]])</f>
        <v/>
      </c>
      <c r="K2970" s="45" t="str">
        <f>IF(Table2[[#This Row],[Description]]="","",DATE(Table2[[#This Row],[Year]],Table2[[#This Row],[Month]],1))</f>
        <v/>
      </c>
    </row>
    <row r="2971" spans="7:11" x14ac:dyDescent="0.25">
      <c r="G2971" s="1" t="str">
        <f>IF(Table2[[#This Row],[Description]]="","",VLOOKUP(Table2[[#This Row],[Description]],$Q$1:$S$101,2,FALSE))</f>
        <v/>
      </c>
      <c r="H2971" s="1" t="str">
        <f>IF(Table2[[#This Row],[Description]]="","",VLOOKUP(Table2[[#This Row],[Description]],$Q$1:$S$101,3,FALSE))</f>
        <v/>
      </c>
      <c r="I2971" s="1" t="str">
        <f>IF(Table2[[#This Row],[Description]]="","",IF(Table2[[#This Row],[Currency]]=$O$2,$P$2,HLOOKUP(Table2[[#This Row],[Date]],Funds!$C$10:$GV$11,2,FALSE)))</f>
        <v/>
      </c>
      <c r="J2971" s="215" t="str">
        <f>IF(Table2[[#This Row],[Description]]="","",Table2[[#This Row],[Value]]/Table2[[#This Row],[Conversion]])</f>
        <v/>
      </c>
      <c r="K2971" s="45" t="str">
        <f>IF(Table2[[#This Row],[Description]]="","",DATE(Table2[[#This Row],[Year]],Table2[[#This Row],[Month]],1))</f>
        <v/>
      </c>
    </row>
    <row r="2972" spans="7:11" x14ac:dyDescent="0.25">
      <c r="G2972" s="1" t="str">
        <f>IF(Table2[[#This Row],[Description]]="","",VLOOKUP(Table2[[#This Row],[Description]],$Q$1:$S$101,2,FALSE))</f>
        <v/>
      </c>
      <c r="H2972" s="1" t="str">
        <f>IF(Table2[[#This Row],[Description]]="","",VLOOKUP(Table2[[#This Row],[Description]],$Q$1:$S$101,3,FALSE))</f>
        <v/>
      </c>
      <c r="I2972" s="1" t="str">
        <f>IF(Table2[[#This Row],[Description]]="","",IF(Table2[[#This Row],[Currency]]=$O$2,$P$2,HLOOKUP(Table2[[#This Row],[Date]],Funds!$C$10:$GV$11,2,FALSE)))</f>
        <v/>
      </c>
      <c r="J2972" s="215" t="str">
        <f>IF(Table2[[#This Row],[Description]]="","",Table2[[#This Row],[Value]]/Table2[[#This Row],[Conversion]])</f>
        <v/>
      </c>
      <c r="K2972" s="45" t="str">
        <f>IF(Table2[[#This Row],[Description]]="","",DATE(Table2[[#This Row],[Year]],Table2[[#This Row],[Month]],1))</f>
        <v/>
      </c>
    </row>
    <row r="2973" spans="7:11" x14ac:dyDescent="0.25">
      <c r="G2973" s="1" t="str">
        <f>IF(Table2[[#This Row],[Description]]="","",VLOOKUP(Table2[[#This Row],[Description]],$Q$1:$S$101,2,FALSE))</f>
        <v/>
      </c>
      <c r="H2973" s="1" t="str">
        <f>IF(Table2[[#This Row],[Description]]="","",VLOOKUP(Table2[[#This Row],[Description]],$Q$1:$S$101,3,FALSE))</f>
        <v/>
      </c>
      <c r="I2973" s="1" t="str">
        <f>IF(Table2[[#This Row],[Description]]="","",IF(Table2[[#This Row],[Currency]]=$O$2,$P$2,HLOOKUP(Table2[[#This Row],[Date]],Funds!$C$10:$GV$11,2,FALSE)))</f>
        <v/>
      </c>
      <c r="J2973" s="215" t="str">
        <f>IF(Table2[[#This Row],[Description]]="","",Table2[[#This Row],[Value]]/Table2[[#This Row],[Conversion]])</f>
        <v/>
      </c>
      <c r="K2973" s="45" t="str">
        <f>IF(Table2[[#This Row],[Description]]="","",DATE(Table2[[#This Row],[Year]],Table2[[#This Row],[Month]],1))</f>
        <v/>
      </c>
    </row>
    <row r="2974" spans="7:11" x14ac:dyDescent="0.25">
      <c r="G2974" s="1" t="str">
        <f>IF(Table2[[#This Row],[Description]]="","",VLOOKUP(Table2[[#This Row],[Description]],$Q$1:$S$101,2,FALSE))</f>
        <v/>
      </c>
      <c r="H2974" s="1" t="str">
        <f>IF(Table2[[#This Row],[Description]]="","",VLOOKUP(Table2[[#This Row],[Description]],$Q$1:$S$101,3,FALSE))</f>
        <v/>
      </c>
      <c r="I2974" s="1" t="str">
        <f>IF(Table2[[#This Row],[Description]]="","",IF(Table2[[#This Row],[Currency]]=$O$2,$P$2,HLOOKUP(Table2[[#This Row],[Date]],Funds!$C$10:$GV$11,2,FALSE)))</f>
        <v/>
      </c>
      <c r="J2974" s="215" t="str">
        <f>IF(Table2[[#This Row],[Description]]="","",Table2[[#This Row],[Value]]/Table2[[#This Row],[Conversion]])</f>
        <v/>
      </c>
      <c r="K2974" s="45" t="str">
        <f>IF(Table2[[#This Row],[Description]]="","",DATE(Table2[[#This Row],[Year]],Table2[[#This Row],[Month]],1))</f>
        <v/>
      </c>
    </row>
    <row r="2975" spans="7:11" x14ac:dyDescent="0.25">
      <c r="G2975" s="1" t="str">
        <f>IF(Table2[[#This Row],[Description]]="","",VLOOKUP(Table2[[#This Row],[Description]],$Q$1:$S$101,2,FALSE))</f>
        <v/>
      </c>
      <c r="H2975" s="1" t="str">
        <f>IF(Table2[[#This Row],[Description]]="","",VLOOKUP(Table2[[#This Row],[Description]],$Q$1:$S$101,3,FALSE))</f>
        <v/>
      </c>
      <c r="I2975" s="1" t="str">
        <f>IF(Table2[[#This Row],[Description]]="","",IF(Table2[[#This Row],[Currency]]=$O$2,$P$2,HLOOKUP(Table2[[#This Row],[Date]],Funds!$C$10:$GV$11,2,FALSE)))</f>
        <v/>
      </c>
      <c r="J2975" s="215" t="str">
        <f>IF(Table2[[#This Row],[Description]]="","",Table2[[#This Row],[Value]]/Table2[[#This Row],[Conversion]])</f>
        <v/>
      </c>
      <c r="K2975" s="45" t="str">
        <f>IF(Table2[[#This Row],[Description]]="","",DATE(Table2[[#This Row],[Year]],Table2[[#This Row],[Month]],1))</f>
        <v/>
      </c>
    </row>
    <row r="2976" spans="7:11" x14ac:dyDescent="0.25">
      <c r="G2976" s="1" t="str">
        <f>IF(Table2[[#This Row],[Description]]="","",VLOOKUP(Table2[[#This Row],[Description]],$Q$1:$S$101,2,FALSE))</f>
        <v/>
      </c>
      <c r="H2976" s="1" t="str">
        <f>IF(Table2[[#This Row],[Description]]="","",VLOOKUP(Table2[[#This Row],[Description]],$Q$1:$S$101,3,FALSE))</f>
        <v/>
      </c>
      <c r="I2976" s="1" t="str">
        <f>IF(Table2[[#This Row],[Description]]="","",IF(Table2[[#This Row],[Currency]]=$O$2,$P$2,HLOOKUP(Table2[[#This Row],[Date]],Funds!$C$10:$GV$11,2,FALSE)))</f>
        <v/>
      </c>
      <c r="J2976" s="215" t="str">
        <f>IF(Table2[[#This Row],[Description]]="","",Table2[[#This Row],[Value]]/Table2[[#This Row],[Conversion]])</f>
        <v/>
      </c>
      <c r="K2976" s="45" t="str">
        <f>IF(Table2[[#This Row],[Description]]="","",DATE(Table2[[#This Row],[Year]],Table2[[#This Row],[Month]],1))</f>
        <v/>
      </c>
    </row>
    <row r="2977" spans="7:11" x14ac:dyDescent="0.25">
      <c r="G2977" s="1" t="str">
        <f>IF(Table2[[#This Row],[Description]]="","",VLOOKUP(Table2[[#This Row],[Description]],$Q$1:$S$101,2,FALSE))</f>
        <v/>
      </c>
      <c r="H2977" s="1" t="str">
        <f>IF(Table2[[#This Row],[Description]]="","",VLOOKUP(Table2[[#This Row],[Description]],$Q$1:$S$101,3,FALSE))</f>
        <v/>
      </c>
      <c r="I2977" s="1" t="str">
        <f>IF(Table2[[#This Row],[Description]]="","",IF(Table2[[#This Row],[Currency]]=$O$2,$P$2,HLOOKUP(Table2[[#This Row],[Date]],Funds!$C$10:$GV$11,2,FALSE)))</f>
        <v/>
      </c>
      <c r="J2977" s="215" t="str">
        <f>IF(Table2[[#This Row],[Description]]="","",Table2[[#This Row],[Value]]/Table2[[#This Row],[Conversion]])</f>
        <v/>
      </c>
      <c r="K2977" s="45" t="str">
        <f>IF(Table2[[#This Row],[Description]]="","",DATE(Table2[[#This Row],[Year]],Table2[[#This Row],[Month]],1))</f>
        <v/>
      </c>
    </row>
    <row r="2978" spans="7:11" x14ac:dyDescent="0.25">
      <c r="G2978" s="1" t="str">
        <f>IF(Table2[[#This Row],[Description]]="","",VLOOKUP(Table2[[#This Row],[Description]],$Q$1:$S$101,2,FALSE))</f>
        <v/>
      </c>
      <c r="H2978" s="1" t="str">
        <f>IF(Table2[[#This Row],[Description]]="","",VLOOKUP(Table2[[#This Row],[Description]],$Q$1:$S$101,3,FALSE))</f>
        <v/>
      </c>
      <c r="I2978" s="1" t="str">
        <f>IF(Table2[[#This Row],[Description]]="","",IF(Table2[[#This Row],[Currency]]=$O$2,$P$2,HLOOKUP(Table2[[#This Row],[Date]],Funds!$C$10:$GV$11,2,FALSE)))</f>
        <v/>
      </c>
      <c r="J2978" s="215" t="str">
        <f>IF(Table2[[#This Row],[Description]]="","",Table2[[#This Row],[Value]]/Table2[[#This Row],[Conversion]])</f>
        <v/>
      </c>
      <c r="K2978" s="45" t="str">
        <f>IF(Table2[[#This Row],[Description]]="","",DATE(Table2[[#This Row],[Year]],Table2[[#This Row],[Month]],1))</f>
        <v/>
      </c>
    </row>
    <row r="2979" spans="7:11" x14ac:dyDescent="0.25">
      <c r="G2979" s="1" t="str">
        <f>IF(Table2[[#This Row],[Description]]="","",VLOOKUP(Table2[[#This Row],[Description]],$Q$1:$S$101,2,FALSE))</f>
        <v/>
      </c>
      <c r="H2979" s="1" t="str">
        <f>IF(Table2[[#This Row],[Description]]="","",VLOOKUP(Table2[[#This Row],[Description]],$Q$1:$S$101,3,FALSE))</f>
        <v/>
      </c>
      <c r="I2979" s="1" t="str">
        <f>IF(Table2[[#This Row],[Description]]="","",IF(Table2[[#This Row],[Currency]]=$O$2,$P$2,HLOOKUP(Table2[[#This Row],[Date]],Funds!$C$10:$GV$11,2,FALSE)))</f>
        <v/>
      </c>
      <c r="J2979" s="215" t="str">
        <f>IF(Table2[[#This Row],[Description]]="","",Table2[[#This Row],[Value]]/Table2[[#This Row],[Conversion]])</f>
        <v/>
      </c>
      <c r="K2979" s="45" t="str">
        <f>IF(Table2[[#This Row],[Description]]="","",DATE(Table2[[#This Row],[Year]],Table2[[#This Row],[Month]],1))</f>
        <v/>
      </c>
    </row>
    <row r="2980" spans="7:11" x14ac:dyDescent="0.25">
      <c r="G2980" s="1" t="str">
        <f>IF(Table2[[#This Row],[Description]]="","",VLOOKUP(Table2[[#This Row],[Description]],$Q$1:$S$101,2,FALSE))</f>
        <v/>
      </c>
      <c r="H2980" s="1" t="str">
        <f>IF(Table2[[#This Row],[Description]]="","",VLOOKUP(Table2[[#This Row],[Description]],$Q$1:$S$101,3,FALSE))</f>
        <v/>
      </c>
      <c r="I2980" s="1" t="str">
        <f>IF(Table2[[#This Row],[Description]]="","",IF(Table2[[#This Row],[Currency]]=$O$2,$P$2,HLOOKUP(Table2[[#This Row],[Date]],Funds!$C$10:$GV$11,2,FALSE)))</f>
        <v/>
      </c>
      <c r="J2980" s="215" t="str">
        <f>IF(Table2[[#This Row],[Description]]="","",Table2[[#This Row],[Value]]/Table2[[#This Row],[Conversion]])</f>
        <v/>
      </c>
      <c r="K2980" s="45" t="str">
        <f>IF(Table2[[#This Row],[Description]]="","",DATE(Table2[[#This Row],[Year]],Table2[[#This Row],[Month]],1))</f>
        <v/>
      </c>
    </row>
    <row r="2981" spans="7:11" x14ac:dyDescent="0.25">
      <c r="G2981" s="1" t="str">
        <f>IF(Table2[[#This Row],[Description]]="","",VLOOKUP(Table2[[#This Row],[Description]],$Q$1:$S$101,2,FALSE))</f>
        <v/>
      </c>
      <c r="H2981" s="1" t="str">
        <f>IF(Table2[[#This Row],[Description]]="","",VLOOKUP(Table2[[#This Row],[Description]],$Q$1:$S$101,3,FALSE))</f>
        <v/>
      </c>
      <c r="I2981" s="1" t="str">
        <f>IF(Table2[[#This Row],[Description]]="","",IF(Table2[[#This Row],[Currency]]=$O$2,$P$2,HLOOKUP(Table2[[#This Row],[Date]],Funds!$C$10:$GV$11,2,FALSE)))</f>
        <v/>
      </c>
      <c r="J2981" s="215" t="str">
        <f>IF(Table2[[#This Row],[Description]]="","",Table2[[#This Row],[Value]]/Table2[[#This Row],[Conversion]])</f>
        <v/>
      </c>
      <c r="K2981" s="45" t="str">
        <f>IF(Table2[[#This Row],[Description]]="","",DATE(Table2[[#This Row],[Year]],Table2[[#This Row],[Month]],1))</f>
        <v/>
      </c>
    </row>
    <row r="2982" spans="7:11" x14ac:dyDescent="0.25">
      <c r="G2982" s="1" t="str">
        <f>IF(Table2[[#This Row],[Description]]="","",VLOOKUP(Table2[[#This Row],[Description]],$Q$1:$S$101,2,FALSE))</f>
        <v/>
      </c>
      <c r="H2982" s="1" t="str">
        <f>IF(Table2[[#This Row],[Description]]="","",VLOOKUP(Table2[[#This Row],[Description]],$Q$1:$S$101,3,FALSE))</f>
        <v/>
      </c>
      <c r="I2982" s="1" t="str">
        <f>IF(Table2[[#This Row],[Description]]="","",IF(Table2[[#This Row],[Currency]]=$O$2,$P$2,HLOOKUP(Table2[[#This Row],[Date]],Funds!$C$10:$GV$11,2,FALSE)))</f>
        <v/>
      </c>
      <c r="J2982" s="215" t="str">
        <f>IF(Table2[[#This Row],[Description]]="","",Table2[[#This Row],[Value]]/Table2[[#This Row],[Conversion]])</f>
        <v/>
      </c>
      <c r="K2982" s="45" t="str">
        <f>IF(Table2[[#This Row],[Description]]="","",DATE(Table2[[#This Row],[Year]],Table2[[#This Row],[Month]],1))</f>
        <v/>
      </c>
    </row>
    <row r="2983" spans="7:11" x14ac:dyDescent="0.25">
      <c r="G2983" s="1" t="str">
        <f>IF(Table2[[#This Row],[Description]]="","",VLOOKUP(Table2[[#This Row],[Description]],$Q$1:$S$101,2,FALSE))</f>
        <v/>
      </c>
      <c r="H2983" s="1" t="str">
        <f>IF(Table2[[#This Row],[Description]]="","",VLOOKUP(Table2[[#This Row],[Description]],$Q$1:$S$101,3,FALSE))</f>
        <v/>
      </c>
      <c r="I2983" s="1" t="str">
        <f>IF(Table2[[#This Row],[Description]]="","",IF(Table2[[#This Row],[Currency]]=$O$2,$P$2,HLOOKUP(Table2[[#This Row],[Date]],Funds!$C$10:$GV$11,2,FALSE)))</f>
        <v/>
      </c>
      <c r="J2983" s="215" t="str">
        <f>IF(Table2[[#This Row],[Description]]="","",Table2[[#This Row],[Value]]/Table2[[#This Row],[Conversion]])</f>
        <v/>
      </c>
      <c r="K2983" s="45" t="str">
        <f>IF(Table2[[#This Row],[Description]]="","",DATE(Table2[[#This Row],[Year]],Table2[[#This Row],[Month]],1))</f>
        <v/>
      </c>
    </row>
    <row r="2984" spans="7:11" x14ac:dyDescent="0.25">
      <c r="G2984" s="1" t="str">
        <f>IF(Table2[[#This Row],[Description]]="","",VLOOKUP(Table2[[#This Row],[Description]],$Q$1:$S$101,2,FALSE))</f>
        <v/>
      </c>
      <c r="H2984" s="1" t="str">
        <f>IF(Table2[[#This Row],[Description]]="","",VLOOKUP(Table2[[#This Row],[Description]],$Q$1:$S$101,3,FALSE))</f>
        <v/>
      </c>
      <c r="I2984" s="1" t="str">
        <f>IF(Table2[[#This Row],[Description]]="","",IF(Table2[[#This Row],[Currency]]=$O$2,$P$2,HLOOKUP(Table2[[#This Row],[Date]],Funds!$C$10:$GV$11,2,FALSE)))</f>
        <v/>
      </c>
      <c r="J2984" s="215" t="str">
        <f>IF(Table2[[#This Row],[Description]]="","",Table2[[#This Row],[Value]]/Table2[[#This Row],[Conversion]])</f>
        <v/>
      </c>
      <c r="K2984" s="45" t="str">
        <f>IF(Table2[[#This Row],[Description]]="","",DATE(Table2[[#This Row],[Year]],Table2[[#This Row],[Month]],1))</f>
        <v/>
      </c>
    </row>
    <row r="2985" spans="7:11" x14ac:dyDescent="0.25">
      <c r="G2985" s="1" t="str">
        <f>IF(Table2[[#This Row],[Description]]="","",VLOOKUP(Table2[[#This Row],[Description]],$Q$1:$S$101,2,FALSE))</f>
        <v/>
      </c>
      <c r="H2985" s="1" t="str">
        <f>IF(Table2[[#This Row],[Description]]="","",VLOOKUP(Table2[[#This Row],[Description]],$Q$1:$S$101,3,FALSE))</f>
        <v/>
      </c>
      <c r="I2985" s="1" t="str">
        <f>IF(Table2[[#This Row],[Description]]="","",IF(Table2[[#This Row],[Currency]]=$O$2,$P$2,HLOOKUP(Table2[[#This Row],[Date]],Funds!$C$10:$GV$11,2,FALSE)))</f>
        <v/>
      </c>
      <c r="J2985" s="215" t="str">
        <f>IF(Table2[[#This Row],[Description]]="","",Table2[[#This Row],[Value]]/Table2[[#This Row],[Conversion]])</f>
        <v/>
      </c>
      <c r="K2985" s="45" t="str">
        <f>IF(Table2[[#This Row],[Description]]="","",DATE(Table2[[#This Row],[Year]],Table2[[#This Row],[Month]],1))</f>
        <v/>
      </c>
    </row>
    <row r="2986" spans="7:11" x14ac:dyDescent="0.25">
      <c r="G2986" s="1" t="str">
        <f>IF(Table2[[#This Row],[Description]]="","",VLOOKUP(Table2[[#This Row],[Description]],$Q$1:$S$101,2,FALSE))</f>
        <v/>
      </c>
      <c r="H2986" s="1" t="str">
        <f>IF(Table2[[#This Row],[Description]]="","",VLOOKUP(Table2[[#This Row],[Description]],$Q$1:$S$101,3,FALSE))</f>
        <v/>
      </c>
      <c r="I2986" s="1" t="str">
        <f>IF(Table2[[#This Row],[Description]]="","",IF(Table2[[#This Row],[Currency]]=$O$2,$P$2,HLOOKUP(Table2[[#This Row],[Date]],Funds!$C$10:$GV$11,2,FALSE)))</f>
        <v/>
      </c>
      <c r="J2986" s="215" t="str">
        <f>IF(Table2[[#This Row],[Description]]="","",Table2[[#This Row],[Value]]/Table2[[#This Row],[Conversion]])</f>
        <v/>
      </c>
      <c r="K2986" s="45" t="str">
        <f>IF(Table2[[#This Row],[Description]]="","",DATE(Table2[[#This Row],[Year]],Table2[[#This Row],[Month]],1))</f>
        <v/>
      </c>
    </row>
    <row r="2987" spans="7:11" x14ac:dyDescent="0.25">
      <c r="G2987" s="1" t="str">
        <f>IF(Table2[[#This Row],[Description]]="","",VLOOKUP(Table2[[#This Row],[Description]],$Q$1:$S$101,2,FALSE))</f>
        <v/>
      </c>
      <c r="H2987" s="1" t="str">
        <f>IF(Table2[[#This Row],[Description]]="","",VLOOKUP(Table2[[#This Row],[Description]],$Q$1:$S$101,3,FALSE))</f>
        <v/>
      </c>
      <c r="I2987" s="1" t="str">
        <f>IF(Table2[[#This Row],[Description]]="","",IF(Table2[[#This Row],[Currency]]=$O$2,$P$2,HLOOKUP(Table2[[#This Row],[Date]],Funds!$C$10:$GV$11,2,FALSE)))</f>
        <v/>
      </c>
      <c r="J2987" s="215" t="str">
        <f>IF(Table2[[#This Row],[Description]]="","",Table2[[#This Row],[Value]]/Table2[[#This Row],[Conversion]])</f>
        <v/>
      </c>
      <c r="K2987" s="45" t="str">
        <f>IF(Table2[[#This Row],[Description]]="","",DATE(Table2[[#This Row],[Year]],Table2[[#This Row],[Month]],1))</f>
        <v/>
      </c>
    </row>
    <row r="2988" spans="7:11" x14ac:dyDescent="0.25">
      <c r="G2988" s="1" t="str">
        <f>IF(Table2[[#This Row],[Description]]="","",VLOOKUP(Table2[[#This Row],[Description]],$Q$1:$S$101,2,FALSE))</f>
        <v/>
      </c>
      <c r="H2988" s="1" t="str">
        <f>IF(Table2[[#This Row],[Description]]="","",VLOOKUP(Table2[[#This Row],[Description]],$Q$1:$S$101,3,FALSE))</f>
        <v/>
      </c>
      <c r="I2988" s="1" t="str">
        <f>IF(Table2[[#This Row],[Description]]="","",IF(Table2[[#This Row],[Currency]]=$O$2,$P$2,HLOOKUP(Table2[[#This Row],[Date]],Funds!$C$10:$GV$11,2,FALSE)))</f>
        <v/>
      </c>
      <c r="J2988" s="215" t="str">
        <f>IF(Table2[[#This Row],[Description]]="","",Table2[[#This Row],[Value]]/Table2[[#This Row],[Conversion]])</f>
        <v/>
      </c>
      <c r="K2988" s="45" t="str">
        <f>IF(Table2[[#This Row],[Description]]="","",DATE(Table2[[#This Row],[Year]],Table2[[#This Row],[Month]],1))</f>
        <v/>
      </c>
    </row>
    <row r="2989" spans="7:11" x14ac:dyDescent="0.25">
      <c r="G2989" s="1" t="str">
        <f>IF(Table2[[#This Row],[Description]]="","",VLOOKUP(Table2[[#This Row],[Description]],$Q$1:$S$101,2,FALSE))</f>
        <v/>
      </c>
      <c r="H2989" s="1" t="str">
        <f>IF(Table2[[#This Row],[Description]]="","",VLOOKUP(Table2[[#This Row],[Description]],$Q$1:$S$101,3,FALSE))</f>
        <v/>
      </c>
      <c r="I2989" s="1" t="str">
        <f>IF(Table2[[#This Row],[Description]]="","",IF(Table2[[#This Row],[Currency]]=$O$2,$P$2,HLOOKUP(Table2[[#This Row],[Date]],Funds!$C$10:$GV$11,2,FALSE)))</f>
        <v/>
      </c>
      <c r="J2989" s="215" t="str">
        <f>IF(Table2[[#This Row],[Description]]="","",Table2[[#This Row],[Value]]/Table2[[#This Row],[Conversion]])</f>
        <v/>
      </c>
      <c r="K2989" s="45" t="str">
        <f>IF(Table2[[#This Row],[Description]]="","",DATE(Table2[[#This Row],[Year]],Table2[[#This Row],[Month]],1))</f>
        <v/>
      </c>
    </row>
    <row r="2990" spans="7:11" x14ac:dyDescent="0.25">
      <c r="G2990" s="1" t="str">
        <f>IF(Table2[[#This Row],[Description]]="","",VLOOKUP(Table2[[#This Row],[Description]],$Q$1:$S$101,2,FALSE))</f>
        <v/>
      </c>
      <c r="H2990" s="1" t="str">
        <f>IF(Table2[[#This Row],[Description]]="","",VLOOKUP(Table2[[#This Row],[Description]],$Q$1:$S$101,3,FALSE))</f>
        <v/>
      </c>
      <c r="I2990" s="1" t="str">
        <f>IF(Table2[[#This Row],[Description]]="","",IF(Table2[[#This Row],[Currency]]=$O$2,$P$2,HLOOKUP(Table2[[#This Row],[Date]],Funds!$C$10:$GV$11,2,FALSE)))</f>
        <v/>
      </c>
      <c r="J2990" s="215" t="str">
        <f>IF(Table2[[#This Row],[Description]]="","",Table2[[#This Row],[Value]]/Table2[[#This Row],[Conversion]])</f>
        <v/>
      </c>
      <c r="K2990" s="45" t="str">
        <f>IF(Table2[[#This Row],[Description]]="","",DATE(Table2[[#This Row],[Year]],Table2[[#This Row],[Month]],1))</f>
        <v/>
      </c>
    </row>
    <row r="2991" spans="7:11" x14ac:dyDescent="0.25">
      <c r="G2991" s="1" t="str">
        <f>IF(Table2[[#This Row],[Description]]="","",VLOOKUP(Table2[[#This Row],[Description]],$Q$1:$S$101,2,FALSE))</f>
        <v/>
      </c>
      <c r="H2991" s="1" t="str">
        <f>IF(Table2[[#This Row],[Description]]="","",VLOOKUP(Table2[[#This Row],[Description]],$Q$1:$S$101,3,FALSE))</f>
        <v/>
      </c>
      <c r="I2991" s="1" t="str">
        <f>IF(Table2[[#This Row],[Description]]="","",IF(Table2[[#This Row],[Currency]]=$O$2,$P$2,HLOOKUP(Table2[[#This Row],[Date]],Funds!$C$10:$GV$11,2,FALSE)))</f>
        <v/>
      </c>
      <c r="J2991" s="215" t="str">
        <f>IF(Table2[[#This Row],[Description]]="","",Table2[[#This Row],[Value]]/Table2[[#This Row],[Conversion]])</f>
        <v/>
      </c>
      <c r="K2991" s="45" t="str">
        <f>IF(Table2[[#This Row],[Description]]="","",DATE(Table2[[#This Row],[Year]],Table2[[#This Row],[Month]],1))</f>
        <v/>
      </c>
    </row>
    <row r="2992" spans="7:11" x14ac:dyDescent="0.25">
      <c r="G2992" s="1" t="str">
        <f>IF(Table2[[#This Row],[Description]]="","",VLOOKUP(Table2[[#This Row],[Description]],$Q$1:$S$101,2,FALSE))</f>
        <v/>
      </c>
      <c r="H2992" s="1" t="str">
        <f>IF(Table2[[#This Row],[Description]]="","",VLOOKUP(Table2[[#This Row],[Description]],$Q$1:$S$101,3,FALSE))</f>
        <v/>
      </c>
      <c r="I2992" s="1" t="str">
        <f>IF(Table2[[#This Row],[Description]]="","",IF(Table2[[#This Row],[Currency]]=$O$2,$P$2,HLOOKUP(Table2[[#This Row],[Date]],Funds!$C$10:$GV$11,2,FALSE)))</f>
        <v/>
      </c>
      <c r="J2992" s="215" t="str">
        <f>IF(Table2[[#This Row],[Description]]="","",Table2[[#This Row],[Value]]/Table2[[#This Row],[Conversion]])</f>
        <v/>
      </c>
      <c r="K2992" s="45" t="str">
        <f>IF(Table2[[#This Row],[Description]]="","",DATE(Table2[[#This Row],[Year]],Table2[[#This Row],[Month]],1))</f>
        <v/>
      </c>
    </row>
    <row r="2993" spans="7:11" x14ac:dyDescent="0.25">
      <c r="G2993" s="1" t="str">
        <f>IF(Table2[[#This Row],[Description]]="","",VLOOKUP(Table2[[#This Row],[Description]],$Q$1:$S$101,2,FALSE))</f>
        <v/>
      </c>
      <c r="H2993" s="1" t="str">
        <f>IF(Table2[[#This Row],[Description]]="","",VLOOKUP(Table2[[#This Row],[Description]],$Q$1:$S$101,3,FALSE))</f>
        <v/>
      </c>
      <c r="I2993" s="1" t="str">
        <f>IF(Table2[[#This Row],[Description]]="","",IF(Table2[[#This Row],[Currency]]=$O$2,$P$2,HLOOKUP(Table2[[#This Row],[Date]],Funds!$C$10:$GV$11,2,FALSE)))</f>
        <v/>
      </c>
      <c r="J2993" s="215" t="str">
        <f>IF(Table2[[#This Row],[Description]]="","",Table2[[#This Row],[Value]]/Table2[[#This Row],[Conversion]])</f>
        <v/>
      </c>
      <c r="K2993" s="45" t="str">
        <f>IF(Table2[[#This Row],[Description]]="","",DATE(Table2[[#This Row],[Year]],Table2[[#This Row],[Month]],1))</f>
        <v/>
      </c>
    </row>
    <row r="2994" spans="7:11" x14ac:dyDescent="0.25">
      <c r="G2994" s="1" t="str">
        <f>IF(Table2[[#This Row],[Description]]="","",VLOOKUP(Table2[[#This Row],[Description]],$Q$1:$S$101,2,FALSE))</f>
        <v/>
      </c>
      <c r="H2994" s="1" t="str">
        <f>IF(Table2[[#This Row],[Description]]="","",VLOOKUP(Table2[[#This Row],[Description]],$Q$1:$S$101,3,FALSE))</f>
        <v/>
      </c>
      <c r="I2994" s="1" t="str">
        <f>IF(Table2[[#This Row],[Description]]="","",IF(Table2[[#This Row],[Currency]]=$O$2,$P$2,HLOOKUP(Table2[[#This Row],[Date]],Funds!$C$10:$GV$11,2,FALSE)))</f>
        <v/>
      </c>
      <c r="J2994" s="215" t="str">
        <f>IF(Table2[[#This Row],[Description]]="","",Table2[[#This Row],[Value]]/Table2[[#This Row],[Conversion]])</f>
        <v/>
      </c>
      <c r="K2994" s="45" t="str">
        <f>IF(Table2[[#This Row],[Description]]="","",DATE(Table2[[#This Row],[Year]],Table2[[#This Row],[Month]],1))</f>
        <v/>
      </c>
    </row>
    <row r="2995" spans="7:11" x14ac:dyDescent="0.25">
      <c r="G2995" s="1" t="str">
        <f>IF(Table2[[#This Row],[Description]]="","",VLOOKUP(Table2[[#This Row],[Description]],$Q$1:$S$101,2,FALSE))</f>
        <v/>
      </c>
      <c r="H2995" s="1" t="str">
        <f>IF(Table2[[#This Row],[Description]]="","",VLOOKUP(Table2[[#This Row],[Description]],$Q$1:$S$101,3,FALSE))</f>
        <v/>
      </c>
      <c r="I2995" s="1" t="str">
        <f>IF(Table2[[#This Row],[Description]]="","",IF(Table2[[#This Row],[Currency]]=$O$2,$P$2,HLOOKUP(Table2[[#This Row],[Date]],Funds!$C$10:$GV$11,2,FALSE)))</f>
        <v/>
      </c>
      <c r="J2995" s="215" t="str">
        <f>IF(Table2[[#This Row],[Description]]="","",Table2[[#This Row],[Value]]/Table2[[#This Row],[Conversion]])</f>
        <v/>
      </c>
      <c r="K2995" s="45" t="str">
        <f>IF(Table2[[#This Row],[Description]]="","",DATE(Table2[[#This Row],[Year]],Table2[[#This Row],[Month]],1))</f>
        <v/>
      </c>
    </row>
    <row r="2996" spans="7:11" x14ac:dyDescent="0.25">
      <c r="G2996" s="1" t="str">
        <f>IF(Table2[[#This Row],[Description]]="","",VLOOKUP(Table2[[#This Row],[Description]],$Q$1:$S$101,2,FALSE))</f>
        <v/>
      </c>
      <c r="H2996" s="1" t="str">
        <f>IF(Table2[[#This Row],[Description]]="","",VLOOKUP(Table2[[#This Row],[Description]],$Q$1:$S$101,3,FALSE))</f>
        <v/>
      </c>
      <c r="I2996" s="1" t="str">
        <f>IF(Table2[[#This Row],[Description]]="","",IF(Table2[[#This Row],[Currency]]=$O$2,$P$2,HLOOKUP(Table2[[#This Row],[Date]],Funds!$C$10:$GV$11,2,FALSE)))</f>
        <v/>
      </c>
      <c r="J2996" s="215" t="str">
        <f>IF(Table2[[#This Row],[Description]]="","",Table2[[#This Row],[Value]]/Table2[[#This Row],[Conversion]])</f>
        <v/>
      </c>
      <c r="K2996" s="45" t="str">
        <f>IF(Table2[[#This Row],[Description]]="","",DATE(Table2[[#This Row],[Year]],Table2[[#This Row],[Month]],1))</f>
        <v/>
      </c>
    </row>
    <row r="2997" spans="7:11" x14ac:dyDescent="0.25">
      <c r="G2997" s="1" t="str">
        <f>IF(Table2[[#This Row],[Description]]="","",VLOOKUP(Table2[[#This Row],[Description]],$Q$1:$S$101,2,FALSE))</f>
        <v/>
      </c>
      <c r="H2997" s="1" t="str">
        <f>IF(Table2[[#This Row],[Description]]="","",VLOOKUP(Table2[[#This Row],[Description]],$Q$1:$S$101,3,FALSE))</f>
        <v/>
      </c>
      <c r="I2997" s="1" t="str">
        <f>IF(Table2[[#This Row],[Description]]="","",IF(Table2[[#This Row],[Currency]]=$O$2,$P$2,HLOOKUP(Table2[[#This Row],[Date]],Funds!$C$10:$GV$11,2,FALSE)))</f>
        <v/>
      </c>
      <c r="J2997" s="215" t="str">
        <f>IF(Table2[[#This Row],[Description]]="","",Table2[[#This Row],[Value]]/Table2[[#This Row],[Conversion]])</f>
        <v/>
      </c>
      <c r="K2997" s="45" t="str">
        <f>IF(Table2[[#This Row],[Description]]="","",DATE(Table2[[#This Row],[Year]],Table2[[#This Row],[Month]],1))</f>
        <v/>
      </c>
    </row>
    <row r="2998" spans="7:11" x14ac:dyDescent="0.25">
      <c r="G2998" s="1" t="str">
        <f>IF(Table2[[#This Row],[Description]]="","",VLOOKUP(Table2[[#This Row],[Description]],$Q$1:$S$101,2,FALSE))</f>
        <v/>
      </c>
      <c r="H2998" s="1" t="str">
        <f>IF(Table2[[#This Row],[Description]]="","",VLOOKUP(Table2[[#This Row],[Description]],$Q$1:$S$101,3,FALSE))</f>
        <v/>
      </c>
      <c r="I2998" s="1" t="str">
        <f>IF(Table2[[#This Row],[Description]]="","",IF(Table2[[#This Row],[Currency]]=$O$2,$P$2,HLOOKUP(Table2[[#This Row],[Date]],Funds!$C$10:$GV$11,2,FALSE)))</f>
        <v/>
      </c>
      <c r="J2998" s="215" t="str">
        <f>IF(Table2[[#This Row],[Description]]="","",Table2[[#This Row],[Value]]/Table2[[#This Row],[Conversion]])</f>
        <v/>
      </c>
      <c r="K2998" s="45" t="str">
        <f>IF(Table2[[#This Row],[Description]]="","",DATE(Table2[[#This Row],[Year]],Table2[[#This Row],[Month]],1))</f>
        <v/>
      </c>
    </row>
    <row r="2999" spans="7:11" x14ac:dyDescent="0.25">
      <c r="G2999" s="1" t="str">
        <f>IF(Table2[[#This Row],[Description]]="","",VLOOKUP(Table2[[#This Row],[Description]],$Q$1:$S$101,2,FALSE))</f>
        <v/>
      </c>
      <c r="H2999" s="1" t="str">
        <f>IF(Table2[[#This Row],[Description]]="","",VLOOKUP(Table2[[#This Row],[Description]],$Q$1:$S$101,3,FALSE))</f>
        <v/>
      </c>
      <c r="I2999" s="1" t="str">
        <f>IF(Table2[[#This Row],[Description]]="","",IF(Table2[[#This Row],[Currency]]=$O$2,$P$2,HLOOKUP(Table2[[#This Row],[Date]],Funds!$C$10:$GV$11,2,FALSE)))</f>
        <v/>
      </c>
      <c r="J2999" s="215" t="str">
        <f>IF(Table2[[#This Row],[Description]]="","",Table2[[#This Row],[Value]]/Table2[[#This Row],[Conversion]])</f>
        <v/>
      </c>
      <c r="K2999" s="45" t="str">
        <f>IF(Table2[[#This Row],[Description]]="","",DATE(Table2[[#This Row],[Year]],Table2[[#This Row],[Month]],1))</f>
        <v/>
      </c>
    </row>
    <row r="3000" spans="7:11" x14ac:dyDescent="0.25">
      <c r="G3000" s="1" t="str">
        <f>IF(Table2[[#This Row],[Description]]="","",VLOOKUP(Table2[[#This Row],[Description]],$Q$1:$S$101,2,FALSE))</f>
        <v/>
      </c>
      <c r="H3000" s="1" t="str">
        <f>IF(Table2[[#This Row],[Description]]="","",VLOOKUP(Table2[[#This Row],[Description]],$Q$1:$S$101,3,FALSE))</f>
        <v/>
      </c>
      <c r="I3000" s="1" t="str">
        <f>IF(Table2[[#This Row],[Description]]="","",IF(Table2[[#This Row],[Currency]]=$O$2,$P$2,HLOOKUP(Table2[[#This Row],[Date]],Funds!$C$10:$GV$11,2,FALSE)))</f>
        <v/>
      </c>
      <c r="J3000" s="215" t="str">
        <f>IF(Table2[[#This Row],[Description]]="","",Table2[[#This Row],[Value]]/Table2[[#This Row],[Conversion]])</f>
        <v/>
      </c>
      <c r="K3000" s="45" t="str">
        <f>IF(Table2[[#This Row],[Description]]="","",DATE(Table2[[#This Row],[Year]],Table2[[#This Row],[Month]],1))</f>
        <v/>
      </c>
    </row>
    <row r="3001" spans="7:11" x14ac:dyDescent="0.25">
      <c r="G3001" s="1" t="str">
        <f>IF(Table2[[#This Row],[Description]]="","",VLOOKUP(Table2[[#This Row],[Description]],$Q$1:$S$101,2,FALSE))</f>
        <v/>
      </c>
      <c r="H3001" s="1" t="str">
        <f>IF(Table2[[#This Row],[Description]]="","",VLOOKUP(Table2[[#This Row],[Description]],$Q$1:$S$101,3,FALSE))</f>
        <v/>
      </c>
      <c r="I3001" s="1" t="str">
        <f>IF(Table2[[#This Row],[Description]]="","",IF(Table2[[#This Row],[Currency]]=$O$2,$P$2,HLOOKUP(Table2[[#This Row],[Date]],Funds!$C$10:$GV$11,2,FALSE)))</f>
        <v/>
      </c>
      <c r="J3001" s="215" t="str">
        <f>IF(Table2[[#This Row],[Description]]="","",Table2[[#This Row],[Value]]/Table2[[#This Row],[Conversion]])</f>
        <v/>
      </c>
      <c r="K3001" s="45" t="str">
        <f>IF(Table2[[#This Row],[Description]]="","",DATE(Table2[[#This Row],[Year]],Table2[[#This Row],[Month]],1))</f>
        <v/>
      </c>
    </row>
    <row r="3002" spans="7:11" x14ac:dyDescent="0.25">
      <c r="G3002" s="1" t="str">
        <f>IF(Table2[[#This Row],[Description]]="","",VLOOKUP(Table2[[#This Row],[Description]],$Q$1:$S$101,2,FALSE))</f>
        <v/>
      </c>
      <c r="H3002" s="1" t="str">
        <f>IF(Table2[[#This Row],[Description]]="","",VLOOKUP(Table2[[#This Row],[Description]],$Q$1:$S$101,3,FALSE))</f>
        <v/>
      </c>
      <c r="I3002" s="1" t="str">
        <f>IF(Table2[[#This Row],[Description]]="","",IF(Table2[[#This Row],[Currency]]=$O$2,$P$2,HLOOKUP(Table2[[#This Row],[Date]],Funds!$C$10:$GV$11,2,FALSE)))</f>
        <v/>
      </c>
      <c r="J3002" s="215" t="str">
        <f>IF(Table2[[#This Row],[Description]]="","",Table2[[#This Row],[Value]]/Table2[[#This Row],[Conversion]])</f>
        <v/>
      </c>
      <c r="K3002" s="45" t="str">
        <f>IF(Table2[[#This Row],[Description]]="","",DATE(Table2[[#This Row],[Year]],Table2[[#This Row],[Month]],1))</f>
        <v/>
      </c>
    </row>
    <row r="3003" spans="7:11" x14ac:dyDescent="0.25">
      <c r="G3003" s="1" t="str">
        <f>IF(Table2[[#This Row],[Description]]="","",VLOOKUP(Table2[[#This Row],[Description]],$Q$1:$S$101,2,FALSE))</f>
        <v/>
      </c>
      <c r="H3003" s="1" t="str">
        <f>IF(Table2[[#This Row],[Description]]="","",VLOOKUP(Table2[[#This Row],[Description]],$Q$1:$S$101,3,FALSE))</f>
        <v/>
      </c>
      <c r="I3003" s="1" t="str">
        <f>IF(Table2[[#This Row],[Description]]="","",IF(Table2[[#This Row],[Currency]]=$O$2,$P$2,HLOOKUP(Table2[[#This Row],[Date]],Funds!$C$10:$GV$11,2,FALSE)))</f>
        <v/>
      </c>
      <c r="J3003" s="215" t="str">
        <f>IF(Table2[[#This Row],[Description]]="","",Table2[[#This Row],[Value]]/Table2[[#This Row],[Conversion]])</f>
        <v/>
      </c>
      <c r="K3003" s="45" t="str">
        <f>IF(Table2[[#This Row],[Description]]="","",DATE(Table2[[#This Row],[Year]],Table2[[#This Row],[Month]],1))</f>
        <v/>
      </c>
    </row>
    <row r="3004" spans="7:11" x14ac:dyDescent="0.25">
      <c r="G3004" s="1" t="str">
        <f>IF(Table2[[#This Row],[Description]]="","",VLOOKUP(Table2[[#This Row],[Description]],$Q$1:$S$101,2,FALSE))</f>
        <v/>
      </c>
      <c r="H3004" s="1" t="str">
        <f>IF(Table2[[#This Row],[Description]]="","",VLOOKUP(Table2[[#This Row],[Description]],$Q$1:$S$101,3,FALSE))</f>
        <v/>
      </c>
      <c r="I3004" s="1" t="str">
        <f>IF(Table2[[#This Row],[Description]]="","",IF(Table2[[#This Row],[Currency]]=$O$2,$P$2,HLOOKUP(Table2[[#This Row],[Date]],Funds!$C$10:$GV$11,2,FALSE)))</f>
        <v/>
      </c>
      <c r="J3004" s="215" t="str">
        <f>IF(Table2[[#This Row],[Description]]="","",Table2[[#This Row],[Value]]/Table2[[#This Row],[Conversion]])</f>
        <v/>
      </c>
      <c r="K3004" s="45" t="str">
        <f>IF(Table2[[#This Row],[Description]]="","",DATE(Table2[[#This Row],[Year]],Table2[[#This Row],[Month]],1))</f>
        <v/>
      </c>
    </row>
    <row r="3005" spans="7:11" x14ac:dyDescent="0.25">
      <c r="G3005" s="1" t="str">
        <f>IF(Table2[[#This Row],[Description]]="","",VLOOKUP(Table2[[#This Row],[Description]],$Q$1:$S$101,2,FALSE))</f>
        <v/>
      </c>
      <c r="H3005" s="1" t="str">
        <f>IF(Table2[[#This Row],[Description]]="","",VLOOKUP(Table2[[#This Row],[Description]],$Q$1:$S$101,3,FALSE))</f>
        <v/>
      </c>
      <c r="I3005" s="1" t="str">
        <f>IF(Table2[[#This Row],[Description]]="","",IF(Table2[[#This Row],[Currency]]=$O$2,$P$2,HLOOKUP(Table2[[#This Row],[Date]],Funds!$C$10:$GV$11,2,FALSE)))</f>
        <v/>
      </c>
      <c r="J3005" s="215" t="str">
        <f>IF(Table2[[#This Row],[Description]]="","",Table2[[#This Row],[Value]]/Table2[[#This Row],[Conversion]])</f>
        <v/>
      </c>
      <c r="K3005" s="45" t="str">
        <f>IF(Table2[[#This Row],[Description]]="","",DATE(Table2[[#This Row],[Year]],Table2[[#This Row],[Month]],1))</f>
        <v/>
      </c>
    </row>
    <row r="3006" spans="7:11" x14ac:dyDescent="0.25">
      <c r="G3006" s="1" t="str">
        <f>IF(Table2[[#This Row],[Description]]="","",VLOOKUP(Table2[[#This Row],[Description]],$Q$1:$S$101,2,FALSE))</f>
        <v/>
      </c>
      <c r="H3006" s="1" t="str">
        <f>IF(Table2[[#This Row],[Description]]="","",VLOOKUP(Table2[[#This Row],[Description]],$Q$1:$S$101,3,FALSE))</f>
        <v/>
      </c>
      <c r="I3006" s="1" t="str">
        <f>IF(Table2[[#This Row],[Description]]="","",IF(Table2[[#This Row],[Currency]]=$O$2,$P$2,HLOOKUP(Table2[[#This Row],[Date]],Funds!$C$10:$GV$11,2,FALSE)))</f>
        <v/>
      </c>
      <c r="J3006" s="215" t="str">
        <f>IF(Table2[[#This Row],[Description]]="","",Table2[[#This Row],[Value]]/Table2[[#This Row],[Conversion]])</f>
        <v/>
      </c>
      <c r="K3006" s="45" t="str">
        <f>IF(Table2[[#This Row],[Description]]="","",DATE(Table2[[#This Row],[Year]],Table2[[#This Row],[Month]],1))</f>
        <v/>
      </c>
    </row>
    <row r="3007" spans="7:11" x14ac:dyDescent="0.25">
      <c r="G3007" s="1" t="str">
        <f>IF(Table2[[#This Row],[Description]]="","",VLOOKUP(Table2[[#This Row],[Description]],$Q$1:$S$101,2,FALSE))</f>
        <v/>
      </c>
      <c r="H3007" s="1" t="str">
        <f>IF(Table2[[#This Row],[Description]]="","",VLOOKUP(Table2[[#This Row],[Description]],$Q$1:$S$101,3,FALSE))</f>
        <v/>
      </c>
      <c r="I3007" s="1" t="str">
        <f>IF(Table2[[#This Row],[Description]]="","",IF(Table2[[#This Row],[Currency]]=$O$2,$P$2,HLOOKUP(Table2[[#This Row],[Date]],Funds!$C$10:$GV$11,2,FALSE)))</f>
        <v/>
      </c>
      <c r="J3007" s="215" t="str">
        <f>IF(Table2[[#This Row],[Description]]="","",Table2[[#This Row],[Value]]/Table2[[#This Row],[Conversion]])</f>
        <v/>
      </c>
      <c r="K3007" s="45" t="str">
        <f>IF(Table2[[#This Row],[Description]]="","",DATE(Table2[[#This Row],[Year]],Table2[[#This Row],[Month]],1))</f>
        <v/>
      </c>
    </row>
    <row r="3008" spans="7:11" x14ac:dyDescent="0.25">
      <c r="G3008" s="1" t="str">
        <f>IF(Table2[[#This Row],[Description]]="","",VLOOKUP(Table2[[#This Row],[Description]],$Q$1:$S$101,2,FALSE))</f>
        <v/>
      </c>
      <c r="H3008" s="1" t="str">
        <f>IF(Table2[[#This Row],[Description]]="","",VLOOKUP(Table2[[#This Row],[Description]],$Q$1:$S$101,3,FALSE))</f>
        <v/>
      </c>
      <c r="I3008" s="1" t="str">
        <f>IF(Table2[[#This Row],[Description]]="","",IF(Table2[[#This Row],[Currency]]=$O$2,$P$2,HLOOKUP(Table2[[#This Row],[Date]],Funds!$C$10:$GV$11,2,FALSE)))</f>
        <v/>
      </c>
      <c r="J3008" s="215" t="str">
        <f>IF(Table2[[#This Row],[Description]]="","",Table2[[#This Row],[Value]]/Table2[[#This Row],[Conversion]])</f>
        <v/>
      </c>
      <c r="K3008" s="45" t="str">
        <f>IF(Table2[[#This Row],[Description]]="","",DATE(Table2[[#This Row],[Year]],Table2[[#This Row],[Month]],1))</f>
        <v/>
      </c>
    </row>
    <row r="3009" spans="7:11" x14ac:dyDescent="0.25">
      <c r="G3009" s="1" t="str">
        <f>IF(Table2[[#This Row],[Description]]="","",VLOOKUP(Table2[[#This Row],[Description]],$Q$1:$S$101,2,FALSE))</f>
        <v/>
      </c>
      <c r="H3009" s="1" t="str">
        <f>IF(Table2[[#This Row],[Description]]="","",VLOOKUP(Table2[[#This Row],[Description]],$Q$1:$S$101,3,FALSE))</f>
        <v/>
      </c>
      <c r="I3009" s="1" t="str">
        <f>IF(Table2[[#This Row],[Description]]="","",IF(Table2[[#This Row],[Currency]]=$O$2,$P$2,HLOOKUP(Table2[[#This Row],[Date]],Funds!$C$10:$GV$11,2,FALSE)))</f>
        <v/>
      </c>
      <c r="J3009" s="215" t="str">
        <f>IF(Table2[[#This Row],[Description]]="","",Table2[[#This Row],[Value]]/Table2[[#This Row],[Conversion]])</f>
        <v/>
      </c>
      <c r="K3009" s="45" t="str">
        <f>IF(Table2[[#This Row],[Description]]="","",DATE(Table2[[#This Row],[Year]],Table2[[#This Row],[Month]],1))</f>
        <v/>
      </c>
    </row>
    <row r="3010" spans="7:11" x14ac:dyDescent="0.25">
      <c r="G3010" s="1" t="str">
        <f>IF(Table2[[#This Row],[Description]]="","",VLOOKUP(Table2[[#This Row],[Description]],$Q$1:$S$101,2,FALSE))</f>
        <v/>
      </c>
      <c r="H3010" s="1" t="str">
        <f>IF(Table2[[#This Row],[Description]]="","",VLOOKUP(Table2[[#This Row],[Description]],$Q$1:$S$101,3,FALSE))</f>
        <v/>
      </c>
      <c r="I3010" s="1" t="str">
        <f>IF(Table2[[#This Row],[Description]]="","",IF(Table2[[#This Row],[Currency]]=$O$2,$P$2,HLOOKUP(Table2[[#This Row],[Date]],Funds!$C$10:$GV$11,2,FALSE)))</f>
        <v/>
      </c>
      <c r="J3010" s="215" t="str">
        <f>IF(Table2[[#This Row],[Description]]="","",Table2[[#This Row],[Value]]/Table2[[#This Row],[Conversion]])</f>
        <v/>
      </c>
      <c r="K3010" s="45" t="str">
        <f>IF(Table2[[#This Row],[Description]]="","",DATE(Table2[[#This Row],[Year]],Table2[[#This Row],[Month]],1))</f>
        <v/>
      </c>
    </row>
    <row r="3011" spans="7:11" x14ac:dyDescent="0.25">
      <c r="G3011" s="1" t="str">
        <f>IF(Table2[[#This Row],[Description]]="","",VLOOKUP(Table2[[#This Row],[Description]],$Q$1:$S$101,2,FALSE))</f>
        <v/>
      </c>
      <c r="H3011" s="1" t="str">
        <f>IF(Table2[[#This Row],[Description]]="","",VLOOKUP(Table2[[#This Row],[Description]],$Q$1:$S$101,3,FALSE))</f>
        <v/>
      </c>
      <c r="I3011" s="1" t="str">
        <f>IF(Table2[[#This Row],[Description]]="","",IF(Table2[[#This Row],[Currency]]=$O$2,$P$2,HLOOKUP(Table2[[#This Row],[Date]],Funds!$C$10:$GV$11,2,FALSE)))</f>
        <v/>
      </c>
      <c r="J3011" s="215" t="str">
        <f>IF(Table2[[#This Row],[Description]]="","",Table2[[#This Row],[Value]]/Table2[[#This Row],[Conversion]])</f>
        <v/>
      </c>
      <c r="K3011" s="45" t="str">
        <f>IF(Table2[[#This Row],[Description]]="","",DATE(Table2[[#This Row],[Year]],Table2[[#This Row],[Month]],1))</f>
        <v/>
      </c>
    </row>
    <row r="3012" spans="7:11" x14ac:dyDescent="0.25">
      <c r="G3012" s="1" t="str">
        <f>IF(Table2[[#This Row],[Description]]="","",VLOOKUP(Table2[[#This Row],[Description]],$Q$1:$S$101,2,FALSE))</f>
        <v/>
      </c>
      <c r="H3012" s="1" t="str">
        <f>IF(Table2[[#This Row],[Description]]="","",VLOOKUP(Table2[[#This Row],[Description]],$Q$1:$S$101,3,FALSE))</f>
        <v/>
      </c>
      <c r="I3012" s="1" t="str">
        <f>IF(Table2[[#This Row],[Description]]="","",IF(Table2[[#This Row],[Currency]]=$O$2,$P$2,HLOOKUP(Table2[[#This Row],[Date]],Funds!$C$10:$GV$11,2,FALSE)))</f>
        <v/>
      </c>
      <c r="J3012" s="215" t="str">
        <f>IF(Table2[[#This Row],[Description]]="","",Table2[[#This Row],[Value]]/Table2[[#This Row],[Conversion]])</f>
        <v/>
      </c>
      <c r="K3012" s="45" t="str">
        <f>IF(Table2[[#This Row],[Description]]="","",DATE(Table2[[#This Row],[Year]],Table2[[#This Row],[Month]],1))</f>
        <v/>
      </c>
    </row>
    <row r="3013" spans="7:11" x14ac:dyDescent="0.25">
      <c r="G3013" s="1" t="str">
        <f>IF(Table2[[#This Row],[Description]]="","",VLOOKUP(Table2[[#This Row],[Description]],$Q$1:$S$101,2,FALSE))</f>
        <v/>
      </c>
      <c r="H3013" s="1" t="str">
        <f>IF(Table2[[#This Row],[Description]]="","",VLOOKUP(Table2[[#This Row],[Description]],$Q$1:$S$101,3,FALSE))</f>
        <v/>
      </c>
      <c r="I3013" s="1" t="str">
        <f>IF(Table2[[#This Row],[Description]]="","",IF(Table2[[#This Row],[Currency]]=$O$2,$P$2,HLOOKUP(Table2[[#This Row],[Date]],Funds!$C$10:$GV$11,2,FALSE)))</f>
        <v/>
      </c>
      <c r="J3013" s="215" t="str">
        <f>IF(Table2[[#This Row],[Description]]="","",Table2[[#This Row],[Value]]/Table2[[#This Row],[Conversion]])</f>
        <v/>
      </c>
      <c r="K3013" s="45" t="str">
        <f>IF(Table2[[#This Row],[Description]]="","",DATE(Table2[[#This Row],[Year]],Table2[[#This Row],[Month]],1))</f>
        <v/>
      </c>
    </row>
    <row r="3014" spans="7:11" x14ac:dyDescent="0.25">
      <c r="G3014" s="1" t="str">
        <f>IF(Table2[[#This Row],[Description]]="","",VLOOKUP(Table2[[#This Row],[Description]],$Q$1:$S$101,2,FALSE))</f>
        <v/>
      </c>
      <c r="H3014" s="1" t="str">
        <f>IF(Table2[[#This Row],[Description]]="","",VLOOKUP(Table2[[#This Row],[Description]],$Q$1:$S$101,3,FALSE))</f>
        <v/>
      </c>
      <c r="I3014" s="1" t="str">
        <f>IF(Table2[[#This Row],[Description]]="","",IF(Table2[[#This Row],[Currency]]=$O$2,$P$2,HLOOKUP(Table2[[#This Row],[Date]],Funds!$C$10:$GV$11,2,FALSE)))</f>
        <v/>
      </c>
      <c r="J3014" s="215" t="str">
        <f>IF(Table2[[#This Row],[Description]]="","",Table2[[#This Row],[Value]]/Table2[[#This Row],[Conversion]])</f>
        <v/>
      </c>
      <c r="K3014" s="45" t="str">
        <f>IF(Table2[[#This Row],[Description]]="","",DATE(Table2[[#This Row],[Year]],Table2[[#This Row],[Month]],1))</f>
        <v/>
      </c>
    </row>
    <row r="3015" spans="7:11" x14ac:dyDescent="0.25">
      <c r="G3015" s="1" t="str">
        <f>IF(Table2[[#This Row],[Description]]="","",VLOOKUP(Table2[[#This Row],[Description]],$Q$1:$S$101,2,FALSE))</f>
        <v/>
      </c>
      <c r="H3015" s="1" t="str">
        <f>IF(Table2[[#This Row],[Description]]="","",VLOOKUP(Table2[[#This Row],[Description]],$Q$1:$S$101,3,FALSE))</f>
        <v/>
      </c>
      <c r="I3015" s="1" t="str">
        <f>IF(Table2[[#This Row],[Description]]="","",IF(Table2[[#This Row],[Currency]]=$O$2,$P$2,HLOOKUP(Table2[[#This Row],[Date]],Funds!$C$10:$GV$11,2,FALSE)))</f>
        <v/>
      </c>
      <c r="J3015" s="215" t="str">
        <f>IF(Table2[[#This Row],[Description]]="","",Table2[[#This Row],[Value]]/Table2[[#This Row],[Conversion]])</f>
        <v/>
      </c>
      <c r="K3015" s="45" t="str">
        <f>IF(Table2[[#This Row],[Description]]="","",DATE(Table2[[#This Row],[Year]],Table2[[#This Row],[Month]],1))</f>
        <v/>
      </c>
    </row>
    <row r="3016" spans="7:11" x14ac:dyDescent="0.25">
      <c r="G3016" s="1" t="str">
        <f>IF(Table2[[#This Row],[Description]]="","",VLOOKUP(Table2[[#This Row],[Description]],$Q$1:$S$101,2,FALSE))</f>
        <v/>
      </c>
      <c r="H3016" s="1" t="str">
        <f>IF(Table2[[#This Row],[Description]]="","",VLOOKUP(Table2[[#This Row],[Description]],$Q$1:$S$101,3,FALSE))</f>
        <v/>
      </c>
      <c r="I3016" s="1" t="str">
        <f>IF(Table2[[#This Row],[Description]]="","",IF(Table2[[#This Row],[Currency]]=$O$2,$P$2,HLOOKUP(Table2[[#This Row],[Date]],Funds!$C$10:$GV$11,2,FALSE)))</f>
        <v/>
      </c>
      <c r="J3016" s="215" t="str">
        <f>IF(Table2[[#This Row],[Description]]="","",Table2[[#This Row],[Value]]/Table2[[#This Row],[Conversion]])</f>
        <v/>
      </c>
      <c r="K3016" s="45" t="str">
        <f>IF(Table2[[#This Row],[Description]]="","",DATE(Table2[[#This Row],[Year]],Table2[[#This Row],[Month]],1))</f>
        <v/>
      </c>
    </row>
    <row r="3017" spans="7:11" x14ac:dyDescent="0.25">
      <c r="G3017" s="1" t="str">
        <f>IF(Table2[[#This Row],[Description]]="","",VLOOKUP(Table2[[#This Row],[Description]],$Q$1:$S$101,2,FALSE))</f>
        <v/>
      </c>
      <c r="H3017" s="1" t="str">
        <f>IF(Table2[[#This Row],[Description]]="","",VLOOKUP(Table2[[#This Row],[Description]],$Q$1:$S$101,3,FALSE))</f>
        <v/>
      </c>
      <c r="I3017" s="1" t="str">
        <f>IF(Table2[[#This Row],[Description]]="","",IF(Table2[[#This Row],[Currency]]=$O$2,$P$2,HLOOKUP(Table2[[#This Row],[Date]],Funds!$C$10:$GV$11,2,FALSE)))</f>
        <v/>
      </c>
      <c r="J3017" s="215" t="str">
        <f>IF(Table2[[#This Row],[Description]]="","",Table2[[#This Row],[Value]]/Table2[[#This Row],[Conversion]])</f>
        <v/>
      </c>
      <c r="K3017" s="45" t="str">
        <f>IF(Table2[[#This Row],[Description]]="","",DATE(Table2[[#This Row],[Year]],Table2[[#This Row],[Month]],1))</f>
        <v/>
      </c>
    </row>
    <row r="3018" spans="7:11" x14ac:dyDescent="0.25">
      <c r="G3018" s="1" t="str">
        <f>IF(Table2[[#This Row],[Description]]="","",VLOOKUP(Table2[[#This Row],[Description]],$Q$1:$S$101,2,FALSE))</f>
        <v/>
      </c>
      <c r="H3018" s="1" t="str">
        <f>IF(Table2[[#This Row],[Description]]="","",VLOOKUP(Table2[[#This Row],[Description]],$Q$1:$S$101,3,FALSE))</f>
        <v/>
      </c>
      <c r="I3018" s="1" t="str">
        <f>IF(Table2[[#This Row],[Description]]="","",IF(Table2[[#This Row],[Currency]]=$O$2,$P$2,HLOOKUP(Table2[[#This Row],[Date]],Funds!$C$10:$GV$11,2,FALSE)))</f>
        <v/>
      </c>
      <c r="J3018" s="215" t="str">
        <f>IF(Table2[[#This Row],[Description]]="","",Table2[[#This Row],[Value]]/Table2[[#This Row],[Conversion]])</f>
        <v/>
      </c>
      <c r="K3018" s="45" t="str">
        <f>IF(Table2[[#This Row],[Description]]="","",DATE(Table2[[#This Row],[Year]],Table2[[#This Row],[Month]],1))</f>
        <v/>
      </c>
    </row>
    <row r="3019" spans="7:11" x14ac:dyDescent="0.25">
      <c r="G3019" s="1" t="str">
        <f>IF(Table2[[#This Row],[Description]]="","",VLOOKUP(Table2[[#This Row],[Description]],$Q$1:$S$101,2,FALSE))</f>
        <v/>
      </c>
      <c r="H3019" s="1" t="str">
        <f>IF(Table2[[#This Row],[Description]]="","",VLOOKUP(Table2[[#This Row],[Description]],$Q$1:$S$101,3,FALSE))</f>
        <v/>
      </c>
      <c r="I3019" s="1" t="str">
        <f>IF(Table2[[#This Row],[Description]]="","",IF(Table2[[#This Row],[Currency]]=$O$2,$P$2,HLOOKUP(Table2[[#This Row],[Date]],Funds!$C$10:$GV$11,2,FALSE)))</f>
        <v/>
      </c>
      <c r="J3019" s="215" t="str">
        <f>IF(Table2[[#This Row],[Description]]="","",Table2[[#This Row],[Value]]/Table2[[#This Row],[Conversion]])</f>
        <v/>
      </c>
      <c r="K3019" s="45" t="str">
        <f>IF(Table2[[#This Row],[Description]]="","",DATE(Table2[[#This Row],[Year]],Table2[[#This Row],[Month]],1))</f>
        <v/>
      </c>
    </row>
    <row r="3020" spans="7:11" x14ac:dyDescent="0.25">
      <c r="G3020" s="1" t="str">
        <f>IF(Table2[[#This Row],[Description]]="","",VLOOKUP(Table2[[#This Row],[Description]],$Q$1:$S$101,2,FALSE))</f>
        <v/>
      </c>
      <c r="H3020" s="1" t="str">
        <f>IF(Table2[[#This Row],[Description]]="","",VLOOKUP(Table2[[#This Row],[Description]],$Q$1:$S$101,3,FALSE))</f>
        <v/>
      </c>
      <c r="I3020" s="1" t="str">
        <f>IF(Table2[[#This Row],[Description]]="","",IF(Table2[[#This Row],[Currency]]=$O$2,$P$2,HLOOKUP(Table2[[#This Row],[Date]],Funds!$C$10:$GV$11,2,FALSE)))</f>
        <v/>
      </c>
      <c r="J3020" s="215" t="str">
        <f>IF(Table2[[#This Row],[Description]]="","",Table2[[#This Row],[Value]]/Table2[[#This Row],[Conversion]])</f>
        <v/>
      </c>
      <c r="K3020" s="45" t="str">
        <f>IF(Table2[[#This Row],[Description]]="","",DATE(Table2[[#This Row],[Year]],Table2[[#This Row],[Month]],1))</f>
        <v/>
      </c>
    </row>
    <row r="3021" spans="7:11" x14ac:dyDescent="0.25">
      <c r="G3021" s="1" t="str">
        <f>IF(Table2[[#This Row],[Description]]="","",VLOOKUP(Table2[[#This Row],[Description]],$Q$1:$S$101,2,FALSE))</f>
        <v/>
      </c>
      <c r="H3021" s="1" t="str">
        <f>IF(Table2[[#This Row],[Description]]="","",VLOOKUP(Table2[[#This Row],[Description]],$Q$1:$S$101,3,FALSE))</f>
        <v/>
      </c>
      <c r="I3021" s="1" t="str">
        <f>IF(Table2[[#This Row],[Description]]="","",IF(Table2[[#This Row],[Currency]]=$O$2,$P$2,HLOOKUP(Table2[[#This Row],[Date]],Funds!$C$10:$GV$11,2,FALSE)))</f>
        <v/>
      </c>
      <c r="J3021" s="215" t="str">
        <f>IF(Table2[[#This Row],[Description]]="","",Table2[[#This Row],[Value]]/Table2[[#This Row],[Conversion]])</f>
        <v/>
      </c>
      <c r="K3021" s="45" t="str">
        <f>IF(Table2[[#This Row],[Description]]="","",DATE(Table2[[#This Row],[Year]],Table2[[#This Row],[Month]],1))</f>
        <v/>
      </c>
    </row>
    <row r="3022" spans="7:11" x14ac:dyDescent="0.25">
      <c r="G3022" s="1" t="str">
        <f>IF(Table2[[#This Row],[Description]]="","",VLOOKUP(Table2[[#This Row],[Description]],$Q$1:$S$101,2,FALSE))</f>
        <v/>
      </c>
      <c r="H3022" s="1" t="str">
        <f>IF(Table2[[#This Row],[Description]]="","",VLOOKUP(Table2[[#This Row],[Description]],$Q$1:$S$101,3,FALSE))</f>
        <v/>
      </c>
      <c r="I3022" s="1" t="str">
        <f>IF(Table2[[#This Row],[Description]]="","",IF(Table2[[#This Row],[Currency]]=$O$2,$P$2,HLOOKUP(Table2[[#This Row],[Date]],Funds!$C$10:$GV$11,2,FALSE)))</f>
        <v/>
      </c>
      <c r="J3022" s="215" t="str">
        <f>IF(Table2[[#This Row],[Description]]="","",Table2[[#This Row],[Value]]/Table2[[#This Row],[Conversion]])</f>
        <v/>
      </c>
      <c r="K3022" s="45" t="str">
        <f>IF(Table2[[#This Row],[Description]]="","",DATE(Table2[[#This Row],[Year]],Table2[[#This Row],[Month]],1))</f>
        <v/>
      </c>
    </row>
    <row r="3023" spans="7:11" x14ac:dyDescent="0.25">
      <c r="G3023" s="1" t="str">
        <f>IF(Table2[[#This Row],[Description]]="","",VLOOKUP(Table2[[#This Row],[Description]],$Q$1:$S$101,2,FALSE))</f>
        <v/>
      </c>
      <c r="H3023" s="1" t="str">
        <f>IF(Table2[[#This Row],[Description]]="","",VLOOKUP(Table2[[#This Row],[Description]],$Q$1:$S$101,3,FALSE))</f>
        <v/>
      </c>
      <c r="I3023" s="1" t="str">
        <f>IF(Table2[[#This Row],[Description]]="","",IF(Table2[[#This Row],[Currency]]=$O$2,$P$2,HLOOKUP(Table2[[#This Row],[Date]],Funds!$C$10:$GV$11,2,FALSE)))</f>
        <v/>
      </c>
      <c r="J3023" s="215" t="str">
        <f>IF(Table2[[#This Row],[Description]]="","",Table2[[#This Row],[Value]]/Table2[[#This Row],[Conversion]])</f>
        <v/>
      </c>
      <c r="K3023" s="45" t="str">
        <f>IF(Table2[[#This Row],[Description]]="","",DATE(Table2[[#This Row],[Year]],Table2[[#This Row],[Month]],1))</f>
        <v/>
      </c>
    </row>
    <row r="3024" spans="7:11" x14ac:dyDescent="0.25">
      <c r="G3024" s="1" t="str">
        <f>IF(Table2[[#This Row],[Description]]="","",VLOOKUP(Table2[[#This Row],[Description]],$Q$1:$S$101,2,FALSE))</f>
        <v/>
      </c>
      <c r="H3024" s="1" t="str">
        <f>IF(Table2[[#This Row],[Description]]="","",VLOOKUP(Table2[[#This Row],[Description]],$Q$1:$S$101,3,FALSE))</f>
        <v/>
      </c>
      <c r="I3024" s="1" t="str">
        <f>IF(Table2[[#This Row],[Description]]="","",IF(Table2[[#This Row],[Currency]]=$O$2,$P$2,HLOOKUP(Table2[[#This Row],[Date]],Funds!$C$10:$GV$11,2,FALSE)))</f>
        <v/>
      </c>
      <c r="J3024" s="215" t="str">
        <f>IF(Table2[[#This Row],[Description]]="","",Table2[[#This Row],[Value]]/Table2[[#This Row],[Conversion]])</f>
        <v/>
      </c>
      <c r="K3024" s="45" t="str">
        <f>IF(Table2[[#This Row],[Description]]="","",DATE(Table2[[#This Row],[Year]],Table2[[#This Row],[Month]],1))</f>
        <v/>
      </c>
    </row>
    <row r="3025" spans="7:11" x14ac:dyDescent="0.25">
      <c r="G3025" s="1" t="str">
        <f>IF(Table2[[#This Row],[Description]]="","",VLOOKUP(Table2[[#This Row],[Description]],$Q$1:$S$101,2,FALSE))</f>
        <v/>
      </c>
      <c r="H3025" s="1" t="str">
        <f>IF(Table2[[#This Row],[Description]]="","",VLOOKUP(Table2[[#This Row],[Description]],$Q$1:$S$101,3,FALSE))</f>
        <v/>
      </c>
      <c r="I3025" s="1" t="str">
        <f>IF(Table2[[#This Row],[Description]]="","",IF(Table2[[#This Row],[Currency]]=$O$2,$P$2,HLOOKUP(Table2[[#This Row],[Date]],Funds!$C$10:$GV$11,2,FALSE)))</f>
        <v/>
      </c>
      <c r="J3025" s="215" t="str">
        <f>IF(Table2[[#This Row],[Description]]="","",Table2[[#This Row],[Value]]/Table2[[#This Row],[Conversion]])</f>
        <v/>
      </c>
      <c r="K3025" s="45" t="str">
        <f>IF(Table2[[#This Row],[Description]]="","",DATE(Table2[[#This Row],[Year]],Table2[[#This Row],[Month]],1))</f>
        <v/>
      </c>
    </row>
    <row r="3026" spans="7:11" x14ac:dyDescent="0.25">
      <c r="G3026" s="1" t="str">
        <f>IF(Table2[[#This Row],[Description]]="","",VLOOKUP(Table2[[#This Row],[Description]],$Q$1:$S$101,2,FALSE))</f>
        <v/>
      </c>
      <c r="H3026" s="1" t="str">
        <f>IF(Table2[[#This Row],[Description]]="","",VLOOKUP(Table2[[#This Row],[Description]],$Q$1:$S$101,3,FALSE))</f>
        <v/>
      </c>
      <c r="I3026" s="1" t="str">
        <f>IF(Table2[[#This Row],[Description]]="","",IF(Table2[[#This Row],[Currency]]=$O$2,$P$2,HLOOKUP(Table2[[#This Row],[Date]],Funds!$C$10:$GV$11,2,FALSE)))</f>
        <v/>
      </c>
      <c r="J3026" s="215" t="str">
        <f>IF(Table2[[#This Row],[Description]]="","",Table2[[#This Row],[Value]]/Table2[[#This Row],[Conversion]])</f>
        <v/>
      </c>
      <c r="K3026" s="45" t="str">
        <f>IF(Table2[[#This Row],[Description]]="","",DATE(Table2[[#This Row],[Year]],Table2[[#This Row],[Month]],1))</f>
        <v/>
      </c>
    </row>
    <row r="3027" spans="7:11" x14ac:dyDescent="0.25">
      <c r="G3027" s="1" t="str">
        <f>IF(Table2[[#This Row],[Description]]="","",VLOOKUP(Table2[[#This Row],[Description]],$Q$1:$S$101,2,FALSE))</f>
        <v/>
      </c>
      <c r="H3027" s="1" t="str">
        <f>IF(Table2[[#This Row],[Description]]="","",VLOOKUP(Table2[[#This Row],[Description]],$Q$1:$S$101,3,FALSE))</f>
        <v/>
      </c>
      <c r="I3027" s="1" t="str">
        <f>IF(Table2[[#This Row],[Description]]="","",IF(Table2[[#This Row],[Currency]]=$O$2,$P$2,HLOOKUP(Table2[[#This Row],[Date]],Funds!$C$10:$GV$11,2,FALSE)))</f>
        <v/>
      </c>
      <c r="J3027" s="215" t="str">
        <f>IF(Table2[[#This Row],[Description]]="","",Table2[[#This Row],[Value]]/Table2[[#This Row],[Conversion]])</f>
        <v/>
      </c>
      <c r="K3027" s="45" t="str">
        <f>IF(Table2[[#This Row],[Description]]="","",DATE(Table2[[#This Row],[Year]],Table2[[#This Row],[Month]],1))</f>
        <v/>
      </c>
    </row>
    <row r="3028" spans="7:11" x14ac:dyDescent="0.25">
      <c r="G3028" s="1" t="str">
        <f>IF(Table2[[#This Row],[Description]]="","",VLOOKUP(Table2[[#This Row],[Description]],$Q$1:$S$101,2,FALSE))</f>
        <v/>
      </c>
      <c r="H3028" s="1" t="str">
        <f>IF(Table2[[#This Row],[Description]]="","",VLOOKUP(Table2[[#This Row],[Description]],$Q$1:$S$101,3,FALSE))</f>
        <v/>
      </c>
      <c r="I3028" s="1" t="str">
        <f>IF(Table2[[#This Row],[Description]]="","",IF(Table2[[#This Row],[Currency]]=$O$2,$P$2,HLOOKUP(Table2[[#This Row],[Date]],Funds!$C$10:$GV$11,2,FALSE)))</f>
        <v/>
      </c>
      <c r="J3028" s="215" t="str">
        <f>IF(Table2[[#This Row],[Description]]="","",Table2[[#This Row],[Value]]/Table2[[#This Row],[Conversion]])</f>
        <v/>
      </c>
      <c r="K3028" s="45" t="str">
        <f>IF(Table2[[#This Row],[Description]]="","",DATE(Table2[[#This Row],[Year]],Table2[[#This Row],[Month]],1))</f>
        <v/>
      </c>
    </row>
    <row r="3029" spans="7:11" x14ac:dyDescent="0.25">
      <c r="G3029" s="1" t="str">
        <f>IF(Table2[[#This Row],[Description]]="","",VLOOKUP(Table2[[#This Row],[Description]],$Q$1:$S$101,2,FALSE))</f>
        <v/>
      </c>
      <c r="H3029" s="1" t="str">
        <f>IF(Table2[[#This Row],[Description]]="","",VLOOKUP(Table2[[#This Row],[Description]],$Q$1:$S$101,3,FALSE))</f>
        <v/>
      </c>
      <c r="I3029" s="1" t="str">
        <f>IF(Table2[[#This Row],[Description]]="","",IF(Table2[[#This Row],[Currency]]=$O$2,$P$2,HLOOKUP(Table2[[#This Row],[Date]],Funds!$C$10:$GV$11,2,FALSE)))</f>
        <v/>
      </c>
      <c r="J3029" s="215" t="str">
        <f>IF(Table2[[#This Row],[Description]]="","",Table2[[#This Row],[Value]]/Table2[[#This Row],[Conversion]])</f>
        <v/>
      </c>
      <c r="K3029" s="45" t="str">
        <f>IF(Table2[[#This Row],[Description]]="","",DATE(Table2[[#This Row],[Year]],Table2[[#This Row],[Month]],1))</f>
        <v/>
      </c>
    </row>
    <row r="3030" spans="7:11" x14ac:dyDescent="0.25">
      <c r="G3030" s="1" t="str">
        <f>IF(Table2[[#This Row],[Description]]="","",VLOOKUP(Table2[[#This Row],[Description]],$Q$1:$S$101,2,FALSE))</f>
        <v/>
      </c>
      <c r="H3030" s="1" t="str">
        <f>IF(Table2[[#This Row],[Description]]="","",VLOOKUP(Table2[[#This Row],[Description]],$Q$1:$S$101,3,FALSE))</f>
        <v/>
      </c>
      <c r="I3030" s="1" t="str">
        <f>IF(Table2[[#This Row],[Description]]="","",IF(Table2[[#This Row],[Currency]]=$O$2,$P$2,HLOOKUP(Table2[[#This Row],[Date]],Funds!$C$10:$GV$11,2,FALSE)))</f>
        <v/>
      </c>
      <c r="J3030" s="215" t="str">
        <f>IF(Table2[[#This Row],[Description]]="","",Table2[[#This Row],[Value]]/Table2[[#This Row],[Conversion]])</f>
        <v/>
      </c>
      <c r="K3030" s="45" t="str">
        <f>IF(Table2[[#This Row],[Description]]="","",DATE(Table2[[#This Row],[Year]],Table2[[#This Row],[Month]],1))</f>
        <v/>
      </c>
    </row>
    <row r="3031" spans="7:11" x14ac:dyDescent="0.25">
      <c r="G3031" s="1" t="str">
        <f>IF(Table2[[#This Row],[Description]]="","",VLOOKUP(Table2[[#This Row],[Description]],$Q$1:$S$101,2,FALSE))</f>
        <v/>
      </c>
      <c r="H3031" s="1" t="str">
        <f>IF(Table2[[#This Row],[Description]]="","",VLOOKUP(Table2[[#This Row],[Description]],$Q$1:$S$101,3,FALSE))</f>
        <v/>
      </c>
      <c r="I3031" s="1" t="str">
        <f>IF(Table2[[#This Row],[Description]]="","",IF(Table2[[#This Row],[Currency]]=$O$2,$P$2,HLOOKUP(Table2[[#This Row],[Date]],Funds!$C$10:$GV$11,2,FALSE)))</f>
        <v/>
      </c>
      <c r="J3031" s="215" t="str">
        <f>IF(Table2[[#This Row],[Description]]="","",Table2[[#This Row],[Value]]/Table2[[#This Row],[Conversion]])</f>
        <v/>
      </c>
      <c r="K3031" s="45" t="str">
        <f>IF(Table2[[#This Row],[Description]]="","",DATE(Table2[[#This Row],[Year]],Table2[[#This Row],[Month]],1))</f>
        <v/>
      </c>
    </row>
    <row r="3032" spans="7:11" x14ac:dyDescent="0.25">
      <c r="G3032" s="1" t="str">
        <f>IF(Table2[[#This Row],[Description]]="","",VLOOKUP(Table2[[#This Row],[Description]],$Q$1:$S$101,2,FALSE))</f>
        <v/>
      </c>
      <c r="H3032" s="1" t="str">
        <f>IF(Table2[[#This Row],[Description]]="","",VLOOKUP(Table2[[#This Row],[Description]],$Q$1:$S$101,3,FALSE))</f>
        <v/>
      </c>
      <c r="I3032" s="1" t="str">
        <f>IF(Table2[[#This Row],[Description]]="","",IF(Table2[[#This Row],[Currency]]=$O$2,$P$2,HLOOKUP(Table2[[#This Row],[Date]],Funds!$C$10:$GV$11,2,FALSE)))</f>
        <v/>
      </c>
      <c r="J3032" s="215" t="str">
        <f>IF(Table2[[#This Row],[Description]]="","",Table2[[#This Row],[Value]]/Table2[[#This Row],[Conversion]])</f>
        <v/>
      </c>
      <c r="K3032" s="45" t="str">
        <f>IF(Table2[[#This Row],[Description]]="","",DATE(Table2[[#This Row],[Year]],Table2[[#This Row],[Month]],1))</f>
        <v/>
      </c>
    </row>
    <row r="3033" spans="7:11" x14ac:dyDescent="0.25">
      <c r="G3033" s="1" t="str">
        <f>IF(Table2[[#This Row],[Description]]="","",VLOOKUP(Table2[[#This Row],[Description]],$Q$1:$S$101,2,FALSE))</f>
        <v/>
      </c>
      <c r="H3033" s="1" t="str">
        <f>IF(Table2[[#This Row],[Description]]="","",VLOOKUP(Table2[[#This Row],[Description]],$Q$1:$S$101,3,FALSE))</f>
        <v/>
      </c>
      <c r="I3033" s="1" t="str">
        <f>IF(Table2[[#This Row],[Description]]="","",IF(Table2[[#This Row],[Currency]]=$O$2,$P$2,HLOOKUP(Table2[[#This Row],[Date]],Funds!$C$10:$GV$11,2,FALSE)))</f>
        <v/>
      </c>
      <c r="J3033" s="215" t="str">
        <f>IF(Table2[[#This Row],[Description]]="","",Table2[[#This Row],[Value]]/Table2[[#This Row],[Conversion]])</f>
        <v/>
      </c>
      <c r="K3033" s="45" t="str">
        <f>IF(Table2[[#This Row],[Description]]="","",DATE(Table2[[#This Row],[Year]],Table2[[#This Row],[Month]],1))</f>
        <v/>
      </c>
    </row>
    <row r="3034" spans="7:11" x14ac:dyDescent="0.25">
      <c r="G3034" s="1" t="str">
        <f>IF(Table2[[#This Row],[Description]]="","",VLOOKUP(Table2[[#This Row],[Description]],$Q$1:$S$101,2,FALSE))</f>
        <v/>
      </c>
      <c r="H3034" s="1" t="str">
        <f>IF(Table2[[#This Row],[Description]]="","",VLOOKUP(Table2[[#This Row],[Description]],$Q$1:$S$101,3,FALSE))</f>
        <v/>
      </c>
      <c r="I3034" s="1" t="str">
        <f>IF(Table2[[#This Row],[Description]]="","",IF(Table2[[#This Row],[Currency]]=$O$2,$P$2,HLOOKUP(Table2[[#This Row],[Date]],Funds!$C$10:$GV$11,2,FALSE)))</f>
        <v/>
      </c>
      <c r="J3034" s="215" t="str">
        <f>IF(Table2[[#This Row],[Description]]="","",Table2[[#This Row],[Value]]/Table2[[#This Row],[Conversion]])</f>
        <v/>
      </c>
      <c r="K3034" s="45" t="str">
        <f>IF(Table2[[#This Row],[Description]]="","",DATE(Table2[[#This Row],[Year]],Table2[[#This Row],[Month]],1))</f>
        <v/>
      </c>
    </row>
    <row r="3035" spans="7:11" x14ac:dyDescent="0.25">
      <c r="G3035" s="1" t="str">
        <f>IF(Table2[[#This Row],[Description]]="","",VLOOKUP(Table2[[#This Row],[Description]],$Q$1:$S$101,2,FALSE))</f>
        <v/>
      </c>
      <c r="H3035" s="1" t="str">
        <f>IF(Table2[[#This Row],[Description]]="","",VLOOKUP(Table2[[#This Row],[Description]],$Q$1:$S$101,3,FALSE))</f>
        <v/>
      </c>
      <c r="I3035" s="1" t="str">
        <f>IF(Table2[[#This Row],[Description]]="","",IF(Table2[[#This Row],[Currency]]=$O$2,$P$2,HLOOKUP(Table2[[#This Row],[Date]],Funds!$C$10:$GV$11,2,FALSE)))</f>
        <v/>
      </c>
      <c r="J3035" s="215" t="str">
        <f>IF(Table2[[#This Row],[Description]]="","",Table2[[#This Row],[Value]]/Table2[[#This Row],[Conversion]])</f>
        <v/>
      </c>
      <c r="K3035" s="45" t="str">
        <f>IF(Table2[[#This Row],[Description]]="","",DATE(Table2[[#This Row],[Year]],Table2[[#This Row],[Month]],1))</f>
        <v/>
      </c>
    </row>
    <row r="3036" spans="7:11" x14ac:dyDescent="0.25">
      <c r="G3036" s="1" t="str">
        <f>IF(Table2[[#This Row],[Description]]="","",VLOOKUP(Table2[[#This Row],[Description]],$Q$1:$S$101,2,FALSE))</f>
        <v/>
      </c>
      <c r="H3036" s="1" t="str">
        <f>IF(Table2[[#This Row],[Description]]="","",VLOOKUP(Table2[[#This Row],[Description]],$Q$1:$S$101,3,FALSE))</f>
        <v/>
      </c>
      <c r="I3036" s="1" t="str">
        <f>IF(Table2[[#This Row],[Description]]="","",IF(Table2[[#This Row],[Currency]]=$O$2,$P$2,HLOOKUP(Table2[[#This Row],[Date]],Funds!$C$10:$GV$11,2,FALSE)))</f>
        <v/>
      </c>
      <c r="J3036" s="215" t="str">
        <f>IF(Table2[[#This Row],[Description]]="","",Table2[[#This Row],[Value]]/Table2[[#This Row],[Conversion]])</f>
        <v/>
      </c>
      <c r="K3036" s="45" t="str">
        <f>IF(Table2[[#This Row],[Description]]="","",DATE(Table2[[#This Row],[Year]],Table2[[#This Row],[Month]],1))</f>
        <v/>
      </c>
    </row>
    <row r="3037" spans="7:11" x14ac:dyDescent="0.25">
      <c r="G3037" s="1" t="str">
        <f>IF(Table2[[#This Row],[Description]]="","",VLOOKUP(Table2[[#This Row],[Description]],$Q$1:$S$101,2,FALSE))</f>
        <v/>
      </c>
      <c r="H3037" s="1" t="str">
        <f>IF(Table2[[#This Row],[Description]]="","",VLOOKUP(Table2[[#This Row],[Description]],$Q$1:$S$101,3,FALSE))</f>
        <v/>
      </c>
      <c r="I3037" s="1" t="str">
        <f>IF(Table2[[#This Row],[Description]]="","",IF(Table2[[#This Row],[Currency]]=$O$2,$P$2,HLOOKUP(Table2[[#This Row],[Date]],Funds!$C$10:$GV$11,2,FALSE)))</f>
        <v/>
      </c>
      <c r="J3037" s="215" t="str">
        <f>IF(Table2[[#This Row],[Description]]="","",Table2[[#This Row],[Value]]/Table2[[#This Row],[Conversion]])</f>
        <v/>
      </c>
      <c r="K3037" s="45" t="str">
        <f>IF(Table2[[#This Row],[Description]]="","",DATE(Table2[[#This Row],[Year]],Table2[[#This Row],[Month]],1))</f>
        <v/>
      </c>
    </row>
    <row r="3038" spans="7:11" x14ac:dyDescent="0.25">
      <c r="G3038" s="1" t="str">
        <f>IF(Table2[[#This Row],[Description]]="","",VLOOKUP(Table2[[#This Row],[Description]],$Q$1:$S$101,2,FALSE))</f>
        <v/>
      </c>
      <c r="H3038" s="1" t="str">
        <f>IF(Table2[[#This Row],[Description]]="","",VLOOKUP(Table2[[#This Row],[Description]],$Q$1:$S$101,3,FALSE))</f>
        <v/>
      </c>
      <c r="I3038" s="1" t="str">
        <f>IF(Table2[[#This Row],[Description]]="","",IF(Table2[[#This Row],[Currency]]=$O$2,$P$2,HLOOKUP(Table2[[#This Row],[Date]],Funds!$C$10:$GV$11,2,FALSE)))</f>
        <v/>
      </c>
      <c r="J3038" s="215" t="str">
        <f>IF(Table2[[#This Row],[Description]]="","",Table2[[#This Row],[Value]]/Table2[[#This Row],[Conversion]])</f>
        <v/>
      </c>
      <c r="K3038" s="45" t="str">
        <f>IF(Table2[[#This Row],[Description]]="","",DATE(Table2[[#This Row],[Year]],Table2[[#This Row],[Month]],1))</f>
        <v/>
      </c>
    </row>
    <row r="3039" spans="7:11" x14ac:dyDescent="0.25">
      <c r="G3039" s="1" t="str">
        <f>IF(Table2[[#This Row],[Description]]="","",VLOOKUP(Table2[[#This Row],[Description]],$Q$1:$S$101,2,FALSE))</f>
        <v/>
      </c>
      <c r="H3039" s="1" t="str">
        <f>IF(Table2[[#This Row],[Description]]="","",VLOOKUP(Table2[[#This Row],[Description]],$Q$1:$S$101,3,FALSE))</f>
        <v/>
      </c>
      <c r="I3039" s="1" t="str">
        <f>IF(Table2[[#This Row],[Description]]="","",IF(Table2[[#This Row],[Currency]]=$O$2,$P$2,HLOOKUP(Table2[[#This Row],[Date]],Funds!$C$10:$GV$11,2,FALSE)))</f>
        <v/>
      </c>
      <c r="J3039" s="215" t="str">
        <f>IF(Table2[[#This Row],[Description]]="","",Table2[[#This Row],[Value]]/Table2[[#This Row],[Conversion]])</f>
        <v/>
      </c>
      <c r="K3039" s="45" t="str">
        <f>IF(Table2[[#This Row],[Description]]="","",DATE(Table2[[#This Row],[Year]],Table2[[#This Row],[Month]],1))</f>
        <v/>
      </c>
    </row>
    <row r="3040" spans="7:11" x14ac:dyDescent="0.25">
      <c r="G3040" s="1" t="str">
        <f>IF(Table2[[#This Row],[Description]]="","",VLOOKUP(Table2[[#This Row],[Description]],$Q$1:$S$101,2,FALSE))</f>
        <v/>
      </c>
      <c r="H3040" s="1" t="str">
        <f>IF(Table2[[#This Row],[Description]]="","",VLOOKUP(Table2[[#This Row],[Description]],$Q$1:$S$101,3,FALSE))</f>
        <v/>
      </c>
      <c r="I3040" s="1" t="str">
        <f>IF(Table2[[#This Row],[Description]]="","",IF(Table2[[#This Row],[Currency]]=$O$2,$P$2,HLOOKUP(Table2[[#This Row],[Date]],Funds!$C$10:$GV$11,2,FALSE)))</f>
        <v/>
      </c>
      <c r="J3040" s="215" t="str">
        <f>IF(Table2[[#This Row],[Description]]="","",Table2[[#This Row],[Value]]/Table2[[#This Row],[Conversion]])</f>
        <v/>
      </c>
      <c r="K3040" s="45" t="str">
        <f>IF(Table2[[#This Row],[Description]]="","",DATE(Table2[[#This Row],[Year]],Table2[[#This Row],[Month]],1))</f>
        <v/>
      </c>
    </row>
    <row r="3041" spans="7:11" x14ac:dyDescent="0.25">
      <c r="G3041" s="1" t="str">
        <f>IF(Table2[[#This Row],[Description]]="","",VLOOKUP(Table2[[#This Row],[Description]],$Q$1:$S$101,2,FALSE))</f>
        <v/>
      </c>
      <c r="H3041" s="1" t="str">
        <f>IF(Table2[[#This Row],[Description]]="","",VLOOKUP(Table2[[#This Row],[Description]],$Q$1:$S$101,3,FALSE))</f>
        <v/>
      </c>
      <c r="I3041" s="1" t="str">
        <f>IF(Table2[[#This Row],[Description]]="","",IF(Table2[[#This Row],[Currency]]=$O$2,$P$2,HLOOKUP(Table2[[#This Row],[Date]],Funds!$C$10:$GV$11,2,FALSE)))</f>
        <v/>
      </c>
      <c r="J3041" s="215" t="str">
        <f>IF(Table2[[#This Row],[Description]]="","",Table2[[#This Row],[Value]]/Table2[[#This Row],[Conversion]])</f>
        <v/>
      </c>
      <c r="K3041" s="45" t="str">
        <f>IF(Table2[[#This Row],[Description]]="","",DATE(Table2[[#This Row],[Year]],Table2[[#This Row],[Month]],1))</f>
        <v/>
      </c>
    </row>
    <row r="3042" spans="7:11" x14ac:dyDescent="0.25">
      <c r="G3042" s="1" t="str">
        <f>IF(Table2[[#This Row],[Description]]="","",VLOOKUP(Table2[[#This Row],[Description]],$Q$1:$S$101,2,FALSE))</f>
        <v/>
      </c>
      <c r="H3042" s="1" t="str">
        <f>IF(Table2[[#This Row],[Description]]="","",VLOOKUP(Table2[[#This Row],[Description]],$Q$1:$S$101,3,FALSE))</f>
        <v/>
      </c>
      <c r="I3042" s="1" t="str">
        <f>IF(Table2[[#This Row],[Description]]="","",IF(Table2[[#This Row],[Currency]]=$O$2,$P$2,HLOOKUP(Table2[[#This Row],[Date]],Funds!$C$10:$GV$11,2,FALSE)))</f>
        <v/>
      </c>
      <c r="J3042" s="215" t="str">
        <f>IF(Table2[[#This Row],[Description]]="","",Table2[[#This Row],[Value]]/Table2[[#This Row],[Conversion]])</f>
        <v/>
      </c>
      <c r="K3042" s="45" t="str">
        <f>IF(Table2[[#This Row],[Description]]="","",DATE(Table2[[#This Row],[Year]],Table2[[#This Row],[Month]],1))</f>
        <v/>
      </c>
    </row>
    <row r="3043" spans="7:11" x14ac:dyDescent="0.25">
      <c r="G3043" s="1" t="str">
        <f>IF(Table2[[#This Row],[Description]]="","",VLOOKUP(Table2[[#This Row],[Description]],$Q$1:$S$101,2,FALSE))</f>
        <v/>
      </c>
      <c r="H3043" s="1" t="str">
        <f>IF(Table2[[#This Row],[Description]]="","",VLOOKUP(Table2[[#This Row],[Description]],$Q$1:$S$101,3,FALSE))</f>
        <v/>
      </c>
      <c r="I3043" s="1" t="str">
        <f>IF(Table2[[#This Row],[Description]]="","",IF(Table2[[#This Row],[Currency]]=$O$2,$P$2,HLOOKUP(Table2[[#This Row],[Date]],Funds!$C$10:$GV$11,2,FALSE)))</f>
        <v/>
      </c>
      <c r="J3043" s="215" t="str">
        <f>IF(Table2[[#This Row],[Description]]="","",Table2[[#This Row],[Value]]/Table2[[#This Row],[Conversion]])</f>
        <v/>
      </c>
      <c r="K3043" s="45" t="str">
        <f>IF(Table2[[#This Row],[Description]]="","",DATE(Table2[[#This Row],[Year]],Table2[[#This Row],[Month]],1))</f>
        <v/>
      </c>
    </row>
    <row r="3044" spans="7:11" x14ac:dyDescent="0.25">
      <c r="G3044" s="1" t="str">
        <f>IF(Table2[[#This Row],[Description]]="","",VLOOKUP(Table2[[#This Row],[Description]],$Q$1:$S$101,2,FALSE))</f>
        <v/>
      </c>
      <c r="H3044" s="1" t="str">
        <f>IF(Table2[[#This Row],[Description]]="","",VLOOKUP(Table2[[#This Row],[Description]],$Q$1:$S$101,3,FALSE))</f>
        <v/>
      </c>
      <c r="I3044" s="1" t="str">
        <f>IF(Table2[[#This Row],[Description]]="","",IF(Table2[[#This Row],[Currency]]=$O$2,$P$2,HLOOKUP(Table2[[#This Row],[Date]],Funds!$C$10:$GV$11,2,FALSE)))</f>
        <v/>
      </c>
      <c r="J3044" s="215" t="str">
        <f>IF(Table2[[#This Row],[Description]]="","",Table2[[#This Row],[Value]]/Table2[[#This Row],[Conversion]])</f>
        <v/>
      </c>
      <c r="K3044" s="45" t="str">
        <f>IF(Table2[[#This Row],[Description]]="","",DATE(Table2[[#This Row],[Year]],Table2[[#This Row],[Month]],1))</f>
        <v/>
      </c>
    </row>
    <row r="3045" spans="7:11" x14ac:dyDescent="0.25">
      <c r="G3045" s="1" t="str">
        <f>IF(Table2[[#This Row],[Description]]="","",VLOOKUP(Table2[[#This Row],[Description]],$Q$1:$S$101,2,FALSE))</f>
        <v/>
      </c>
      <c r="H3045" s="1" t="str">
        <f>IF(Table2[[#This Row],[Description]]="","",VLOOKUP(Table2[[#This Row],[Description]],$Q$1:$S$101,3,FALSE))</f>
        <v/>
      </c>
      <c r="I3045" s="1" t="str">
        <f>IF(Table2[[#This Row],[Description]]="","",IF(Table2[[#This Row],[Currency]]=$O$2,$P$2,HLOOKUP(Table2[[#This Row],[Date]],Funds!$C$10:$GV$11,2,FALSE)))</f>
        <v/>
      </c>
      <c r="J3045" s="215" t="str">
        <f>IF(Table2[[#This Row],[Description]]="","",Table2[[#This Row],[Value]]/Table2[[#This Row],[Conversion]])</f>
        <v/>
      </c>
      <c r="K3045" s="45" t="str">
        <f>IF(Table2[[#This Row],[Description]]="","",DATE(Table2[[#This Row],[Year]],Table2[[#This Row],[Month]],1))</f>
        <v/>
      </c>
    </row>
    <row r="3046" spans="7:11" x14ac:dyDescent="0.25">
      <c r="G3046" s="1" t="str">
        <f>IF(Table2[[#This Row],[Description]]="","",VLOOKUP(Table2[[#This Row],[Description]],$Q$1:$S$101,2,FALSE))</f>
        <v/>
      </c>
      <c r="H3046" s="1" t="str">
        <f>IF(Table2[[#This Row],[Description]]="","",VLOOKUP(Table2[[#This Row],[Description]],$Q$1:$S$101,3,FALSE))</f>
        <v/>
      </c>
      <c r="I3046" s="1" t="str">
        <f>IF(Table2[[#This Row],[Description]]="","",IF(Table2[[#This Row],[Currency]]=$O$2,$P$2,HLOOKUP(Table2[[#This Row],[Date]],Funds!$C$10:$GV$11,2,FALSE)))</f>
        <v/>
      </c>
      <c r="J3046" s="215" t="str">
        <f>IF(Table2[[#This Row],[Description]]="","",Table2[[#This Row],[Value]]/Table2[[#This Row],[Conversion]])</f>
        <v/>
      </c>
      <c r="K3046" s="45" t="str">
        <f>IF(Table2[[#This Row],[Description]]="","",DATE(Table2[[#This Row],[Year]],Table2[[#This Row],[Month]],1))</f>
        <v/>
      </c>
    </row>
    <row r="3047" spans="7:11" x14ac:dyDescent="0.25">
      <c r="G3047" s="1" t="str">
        <f>IF(Table2[[#This Row],[Description]]="","",VLOOKUP(Table2[[#This Row],[Description]],$Q$1:$S$101,2,FALSE))</f>
        <v/>
      </c>
      <c r="H3047" s="1" t="str">
        <f>IF(Table2[[#This Row],[Description]]="","",VLOOKUP(Table2[[#This Row],[Description]],$Q$1:$S$101,3,FALSE))</f>
        <v/>
      </c>
      <c r="I3047" s="1" t="str">
        <f>IF(Table2[[#This Row],[Description]]="","",IF(Table2[[#This Row],[Currency]]=$O$2,$P$2,HLOOKUP(Table2[[#This Row],[Date]],Funds!$C$10:$GV$11,2,FALSE)))</f>
        <v/>
      </c>
      <c r="J3047" s="215" t="str">
        <f>IF(Table2[[#This Row],[Description]]="","",Table2[[#This Row],[Value]]/Table2[[#This Row],[Conversion]])</f>
        <v/>
      </c>
      <c r="K3047" s="45" t="str">
        <f>IF(Table2[[#This Row],[Description]]="","",DATE(Table2[[#This Row],[Year]],Table2[[#This Row],[Month]],1))</f>
        <v/>
      </c>
    </row>
    <row r="3048" spans="7:11" x14ac:dyDescent="0.25">
      <c r="G3048" s="1" t="str">
        <f>IF(Table2[[#This Row],[Description]]="","",VLOOKUP(Table2[[#This Row],[Description]],$Q$1:$S$101,2,FALSE))</f>
        <v/>
      </c>
      <c r="H3048" s="1" t="str">
        <f>IF(Table2[[#This Row],[Description]]="","",VLOOKUP(Table2[[#This Row],[Description]],$Q$1:$S$101,3,FALSE))</f>
        <v/>
      </c>
      <c r="I3048" s="1" t="str">
        <f>IF(Table2[[#This Row],[Description]]="","",IF(Table2[[#This Row],[Currency]]=$O$2,$P$2,HLOOKUP(Table2[[#This Row],[Date]],Funds!$C$10:$GV$11,2,FALSE)))</f>
        <v/>
      </c>
      <c r="J3048" s="215" t="str">
        <f>IF(Table2[[#This Row],[Description]]="","",Table2[[#This Row],[Value]]/Table2[[#This Row],[Conversion]])</f>
        <v/>
      </c>
      <c r="K3048" s="45" t="str">
        <f>IF(Table2[[#This Row],[Description]]="","",DATE(Table2[[#This Row],[Year]],Table2[[#This Row],[Month]],1))</f>
        <v/>
      </c>
    </row>
    <row r="3049" spans="7:11" x14ac:dyDescent="0.25">
      <c r="G3049" s="1" t="str">
        <f>IF(Table2[[#This Row],[Description]]="","",VLOOKUP(Table2[[#This Row],[Description]],$Q$1:$S$101,2,FALSE))</f>
        <v/>
      </c>
      <c r="H3049" s="1" t="str">
        <f>IF(Table2[[#This Row],[Description]]="","",VLOOKUP(Table2[[#This Row],[Description]],$Q$1:$S$101,3,FALSE))</f>
        <v/>
      </c>
      <c r="I3049" s="1" t="str">
        <f>IF(Table2[[#This Row],[Description]]="","",IF(Table2[[#This Row],[Currency]]=$O$2,$P$2,HLOOKUP(Table2[[#This Row],[Date]],Funds!$C$10:$GV$11,2,FALSE)))</f>
        <v/>
      </c>
      <c r="J3049" s="215" t="str">
        <f>IF(Table2[[#This Row],[Description]]="","",Table2[[#This Row],[Value]]/Table2[[#This Row],[Conversion]])</f>
        <v/>
      </c>
      <c r="K3049" s="45" t="str">
        <f>IF(Table2[[#This Row],[Description]]="","",DATE(Table2[[#This Row],[Year]],Table2[[#This Row],[Month]],1))</f>
        <v/>
      </c>
    </row>
    <row r="3050" spans="7:11" x14ac:dyDescent="0.25">
      <c r="G3050" s="1" t="str">
        <f>IF(Table2[[#This Row],[Description]]="","",VLOOKUP(Table2[[#This Row],[Description]],$Q$1:$S$101,2,FALSE))</f>
        <v/>
      </c>
      <c r="H3050" s="1" t="str">
        <f>IF(Table2[[#This Row],[Description]]="","",VLOOKUP(Table2[[#This Row],[Description]],$Q$1:$S$101,3,FALSE))</f>
        <v/>
      </c>
      <c r="I3050" s="1" t="str">
        <f>IF(Table2[[#This Row],[Description]]="","",IF(Table2[[#This Row],[Currency]]=$O$2,$P$2,HLOOKUP(Table2[[#This Row],[Date]],Funds!$C$10:$GV$11,2,FALSE)))</f>
        <v/>
      </c>
      <c r="J3050" s="215" t="str">
        <f>IF(Table2[[#This Row],[Description]]="","",Table2[[#This Row],[Value]]/Table2[[#This Row],[Conversion]])</f>
        <v/>
      </c>
      <c r="K3050" s="45" t="str">
        <f>IF(Table2[[#This Row],[Description]]="","",DATE(Table2[[#This Row],[Year]],Table2[[#This Row],[Month]],1))</f>
        <v/>
      </c>
    </row>
    <row r="3051" spans="7:11" x14ac:dyDescent="0.25">
      <c r="G3051" s="1" t="str">
        <f>IF(Table2[[#This Row],[Description]]="","",VLOOKUP(Table2[[#This Row],[Description]],$Q$1:$S$101,2,FALSE))</f>
        <v/>
      </c>
      <c r="H3051" s="1" t="str">
        <f>IF(Table2[[#This Row],[Description]]="","",VLOOKUP(Table2[[#This Row],[Description]],$Q$1:$S$101,3,FALSE))</f>
        <v/>
      </c>
      <c r="I3051" s="1" t="str">
        <f>IF(Table2[[#This Row],[Description]]="","",IF(Table2[[#This Row],[Currency]]=$O$2,$P$2,HLOOKUP(Table2[[#This Row],[Date]],Funds!$C$10:$GV$11,2,FALSE)))</f>
        <v/>
      </c>
      <c r="J3051" s="215" t="str">
        <f>IF(Table2[[#This Row],[Description]]="","",Table2[[#This Row],[Value]]/Table2[[#This Row],[Conversion]])</f>
        <v/>
      </c>
      <c r="K3051" s="45" t="str">
        <f>IF(Table2[[#This Row],[Description]]="","",DATE(Table2[[#This Row],[Year]],Table2[[#This Row],[Month]],1))</f>
        <v/>
      </c>
    </row>
    <row r="3052" spans="7:11" x14ac:dyDescent="0.25">
      <c r="G3052" s="1" t="str">
        <f>IF(Table2[[#This Row],[Description]]="","",VLOOKUP(Table2[[#This Row],[Description]],$Q$1:$S$101,2,FALSE))</f>
        <v/>
      </c>
      <c r="H3052" s="1" t="str">
        <f>IF(Table2[[#This Row],[Description]]="","",VLOOKUP(Table2[[#This Row],[Description]],$Q$1:$S$101,3,FALSE))</f>
        <v/>
      </c>
      <c r="I3052" s="1" t="str">
        <f>IF(Table2[[#This Row],[Description]]="","",IF(Table2[[#This Row],[Currency]]=$O$2,$P$2,HLOOKUP(Table2[[#This Row],[Date]],Funds!$C$10:$GV$11,2,FALSE)))</f>
        <v/>
      </c>
      <c r="J3052" s="215" t="str">
        <f>IF(Table2[[#This Row],[Description]]="","",Table2[[#This Row],[Value]]/Table2[[#This Row],[Conversion]])</f>
        <v/>
      </c>
      <c r="K3052" s="45" t="str">
        <f>IF(Table2[[#This Row],[Description]]="","",DATE(Table2[[#This Row],[Year]],Table2[[#This Row],[Month]],1))</f>
        <v/>
      </c>
    </row>
    <row r="3053" spans="7:11" x14ac:dyDescent="0.25">
      <c r="G3053" s="1" t="str">
        <f>IF(Table2[[#This Row],[Description]]="","",VLOOKUP(Table2[[#This Row],[Description]],$Q$1:$S$101,2,FALSE))</f>
        <v/>
      </c>
      <c r="H3053" s="1" t="str">
        <f>IF(Table2[[#This Row],[Description]]="","",VLOOKUP(Table2[[#This Row],[Description]],$Q$1:$S$101,3,FALSE))</f>
        <v/>
      </c>
      <c r="I3053" s="1" t="str">
        <f>IF(Table2[[#This Row],[Description]]="","",IF(Table2[[#This Row],[Currency]]=$O$2,$P$2,HLOOKUP(Table2[[#This Row],[Date]],Funds!$C$10:$GV$11,2,FALSE)))</f>
        <v/>
      </c>
      <c r="J3053" s="215" t="str">
        <f>IF(Table2[[#This Row],[Description]]="","",Table2[[#This Row],[Value]]/Table2[[#This Row],[Conversion]])</f>
        <v/>
      </c>
      <c r="K3053" s="45" t="str">
        <f>IF(Table2[[#This Row],[Description]]="","",DATE(Table2[[#This Row],[Year]],Table2[[#This Row],[Month]],1))</f>
        <v/>
      </c>
    </row>
    <row r="3054" spans="7:11" x14ac:dyDescent="0.25">
      <c r="G3054" s="1" t="str">
        <f>IF(Table2[[#This Row],[Description]]="","",VLOOKUP(Table2[[#This Row],[Description]],$Q$1:$S$101,2,FALSE))</f>
        <v/>
      </c>
      <c r="H3054" s="1" t="str">
        <f>IF(Table2[[#This Row],[Description]]="","",VLOOKUP(Table2[[#This Row],[Description]],$Q$1:$S$101,3,FALSE))</f>
        <v/>
      </c>
      <c r="I3054" s="1" t="str">
        <f>IF(Table2[[#This Row],[Description]]="","",IF(Table2[[#This Row],[Currency]]=$O$2,$P$2,HLOOKUP(Table2[[#This Row],[Date]],Funds!$C$10:$GV$11,2,FALSE)))</f>
        <v/>
      </c>
      <c r="J3054" s="215" t="str">
        <f>IF(Table2[[#This Row],[Description]]="","",Table2[[#This Row],[Value]]/Table2[[#This Row],[Conversion]])</f>
        <v/>
      </c>
      <c r="K3054" s="45" t="str">
        <f>IF(Table2[[#This Row],[Description]]="","",DATE(Table2[[#This Row],[Year]],Table2[[#This Row],[Month]],1))</f>
        <v/>
      </c>
    </row>
    <row r="3055" spans="7:11" x14ac:dyDescent="0.25">
      <c r="G3055" s="1" t="str">
        <f>IF(Table2[[#This Row],[Description]]="","",VLOOKUP(Table2[[#This Row],[Description]],$Q$1:$S$101,2,FALSE))</f>
        <v/>
      </c>
      <c r="H3055" s="1" t="str">
        <f>IF(Table2[[#This Row],[Description]]="","",VLOOKUP(Table2[[#This Row],[Description]],$Q$1:$S$101,3,FALSE))</f>
        <v/>
      </c>
      <c r="I3055" s="1" t="str">
        <f>IF(Table2[[#This Row],[Description]]="","",IF(Table2[[#This Row],[Currency]]=$O$2,$P$2,HLOOKUP(Table2[[#This Row],[Date]],Funds!$C$10:$GV$11,2,FALSE)))</f>
        <v/>
      </c>
      <c r="J3055" s="215" t="str">
        <f>IF(Table2[[#This Row],[Description]]="","",Table2[[#This Row],[Value]]/Table2[[#This Row],[Conversion]])</f>
        <v/>
      </c>
      <c r="K3055" s="45" t="str">
        <f>IF(Table2[[#This Row],[Description]]="","",DATE(Table2[[#This Row],[Year]],Table2[[#This Row],[Month]],1))</f>
        <v/>
      </c>
    </row>
    <row r="3056" spans="7:11" x14ac:dyDescent="0.25">
      <c r="G3056" s="1" t="str">
        <f>IF(Table2[[#This Row],[Description]]="","",VLOOKUP(Table2[[#This Row],[Description]],$Q$1:$S$101,2,FALSE))</f>
        <v/>
      </c>
      <c r="H3056" s="1" t="str">
        <f>IF(Table2[[#This Row],[Description]]="","",VLOOKUP(Table2[[#This Row],[Description]],$Q$1:$S$101,3,FALSE))</f>
        <v/>
      </c>
      <c r="I3056" s="1" t="str">
        <f>IF(Table2[[#This Row],[Description]]="","",IF(Table2[[#This Row],[Currency]]=$O$2,$P$2,HLOOKUP(Table2[[#This Row],[Date]],Funds!$C$10:$GV$11,2,FALSE)))</f>
        <v/>
      </c>
      <c r="J3056" s="215" t="str">
        <f>IF(Table2[[#This Row],[Description]]="","",Table2[[#This Row],[Value]]/Table2[[#This Row],[Conversion]])</f>
        <v/>
      </c>
      <c r="K3056" s="45" t="str">
        <f>IF(Table2[[#This Row],[Description]]="","",DATE(Table2[[#This Row],[Year]],Table2[[#This Row],[Month]],1))</f>
        <v/>
      </c>
    </row>
    <row r="3057" spans="7:11" x14ac:dyDescent="0.25">
      <c r="G3057" s="1" t="str">
        <f>IF(Table2[[#This Row],[Description]]="","",VLOOKUP(Table2[[#This Row],[Description]],$Q$1:$S$101,2,FALSE))</f>
        <v/>
      </c>
      <c r="H3057" s="1" t="str">
        <f>IF(Table2[[#This Row],[Description]]="","",VLOOKUP(Table2[[#This Row],[Description]],$Q$1:$S$101,3,FALSE))</f>
        <v/>
      </c>
      <c r="I3057" s="1" t="str">
        <f>IF(Table2[[#This Row],[Description]]="","",IF(Table2[[#This Row],[Currency]]=$O$2,$P$2,HLOOKUP(Table2[[#This Row],[Date]],Funds!$C$10:$GV$11,2,FALSE)))</f>
        <v/>
      </c>
      <c r="J3057" s="215" t="str">
        <f>IF(Table2[[#This Row],[Description]]="","",Table2[[#This Row],[Value]]/Table2[[#This Row],[Conversion]])</f>
        <v/>
      </c>
      <c r="K3057" s="45" t="str">
        <f>IF(Table2[[#This Row],[Description]]="","",DATE(Table2[[#This Row],[Year]],Table2[[#This Row],[Month]],1))</f>
        <v/>
      </c>
    </row>
    <row r="3058" spans="7:11" x14ac:dyDescent="0.25">
      <c r="G3058" s="1" t="str">
        <f>IF(Table2[[#This Row],[Description]]="","",VLOOKUP(Table2[[#This Row],[Description]],$Q$1:$S$101,2,FALSE))</f>
        <v/>
      </c>
      <c r="H3058" s="1" t="str">
        <f>IF(Table2[[#This Row],[Description]]="","",VLOOKUP(Table2[[#This Row],[Description]],$Q$1:$S$101,3,FALSE))</f>
        <v/>
      </c>
      <c r="I3058" s="1" t="str">
        <f>IF(Table2[[#This Row],[Description]]="","",IF(Table2[[#This Row],[Currency]]=$O$2,$P$2,HLOOKUP(Table2[[#This Row],[Date]],Funds!$C$10:$GV$11,2,FALSE)))</f>
        <v/>
      </c>
      <c r="J3058" s="215" t="str">
        <f>IF(Table2[[#This Row],[Description]]="","",Table2[[#This Row],[Value]]/Table2[[#This Row],[Conversion]])</f>
        <v/>
      </c>
      <c r="K3058" s="45" t="str">
        <f>IF(Table2[[#This Row],[Description]]="","",DATE(Table2[[#This Row],[Year]],Table2[[#This Row],[Month]],1))</f>
        <v/>
      </c>
    </row>
    <row r="3059" spans="7:11" x14ac:dyDescent="0.25">
      <c r="G3059" s="1" t="str">
        <f>IF(Table2[[#This Row],[Description]]="","",VLOOKUP(Table2[[#This Row],[Description]],$Q$1:$S$101,2,FALSE))</f>
        <v/>
      </c>
      <c r="H3059" s="1" t="str">
        <f>IF(Table2[[#This Row],[Description]]="","",VLOOKUP(Table2[[#This Row],[Description]],$Q$1:$S$101,3,FALSE))</f>
        <v/>
      </c>
      <c r="I3059" s="1" t="str">
        <f>IF(Table2[[#This Row],[Description]]="","",IF(Table2[[#This Row],[Currency]]=$O$2,$P$2,HLOOKUP(Table2[[#This Row],[Date]],Funds!$C$10:$GV$11,2,FALSE)))</f>
        <v/>
      </c>
      <c r="J3059" s="215" t="str">
        <f>IF(Table2[[#This Row],[Description]]="","",Table2[[#This Row],[Value]]/Table2[[#This Row],[Conversion]])</f>
        <v/>
      </c>
      <c r="K3059" s="45" t="str">
        <f>IF(Table2[[#This Row],[Description]]="","",DATE(Table2[[#This Row],[Year]],Table2[[#This Row],[Month]],1))</f>
        <v/>
      </c>
    </row>
    <row r="3060" spans="7:11" x14ac:dyDescent="0.25">
      <c r="G3060" s="1" t="str">
        <f>IF(Table2[[#This Row],[Description]]="","",VLOOKUP(Table2[[#This Row],[Description]],$Q$1:$S$101,2,FALSE))</f>
        <v/>
      </c>
      <c r="H3060" s="1" t="str">
        <f>IF(Table2[[#This Row],[Description]]="","",VLOOKUP(Table2[[#This Row],[Description]],$Q$1:$S$101,3,FALSE))</f>
        <v/>
      </c>
      <c r="I3060" s="1" t="str">
        <f>IF(Table2[[#This Row],[Description]]="","",IF(Table2[[#This Row],[Currency]]=$O$2,$P$2,HLOOKUP(Table2[[#This Row],[Date]],Funds!$C$10:$GV$11,2,FALSE)))</f>
        <v/>
      </c>
      <c r="J3060" s="215" t="str">
        <f>IF(Table2[[#This Row],[Description]]="","",Table2[[#This Row],[Value]]/Table2[[#This Row],[Conversion]])</f>
        <v/>
      </c>
      <c r="K3060" s="45" t="str">
        <f>IF(Table2[[#This Row],[Description]]="","",DATE(Table2[[#This Row],[Year]],Table2[[#This Row],[Month]],1))</f>
        <v/>
      </c>
    </row>
    <row r="3061" spans="7:11" x14ac:dyDescent="0.25">
      <c r="G3061" s="1" t="str">
        <f>IF(Table2[[#This Row],[Description]]="","",VLOOKUP(Table2[[#This Row],[Description]],$Q$1:$S$101,2,FALSE))</f>
        <v/>
      </c>
      <c r="H3061" s="1" t="str">
        <f>IF(Table2[[#This Row],[Description]]="","",VLOOKUP(Table2[[#This Row],[Description]],$Q$1:$S$101,3,FALSE))</f>
        <v/>
      </c>
      <c r="I3061" s="1" t="str">
        <f>IF(Table2[[#This Row],[Description]]="","",IF(Table2[[#This Row],[Currency]]=$O$2,$P$2,HLOOKUP(Table2[[#This Row],[Date]],Funds!$C$10:$GV$11,2,FALSE)))</f>
        <v/>
      </c>
      <c r="J3061" s="215" t="str">
        <f>IF(Table2[[#This Row],[Description]]="","",Table2[[#This Row],[Value]]/Table2[[#This Row],[Conversion]])</f>
        <v/>
      </c>
      <c r="K3061" s="45" t="str">
        <f>IF(Table2[[#This Row],[Description]]="","",DATE(Table2[[#This Row],[Year]],Table2[[#This Row],[Month]],1))</f>
        <v/>
      </c>
    </row>
    <row r="3062" spans="7:11" x14ac:dyDescent="0.25">
      <c r="G3062" s="1" t="str">
        <f>IF(Table2[[#This Row],[Description]]="","",VLOOKUP(Table2[[#This Row],[Description]],$Q$1:$S$101,2,FALSE))</f>
        <v/>
      </c>
      <c r="H3062" s="1" t="str">
        <f>IF(Table2[[#This Row],[Description]]="","",VLOOKUP(Table2[[#This Row],[Description]],$Q$1:$S$101,3,FALSE))</f>
        <v/>
      </c>
      <c r="I3062" s="1" t="str">
        <f>IF(Table2[[#This Row],[Description]]="","",IF(Table2[[#This Row],[Currency]]=$O$2,$P$2,HLOOKUP(Table2[[#This Row],[Date]],Funds!$C$10:$GV$11,2,FALSE)))</f>
        <v/>
      </c>
      <c r="J3062" s="215" t="str">
        <f>IF(Table2[[#This Row],[Description]]="","",Table2[[#This Row],[Value]]/Table2[[#This Row],[Conversion]])</f>
        <v/>
      </c>
      <c r="K3062" s="45" t="str">
        <f>IF(Table2[[#This Row],[Description]]="","",DATE(Table2[[#This Row],[Year]],Table2[[#This Row],[Month]],1))</f>
        <v/>
      </c>
    </row>
    <row r="3063" spans="7:11" x14ac:dyDescent="0.25">
      <c r="G3063" s="1" t="str">
        <f>IF(Table2[[#This Row],[Description]]="","",VLOOKUP(Table2[[#This Row],[Description]],$Q$1:$S$101,2,FALSE))</f>
        <v/>
      </c>
      <c r="H3063" s="1" t="str">
        <f>IF(Table2[[#This Row],[Description]]="","",VLOOKUP(Table2[[#This Row],[Description]],$Q$1:$S$101,3,FALSE))</f>
        <v/>
      </c>
      <c r="I3063" s="1" t="str">
        <f>IF(Table2[[#This Row],[Description]]="","",IF(Table2[[#This Row],[Currency]]=$O$2,$P$2,HLOOKUP(Table2[[#This Row],[Date]],Funds!$C$10:$GV$11,2,FALSE)))</f>
        <v/>
      </c>
      <c r="J3063" s="215" t="str">
        <f>IF(Table2[[#This Row],[Description]]="","",Table2[[#This Row],[Value]]/Table2[[#This Row],[Conversion]])</f>
        <v/>
      </c>
      <c r="K3063" s="45" t="str">
        <f>IF(Table2[[#This Row],[Description]]="","",DATE(Table2[[#This Row],[Year]],Table2[[#This Row],[Month]],1))</f>
        <v/>
      </c>
    </row>
    <row r="3064" spans="7:11" x14ac:dyDescent="0.25">
      <c r="G3064" s="1" t="str">
        <f>IF(Table2[[#This Row],[Description]]="","",VLOOKUP(Table2[[#This Row],[Description]],$Q$1:$S$101,2,FALSE))</f>
        <v/>
      </c>
      <c r="H3064" s="1" t="str">
        <f>IF(Table2[[#This Row],[Description]]="","",VLOOKUP(Table2[[#This Row],[Description]],$Q$1:$S$101,3,FALSE))</f>
        <v/>
      </c>
      <c r="I3064" s="1" t="str">
        <f>IF(Table2[[#This Row],[Description]]="","",IF(Table2[[#This Row],[Currency]]=$O$2,$P$2,HLOOKUP(Table2[[#This Row],[Date]],Funds!$C$10:$GV$11,2,FALSE)))</f>
        <v/>
      </c>
      <c r="J3064" s="215" t="str">
        <f>IF(Table2[[#This Row],[Description]]="","",Table2[[#This Row],[Value]]/Table2[[#This Row],[Conversion]])</f>
        <v/>
      </c>
      <c r="K3064" s="45" t="str">
        <f>IF(Table2[[#This Row],[Description]]="","",DATE(Table2[[#This Row],[Year]],Table2[[#This Row],[Month]],1))</f>
        <v/>
      </c>
    </row>
    <row r="3065" spans="7:11" x14ac:dyDescent="0.25">
      <c r="G3065" s="1" t="str">
        <f>IF(Table2[[#This Row],[Description]]="","",VLOOKUP(Table2[[#This Row],[Description]],$Q$1:$S$101,2,FALSE))</f>
        <v/>
      </c>
      <c r="H3065" s="1" t="str">
        <f>IF(Table2[[#This Row],[Description]]="","",VLOOKUP(Table2[[#This Row],[Description]],$Q$1:$S$101,3,FALSE))</f>
        <v/>
      </c>
      <c r="I3065" s="1" t="str">
        <f>IF(Table2[[#This Row],[Description]]="","",IF(Table2[[#This Row],[Currency]]=$O$2,$P$2,HLOOKUP(Table2[[#This Row],[Date]],Funds!$C$10:$GV$11,2,FALSE)))</f>
        <v/>
      </c>
      <c r="J3065" s="215" t="str">
        <f>IF(Table2[[#This Row],[Description]]="","",Table2[[#This Row],[Value]]/Table2[[#This Row],[Conversion]])</f>
        <v/>
      </c>
      <c r="K3065" s="45" t="str">
        <f>IF(Table2[[#This Row],[Description]]="","",DATE(Table2[[#This Row],[Year]],Table2[[#This Row],[Month]],1))</f>
        <v/>
      </c>
    </row>
    <row r="3066" spans="7:11" x14ac:dyDescent="0.25">
      <c r="G3066" s="1" t="str">
        <f>IF(Table2[[#This Row],[Description]]="","",VLOOKUP(Table2[[#This Row],[Description]],$Q$1:$S$101,2,FALSE))</f>
        <v/>
      </c>
      <c r="H3066" s="1" t="str">
        <f>IF(Table2[[#This Row],[Description]]="","",VLOOKUP(Table2[[#This Row],[Description]],$Q$1:$S$101,3,FALSE))</f>
        <v/>
      </c>
      <c r="I3066" s="1" t="str">
        <f>IF(Table2[[#This Row],[Description]]="","",IF(Table2[[#This Row],[Currency]]=$O$2,$P$2,HLOOKUP(Table2[[#This Row],[Date]],Funds!$C$10:$GV$11,2,FALSE)))</f>
        <v/>
      </c>
      <c r="J3066" s="215" t="str">
        <f>IF(Table2[[#This Row],[Description]]="","",Table2[[#This Row],[Value]]/Table2[[#This Row],[Conversion]])</f>
        <v/>
      </c>
      <c r="K3066" s="45" t="str">
        <f>IF(Table2[[#This Row],[Description]]="","",DATE(Table2[[#This Row],[Year]],Table2[[#This Row],[Month]],1))</f>
        <v/>
      </c>
    </row>
    <row r="3067" spans="7:11" x14ac:dyDescent="0.25">
      <c r="G3067" s="1" t="str">
        <f>IF(Table2[[#This Row],[Description]]="","",VLOOKUP(Table2[[#This Row],[Description]],$Q$1:$S$101,2,FALSE))</f>
        <v/>
      </c>
      <c r="H3067" s="1" t="str">
        <f>IF(Table2[[#This Row],[Description]]="","",VLOOKUP(Table2[[#This Row],[Description]],$Q$1:$S$101,3,FALSE))</f>
        <v/>
      </c>
      <c r="I3067" s="1" t="str">
        <f>IF(Table2[[#This Row],[Description]]="","",IF(Table2[[#This Row],[Currency]]=$O$2,$P$2,HLOOKUP(Table2[[#This Row],[Date]],Funds!$C$10:$GV$11,2,FALSE)))</f>
        <v/>
      </c>
      <c r="J3067" s="215" t="str">
        <f>IF(Table2[[#This Row],[Description]]="","",Table2[[#This Row],[Value]]/Table2[[#This Row],[Conversion]])</f>
        <v/>
      </c>
      <c r="K3067" s="45" t="str">
        <f>IF(Table2[[#This Row],[Description]]="","",DATE(Table2[[#This Row],[Year]],Table2[[#This Row],[Month]],1))</f>
        <v/>
      </c>
    </row>
    <row r="3068" spans="7:11" x14ac:dyDescent="0.25">
      <c r="G3068" s="1" t="str">
        <f>IF(Table2[[#This Row],[Description]]="","",VLOOKUP(Table2[[#This Row],[Description]],$Q$1:$S$101,2,FALSE))</f>
        <v/>
      </c>
      <c r="H3068" s="1" t="str">
        <f>IF(Table2[[#This Row],[Description]]="","",VLOOKUP(Table2[[#This Row],[Description]],$Q$1:$S$101,3,FALSE))</f>
        <v/>
      </c>
      <c r="I3068" s="1" t="str">
        <f>IF(Table2[[#This Row],[Description]]="","",IF(Table2[[#This Row],[Currency]]=$O$2,$P$2,HLOOKUP(Table2[[#This Row],[Date]],Funds!$C$10:$GV$11,2,FALSE)))</f>
        <v/>
      </c>
      <c r="J3068" s="215" t="str">
        <f>IF(Table2[[#This Row],[Description]]="","",Table2[[#This Row],[Value]]/Table2[[#This Row],[Conversion]])</f>
        <v/>
      </c>
      <c r="K3068" s="45" t="str">
        <f>IF(Table2[[#This Row],[Description]]="","",DATE(Table2[[#This Row],[Year]],Table2[[#This Row],[Month]],1))</f>
        <v/>
      </c>
    </row>
    <row r="3069" spans="7:11" x14ac:dyDescent="0.25">
      <c r="G3069" s="1" t="str">
        <f>IF(Table2[[#This Row],[Description]]="","",VLOOKUP(Table2[[#This Row],[Description]],$Q$1:$S$101,2,FALSE))</f>
        <v/>
      </c>
      <c r="H3069" s="1" t="str">
        <f>IF(Table2[[#This Row],[Description]]="","",VLOOKUP(Table2[[#This Row],[Description]],$Q$1:$S$101,3,FALSE))</f>
        <v/>
      </c>
      <c r="I3069" s="1" t="str">
        <f>IF(Table2[[#This Row],[Description]]="","",IF(Table2[[#This Row],[Currency]]=$O$2,$P$2,HLOOKUP(Table2[[#This Row],[Date]],Funds!$C$10:$GV$11,2,FALSE)))</f>
        <v/>
      </c>
      <c r="J3069" s="215" t="str">
        <f>IF(Table2[[#This Row],[Description]]="","",Table2[[#This Row],[Value]]/Table2[[#This Row],[Conversion]])</f>
        <v/>
      </c>
      <c r="K3069" s="45" t="str">
        <f>IF(Table2[[#This Row],[Description]]="","",DATE(Table2[[#This Row],[Year]],Table2[[#This Row],[Month]],1))</f>
        <v/>
      </c>
    </row>
    <row r="3070" spans="7:11" x14ac:dyDescent="0.25">
      <c r="G3070" s="1" t="str">
        <f>IF(Table2[[#This Row],[Description]]="","",VLOOKUP(Table2[[#This Row],[Description]],$Q$1:$S$101,2,FALSE))</f>
        <v/>
      </c>
      <c r="H3070" s="1" t="str">
        <f>IF(Table2[[#This Row],[Description]]="","",VLOOKUP(Table2[[#This Row],[Description]],$Q$1:$S$101,3,FALSE))</f>
        <v/>
      </c>
      <c r="I3070" s="1" t="str">
        <f>IF(Table2[[#This Row],[Description]]="","",IF(Table2[[#This Row],[Currency]]=$O$2,$P$2,HLOOKUP(Table2[[#This Row],[Date]],Funds!$C$10:$GV$11,2,FALSE)))</f>
        <v/>
      </c>
      <c r="J3070" s="215" t="str">
        <f>IF(Table2[[#This Row],[Description]]="","",Table2[[#This Row],[Value]]/Table2[[#This Row],[Conversion]])</f>
        <v/>
      </c>
      <c r="K3070" s="45" t="str">
        <f>IF(Table2[[#This Row],[Description]]="","",DATE(Table2[[#This Row],[Year]],Table2[[#This Row],[Month]],1))</f>
        <v/>
      </c>
    </row>
    <row r="3071" spans="7:11" x14ac:dyDescent="0.25">
      <c r="G3071" s="1" t="str">
        <f>IF(Table2[[#This Row],[Description]]="","",VLOOKUP(Table2[[#This Row],[Description]],$Q$1:$S$101,2,FALSE))</f>
        <v/>
      </c>
      <c r="H3071" s="1" t="str">
        <f>IF(Table2[[#This Row],[Description]]="","",VLOOKUP(Table2[[#This Row],[Description]],$Q$1:$S$101,3,FALSE))</f>
        <v/>
      </c>
      <c r="I3071" s="1" t="str">
        <f>IF(Table2[[#This Row],[Description]]="","",IF(Table2[[#This Row],[Currency]]=$O$2,$P$2,HLOOKUP(Table2[[#This Row],[Date]],Funds!$C$10:$GV$11,2,FALSE)))</f>
        <v/>
      </c>
      <c r="J3071" s="215" t="str">
        <f>IF(Table2[[#This Row],[Description]]="","",Table2[[#This Row],[Value]]/Table2[[#This Row],[Conversion]])</f>
        <v/>
      </c>
      <c r="K3071" s="45" t="str">
        <f>IF(Table2[[#This Row],[Description]]="","",DATE(Table2[[#This Row],[Year]],Table2[[#This Row],[Month]],1))</f>
        <v/>
      </c>
    </row>
    <row r="3072" spans="7:11" x14ac:dyDescent="0.25">
      <c r="G3072" s="1" t="str">
        <f>IF(Table2[[#This Row],[Description]]="","",VLOOKUP(Table2[[#This Row],[Description]],$Q$1:$S$101,2,FALSE))</f>
        <v/>
      </c>
      <c r="H3072" s="1" t="str">
        <f>IF(Table2[[#This Row],[Description]]="","",VLOOKUP(Table2[[#This Row],[Description]],$Q$1:$S$101,3,FALSE))</f>
        <v/>
      </c>
      <c r="I3072" s="1" t="str">
        <f>IF(Table2[[#This Row],[Description]]="","",IF(Table2[[#This Row],[Currency]]=$O$2,$P$2,HLOOKUP(Table2[[#This Row],[Date]],Funds!$C$10:$GV$11,2,FALSE)))</f>
        <v/>
      </c>
      <c r="J3072" s="215" t="str">
        <f>IF(Table2[[#This Row],[Description]]="","",Table2[[#This Row],[Value]]/Table2[[#This Row],[Conversion]])</f>
        <v/>
      </c>
      <c r="K3072" s="45" t="str">
        <f>IF(Table2[[#This Row],[Description]]="","",DATE(Table2[[#This Row],[Year]],Table2[[#This Row],[Month]],1))</f>
        <v/>
      </c>
    </row>
    <row r="3073" spans="7:11" x14ac:dyDescent="0.25">
      <c r="G3073" s="1" t="str">
        <f>IF(Table2[[#This Row],[Description]]="","",VLOOKUP(Table2[[#This Row],[Description]],$Q$1:$S$101,2,FALSE))</f>
        <v/>
      </c>
      <c r="H3073" s="1" t="str">
        <f>IF(Table2[[#This Row],[Description]]="","",VLOOKUP(Table2[[#This Row],[Description]],$Q$1:$S$101,3,FALSE))</f>
        <v/>
      </c>
      <c r="I3073" s="1" t="str">
        <f>IF(Table2[[#This Row],[Description]]="","",IF(Table2[[#This Row],[Currency]]=$O$2,$P$2,HLOOKUP(Table2[[#This Row],[Date]],Funds!$C$10:$GV$11,2,FALSE)))</f>
        <v/>
      </c>
      <c r="J3073" s="215" t="str">
        <f>IF(Table2[[#This Row],[Description]]="","",Table2[[#This Row],[Value]]/Table2[[#This Row],[Conversion]])</f>
        <v/>
      </c>
      <c r="K3073" s="45" t="str">
        <f>IF(Table2[[#This Row],[Description]]="","",DATE(Table2[[#This Row],[Year]],Table2[[#This Row],[Month]],1))</f>
        <v/>
      </c>
    </row>
    <row r="3074" spans="7:11" x14ac:dyDescent="0.25">
      <c r="G3074" s="1" t="str">
        <f>IF(Table2[[#This Row],[Description]]="","",VLOOKUP(Table2[[#This Row],[Description]],$Q$1:$S$101,2,FALSE))</f>
        <v/>
      </c>
      <c r="H3074" s="1" t="str">
        <f>IF(Table2[[#This Row],[Description]]="","",VLOOKUP(Table2[[#This Row],[Description]],$Q$1:$S$101,3,FALSE))</f>
        <v/>
      </c>
      <c r="I3074" s="1" t="str">
        <f>IF(Table2[[#This Row],[Description]]="","",IF(Table2[[#This Row],[Currency]]=$O$2,$P$2,HLOOKUP(Table2[[#This Row],[Date]],Funds!$C$10:$GV$11,2,FALSE)))</f>
        <v/>
      </c>
      <c r="J3074" s="215" t="str">
        <f>IF(Table2[[#This Row],[Description]]="","",Table2[[#This Row],[Value]]/Table2[[#This Row],[Conversion]])</f>
        <v/>
      </c>
      <c r="K3074" s="45" t="str">
        <f>IF(Table2[[#This Row],[Description]]="","",DATE(Table2[[#This Row],[Year]],Table2[[#This Row],[Month]],1))</f>
        <v/>
      </c>
    </row>
    <row r="3075" spans="7:11" x14ac:dyDescent="0.25">
      <c r="G3075" s="1" t="str">
        <f>IF(Table2[[#This Row],[Description]]="","",VLOOKUP(Table2[[#This Row],[Description]],$Q$1:$S$101,2,FALSE))</f>
        <v/>
      </c>
      <c r="H3075" s="1" t="str">
        <f>IF(Table2[[#This Row],[Description]]="","",VLOOKUP(Table2[[#This Row],[Description]],$Q$1:$S$101,3,FALSE))</f>
        <v/>
      </c>
      <c r="I3075" s="1" t="str">
        <f>IF(Table2[[#This Row],[Description]]="","",IF(Table2[[#This Row],[Currency]]=$O$2,$P$2,HLOOKUP(Table2[[#This Row],[Date]],Funds!$C$10:$GV$11,2,FALSE)))</f>
        <v/>
      </c>
      <c r="J3075" s="215" t="str">
        <f>IF(Table2[[#This Row],[Description]]="","",Table2[[#This Row],[Value]]/Table2[[#This Row],[Conversion]])</f>
        <v/>
      </c>
      <c r="K3075" s="45" t="str">
        <f>IF(Table2[[#This Row],[Description]]="","",DATE(Table2[[#This Row],[Year]],Table2[[#This Row],[Month]],1))</f>
        <v/>
      </c>
    </row>
    <row r="3076" spans="7:11" x14ac:dyDescent="0.25">
      <c r="G3076" s="1" t="str">
        <f>IF(Table2[[#This Row],[Description]]="","",VLOOKUP(Table2[[#This Row],[Description]],$Q$1:$S$101,2,FALSE))</f>
        <v/>
      </c>
      <c r="H3076" s="1" t="str">
        <f>IF(Table2[[#This Row],[Description]]="","",VLOOKUP(Table2[[#This Row],[Description]],$Q$1:$S$101,3,FALSE))</f>
        <v/>
      </c>
      <c r="I3076" s="1" t="str">
        <f>IF(Table2[[#This Row],[Description]]="","",IF(Table2[[#This Row],[Currency]]=$O$2,$P$2,HLOOKUP(Table2[[#This Row],[Date]],Funds!$C$10:$GV$11,2,FALSE)))</f>
        <v/>
      </c>
      <c r="J3076" s="215" t="str">
        <f>IF(Table2[[#This Row],[Description]]="","",Table2[[#This Row],[Value]]/Table2[[#This Row],[Conversion]])</f>
        <v/>
      </c>
      <c r="K3076" s="45" t="str">
        <f>IF(Table2[[#This Row],[Description]]="","",DATE(Table2[[#This Row],[Year]],Table2[[#This Row],[Month]],1))</f>
        <v/>
      </c>
    </row>
    <row r="3077" spans="7:11" x14ac:dyDescent="0.25">
      <c r="G3077" s="1" t="str">
        <f>IF(Table2[[#This Row],[Description]]="","",VLOOKUP(Table2[[#This Row],[Description]],$Q$1:$S$101,2,FALSE))</f>
        <v/>
      </c>
      <c r="H3077" s="1" t="str">
        <f>IF(Table2[[#This Row],[Description]]="","",VLOOKUP(Table2[[#This Row],[Description]],$Q$1:$S$101,3,FALSE))</f>
        <v/>
      </c>
      <c r="I3077" s="1" t="str">
        <f>IF(Table2[[#This Row],[Description]]="","",IF(Table2[[#This Row],[Currency]]=$O$2,$P$2,HLOOKUP(Table2[[#This Row],[Date]],Funds!$C$10:$GV$11,2,FALSE)))</f>
        <v/>
      </c>
      <c r="J3077" s="215" t="str">
        <f>IF(Table2[[#This Row],[Description]]="","",Table2[[#This Row],[Value]]/Table2[[#This Row],[Conversion]])</f>
        <v/>
      </c>
      <c r="K3077" s="45" t="str">
        <f>IF(Table2[[#This Row],[Description]]="","",DATE(Table2[[#This Row],[Year]],Table2[[#This Row],[Month]],1))</f>
        <v/>
      </c>
    </row>
    <row r="3078" spans="7:11" x14ac:dyDescent="0.25">
      <c r="G3078" s="1" t="str">
        <f>IF(Table2[[#This Row],[Description]]="","",VLOOKUP(Table2[[#This Row],[Description]],$Q$1:$S$101,2,FALSE))</f>
        <v/>
      </c>
      <c r="H3078" s="1" t="str">
        <f>IF(Table2[[#This Row],[Description]]="","",VLOOKUP(Table2[[#This Row],[Description]],$Q$1:$S$101,3,FALSE))</f>
        <v/>
      </c>
      <c r="I3078" s="1" t="str">
        <f>IF(Table2[[#This Row],[Description]]="","",IF(Table2[[#This Row],[Currency]]=$O$2,$P$2,HLOOKUP(Table2[[#This Row],[Date]],Funds!$C$10:$GV$11,2,FALSE)))</f>
        <v/>
      </c>
      <c r="J3078" s="215" t="str">
        <f>IF(Table2[[#This Row],[Description]]="","",Table2[[#This Row],[Value]]/Table2[[#This Row],[Conversion]])</f>
        <v/>
      </c>
      <c r="K3078" s="45" t="str">
        <f>IF(Table2[[#This Row],[Description]]="","",DATE(Table2[[#This Row],[Year]],Table2[[#This Row],[Month]],1))</f>
        <v/>
      </c>
    </row>
    <row r="3079" spans="7:11" x14ac:dyDescent="0.25">
      <c r="G3079" s="1" t="str">
        <f>IF(Table2[[#This Row],[Description]]="","",VLOOKUP(Table2[[#This Row],[Description]],$Q$1:$S$101,2,FALSE))</f>
        <v/>
      </c>
      <c r="H3079" s="1" t="str">
        <f>IF(Table2[[#This Row],[Description]]="","",VLOOKUP(Table2[[#This Row],[Description]],$Q$1:$S$101,3,FALSE))</f>
        <v/>
      </c>
      <c r="I3079" s="1" t="str">
        <f>IF(Table2[[#This Row],[Description]]="","",IF(Table2[[#This Row],[Currency]]=$O$2,$P$2,HLOOKUP(Table2[[#This Row],[Date]],Funds!$C$10:$GV$11,2,FALSE)))</f>
        <v/>
      </c>
      <c r="J3079" s="215" t="str">
        <f>IF(Table2[[#This Row],[Description]]="","",Table2[[#This Row],[Value]]/Table2[[#This Row],[Conversion]])</f>
        <v/>
      </c>
      <c r="K3079" s="45" t="str">
        <f>IF(Table2[[#This Row],[Description]]="","",DATE(Table2[[#This Row],[Year]],Table2[[#This Row],[Month]],1))</f>
        <v/>
      </c>
    </row>
    <row r="3080" spans="7:11" x14ac:dyDescent="0.25">
      <c r="G3080" s="1" t="str">
        <f>IF(Table2[[#This Row],[Description]]="","",VLOOKUP(Table2[[#This Row],[Description]],$Q$1:$S$101,2,FALSE))</f>
        <v/>
      </c>
      <c r="H3080" s="1" t="str">
        <f>IF(Table2[[#This Row],[Description]]="","",VLOOKUP(Table2[[#This Row],[Description]],$Q$1:$S$101,3,FALSE))</f>
        <v/>
      </c>
      <c r="I3080" s="1" t="str">
        <f>IF(Table2[[#This Row],[Description]]="","",IF(Table2[[#This Row],[Currency]]=$O$2,$P$2,HLOOKUP(Table2[[#This Row],[Date]],Funds!$C$10:$GV$11,2,FALSE)))</f>
        <v/>
      </c>
      <c r="J3080" s="215" t="str">
        <f>IF(Table2[[#This Row],[Description]]="","",Table2[[#This Row],[Value]]/Table2[[#This Row],[Conversion]])</f>
        <v/>
      </c>
      <c r="K3080" s="45" t="str">
        <f>IF(Table2[[#This Row],[Description]]="","",DATE(Table2[[#This Row],[Year]],Table2[[#This Row],[Month]],1))</f>
        <v/>
      </c>
    </row>
    <row r="3081" spans="7:11" x14ac:dyDescent="0.25">
      <c r="G3081" s="1" t="str">
        <f>IF(Table2[[#This Row],[Description]]="","",VLOOKUP(Table2[[#This Row],[Description]],$Q$1:$S$101,2,FALSE))</f>
        <v/>
      </c>
      <c r="H3081" s="1" t="str">
        <f>IF(Table2[[#This Row],[Description]]="","",VLOOKUP(Table2[[#This Row],[Description]],$Q$1:$S$101,3,FALSE))</f>
        <v/>
      </c>
      <c r="I3081" s="1" t="str">
        <f>IF(Table2[[#This Row],[Description]]="","",IF(Table2[[#This Row],[Currency]]=$O$2,$P$2,HLOOKUP(Table2[[#This Row],[Date]],Funds!$C$10:$GV$11,2,FALSE)))</f>
        <v/>
      </c>
      <c r="J3081" s="215" t="str">
        <f>IF(Table2[[#This Row],[Description]]="","",Table2[[#This Row],[Value]]/Table2[[#This Row],[Conversion]])</f>
        <v/>
      </c>
      <c r="K3081" s="45" t="str">
        <f>IF(Table2[[#This Row],[Description]]="","",DATE(Table2[[#This Row],[Year]],Table2[[#This Row],[Month]],1))</f>
        <v/>
      </c>
    </row>
    <row r="3082" spans="7:11" x14ac:dyDescent="0.25">
      <c r="G3082" s="1" t="str">
        <f>IF(Table2[[#This Row],[Description]]="","",VLOOKUP(Table2[[#This Row],[Description]],$Q$1:$S$101,2,FALSE))</f>
        <v/>
      </c>
      <c r="H3082" s="1" t="str">
        <f>IF(Table2[[#This Row],[Description]]="","",VLOOKUP(Table2[[#This Row],[Description]],$Q$1:$S$101,3,FALSE))</f>
        <v/>
      </c>
      <c r="I3082" s="1" t="str">
        <f>IF(Table2[[#This Row],[Description]]="","",IF(Table2[[#This Row],[Currency]]=$O$2,$P$2,HLOOKUP(Table2[[#This Row],[Date]],Funds!$C$10:$GV$11,2,FALSE)))</f>
        <v/>
      </c>
      <c r="J3082" s="215" t="str">
        <f>IF(Table2[[#This Row],[Description]]="","",Table2[[#This Row],[Value]]/Table2[[#This Row],[Conversion]])</f>
        <v/>
      </c>
      <c r="K3082" s="45" t="str">
        <f>IF(Table2[[#This Row],[Description]]="","",DATE(Table2[[#This Row],[Year]],Table2[[#This Row],[Month]],1))</f>
        <v/>
      </c>
    </row>
    <row r="3083" spans="7:11" x14ac:dyDescent="0.25">
      <c r="G3083" s="1" t="str">
        <f>IF(Table2[[#This Row],[Description]]="","",VLOOKUP(Table2[[#This Row],[Description]],$Q$1:$S$101,2,FALSE))</f>
        <v/>
      </c>
      <c r="H3083" s="1" t="str">
        <f>IF(Table2[[#This Row],[Description]]="","",VLOOKUP(Table2[[#This Row],[Description]],$Q$1:$S$101,3,FALSE))</f>
        <v/>
      </c>
      <c r="I3083" s="1" t="str">
        <f>IF(Table2[[#This Row],[Description]]="","",IF(Table2[[#This Row],[Currency]]=$O$2,$P$2,HLOOKUP(Table2[[#This Row],[Date]],Funds!$C$10:$GV$11,2,FALSE)))</f>
        <v/>
      </c>
      <c r="J3083" s="215" t="str">
        <f>IF(Table2[[#This Row],[Description]]="","",Table2[[#This Row],[Value]]/Table2[[#This Row],[Conversion]])</f>
        <v/>
      </c>
      <c r="K3083" s="45" t="str">
        <f>IF(Table2[[#This Row],[Description]]="","",DATE(Table2[[#This Row],[Year]],Table2[[#This Row],[Month]],1))</f>
        <v/>
      </c>
    </row>
    <row r="3084" spans="7:11" x14ac:dyDescent="0.25">
      <c r="G3084" s="1" t="str">
        <f>IF(Table2[[#This Row],[Description]]="","",VLOOKUP(Table2[[#This Row],[Description]],$Q$1:$S$101,2,FALSE))</f>
        <v/>
      </c>
      <c r="H3084" s="1" t="str">
        <f>IF(Table2[[#This Row],[Description]]="","",VLOOKUP(Table2[[#This Row],[Description]],$Q$1:$S$101,3,FALSE))</f>
        <v/>
      </c>
      <c r="I3084" s="1" t="str">
        <f>IF(Table2[[#This Row],[Description]]="","",IF(Table2[[#This Row],[Currency]]=$O$2,$P$2,HLOOKUP(Table2[[#This Row],[Date]],Funds!$C$10:$GV$11,2,FALSE)))</f>
        <v/>
      </c>
      <c r="J3084" s="215" t="str">
        <f>IF(Table2[[#This Row],[Description]]="","",Table2[[#This Row],[Value]]/Table2[[#This Row],[Conversion]])</f>
        <v/>
      </c>
      <c r="K3084" s="45" t="str">
        <f>IF(Table2[[#This Row],[Description]]="","",DATE(Table2[[#This Row],[Year]],Table2[[#This Row],[Month]],1))</f>
        <v/>
      </c>
    </row>
    <row r="3085" spans="7:11" x14ac:dyDescent="0.25">
      <c r="G3085" s="1" t="str">
        <f>IF(Table2[[#This Row],[Description]]="","",VLOOKUP(Table2[[#This Row],[Description]],$Q$1:$S$101,2,FALSE))</f>
        <v/>
      </c>
      <c r="H3085" s="1" t="str">
        <f>IF(Table2[[#This Row],[Description]]="","",VLOOKUP(Table2[[#This Row],[Description]],$Q$1:$S$101,3,FALSE))</f>
        <v/>
      </c>
      <c r="I3085" s="1" t="str">
        <f>IF(Table2[[#This Row],[Description]]="","",IF(Table2[[#This Row],[Currency]]=$O$2,$P$2,HLOOKUP(Table2[[#This Row],[Date]],Funds!$C$10:$GV$11,2,FALSE)))</f>
        <v/>
      </c>
      <c r="J3085" s="215" t="str">
        <f>IF(Table2[[#This Row],[Description]]="","",Table2[[#This Row],[Value]]/Table2[[#This Row],[Conversion]])</f>
        <v/>
      </c>
      <c r="K3085" s="45" t="str">
        <f>IF(Table2[[#This Row],[Description]]="","",DATE(Table2[[#This Row],[Year]],Table2[[#This Row],[Month]],1))</f>
        <v/>
      </c>
    </row>
    <row r="3086" spans="7:11" x14ac:dyDescent="0.25">
      <c r="G3086" s="1" t="str">
        <f>IF(Table2[[#This Row],[Description]]="","",VLOOKUP(Table2[[#This Row],[Description]],$Q$1:$S$101,2,FALSE))</f>
        <v/>
      </c>
      <c r="H3086" s="1" t="str">
        <f>IF(Table2[[#This Row],[Description]]="","",VLOOKUP(Table2[[#This Row],[Description]],$Q$1:$S$101,3,FALSE))</f>
        <v/>
      </c>
      <c r="I3086" s="1" t="str">
        <f>IF(Table2[[#This Row],[Description]]="","",IF(Table2[[#This Row],[Currency]]=$O$2,$P$2,HLOOKUP(Table2[[#This Row],[Date]],Funds!$C$10:$GV$11,2,FALSE)))</f>
        <v/>
      </c>
      <c r="J3086" s="215" t="str">
        <f>IF(Table2[[#This Row],[Description]]="","",Table2[[#This Row],[Value]]/Table2[[#This Row],[Conversion]])</f>
        <v/>
      </c>
      <c r="K3086" s="45" t="str">
        <f>IF(Table2[[#This Row],[Description]]="","",DATE(Table2[[#This Row],[Year]],Table2[[#This Row],[Month]],1))</f>
        <v/>
      </c>
    </row>
    <row r="3087" spans="7:11" x14ac:dyDescent="0.25">
      <c r="G3087" s="1" t="str">
        <f>IF(Table2[[#This Row],[Description]]="","",VLOOKUP(Table2[[#This Row],[Description]],$Q$1:$S$101,2,FALSE))</f>
        <v/>
      </c>
      <c r="H3087" s="1" t="str">
        <f>IF(Table2[[#This Row],[Description]]="","",VLOOKUP(Table2[[#This Row],[Description]],$Q$1:$S$101,3,FALSE))</f>
        <v/>
      </c>
      <c r="I3087" s="1" t="str">
        <f>IF(Table2[[#This Row],[Description]]="","",IF(Table2[[#This Row],[Currency]]=$O$2,$P$2,HLOOKUP(Table2[[#This Row],[Date]],Funds!$C$10:$GV$11,2,FALSE)))</f>
        <v/>
      </c>
      <c r="J3087" s="215" t="str">
        <f>IF(Table2[[#This Row],[Description]]="","",Table2[[#This Row],[Value]]/Table2[[#This Row],[Conversion]])</f>
        <v/>
      </c>
      <c r="K3087" s="45" t="str">
        <f>IF(Table2[[#This Row],[Description]]="","",DATE(Table2[[#This Row],[Year]],Table2[[#This Row],[Month]],1))</f>
        <v/>
      </c>
    </row>
    <row r="3088" spans="7:11" x14ac:dyDescent="0.25">
      <c r="G3088" s="1" t="str">
        <f>IF(Table2[[#This Row],[Description]]="","",VLOOKUP(Table2[[#This Row],[Description]],$Q$1:$S$101,2,FALSE))</f>
        <v/>
      </c>
      <c r="H3088" s="1" t="str">
        <f>IF(Table2[[#This Row],[Description]]="","",VLOOKUP(Table2[[#This Row],[Description]],$Q$1:$S$101,3,FALSE))</f>
        <v/>
      </c>
      <c r="I3088" s="1" t="str">
        <f>IF(Table2[[#This Row],[Description]]="","",IF(Table2[[#This Row],[Currency]]=$O$2,$P$2,HLOOKUP(Table2[[#This Row],[Date]],Funds!$C$10:$GV$11,2,FALSE)))</f>
        <v/>
      </c>
      <c r="J3088" s="215" t="str">
        <f>IF(Table2[[#This Row],[Description]]="","",Table2[[#This Row],[Value]]/Table2[[#This Row],[Conversion]])</f>
        <v/>
      </c>
      <c r="K3088" s="45" t="str">
        <f>IF(Table2[[#This Row],[Description]]="","",DATE(Table2[[#This Row],[Year]],Table2[[#This Row],[Month]],1))</f>
        <v/>
      </c>
    </row>
    <row r="3089" spans="7:11" x14ac:dyDescent="0.25">
      <c r="G3089" s="1" t="str">
        <f>IF(Table2[[#This Row],[Description]]="","",VLOOKUP(Table2[[#This Row],[Description]],$Q$1:$S$101,2,FALSE))</f>
        <v/>
      </c>
      <c r="H3089" s="1" t="str">
        <f>IF(Table2[[#This Row],[Description]]="","",VLOOKUP(Table2[[#This Row],[Description]],$Q$1:$S$101,3,FALSE))</f>
        <v/>
      </c>
      <c r="I3089" s="1" t="str">
        <f>IF(Table2[[#This Row],[Description]]="","",IF(Table2[[#This Row],[Currency]]=$O$2,$P$2,HLOOKUP(Table2[[#This Row],[Date]],Funds!$C$10:$GV$11,2,FALSE)))</f>
        <v/>
      </c>
      <c r="J3089" s="215" t="str">
        <f>IF(Table2[[#This Row],[Description]]="","",Table2[[#This Row],[Value]]/Table2[[#This Row],[Conversion]])</f>
        <v/>
      </c>
      <c r="K3089" s="45" t="str">
        <f>IF(Table2[[#This Row],[Description]]="","",DATE(Table2[[#This Row],[Year]],Table2[[#This Row],[Month]],1))</f>
        <v/>
      </c>
    </row>
    <row r="3090" spans="7:11" x14ac:dyDescent="0.25">
      <c r="G3090" s="1" t="str">
        <f>IF(Table2[[#This Row],[Description]]="","",VLOOKUP(Table2[[#This Row],[Description]],$Q$1:$S$101,2,FALSE))</f>
        <v/>
      </c>
      <c r="H3090" s="1" t="str">
        <f>IF(Table2[[#This Row],[Description]]="","",VLOOKUP(Table2[[#This Row],[Description]],$Q$1:$S$101,3,FALSE))</f>
        <v/>
      </c>
      <c r="I3090" s="1" t="str">
        <f>IF(Table2[[#This Row],[Description]]="","",IF(Table2[[#This Row],[Currency]]=$O$2,$P$2,HLOOKUP(Table2[[#This Row],[Date]],Funds!$C$10:$GV$11,2,FALSE)))</f>
        <v/>
      </c>
      <c r="J3090" s="215" t="str">
        <f>IF(Table2[[#This Row],[Description]]="","",Table2[[#This Row],[Value]]/Table2[[#This Row],[Conversion]])</f>
        <v/>
      </c>
      <c r="K3090" s="45" t="str">
        <f>IF(Table2[[#This Row],[Description]]="","",DATE(Table2[[#This Row],[Year]],Table2[[#This Row],[Month]],1))</f>
        <v/>
      </c>
    </row>
    <row r="3091" spans="7:11" x14ac:dyDescent="0.25">
      <c r="G3091" s="1" t="str">
        <f>IF(Table2[[#This Row],[Description]]="","",VLOOKUP(Table2[[#This Row],[Description]],$Q$1:$S$101,2,FALSE))</f>
        <v/>
      </c>
      <c r="H3091" s="1" t="str">
        <f>IF(Table2[[#This Row],[Description]]="","",VLOOKUP(Table2[[#This Row],[Description]],$Q$1:$S$101,3,FALSE))</f>
        <v/>
      </c>
      <c r="I3091" s="1" t="str">
        <f>IF(Table2[[#This Row],[Description]]="","",IF(Table2[[#This Row],[Currency]]=$O$2,$P$2,HLOOKUP(Table2[[#This Row],[Date]],Funds!$C$10:$GV$11,2,FALSE)))</f>
        <v/>
      </c>
      <c r="J3091" s="215" t="str">
        <f>IF(Table2[[#This Row],[Description]]="","",Table2[[#This Row],[Value]]/Table2[[#This Row],[Conversion]])</f>
        <v/>
      </c>
      <c r="K3091" s="45" t="str">
        <f>IF(Table2[[#This Row],[Description]]="","",DATE(Table2[[#This Row],[Year]],Table2[[#This Row],[Month]],1))</f>
        <v/>
      </c>
    </row>
    <row r="3092" spans="7:11" x14ac:dyDescent="0.25">
      <c r="G3092" s="1" t="str">
        <f>IF(Table2[[#This Row],[Description]]="","",VLOOKUP(Table2[[#This Row],[Description]],$Q$1:$S$101,2,FALSE))</f>
        <v/>
      </c>
      <c r="H3092" s="1" t="str">
        <f>IF(Table2[[#This Row],[Description]]="","",VLOOKUP(Table2[[#This Row],[Description]],$Q$1:$S$101,3,FALSE))</f>
        <v/>
      </c>
      <c r="I3092" s="1" t="str">
        <f>IF(Table2[[#This Row],[Description]]="","",IF(Table2[[#This Row],[Currency]]=$O$2,$P$2,HLOOKUP(Table2[[#This Row],[Date]],Funds!$C$10:$GV$11,2,FALSE)))</f>
        <v/>
      </c>
      <c r="J3092" s="215" t="str">
        <f>IF(Table2[[#This Row],[Description]]="","",Table2[[#This Row],[Value]]/Table2[[#This Row],[Conversion]])</f>
        <v/>
      </c>
      <c r="K3092" s="45" t="str">
        <f>IF(Table2[[#This Row],[Description]]="","",DATE(Table2[[#This Row],[Year]],Table2[[#This Row],[Month]],1))</f>
        <v/>
      </c>
    </row>
    <row r="3093" spans="7:11" x14ac:dyDescent="0.25">
      <c r="G3093" s="1" t="str">
        <f>IF(Table2[[#This Row],[Description]]="","",VLOOKUP(Table2[[#This Row],[Description]],$Q$1:$S$101,2,FALSE))</f>
        <v/>
      </c>
      <c r="H3093" s="1" t="str">
        <f>IF(Table2[[#This Row],[Description]]="","",VLOOKUP(Table2[[#This Row],[Description]],$Q$1:$S$101,3,FALSE))</f>
        <v/>
      </c>
      <c r="I3093" s="1" t="str">
        <f>IF(Table2[[#This Row],[Description]]="","",IF(Table2[[#This Row],[Currency]]=$O$2,$P$2,HLOOKUP(Table2[[#This Row],[Date]],Funds!$C$10:$GV$11,2,FALSE)))</f>
        <v/>
      </c>
      <c r="J3093" s="215" t="str">
        <f>IF(Table2[[#This Row],[Description]]="","",Table2[[#This Row],[Value]]/Table2[[#This Row],[Conversion]])</f>
        <v/>
      </c>
      <c r="K3093" s="45" t="str">
        <f>IF(Table2[[#This Row],[Description]]="","",DATE(Table2[[#This Row],[Year]],Table2[[#This Row],[Month]],1))</f>
        <v/>
      </c>
    </row>
    <row r="3094" spans="7:11" x14ac:dyDescent="0.25">
      <c r="G3094" s="1" t="str">
        <f>IF(Table2[[#This Row],[Description]]="","",VLOOKUP(Table2[[#This Row],[Description]],$Q$1:$S$101,2,FALSE))</f>
        <v/>
      </c>
      <c r="H3094" s="1" t="str">
        <f>IF(Table2[[#This Row],[Description]]="","",VLOOKUP(Table2[[#This Row],[Description]],$Q$1:$S$101,3,FALSE))</f>
        <v/>
      </c>
      <c r="I3094" s="1" t="str">
        <f>IF(Table2[[#This Row],[Description]]="","",IF(Table2[[#This Row],[Currency]]=$O$2,$P$2,HLOOKUP(Table2[[#This Row],[Date]],Funds!$C$10:$GV$11,2,FALSE)))</f>
        <v/>
      </c>
      <c r="J3094" s="215" t="str">
        <f>IF(Table2[[#This Row],[Description]]="","",Table2[[#This Row],[Value]]/Table2[[#This Row],[Conversion]])</f>
        <v/>
      </c>
      <c r="K3094" s="45" t="str">
        <f>IF(Table2[[#This Row],[Description]]="","",DATE(Table2[[#This Row],[Year]],Table2[[#This Row],[Month]],1))</f>
        <v/>
      </c>
    </row>
    <row r="3095" spans="7:11" x14ac:dyDescent="0.25">
      <c r="G3095" s="1" t="str">
        <f>IF(Table2[[#This Row],[Description]]="","",VLOOKUP(Table2[[#This Row],[Description]],$Q$1:$S$101,2,FALSE))</f>
        <v/>
      </c>
      <c r="H3095" s="1" t="str">
        <f>IF(Table2[[#This Row],[Description]]="","",VLOOKUP(Table2[[#This Row],[Description]],$Q$1:$S$101,3,FALSE))</f>
        <v/>
      </c>
      <c r="I3095" s="1" t="str">
        <f>IF(Table2[[#This Row],[Description]]="","",IF(Table2[[#This Row],[Currency]]=$O$2,$P$2,HLOOKUP(Table2[[#This Row],[Date]],Funds!$C$10:$GV$11,2,FALSE)))</f>
        <v/>
      </c>
      <c r="J3095" s="215" t="str">
        <f>IF(Table2[[#This Row],[Description]]="","",Table2[[#This Row],[Value]]/Table2[[#This Row],[Conversion]])</f>
        <v/>
      </c>
      <c r="K3095" s="45" t="str">
        <f>IF(Table2[[#This Row],[Description]]="","",DATE(Table2[[#This Row],[Year]],Table2[[#This Row],[Month]],1))</f>
        <v/>
      </c>
    </row>
    <row r="3096" spans="7:11" x14ac:dyDescent="0.25">
      <c r="G3096" s="1" t="str">
        <f>IF(Table2[[#This Row],[Description]]="","",VLOOKUP(Table2[[#This Row],[Description]],$Q$1:$S$101,2,FALSE))</f>
        <v/>
      </c>
      <c r="H3096" s="1" t="str">
        <f>IF(Table2[[#This Row],[Description]]="","",VLOOKUP(Table2[[#This Row],[Description]],$Q$1:$S$101,3,FALSE))</f>
        <v/>
      </c>
      <c r="I3096" s="1" t="str">
        <f>IF(Table2[[#This Row],[Description]]="","",IF(Table2[[#This Row],[Currency]]=$O$2,$P$2,HLOOKUP(Table2[[#This Row],[Date]],Funds!$C$10:$GV$11,2,FALSE)))</f>
        <v/>
      </c>
      <c r="J3096" s="215" t="str">
        <f>IF(Table2[[#This Row],[Description]]="","",Table2[[#This Row],[Value]]/Table2[[#This Row],[Conversion]])</f>
        <v/>
      </c>
      <c r="K3096" s="45" t="str">
        <f>IF(Table2[[#This Row],[Description]]="","",DATE(Table2[[#This Row],[Year]],Table2[[#This Row],[Month]],1))</f>
        <v/>
      </c>
    </row>
    <row r="3097" spans="7:11" x14ac:dyDescent="0.25">
      <c r="G3097" s="1" t="str">
        <f>IF(Table2[[#This Row],[Description]]="","",VLOOKUP(Table2[[#This Row],[Description]],$Q$1:$S$101,2,FALSE))</f>
        <v/>
      </c>
      <c r="H3097" s="1" t="str">
        <f>IF(Table2[[#This Row],[Description]]="","",VLOOKUP(Table2[[#This Row],[Description]],$Q$1:$S$101,3,FALSE))</f>
        <v/>
      </c>
      <c r="I3097" s="1" t="str">
        <f>IF(Table2[[#This Row],[Description]]="","",IF(Table2[[#This Row],[Currency]]=$O$2,$P$2,HLOOKUP(Table2[[#This Row],[Date]],Funds!$C$10:$GV$11,2,FALSE)))</f>
        <v/>
      </c>
      <c r="J3097" s="215" t="str">
        <f>IF(Table2[[#This Row],[Description]]="","",Table2[[#This Row],[Value]]/Table2[[#This Row],[Conversion]])</f>
        <v/>
      </c>
      <c r="K3097" s="45" t="str">
        <f>IF(Table2[[#This Row],[Description]]="","",DATE(Table2[[#This Row],[Year]],Table2[[#This Row],[Month]],1))</f>
        <v/>
      </c>
    </row>
    <row r="3098" spans="7:11" x14ac:dyDescent="0.25">
      <c r="G3098" s="1" t="str">
        <f>IF(Table2[[#This Row],[Description]]="","",VLOOKUP(Table2[[#This Row],[Description]],$Q$1:$S$101,2,FALSE))</f>
        <v/>
      </c>
      <c r="H3098" s="1" t="str">
        <f>IF(Table2[[#This Row],[Description]]="","",VLOOKUP(Table2[[#This Row],[Description]],$Q$1:$S$101,3,FALSE))</f>
        <v/>
      </c>
      <c r="I3098" s="1" t="str">
        <f>IF(Table2[[#This Row],[Description]]="","",IF(Table2[[#This Row],[Currency]]=$O$2,$P$2,HLOOKUP(Table2[[#This Row],[Date]],Funds!$C$10:$GV$11,2,FALSE)))</f>
        <v/>
      </c>
      <c r="J3098" s="215" t="str">
        <f>IF(Table2[[#This Row],[Description]]="","",Table2[[#This Row],[Value]]/Table2[[#This Row],[Conversion]])</f>
        <v/>
      </c>
      <c r="K3098" s="45" t="str">
        <f>IF(Table2[[#This Row],[Description]]="","",DATE(Table2[[#This Row],[Year]],Table2[[#This Row],[Month]],1))</f>
        <v/>
      </c>
    </row>
    <row r="3099" spans="7:11" x14ac:dyDescent="0.25">
      <c r="G3099" s="1" t="str">
        <f>IF(Table2[[#This Row],[Description]]="","",VLOOKUP(Table2[[#This Row],[Description]],$Q$1:$S$101,2,FALSE))</f>
        <v/>
      </c>
      <c r="H3099" s="1" t="str">
        <f>IF(Table2[[#This Row],[Description]]="","",VLOOKUP(Table2[[#This Row],[Description]],$Q$1:$S$101,3,FALSE))</f>
        <v/>
      </c>
      <c r="I3099" s="1" t="str">
        <f>IF(Table2[[#This Row],[Description]]="","",IF(Table2[[#This Row],[Currency]]=$O$2,$P$2,HLOOKUP(Table2[[#This Row],[Date]],Funds!$C$10:$GV$11,2,FALSE)))</f>
        <v/>
      </c>
      <c r="J3099" s="215" t="str">
        <f>IF(Table2[[#This Row],[Description]]="","",Table2[[#This Row],[Value]]/Table2[[#This Row],[Conversion]])</f>
        <v/>
      </c>
      <c r="K3099" s="45" t="str">
        <f>IF(Table2[[#This Row],[Description]]="","",DATE(Table2[[#This Row],[Year]],Table2[[#This Row],[Month]],1))</f>
        <v/>
      </c>
    </row>
    <row r="3100" spans="7:11" x14ac:dyDescent="0.25">
      <c r="G3100" s="1" t="str">
        <f>IF(Table2[[#This Row],[Description]]="","",VLOOKUP(Table2[[#This Row],[Description]],$Q$1:$S$101,2,FALSE))</f>
        <v/>
      </c>
      <c r="H3100" s="1" t="str">
        <f>IF(Table2[[#This Row],[Description]]="","",VLOOKUP(Table2[[#This Row],[Description]],$Q$1:$S$101,3,FALSE))</f>
        <v/>
      </c>
      <c r="I3100" s="1" t="str">
        <f>IF(Table2[[#This Row],[Description]]="","",IF(Table2[[#This Row],[Currency]]=$O$2,$P$2,HLOOKUP(Table2[[#This Row],[Date]],Funds!$C$10:$GV$11,2,FALSE)))</f>
        <v/>
      </c>
      <c r="J3100" s="215" t="str">
        <f>IF(Table2[[#This Row],[Description]]="","",Table2[[#This Row],[Value]]/Table2[[#This Row],[Conversion]])</f>
        <v/>
      </c>
      <c r="K3100" s="45" t="str">
        <f>IF(Table2[[#This Row],[Description]]="","",DATE(Table2[[#This Row],[Year]],Table2[[#This Row],[Month]],1))</f>
        <v/>
      </c>
    </row>
    <row r="3101" spans="7:11" x14ac:dyDescent="0.25">
      <c r="G3101" s="1" t="str">
        <f>IF(Table2[[#This Row],[Description]]="","",VLOOKUP(Table2[[#This Row],[Description]],$Q$1:$S$101,2,FALSE))</f>
        <v/>
      </c>
      <c r="H3101" s="1" t="str">
        <f>IF(Table2[[#This Row],[Description]]="","",VLOOKUP(Table2[[#This Row],[Description]],$Q$1:$S$101,3,FALSE))</f>
        <v/>
      </c>
      <c r="I3101" s="1" t="str">
        <f>IF(Table2[[#This Row],[Description]]="","",IF(Table2[[#This Row],[Currency]]=$O$2,$P$2,HLOOKUP(Table2[[#This Row],[Date]],Funds!$C$10:$GV$11,2,FALSE)))</f>
        <v/>
      </c>
      <c r="J3101" s="215" t="str">
        <f>IF(Table2[[#This Row],[Description]]="","",Table2[[#This Row],[Value]]/Table2[[#This Row],[Conversion]])</f>
        <v/>
      </c>
      <c r="K3101" s="45" t="str">
        <f>IF(Table2[[#This Row],[Description]]="","",DATE(Table2[[#This Row],[Year]],Table2[[#This Row],[Month]],1))</f>
        <v/>
      </c>
    </row>
    <row r="3102" spans="7:11" x14ac:dyDescent="0.25">
      <c r="G3102" s="1" t="str">
        <f>IF(Table2[[#This Row],[Description]]="","",VLOOKUP(Table2[[#This Row],[Description]],$Q$1:$S$101,2,FALSE))</f>
        <v/>
      </c>
      <c r="H3102" s="1" t="str">
        <f>IF(Table2[[#This Row],[Description]]="","",VLOOKUP(Table2[[#This Row],[Description]],$Q$1:$S$101,3,FALSE))</f>
        <v/>
      </c>
      <c r="I3102" s="1" t="str">
        <f>IF(Table2[[#This Row],[Description]]="","",IF(Table2[[#This Row],[Currency]]=$O$2,$P$2,HLOOKUP(Table2[[#This Row],[Date]],Funds!$C$10:$GV$11,2,FALSE)))</f>
        <v/>
      </c>
      <c r="J3102" s="215" t="str">
        <f>IF(Table2[[#This Row],[Description]]="","",Table2[[#This Row],[Value]]/Table2[[#This Row],[Conversion]])</f>
        <v/>
      </c>
      <c r="K3102" s="45" t="str">
        <f>IF(Table2[[#This Row],[Description]]="","",DATE(Table2[[#This Row],[Year]],Table2[[#This Row],[Month]],1))</f>
        <v/>
      </c>
    </row>
    <row r="3103" spans="7:11" x14ac:dyDescent="0.25">
      <c r="G3103" s="1" t="str">
        <f>IF(Table2[[#This Row],[Description]]="","",VLOOKUP(Table2[[#This Row],[Description]],$Q$1:$S$101,2,FALSE))</f>
        <v/>
      </c>
      <c r="H3103" s="1" t="str">
        <f>IF(Table2[[#This Row],[Description]]="","",VLOOKUP(Table2[[#This Row],[Description]],$Q$1:$S$101,3,FALSE))</f>
        <v/>
      </c>
      <c r="I3103" s="1" t="str">
        <f>IF(Table2[[#This Row],[Description]]="","",IF(Table2[[#This Row],[Currency]]=$O$2,$P$2,HLOOKUP(Table2[[#This Row],[Date]],Funds!$C$10:$GV$11,2,FALSE)))</f>
        <v/>
      </c>
      <c r="J3103" s="215" t="str">
        <f>IF(Table2[[#This Row],[Description]]="","",Table2[[#This Row],[Value]]/Table2[[#This Row],[Conversion]])</f>
        <v/>
      </c>
      <c r="K3103" s="45" t="str">
        <f>IF(Table2[[#This Row],[Description]]="","",DATE(Table2[[#This Row],[Year]],Table2[[#This Row],[Month]],1))</f>
        <v/>
      </c>
    </row>
    <row r="3104" spans="7:11" x14ac:dyDescent="0.25">
      <c r="G3104" s="1" t="str">
        <f>IF(Table2[[#This Row],[Description]]="","",VLOOKUP(Table2[[#This Row],[Description]],$Q$1:$S$101,2,FALSE))</f>
        <v/>
      </c>
      <c r="H3104" s="1" t="str">
        <f>IF(Table2[[#This Row],[Description]]="","",VLOOKUP(Table2[[#This Row],[Description]],$Q$1:$S$101,3,FALSE))</f>
        <v/>
      </c>
      <c r="I3104" s="1" t="str">
        <f>IF(Table2[[#This Row],[Description]]="","",IF(Table2[[#This Row],[Currency]]=$O$2,$P$2,HLOOKUP(Table2[[#This Row],[Date]],Funds!$C$10:$GV$11,2,FALSE)))</f>
        <v/>
      </c>
      <c r="J3104" s="215" t="str">
        <f>IF(Table2[[#This Row],[Description]]="","",Table2[[#This Row],[Value]]/Table2[[#This Row],[Conversion]])</f>
        <v/>
      </c>
      <c r="K3104" s="45" t="str">
        <f>IF(Table2[[#This Row],[Description]]="","",DATE(Table2[[#This Row],[Year]],Table2[[#This Row],[Month]],1))</f>
        <v/>
      </c>
    </row>
    <row r="3105" spans="7:11" x14ac:dyDescent="0.25">
      <c r="G3105" s="1" t="str">
        <f>IF(Table2[[#This Row],[Description]]="","",VLOOKUP(Table2[[#This Row],[Description]],$Q$1:$S$101,2,FALSE))</f>
        <v/>
      </c>
      <c r="H3105" s="1" t="str">
        <f>IF(Table2[[#This Row],[Description]]="","",VLOOKUP(Table2[[#This Row],[Description]],$Q$1:$S$101,3,FALSE))</f>
        <v/>
      </c>
      <c r="I3105" s="1" t="str">
        <f>IF(Table2[[#This Row],[Description]]="","",IF(Table2[[#This Row],[Currency]]=$O$2,$P$2,HLOOKUP(Table2[[#This Row],[Date]],Funds!$C$10:$GV$11,2,FALSE)))</f>
        <v/>
      </c>
      <c r="J3105" s="215" t="str">
        <f>IF(Table2[[#This Row],[Description]]="","",Table2[[#This Row],[Value]]/Table2[[#This Row],[Conversion]])</f>
        <v/>
      </c>
      <c r="K3105" s="45" t="str">
        <f>IF(Table2[[#This Row],[Description]]="","",DATE(Table2[[#This Row],[Year]],Table2[[#This Row],[Month]],1))</f>
        <v/>
      </c>
    </row>
    <row r="3106" spans="7:11" x14ac:dyDescent="0.25">
      <c r="G3106" s="1" t="str">
        <f>IF(Table2[[#This Row],[Description]]="","",VLOOKUP(Table2[[#This Row],[Description]],$Q$1:$S$101,2,FALSE))</f>
        <v/>
      </c>
      <c r="H3106" s="1" t="str">
        <f>IF(Table2[[#This Row],[Description]]="","",VLOOKUP(Table2[[#This Row],[Description]],$Q$1:$S$101,3,FALSE))</f>
        <v/>
      </c>
      <c r="I3106" s="1" t="str">
        <f>IF(Table2[[#This Row],[Description]]="","",IF(Table2[[#This Row],[Currency]]=$O$2,$P$2,HLOOKUP(Table2[[#This Row],[Date]],Funds!$C$10:$GV$11,2,FALSE)))</f>
        <v/>
      </c>
      <c r="J3106" s="215" t="str">
        <f>IF(Table2[[#This Row],[Description]]="","",Table2[[#This Row],[Value]]/Table2[[#This Row],[Conversion]])</f>
        <v/>
      </c>
      <c r="K3106" s="45" t="str">
        <f>IF(Table2[[#This Row],[Description]]="","",DATE(Table2[[#This Row],[Year]],Table2[[#This Row],[Month]],1))</f>
        <v/>
      </c>
    </row>
    <row r="3107" spans="7:11" x14ac:dyDescent="0.25">
      <c r="G3107" s="1" t="str">
        <f>IF(Table2[[#This Row],[Description]]="","",VLOOKUP(Table2[[#This Row],[Description]],$Q$1:$S$101,2,FALSE))</f>
        <v/>
      </c>
      <c r="H3107" s="1" t="str">
        <f>IF(Table2[[#This Row],[Description]]="","",VLOOKUP(Table2[[#This Row],[Description]],$Q$1:$S$101,3,FALSE))</f>
        <v/>
      </c>
      <c r="I3107" s="1" t="str">
        <f>IF(Table2[[#This Row],[Description]]="","",IF(Table2[[#This Row],[Currency]]=$O$2,$P$2,HLOOKUP(Table2[[#This Row],[Date]],Funds!$C$10:$GV$11,2,FALSE)))</f>
        <v/>
      </c>
      <c r="J3107" s="215" t="str">
        <f>IF(Table2[[#This Row],[Description]]="","",Table2[[#This Row],[Value]]/Table2[[#This Row],[Conversion]])</f>
        <v/>
      </c>
      <c r="K3107" s="45" t="str">
        <f>IF(Table2[[#This Row],[Description]]="","",DATE(Table2[[#This Row],[Year]],Table2[[#This Row],[Month]],1))</f>
        <v/>
      </c>
    </row>
    <row r="3108" spans="7:11" x14ac:dyDescent="0.25">
      <c r="G3108" s="1" t="str">
        <f>IF(Table2[[#This Row],[Description]]="","",VLOOKUP(Table2[[#This Row],[Description]],$Q$1:$S$101,2,FALSE))</f>
        <v/>
      </c>
      <c r="H3108" s="1" t="str">
        <f>IF(Table2[[#This Row],[Description]]="","",VLOOKUP(Table2[[#This Row],[Description]],$Q$1:$S$101,3,FALSE))</f>
        <v/>
      </c>
      <c r="I3108" s="1" t="str">
        <f>IF(Table2[[#This Row],[Description]]="","",IF(Table2[[#This Row],[Currency]]=$O$2,$P$2,HLOOKUP(Table2[[#This Row],[Date]],Funds!$C$10:$GV$11,2,FALSE)))</f>
        <v/>
      </c>
      <c r="J3108" s="215" t="str">
        <f>IF(Table2[[#This Row],[Description]]="","",Table2[[#This Row],[Value]]/Table2[[#This Row],[Conversion]])</f>
        <v/>
      </c>
      <c r="K3108" s="45" t="str">
        <f>IF(Table2[[#This Row],[Description]]="","",DATE(Table2[[#This Row],[Year]],Table2[[#This Row],[Month]],1))</f>
        <v/>
      </c>
    </row>
    <row r="3109" spans="7:11" x14ac:dyDescent="0.25">
      <c r="G3109" s="1" t="str">
        <f>IF(Table2[[#This Row],[Description]]="","",VLOOKUP(Table2[[#This Row],[Description]],$Q$1:$S$101,2,FALSE))</f>
        <v/>
      </c>
      <c r="H3109" s="1" t="str">
        <f>IF(Table2[[#This Row],[Description]]="","",VLOOKUP(Table2[[#This Row],[Description]],$Q$1:$S$101,3,FALSE))</f>
        <v/>
      </c>
      <c r="I3109" s="1" t="str">
        <f>IF(Table2[[#This Row],[Description]]="","",IF(Table2[[#This Row],[Currency]]=$O$2,$P$2,HLOOKUP(Table2[[#This Row],[Date]],Funds!$C$10:$GV$11,2,FALSE)))</f>
        <v/>
      </c>
      <c r="J3109" s="215" t="str">
        <f>IF(Table2[[#This Row],[Description]]="","",Table2[[#This Row],[Value]]/Table2[[#This Row],[Conversion]])</f>
        <v/>
      </c>
      <c r="K3109" s="45" t="str">
        <f>IF(Table2[[#This Row],[Description]]="","",DATE(Table2[[#This Row],[Year]],Table2[[#This Row],[Month]],1))</f>
        <v/>
      </c>
    </row>
    <row r="3110" spans="7:11" x14ac:dyDescent="0.25">
      <c r="G3110" s="1" t="str">
        <f>IF(Table2[[#This Row],[Description]]="","",VLOOKUP(Table2[[#This Row],[Description]],$Q$1:$S$101,2,FALSE))</f>
        <v/>
      </c>
      <c r="H3110" s="1" t="str">
        <f>IF(Table2[[#This Row],[Description]]="","",VLOOKUP(Table2[[#This Row],[Description]],$Q$1:$S$101,3,FALSE))</f>
        <v/>
      </c>
      <c r="I3110" s="1" t="str">
        <f>IF(Table2[[#This Row],[Description]]="","",IF(Table2[[#This Row],[Currency]]=$O$2,$P$2,HLOOKUP(Table2[[#This Row],[Date]],Funds!$C$10:$GV$11,2,FALSE)))</f>
        <v/>
      </c>
      <c r="J3110" s="215" t="str">
        <f>IF(Table2[[#This Row],[Description]]="","",Table2[[#This Row],[Value]]/Table2[[#This Row],[Conversion]])</f>
        <v/>
      </c>
      <c r="K3110" s="45" t="str">
        <f>IF(Table2[[#This Row],[Description]]="","",DATE(Table2[[#This Row],[Year]],Table2[[#This Row],[Month]],1))</f>
        <v/>
      </c>
    </row>
    <row r="3111" spans="7:11" x14ac:dyDescent="0.25">
      <c r="G3111" s="1" t="str">
        <f>IF(Table2[[#This Row],[Description]]="","",VLOOKUP(Table2[[#This Row],[Description]],$Q$1:$S$101,2,FALSE))</f>
        <v/>
      </c>
      <c r="H3111" s="1" t="str">
        <f>IF(Table2[[#This Row],[Description]]="","",VLOOKUP(Table2[[#This Row],[Description]],$Q$1:$S$101,3,FALSE))</f>
        <v/>
      </c>
      <c r="I3111" s="1" t="str">
        <f>IF(Table2[[#This Row],[Description]]="","",IF(Table2[[#This Row],[Currency]]=$O$2,$P$2,HLOOKUP(Table2[[#This Row],[Date]],Funds!$C$10:$GV$11,2,FALSE)))</f>
        <v/>
      </c>
      <c r="J3111" s="215" t="str">
        <f>IF(Table2[[#This Row],[Description]]="","",Table2[[#This Row],[Value]]/Table2[[#This Row],[Conversion]])</f>
        <v/>
      </c>
      <c r="K3111" s="45" t="str">
        <f>IF(Table2[[#This Row],[Description]]="","",DATE(Table2[[#This Row],[Year]],Table2[[#This Row],[Month]],1))</f>
        <v/>
      </c>
    </row>
    <row r="3112" spans="7:11" x14ac:dyDescent="0.25">
      <c r="G3112" s="1" t="str">
        <f>IF(Table2[[#This Row],[Description]]="","",VLOOKUP(Table2[[#This Row],[Description]],$Q$1:$S$101,2,FALSE))</f>
        <v/>
      </c>
      <c r="H3112" s="1" t="str">
        <f>IF(Table2[[#This Row],[Description]]="","",VLOOKUP(Table2[[#This Row],[Description]],$Q$1:$S$101,3,FALSE))</f>
        <v/>
      </c>
      <c r="I3112" s="1" t="str">
        <f>IF(Table2[[#This Row],[Description]]="","",IF(Table2[[#This Row],[Currency]]=$O$2,$P$2,HLOOKUP(Table2[[#This Row],[Date]],Funds!$C$10:$GV$11,2,FALSE)))</f>
        <v/>
      </c>
      <c r="J3112" s="215" t="str">
        <f>IF(Table2[[#This Row],[Description]]="","",Table2[[#This Row],[Value]]/Table2[[#This Row],[Conversion]])</f>
        <v/>
      </c>
      <c r="K3112" s="45" t="str">
        <f>IF(Table2[[#This Row],[Description]]="","",DATE(Table2[[#This Row],[Year]],Table2[[#This Row],[Month]],1))</f>
        <v/>
      </c>
    </row>
    <row r="3113" spans="7:11" x14ac:dyDescent="0.25">
      <c r="G3113" s="1" t="str">
        <f>IF(Table2[[#This Row],[Description]]="","",VLOOKUP(Table2[[#This Row],[Description]],$Q$1:$S$101,2,FALSE))</f>
        <v/>
      </c>
      <c r="H3113" s="1" t="str">
        <f>IF(Table2[[#This Row],[Description]]="","",VLOOKUP(Table2[[#This Row],[Description]],$Q$1:$S$101,3,FALSE))</f>
        <v/>
      </c>
      <c r="I3113" s="1" t="str">
        <f>IF(Table2[[#This Row],[Description]]="","",IF(Table2[[#This Row],[Currency]]=$O$2,$P$2,HLOOKUP(Table2[[#This Row],[Date]],Funds!$C$10:$GV$11,2,FALSE)))</f>
        <v/>
      </c>
      <c r="J3113" s="215" t="str">
        <f>IF(Table2[[#This Row],[Description]]="","",Table2[[#This Row],[Value]]/Table2[[#This Row],[Conversion]])</f>
        <v/>
      </c>
      <c r="K3113" s="45" t="str">
        <f>IF(Table2[[#This Row],[Description]]="","",DATE(Table2[[#This Row],[Year]],Table2[[#This Row],[Month]],1))</f>
        <v/>
      </c>
    </row>
    <row r="3114" spans="7:11" x14ac:dyDescent="0.25">
      <c r="G3114" s="1" t="str">
        <f>IF(Table2[[#This Row],[Description]]="","",VLOOKUP(Table2[[#This Row],[Description]],$Q$1:$S$101,2,FALSE))</f>
        <v/>
      </c>
      <c r="H3114" s="1" t="str">
        <f>IF(Table2[[#This Row],[Description]]="","",VLOOKUP(Table2[[#This Row],[Description]],$Q$1:$S$101,3,FALSE))</f>
        <v/>
      </c>
      <c r="I3114" s="1" t="str">
        <f>IF(Table2[[#This Row],[Description]]="","",IF(Table2[[#This Row],[Currency]]=$O$2,$P$2,HLOOKUP(Table2[[#This Row],[Date]],Funds!$C$10:$GV$11,2,FALSE)))</f>
        <v/>
      </c>
      <c r="J3114" s="215" t="str">
        <f>IF(Table2[[#This Row],[Description]]="","",Table2[[#This Row],[Value]]/Table2[[#This Row],[Conversion]])</f>
        <v/>
      </c>
      <c r="K3114" s="45" t="str">
        <f>IF(Table2[[#This Row],[Description]]="","",DATE(Table2[[#This Row],[Year]],Table2[[#This Row],[Month]],1))</f>
        <v/>
      </c>
    </row>
    <row r="3115" spans="7:11" x14ac:dyDescent="0.25">
      <c r="G3115" s="1" t="str">
        <f>IF(Table2[[#This Row],[Description]]="","",VLOOKUP(Table2[[#This Row],[Description]],$Q$1:$S$101,2,FALSE))</f>
        <v/>
      </c>
      <c r="H3115" s="1" t="str">
        <f>IF(Table2[[#This Row],[Description]]="","",VLOOKUP(Table2[[#This Row],[Description]],$Q$1:$S$101,3,FALSE))</f>
        <v/>
      </c>
      <c r="I3115" s="1" t="str">
        <f>IF(Table2[[#This Row],[Description]]="","",IF(Table2[[#This Row],[Currency]]=$O$2,$P$2,HLOOKUP(Table2[[#This Row],[Date]],Funds!$C$10:$GV$11,2,FALSE)))</f>
        <v/>
      </c>
      <c r="J3115" s="215" t="str">
        <f>IF(Table2[[#This Row],[Description]]="","",Table2[[#This Row],[Value]]/Table2[[#This Row],[Conversion]])</f>
        <v/>
      </c>
      <c r="K3115" s="45" t="str">
        <f>IF(Table2[[#This Row],[Description]]="","",DATE(Table2[[#This Row],[Year]],Table2[[#This Row],[Month]],1))</f>
        <v/>
      </c>
    </row>
    <row r="3116" spans="7:11" x14ac:dyDescent="0.25">
      <c r="G3116" s="1" t="str">
        <f>IF(Table2[[#This Row],[Description]]="","",VLOOKUP(Table2[[#This Row],[Description]],$Q$1:$S$101,2,FALSE))</f>
        <v/>
      </c>
      <c r="H3116" s="1" t="str">
        <f>IF(Table2[[#This Row],[Description]]="","",VLOOKUP(Table2[[#This Row],[Description]],$Q$1:$S$101,3,FALSE))</f>
        <v/>
      </c>
      <c r="I3116" s="1" t="str">
        <f>IF(Table2[[#This Row],[Description]]="","",IF(Table2[[#This Row],[Currency]]=$O$2,$P$2,HLOOKUP(Table2[[#This Row],[Date]],Funds!$C$10:$GV$11,2,FALSE)))</f>
        <v/>
      </c>
      <c r="J3116" s="215" t="str">
        <f>IF(Table2[[#This Row],[Description]]="","",Table2[[#This Row],[Value]]/Table2[[#This Row],[Conversion]])</f>
        <v/>
      </c>
      <c r="K3116" s="45" t="str">
        <f>IF(Table2[[#This Row],[Description]]="","",DATE(Table2[[#This Row],[Year]],Table2[[#This Row],[Month]],1))</f>
        <v/>
      </c>
    </row>
    <row r="3117" spans="7:11" x14ac:dyDescent="0.25">
      <c r="G3117" s="1" t="str">
        <f>IF(Table2[[#This Row],[Description]]="","",VLOOKUP(Table2[[#This Row],[Description]],$Q$1:$S$101,2,FALSE))</f>
        <v/>
      </c>
      <c r="H3117" s="1" t="str">
        <f>IF(Table2[[#This Row],[Description]]="","",VLOOKUP(Table2[[#This Row],[Description]],$Q$1:$S$101,3,FALSE))</f>
        <v/>
      </c>
      <c r="I3117" s="1" t="str">
        <f>IF(Table2[[#This Row],[Description]]="","",IF(Table2[[#This Row],[Currency]]=$O$2,$P$2,HLOOKUP(Table2[[#This Row],[Date]],Funds!$C$10:$GV$11,2,FALSE)))</f>
        <v/>
      </c>
      <c r="J3117" s="215" t="str">
        <f>IF(Table2[[#This Row],[Description]]="","",Table2[[#This Row],[Value]]/Table2[[#This Row],[Conversion]])</f>
        <v/>
      </c>
      <c r="K3117" s="45" t="str">
        <f>IF(Table2[[#This Row],[Description]]="","",DATE(Table2[[#This Row],[Year]],Table2[[#This Row],[Month]],1))</f>
        <v/>
      </c>
    </row>
    <row r="3118" spans="7:11" x14ac:dyDescent="0.25">
      <c r="G3118" s="1" t="str">
        <f>IF(Table2[[#This Row],[Description]]="","",VLOOKUP(Table2[[#This Row],[Description]],$Q$1:$S$101,2,FALSE))</f>
        <v/>
      </c>
      <c r="H3118" s="1" t="str">
        <f>IF(Table2[[#This Row],[Description]]="","",VLOOKUP(Table2[[#This Row],[Description]],$Q$1:$S$101,3,FALSE))</f>
        <v/>
      </c>
      <c r="I3118" s="1" t="str">
        <f>IF(Table2[[#This Row],[Description]]="","",IF(Table2[[#This Row],[Currency]]=$O$2,$P$2,HLOOKUP(Table2[[#This Row],[Date]],Funds!$C$10:$GV$11,2,FALSE)))</f>
        <v/>
      </c>
      <c r="J3118" s="215" t="str">
        <f>IF(Table2[[#This Row],[Description]]="","",Table2[[#This Row],[Value]]/Table2[[#This Row],[Conversion]])</f>
        <v/>
      </c>
      <c r="K3118" s="45" t="str">
        <f>IF(Table2[[#This Row],[Description]]="","",DATE(Table2[[#This Row],[Year]],Table2[[#This Row],[Month]],1))</f>
        <v/>
      </c>
    </row>
    <row r="3119" spans="7:11" x14ac:dyDescent="0.25">
      <c r="G3119" s="1" t="str">
        <f>IF(Table2[[#This Row],[Description]]="","",VLOOKUP(Table2[[#This Row],[Description]],$Q$1:$S$101,2,FALSE))</f>
        <v/>
      </c>
      <c r="H3119" s="1" t="str">
        <f>IF(Table2[[#This Row],[Description]]="","",VLOOKUP(Table2[[#This Row],[Description]],$Q$1:$S$101,3,FALSE))</f>
        <v/>
      </c>
      <c r="I3119" s="1" t="str">
        <f>IF(Table2[[#This Row],[Description]]="","",IF(Table2[[#This Row],[Currency]]=$O$2,$P$2,HLOOKUP(Table2[[#This Row],[Date]],Funds!$C$10:$GV$11,2,FALSE)))</f>
        <v/>
      </c>
      <c r="J3119" s="215" t="str">
        <f>IF(Table2[[#This Row],[Description]]="","",Table2[[#This Row],[Value]]/Table2[[#This Row],[Conversion]])</f>
        <v/>
      </c>
      <c r="K3119" s="45" t="str">
        <f>IF(Table2[[#This Row],[Description]]="","",DATE(Table2[[#This Row],[Year]],Table2[[#This Row],[Month]],1))</f>
        <v/>
      </c>
    </row>
    <row r="3120" spans="7:11" x14ac:dyDescent="0.25">
      <c r="G3120" s="1" t="str">
        <f>IF(Table2[[#This Row],[Description]]="","",VLOOKUP(Table2[[#This Row],[Description]],$Q$1:$S$101,2,FALSE))</f>
        <v/>
      </c>
      <c r="H3120" s="1" t="str">
        <f>IF(Table2[[#This Row],[Description]]="","",VLOOKUP(Table2[[#This Row],[Description]],$Q$1:$S$101,3,FALSE))</f>
        <v/>
      </c>
      <c r="I3120" s="1" t="str">
        <f>IF(Table2[[#This Row],[Description]]="","",IF(Table2[[#This Row],[Currency]]=$O$2,$P$2,HLOOKUP(Table2[[#This Row],[Date]],Funds!$C$10:$GV$11,2,FALSE)))</f>
        <v/>
      </c>
      <c r="J3120" s="215" t="str">
        <f>IF(Table2[[#This Row],[Description]]="","",Table2[[#This Row],[Value]]/Table2[[#This Row],[Conversion]])</f>
        <v/>
      </c>
      <c r="K3120" s="45" t="str">
        <f>IF(Table2[[#This Row],[Description]]="","",DATE(Table2[[#This Row],[Year]],Table2[[#This Row],[Month]],1))</f>
        <v/>
      </c>
    </row>
    <row r="3121" spans="7:11" x14ac:dyDescent="0.25">
      <c r="G3121" s="1" t="str">
        <f>IF(Table2[[#This Row],[Description]]="","",VLOOKUP(Table2[[#This Row],[Description]],$Q$1:$S$101,2,FALSE))</f>
        <v/>
      </c>
      <c r="H3121" s="1" t="str">
        <f>IF(Table2[[#This Row],[Description]]="","",VLOOKUP(Table2[[#This Row],[Description]],$Q$1:$S$101,3,FALSE))</f>
        <v/>
      </c>
      <c r="I3121" s="1" t="str">
        <f>IF(Table2[[#This Row],[Description]]="","",IF(Table2[[#This Row],[Currency]]=$O$2,$P$2,HLOOKUP(Table2[[#This Row],[Date]],Funds!$C$10:$GV$11,2,FALSE)))</f>
        <v/>
      </c>
      <c r="J3121" s="215" t="str">
        <f>IF(Table2[[#This Row],[Description]]="","",Table2[[#This Row],[Value]]/Table2[[#This Row],[Conversion]])</f>
        <v/>
      </c>
      <c r="K3121" s="45" t="str">
        <f>IF(Table2[[#This Row],[Description]]="","",DATE(Table2[[#This Row],[Year]],Table2[[#This Row],[Month]],1))</f>
        <v/>
      </c>
    </row>
    <row r="3122" spans="7:11" x14ac:dyDescent="0.25">
      <c r="G3122" s="1" t="str">
        <f>IF(Table2[[#This Row],[Description]]="","",VLOOKUP(Table2[[#This Row],[Description]],$Q$1:$S$101,2,FALSE))</f>
        <v/>
      </c>
      <c r="H3122" s="1" t="str">
        <f>IF(Table2[[#This Row],[Description]]="","",VLOOKUP(Table2[[#This Row],[Description]],$Q$1:$S$101,3,FALSE))</f>
        <v/>
      </c>
      <c r="I3122" s="1" t="str">
        <f>IF(Table2[[#This Row],[Description]]="","",IF(Table2[[#This Row],[Currency]]=$O$2,$P$2,HLOOKUP(Table2[[#This Row],[Date]],Funds!$C$10:$GV$11,2,FALSE)))</f>
        <v/>
      </c>
      <c r="J3122" s="215" t="str">
        <f>IF(Table2[[#This Row],[Description]]="","",Table2[[#This Row],[Value]]/Table2[[#This Row],[Conversion]])</f>
        <v/>
      </c>
      <c r="K3122" s="45" t="str">
        <f>IF(Table2[[#This Row],[Description]]="","",DATE(Table2[[#This Row],[Year]],Table2[[#This Row],[Month]],1))</f>
        <v/>
      </c>
    </row>
    <row r="3123" spans="7:11" x14ac:dyDescent="0.25">
      <c r="G3123" s="1" t="str">
        <f>IF(Table2[[#This Row],[Description]]="","",VLOOKUP(Table2[[#This Row],[Description]],$Q$1:$S$101,2,FALSE))</f>
        <v/>
      </c>
      <c r="H3123" s="1" t="str">
        <f>IF(Table2[[#This Row],[Description]]="","",VLOOKUP(Table2[[#This Row],[Description]],$Q$1:$S$101,3,FALSE))</f>
        <v/>
      </c>
      <c r="I3123" s="1" t="str">
        <f>IF(Table2[[#This Row],[Description]]="","",IF(Table2[[#This Row],[Currency]]=$O$2,$P$2,HLOOKUP(Table2[[#This Row],[Date]],Funds!$C$10:$GV$11,2,FALSE)))</f>
        <v/>
      </c>
      <c r="J3123" s="215" t="str">
        <f>IF(Table2[[#This Row],[Description]]="","",Table2[[#This Row],[Value]]/Table2[[#This Row],[Conversion]])</f>
        <v/>
      </c>
      <c r="K3123" s="45" t="str">
        <f>IF(Table2[[#This Row],[Description]]="","",DATE(Table2[[#This Row],[Year]],Table2[[#This Row],[Month]],1))</f>
        <v/>
      </c>
    </row>
    <row r="3124" spans="7:11" x14ac:dyDescent="0.25">
      <c r="G3124" s="1" t="str">
        <f>IF(Table2[[#This Row],[Description]]="","",VLOOKUP(Table2[[#This Row],[Description]],$Q$1:$S$101,2,FALSE))</f>
        <v/>
      </c>
      <c r="H3124" s="1" t="str">
        <f>IF(Table2[[#This Row],[Description]]="","",VLOOKUP(Table2[[#This Row],[Description]],$Q$1:$S$101,3,FALSE))</f>
        <v/>
      </c>
      <c r="I3124" s="1" t="str">
        <f>IF(Table2[[#This Row],[Description]]="","",IF(Table2[[#This Row],[Currency]]=$O$2,$P$2,HLOOKUP(Table2[[#This Row],[Date]],Funds!$C$10:$GV$11,2,FALSE)))</f>
        <v/>
      </c>
      <c r="J3124" s="215" t="str">
        <f>IF(Table2[[#This Row],[Description]]="","",Table2[[#This Row],[Value]]/Table2[[#This Row],[Conversion]])</f>
        <v/>
      </c>
      <c r="K3124" s="45" t="str">
        <f>IF(Table2[[#This Row],[Description]]="","",DATE(Table2[[#This Row],[Year]],Table2[[#This Row],[Month]],1))</f>
        <v/>
      </c>
    </row>
    <row r="3125" spans="7:11" x14ac:dyDescent="0.25">
      <c r="G3125" s="1" t="str">
        <f>IF(Table2[[#This Row],[Description]]="","",VLOOKUP(Table2[[#This Row],[Description]],$Q$1:$S$101,2,FALSE))</f>
        <v/>
      </c>
      <c r="H3125" s="1" t="str">
        <f>IF(Table2[[#This Row],[Description]]="","",VLOOKUP(Table2[[#This Row],[Description]],$Q$1:$S$101,3,FALSE))</f>
        <v/>
      </c>
      <c r="I3125" s="1" t="str">
        <f>IF(Table2[[#This Row],[Description]]="","",IF(Table2[[#This Row],[Currency]]=$O$2,$P$2,HLOOKUP(Table2[[#This Row],[Date]],Funds!$C$10:$GV$11,2,FALSE)))</f>
        <v/>
      </c>
      <c r="J3125" s="215" t="str">
        <f>IF(Table2[[#This Row],[Description]]="","",Table2[[#This Row],[Value]]/Table2[[#This Row],[Conversion]])</f>
        <v/>
      </c>
      <c r="K3125" s="45" t="str">
        <f>IF(Table2[[#This Row],[Description]]="","",DATE(Table2[[#This Row],[Year]],Table2[[#This Row],[Month]],1))</f>
        <v/>
      </c>
    </row>
    <row r="3126" spans="7:11" x14ac:dyDescent="0.25">
      <c r="G3126" s="1" t="str">
        <f>IF(Table2[[#This Row],[Description]]="","",VLOOKUP(Table2[[#This Row],[Description]],$Q$1:$S$101,2,FALSE))</f>
        <v/>
      </c>
      <c r="H3126" s="1" t="str">
        <f>IF(Table2[[#This Row],[Description]]="","",VLOOKUP(Table2[[#This Row],[Description]],$Q$1:$S$101,3,FALSE))</f>
        <v/>
      </c>
      <c r="I3126" s="1" t="str">
        <f>IF(Table2[[#This Row],[Description]]="","",IF(Table2[[#This Row],[Currency]]=$O$2,$P$2,HLOOKUP(Table2[[#This Row],[Date]],Funds!$C$10:$GV$11,2,FALSE)))</f>
        <v/>
      </c>
      <c r="J3126" s="215" t="str">
        <f>IF(Table2[[#This Row],[Description]]="","",Table2[[#This Row],[Value]]/Table2[[#This Row],[Conversion]])</f>
        <v/>
      </c>
      <c r="K3126" s="45" t="str">
        <f>IF(Table2[[#This Row],[Description]]="","",DATE(Table2[[#This Row],[Year]],Table2[[#This Row],[Month]],1))</f>
        <v/>
      </c>
    </row>
    <row r="3127" spans="7:11" x14ac:dyDescent="0.25">
      <c r="G3127" s="1" t="str">
        <f>IF(Table2[[#This Row],[Description]]="","",VLOOKUP(Table2[[#This Row],[Description]],$Q$1:$S$101,2,FALSE))</f>
        <v/>
      </c>
      <c r="H3127" s="1" t="str">
        <f>IF(Table2[[#This Row],[Description]]="","",VLOOKUP(Table2[[#This Row],[Description]],$Q$1:$S$101,3,FALSE))</f>
        <v/>
      </c>
      <c r="I3127" s="1" t="str">
        <f>IF(Table2[[#This Row],[Description]]="","",IF(Table2[[#This Row],[Currency]]=$O$2,$P$2,HLOOKUP(Table2[[#This Row],[Date]],Funds!$C$10:$GV$11,2,FALSE)))</f>
        <v/>
      </c>
      <c r="J3127" s="215" t="str">
        <f>IF(Table2[[#This Row],[Description]]="","",Table2[[#This Row],[Value]]/Table2[[#This Row],[Conversion]])</f>
        <v/>
      </c>
      <c r="K3127" s="45" t="str">
        <f>IF(Table2[[#This Row],[Description]]="","",DATE(Table2[[#This Row],[Year]],Table2[[#This Row],[Month]],1))</f>
        <v/>
      </c>
    </row>
    <row r="3128" spans="7:11" x14ac:dyDescent="0.25">
      <c r="G3128" s="1" t="str">
        <f>IF(Table2[[#This Row],[Description]]="","",VLOOKUP(Table2[[#This Row],[Description]],$Q$1:$S$101,2,FALSE))</f>
        <v/>
      </c>
      <c r="H3128" s="1" t="str">
        <f>IF(Table2[[#This Row],[Description]]="","",VLOOKUP(Table2[[#This Row],[Description]],$Q$1:$S$101,3,FALSE))</f>
        <v/>
      </c>
      <c r="I3128" s="1" t="str">
        <f>IF(Table2[[#This Row],[Description]]="","",IF(Table2[[#This Row],[Currency]]=$O$2,$P$2,HLOOKUP(Table2[[#This Row],[Date]],Funds!$C$10:$GV$11,2,FALSE)))</f>
        <v/>
      </c>
      <c r="J3128" s="215" t="str">
        <f>IF(Table2[[#This Row],[Description]]="","",Table2[[#This Row],[Value]]/Table2[[#This Row],[Conversion]])</f>
        <v/>
      </c>
      <c r="K3128" s="45" t="str">
        <f>IF(Table2[[#This Row],[Description]]="","",DATE(Table2[[#This Row],[Year]],Table2[[#This Row],[Month]],1))</f>
        <v/>
      </c>
    </row>
    <row r="3129" spans="7:11" x14ac:dyDescent="0.25">
      <c r="G3129" s="1" t="str">
        <f>IF(Table2[[#This Row],[Description]]="","",VLOOKUP(Table2[[#This Row],[Description]],$Q$1:$S$101,2,FALSE))</f>
        <v/>
      </c>
      <c r="H3129" s="1" t="str">
        <f>IF(Table2[[#This Row],[Description]]="","",VLOOKUP(Table2[[#This Row],[Description]],$Q$1:$S$101,3,FALSE))</f>
        <v/>
      </c>
      <c r="I3129" s="1" t="str">
        <f>IF(Table2[[#This Row],[Description]]="","",IF(Table2[[#This Row],[Currency]]=$O$2,$P$2,HLOOKUP(Table2[[#This Row],[Date]],Funds!$C$10:$GV$11,2,FALSE)))</f>
        <v/>
      </c>
      <c r="J3129" s="215" t="str">
        <f>IF(Table2[[#This Row],[Description]]="","",Table2[[#This Row],[Value]]/Table2[[#This Row],[Conversion]])</f>
        <v/>
      </c>
      <c r="K3129" s="45" t="str">
        <f>IF(Table2[[#This Row],[Description]]="","",DATE(Table2[[#This Row],[Year]],Table2[[#This Row],[Month]],1))</f>
        <v/>
      </c>
    </row>
    <row r="3130" spans="7:11" x14ac:dyDescent="0.25">
      <c r="G3130" s="1" t="str">
        <f>IF(Table2[[#This Row],[Description]]="","",VLOOKUP(Table2[[#This Row],[Description]],$Q$1:$S$101,2,FALSE))</f>
        <v/>
      </c>
      <c r="H3130" s="1" t="str">
        <f>IF(Table2[[#This Row],[Description]]="","",VLOOKUP(Table2[[#This Row],[Description]],$Q$1:$S$101,3,FALSE))</f>
        <v/>
      </c>
      <c r="I3130" s="1" t="str">
        <f>IF(Table2[[#This Row],[Description]]="","",IF(Table2[[#This Row],[Currency]]=$O$2,$P$2,HLOOKUP(Table2[[#This Row],[Date]],Funds!$C$10:$GV$11,2,FALSE)))</f>
        <v/>
      </c>
      <c r="J3130" s="215" t="str">
        <f>IF(Table2[[#This Row],[Description]]="","",Table2[[#This Row],[Value]]/Table2[[#This Row],[Conversion]])</f>
        <v/>
      </c>
      <c r="K3130" s="45" t="str">
        <f>IF(Table2[[#This Row],[Description]]="","",DATE(Table2[[#This Row],[Year]],Table2[[#This Row],[Month]],1))</f>
        <v/>
      </c>
    </row>
    <row r="3131" spans="7:11" x14ac:dyDescent="0.25">
      <c r="G3131" s="1" t="str">
        <f>IF(Table2[[#This Row],[Description]]="","",VLOOKUP(Table2[[#This Row],[Description]],$Q$1:$S$101,2,FALSE))</f>
        <v/>
      </c>
      <c r="H3131" s="1" t="str">
        <f>IF(Table2[[#This Row],[Description]]="","",VLOOKUP(Table2[[#This Row],[Description]],$Q$1:$S$101,3,FALSE))</f>
        <v/>
      </c>
      <c r="I3131" s="1" t="str">
        <f>IF(Table2[[#This Row],[Description]]="","",IF(Table2[[#This Row],[Currency]]=$O$2,$P$2,HLOOKUP(Table2[[#This Row],[Date]],Funds!$C$10:$GV$11,2,FALSE)))</f>
        <v/>
      </c>
      <c r="J3131" s="215" t="str">
        <f>IF(Table2[[#This Row],[Description]]="","",Table2[[#This Row],[Value]]/Table2[[#This Row],[Conversion]])</f>
        <v/>
      </c>
      <c r="K3131" s="45" t="str">
        <f>IF(Table2[[#This Row],[Description]]="","",DATE(Table2[[#This Row],[Year]],Table2[[#This Row],[Month]],1))</f>
        <v/>
      </c>
    </row>
    <row r="3132" spans="7:11" x14ac:dyDescent="0.25">
      <c r="G3132" s="1" t="str">
        <f>IF(Table2[[#This Row],[Description]]="","",VLOOKUP(Table2[[#This Row],[Description]],$Q$1:$S$101,2,FALSE))</f>
        <v/>
      </c>
      <c r="H3132" s="1" t="str">
        <f>IF(Table2[[#This Row],[Description]]="","",VLOOKUP(Table2[[#This Row],[Description]],$Q$1:$S$101,3,FALSE))</f>
        <v/>
      </c>
      <c r="I3132" s="1" t="str">
        <f>IF(Table2[[#This Row],[Description]]="","",IF(Table2[[#This Row],[Currency]]=$O$2,$P$2,HLOOKUP(Table2[[#This Row],[Date]],Funds!$C$10:$GV$11,2,FALSE)))</f>
        <v/>
      </c>
      <c r="J3132" s="215" t="str">
        <f>IF(Table2[[#This Row],[Description]]="","",Table2[[#This Row],[Value]]/Table2[[#This Row],[Conversion]])</f>
        <v/>
      </c>
      <c r="K3132" s="45" t="str">
        <f>IF(Table2[[#This Row],[Description]]="","",DATE(Table2[[#This Row],[Year]],Table2[[#This Row],[Month]],1))</f>
        <v/>
      </c>
    </row>
    <row r="3133" spans="7:11" x14ac:dyDescent="0.25">
      <c r="G3133" s="1" t="str">
        <f>IF(Table2[[#This Row],[Description]]="","",VLOOKUP(Table2[[#This Row],[Description]],$Q$1:$S$101,2,FALSE))</f>
        <v/>
      </c>
      <c r="H3133" s="1" t="str">
        <f>IF(Table2[[#This Row],[Description]]="","",VLOOKUP(Table2[[#This Row],[Description]],$Q$1:$S$101,3,FALSE))</f>
        <v/>
      </c>
      <c r="I3133" s="1" t="str">
        <f>IF(Table2[[#This Row],[Description]]="","",IF(Table2[[#This Row],[Currency]]=$O$2,$P$2,HLOOKUP(Table2[[#This Row],[Date]],Funds!$C$10:$GV$11,2,FALSE)))</f>
        <v/>
      </c>
      <c r="J3133" s="215" t="str">
        <f>IF(Table2[[#This Row],[Description]]="","",Table2[[#This Row],[Value]]/Table2[[#This Row],[Conversion]])</f>
        <v/>
      </c>
      <c r="K3133" s="45" t="str">
        <f>IF(Table2[[#This Row],[Description]]="","",DATE(Table2[[#This Row],[Year]],Table2[[#This Row],[Month]],1))</f>
        <v/>
      </c>
    </row>
    <row r="3134" spans="7:11" x14ac:dyDescent="0.25">
      <c r="G3134" s="1" t="str">
        <f>IF(Table2[[#This Row],[Description]]="","",VLOOKUP(Table2[[#This Row],[Description]],$Q$1:$S$101,2,FALSE))</f>
        <v/>
      </c>
      <c r="H3134" s="1" t="str">
        <f>IF(Table2[[#This Row],[Description]]="","",VLOOKUP(Table2[[#This Row],[Description]],$Q$1:$S$101,3,FALSE))</f>
        <v/>
      </c>
      <c r="I3134" s="1" t="str">
        <f>IF(Table2[[#This Row],[Description]]="","",IF(Table2[[#This Row],[Currency]]=$O$2,$P$2,HLOOKUP(Table2[[#This Row],[Date]],Funds!$C$10:$GV$11,2,FALSE)))</f>
        <v/>
      </c>
      <c r="J3134" s="215" t="str">
        <f>IF(Table2[[#This Row],[Description]]="","",Table2[[#This Row],[Value]]/Table2[[#This Row],[Conversion]])</f>
        <v/>
      </c>
      <c r="K3134" s="45" t="str">
        <f>IF(Table2[[#This Row],[Description]]="","",DATE(Table2[[#This Row],[Year]],Table2[[#This Row],[Month]],1))</f>
        <v/>
      </c>
    </row>
    <row r="3135" spans="7:11" x14ac:dyDescent="0.25">
      <c r="G3135" s="1" t="str">
        <f>IF(Table2[[#This Row],[Description]]="","",VLOOKUP(Table2[[#This Row],[Description]],$Q$1:$S$101,2,FALSE))</f>
        <v/>
      </c>
      <c r="H3135" s="1" t="str">
        <f>IF(Table2[[#This Row],[Description]]="","",VLOOKUP(Table2[[#This Row],[Description]],$Q$1:$S$101,3,FALSE))</f>
        <v/>
      </c>
      <c r="I3135" s="1" t="str">
        <f>IF(Table2[[#This Row],[Description]]="","",IF(Table2[[#This Row],[Currency]]=$O$2,$P$2,HLOOKUP(Table2[[#This Row],[Date]],Funds!$C$10:$GV$11,2,FALSE)))</f>
        <v/>
      </c>
      <c r="J3135" s="215" t="str">
        <f>IF(Table2[[#This Row],[Description]]="","",Table2[[#This Row],[Value]]/Table2[[#This Row],[Conversion]])</f>
        <v/>
      </c>
      <c r="K3135" s="45" t="str">
        <f>IF(Table2[[#This Row],[Description]]="","",DATE(Table2[[#This Row],[Year]],Table2[[#This Row],[Month]],1))</f>
        <v/>
      </c>
    </row>
    <row r="3136" spans="7:11" x14ac:dyDescent="0.25">
      <c r="G3136" s="1" t="str">
        <f>IF(Table2[[#This Row],[Description]]="","",VLOOKUP(Table2[[#This Row],[Description]],$Q$1:$S$101,2,FALSE))</f>
        <v/>
      </c>
      <c r="H3136" s="1" t="str">
        <f>IF(Table2[[#This Row],[Description]]="","",VLOOKUP(Table2[[#This Row],[Description]],$Q$1:$S$101,3,FALSE))</f>
        <v/>
      </c>
      <c r="I3136" s="1" t="str">
        <f>IF(Table2[[#This Row],[Description]]="","",IF(Table2[[#This Row],[Currency]]=$O$2,$P$2,HLOOKUP(Table2[[#This Row],[Date]],Funds!$C$10:$GV$11,2,FALSE)))</f>
        <v/>
      </c>
      <c r="J3136" s="215" t="str">
        <f>IF(Table2[[#This Row],[Description]]="","",Table2[[#This Row],[Value]]/Table2[[#This Row],[Conversion]])</f>
        <v/>
      </c>
      <c r="K3136" s="45" t="str">
        <f>IF(Table2[[#This Row],[Description]]="","",DATE(Table2[[#This Row],[Year]],Table2[[#This Row],[Month]],1))</f>
        <v/>
      </c>
    </row>
    <row r="3137" spans="7:11" x14ac:dyDescent="0.25">
      <c r="G3137" s="1" t="str">
        <f>IF(Table2[[#This Row],[Description]]="","",VLOOKUP(Table2[[#This Row],[Description]],$Q$1:$S$101,2,FALSE))</f>
        <v/>
      </c>
      <c r="H3137" s="1" t="str">
        <f>IF(Table2[[#This Row],[Description]]="","",VLOOKUP(Table2[[#This Row],[Description]],$Q$1:$S$101,3,FALSE))</f>
        <v/>
      </c>
      <c r="I3137" s="1" t="str">
        <f>IF(Table2[[#This Row],[Description]]="","",IF(Table2[[#This Row],[Currency]]=$O$2,$P$2,HLOOKUP(Table2[[#This Row],[Date]],Funds!$C$10:$GV$11,2,FALSE)))</f>
        <v/>
      </c>
      <c r="J3137" s="215" t="str">
        <f>IF(Table2[[#This Row],[Description]]="","",Table2[[#This Row],[Value]]/Table2[[#This Row],[Conversion]])</f>
        <v/>
      </c>
      <c r="K3137" s="45" t="str">
        <f>IF(Table2[[#This Row],[Description]]="","",DATE(Table2[[#This Row],[Year]],Table2[[#This Row],[Month]],1))</f>
        <v/>
      </c>
    </row>
    <row r="3138" spans="7:11" x14ac:dyDescent="0.25">
      <c r="G3138" s="1" t="str">
        <f>IF(Table2[[#This Row],[Description]]="","",VLOOKUP(Table2[[#This Row],[Description]],$Q$1:$S$101,2,FALSE))</f>
        <v/>
      </c>
      <c r="H3138" s="1" t="str">
        <f>IF(Table2[[#This Row],[Description]]="","",VLOOKUP(Table2[[#This Row],[Description]],$Q$1:$S$101,3,FALSE))</f>
        <v/>
      </c>
      <c r="I3138" s="1" t="str">
        <f>IF(Table2[[#This Row],[Description]]="","",IF(Table2[[#This Row],[Currency]]=$O$2,$P$2,HLOOKUP(Table2[[#This Row],[Date]],Funds!$C$10:$GV$11,2,FALSE)))</f>
        <v/>
      </c>
      <c r="J3138" s="215" t="str">
        <f>IF(Table2[[#This Row],[Description]]="","",Table2[[#This Row],[Value]]/Table2[[#This Row],[Conversion]])</f>
        <v/>
      </c>
      <c r="K3138" s="45" t="str">
        <f>IF(Table2[[#This Row],[Description]]="","",DATE(Table2[[#This Row],[Year]],Table2[[#This Row],[Month]],1))</f>
        <v/>
      </c>
    </row>
    <row r="3139" spans="7:11" x14ac:dyDescent="0.25">
      <c r="G3139" s="1" t="str">
        <f>IF(Table2[[#This Row],[Description]]="","",VLOOKUP(Table2[[#This Row],[Description]],$Q$1:$S$101,2,FALSE))</f>
        <v/>
      </c>
      <c r="H3139" s="1" t="str">
        <f>IF(Table2[[#This Row],[Description]]="","",VLOOKUP(Table2[[#This Row],[Description]],$Q$1:$S$101,3,FALSE))</f>
        <v/>
      </c>
      <c r="I3139" s="1" t="str">
        <f>IF(Table2[[#This Row],[Description]]="","",IF(Table2[[#This Row],[Currency]]=$O$2,$P$2,HLOOKUP(Table2[[#This Row],[Date]],Funds!$C$10:$GV$11,2,FALSE)))</f>
        <v/>
      </c>
      <c r="J3139" s="215" t="str">
        <f>IF(Table2[[#This Row],[Description]]="","",Table2[[#This Row],[Value]]/Table2[[#This Row],[Conversion]])</f>
        <v/>
      </c>
      <c r="K3139" s="45" t="str">
        <f>IF(Table2[[#This Row],[Description]]="","",DATE(Table2[[#This Row],[Year]],Table2[[#This Row],[Month]],1))</f>
        <v/>
      </c>
    </row>
    <row r="3140" spans="7:11" x14ac:dyDescent="0.25">
      <c r="G3140" s="1" t="str">
        <f>IF(Table2[[#This Row],[Description]]="","",VLOOKUP(Table2[[#This Row],[Description]],$Q$1:$S$101,2,FALSE))</f>
        <v/>
      </c>
      <c r="H3140" s="1" t="str">
        <f>IF(Table2[[#This Row],[Description]]="","",VLOOKUP(Table2[[#This Row],[Description]],$Q$1:$S$101,3,FALSE))</f>
        <v/>
      </c>
      <c r="I3140" s="1" t="str">
        <f>IF(Table2[[#This Row],[Description]]="","",IF(Table2[[#This Row],[Currency]]=$O$2,$P$2,HLOOKUP(Table2[[#This Row],[Date]],Funds!$C$10:$GV$11,2,FALSE)))</f>
        <v/>
      </c>
      <c r="J3140" s="215" t="str">
        <f>IF(Table2[[#This Row],[Description]]="","",Table2[[#This Row],[Value]]/Table2[[#This Row],[Conversion]])</f>
        <v/>
      </c>
      <c r="K3140" s="45" t="str">
        <f>IF(Table2[[#This Row],[Description]]="","",DATE(Table2[[#This Row],[Year]],Table2[[#This Row],[Month]],1))</f>
        <v/>
      </c>
    </row>
    <row r="3141" spans="7:11" x14ac:dyDescent="0.25">
      <c r="G3141" s="1" t="str">
        <f>IF(Table2[[#This Row],[Description]]="","",VLOOKUP(Table2[[#This Row],[Description]],$Q$1:$S$101,2,FALSE))</f>
        <v/>
      </c>
      <c r="H3141" s="1" t="str">
        <f>IF(Table2[[#This Row],[Description]]="","",VLOOKUP(Table2[[#This Row],[Description]],$Q$1:$S$101,3,FALSE))</f>
        <v/>
      </c>
      <c r="I3141" s="1" t="str">
        <f>IF(Table2[[#This Row],[Description]]="","",IF(Table2[[#This Row],[Currency]]=$O$2,$P$2,HLOOKUP(Table2[[#This Row],[Date]],Funds!$C$10:$GV$11,2,FALSE)))</f>
        <v/>
      </c>
      <c r="J3141" s="215" t="str">
        <f>IF(Table2[[#This Row],[Description]]="","",Table2[[#This Row],[Value]]/Table2[[#This Row],[Conversion]])</f>
        <v/>
      </c>
      <c r="K3141" s="45" t="str">
        <f>IF(Table2[[#This Row],[Description]]="","",DATE(Table2[[#This Row],[Year]],Table2[[#This Row],[Month]],1))</f>
        <v/>
      </c>
    </row>
    <row r="3142" spans="7:11" x14ac:dyDescent="0.25">
      <c r="G3142" s="1" t="str">
        <f>IF(Table2[[#This Row],[Description]]="","",VLOOKUP(Table2[[#This Row],[Description]],$Q$1:$S$101,2,FALSE))</f>
        <v/>
      </c>
      <c r="H3142" s="1" t="str">
        <f>IF(Table2[[#This Row],[Description]]="","",VLOOKUP(Table2[[#This Row],[Description]],$Q$1:$S$101,3,FALSE))</f>
        <v/>
      </c>
      <c r="I3142" s="1" t="str">
        <f>IF(Table2[[#This Row],[Description]]="","",IF(Table2[[#This Row],[Currency]]=$O$2,$P$2,HLOOKUP(Table2[[#This Row],[Date]],Funds!$C$10:$GV$11,2,FALSE)))</f>
        <v/>
      </c>
      <c r="J3142" s="215" t="str">
        <f>IF(Table2[[#This Row],[Description]]="","",Table2[[#This Row],[Value]]/Table2[[#This Row],[Conversion]])</f>
        <v/>
      </c>
      <c r="K3142" s="45" t="str">
        <f>IF(Table2[[#This Row],[Description]]="","",DATE(Table2[[#This Row],[Year]],Table2[[#This Row],[Month]],1))</f>
        <v/>
      </c>
    </row>
    <row r="3143" spans="7:11" x14ac:dyDescent="0.25">
      <c r="G3143" s="1" t="str">
        <f>IF(Table2[[#This Row],[Description]]="","",VLOOKUP(Table2[[#This Row],[Description]],$Q$1:$S$101,2,FALSE))</f>
        <v/>
      </c>
      <c r="H3143" s="1" t="str">
        <f>IF(Table2[[#This Row],[Description]]="","",VLOOKUP(Table2[[#This Row],[Description]],$Q$1:$S$101,3,FALSE))</f>
        <v/>
      </c>
      <c r="I3143" s="1" t="str">
        <f>IF(Table2[[#This Row],[Description]]="","",IF(Table2[[#This Row],[Currency]]=$O$2,$P$2,HLOOKUP(Table2[[#This Row],[Date]],Funds!$C$10:$GV$11,2,FALSE)))</f>
        <v/>
      </c>
      <c r="J3143" s="215" t="str">
        <f>IF(Table2[[#This Row],[Description]]="","",Table2[[#This Row],[Value]]/Table2[[#This Row],[Conversion]])</f>
        <v/>
      </c>
      <c r="K3143" s="45" t="str">
        <f>IF(Table2[[#This Row],[Description]]="","",DATE(Table2[[#This Row],[Year]],Table2[[#This Row],[Month]],1))</f>
        <v/>
      </c>
    </row>
    <row r="3144" spans="7:11" x14ac:dyDescent="0.25">
      <c r="G3144" s="1" t="str">
        <f>IF(Table2[[#This Row],[Description]]="","",VLOOKUP(Table2[[#This Row],[Description]],$Q$1:$S$101,2,FALSE))</f>
        <v/>
      </c>
      <c r="H3144" s="1" t="str">
        <f>IF(Table2[[#This Row],[Description]]="","",VLOOKUP(Table2[[#This Row],[Description]],$Q$1:$S$101,3,FALSE))</f>
        <v/>
      </c>
      <c r="I3144" s="1" t="str">
        <f>IF(Table2[[#This Row],[Description]]="","",IF(Table2[[#This Row],[Currency]]=$O$2,$P$2,HLOOKUP(Table2[[#This Row],[Date]],Funds!$C$10:$GV$11,2,FALSE)))</f>
        <v/>
      </c>
      <c r="J3144" s="215" t="str">
        <f>IF(Table2[[#This Row],[Description]]="","",Table2[[#This Row],[Value]]/Table2[[#This Row],[Conversion]])</f>
        <v/>
      </c>
      <c r="K3144" s="45" t="str">
        <f>IF(Table2[[#This Row],[Description]]="","",DATE(Table2[[#This Row],[Year]],Table2[[#This Row],[Month]],1))</f>
        <v/>
      </c>
    </row>
    <row r="3145" spans="7:11" x14ac:dyDescent="0.25">
      <c r="G3145" s="1" t="str">
        <f>IF(Table2[[#This Row],[Description]]="","",VLOOKUP(Table2[[#This Row],[Description]],$Q$1:$S$101,2,FALSE))</f>
        <v/>
      </c>
      <c r="H3145" s="1" t="str">
        <f>IF(Table2[[#This Row],[Description]]="","",VLOOKUP(Table2[[#This Row],[Description]],$Q$1:$S$101,3,FALSE))</f>
        <v/>
      </c>
      <c r="I3145" s="1" t="str">
        <f>IF(Table2[[#This Row],[Description]]="","",IF(Table2[[#This Row],[Currency]]=$O$2,$P$2,HLOOKUP(Table2[[#This Row],[Date]],Funds!$C$10:$GV$11,2,FALSE)))</f>
        <v/>
      </c>
      <c r="J3145" s="215" t="str">
        <f>IF(Table2[[#This Row],[Description]]="","",Table2[[#This Row],[Value]]/Table2[[#This Row],[Conversion]])</f>
        <v/>
      </c>
      <c r="K3145" s="45" t="str">
        <f>IF(Table2[[#This Row],[Description]]="","",DATE(Table2[[#This Row],[Year]],Table2[[#This Row],[Month]],1))</f>
        <v/>
      </c>
    </row>
    <row r="3146" spans="7:11" x14ac:dyDescent="0.25">
      <c r="G3146" s="1" t="str">
        <f>IF(Table2[[#This Row],[Description]]="","",VLOOKUP(Table2[[#This Row],[Description]],$Q$1:$S$101,2,FALSE))</f>
        <v/>
      </c>
      <c r="H3146" s="1" t="str">
        <f>IF(Table2[[#This Row],[Description]]="","",VLOOKUP(Table2[[#This Row],[Description]],$Q$1:$S$101,3,FALSE))</f>
        <v/>
      </c>
      <c r="I3146" s="1" t="str">
        <f>IF(Table2[[#This Row],[Description]]="","",IF(Table2[[#This Row],[Currency]]=$O$2,$P$2,HLOOKUP(Table2[[#This Row],[Date]],Funds!$C$10:$GV$11,2,FALSE)))</f>
        <v/>
      </c>
      <c r="J3146" s="215" t="str">
        <f>IF(Table2[[#This Row],[Description]]="","",Table2[[#This Row],[Value]]/Table2[[#This Row],[Conversion]])</f>
        <v/>
      </c>
      <c r="K3146" s="45" t="str">
        <f>IF(Table2[[#This Row],[Description]]="","",DATE(Table2[[#This Row],[Year]],Table2[[#This Row],[Month]],1))</f>
        <v/>
      </c>
    </row>
    <row r="3147" spans="7:11" x14ac:dyDescent="0.25">
      <c r="G3147" s="1" t="str">
        <f>IF(Table2[[#This Row],[Description]]="","",VLOOKUP(Table2[[#This Row],[Description]],$Q$1:$S$101,2,FALSE))</f>
        <v/>
      </c>
      <c r="H3147" s="1" t="str">
        <f>IF(Table2[[#This Row],[Description]]="","",VLOOKUP(Table2[[#This Row],[Description]],$Q$1:$S$101,3,FALSE))</f>
        <v/>
      </c>
      <c r="I3147" s="1" t="str">
        <f>IF(Table2[[#This Row],[Description]]="","",IF(Table2[[#This Row],[Currency]]=$O$2,$P$2,HLOOKUP(Table2[[#This Row],[Date]],Funds!$C$10:$GV$11,2,FALSE)))</f>
        <v/>
      </c>
      <c r="J3147" s="215" t="str">
        <f>IF(Table2[[#This Row],[Description]]="","",Table2[[#This Row],[Value]]/Table2[[#This Row],[Conversion]])</f>
        <v/>
      </c>
      <c r="K3147" s="45" t="str">
        <f>IF(Table2[[#This Row],[Description]]="","",DATE(Table2[[#This Row],[Year]],Table2[[#This Row],[Month]],1))</f>
        <v/>
      </c>
    </row>
    <row r="3148" spans="7:11" x14ac:dyDescent="0.25">
      <c r="G3148" s="1" t="str">
        <f>IF(Table2[[#This Row],[Description]]="","",VLOOKUP(Table2[[#This Row],[Description]],$Q$1:$S$101,2,FALSE))</f>
        <v/>
      </c>
      <c r="H3148" s="1" t="str">
        <f>IF(Table2[[#This Row],[Description]]="","",VLOOKUP(Table2[[#This Row],[Description]],$Q$1:$S$101,3,FALSE))</f>
        <v/>
      </c>
      <c r="I3148" s="1" t="str">
        <f>IF(Table2[[#This Row],[Description]]="","",IF(Table2[[#This Row],[Currency]]=$O$2,$P$2,HLOOKUP(Table2[[#This Row],[Date]],Funds!$C$10:$GV$11,2,FALSE)))</f>
        <v/>
      </c>
      <c r="J3148" s="215" t="str">
        <f>IF(Table2[[#This Row],[Description]]="","",Table2[[#This Row],[Value]]/Table2[[#This Row],[Conversion]])</f>
        <v/>
      </c>
      <c r="K3148" s="45" t="str">
        <f>IF(Table2[[#This Row],[Description]]="","",DATE(Table2[[#This Row],[Year]],Table2[[#This Row],[Month]],1))</f>
        <v/>
      </c>
    </row>
    <row r="3149" spans="7:11" x14ac:dyDescent="0.25">
      <c r="G3149" s="1" t="str">
        <f>IF(Table2[[#This Row],[Description]]="","",VLOOKUP(Table2[[#This Row],[Description]],$Q$1:$S$101,2,FALSE))</f>
        <v/>
      </c>
      <c r="H3149" s="1" t="str">
        <f>IF(Table2[[#This Row],[Description]]="","",VLOOKUP(Table2[[#This Row],[Description]],$Q$1:$S$101,3,FALSE))</f>
        <v/>
      </c>
      <c r="I3149" s="1" t="str">
        <f>IF(Table2[[#This Row],[Description]]="","",IF(Table2[[#This Row],[Currency]]=$O$2,$P$2,HLOOKUP(Table2[[#This Row],[Date]],Funds!$C$10:$GV$11,2,FALSE)))</f>
        <v/>
      </c>
      <c r="J3149" s="215" t="str">
        <f>IF(Table2[[#This Row],[Description]]="","",Table2[[#This Row],[Value]]/Table2[[#This Row],[Conversion]])</f>
        <v/>
      </c>
      <c r="K3149" s="45" t="str">
        <f>IF(Table2[[#This Row],[Description]]="","",DATE(Table2[[#This Row],[Year]],Table2[[#This Row],[Month]],1))</f>
        <v/>
      </c>
    </row>
    <row r="3150" spans="7:11" x14ac:dyDescent="0.25">
      <c r="G3150" s="1" t="str">
        <f>IF(Table2[[#This Row],[Description]]="","",VLOOKUP(Table2[[#This Row],[Description]],$Q$1:$S$101,2,FALSE))</f>
        <v/>
      </c>
      <c r="H3150" s="1" t="str">
        <f>IF(Table2[[#This Row],[Description]]="","",VLOOKUP(Table2[[#This Row],[Description]],$Q$1:$S$101,3,FALSE))</f>
        <v/>
      </c>
      <c r="I3150" s="1" t="str">
        <f>IF(Table2[[#This Row],[Description]]="","",IF(Table2[[#This Row],[Currency]]=$O$2,$P$2,HLOOKUP(Table2[[#This Row],[Date]],Funds!$C$10:$GV$11,2,FALSE)))</f>
        <v/>
      </c>
      <c r="J3150" s="215" t="str">
        <f>IF(Table2[[#This Row],[Description]]="","",Table2[[#This Row],[Value]]/Table2[[#This Row],[Conversion]])</f>
        <v/>
      </c>
      <c r="K3150" s="45" t="str">
        <f>IF(Table2[[#This Row],[Description]]="","",DATE(Table2[[#This Row],[Year]],Table2[[#This Row],[Month]],1))</f>
        <v/>
      </c>
    </row>
    <row r="3151" spans="7:11" x14ac:dyDescent="0.25">
      <c r="G3151" s="1" t="str">
        <f>IF(Table2[[#This Row],[Description]]="","",VLOOKUP(Table2[[#This Row],[Description]],$Q$1:$S$101,2,FALSE))</f>
        <v/>
      </c>
      <c r="H3151" s="1" t="str">
        <f>IF(Table2[[#This Row],[Description]]="","",VLOOKUP(Table2[[#This Row],[Description]],$Q$1:$S$101,3,FALSE))</f>
        <v/>
      </c>
      <c r="I3151" s="1" t="str">
        <f>IF(Table2[[#This Row],[Description]]="","",IF(Table2[[#This Row],[Currency]]=$O$2,$P$2,HLOOKUP(Table2[[#This Row],[Date]],Funds!$C$10:$GV$11,2,FALSE)))</f>
        <v/>
      </c>
      <c r="J3151" s="215" t="str">
        <f>IF(Table2[[#This Row],[Description]]="","",Table2[[#This Row],[Value]]/Table2[[#This Row],[Conversion]])</f>
        <v/>
      </c>
      <c r="K3151" s="45" t="str">
        <f>IF(Table2[[#This Row],[Description]]="","",DATE(Table2[[#This Row],[Year]],Table2[[#This Row],[Month]],1))</f>
        <v/>
      </c>
    </row>
    <row r="3152" spans="7:11" x14ac:dyDescent="0.25">
      <c r="G3152" s="1" t="str">
        <f>IF(Table2[[#This Row],[Description]]="","",VLOOKUP(Table2[[#This Row],[Description]],$Q$1:$S$101,2,FALSE))</f>
        <v/>
      </c>
      <c r="H3152" s="1" t="str">
        <f>IF(Table2[[#This Row],[Description]]="","",VLOOKUP(Table2[[#This Row],[Description]],$Q$1:$S$101,3,FALSE))</f>
        <v/>
      </c>
      <c r="I3152" s="1" t="str">
        <f>IF(Table2[[#This Row],[Description]]="","",IF(Table2[[#This Row],[Currency]]=$O$2,$P$2,HLOOKUP(Table2[[#This Row],[Date]],Funds!$C$10:$GV$11,2,FALSE)))</f>
        <v/>
      </c>
      <c r="J3152" s="215" t="str">
        <f>IF(Table2[[#This Row],[Description]]="","",Table2[[#This Row],[Value]]/Table2[[#This Row],[Conversion]])</f>
        <v/>
      </c>
      <c r="K3152" s="45" t="str">
        <f>IF(Table2[[#This Row],[Description]]="","",DATE(Table2[[#This Row],[Year]],Table2[[#This Row],[Month]],1))</f>
        <v/>
      </c>
    </row>
    <row r="3153" spans="7:11" x14ac:dyDescent="0.25">
      <c r="G3153" s="1" t="str">
        <f>IF(Table2[[#This Row],[Description]]="","",VLOOKUP(Table2[[#This Row],[Description]],$Q$1:$S$101,2,FALSE))</f>
        <v/>
      </c>
      <c r="H3153" s="1" t="str">
        <f>IF(Table2[[#This Row],[Description]]="","",VLOOKUP(Table2[[#This Row],[Description]],$Q$1:$S$101,3,FALSE))</f>
        <v/>
      </c>
      <c r="I3153" s="1" t="str">
        <f>IF(Table2[[#This Row],[Description]]="","",IF(Table2[[#This Row],[Currency]]=$O$2,$P$2,HLOOKUP(Table2[[#This Row],[Date]],Funds!$C$10:$GV$11,2,FALSE)))</f>
        <v/>
      </c>
      <c r="J3153" s="215" t="str">
        <f>IF(Table2[[#This Row],[Description]]="","",Table2[[#This Row],[Value]]/Table2[[#This Row],[Conversion]])</f>
        <v/>
      </c>
      <c r="K3153" s="45" t="str">
        <f>IF(Table2[[#This Row],[Description]]="","",DATE(Table2[[#This Row],[Year]],Table2[[#This Row],[Month]],1))</f>
        <v/>
      </c>
    </row>
    <row r="3154" spans="7:11" x14ac:dyDescent="0.25">
      <c r="G3154" s="1" t="str">
        <f>IF(Table2[[#This Row],[Description]]="","",VLOOKUP(Table2[[#This Row],[Description]],$Q$1:$S$101,2,FALSE))</f>
        <v/>
      </c>
      <c r="H3154" s="1" t="str">
        <f>IF(Table2[[#This Row],[Description]]="","",VLOOKUP(Table2[[#This Row],[Description]],$Q$1:$S$101,3,FALSE))</f>
        <v/>
      </c>
      <c r="I3154" s="1" t="str">
        <f>IF(Table2[[#This Row],[Description]]="","",IF(Table2[[#This Row],[Currency]]=$O$2,$P$2,HLOOKUP(Table2[[#This Row],[Date]],Funds!$C$10:$GV$11,2,FALSE)))</f>
        <v/>
      </c>
      <c r="J3154" s="215" t="str">
        <f>IF(Table2[[#This Row],[Description]]="","",Table2[[#This Row],[Value]]/Table2[[#This Row],[Conversion]])</f>
        <v/>
      </c>
      <c r="K3154" s="45" t="str">
        <f>IF(Table2[[#This Row],[Description]]="","",DATE(Table2[[#This Row],[Year]],Table2[[#This Row],[Month]],1))</f>
        <v/>
      </c>
    </row>
    <row r="3155" spans="7:11" x14ac:dyDescent="0.25">
      <c r="G3155" s="1" t="str">
        <f>IF(Table2[[#This Row],[Description]]="","",VLOOKUP(Table2[[#This Row],[Description]],$Q$1:$S$101,2,FALSE))</f>
        <v/>
      </c>
      <c r="H3155" s="1" t="str">
        <f>IF(Table2[[#This Row],[Description]]="","",VLOOKUP(Table2[[#This Row],[Description]],$Q$1:$S$101,3,FALSE))</f>
        <v/>
      </c>
      <c r="I3155" s="1" t="str">
        <f>IF(Table2[[#This Row],[Description]]="","",IF(Table2[[#This Row],[Currency]]=$O$2,$P$2,HLOOKUP(Table2[[#This Row],[Date]],Funds!$C$10:$GV$11,2,FALSE)))</f>
        <v/>
      </c>
      <c r="J3155" s="215" t="str">
        <f>IF(Table2[[#This Row],[Description]]="","",Table2[[#This Row],[Value]]/Table2[[#This Row],[Conversion]])</f>
        <v/>
      </c>
      <c r="K3155" s="45" t="str">
        <f>IF(Table2[[#This Row],[Description]]="","",DATE(Table2[[#This Row],[Year]],Table2[[#This Row],[Month]],1))</f>
        <v/>
      </c>
    </row>
    <row r="3156" spans="7:11" x14ac:dyDescent="0.25">
      <c r="G3156" s="1" t="str">
        <f>IF(Table2[[#This Row],[Description]]="","",VLOOKUP(Table2[[#This Row],[Description]],$Q$1:$S$101,2,FALSE))</f>
        <v/>
      </c>
      <c r="H3156" s="1" t="str">
        <f>IF(Table2[[#This Row],[Description]]="","",VLOOKUP(Table2[[#This Row],[Description]],$Q$1:$S$101,3,FALSE))</f>
        <v/>
      </c>
      <c r="I3156" s="1" t="str">
        <f>IF(Table2[[#This Row],[Description]]="","",IF(Table2[[#This Row],[Currency]]=$O$2,$P$2,HLOOKUP(Table2[[#This Row],[Date]],Funds!$C$10:$GV$11,2,FALSE)))</f>
        <v/>
      </c>
      <c r="J3156" s="215" t="str">
        <f>IF(Table2[[#This Row],[Description]]="","",Table2[[#This Row],[Value]]/Table2[[#This Row],[Conversion]])</f>
        <v/>
      </c>
      <c r="K3156" s="45" t="str">
        <f>IF(Table2[[#This Row],[Description]]="","",DATE(Table2[[#This Row],[Year]],Table2[[#This Row],[Month]],1))</f>
        <v/>
      </c>
    </row>
    <row r="3157" spans="7:11" x14ac:dyDescent="0.25">
      <c r="G3157" s="1" t="str">
        <f>IF(Table2[[#This Row],[Description]]="","",VLOOKUP(Table2[[#This Row],[Description]],$Q$1:$S$101,2,FALSE))</f>
        <v/>
      </c>
      <c r="H3157" s="1" t="str">
        <f>IF(Table2[[#This Row],[Description]]="","",VLOOKUP(Table2[[#This Row],[Description]],$Q$1:$S$101,3,FALSE))</f>
        <v/>
      </c>
      <c r="I3157" s="1" t="str">
        <f>IF(Table2[[#This Row],[Description]]="","",IF(Table2[[#This Row],[Currency]]=$O$2,$P$2,HLOOKUP(Table2[[#This Row],[Date]],Funds!$C$10:$GV$11,2,FALSE)))</f>
        <v/>
      </c>
      <c r="J3157" s="215" t="str">
        <f>IF(Table2[[#This Row],[Description]]="","",Table2[[#This Row],[Value]]/Table2[[#This Row],[Conversion]])</f>
        <v/>
      </c>
      <c r="K3157" s="45" t="str">
        <f>IF(Table2[[#This Row],[Description]]="","",DATE(Table2[[#This Row],[Year]],Table2[[#This Row],[Month]],1))</f>
        <v/>
      </c>
    </row>
    <row r="3158" spans="7:11" x14ac:dyDescent="0.25">
      <c r="G3158" s="1" t="str">
        <f>IF(Table2[[#This Row],[Description]]="","",VLOOKUP(Table2[[#This Row],[Description]],$Q$1:$S$101,2,FALSE))</f>
        <v/>
      </c>
      <c r="H3158" s="1" t="str">
        <f>IF(Table2[[#This Row],[Description]]="","",VLOOKUP(Table2[[#This Row],[Description]],$Q$1:$S$101,3,FALSE))</f>
        <v/>
      </c>
      <c r="I3158" s="1" t="str">
        <f>IF(Table2[[#This Row],[Description]]="","",IF(Table2[[#This Row],[Currency]]=$O$2,$P$2,HLOOKUP(Table2[[#This Row],[Date]],Funds!$C$10:$GV$11,2,FALSE)))</f>
        <v/>
      </c>
      <c r="J3158" s="215" t="str">
        <f>IF(Table2[[#This Row],[Description]]="","",Table2[[#This Row],[Value]]/Table2[[#This Row],[Conversion]])</f>
        <v/>
      </c>
      <c r="K3158" s="45" t="str">
        <f>IF(Table2[[#This Row],[Description]]="","",DATE(Table2[[#This Row],[Year]],Table2[[#This Row],[Month]],1))</f>
        <v/>
      </c>
    </row>
    <row r="3159" spans="7:11" x14ac:dyDescent="0.25">
      <c r="G3159" s="1" t="str">
        <f>IF(Table2[[#This Row],[Description]]="","",VLOOKUP(Table2[[#This Row],[Description]],$Q$1:$S$101,2,FALSE))</f>
        <v/>
      </c>
      <c r="H3159" s="1" t="str">
        <f>IF(Table2[[#This Row],[Description]]="","",VLOOKUP(Table2[[#This Row],[Description]],$Q$1:$S$101,3,FALSE))</f>
        <v/>
      </c>
      <c r="I3159" s="1" t="str">
        <f>IF(Table2[[#This Row],[Description]]="","",IF(Table2[[#This Row],[Currency]]=$O$2,$P$2,HLOOKUP(Table2[[#This Row],[Date]],Funds!$C$10:$GV$11,2,FALSE)))</f>
        <v/>
      </c>
      <c r="J3159" s="215" t="str">
        <f>IF(Table2[[#This Row],[Description]]="","",Table2[[#This Row],[Value]]/Table2[[#This Row],[Conversion]])</f>
        <v/>
      </c>
      <c r="K3159" s="45" t="str">
        <f>IF(Table2[[#This Row],[Description]]="","",DATE(Table2[[#This Row],[Year]],Table2[[#This Row],[Month]],1))</f>
        <v/>
      </c>
    </row>
    <row r="3160" spans="7:11" x14ac:dyDescent="0.25">
      <c r="G3160" s="1" t="str">
        <f>IF(Table2[[#This Row],[Description]]="","",VLOOKUP(Table2[[#This Row],[Description]],$Q$1:$S$101,2,FALSE))</f>
        <v/>
      </c>
      <c r="H3160" s="1" t="str">
        <f>IF(Table2[[#This Row],[Description]]="","",VLOOKUP(Table2[[#This Row],[Description]],$Q$1:$S$101,3,FALSE))</f>
        <v/>
      </c>
      <c r="I3160" s="1" t="str">
        <f>IF(Table2[[#This Row],[Description]]="","",IF(Table2[[#This Row],[Currency]]=$O$2,$P$2,HLOOKUP(Table2[[#This Row],[Date]],Funds!$C$10:$GV$11,2,FALSE)))</f>
        <v/>
      </c>
      <c r="J3160" s="215" t="str">
        <f>IF(Table2[[#This Row],[Description]]="","",Table2[[#This Row],[Value]]/Table2[[#This Row],[Conversion]])</f>
        <v/>
      </c>
      <c r="K3160" s="45" t="str">
        <f>IF(Table2[[#This Row],[Description]]="","",DATE(Table2[[#This Row],[Year]],Table2[[#This Row],[Month]],1))</f>
        <v/>
      </c>
    </row>
    <row r="3161" spans="7:11" x14ac:dyDescent="0.25">
      <c r="G3161" s="1" t="str">
        <f>IF(Table2[[#This Row],[Description]]="","",VLOOKUP(Table2[[#This Row],[Description]],$Q$1:$S$101,2,FALSE))</f>
        <v/>
      </c>
      <c r="H3161" s="1" t="str">
        <f>IF(Table2[[#This Row],[Description]]="","",VLOOKUP(Table2[[#This Row],[Description]],$Q$1:$S$101,3,FALSE))</f>
        <v/>
      </c>
      <c r="I3161" s="1" t="str">
        <f>IF(Table2[[#This Row],[Description]]="","",IF(Table2[[#This Row],[Currency]]=$O$2,$P$2,HLOOKUP(Table2[[#This Row],[Date]],Funds!$C$10:$GV$11,2,FALSE)))</f>
        <v/>
      </c>
      <c r="J3161" s="215" t="str">
        <f>IF(Table2[[#This Row],[Description]]="","",Table2[[#This Row],[Value]]/Table2[[#This Row],[Conversion]])</f>
        <v/>
      </c>
      <c r="K3161" s="45" t="str">
        <f>IF(Table2[[#This Row],[Description]]="","",DATE(Table2[[#This Row],[Year]],Table2[[#This Row],[Month]],1))</f>
        <v/>
      </c>
    </row>
    <row r="3162" spans="7:11" x14ac:dyDescent="0.25">
      <c r="G3162" s="1" t="str">
        <f>IF(Table2[[#This Row],[Description]]="","",VLOOKUP(Table2[[#This Row],[Description]],$Q$1:$S$101,2,FALSE))</f>
        <v/>
      </c>
      <c r="H3162" s="1" t="str">
        <f>IF(Table2[[#This Row],[Description]]="","",VLOOKUP(Table2[[#This Row],[Description]],$Q$1:$S$101,3,FALSE))</f>
        <v/>
      </c>
      <c r="I3162" s="1" t="str">
        <f>IF(Table2[[#This Row],[Description]]="","",IF(Table2[[#This Row],[Currency]]=$O$2,$P$2,HLOOKUP(Table2[[#This Row],[Date]],Funds!$C$10:$GV$11,2,FALSE)))</f>
        <v/>
      </c>
      <c r="J3162" s="215" t="str">
        <f>IF(Table2[[#This Row],[Description]]="","",Table2[[#This Row],[Value]]/Table2[[#This Row],[Conversion]])</f>
        <v/>
      </c>
      <c r="K3162" s="45" t="str">
        <f>IF(Table2[[#This Row],[Description]]="","",DATE(Table2[[#This Row],[Year]],Table2[[#This Row],[Month]],1))</f>
        <v/>
      </c>
    </row>
    <row r="3163" spans="7:11" x14ac:dyDescent="0.25">
      <c r="G3163" s="1" t="str">
        <f>IF(Table2[[#This Row],[Description]]="","",VLOOKUP(Table2[[#This Row],[Description]],$Q$1:$S$101,2,FALSE))</f>
        <v/>
      </c>
      <c r="H3163" s="1" t="str">
        <f>IF(Table2[[#This Row],[Description]]="","",VLOOKUP(Table2[[#This Row],[Description]],$Q$1:$S$101,3,FALSE))</f>
        <v/>
      </c>
      <c r="I3163" s="1" t="str">
        <f>IF(Table2[[#This Row],[Description]]="","",IF(Table2[[#This Row],[Currency]]=$O$2,$P$2,HLOOKUP(Table2[[#This Row],[Date]],Funds!$C$10:$GV$11,2,FALSE)))</f>
        <v/>
      </c>
      <c r="J3163" s="215" t="str">
        <f>IF(Table2[[#This Row],[Description]]="","",Table2[[#This Row],[Value]]/Table2[[#This Row],[Conversion]])</f>
        <v/>
      </c>
      <c r="K3163" s="45" t="str">
        <f>IF(Table2[[#This Row],[Description]]="","",DATE(Table2[[#This Row],[Year]],Table2[[#This Row],[Month]],1))</f>
        <v/>
      </c>
    </row>
    <row r="3164" spans="7:11" x14ac:dyDescent="0.25">
      <c r="G3164" s="1" t="str">
        <f>IF(Table2[[#This Row],[Description]]="","",VLOOKUP(Table2[[#This Row],[Description]],$Q$1:$S$101,2,FALSE))</f>
        <v/>
      </c>
      <c r="H3164" s="1" t="str">
        <f>IF(Table2[[#This Row],[Description]]="","",VLOOKUP(Table2[[#This Row],[Description]],$Q$1:$S$101,3,FALSE))</f>
        <v/>
      </c>
      <c r="I3164" s="1" t="str">
        <f>IF(Table2[[#This Row],[Description]]="","",IF(Table2[[#This Row],[Currency]]=$O$2,$P$2,HLOOKUP(Table2[[#This Row],[Date]],Funds!$C$10:$GV$11,2,FALSE)))</f>
        <v/>
      </c>
      <c r="J3164" s="215" t="str">
        <f>IF(Table2[[#This Row],[Description]]="","",Table2[[#This Row],[Value]]/Table2[[#This Row],[Conversion]])</f>
        <v/>
      </c>
      <c r="K3164" s="45" t="str">
        <f>IF(Table2[[#This Row],[Description]]="","",DATE(Table2[[#This Row],[Year]],Table2[[#This Row],[Month]],1))</f>
        <v/>
      </c>
    </row>
    <row r="3165" spans="7:11" x14ac:dyDescent="0.25">
      <c r="G3165" s="1" t="str">
        <f>IF(Table2[[#This Row],[Description]]="","",VLOOKUP(Table2[[#This Row],[Description]],$Q$1:$S$101,2,FALSE))</f>
        <v/>
      </c>
      <c r="H3165" s="1" t="str">
        <f>IF(Table2[[#This Row],[Description]]="","",VLOOKUP(Table2[[#This Row],[Description]],$Q$1:$S$101,3,FALSE))</f>
        <v/>
      </c>
      <c r="I3165" s="1" t="str">
        <f>IF(Table2[[#This Row],[Description]]="","",IF(Table2[[#This Row],[Currency]]=$O$2,$P$2,HLOOKUP(Table2[[#This Row],[Date]],Funds!$C$10:$GV$11,2,FALSE)))</f>
        <v/>
      </c>
      <c r="J3165" s="215" t="str">
        <f>IF(Table2[[#This Row],[Description]]="","",Table2[[#This Row],[Value]]/Table2[[#This Row],[Conversion]])</f>
        <v/>
      </c>
      <c r="K3165" s="45" t="str">
        <f>IF(Table2[[#This Row],[Description]]="","",DATE(Table2[[#This Row],[Year]],Table2[[#This Row],[Month]],1))</f>
        <v/>
      </c>
    </row>
    <row r="3166" spans="7:11" x14ac:dyDescent="0.25">
      <c r="G3166" s="1" t="str">
        <f>IF(Table2[[#This Row],[Description]]="","",VLOOKUP(Table2[[#This Row],[Description]],$Q$1:$S$101,2,FALSE))</f>
        <v/>
      </c>
      <c r="H3166" s="1" t="str">
        <f>IF(Table2[[#This Row],[Description]]="","",VLOOKUP(Table2[[#This Row],[Description]],$Q$1:$S$101,3,FALSE))</f>
        <v/>
      </c>
      <c r="I3166" s="1" t="str">
        <f>IF(Table2[[#This Row],[Description]]="","",IF(Table2[[#This Row],[Currency]]=$O$2,$P$2,HLOOKUP(Table2[[#This Row],[Date]],Funds!$C$10:$GV$11,2,FALSE)))</f>
        <v/>
      </c>
      <c r="J3166" s="215" t="str">
        <f>IF(Table2[[#This Row],[Description]]="","",Table2[[#This Row],[Value]]/Table2[[#This Row],[Conversion]])</f>
        <v/>
      </c>
      <c r="K3166" s="45" t="str">
        <f>IF(Table2[[#This Row],[Description]]="","",DATE(Table2[[#This Row],[Year]],Table2[[#This Row],[Month]],1))</f>
        <v/>
      </c>
    </row>
    <row r="3167" spans="7:11" x14ac:dyDescent="0.25">
      <c r="G3167" s="1" t="str">
        <f>IF(Table2[[#This Row],[Description]]="","",VLOOKUP(Table2[[#This Row],[Description]],$Q$1:$S$101,2,FALSE))</f>
        <v/>
      </c>
      <c r="H3167" s="1" t="str">
        <f>IF(Table2[[#This Row],[Description]]="","",VLOOKUP(Table2[[#This Row],[Description]],$Q$1:$S$101,3,FALSE))</f>
        <v/>
      </c>
      <c r="I3167" s="1" t="str">
        <f>IF(Table2[[#This Row],[Description]]="","",IF(Table2[[#This Row],[Currency]]=$O$2,$P$2,HLOOKUP(Table2[[#This Row],[Date]],Funds!$C$10:$GV$11,2,FALSE)))</f>
        <v/>
      </c>
      <c r="J3167" s="215" t="str">
        <f>IF(Table2[[#This Row],[Description]]="","",Table2[[#This Row],[Value]]/Table2[[#This Row],[Conversion]])</f>
        <v/>
      </c>
      <c r="K3167" s="45" t="str">
        <f>IF(Table2[[#This Row],[Description]]="","",DATE(Table2[[#This Row],[Year]],Table2[[#This Row],[Month]],1))</f>
        <v/>
      </c>
    </row>
    <row r="3168" spans="7:11" x14ac:dyDescent="0.25">
      <c r="G3168" s="1" t="str">
        <f>IF(Table2[[#This Row],[Description]]="","",VLOOKUP(Table2[[#This Row],[Description]],$Q$1:$S$101,2,FALSE))</f>
        <v/>
      </c>
      <c r="H3168" s="1" t="str">
        <f>IF(Table2[[#This Row],[Description]]="","",VLOOKUP(Table2[[#This Row],[Description]],$Q$1:$S$101,3,FALSE))</f>
        <v/>
      </c>
      <c r="I3168" s="1" t="str">
        <f>IF(Table2[[#This Row],[Description]]="","",IF(Table2[[#This Row],[Currency]]=$O$2,$P$2,HLOOKUP(Table2[[#This Row],[Date]],Funds!$C$10:$GV$11,2,FALSE)))</f>
        <v/>
      </c>
      <c r="J3168" s="215" t="str">
        <f>IF(Table2[[#This Row],[Description]]="","",Table2[[#This Row],[Value]]/Table2[[#This Row],[Conversion]])</f>
        <v/>
      </c>
      <c r="K3168" s="45" t="str">
        <f>IF(Table2[[#This Row],[Description]]="","",DATE(Table2[[#This Row],[Year]],Table2[[#This Row],[Month]],1))</f>
        <v/>
      </c>
    </row>
    <row r="3169" spans="7:11" x14ac:dyDescent="0.25">
      <c r="G3169" s="1" t="str">
        <f>IF(Table2[[#This Row],[Description]]="","",VLOOKUP(Table2[[#This Row],[Description]],$Q$1:$S$101,2,FALSE))</f>
        <v/>
      </c>
      <c r="H3169" s="1" t="str">
        <f>IF(Table2[[#This Row],[Description]]="","",VLOOKUP(Table2[[#This Row],[Description]],$Q$1:$S$101,3,FALSE))</f>
        <v/>
      </c>
      <c r="I3169" s="1" t="str">
        <f>IF(Table2[[#This Row],[Description]]="","",IF(Table2[[#This Row],[Currency]]=$O$2,$P$2,HLOOKUP(Table2[[#This Row],[Date]],Funds!$C$10:$GV$11,2,FALSE)))</f>
        <v/>
      </c>
      <c r="J3169" s="215" t="str">
        <f>IF(Table2[[#This Row],[Description]]="","",Table2[[#This Row],[Value]]/Table2[[#This Row],[Conversion]])</f>
        <v/>
      </c>
      <c r="K3169" s="45" t="str">
        <f>IF(Table2[[#This Row],[Description]]="","",DATE(Table2[[#This Row],[Year]],Table2[[#This Row],[Month]],1))</f>
        <v/>
      </c>
    </row>
    <row r="3170" spans="7:11" x14ac:dyDescent="0.25">
      <c r="G3170" s="1" t="str">
        <f>IF(Table2[[#This Row],[Description]]="","",VLOOKUP(Table2[[#This Row],[Description]],$Q$1:$S$101,2,FALSE))</f>
        <v/>
      </c>
      <c r="H3170" s="1" t="str">
        <f>IF(Table2[[#This Row],[Description]]="","",VLOOKUP(Table2[[#This Row],[Description]],$Q$1:$S$101,3,FALSE))</f>
        <v/>
      </c>
      <c r="I3170" s="1" t="str">
        <f>IF(Table2[[#This Row],[Description]]="","",IF(Table2[[#This Row],[Currency]]=$O$2,$P$2,HLOOKUP(Table2[[#This Row],[Date]],Funds!$C$10:$GV$11,2,FALSE)))</f>
        <v/>
      </c>
      <c r="J3170" s="215" t="str">
        <f>IF(Table2[[#This Row],[Description]]="","",Table2[[#This Row],[Value]]/Table2[[#This Row],[Conversion]])</f>
        <v/>
      </c>
      <c r="K3170" s="45" t="str">
        <f>IF(Table2[[#This Row],[Description]]="","",DATE(Table2[[#This Row],[Year]],Table2[[#This Row],[Month]],1))</f>
        <v/>
      </c>
    </row>
    <row r="3171" spans="7:11" x14ac:dyDescent="0.25">
      <c r="G3171" s="1" t="str">
        <f>IF(Table2[[#This Row],[Description]]="","",VLOOKUP(Table2[[#This Row],[Description]],$Q$1:$S$101,2,FALSE))</f>
        <v/>
      </c>
      <c r="H3171" s="1" t="str">
        <f>IF(Table2[[#This Row],[Description]]="","",VLOOKUP(Table2[[#This Row],[Description]],$Q$1:$S$101,3,FALSE))</f>
        <v/>
      </c>
      <c r="I3171" s="1" t="str">
        <f>IF(Table2[[#This Row],[Description]]="","",IF(Table2[[#This Row],[Currency]]=$O$2,$P$2,HLOOKUP(Table2[[#This Row],[Date]],Funds!$C$10:$GV$11,2,FALSE)))</f>
        <v/>
      </c>
      <c r="J3171" s="215" t="str">
        <f>IF(Table2[[#This Row],[Description]]="","",Table2[[#This Row],[Value]]/Table2[[#This Row],[Conversion]])</f>
        <v/>
      </c>
      <c r="K3171" s="45" t="str">
        <f>IF(Table2[[#This Row],[Description]]="","",DATE(Table2[[#This Row],[Year]],Table2[[#This Row],[Month]],1))</f>
        <v/>
      </c>
    </row>
    <row r="3172" spans="7:11" x14ac:dyDescent="0.25">
      <c r="G3172" s="1" t="str">
        <f>IF(Table2[[#This Row],[Description]]="","",VLOOKUP(Table2[[#This Row],[Description]],$Q$1:$S$101,2,FALSE))</f>
        <v/>
      </c>
      <c r="H3172" s="1" t="str">
        <f>IF(Table2[[#This Row],[Description]]="","",VLOOKUP(Table2[[#This Row],[Description]],$Q$1:$S$101,3,FALSE))</f>
        <v/>
      </c>
      <c r="I3172" s="1" t="str">
        <f>IF(Table2[[#This Row],[Description]]="","",IF(Table2[[#This Row],[Currency]]=$O$2,$P$2,HLOOKUP(Table2[[#This Row],[Date]],Funds!$C$10:$GV$11,2,FALSE)))</f>
        <v/>
      </c>
      <c r="J3172" s="215" t="str">
        <f>IF(Table2[[#This Row],[Description]]="","",Table2[[#This Row],[Value]]/Table2[[#This Row],[Conversion]])</f>
        <v/>
      </c>
      <c r="K3172" s="45" t="str">
        <f>IF(Table2[[#This Row],[Description]]="","",DATE(Table2[[#This Row],[Year]],Table2[[#This Row],[Month]],1))</f>
        <v/>
      </c>
    </row>
    <row r="3173" spans="7:11" x14ac:dyDescent="0.25">
      <c r="G3173" s="1" t="str">
        <f>IF(Table2[[#This Row],[Description]]="","",VLOOKUP(Table2[[#This Row],[Description]],$Q$1:$S$101,2,FALSE))</f>
        <v/>
      </c>
      <c r="H3173" s="1" t="str">
        <f>IF(Table2[[#This Row],[Description]]="","",VLOOKUP(Table2[[#This Row],[Description]],$Q$1:$S$101,3,FALSE))</f>
        <v/>
      </c>
      <c r="I3173" s="1" t="str">
        <f>IF(Table2[[#This Row],[Description]]="","",IF(Table2[[#This Row],[Currency]]=$O$2,$P$2,HLOOKUP(Table2[[#This Row],[Date]],Funds!$C$10:$GV$11,2,FALSE)))</f>
        <v/>
      </c>
      <c r="J3173" s="215" t="str">
        <f>IF(Table2[[#This Row],[Description]]="","",Table2[[#This Row],[Value]]/Table2[[#This Row],[Conversion]])</f>
        <v/>
      </c>
      <c r="K3173" s="45" t="str">
        <f>IF(Table2[[#This Row],[Description]]="","",DATE(Table2[[#This Row],[Year]],Table2[[#This Row],[Month]],1))</f>
        <v/>
      </c>
    </row>
    <row r="3174" spans="7:11" x14ac:dyDescent="0.25">
      <c r="G3174" s="1" t="str">
        <f>IF(Table2[[#This Row],[Description]]="","",VLOOKUP(Table2[[#This Row],[Description]],$Q$1:$S$101,2,FALSE))</f>
        <v/>
      </c>
      <c r="H3174" s="1" t="str">
        <f>IF(Table2[[#This Row],[Description]]="","",VLOOKUP(Table2[[#This Row],[Description]],$Q$1:$S$101,3,FALSE))</f>
        <v/>
      </c>
      <c r="I3174" s="1" t="str">
        <f>IF(Table2[[#This Row],[Description]]="","",IF(Table2[[#This Row],[Currency]]=$O$2,$P$2,HLOOKUP(Table2[[#This Row],[Date]],Funds!$C$10:$GV$11,2,FALSE)))</f>
        <v/>
      </c>
      <c r="J3174" s="215" t="str">
        <f>IF(Table2[[#This Row],[Description]]="","",Table2[[#This Row],[Value]]/Table2[[#This Row],[Conversion]])</f>
        <v/>
      </c>
      <c r="K3174" s="45" t="str">
        <f>IF(Table2[[#This Row],[Description]]="","",DATE(Table2[[#This Row],[Year]],Table2[[#This Row],[Month]],1))</f>
        <v/>
      </c>
    </row>
    <row r="3175" spans="7:11" x14ac:dyDescent="0.25">
      <c r="G3175" s="1" t="str">
        <f>IF(Table2[[#This Row],[Description]]="","",VLOOKUP(Table2[[#This Row],[Description]],$Q$1:$S$101,2,FALSE))</f>
        <v/>
      </c>
      <c r="H3175" s="1" t="str">
        <f>IF(Table2[[#This Row],[Description]]="","",VLOOKUP(Table2[[#This Row],[Description]],$Q$1:$S$101,3,FALSE))</f>
        <v/>
      </c>
      <c r="I3175" s="1" t="str">
        <f>IF(Table2[[#This Row],[Description]]="","",IF(Table2[[#This Row],[Currency]]=$O$2,$P$2,HLOOKUP(Table2[[#This Row],[Date]],Funds!$C$10:$GV$11,2,FALSE)))</f>
        <v/>
      </c>
      <c r="J3175" s="215" t="str">
        <f>IF(Table2[[#This Row],[Description]]="","",Table2[[#This Row],[Value]]/Table2[[#This Row],[Conversion]])</f>
        <v/>
      </c>
      <c r="K3175" s="45" t="str">
        <f>IF(Table2[[#This Row],[Description]]="","",DATE(Table2[[#This Row],[Year]],Table2[[#This Row],[Month]],1))</f>
        <v/>
      </c>
    </row>
    <row r="3176" spans="7:11" x14ac:dyDescent="0.25">
      <c r="G3176" s="1" t="str">
        <f>IF(Table2[[#This Row],[Description]]="","",VLOOKUP(Table2[[#This Row],[Description]],$Q$1:$S$101,2,FALSE))</f>
        <v/>
      </c>
      <c r="H3176" s="1" t="str">
        <f>IF(Table2[[#This Row],[Description]]="","",VLOOKUP(Table2[[#This Row],[Description]],$Q$1:$S$101,3,FALSE))</f>
        <v/>
      </c>
      <c r="I3176" s="1" t="str">
        <f>IF(Table2[[#This Row],[Description]]="","",IF(Table2[[#This Row],[Currency]]=$O$2,$P$2,HLOOKUP(Table2[[#This Row],[Date]],Funds!$C$10:$GV$11,2,FALSE)))</f>
        <v/>
      </c>
      <c r="J3176" s="215" t="str">
        <f>IF(Table2[[#This Row],[Description]]="","",Table2[[#This Row],[Value]]/Table2[[#This Row],[Conversion]])</f>
        <v/>
      </c>
      <c r="K3176" s="45" t="str">
        <f>IF(Table2[[#This Row],[Description]]="","",DATE(Table2[[#This Row],[Year]],Table2[[#This Row],[Month]],1))</f>
        <v/>
      </c>
    </row>
    <row r="3177" spans="7:11" x14ac:dyDescent="0.25">
      <c r="G3177" s="1" t="str">
        <f>IF(Table2[[#This Row],[Description]]="","",VLOOKUP(Table2[[#This Row],[Description]],$Q$1:$S$101,2,FALSE))</f>
        <v/>
      </c>
      <c r="H3177" s="1" t="str">
        <f>IF(Table2[[#This Row],[Description]]="","",VLOOKUP(Table2[[#This Row],[Description]],$Q$1:$S$101,3,FALSE))</f>
        <v/>
      </c>
      <c r="I3177" s="1" t="str">
        <f>IF(Table2[[#This Row],[Description]]="","",IF(Table2[[#This Row],[Currency]]=$O$2,$P$2,HLOOKUP(Table2[[#This Row],[Date]],Funds!$C$10:$GV$11,2,FALSE)))</f>
        <v/>
      </c>
      <c r="J3177" s="215" t="str">
        <f>IF(Table2[[#This Row],[Description]]="","",Table2[[#This Row],[Value]]/Table2[[#This Row],[Conversion]])</f>
        <v/>
      </c>
      <c r="K3177" s="45" t="str">
        <f>IF(Table2[[#This Row],[Description]]="","",DATE(Table2[[#This Row],[Year]],Table2[[#This Row],[Month]],1))</f>
        <v/>
      </c>
    </row>
    <row r="3178" spans="7:11" x14ac:dyDescent="0.25">
      <c r="G3178" s="1" t="str">
        <f>IF(Table2[[#This Row],[Description]]="","",VLOOKUP(Table2[[#This Row],[Description]],$Q$1:$S$101,2,FALSE))</f>
        <v/>
      </c>
      <c r="H3178" s="1" t="str">
        <f>IF(Table2[[#This Row],[Description]]="","",VLOOKUP(Table2[[#This Row],[Description]],$Q$1:$S$101,3,FALSE))</f>
        <v/>
      </c>
      <c r="I3178" s="1" t="str">
        <f>IF(Table2[[#This Row],[Description]]="","",IF(Table2[[#This Row],[Currency]]=$O$2,$P$2,HLOOKUP(Table2[[#This Row],[Date]],Funds!$C$10:$GV$11,2,FALSE)))</f>
        <v/>
      </c>
      <c r="J3178" s="215" t="str">
        <f>IF(Table2[[#This Row],[Description]]="","",Table2[[#This Row],[Value]]/Table2[[#This Row],[Conversion]])</f>
        <v/>
      </c>
      <c r="K3178" s="45" t="str">
        <f>IF(Table2[[#This Row],[Description]]="","",DATE(Table2[[#This Row],[Year]],Table2[[#This Row],[Month]],1))</f>
        <v/>
      </c>
    </row>
    <row r="3179" spans="7:11" x14ac:dyDescent="0.25">
      <c r="G3179" s="1" t="str">
        <f>IF(Table2[[#This Row],[Description]]="","",VLOOKUP(Table2[[#This Row],[Description]],$Q$1:$S$101,2,FALSE))</f>
        <v/>
      </c>
      <c r="H3179" s="1" t="str">
        <f>IF(Table2[[#This Row],[Description]]="","",VLOOKUP(Table2[[#This Row],[Description]],$Q$1:$S$101,3,FALSE))</f>
        <v/>
      </c>
      <c r="I3179" s="1" t="str">
        <f>IF(Table2[[#This Row],[Description]]="","",IF(Table2[[#This Row],[Currency]]=$O$2,$P$2,HLOOKUP(Table2[[#This Row],[Date]],Funds!$C$10:$GV$11,2,FALSE)))</f>
        <v/>
      </c>
      <c r="J3179" s="215" t="str">
        <f>IF(Table2[[#This Row],[Description]]="","",Table2[[#This Row],[Value]]/Table2[[#This Row],[Conversion]])</f>
        <v/>
      </c>
      <c r="K3179" s="45" t="str">
        <f>IF(Table2[[#This Row],[Description]]="","",DATE(Table2[[#This Row],[Year]],Table2[[#This Row],[Month]],1))</f>
        <v/>
      </c>
    </row>
    <row r="3180" spans="7:11" x14ac:dyDescent="0.25">
      <c r="G3180" s="1" t="str">
        <f>IF(Table2[[#This Row],[Description]]="","",VLOOKUP(Table2[[#This Row],[Description]],$Q$1:$S$101,2,FALSE))</f>
        <v/>
      </c>
      <c r="H3180" s="1" t="str">
        <f>IF(Table2[[#This Row],[Description]]="","",VLOOKUP(Table2[[#This Row],[Description]],$Q$1:$S$101,3,FALSE))</f>
        <v/>
      </c>
      <c r="I3180" s="1" t="str">
        <f>IF(Table2[[#This Row],[Description]]="","",IF(Table2[[#This Row],[Currency]]=$O$2,$P$2,HLOOKUP(Table2[[#This Row],[Date]],Funds!$C$10:$GV$11,2,FALSE)))</f>
        <v/>
      </c>
      <c r="J3180" s="215" t="str">
        <f>IF(Table2[[#This Row],[Description]]="","",Table2[[#This Row],[Value]]/Table2[[#This Row],[Conversion]])</f>
        <v/>
      </c>
      <c r="K3180" s="45" t="str">
        <f>IF(Table2[[#This Row],[Description]]="","",DATE(Table2[[#This Row],[Year]],Table2[[#This Row],[Month]],1))</f>
        <v/>
      </c>
    </row>
    <row r="3181" spans="7:11" x14ac:dyDescent="0.25">
      <c r="G3181" s="1" t="str">
        <f>IF(Table2[[#This Row],[Description]]="","",VLOOKUP(Table2[[#This Row],[Description]],$Q$1:$S$101,2,FALSE))</f>
        <v/>
      </c>
      <c r="H3181" s="1" t="str">
        <f>IF(Table2[[#This Row],[Description]]="","",VLOOKUP(Table2[[#This Row],[Description]],$Q$1:$S$101,3,FALSE))</f>
        <v/>
      </c>
      <c r="I3181" s="1" t="str">
        <f>IF(Table2[[#This Row],[Description]]="","",IF(Table2[[#This Row],[Currency]]=$O$2,$P$2,HLOOKUP(Table2[[#This Row],[Date]],Funds!$C$10:$GV$11,2,FALSE)))</f>
        <v/>
      </c>
      <c r="J3181" s="215" t="str">
        <f>IF(Table2[[#This Row],[Description]]="","",Table2[[#This Row],[Value]]/Table2[[#This Row],[Conversion]])</f>
        <v/>
      </c>
      <c r="K3181" s="45" t="str">
        <f>IF(Table2[[#This Row],[Description]]="","",DATE(Table2[[#This Row],[Year]],Table2[[#This Row],[Month]],1))</f>
        <v/>
      </c>
    </row>
    <row r="3182" spans="7:11" x14ac:dyDescent="0.25">
      <c r="G3182" s="1" t="str">
        <f>IF(Table2[[#This Row],[Description]]="","",VLOOKUP(Table2[[#This Row],[Description]],$Q$1:$S$101,2,FALSE))</f>
        <v/>
      </c>
      <c r="H3182" s="1" t="str">
        <f>IF(Table2[[#This Row],[Description]]="","",VLOOKUP(Table2[[#This Row],[Description]],$Q$1:$S$101,3,FALSE))</f>
        <v/>
      </c>
      <c r="I3182" s="1" t="str">
        <f>IF(Table2[[#This Row],[Description]]="","",IF(Table2[[#This Row],[Currency]]=$O$2,$P$2,HLOOKUP(Table2[[#This Row],[Date]],Funds!$C$10:$GV$11,2,FALSE)))</f>
        <v/>
      </c>
      <c r="J3182" s="215" t="str">
        <f>IF(Table2[[#This Row],[Description]]="","",Table2[[#This Row],[Value]]/Table2[[#This Row],[Conversion]])</f>
        <v/>
      </c>
      <c r="K3182" s="45" t="str">
        <f>IF(Table2[[#This Row],[Description]]="","",DATE(Table2[[#This Row],[Year]],Table2[[#This Row],[Month]],1))</f>
        <v/>
      </c>
    </row>
    <row r="3183" spans="7:11" x14ac:dyDescent="0.25">
      <c r="G3183" s="1" t="str">
        <f>IF(Table2[[#This Row],[Description]]="","",VLOOKUP(Table2[[#This Row],[Description]],$Q$1:$S$101,2,FALSE))</f>
        <v/>
      </c>
      <c r="H3183" s="1" t="str">
        <f>IF(Table2[[#This Row],[Description]]="","",VLOOKUP(Table2[[#This Row],[Description]],$Q$1:$S$101,3,FALSE))</f>
        <v/>
      </c>
      <c r="I3183" s="1" t="str">
        <f>IF(Table2[[#This Row],[Description]]="","",IF(Table2[[#This Row],[Currency]]=$O$2,$P$2,HLOOKUP(Table2[[#This Row],[Date]],Funds!$C$10:$GV$11,2,FALSE)))</f>
        <v/>
      </c>
      <c r="J3183" s="215" t="str">
        <f>IF(Table2[[#This Row],[Description]]="","",Table2[[#This Row],[Value]]/Table2[[#This Row],[Conversion]])</f>
        <v/>
      </c>
      <c r="K3183" s="45" t="str">
        <f>IF(Table2[[#This Row],[Description]]="","",DATE(Table2[[#This Row],[Year]],Table2[[#This Row],[Month]],1))</f>
        <v/>
      </c>
    </row>
    <row r="3184" spans="7:11" x14ac:dyDescent="0.25">
      <c r="G3184" s="1" t="str">
        <f>IF(Table2[[#This Row],[Description]]="","",VLOOKUP(Table2[[#This Row],[Description]],$Q$1:$S$101,2,FALSE))</f>
        <v/>
      </c>
      <c r="H3184" s="1" t="str">
        <f>IF(Table2[[#This Row],[Description]]="","",VLOOKUP(Table2[[#This Row],[Description]],$Q$1:$S$101,3,FALSE))</f>
        <v/>
      </c>
      <c r="I3184" s="1" t="str">
        <f>IF(Table2[[#This Row],[Description]]="","",IF(Table2[[#This Row],[Currency]]=$O$2,$P$2,HLOOKUP(Table2[[#This Row],[Date]],Funds!$C$10:$GV$11,2,FALSE)))</f>
        <v/>
      </c>
      <c r="J3184" s="215" t="str">
        <f>IF(Table2[[#This Row],[Description]]="","",Table2[[#This Row],[Value]]/Table2[[#This Row],[Conversion]])</f>
        <v/>
      </c>
      <c r="K3184" s="45" t="str">
        <f>IF(Table2[[#This Row],[Description]]="","",DATE(Table2[[#This Row],[Year]],Table2[[#This Row],[Month]],1))</f>
        <v/>
      </c>
    </row>
    <row r="3185" spans="7:11" x14ac:dyDescent="0.25">
      <c r="G3185" s="1" t="str">
        <f>IF(Table2[[#This Row],[Description]]="","",VLOOKUP(Table2[[#This Row],[Description]],$Q$1:$S$101,2,FALSE))</f>
        <v/>
      </c>
      <c r="H3185" s="1" t="str">
        <f>IF(Table2[[#This Row],[Description]]="","",VLOOKUP(Table2[[#This Row],[Description]],$Q$1:$S$101,3,FALSE))</f>
        <v/>
      </c>
      <c r="I3185" s="1" t="str">
        <f>IF(Table2[[#This Row],[Description]]="","",IF(Table2[[#This Row],[Currency]]=$O$2,$P$2,HLOOKUP(Table2[[#This Row],[Date]],Funds!$C$10:$GV$11,2,FALSE)))</f>
        <v/>
      </c>
      <c r="J3185" s="215" t="str">
        <f>IF(Table2[[#This Row],[Description]]="","",Table2[[#This Row],[Value]]/Table2[[#This Row],[Conversion]])</f>
        <v/>
      </c>
      <c r="K3185" s="45" t="str">
        <f>IF(Table2[[#This Row],[Description]]="","",DATE(Table2[[#This Row],[Year]],Table2[[#This Row],[Month]],1))</f>
        <v/>
      </c>
    </row>
    <row r="3186" spans="7:11" x14ac:dyDescent="0.25">
      <c r="G3186" s="1" t="str">
        <f>IF(Table2[[#This Row],[Description]]="","",VLOOKUP(Table2[[#This Row],[Description]],$Q$1:$S$101,2,FALSE))</f>
        <v/>
      </c>
      <c r="H3186" s="1" t="str">
        <f>IF(Table2[[#This Row],[Description]]="","",VLOOKUP(Table2[[#This Row],[Description]],$Q$1:$S$101,3,FALSE))</f>
        <v/>
      </c>
      <c r="I3186" s="1" t="str">
        <f>IF(Table2[[#This Row],[Description]]="","",IF(Table2[[#This Row],[Currency]]=$O$2,$P$2,HLOOKUP(Table2[[#This Row],[Date]],Funds!$C$10:$GV$11,2,FALSE)))</f>
        <v/>
      </c>
      <c r="J3186" s="215" t="str">
        <f>IF(Table2[[#This Row],[Description]]="","",Table2[[#This Row],[Value]]/Table2[[#This Row],[Conversion]])</f>
        <v/>
      </c>
      <c r="K3186" s="45" t="str">
        <f>IF(Table2[[#This Row],[Description]]="","",DATE(Table2[[#This Row],[Year]],Table2[[#This Row],[Month]],1))</f>
        <v/>
      </c>
    </row>
    <row r="3187" spans="7:11" x14ac:dyDescent="0.25">
      <c r="G3187" s="1" t="str">
        <f>IF(Table2[[#This Row],[Description]]="","",VLOOKUP(Table2[[#This Row],[Description]],$Q$1:$S$101,2,FALSE))</f>
        <v/>
      </c>
      <c r="H3187" s="1" t="str">
        <f>IF(Table2[[#This Row],[Description]]="","",VLOOKUP(Table2[[#This Row],[Description]],$Q$1:$S$101,3,FALSE))</f>
        <v/>
      </c>
      <c r="I3187" s="1" t="str">
        <f>IF(Table2[[#This Row],[Description]]="","",IF(Table2[[#This Row],[Currency]]=$O$2,$P$2,HLOOKUP(Table2[[#This Row],[Date]],Funds!$C$10:$GV$11,2,FALSE)))</f>
        <v/>
      </c>
      <c r="J3187" s="215" t="str">
        <f>IF(Table2[[#This Row],[Description]]="","",Table2[[#This Row],[Value]]/Table2[[#This Row],[Conversion]])</f>
        <v/>
      </c>
      <c r="K3187" s="45" t="str">
        <f>IF(Table2[[#This Row],[Description]]="","",DATE(Table2[[#This Row],[Year]],Table2[[#This Row],[Month]],1))</f>
        <v/>
      </c>
    </row>
    <row r="3188" spans="7:11" x14ac:dyDescent="0.25">
      <c r="G3188" s="1" t="str">
        <f>IF(Table2[[#This Row],[Description]]="","",VLOOKUP(Table2[[#This Row],[Description]],$Q$1:$S$101,2,FALSE))</f>
        <v/>
      </c>
      <c r="H3188" s="1" t="str">
        <f>IF(Table2[[#This Row],[Description]]="","",VLOOKUP(Table2[[#This Row],[Description]],$Q$1:$S$101,3,FALSE))</f>
        <v/>
      </c>
      <c r="I3188" s="1" t="str">
        <f>IF(Table2[[#This Row],[Description]]="","",IF(Table2[[#This Row],[Currency]]=$O$2,$P$2,HLOOKUP(Table2[[#This Row],[Date]],Funds!$C$10:$GV$11,2,FALSE)))</f>
        <v/>
      </c>
      <c r="J3188" s="215" t="str">
        <f>IF(Table2[[#This Row],[Description]]="","",Table2[[#This Row],[Value]]/Table2[[#This Row],[Conversion]])</f>
        <v/>
      </c>
      <c r="K3188" s="45" t="str">
        <f>IF(Table2[[#This Row],[Description]]="","",DATE(Table2[[#This Row],[Year]],Table2[[#This Row],[Month]],1))</f>
        <v/>
      </c>
    </row>
    <row r="3189" spans="7:11" x14ac:dyDescent="0.25">
      <c r="G3189" s="1" t="str">
        <f>IF(Table2[[#This Row],[Description]]="","",VLOOKUP(Table2[[#This Row],[Description]],$Q$1:$S$101,2,FALSE))</f>
        <v/>
      </c>
      <c r="H3189" s="1" t="str">
        <f>IF(Table2[[#This Row],[Description]]="","",VLOOKUP(Table2[[#This Row],[Description]],$Q$1:$S$101,3,FALSE))</f>
        <v/>
      </c>
      <c r="I3189" s="1" t="str">
        <f>IF(Table2[[#This Row],[Description]]="","",IF(Table2[[#This Row],[Currency]]=$O$2,$P$2,HLOOKUP(Table2[[#This Row],[Date]],Funds!$C$10:$GV$11,2,FALSE)))</f>
        <v/>
      </c>
      <c r="J3189" s="215" t="str">
        <f>IF(Table2[[#This Row],[Description]]="","",Table2[[#This Row],[Value]]/Table2[[#This Row],[Conversion]])</f>
        <v/>
      </c>
      <c r="K3189" s="45" t="str">
        <f>IF(Table2[[#This Row],[Description]]="","",DATE(Table2[[#This Row],[Year]],Table2[[#This Row],[Month]],1))</f>
        <v/>
      </c>
    </row>
    <row r="3190" spans="7:11" x14ac:dyDescent="0.25">
      <c r="G3190" s="1" t="str">
        <f>IF(Table2[[#This Row],[Description]]="","",VLOOKUP(Table2[[#This Row],[Description]],$Q$1:$S$101,2,FALSE))</f>
        <v/>
      </c>
      <c r="H3190" s="1" t="str">
        <f>IF(Table2[[#This Row],[Description]]="","",VLOOKUP(Table2[[#This Row],[Description]],$Q$1:$S$101,3,FALSE))</f>
        <v/>
      </c>
      <c r="I3190" s="1" t="str">
        <f>IF(Table2[[#This Row],[Description]]="","",IF(Table2[[#This Row],[Currency]]=$O$2,$P$2,HLOOKUP(Table2[[#This Row],[Date]],Funds!$C$10:$GV$11,2,FALSE)))</f>
        <v/>
      </c>
      <c r="J3190" s="215" t="str">
        <f>IF(Table2[[#This Row],[Description]]="","",Table2[[#This Row],[Value]]/Table2[[#This Row],[Conversion]])</f>
        <v/>
      </c>
      <c r="K3190" s="45" t="str">
        <f>IF(Table2[[#This Row],[Description]]="","",DATE(Table2[[#This Row],[Year]],Table2[[#This Row],[Month]],1))</f>
        <v/>
      </c>
    </row>
    <row r="3191" spans="7:11" x14ac:dyDescent="0.25">
      <c r="G3191" s="1" t="str">
        <f>IF(Table2[[#This Row],[Description]]="","",VLOOKUP(Table2[[#This Row],[Description]],$Q$1:$S$101,2,FALSE))</f>
        <v/>
      </c>
      <c r="H3191" s="1" t="str">
        <f>IF(Table2[[#This Row],[Description]]="","",VLOOKUP(Table2[[#This Row],[Description]],$Q$1:$S$101,3,FALSE))</f>
        <v/>
      </c>
      <c r="I3191" s="1" t="str">
        <f>IF(Table2[[#This Row],[Description]]="","",IF(Table2[[#This Row],[Currency]]=$O$2,$P$2,HLOOKUP(Table2[[#This Row],[Date]],Funds!$C$10:$GV$11,2,FALSE)))</f>
        <v/>
      </c>
      <c r="J3191" s="215" t="str">
        <f>IF(Table2[[#This Row],[Description]]="","",Table2[[#This Row],[Value]]/Table2[[#This Row],[Conversion]])</f>
        <v/>
      </c>
      <c r="K3191" s="45" t="str">
        <f>IF(Table2[[#This Row],[Description]]="","",DATE(Table2[[#This Row],[Year]],Table2[[#This Row],[Month]],1))</f>
        <v/>
      </c>
    </row>
    <row r="3192" spans="7:11" x14ac:dyDescent="0.25">
      <c r="G3192" s="1" t="str">
        <f>IF(Table2[[#This Row],[Description]]="","",VLOOKUP(Table2[[#This Row],[Description]],$Q$1:$S$101,2,FALSE))</f>
        <v/>
      </c>
      <c r="H3192" s="1" t="str">
        <f>IF(Table2[[#This Row],[Description]]="","",VLOOKUP(Table2[[#This Row],[Description]],$Q$1:$S$101,3,FALSE))</f>
        <v/>
      </c>
      <c r="I3192" s="1" t="str">
        <f>IF(Table2[[#This Row],[Description]]="","",IF(Table2[[#This Row],[Currency]]=$O$2,$P$2,HLOOKUP(Table2[[#This Row],[Date]],Funds!$C$10:$GV$11,2,FALSE)))</f>
        <v/>
      </c>
      <c r="J3192" s="215" t="str">
        <f>IF(Table2[[#This Row],[Description]]="","",Table2[[#This Row],[Value]]/Table2[[#This Row],[Conversion]])</f>
        <v/>
      </c>
      <c r="K3192" s="45" t="str">
        <f>IF(Table2[[#This Row],[Description]]="","",DATE(Table2[[#This Row],[Year]],Table2[[#This Row],[Month]],1))</f>
        <v/>
      </c>
    </row>
    <row r="3193" spans="7:11" x14ac:dyDescent="0.25">
      <c r="G3193" s="1" t="str">
        <f>IF(Table2[[#This Row],[Description]]="","",VLOOKUP(Table2[[#This Row],[Description]],$Q$1:$S$101,2,FALSE))</f>
        <v/>
      </c>
      <c r="H3193" s="1" t="str">
        <f>IF(Table2[[#This Row],[Description]]="","",VLOOKUP(Table2[[#This Row],[Description]],$Q$1:$S$101,3,FALSE))</f>
        <v/>
      </c>
      <c r="I3193" s="1" t="str">
        <f>IF(Table2[[#This Row],[Description]]="","",IF(Table2[[#This Row],[Currency]]=$O$2,$P$2,HLOOKUP(Table2[[#This Row],[Date]],Funds!$C$10:$GV$11,2,FALSE)))</f>
        <v/>
      </c>
      <c r="J3193" s="215" t="str">
        <f>IF(Table2[[#This Row],[Description]]="","",Table2[[#This Row],[Value]]/Table2[[#This Row],[Conversion]])</f>
        <v/>
      </c>
      <c r="K3193" s="45" t="str">
        <f>IF(Table2[[#This Row],[Description]]="","",DATE(Table2[[#This Row],[Year]],Table2[[#This Row],[Month]],1))</f>
        <v/>
      </c>
    </row>
    <row r="3194" spans="7:11" x14ac:dyDescent="0.25">
      <c r="G3194" s="1" t="str">
        <f>IF(Table2[[#This Row],[Description]]="","",VLOOKUP(Table2[[#This Row],[Description]],$Q$1:$S$101,2,FALSE))</f>
        <v/>
      </c>
      <c r="H3194" s="1" t="str">
        <f>IF(Table2[[#This Row],[Description]]="","",VLOOKUP(Table2[[#This Row],[Description]],$Q$1:$S$101,3,FALSE))</f>
        <v/>
      </c>
      <c r="I3194" s="1" t="str">
        <f>IF(Table2[[#This Row],[Description]]="","",IF(Table2[[#This Row],[Currency]]=$O$2,$P$2,HLOOKUP(Table2[[#This Row],[Date]],Funds!$C$10:$GV$11,2,FALSE)))</f>
        <v/>
      </c>
      <c r="J3194" s="215" t="str">
        <f>IF(Table2[[#This Row],[Description]]="","",Table2[[#This Row],[Value]]/Table2[[#This Row],[Conversion]])</f>
        <v/>
      </c>
      <c r="K3194" s="45" t="str">
        <f>IF(Table2[[#This Row],[Description]]="","",DATE(Table2[[#This Row],[Year]],Table2[[#This Row],[Month]],1))</f>
        <v/>
      </c>
    </row>
    <row r="3195" spans="7:11" x14ac:dyDescent="0.25">
      <c r="G3195" s="1" t="str">
        <f>IF(Table2[[#This Row],[Description]]="","",VLOOKUP(Table2[[#This Row],[Description]],$Q$1:$S$101,2,FALSE))</f>
        <v/>
      </c>
      <c r="H3195" s="1" t="str">
        <f>IF(Table2[[#This Row],[Description]]="","",VLOOKUP(Table2[[#This Row],[Description]],$Q$1:$S$101,3,FALSE))</f>
        <v/>
      </c>
      <c r="I3195" s="1" t="str">
        <f>IF(Table2[[#This Row],[Description]]="","",IF(Table2[[#This Row],[Currency]]=$O$2,$P$2,HLOOKUP(Table2[[#This Row],[Date]],Funds!$C$10:$GV$11,2,FALSE)))</f>
        <v/>
      </c>
      <c r="J3195" s="215" t="str">
        <f>IF(Table2[[#This Row],[Description]]="","",Table2[[#This Row],[Value]]/Table2[[#This Row],[Conversion]])</f>
        <v/>
      </c>
      <c r="K3195" s="45" t="str">
        <f>IF(Table2[[#This Row],[Description]]="","",DATE(Table2[[#This Row],[Year]],Table2[[#This Row],[Month]],1))</f>
        <v/>
      </c>
    </row>
    <row r="3196" spans="7:11" x14ac:dyDescent="0.25">
      <c r="G3196" s="1" t="str">
        <f>IF(Table2[[#This Row],[Description]]="","",VLOOKUP(Table2[[#This Row],[Description]],$Q$1:$S$101,2,FALSE))</f>
        <v/>
      </c>
      <c r="H3196" s="1" t="str">
        <f>IF(Table2[[#This Row],[Description]]="","",VLOOKUP(Table2[[#This Row],[Description]],$Q$1:$S$101,3,FALSE))</f>
        <v/>
      </c>
      <c r="I3196" s="1" t="str">
        <f>IF(Table2[[#This Row],[Description]]="","",IF(Table2[[#This Row],[Currency]]=$O$2,$P$2,HLOOKUP(Table2[[#This Row],[Date]],Funds!$C$10:$GV$11,2,FALSE)))</f>
        <v/>
      </c>
      <c r="J3196" s="215" t="str">
        <f>IF(Table2[[#This Row],[Description]]="","",Table2[[#This Row],[Value]]/Table2[[#This Row],[Conversion]])</f>
        <v/>
      </c>
      <c r="K3196" s="45" t="str">
        <f>IF(Table2[[#This Row],[Description]]="","",DATE(Table2[[#This Row],[Year]],Table2[[#This Row],[Month]],1))</f>
        <v/>
      </c>
    </row>
    <row r="3197" spans="7:11" x14ac:dyDescent="0.25">
      <c r="G3197" s="1" t="str">
        <f>IF(Table2[[#This Row],[Description]]="","",VLOOKUP(Table2[[#This Row],[Description]],$Q$1:$S$101,2,FALSE))</f>
        <v/>
      </c>
      <c r="H3197" s="1" t="str">
        <f>IF(Table2[[#This Row],[Description]]="","",VLOOKUP(Table2[[#This Row],[Description]],$Q$1:$S$101,3,FALSE))</f>
        <v/>
      </c>
      <c r="I3197" s="1" t="str">
        <f>IF(Table2[[#This Row],[Description]]="","",IF(Table2[[#This Row],[Currency]]=$O$2,$P$2,HLOOKUP(Table2[[#This Row],[Date]],Funds!$C$10:$GV$11,2,FALSE)))</f>
        <v/>
      </c>
      <c r="J3197" s="215" t="str">
        <f>IF(Table2[[#This Row],[Description]]="","",Table2[[#This Row],[Value]]/Table2[[#This Row],[Conversion]])</f>
        <v/>
      </c>
      <c r="K3197" s="45" t="str">
        <f>IF(Table2[[#This Row],[Description]]="","",DATE(Table2[[#This Row],[Year]],Table2[[#This Row],[Month]],1))</f>
        <v/>
      </c>
    </row>
    <row r="3198" spans="7:11" x14ac:dyDescent="0.25">
      <c r="G3198" s="1" t="str">
        <f>IF(Table2[[#This Row],[Description]]="","",VLOOKUP(Table2[[#This Row],[Description]],$Q$1:$S$101,2,FALSE))</f>
        <v/>
      </c>
      <c r="H3198" s="1" t="str">
        <f>IF(Table2[[#This Row],[Description]]="","",VLOOKUP(Table2[[#This Row],[Description]],$Q$1:$S$101,3,FALSE))</f>
        <v/>
      </c>
      <c r="I3198" s="1" t="str">
        <f>IF(Table2[[#This Row],[Description]]="","",IF(Table2[[#This Row],[Currency]]=$O$2,$P$2,HLOOKUP(Table2[[#This Row],[Date]],Funds!$C$10:$GV$11,2,FALSE)))</f>
        <v/>
      </c>
      <c r="J3198" s="215" t="str">
        <f>IF(Table2[[#This Row],[Description]]="","",Table2[[#This Row],[Value]]/Table2[[#This Row],[Conversion]])</f>
        <v/>
      </c>
      <c r="K3198" s="45" t="str">
        <f>IF(Table2[[#This Row],[Description]]="","",DATE(Table2[[#This Row],[Year]],Table2[[#This Row],[Month]],1))</f>
        <v/>
      </c>
    </row>
    <row r="3199" spans="7:11" x14ac:dyDescent="0.25">
      <c r="G3199" s="1" t="str">
        <f>IF(Table2[[#This Row],[Description]]="","",VLOOKUP(Table2[[#This Row],[Description]],$Q$1:$S$101,2,FALSE))</f>
        <v/>
      </c>
      <c r="H3199" s="1" t="str">
        <f>IF(Table2[[#This Row],[Description]]="","",VLOOKUP(Table2[[#This Row],[Description]],$Q$1:$S$101,3,FALSE))</f>
        <v/>
      </c>
      <c r="I3199" s="1" t="str">
        <f>IF(Table2[[#This Row],[Description]]="","",IF(Table2[[#This Row],[Currency]]=$O$2,$P$2,HLOOKUP(Table2[[#This Row],[Date]],Funds!$C$10:$GV$11,2,FALSE)))</f>
        <v/>
      </c>
      <c r="J3199" s="215" t="str">
        <f>IF(Table2[[#This Row],[Description]]="","",Table2[[#This Row],[Value]]/Table2[[#This Row],[Conversion]])</f>
        <v/>
      </c>
      <c r="K3199" s="45" t="str">
        <f>IF(Table2[[#This Row],[Description]]="","",DATE(Table2[[#This Row],[Year]],Table2[[#This Row],[Month]],1))</f>
        <v/>
      </c>
    </row>
    <row r="3200" spans="7:11" x14ac:dyDescent="0.25">
      <c r="G3200" s="1" t="str">
        <f>IF(Table2[[#This Row],[Description]]="","",VLOOKUP(Table2[[#This Row],[Description]],$Q$1:$S$101,2,FALSE))</f>
        <v/>
      </c>
      <c r="H3200" s="1" t="str">
        <f>IF(Table2[[#This Row],[Description]]="","",VLOOKUP(Table2[[#This Row],[Description]],$Q$1:$S$101,3,FALSE))</f>
        <v/>
      </c>
      <c r="I3200" s="1" t="str">
        <f>IF(Table2[[#This Row],[Description]]="","",IF(Table2[[#This Row],[Currency]]=$O$2,$P$2,HLOOKUP(Table2[[#This Row],[Date]],Funds!$C$10:$GV$11,2,FALSE)))</f>
        <v/>
      </c>
      <c r="J3200" s="215" t="str">
        <f>IF(Table2[[#This Row],[Description]]="","",Table2[[#This Row],[Value]]/Table2[[#This Row],[Conversion]])</f>
        <v/>
      </c>
      <c r="K3200" s="45" t="str">
        <f>IF(Table2[[#This Row],[Description]]="","",DATE(Table2[[#This Row],[Year]],Table2[[#This Row],[Month]],1))</f>
        <v/>
      </c>
    </row>
    <row r="3201" spans="7:11" x14ac:dyDescent="0.25">
      <c r="G3201" s="1" t="str">
        <f>IF(Table2[[#This Row],[Description]]="","",VLOOKUP(Table2[[#This Row],[Description]],$Q$1:$S$101,2,FALSE))</f>
        <v/>
      </c>
      <c r="H3201" s="1" t="str">
        <f>IF(Table2[[#This Row],[Description]]="","",VLOOKUP(Table2[[#This Row],[Description]],$Q$1:$S$101,3,FALSE))</f>
        <v/>
      </c>
      <c r="I3201" s="1" t="str">
        <f>IF(Table2[[#This Row],[Description]]="","",IF(Table2[[#This Row],[Currency]]=$O$2,$P$2,HLOOKUP(Table2[[#This Row],[Date]],Funds!$C$10:$GV$11,2,FALSE)))</f>
        <v/>
      </c>
      <c r="J3201" s="215" t="str">
        <f>IF(Table2[[#This Row],[Description]]="","",Table2[[#This Row],[Value]]/Table2[[#This Row],[Conversion]])</f>
        <v/>
      </c>
      <c r="K3201" s="45" t="str">
        <f>IF(Table2[[#This Row],[Description]]="","",DATE(Table2[[#This Row],[Year]],Table2[[#This Row],[Month]],1))</f>
        <v/>
      </c>
    </row>
    <row r="3202" spans="7:11" x14ac:dyDescent="0.25">
      <c r="G3202" s="1" t="str">
        <f>IF(Table2[[#This Row],[Description]]="","",VLOOKUP(Table2[[#This Row],[Description]],$Q$1:$S$101,2,FALSE))</f>
        <v/>
      </c>
      <c r="H3202" s="1" t="str">
        <f>IF(Table2[[#This Row],[Description]]="","",VLOOKUP(Table2[[#This Row],[Description]],$Q$1:$S$101,3,FALSE))</f>
        <v/>
      </c>
      <c r="I3202" s="1" t="str">
        <f>IF(Table2[[#This Row],[Description]]="","",IF(Table2[[#This Row],[Currency]]=$O$2,$P$2,HLOOKUP(Table2[[#This Row],[Date]],Funds!$C$10:$GV$11,2,FALSE)))</f>
        <v/>
      </c>
      <c r="J3202" s="215" t="str">
        <f>IF(Table2[[#This Row],[Description]]="","",Table2[[#This Row],[Value]]/Table2[[#This Row],[Conversion]])</f>
        <v/>
      </c>
      <c r="K3202" s="45" t="str">
        <f>IF(Table2[[#This Row],[Description]]="","",DATE(Table2[[#This Row],[Year]],Table2[[#This Row],[Month]],1))</f>
        <v/>
      </c>
    </row>
    <row r="3203" spans="7:11" x14ac:dyDescent="0.25">
      <c r="G3203" s="1" t="str">
        <f>IF(Table2[[#This Row],[Description]]="","",VLOOKUP(Table2[[#This Row],[Description]],$Q$1:$S$101,2,FALSE))</f>
        <v/>
      </c>
      <c r="H3203" s="1" t="str">
        <f>IF(Table2[[#This Row],[Description]]="","",VLOOKUP(Table2[[#This Row],[Description]],$Q$1:$S$101,3,FALSE))</f>
        <v/>
      </c>
      <c r="I3203" s="1" t="str">
        <f>IF(Table2[[#This Row],[Description]]="","",IF(Table2[[#This Row],[Currency]]=$O$2,$P$2,HLOOKUP(Table2[[#This Row],[Date]],Funds!$C$10:$GV$11,2,FALSE)))</f>
        <v/>
      </c>
      <c r="J3203" s="215" t="str">
        <f>IF(Table2[[#This Row],[Description]]="","",Table2[[#This Row],[Value]]/Table2[[#This Row],[Conversion]])</f>
        <v/>
      </c>
      <c r="K3203" s="45" t="str">
        <f>IF(Table2[[#This Row],[Description]]="","",DATE(Table2[[#This Row],[Year]],Table2[[#This Row],[Month]],1))</f>
        <v/>
      </c>
    </row>
    <row r="3204" spans="7:11" x14ac:dyDescent="0.25">
      <c r="G3204" s="1" t="str">
        <f>IF(Table2[[#This Row],[Description]]="","",VLOOKUP(Table2[[#This Row],[Description]],$Q$1:$S$101,2,FALSE))</f>
        <v/>
      </c>
      <c r="H3204" s="1" t="str">
        <f>IF(Table2[[#This Row],[Description]]="","",VLOOKUP(Table2[[#This Row],[Description]],$Q$1:$S$101,3,FALSE))</f>
        <v/>
      </c>
      <c r="I3204" s="1" t="str">
        <f>IF(Table2[[#This Row],[Description]]="","",IF(Table2[[#This Row],[Currency]]=$O$2,$P$2,HLOOKUP(Table2[[#This Row],[Date]],Funds!$C$10:$GV$11,2,FALSE)))</f>
        <v/>
      </c>
      <c r="J3204" s="215" t="str">
        <f>IF(Table2[[#This Row],[Description]]="","",Table2[[#This Row],[Value]]/Table2[[#This Row],[Conversion]])</f>
        <v/>
      </c>
      <c r="K3204" s="45" t="str">
        <f>IF(Table2[[#This Row],[Description]]="","",DATE(Table2[[#This Row],[Year]],Table2[[#This Row],[Month]],1))</f>
        <v/>
      </c>
    </row>
    <row r="3205" spans="7:11" x14ac:dyDescent="0.25">
      <c r="G3205" s="1" t="str">
        <f>IF(Table2[[#This Row],[Description]]="","",VLOOKUP(Table2[[#This Row],[Description]],$Q$1:$S$101,2,FALSE))</f>
        <v/>
      </c>
      <c r="H3205" s="1" t="str">
        <f>IF(Table2[[#This Row],[Description]]="","",VLOOKUP(Table2[[#This Row],[Description]],$Q$1:$S$101,3,FALSE))</f>
        <v/>
      </c>
      <c r="I3205" s="1" t="str">
        <f>IF(Table2[[#This Row],[Description]]="","",IF(Table2[[#This Row],[Currency]]=$O$2,$P$2,HLOOKUP(Table2[[#This Row],[Date]],Funds!$C$10:$GV$11,2,FALSE)))</f>
        <v/>
      </c>
      <c r="J3205" s="215" t="str">
        <f>IF(Table2[[#This Row],[Description]]="","",Table2[[#This Row],[Value]]/Table2[[#This Row],[Conversion]])</f>
        <v/>
      </c>
      <c r="K3205" s="45" t="str">
        <f>IF(Table2[[#This Row],[Description]]="","",DATE(Table2[[#This Row],[Year]],Table2[[#This Row],[Month]],1))</f>
        <v/>
      </c>
    </row>
    <row r="3206" spans="7:11" x14ac:dyDescent="0.25">
      <c r="G3206" s="1" t="str">
        <f>IF(Table2[[#This Row],[Description]]="","",VLOOKUP(Table2[[#This Row],[Description]],$Q$1:$S$101,2,FALSE))</f>
        <v/>
      </c>
      <c r="H3206" s="1" t="str">
        <f>IF(Table2[[#This Row],[Description]]="","",VLOOKUP(Table2[[#This Row],[Description]],$Q$1:$S$101,3,FALSE))</f>
        <v/>
      </c>
      <c r="I3206" s="1" t="str">
        <f>IF(Table2[[#This Row],[Description]]="","",IF(Table2[[#This Row],[Currency]]=$O$2,$P$2,HLOOKUP(Table2[[#This Row],[Date]],Funds!$C$10:$GV$11,2,FALSE)))</f>
        <v/>
      </c>
      <c r="J3206" s="215" t="str">
        <f>IF(Table2[[#This Row],[Description]]="","",Table2[[#This Row],[Value]]/Table2[[#This Row],[Conversion]])</f>
        <v/>
      </c>
      <c r="K3206" s="45" t="str">
        <f>IF(Table2[[#This Row],[Description]]="","",DATE(Table2[[#This Row],[Year]],Table2[[#This Row],[Month]],1))</f>
        <v/>
      </c>
    </row>
    <row r="3207" spans="7:11" x14ac:dyDescent="0.25">
      <c r="G3207" s="1" t="str">
        <f>IF(Table2[[#This Row],[Description]]="","",VLOOKUP(Table2[[#This Row],[Description]],$Q$1:$S$101,2,FALSE))</f>
        <v/>
      </c>
      <c r="H3207" s="1" t="str">
        <f>IF(Table2[[#This Row],[Description]]="","",VLOOKUP(Table2[[#This Row],[Description]],$Q$1:$S$101,3,FALSE))</f>
        <v/>
      </c>
      <c r="I3207" s="1" t="str">
        <f>IF(Table2[[#This Row],[Description]]="","",IF(Table2[[#This Row],[Currency]]=$O$2,$P$2,HLOOKUP(Table2[[#This Row],[Date]],Funds!$C$10:$GV$11,2,FALSE)))</f>
        <v/>
      </c>
      <c r="J3207" s="215" t="str">
        <f>IF(Table2[[#This Row],[Description]]="","",Table2[[#This Row],[Value]]/Table2[[#This Row],[Conversion]])</f>
        <v/>
      </c>
      <c r="K3207" s="45" t="str">
        <f>IF(Table2[[#This Row],[Description]]="","",DATE(Table2[[#This Row],[Year]],Table2[[#This Row],[Month]],1))</f>
        <v/>
      </c>
    </row>
    <row r="3208" spans="7:11" x14ac:dyDescent="0.25">
      <c r="G3208" s="1" t="str">
        <f>IF(Table2[[#This Row],[Description]]="","",VLOOKUP(Table2[[#This Row],[Description]],$Q$1:$S$101,2,FALSE))</f>
        <v/>
      </c>
      <c r="H3208" s="1" t="str">
        <f>IF(Table2[[#This Row],[Description]]="","",VLOOKUP(Table2[[#This Row],[Description]],$Q$1:$S$101,3,FALSE))</f>
        <v/>
      </c>
      <c r="I3208" s="1" t="str">
        <f>IF(Table2[[#This Row],[Description]]="","",IF(Table2[[#This Row],[Currency]]=$O$2,$P$2,HLOOKUP(Table2[[#This Row],[Date]],Funds!$C$10:$GV$11,2,FALSE)))</f>
        <v/>
      </c>
      <c r="J3208" s="215" t="str">
        <f>IF(Table2[[#This Row],[Description]]="","",Table2[[#This Row],[Value]]/Table2[[#This Row],[Conversion]])</f>
        <v/>
      </c>
      <c r="K3208" s="45" t="str">
        <f>IF(Table2[[#This Row],[Description]]="","",DATE(Table2[[#This Row],[Year]],Table2[[#This Row],[Month]],1))</f>
        <v/>
      </c>
    </row>
    <row r="3209" spans="7:11" x14ac:dyDescent="0.25">
      <c r="G3209" s="1" t="str">
        <f>IF(Table2[[#This Row],[Description]]="","",VLOOKUP(Table2[[#This Row],[Description]],$Q$1:$S$101,2,FALSE))</f>
        <v/>
      </c>
      <c r="H3209" s="1" t="str">
        <f>IF(Table2[[#This Row],[Description]]="","",VLOOKUP(Table2[[#This Row],[Description]],$Q$1:$S$101,3,FALSE))</f>
        <v/>
      </c>
      <c r="I3209" s="1" t="str">
        <f>IF(Table2[[#This Row],[Description]]="","",IF(Table2[[#This Row],[Currency]]=$O$2,$P$2,HLOOKUP(Table2[[#This Row],[Date]],Funds!$C$10:$GV$11,2,FALSE)))</f>
        <v/>
      </c>
      <c r="J3209" s="215" t="str">
        <f>IF(Table2[[#This Row],[Description]]="","",Table2[[#This Row],[Value]]/Table2[[#This Row],[Conversion]])</f>
        <v/>
      </c>
      <c r="K3209" s="45" t="str">
        <f>IF(Table2[[#This Row],[Description]]="","",DATE(Table2[[#This Row],[Year]],Table2[[#This Row],[Month]],1))</f>
        <v/>
      </c>
    </row>
    <row r="3210" spans="7:11" x14ac:dyDescent="0.25">
      <c r="G3210" s="1" t="str">
        <f>IF(Table2[[#This Row],[Description]]="","",VLOOKUP(Table2[[#This Row],[Description]],$Q$1:$S$101,2,FALSE))</f>
        <v/>
      </c>
      <c r="H3210" s="1" t="str">
        <f>IF(Table2[[#This Row],[Description]]="","",VLOOKUP(Table2[[#This Row],[Description]],$Q$1:$S$101,3,FALSE))</f>
        <v/>
      </c>
      <c r="I3210" s="1" t="str">
        <f>IF(Table2[[#This Row],[Description]]="","",IF(Table2[[#This Row],[Currency]]=$O$2,$P$2,HLOOKUP(Table2[[#This Row],[Date]],Funds!$C$10:$GV$11,2,FALSE)))</f>
        <v/>
      </c>
      <c r="J3210" s="215" t="str">
        <f>IF(Table2[[#This Row],[Description]]="","",Table2[[#This Row],[Value]]/Table2[[#This Row],[Conversion]])</f>
        <v/>
      </c>
      <c r="K3210" s="45" t="str">
        <f>IF(Table2[[#This Row],[Description]]="","",DATE(Table2[[#This Row],[Year]],Table2[[#This Row],[Month]],1))</f>
        <v/>
      </c>
    </row>
    <row r="3211" spans="7:11" x14ac:dyDescent="0.25">
      <c r="G3211" s="1" t="str">
        <f>IF(Table2[[#This Row],[Description]]="","",VLOOKUP(Table2[[#This Row],[Description]],$Q$1:$S$101,2,FALSE))</f>
        <v/>
      </c>
      <c r="H3211" s="1" t="str">
        <f>IF(Table2[[#This Row],[Description]]="","",VLOOKUP(Table2[[#This Row],[Description]],$Q$1:$S$101,3,FALSE))</f>
        <v/>
      </c>
      <c r="I3211" s="1" t="str">
        <f>IF(Table2[[#This Row],[Description]]="","",IF(Table2[[#This Row],[Currency]]=$O$2,$P$2,HLOOKUP(Table2[[#This Row],[Date]],Funds!$C$10:$GV$11,2,FALSE)))</f>
        <v/>
      </c>
      <c r="J3211" s="215" t="str">
        <f>IF(Table2[[#This Row],[Description]]="","",Table2[[#This Row],[Value]]/Table2[[#This Row],[Conversion]])</f>
        <v/>
      </c>
      <c r="K3211" s="45" t="str">
        <f>IF(Table2[[#This Row],[Description]]="","",DATE(Table2[[#This Row],[Year]],Table2[[#This Row],[Month]],1))</f>
        <v/>
      </c>
    </row>
    <row r="3212" spans="7:11" x14ac:dyDescent="0.25">
      <c r="G3212" s="1" t="str">
        <f>IF(Table2[[#This Row],[Description]]="","",VLOOKUP(Table2[[#This Row],[Description]],$Q$1:$S$101,2,FALSE))</f>
        <v/>
      </c>
      <c r="H3212" s="1" t="str">
        <f>IF(Table2[[#This Row],[Description]]="","",VLOOKUP(Table2[[#This Row],[Description]],$Q$1:$S$101,3,FALSE))</f>
        <v/>
      </c>
      <c r="I3212" s="1" t="str">
        <f>IF(Table2[[#This Row],[Description]]="","",IF(Table2[[#This Row],[Currency]]=$O$2,$P$2,HLOOKUP(Table2[[#This Row],[Date]],Funds!$C$10:$GV$11,2,FALSE)))</f>
        <v/>
      </c>
      <c r="J3212" s="215" t="str">
        <f>IF(Table2[[#This Row],[Description]]="","",Table2[[#This Row],[Value]]/Table2[[#This Row],[Conversion]])</f>
        <v/>
      </c>
      <c r="K3212" s="45" t="str">
        <f>IF(Table2[[#This Row],[Description]]="","",DATE(Table2[[#This Row],[Year]],Table2[[#This Row],[Month]],1))</f>
        <v/>
      </c>
    </row>
    <row r="3213" spans="7:11" x14ac:dyDescent="0.25">
      <c r="G3213" s="1" t="str">
        <f>IF(Table2[[#This Row],[Description]]="","",VLOOKUP(Table2[[#This Row],[Description]],$Q$1:$S$101,2,FALSE))</f>
        <v/>
      </c>
      <c r="H3213" s="1" t="str">
        <f>IF(Table2[[#This Row],[Description]]="","",VLOOKUP(Table2[[#This Row],[Description]],$Q$1:$S$101,3,FALSE))</f>
        <v/>
      </c>
      <c r="I3213" s="1" t="str">
        <f>IF(Table2[[#This Row],[Description]]="","",IF(Table2[[#This Row],[Currency]]=$O$2,$P$2,HLOOKUP(Table2[[#This Row],[Date]],Funds!$C$10:$GV$11,2,FALSE)))</f>
        <v/>
      </c>
      <c r="J3213" s="215" t="str">
        <f>IF(Table2[[#This Row],[Description]]="","",Table2[[#This Row],[Value]]/Table2[[#This Row],[Conversion]])</f>
        <v/>
      </c>
      <c r="K3213" s="45" t="str">
        <f>IF(Table2[[#This Row],[Description]]="","",DATE(Table2[[#This Row],[Year]],Table2[[#This Row],[Month]],1))</f>
        <v/>
      </c>
    </row>
    <row r="3214" spans="7:11" x14ac:dyDescent="0.25">
      <c r="G3214" s="1" t="str">
        <f>IF(Table2[[#This Row],[Description]]="","",VLOOKUP(Table2[[#This Row],[Description]],$Q$1:$S$101,2,FALSE))</f>
        <v/>
      </c>
      <c r="H3214" s="1" t="str">
        <f>IF(Table2[[#This Row],[Description]]="","",VLOOKUP(Table2[[#This Row],[Description]],$Q$1:$S$101,3,FALSE))</f>
        <v/>
      </c>
      <c r="I3214" s="1" t="str">
        <f>IF(Table2[[#This Row],[Description]]="","",IF(Table2[[#This Row],[Currency]]=$O$2,$P$2,HLOOKUP(Table2[[#This Row],[Date]],Funds!$C$10:$GV$11,2,FALSE)))</f>
        <v/>
      </c>
      <c r="J3214" s="215" t="str">
        <f>IF(Table2[[#This Row],[Description]]="","",Table2[[#This Row],[Value]]/Table2[[#This Row],[Conversion]])</f>
        <v/>
      </c>
      <c r="K3214" s="45" t="str">
        <f>IF(Table2[[#This Row],[Description]]="","",DATE(Table2[[#This Row],[Year]],Table2[[#This Row],[Month]],1))</f>
        <v/>
      </c>
    </row>
    <row r="3215" spans="7:11" x14ac:dyDescent="0.25">
      <c r="G3215" s="1" t="str">
        <f>IF(Table2[[#This Row],[Description]]="","",VLOOKUP(Table2[[#This Row],[Description]],$Q$1:$S$101,2,FALSE))</f>
        <v/>
      </c>
      <c r="H3215" s="1" t="str">
        <f>IF(Table2[[#This Row],[Description]]="","",VLOOKUP(Table2[[#This Row],[Description]],$Q$1:$S$101,3,FALSE))</f>
        <v/>
      </c>
      <c r="I3215" s="1" t="str">
        <f>IF(Table2[[#This Row],[Description]]="","",IF(Table2[[#This Row],[Currency]]=$O$2,$P$2,HLOOKUP(Table2[[#This Row],[Date]],Funds!$C$10:$GV$11,2,FALSE)))</f>
        <v/>
      </c>
      <c r="J3215" s="215" t="str">
        <f>IF(Table2[[#This Row],[Description]]="","",Table2[[#This Row],[Value]]/Table2[[#This Row],[Conversion]])</f>
        <v/>
      </c>
      <c r="K3215" s="45" t="str">
        <f>IF(Table2[[#This Row],[Description]]="","",DATE(Table2[[#This Row],[Year]],Table2[[#This Row],[Month]],1))</f>
        <v/>
      </c>
    </row>
    <row r="3216" spans="7:11" x14ac:dyDescent="0.25">
      <c r="G3216" s="1" t="str">
        <f>IF(Table2[[#This Row],[Description]]="","",VLOOKUP(Table2[[#This Row],[Description]],$Q$1:$S$101,2,FALSE))</f>
        <v/>
      </c>
      <c r="H3216" s="1" t="str">
        <f>IF(Table2[[#This Row],[Description]]="","",VLOOKUP(Table2[[#This Row],[Description]],$Q$1:$S$101,3,FALSE))</f>
        <v/>
      </c>
      <c r="I3216" s="1" t="str">
        <f>IF(Table2[[#This Row],[Description]]="","",IF(Table2[[#This Row],[Currency]]=$O$2,$P$2,HLOOKUP(Table2[[#This Row],[Date]],Funds!$C$10:$GV$11,2,FALSE)))</f>
        <v/>
      </c>
      <c r="J3216" s="215" t="str">
        <f>IF(Table2[[#This Row],[Description]]="","",Table2[[#This Row],[Value]]/Table2[[#This Row],[Conversion]])</f>
        <v/>
      </c>
      <c r="K3216" s="45" t="str">
        <f>IF(Table2[[#This Row],[Description]]="","",DATE(Table2[[#This Row],[Year]],Table2[[#This Row],[Month]],1))</f>
        <v/>
      </c>
    </row>
    <row r="3217" spans="7:11" x14ac:dyDescent="0.25">
      <c r="G3217" s="1" t="str">
        <f>IF(Table2[[#This Row],[Description]]="","",VLOOKUP(Table2[[#This Row],[Description]],$Q$1:$S$101,2,FALSE))</f>
        <v/>
      </c>
      <c r="H3217" s="1" t="str">
        <f>IF(Table2[[#This Row],[Description]]="","",VLOOKUP(Table2[[#This Row],[Description]],$Q$1:$S$101,3,FALSE))</f>
        <v/>
      </c>
      <c r="I3217" s="1" t="str">
        <f>IF(Table2[[#This Row],[Description]]="","",IF(Table2[[#This Row],[Currency]]=$O$2,$P$2,HLOOKUP(Table2[[#This Row],[Date]],Funds!$C$10:$GV$11,2,FALSE)))</f>
        <v/>
      </c>
      <c r="J3217" s="215" t="str">
        <f>IF(Table2[[#This Row],[Description]]="","",Table2[[#This Row],[Value]]/Table2[[#This Row],[Conversion]])</f>
        <v/>
      </c>
      <c r="K3217" s="45" t="str">
        <f>IF(Table2[[#This Row],[Description]]="","",DATE(Table2[[#This Row],[Year]],Table2[[#This Row],[Month]],1))</f>
        <v/>
      </c>
    </row>
    <row r="3218" spans="7:11" x14ac:dyDescent="0.25">
      <c r="G3218" s="1" t="str">
        <f>IF(Table2[[#This Row],[Description]]="","",VLOOKUP(Table2[[#This Row],[Description]],$Q$1:$S$101,2,FALSE))</f>
        <v/>
      </c>
      <c r="H3218" s="1" t="str">
        <f>IF(Table2[[#This Row],[Description]]="","",VLOOKUP(Table2[[#This Row],[Description]],$Q$1:$S$101,3,FALSE))</f>
        <v/>
      </c>
      <c r="I3218" s="1" t="str">
        <f>IF(Table2[[#This Row],[Description]]="","",IF(Table2[[#This Row],[Currency]]=$O$2,$P$2,HLOOKUP(Table2[[#This Row],[Date]],Funds!$C$10:$GV$11,2,FALSE)))</f>
        <v/>
      </c>
      <c r="J3218" s="215" t="str">
        <f>IF(Table2[[#This Row],[Description]]="","",Table2[[#This Row],[Value]]/Table2[[#This Row],[Conversion]])</f>
        <v/>
      </c>
      <c r="K3218" s="45" t="str">
        <f>IF(Table2[[#This Row],[Description]]="","",DATE(Table2[[#This Row],[Year]],Table2[[#This Row],[Month]],1))</f>
        <v/>
      </c>
    </row>
    <row r="3219" spans="7:11" x14ac:dyDescent="0.25">
      <c r="G3219" s="1" t="str">
        <f>IF(Table2[[#This Row],[Description]]="","",VLOOKUP(Table2[[#This Row],[Description]],$Q$1:$S$101,2,FALSE))</f>
        <v/>
      </c>
      <c r="H3219" s="1" t="str">
        <f>IF(Table2[[#This Row],[Description]]="","",VLOOKUP(Table2[[#This Row],[Description]],$Q$1:$S$101,3,FALSE))</f>
        <v/>
      </c>
      <c r="I3219" s="1" t="str">
        <f>IF(Table2[[#This Row],[Description]]="","",IF(Table2[[#This Row],[Currency]]=$O$2,$P$2,HLOOKUP(Table2[[#This Row],[Date]],Funds!$C$10:$GV$11,2,FALSE)))</f>
        <v/>
      </c>
      <c r="J3219" s="215" t="str">
        <f>IF(Table2[[#This Row],[Description]]="","",Table2[[#This Row],[Value]]/Table2[[#This Row],[Conversion]])</f>
        <v/>
      </c>
      <c r="K3219" s="45" t="str">
        <f>IF(Table2[[#This Row],[Description]]="","",DATE(Table2[[#This Row],[Year]],Table2[[#This Row],[Month]],1))</f>
        <v/>
      </c>
    </row>
    <row r="3220" spans="7:11" x14ac:dyDescent="0.25">
      <c r="G3220" s="1" t="str">
        <f>IF(Table2[[#This Row],[Description]]="","",VLOOKUP(Table2[[#This Row],[Description]],$Q$1:$S$101,2,FALSE))</f>
        <v/>
      </c>
      <c r="H3220" s="1" t="str">
        <f>IF(Table2[[#This Row],[Description]]="","",VLOOKUP(Table2[[#This Row],[Description]],$Q$1:$S$101,3,FALSE))</f>
        <v/>
      </c>
      <c r="I3220" s="1" t="str">
        <f>IF(Table2[[#This Row],[Description]]="","",IF(Table2[[#This Row],[Currency]]=$O$2,$P$2,HLOOKUP(Table2[[#This Row],[Date]],Funds!$C$10:$GV$11,2,FALSE)))</f>
        <v/>
      </c>
      <c r="J3220" s="215" t="str">
        <f>IF(Table2[[#This Row],[Description]]="","",Table2[[#This Row],[Value]]/Table2[[#This Row],[Conversion]])</f>
        <v/>
      </c>
      <c r="K3220" s="45" t="str">
        <f>IF(Table2[[#This Row],[Description]]="","",DATE(Table2[[#This Row],[Year]],Table2[[#This Row],[Month]],1))</f>
        <v/>
      </c>
    </row>
    <row r="3221" spans="7:11" x14ac:dyDescent="0.25">
      <c r="G3221" s="1" t="str">
        <f>IF(Table2[[#This Row],[Description]]="","",VLOOKUP(Table2[[#This Row],[Description]],$Q$1:$S$101,2,FALSE))</f>
        <v/>
      </c>
      <c r="H3221" s="1" t="str">
        <f>IF(Table2[[#This Row],[Description]]="","",VLOOKUP(Table2[[#This Row],[Description]],$Q$1:$S$101,3,FALSE))</f>
        <v/>
      </c>
      <c r="I3221" s="1" t="str">
        <f>IF(Table2[[#This Row],[Description]]="","",IF(Table2[[#This Row],[Currency]]=$O$2,$P$2,HLOOKUP(Table2[[#This Row],[Date]],Funds!$C$10:$GV$11,2,FALSE)))</f>
        <v/>
      </c>
      <c r="J3221" s="215" t="str">
        <f>IF(Table2[[#This Row],[Description]]="","",Table2[[#This Row],[Value]]/Table2[[#This Row],[Conversion]])</f>
        <v/>
      </c>
      <c r="K3221" s="45" t="str">
        <f>IF(Table2[[#This Row],[Description]]="","",DATE(Table2[[#This Row],[Year]],Table2[[#This Row],[Month]],1))</f>
        <v/>
      </c>
    </row>
    <row r="3222" spans="7:11" x14ac:dyDescent="0.25">
      <c r="G3222" s="1" t="str">
        <f>IF(Table2[[#This Row],[Description]]="","",VLOOKUP(Table2[[#This Row],[Description]],$Q$1:$S$101,2,FALSE))</f>
        <v/>
      </c>
      <c r="H3222" s="1" t="str">
        <f>IF(Table2[[#This Row],[Description]]="","",VLOOKUP(Table2[[#This Row],[Description]],$Q$1:$S$101,3,FALSE))</f>
        <v/>
      </c>
      <c r="I3222" s="1" t="str">
        <f>IF(Table2[[#This Row],[Description]]="","",IF(Table2[[#This Row],[Currency]]=$O$2,$P$2,HLOOKUP(Table2[[#This Row],[Date]],Funds!$C$10:$GV$11,2,FALSE)))</f>
        <v/>
      </c>
      <c r="J3222" s="215" t="str">
        <f>IF(Table2[[#This Row],[Description]]="","",Table2[[#This Row],[Value]]/Table2[[#This Row],[Conversion]])</f>
        <v/>
      </c>
      <c r="K3222" s="45" t="str">
        <f>IF(Table2[[#This Row],[Description]]="","",DATE(Table2[[#This Row],[Year]],Table2[[#This Row],[Month]],1))</f>
        <v/>
      </c>
    </row>
    <row r="3223" spans="7:11" x14ac:dyDescent="0.25">
      <c r="G3223" s="1" t="str">
        <f>IF(Table2[[#This Row],[Description]]="","",VLOOKUP(Table2[[#This Row],[Description]],$Q$1:$S$101,2,FALSE))</f>
        <v/>
      </c>
      <c r="H3223" s="1" t="str">
        <f>IF(Table2[[#This Row],[Description]]="","",VLOOKUP(Table2[[#This Row],[Description]],$Q$1:$S$101,3,FALSE))</f>
        <v/>
      </c>
      <c r="I3223" s="1" t="str">
        <f>IF(Table2[[#This Row],[Description]]="","",IF(Table2[[#This Row],[Currency]]=$O$2,$P$2,HLOOKUP(Table2[[#This Row],[Date]],Funds!$C$10:$GV$11,2,FALSE)))</f>
        <v/>
      </c>
      <c r="J3223" s="215" t="str">
        <f>IF(Table2[[#This Row],[Description]]="","",Table2[[#This Row],[Value]]/Table2[[#This Row],[Conversion]])</f>
        <v/>
      </c>
      <c r="K3223" s="45" t="str">
        <f>IF(Table2[[#This Row],[Description]]="","",DATE(Table2[[#This Row],[Year]],Table2[[#This Row],[Month]],1))</f>
        <v/>
      </c>
    </row>
    <row r="3224" spans="7:11" x14ac:dyDescent="0.25">
      <c r="G3224" s="1" t="str">
        <f>IF(Table2[[#This Row],[Description]]="","",VLOOKUP(Table2[[#This Row],[Description]],$Q$1:$S$101,2,FALSE))</f>
        <v/>
      </c>
      <c r="H3224" s="1" t="str">
        <f>IF(Table2[[#This Row],[Description]]="","",VLOOKUP(Table2[[#This Row],[Description]],$Q$1:$S$101,3,FALSE))</f>
        <v/>
      </c>
      <c r="I3224" s="1" t="str">
        <f>IF(Table2[[#This Row],[Description]]="","",IF(Table2[[#This Row],[Currency]]=$O$2,$P$2,HLOOKUP(Table2[[#This Row],[Date]],Funds!$C$10:$GV$11,2,FALSE)))</f>
        <v/>
      </c>
      <c r="J3224" s="215" t="str">
        <f>IF(Table2[[#This Row],[Description]]="","",Table2[[#This Row],[Value]]/Table2[[#This Row],[Conversion]])</f>
        <v/>
      </c>
      <c r="K3224" s="45" t="str">
        <f>IF(Table2[[#This Row],[Description]]="","",DATE(Table2[[#This Row],[Year]],Table2[[#This Row],[Month]],1))</f>
        <v/>
      </c>
    </row>
    <row r="3225" spans="7:11" x14ac:dyDescent="0.25">
      <c r="G3225" s="1" t="str">
        <f>IF(Table2[[#This Row],[Description]]="","",VLOOKUP(Table2[[#This Row],[Description]],$Q$1:$S$101,2,FALSE))</f>
        <v/>
      </c>
      <c r="H3225" s="1" t="str">
        <f>IF(Table2[[#This Row],[Description]]="","",VLOOKUP(Table2[[#This Row],[Description]],$Q$1:$S$101,3,FALSE))</f>
        <v/>
      </c>
      <c r="I3225" s="1" t="str">
        <f>IF(Table2[[#This Row],[Description]]="","",IF(Table2[[#This Row],[Currency]]=$O$2,$P$2,HLOOKUP(Table2[[#This Row],[Date]],Funds!$C$10:$GV$11,2,FALSE)))</f>
        <v/>
      </c>
      <c r="J3225" s="215" t="str">
        <f>IF(Table2[[#This Row],[Description]]="","",Table2[[#This Row],[Value]]/Table2[[#This Row],[Conversion]])</f>
        <v/>
      </c>
      <c r="K3225" s="45" t="str">
        <f>IF(Table2[[#This Row],[Description]]="","",DATE(Table2[[#This Row],[Year]],Table2[[#This Row],[Month]],1))</f>
        <v/>
      </c>
    </row>
    <row r="3226" spans="7:11" x14ac:dyDescent="0.25">
      <c r="G3226" s="1" t="str">
        <f>IF(Table2[[#This Row],[Description]]="","",VLOOKUP(Table2[[#This Row],[Description]],$Q$1:$S$101,2,FALSE))</f>
        <v/>
      </c>
      <c r="H3226" s="1" t="str">
        <f>IF(Table2[[#This Row],[Description]]="","",VLOOKUP(Table2[[#This Row],[Description]],$Q$1:$S$101,3,FALSE))</f>
        <v/>
      </c>
      <c r="I3226" s="1" t="str">
        <f>IF(Table2[[#This Row],[Description]]="","",IF(Table2[[#This Row],[Currency]]=$O$2,$P$2,HLOOKUP(Table2[[#This Row],[Date]],Funds!$C$10:$GV$11,2,FALSE)))</f>
        <v/>
      </c>
      <c r="J3226" s="215" t="str">
        <f>IF(Table2[[#This Row],[Description]]="","",Table2[[#This Row],[Value]]/Table2[[#This Row],[Conversion]])</f>
        <v/>
      </c>
      <c r="K3226" s="45" t="str">
        <f>IF(Table2[[#This Row],[Description]]="","",DATE(Table2[[#This Row],[Year]],Table2[[#This Row],[Month]],1))</f>
        <v/>
      </c>
    </row>
    <row r="3227" spans="7:11" x14ac:dyDescent="0.25">
      <c r="G3227" s="1" t="str">
        <f>IF(Table2[[#This Row],[Description]]="","",VLOOKUP(Table2[[#This Row],[Description]],$Q$1:$S$101,2,FALSE))</f>
        <v/>
      </c>
      <c r="H3227" s="1" t="str">
        <f>IF(Table2[[#This Row],[Description]]="","",VLOOKUP(Table2[[#This Row],[Description]],$Q$1:$S$101,3,FALSE))</f>
        <v/>
      </c>
      <c r="I3227" s="1" t="str">
        <f>IF(Table2[[#This Row],[Description]]="","",IF(Table2[[#This Row],[Currency]]=$O$2,$P$2,HLOOKUP(Table2[[#This Row],[Date]],Funds!$C$10:$GV$11,2,FALSE)))</f>
        <v/>
      </c>
      <c r="J3227" s="215" t="str">
        <f>IF(Table2[[#This Row],[Description]]="","",Table2[[#This Row],[Value]]/Table2[[#This Row],[Conversion]])</f>
        <v/>
      </c>
      <c r="K3227" s="45" t="str">
        <f>IF(Table2[[#This Row],[Description]]="","",DATE(Table2[[#This Row],[Year]],Table2[[#This Row],[Month]],1))</f>
        <v/>
      </c>
    </row>
    <row r="3228" spans="7:11" x14ac:dyDescent="0.25">
      <c r="G3228" s="1" t="str">
        <f>IF(Table2[[#This Row],[Description]]="","",VLOOKUP(Table2[[#This Row],[Description]],$Q$1:$S$101,2,FALSE))</f>
        <v/>
      </c>
      <c r="H3228" s="1" t="str">
        <f>IF(Table2[[#This Row],[Description]]="","",VLOOKUP(Table2[[#This Row],[Description]],$Q$1:$S$101,3,FALSE))</f>
        <v/>
      </c>
      <c r="I3228" s="1" t="str">
        <f>IF(Table2[[#This Row],[Description]]="","",IF(Table2[[#This Row],[Currency]]=$O$2,$P$2,HLOOKUP(Table2[[#This Row],[Date]],Funds!$C$10:$GV$11,2,FALSE)))</f>
        <v/>
      </c>
      <c r="J3228" s="215" t="str">
        <f>IF(Table2[[#This Row],[Description]]="","",Table2[[#This Row],[Value]]/Table2[[#This Row],[Conversion]])</f>
        <v/>
      </c>
      <c r="K3228" s="45" t="str">
        <f>IF(Table2[[#This Row],[Description]]="","",DATE(Table2[[#This Row],[Year]],Table2[[#This Row],[Month]],1))</f>
        <v/>
      </c>
    </row>
    <row r="3229" spans="7:11" x14ac:dyDescent="0.25">
      <c r="G3229" s="1" t="str">
        <f>IF(Table2[[#This Row],[Description]]="","",VLOOKUP(Table2[[#This Row],[Description]],$Q$1:$S$101,2,FALSE))</f>
        <v/>
      </c>
      <c r="H3229" s="1" t="str">
        <f>IF(Table2[[#This Row],[Description]]="","",VLOOKUP(Table2[[#This Row],[Description]],$Q$1:$S$101,3,FALSE))</f>
        <v/>
      </c>
      <c r="I3229" s="1" t="str">
        <f>IF(Table2[[#This Row],[Description]]="","",IF(Table2[[#This Row],[Currency]]=$O$2,$P$2,HLOOKUP(Table2[[#This Row],[Date]],Funds!$C$10:$GV$11,2,FALSE)))</f>
        <v/>
      </c>
      <c r="J3229" s="215" t="str">
        <f>IF(Table2[[#This Row],[Description]]="","",Table2[[#This Row],[Value]]/Table2[[#This Row],[Conversion]])</f>
        <v/>
      </c>
      <c r="K3229" s="45" t="str">
        <f>IF(Table2[[#This Row],[Description]]="","",DATE(Table2[[#This Row],[Year]],Table2[[#This Row],[Month]],1))</f>
        <v/>
      </c>
    </row>
    <row r="3230" spans="7:11" x14ac:dyDescent="0.25">
      <c r="G3230" s="1" t="str">
        <f>IF(Table2[[#This Row],[Description]]="","",VLOOKUP(Table2[[#This Row],[Description]],$Q$1:$S$101,2,FALSE))</f>
        <v/>
      </c>
      <c r="H3230" s="1" t="str">
        <f>IF(Table2[[#This Row],[Description]]="","",VLOOKUP(Table2[[#This Row],[Description]],$Q$1:$S$101,3,FALSE))</f>
        <v/>
      </c>
      <c r="I3230" s="1" t="str">
        <f>IF(Table2[[#This Row],[Description]]="","",IF(Table2[[#This Row],[Currency]]=$O$2,$P$2,HLOOKUP(Table2[[#This Row],[Date]],Funds!$C$10:$GV$11,2,FALSE)))</f>
        <v/>
      </c>
      <c r="J3230" s="215" t="str">
        <f>IF(Table2[[#This Row],[Description]]="","",Table2[[#This Row],[Value]]/Table2[[#This Row],[Conversion]])</f>
        <v/>
      </c>
      <c r="K3230" s="45" t="str">
        <f>IF(Table2[[#This Row],[Description]]="","",DATE(Table2[[#This Row],[Year]],Table2[[#This Row],[Month]],1))</f>
        <v/>
      </c>
    </row>
    <row r="3231" spans="7:11" x14ac:dyDescent="0.25">
      <c r="G3231" s="1" t="str">
        <f>IF(Table2[[#This Row],[Description]]="","",VLOOKUP(Table2[[#This Row],[Description]],$Q$1:$S$101,2,FALSE))</f>
        <v/>
      </c>
      <c r="H3231" s="1" t="str">
        <f>IF(Table2[[#This Row],[Description]]="","",VLOOKUP(Table2[[#This Row],[Description]],$Q$1:$S$101,3,FALSE))</f>
        <v/>
      </c>
      <c r="I3231" s="1" t="str">
        <f>IF(Table2[[#This Row],[Description]]="","",IF(Table2[[#This Row],[Currency]]=$O$2,$P$2,HLOOKUP(Table2[[#This Row],[Date]],Funds!$C$10:$GV$11,2,FALSE)))</f>
        <v/>
      </c>
      <c r="J3231" s="215" t="str">
        <f>IF(Table2[[#This Row],[Description]]="","",Table2[[#This Row],[Value]]/Table2[[#This Row],[Conversion]])</f>
        <v/>
      </c>
      <c r="K3231" s="45" t="str">
        <f>IF(Table2[[#This Row],[Description]]="","",DATE(Table2[[#This Row],[Year]],Table2[[#This Row],[Month]],1))</f>
        <v/>
      </c>
    </row>
    <row r="3232" spans="7:11" x14ac:dyDescent="0.25">
      <c r="G3232" s="1" t="str">
        <f>IF(Table2[[#This Row],[Description]]="","",VLOOKUP(Table2[[#This Row],[Description]],$Q$1:$S$101,2,FALSE))</f>
        <v/>
      </c>
      <c r="H3232" s="1" t="str">
        <f>IF(Table2[[#This Row],[Description]]="","",VLOOKUP(Table2[[#This Row],[Description]],$Q$1:$S$101,3,FALSE))</f>
        <v/>
      </c>
      <c r="I3232" s="1" t="str">
        <f>IF(Table2[[#This Row],[Description]]="","",IF(Table2[[#This Row],[Currency]]=$O$2,$P$2,HLOOKUP(Table2[[#This Row],[Date]],Funds!$C$10:$GV$11,2,FALSE)))</f>
        <v/>
      </c>
      <c r="J3232" s="215" t="str">
        <f>IF(Table2[[#This Row],[Description]]="","",Table2[[#This Row],[Value]]/Table2[[#This Row],[Conversion]])</f>
        <v/>
      </c>
      <c r="K3232" s="45" t="str">
        <f>IF(Table2[[#This Row],[Description]]="","",DATE(Table2[[#This Row],[Year]],Table2[[#This Row],[Month]],1))</f>
        <v/>
      </c>
    </row>
    <row r="3233" spans="7:11" x14ac:dyDescent="0.25">
      <c r="G3233" s="1" t="str">
        <f>IF(Table2[[#This Row],[Description]]="","",VLOOKUP(Table2[[#This Row],[Description]],$Q$1:$S$101,2,FALSE))</f>
        <v/>
      </c>
      <c r="H3233" s="1" t="str">
        <f>IF(Table2[[#This Row],[Description]]="","",VLOOKUP(Table2[[#This Row],[Description]],$Q$1:$S$101,3,FALSE))</f>
        <v/>
      </c>
      <c r="I3233" s="1" t="str">
        <f>IF(Table2[[#This Row],[Description]]="","",IF(Table2[[#This Row],[Currency]]=$O$2,$P$2,HLOOKUP(Table2[[#This Row],[Date]],Funds!$C$10:$GV$11,2,FALSE)))</f>
        <v/>
      </c>
      <c r="J3233" s="215" t="str">
        <f>IF(Table2[[#This Row],[Description]]="","",Table2[[#This Row],[Value]]/Table2[[#This Row],[Conversion]])</f>
        <v/>
      </c>
      <c r="K3233" s="45" t="str">
        <f>IF(Table2[[#This Row],[Description]]="","",DATE(Table2[[#This Row],[Year]],Table2[[#This Row],[Month]],1))</f>
        <v/>
      </c>
    </row>
    <row r="3234" spans="7:11" x14ac:dyDescent="0.25">
      <c r="G3234" s="1" t="str">
        <f>IF(Table2[[#This Row],[Description]]="","",VLOOKUP(Table2[[#This Row],[Description]],$Q$1:$S$101,2,FALSE))</f>
        <v/>
      </c>
      <c r="H3234" s="1" t="str">
        <f>IF(Table2[[#This Row],[Description]]="","",VLOOKUP(Table2[[#This Row],[Description]],$Q$1:$S$101,3,FALSE))</f>
        <v/>
      </c>
      <c r="I3234" s="1" t="str">
        <f>IF(Table2[[#This Row],[Description]]="","",IF(Table2[[#This Row],[Currency]]=$O$2,$P$2,HLOOKUP(Table2[[#This Row],[Date]],Funds!$C$10:$GV$11,2,FALSE)))</f>
        <v/>
      </c>
      <c r="J3234" s="215" t="str">
        <f>IF(Table2[[#This Row],[Description]]="","",Table2[[#This Row],[Value]]/Table2[[#This Row],[Conversion]])</f>
        <v/>
      </c>
      <c r="K3234" s="45" t="str">
        <f>IF(Table2[[#This Row],[Description]]="","",DATE(Table2[[#This Row],[Year]],Table2[[#This Row],[Month]],1))</f>
        <v/>
      </c>
    </row>
    <row r="3235" spans="7:11" x14ac:dyDescent="0.25">
      <c r="G3235" s="1" t="str">
        <f>IF(Table2[[#This Row],[Description]]="","",VLOOKUP(Table2[[#This Row],[Description]],$Q$1:$S$101,2,FALSE))</f>
        <v/>
      </c>
      <c r="H3235" s="1" t="str">
        <f>IF(Table2[[#This Row],[Description]]="","",VLOOKUP(Table2[[#This Row],[Description]],$Q$1:$S$101,3,FALSE))</f>
        <v/>
      </c>
      <c r="I3235" s="1" t="str">
        <f>IF(Table2[[#This Row],[Description]]="","",IF(Table2[[#This Row],[Currency]]=$O$2,$P$2,HLOOKUP(Table2[[#This Row],[Date]],Funds!$C$10:$GV$11,2,FALSE)))</f>
        <v/>
      </c>
      <c r="J3235" s="215" t="str">
        <f>IF(Table2[[#This Row],[Description]]="","",Table2[[#This Row],[Value]]/Table2[[#This Row],[Conversion]])</f>
        <v/>
      </c>
      <c r="K3235" s="45" t="str">
        <f>IF(Table2[[#This Row],[Description]]="","",DATE(Table2[[#This Row],[Year]],Table2[[#This Row],[Month]],1))</f>
        <v/>
      </c>
    </row>
    <row r="3236" spans="7:11" x14ac:dyDescent="0.25">
      <c r="G3236" s="1" t="str">
        <f>IF(Table2[[#This Row],[Description]]="","",VLOOKUP(Table2[[#This Row],[Description]],$Q$1:$S$101,2,FALSE))</f>
        <v/>
      </c>
      <c r="H3236" s="1" t="str">
        <f>IF(Table2[[#This Row],[Description]]="","",VLOOKUP(Table2[[#This Row],[Description]],$Q$1:$S$101,3,FALSE))</f>
        <v/>
      </c>
      <c r="I3236" s="1" t="str">
        <f>IF(Table2[[#This Row],[Description]]="","",IF(Table2[[#This Row],[Currency]]=$O$2,$P$2,HLOOKUP(Table2[[#This Row],[Date]],Funds!$C$10:$GV$11,2,FALSE)))</f>
        <v/>
      </c>
      <c r="J3236" s="215" t="str">
        <f>IF(Table2[[#This Row],[Description]]="","",Table2[[#This Row],[Value]]/Table2[[#This Row],[Conversion]])</f>
        <v/>
      </c>
      <c r="K3236" s="45" t="str">
        <f>IF(Table2[[#This Row],[Description]]="","",DATE(Table2[[#This Row],[Year]],Table2[[#This Row],[Month]],1))</f>
        <v/>
      </c>
    </row>
    <row r="3237" spans="7:11" x14ac:dyDescent="0.25">
      <c r="G3237" s="1" t="str">
        <f>IF(Table2[[#This Row],[Description]]="","",VLOOKUP(Table2[[#This Row],[Description]],$Q$1:$S$101,2,FALSE))</f>
        <v/>
      </c>
      <c r="H3237" s="1" t="str">
        <f>IF(Table2[[#This Row],[Description]]="","",VLOOKUP(Table2[[#This Row],[Description]],$Q$1:$S$101,3,FALSE))</f>
        <v/>
      </c>
      <c r="I3237" s="1" t="str">
        <f>IF(Table2[[#This Row],[Description]]="","",IF(Table2[[#This Row],[Currency]]=$O$2,$P$2,HLOOKUP(Table2[[#This Row],[Date]],Funds!$C$10:$GV$11,2,FALSE)))</f>
        <v/>
      </c>
      <c r="J3237" s="215" t="str">
        <f>IF(Table2[[#This Row],[Description]]="","",Table2[[#This Row],[Value]]/Table2[[#This Row],[Conversion]])</f>
        <v/>
      </c>
      <c r="K3237" s="45" t="str">
        <f>IF(Table2[[#This Row],[Description]]="","",DATE(Table2[[#This Row],[Year]],Table2[[#This Row],[Month]],1))</f>
        <v/>
      </c>
    </row>
    <row r="3238" spans="7:11" x14ac:dyDescent="0.25">
      <c r="G3238" s="1" t="str">
        <f>IF(Table2[[#This Row],[Description]]="","",VLOOKUP(Table2[[#This Row],[Description]],$Q$1:$S$101,2,FALSE))</f>
        <v/>
      </c>
      <c r="H3238" s="1" t="str">
        <f>IF(Table2[[#This Row],[Description]]="","",VLOOKUP(Table2[[#This Row],[Description]],$Q$1:$S$101,3,FALSE))</f>
        <v/>
      </c>
      <c r="I3238" s="1" t="str">
        <f>IF(Table2[[#This Row],[Description]]="","",IF(Table2[[#This Row],[Currency]]=$O$2,$P$2,HLOOKUP(Table2[[#This Row],[Date]],Funds!$C$10:$GV$11,2,FALSE)))</f>
        <v/>
      </c>
      <c r="J3238" s="215" t="str">
        <f>IF(Table2[[#This Row],[Description]]="","",Table2[[#This Row],[Value]]/Table2[[#This Row],[Conversion]])</f>
        <v/>
      </c>
      <c r="K3238" s="45" t="str">
        <f>IF(Table2[[#This Row],[Description]]="","",DATE(Table2[[#This Row],[Year]],Table2[[#This Row],[Month]],1))</f>
        <v/>
      </c>
    </row>
    <row r="3239" spans="7:11" x14ac:dyDescent="0.25">
      <c r="G3239" s="1" t="str">
        <f>IF(Table2[[#This Row],[Description]]="","",VLOOKUP(Table2[[#This Row],[Description]],$Q$1:$S$101,2,FALSE))</f>
        <v/>
      </c>
      <c r="H3239" s="1" t="str">
        <f>IF(Table2[[#This Row],[Description]]="","",VLOOKUP(Table2[[#This Row],[Description]],$Q$1:$S$101,3,FALSE))</f>
        <v/>
      </c>
      <c r="I3239" s="1" t="str">
        <f>IF(Table2[[#This Row],[Description]]="","",IF(Table2[[#This Row],[Currency]]=$O$2,$P$2,HLOOKUP(Table2[[#This Row],[Date]],Funds!$C$10:$GV$11,2,FALSE)))</f>
        <v/>
      </c>
      <c r="J3239" s="215" t="str">
        <f>IF(Table2[[#This Row],[Description]]="","",Table2[[#This Row],[Value]]/Table2[[#This Row],[Conversion]])</f>
        <v/>
      </c>
      <c r="K3239" s="45" t="str">
        <f>IF(Table2[[#This Row],[Description]]="","",DATE(Table2[[#This Row],[Year]],Table2[[#This Row],[Month]],1))</f>
        <v/>
      </c>
    </row>
    <row r="3240" spans="7:11" x14ac:dyDescent="0.25">
      <c r="G3240" s="1" t="str">
        <f>IF(Table2[[#This Row],[Description]]="","",VLOOKUP(Table2[[#This Row],[Description]],$Q$1:$S$101,2,FALSE))</f>
        <v/>
      </c>
      <c r="H3240" s="1" t="str">
        <f>IF(Table2[[#This Row],[Description]]="","",VLOOKUP(Table2[[#This Row],[Description]],$Q$1:$S$101,3,FALSE))</f>
        <v/>
      </c>
      <c r="I3240" s="1" t="str">
        <f>IF(Table2[[#This Row],[Description]]="","",IF(Table2[[#This Row],[Currency]]=$O$2,$P$2,HLOOKUP(Table2[[#This Row],[Date]],Funds!$C$10:$GV$11,2,FALSE)))</f>
        <v/>
      </c>
      <c r="J3240" s="215" t="str">
        <f>IF(Table2[[#This Row],[Description]]="","",Table2[[#This Row],[Value]]/Table2[[#This Row],[Conversion]])</f>
        <v/>
      </c>
      <c r="K3240" s="45" t="str">
        <f>IF(Table2[[#This Row],[Description]]="","",DATE(Table2[[#This Row],[Year]],Table2[[#This Row],[Month]],1))</f>
        <v/>
      </c>
    </row>
    <row r="3241" spans="7:11" x14ac:dyDescent="0.25">
      <c r="G3241" s="1" t="str">
        <f>IF(Table2[[#This Row],[Description]]="","",VLOOKUP(Table2[[#This Row],[Description]],$Q$1:$S$101,2,FALSE))</f>
        <v/>
      </c>
      <c r="H3241" s="1" t="str">
        <f>IF(Table2[[#This Row],[Description]]="","",VLOOKUP(Table2[[#This Row],[Description]],$Q$1:$S$101,3,FALSE))</f>
        <v/>
      </c>
      <c r="I3241" s="1" t="str">
        <f>IF(Table2[[#This Row],[Description]]="","",IF(Table2[[#This Row],[Currency]]=$O$2,$P$2,HLOOKUP(Table2[[#This Row],[Date]],Funds!$C$10:$GV$11,2,FALSE)))</f>
        <v/>
      </c>
      <c r="J3241" s="215" t="str">
        <f>IF(Table2[[#This Row],[Description]]="","",Table2[[#This Row],[Value]]/Table2[[#This Row],[Conversion]])</f>
        <v/>
      </c>
      <c r="K3241" s="45" t="str">
        <f>IF(Table2[[#This Row],[Description]]="","",DATE(Table2[[#This Row],[Year]],Table2[[#This Row],[Month]],1))</f>
        <v/>
      </c>
    </row>
    <row r="3242" spans="7:11" x14ac:dyDescent="0.25">
      <c r="G3242" s="1" t="str">
        <f>IF(Table2[[#This Row],[Description]]="","",VLOOKUP(Table2[[#This Row],[Description]],$Q$1:$S$101,2,FALSE))</f>
        <v/>
      </c>
      <c r="H3242" s="1" t="str">
        <f>IF(Table2[[#This Row],[Description]]="","",VLOOKUP(Table2[[#This Row],[Description]],$Q$1:$S$101,3,FALSE))</f>
        <v/>
      </c>
      <c r="I3242" s="1" t="str">
        <f>IF(Table2[[#This Row],[Description]]="","",IF(Table2[[#This Row],[Currency]]=$O$2,$P$2,HLOOKUP(Table2[[#This Row],[Date]],Funds!$C$10:$GV$11,2,FALSE)))</f>
        <v/>
      </c>
      <c r="J3242" s="215" t="str">
        <f>IF(Table2[[#This Row],[Description]]="","",Table2[[#This Row],[Value]]/Table2[[#This Row],[Conversion]])</f>
        <v/>
      </c>
      <c r="K3242" s="45" t="str">
        <f>IF(Table2[[#This Row],[Description]]="","",DATE(Table2[[#This Row],[Year]],Table2[[#This Row],[Month]],1))</f>
        <v/>
      </c>
    </row>
    <row r="3243" spans="7:11" x14ac:dyDescent="0.25">
      <c r="G3243" s="1" t="str">
        <f>IF(Table2[[#This Row],[Description]]="","",VLOOKUP(Table2[[#This Row],[Description]],$Q$1:$S$101,2,FALSE))</f>
        <v/>
      </c>
      <c r="H3243" s="1" t="str">
        <f>IF(Table2[[#This Row],[Description]]="","",VLOOKUP(Table2[[#This Row],[Description]],$Q$1:$S$101,3,FALSE))</f>
        <v/>
      </c>
      <c r="I3243" s="1" t="str">
        <f>IF(Table2[[#This Row],[Description]]="","",IF(Table2[[#This Row],[Currency]]=$O$2,$P$2,HLOOKUP(Table2[[#This Row],[Date]],Funds!$C$10:$GV$11,2,FALSE)))</f>
        <v/>
      </c>
      <c r="J3243" s="215" t="str">
        <f>IF(Table2[[#This Row],[Description]]="","",Table2[[#This Row],[Value]]/Table2[[#This Row],[Conversion]])</f>
        <v/>
      </c>
      <c r="K3243" s="45" t="str">
        <f>IF(Table2[[#This Row],[Description]]="","",DATE(Table2[[#This Row],[Year]],Table2[[#This Row],[Month]],1))</f>
        <v/>
      </c>
    </row>
    <row r="3244" spans="7:11" x14ac:dyDescent="0.25">
      <c r="G3244" s="1" t="str">
        <f>IF(Table2[[#This Row],[Description]]="","",VLOOKUP(Table2[[#This Row],[Description]],$Q$1:$S$101,2,FALSE))</f>
        <v/>
      </c>
      <c r="H3244" s="1" t="str">
        <f>IF(Table2[[#This Row],[Description]]="","",VLOOKUP(Table2[[#This Row],[Description]],$Q$1:$S$101,3,FALSE))</f>
        <v/>
      </c>
      <c r="I3244" s="1" t="str">
        <f>IF(Table2[[#This Row],[Description]]="","",IF(Table2[[#This Row],[Currency]]=$O$2,$P$2,HLOOKUP(Table2[[#This Row],[Date]],Funds!$C$10:$GV$11,2,FALSE)))</f>
        <v/>
      </c>
      <c r="J3244" s="215" t="str">
        <f>IF(Table2[[#This Row],[Description]]="","",Table2[[#This Row],[Value]]/Table2[[#This Row],[Conversion]])</f>
        <v/>
      </c>
      <c r="K3244" s="45" t="str">
        <f>IF(Table2[[#This Row],[Description]]="","",DATE(Table2[[#This Row],[Year]],Table2[[#This Row],[Month]],1))</f>
        <v/>
      </c>
    </row>
    <row r="3245" spans="7:11" x14ac:dyDescent="0.25">
      <c r="G3245" s="1" t="str">
        <f>IF(Table2[[#This Row],[Description]]="","",VLOOKUP(Table2[[#This Row],[Description]],$Q$1:$S$101,2,FALSE))</f>
        <v/>
      </c>
      <c r="H3245" s="1" t="str">
        <f>IF(Table2[[#This Row],[Description]]="","",VLOOKUP(Table2[[#This Row],[Description]],$Q$1:$S$101,3,FALSE))</f>
        <v/>
      </c>
      <c r="I3245" s="1" t="str">
        <f>IF(Table2[[#This Row],[Description]]="","",IF(Table2[[#This Row],[Currency]]=$O$2,$P$2,HLOOKUP(Table2[[#This Row],[Date]],Funds!$C$10:$GV$11,2,FALSE)))</f>
        <v/>
      </c>
      <c r="J3245" s="215" t="str">
        <f>IF(Table2[[#This Row],[Description]]="","",Table2[[#This Row],[Value]]/Table2[[#This Row],[Conversion]])</f>
        <v/>
      </c>
      <c r="K3245" s="45" t="str">
        <f>IF(Table2[[#This Row],[Description]]="","",DATE(Table2[[#This Row],[Year]],Table2[[#This Row],[Month]],1))</f>
        <v/>
      </c>
    </row>
    <row r="3246" spans="7:11" x14ac:dyDescent="0.25">
      <c r="G3246" s="1" t="str">
        <f>IF(Table2[[#This Row],[Description]]="","",VLOOKUP(Table2[[#This Row],[Description]],$Q$1:$S$101,2,FALSE))</f>
        <v/>
      </c>
      <c r="H3246" s="1" t="str">
        <f>IF(Table2[[#This Row],[Description]]="","",VLOOKUP(Table2[[#This Row],[Description]],$Q$1:$S$101,3,FALSE))</f>
        <v/>
      </c>
      <c r="I3246" s="1" t="str">
        <f>IF(Table2[[#This Row],[Description]]="","",IF(Table2[[#This Row],[Currency]]=$O$2,$P$2,HLOOKUP(Table2[[#This Row],[Date]],Funds!$C$10:$GV$11,2,FALSE)))</f>
        <v/>
      </c>
      <c r="J3246" s="215" t="str">
        <f>IF(Table2[[#This Row],[Description]]="","",Table2[[#This Row],[Value]]/Table2[[#This Row],[Conversion]])</f>
        <v/>
      </c>
      <c r="K3246" s="45" t="str">
        <f>IF(Table2[[#This Row],[Description]]="","",DATE(Table2[[#This Row],[Year]],Table2[[#This Row],[Month]],1))</f>
        <v/>
      </c>
    </row>
    <row r="3247" spans="7:11" x14ac:dyDescent="0.25">
      <c r="G3247" s="1" t="str">
        <f>IF(Table2[[#This Row],[Description]]="","",VLOOKUP(Table2[[#This Row],[Description]],$Q$1:$S$101,2,FALSE))</f>
        <v/>
      </c>
      <c r="H3247" s="1" t="str">
        <f>IF(Table2[[#This Row],[Description]]="","",VLOOKUP(Table2[[#This Row],[Description]],$Q$1:$S$101,3,FALSE))</f>
        <v/>
      </c>
      <c r="I3247" s="1" t="str">
        <f>IF(Table2[[#This Row],[Description]]="","",IF(Table2[[#This Row],[Currency]]=$O$2,$P$2,HLOOKUP(Table2[[#This Row],[Date]],Funds!$C$10:$GV$11,2,FALSE)))</f>
        <v/>
      </c>
      <c r="J3247" s="215" t="str">
        <f>IF(Table2[[#This Row],[Description]]="","",Table2[[#This Row],[Value]]/Table2[[#This Row],[Conversion]])</f>
        <v/>
      </c>
      <c r="K3247" s="45" t="str">
        <f>IF(Table2[[#This Row],[Description]]="","",DATE(Table2[[#This Row],[Year]],Table2[[#This Row],[Month]],1))</f>
        <v/>
      </c>
    </row>
    <row r="3248" spans="7:11" x14ac:dyDescent="0.25">
      <c r="G3248" s="1" t="str">
        <f>IF(Table2[[#This Row],[Description]]="","",VLOOKUP(Table2[[#This Row],[Description]],$Q$1:$S$101,2,FALSE))</f>
        <v/>
      </c>
      <c r="H3248" s="1" t="str">
        <f>IF(Table2[[#This Row],[Description]]="","",VLOOKUP(Table2[[#This Row],[Description]],$Q$1:$S$101,3,FALSE))</f>
        <v/>
      </c>
      <c r="I3248" s="1" t="str">
        <f>IF(Table2[[#This Row],[Description]]="","",IF(Table2[[#This Row],[Currency]]=$O$2,$P$2,HLOOKUP(Table2[[#This Row],[Date]],Funds!$C$10:$GV$11,2,FALSE)))</f>
        <v/>
      </c>
      <c r="J3248" s="215" t="str">
        <f>IF(Table2[[#This Row],[Description]]="","",Table2[[#This Row],[Value]]/Table2[[#This Row],[Conversion]])</f>
        <v/>
      </c>
      <c r="K3248" s="45" t="str">
        <f>IF(Table2[[#This Row],[Description]]="","",DATE(Table2[[#This Row],[Year]],Table2[[#This Row],[Month]],1))</f>
        <v/>
      </c>
    </row>
    <row r="3249" spans="7:11" x14ac:dyDescent="0.25">
      <c r="G3249" s="1" t="str">
        <f>IF(Table2[[#This Row],[Description]]="","",VLOOKUP(Table2[[#This Row],[Description]],$Q$1:$S$101,2,FALSE))</f>
        <v/>
      </c>
      <c r="H3249" s="1" t="str">
        <f>IF(Table2[[#This Row],[Description]]="","",VLOOKUP(Table2[[#This Row],[Description]],$Q$1:$S$101,3,FALSE))</f>
        <v/>
      </c>
      <c r="I3249" s="1" t="str">
        <f>IF(Table2[[#This Row],[Description]]="","",IF(Table2[[#This Row],[Currency]]=$O$2,$P$2,HLOOKUP(Table2[[#This Row],[Date]],Funds!$C$10:$GV$11,2,FALSE)))</f>
        <v/>
      </c>
      <c r="J3249" s="215" t="str">
        <f>IF(Table2[[#This Row],[Description]]="","",Table2[[#This Row],[Value]]/Table2[[#This Row],[Conversion]])</f>
        <v/>
      </c>
      <c r="K3249" s="45" t="str">
        <f>IF(Table2[[#This Row],[Description]]="","",DATE(Table2[[#This Row],[Year]],Table2[[#This Row],[Month]],1))</f>
        <v/>
      </c>
    </row>
    <row r="3250" spans="7:11" x14ac:dyDescent="0.25">
      <c r="G3250" s="1" t="str">
        <f>IF(Table2[[#This Row],[Description]]="","",VLOOKUP(Table2[[#This Row],[Description]],$Q$1:$S$101,2,FALSE))</f>
        <v/>
      </c>
      <c r="H3250" s="1" t="str">
        <f>IF(Table2[[#This Row],[Description]]="","",VLOOKUP(Table2[[#This Row],[Description]],$Q$1:$S$101,3,FALSE))</f>
        <v/>
      </c>
      <c r="I3250" s="1" t="str">
        <f>IF(Table2[[#This Row],[Description]]="","",IF(Table2[[#This Row],[Currency]]=$O$2,$P$2,HLOOKUP(Table2[[#This Row],[Date]],Funds!$C$10:$GV$11,2,FALSE)))</f>
        <v/>
      </c>
      <c r="J3250" s="215" t="str">
        <f>IF(Table2[[#This Row],[Description]]="","",Table2[[#This Row],[Value]]/Table2[[#This Row],[Conversion]])</f>
        <v/>
      </c>
      <c r="K3250" s="45" t="str">
        <f>IF(Table2[[#This Row],[Description]]="","",DATE(Table2[[#This Row],[Year]],Table2[[#This Row],[Month]],1))</f>
        <v/>
      </c>
    </row>
    <row r="3251" spans="7:11" x14ac:dyDescent="0.25">
      <c r="G3251" s="1" t="str">
        <f>IF(Table2[[#This Row],[Description]]="","",VLOOKUP(Table2[[#This Row],[Description]],$Q$1:$S$101,2,FALSE))</f>
        <v/>
      </c>
      <c r="H3251" s="1" t="str">
        <f>IF(Table2[[#This Row],[Description]]="","",VLOOKUP(Table2[[#This Row],[Description]],$Q$1:$S$101,3,FALSE))</f>
        <v/>
      </c>
      <c r="I3251" s="1" t="str">
        <f>IF(Table2[[#This Row],[Description]]="","",IF(Table2[[#This Row],[Currency]]=$O$2,$P$2,HLOOKUP(Table2[[#This Row],[Date]],Funds!$C$10:$GV$11,2,FALSE)))</f>
        <v/>
      </c>
      <c r="J3251" s="215" t="str">
        <f>IF(Table2[[#This Row],[Description]]="","",Table2[[#This Row],[Value]]/Table2[[#This Row],[Conversion]])</f>
        <v/>
      </c>
      <c r="K3251" s="45" t="str">
        <f>IF(Table2[[#This Row],[Description]]="","",DATE(Table2[[#This Row],[Year]],Table2[[#This Row],[Month]],1))</f>
        <v/>
      </c>
    </row>
    <row r="3252" spans="7:11" x14ac:dyDescent="0.25">
      <c r="G3252" s="1" t="str">
        <f>IF(Table2[[#This Row],[Description]]="","",VLOOKUP(Table2[[#This Row],[Description]],$Q$1:$S$101,2,FALSE))</f>
        <v/>
      </c>
      <c r="H3252" s="1" t="str">
        <f>IF(Table2[[#This Row],[Description]]="","",VLOOKUP(Table2[[#This Row],[Description]],$Q$1:$S$101,3,FALSE))</f>
        <v/>
      </c>
      <c r="I3252" s="1" t="str">
        <f>IF(Table2[[#This Row],[Description]]="","",IF(Table2[[#This Row],[Currency]]=$O$2,$P$2,HLOOKUP(Table2[[#This Row],[Date]],Funds!$C$10:$GV$11,2,FALSE)))</f>
        <v/>
      </c>
      <c r="J3252" s="215" t="str">
        <f>IF(Table2[[#This Row],[Description]]="","",Table2[[#This Row],[Value]]/Table2[[#This Row],[Conversion]])</f>
        <v/>
      </c>
      <c r="K3252" s="45" t="str">
        <f>IF(Table2[[#This Row],[Description]]="","",DATE(Table2[[#This Row],[Year]],Table2[[#This Row],[Month]],1))</f>
        <v/>
      </c>
    </row>
    <row r="3253" spans="7:11" x14ac:dyDescent="0.25">
      <c r="G3253" s="1" t="str">
        <f>IF(Table2[[#This Row],[Description]]="","",VLOOKUP(Table2[[#This Row],[Description]],$Q$1:$S$101,2,FALSE))</f>
        <v/>
      </c>
      <c r="H3253" s="1" t="str">
        <f>IF(Table2[[#This Row],[Description]]="","",VLOOKUP(Table2[[#This Row],[Description]],$Q$1:$S$101,3,FALSE))</f>
        <v/>
      </c>
      <c r="I3253" s="1" t="str">
        <f>IF(Table2[[#This Row],[Description]]="","",IF(Table2[[#This Row],[Currency]]=$O$2,$P$2,HLOOKUP(Table2[[#This Row],[Date]],Funds!$C$10:$GV$11,2,FALSE)))</f>
        <v/>
      </c>
      <c r="J3253" s="215" t="str">
        <f>IF(Table2[[#This Row],[Description]]="","",Table2[[#This Row],[Value]]/Table2[[#This Row],[Conversion]])</f>
        <v/>
      </c>
      <c r="K3253" s="45" t="str">
        <f>IF(Table2[[#This Row],[Description]]="","",DATE(Table2[[#This Row],[Year]],Table2[[#This Row],[Month]],1))</f>
        <v/>
      </c>
    </row>
    <row r="3254" spans="7:11" x14ac:dyDescent="0.25">
      <c r="G3254" s="1" t="str">
        <f>IF(Table2[[#This Row],[Description]]="","",VLOOKUP(Table2[[#This Row],[Description]],$Q$1:$S$101,2,FALSE))</f>
        <v/>
      </c>
      <c r="H3254" s="1" t="str">
        <f>IF(Table2[[#This Row],[Description]]="","",VLOOKUP(Table2[[#This Row],[Description]],$Q$1:$S$101,3,FALSE))</f>
        <v/>
      </c>
      <c r="I3254" s="1" t="str">
        <f>IF(Table2[[#This Row],[Description]]="","",IF(Table2[[#This Row],[Currency]]=$O$2,$P$2,HLOOKUP(Table2[[#This Row],[Date]],Funds!$C$10:$GV$11,2,FALSE)))</f>
        <v/>
      </c>
      <c r="J3254" s="215" t="str">
        <f>IF(Table2[[#This Row],[Description]]="","",Table2[[#This Row],[Value]]/Table2[[#This Row],[Conversion]])</f>
        <v/>
      </c>
      <c r="K3254" s="45" t="str">
        <f>IF(Table2[[#This Row],[Description]]="","",DATE(Table2[[#This Row],[Year]],Table2[[#This Row],[Month]],1))</f>
        <v/>
      </c>
    </row>
    <row r="3255" spans="7:11" x14ac:dyDescent="0.25">
      <c r="G3255" s="1" t="str">
        <f>IF(Table2[[#This Row],[Description]]="","",VLOOKUP(Table2[[#This Row],[Description]],$Q$1:$S$101,2,FALSE))</f>
        <v/>
      </c>
      <c r="H3255" s="1" t="str">
        <f>IF(Table2[[#This Row],[Description]]="","",VLOOKUP(Table2[[#This Row],[Description]],$Q$1:$S$101,3,FALSE))</f>
        <v/>
      </c>
      <c r="I3255" s="1" t="str">
        <f>IF(Table2[[#This Row],[Description]]="","",IF(Table2[[#This Row],[Currency]]=$O$2,$P$2,HLOOKUP(Table2[[#This Row],[Date]],Funds!$C$10:$GV$11,2,FALSE)))</f>
        <v/>
      </c>
      <c r="J3255" s="215" t="str">
        <f>IF(Table2[[#This Row],[Description]]="","",Table2[[#This Row],[Value]]/Table2[[#This Row],[Conversion]])</f>
        <v/>
      </c>
      <c r="K3255" s="45" t="str">
        <f>IF(Table2[[#This Row],[Description]]="","",DATE(Table2[[#This Row],[Year]],Table2[[#This Row],[Month]],1))</f>
        <v/>
      </c>
    </row>
    <row r="3256" spans="7:11" x14ac:dyDescent="0.25">
      <c r="G3256" s="1" t="str">
        <f>IF(Table2[[#This Row],[Description]]="","",VLOOKUP(Table2[[#This Row],[Description]],$Q$1:$S$101,2,FALSE))</f>
        <v/>
      </c>
      <c r="H3256" s="1" t="str">
        <f>IF(Table2[[#This Row],[Description]]="","",VLOOKUP(Table2[[#This Row],[Description]],$Q$1:$S$101,3,FALSE))</f>
        <v/>
      </c>
      <c r="I3256" s="1" t="str">
        <f>IF(Table2[[#This Row],[Description]]="","",IF(Table2[[#This Row],[Currency]]=$O$2,$P$2,HLOOKUP(Table2[[#This Row],[Date]],Funds!$C$10:$GV$11,2,FALSE)))</f>
        <v/>
      </c>
      <c r="J3256" s="215" t="str">
        <f>IF(Table2[[#This Row],[Description]]="","",Table2[[#This Row],[Value]]/Table2[[#This Row],[Conversion]])</f>
        <v/>
      </c>
      <c r="K3256" s="45" t="str">
        <f>IF(Table2[[#This Row],[Description]]="","",DATE(Table2[[#This Row],[Year]],Table2[[#This Row],[Month]],1))</f>
        <v/>
      </c>
    </row>
    <row r="3257" spans="7:11" x14ac:dyDescent="0.25">
      <c r="G3257" s="1" t="str">
        <f>IF(Table2[[#This Row],[Description]]="","",VLOOKUP(Table2[[#This Row],[Description]],$Q$1:$S$101,2,FALSE))</f>
        <v/>
      </c>
      <c r="H3257" s="1" t="str">
        <f>IF(Table2[[#This Row],[Description]]="","",VLOOKUP(Table2[[#This Row],[Description]],$Q$1:$S$101,3,FALSE))</f>
        <v/>
      </c>
      <c r="I3257" s="1" t="str">
        <f>IF(Table2[[#This Row],[Description]]="","",IF(Table2[[#This Row],[Currency]]=$O$2,$P$2,HLOOKUP(Table2[[#This Row],[Date]],Funds!$C$10:$GV$11,2,FALSE)))</f>
        <v/>
      </c>
      <c r="J3257" s="215" t="str">
        <f>IF(Table2[[#This Row],[Description]]="","",Table2[[#This Row],[Value]]/Table2[[#This Row],[Conversion]])</f>
        <v/>
      </c>
      <c r="K3257" s="45" t="str">
        <f>IF(Table2[[#This Row],[Description]]="","",DATE(Table2[[#This Row],[Year]],Table2[[#This Row],[Month]],1))</f>
        <v/>
      </c>
    </row>
    <row r="3258" spans="7:11" x14ac:dyDescent="0.25">
      <c r="G3258" s="1" t="str">
        <f>IF(Table2[[#This Row],[Description]]="","",VLOOKUP(Table2[[#This Row],[Description]],$Q$1:$S$101,2,FALSE))</f>
        <v/>
      </c>
      <c r="H3258" s="1" t="str">
        <f>IF(Table2[[#This Row],[Description]]="","",VLOOKUP(Table2[[#This Row],[Description]],$Q$1:$S$101,3,FALSE))</f>
        <v/>
      </c>
      <c r="I3258" s="1" t="str">
        <f>IF(Table2[[#This Row],[Description]]="","",IF(Table2[[#This Row],[Currency]]=$O$2,$P$2,HLOOKUP(Table2[[#This Row],[Date]],Funds!$C$10:$GV$11,2,FALSE)))</f>
        <v/>
      </c>
      <c r="J3258" s="215" t="str">
        <f>IF(Table2[[#This Row],[Description]]="","",Table2[[#This Row],[Value]]/Table2[[#This Row],[Conversion]])</f>
        <v/>
      </c>
      <c r="K3258" s="45" t="str">
        <f>IF(Table2[[#This Row],[Description]]="","",DATE(Table2[[#This Row],[Year]],Table2[[#This Row],[Month]],1))</f>
        <v/>
      </c>
    </row>
    <row r="3259" spans="7:11" x14ac:dyDescent="0.25">
      <c r="G3259" s="1" t="str">
        <f>IF(Table2[[#This Row],[Description]]="","",VLOOKUP(Table2[[#This Row],[Description]],$Q$1:$S$101,2,FALSE))</f>
        <v/>
      </c>
      <c r="H3259" s="1" t="str">
        <f>IF(Table2[[#This Row],[Description]]="","",VLOOKUP(Table2[[#This Row],[Description]],$Q$1:$S$101,3,FALSE))</f>
        <v/>
      </c>
      <c r="I3259" s="1" t="str">
        <f>IF(Table2[[#This Row],[Description]]="","",IF(Table2[[#This Row],[Currency]]=$O$2,$P$2,HLOOKUP(Table2[[#This Row],[Date]],Funds!$C$10:$GV$11,2,FALSE)))</f>
        <v/>
      </c>
      <c r="J3259" s="215" t="str">
        <f>IF(Table2[[#This Row],[Description]]="","",Table2[[#This Row],[Value]]/Table2[[#This Row],[Conversion]])</f>
        <v/>
      </c>
      <c r="K3259" s="45" t="str">
        <f>IF(Table2[[#This Row],[Description]]="","",DATE(Table2[[#This Row],[Year]],Table2[[#This Row],[Month]],1))</f>
        <v/>
      </c>
    </row>
    <row r="3260" spans="7:11" x14ac:dyDescent="0.25">
      <c r="G3260" s="1" t="str">
        <f>IF(Table2[[#This Row],[Description]]="","",VLOOKUP(Table2[[#This Row],[Description]],$Q$1:$S$101,2,FALSE))</f>
        <v/>
      </c>
      <c r="H3260" s="1" t="str">
        <f>IF(Table2[[#This Row],[Description]]="","",VLOOKUP(Table2[[#This Row],[Description]],$Q$1:$S$101,3,FALSE))</f>
        <v/>
      </c>
      <c r="I3260" s="1" t="str">
        <f>IF(Table2[[#This Row],[Description]]="","",IF(Table2[[#This Row],[Currency]]=$O$2,$P$2,HLOOKUP(Table2[[#This Row],[Date]],Funds!$C$10:$GV$11,2,FALSE)))</f>
        <v/>
      </c>
      <c r="J3260" s="215" t="str">
        <f>IF(Table2[[#This Row],[Description]]="","",Table2[[#This Row],[Value]]/Table2[[#This Row],[Conversion]])</f>
        <v/>
      </c>
      <c r="K3260" s="45" t="str">
        <f>IF(Table2[[#This Row],[Description]]="","",DATE(Table2[[#This Row],[Year]],Table2[[#This Row],[Month]],1))</f>
        <v/>
      </c>
    </row>
    <row r="3261" spans="7:11" x14ac:dyDescent="0.25">
      <c r="G3261" s="1" t="str">
        <f>IF(Table2[[#This Row],[Description]]="","",VLOOKUP(Table2[[#This Row],[Description]],$Q$1:$S$101,2,FALSE))</f>
        <v/>
      </c>
      <c r="H3261" s="1" t="str">
        <f>IF(Table2[[#This Row],[Description]]="","",VLOOKUP(Table2[[#This Row],[Description]],$Q$1:$S$101,3,FALSE))</f>
        <v/>
      </c>
      <c r="I3261" s="1" t="str">
        <f>IF(Table2[[#This Row],[Description]]="","",IF(Table2[[#This Row],[Currency]]=$O$2,$P$2,HLOOKUP(Table2[[#This Row],[Date]],Funds!$C$10:$GV$11,2,FALSE)))</f>
        <v/>
      </c>
      <c r="J3261" s="215" t="str">
        <f>IF(Table2[[#This Row],[Description]]="","",Table2[[#This Row],[Value]]/Table2[[#This Row],[Conversion]])</f>
        <v/>
      </c>
      <c r="K3261" s="45" t="str">
        <f>IF(Table2[[#This Row],[Description]]="","",DATE(Table2[[#This Row],[Year]],Table2[[#This Row],[Month]],1))</f>
        <v/>
      </c>
    </row>
    <row r="3262" spans="7:11" x14ac:dyDescent="0.25">
      <c r="G3262" s="1" t="str">
        <f>IF(Table2[[#This Row],[Description]]="","",VLOOKUP(Table2[[#This Row],[Description]],$Q$1:$S$101,2,FALSE))</f>
        <v/>
      </c>
      <c r="H3262" s="1" t="str">
        <f>IF(Table2[[#This Row],[Description]]="","",VLOOKUP(Table2[[#This Row],[Description]],$Q$1:$S$101,3,FALSE))</f>
        <v/>
      </c>
      <c r="I3262" s="1" t="str">
        <f>IF(Table2[[#This Row],[Description]]="","",IF(Table2[[#This Row],[Currency]]=$O$2,$P$2,HLOOKUP(Table2[[#This Row],[Date]],Funds!$C$10:$GV$11,2,FALSE)))</f>
        <v/>
      </c>
      <c r="J3262" s="215" t="str">
        <f>IF(Table2[[#This Row],[Description]]="","",Table2[[#This Row],[Value]]/Table2[[#This Row],[Conversion]])</f>
        <v/>
      </c>
      <c r="K3262" s="45" t="str">
        <f>IF(Table2[[#This Row],[Description]]="","",DATE(Table2[[#This Row],[Year]],Table2[[#This Row],[Month]],1))</f>
        <v/>
      </c>
    </row>
    <row r="3263" spans="7:11" x14ac:dyDescent="0.25">
      <c r="G3263" s="1" t="str">
        <f>IF(Table2[[#This Row],[Description]]="","",VLOOKUP(Table2[[#This Row],[Description]],$Q$1:$S$101,2,FALSE))</f>
        <v/>
      </c>
      <c r="H3263" s="1" t="str">
        <f>IF(Table2[[#This Row],[Description]]="","",VLOOKUP(Table2[[#This Row],[Description]],$Q$1:$S$101,3,FALSE))</f>
        <v/>
      </c>
      <c r="I3263" s="1" t="str">
        <f>IF(Table2[[#This Row],[Description]]="","",IF(Table2[[#This Row],[Currency]]=$O$2,$P$2,HLOOKUP(Table2[[#This Row],[Date]],Funds!$C$10:$GV$11,2,FALSE)))</f>
        <v/>
      </c>
      <c r="J3263" s="215" t="str">
        <f>IF(Table2[[#This Row],[Description]]="","",Table2[[#This Row],[Value]]/Table2[[#This Row],[Conversion]])</f>
        <v/>
      </c>
      <c r="K3263" s="45" t="str">
        <f>IF(Table2[[#This Row],[Description]]="","",DATE(Table2[[#This Row],[Year]],Table2[[#This Row],[Month]],1))</f>
        <v/>
      </c>
    </row>
    <row r="3264" spans="7:11" x14ac:dyDescent="0.25">
      <c r="G3264" s="1" t="str">
        <f>IF(Table2[[#This Row],[Description]]="","",VLOOKUP(Table2[[#This Row],[Description]],$Q$1:$S$101,2,FALSE))</f>
        <v/>
      </c>
      <c r="H3264" s="1" t="str">
        <f>IF(Table2[[#This Row],[Description]]="","",VLOOKUP(Table2[[#This Row],[Description]],$Q$1:$S$101,3,FALSE))</f>
        <v/>
      </c>
      <c r="I3264" s="1" t="str">
        <f>IF(Table2[[#This Row],[Description]]="","",IF(Table2[[#This Row],[Currency]]=$O$2,$P$2,HLOOKUP(Table2[[#This Row],[Date]],Funds!$C$10:$GV$11,2,FALSE)))</f>
        <v/>
      </c>
      <c r="J3264" s="215" t="str">
        <f>IF(Table2[[#This Row],[Description]]="","",Table2[[#This Row],[Value]]/Table2[[#This Row],[Conversion]])</f>
        <v/>
      </c>
      <c r="K3264" s="45" t="str">
        <f>IF(Table2[[#This Row],[Description]]="","",DATE(Table2[[#This Row],[Year]],Table2[[#This Row],[Month]],1))</f>
        <v/>
      </c>
    </row>
    <row r="3265" spans="7:11" x14ac:dyDescent="0.25">
      <c r="G3265" s="1" t="str">
        <f>IF(Table2[[#This Row],[Description]]="","",VLOOKUP(Table2[[#This Row],[Description]],$Q$1:$S$101,2,FALSE))</f>
        <v/>
      </c>
      <c r="H3265" s="1" t="str">
        <f>IF(Table2[[#This Row],[Description]]="","",VLOOKUP(Table2[[#This Row],[Description]],$Q$1:$S$101,3,FALSE))</f>
        <v/>
      </c>
      <c r="I3265" s="1" t="str">
        <f>IF(Table2[[#This Row],[Description]]="","",IF(Table2[[#This Row],[Currency]]=$O$2,$P$2,HLOOKUP(Table2[[#This Row],[Date]],Funds!$C$10:$GV$11,2,FALSE)))</f>
        <v/>
      </c>
      <c r="J3265" s="215" t="str">
        <f>IF(Table2[[#This Row],[Description]]="","",Table2[[#This Row],[Value]]/Table2[[#This Row],[Conversion]])</f>
        <v/>
      </c>
      <c r="K3265" s="45" t="str">
        <f>IF(Table2[[#This Row],[Description]]="","",DATE(Table2[[#This Row],[Year]],Table2[[#This Row],[Month]],1))</f>
        <v/>
      </c>
    </row>
    <row r="3266" spans="7:11" x14ac:dyDescent="0.25">
      <c r="G3266" s="1" t="str">
        <f>IF(Table2[[#This Row],[Description]]="","",VLOOKUP(Table2[[#This Row],[Description]],$Q$1:$S$101,2,FALSE))</f>
        <v/>
      </c>
      <c r="H3266" s="1" t="str">
        <f>IF(Table2[[#This Row],[Description]]="","",VLOOKUP(Table2[[#This Row],[Description]],$Q$1:$S$101,3,FALSE))</f>
        <v/>
      </c>
      <c r="I3266" s="1" t="str">
        <f>IF(Table2[[#This Row],[Description]]="","",IF(Table2[[#This Row],[Currency]]=$O$2,$P$2,HLOOKUP(Table2[[#This Row],[Date]],Funds!$C$10:$GV$11,2,FALSE)))</f>
        <v/>
      </c>
      <c r="J3266" s="215" t="str">
        <f>IF(Table2[[#This Row],[Description]]="","",Table2[[#This Row],[Value]]/Table2[[#This Row],[Conversion]])</f>
        <v/>
      </c>
      <c r="K3266" s="45" t="str">
        <f>IF(Table2[[#This Row],[Description]]="","",DATE(Table2[[#This Row],[Year]],Table2[[#This Row],[Month]],1))</f>
        <v/>
      </c>
    </row>
    <row r="3267" spans="7:11" x14ac:dyDescent="0.25">
      <c r="G3267" s="1" t="str">
        <f>IF(Table2[[#This Row],[Description]]="","",VLOOKUP(Table2[[#This Row],[Description]],$Q$1:$S$101,2,FALSE))</f>
        <v/>
      </c>
      <c r="H3267" s="1" t="str">
        <f>IF(Table2[[#This Row],[Description]]="","",VLOOKUP(Table2[[#This Row],[Description]],$Q$1:$S$101,3,FALSE))</f>
        <v/>
      </c>
      <c r="I3267" s="1" t="str">
        <f>IF(Table2[[#This Row],[Description]]="","",IF(Table2[[#This Row],[Currency]]=$O$2,$P$2,HLOOKUP(Table2[[#This Row],[Date]],Funds!$C$10:$GV$11,2,FALSE)))</f>
        <v/>
      </c>
      <c r="J3267" s="215" t="str">
        <f>IF(Table2[[#This Row],[Description]]="","",Table2[[#This Row],[Value]]/Table2[[#This Row],[Conversion]])</f>
        <v/>
      </c>
      <c r="K3267" s="45" t="str">
        <f>IF(Table2[[#This Row],[Description]]="","",DATE(Table2[[#This Row],[Year]],Table2[[#This Row],[Month]],1))</f>
        <v/>
      </c>
    </row>
    <row r="3268" spans="7:11" x14ac:dyDescent="0.25">
      <c r="G3268" s="1" t="str">
        <f>IF(Table2[[#This Row],[Description]]="","",VLOOKUP(Table2[[#This Row],[Description]],$Q$1:$S$101,2,FALSE))</f>
        <v/>
      </c>
      <c r="H3268" s="1" t="str">
        <f>IF(Table2[[#This Row],[Description]]="","",VLOOKUP(Table2[[#This Row],[Description]],$Q$1:$S$101,3,FALSE))</f>
        <v/>
      </c>
      <c r="I3268" s="1" t="str">
        <f>IF(Table2[[#This Row],[Description]]="","",IF(Table2[[#This Row],[Currency]]=$O$2,$P$2,HLOOKUP(Table2[[#This Row],[Date]],Funds!$C$10:$GV$11,2,FALSE)))</f>
        <v/>
      </c>
      <c r="J3268" s="215" t="str">
        <f>IF(Table2[[#This Row],[Description]]="","",Table2[[#This Row],[Value]]/Table2[[#This Row],[Conversion]])</f>
        <v/>
      </c>
      <c r="K3268" s="45" t="str">
        <f>IF(Table2[[#This Row],[Description]]="","",DATE(Table2[[#This Row],[Year]],Table2[[#This Row],[Month]],1))</f>
        <v/>
      </c>
    </row>
    <row r="3269" spans="7:11" x14ac:dyDescent="0.25">
      <c r="G3269" s="1" t="str">
        <f>IF(Table2[[#This Row],[Description]]="","",VLOOKUP(Table2[[#This Row],[Description]],$Q$1:$S$101,2,FALSE))</f>
        <v/>
      </c>
      <c r="H3269" s="1" t="str">
        <f>IF(Table2[[#This Row],[Description]]="","",VLOOKUP(Table2[[#This Row],[Description]],$Q$1:$S$101,3,FALSE))</f>
        <v/>
      </c>
      <c r="I3269" s="1" t="str">
        <f>IF(Table2[[#This Row],[Description]]="","",IF(Table2[[#This Row],[Currency]]=$O$2,$P$2,HLOOKUP(Table2[[#This Row],[Date]],Funds!$C$10:$GV$11,2,FALSE)))</f>
        <v/>
      </c>
      <c r="J3269" s="215" t="str">
        <f>IF(Table2[[#This Row],[Description]]="","",Table2[[#This Row],[Value]]/Table2[[#This Row],[Conversion]])</f>
        <v/>
      </c>
      <c r="K3269" s="45" t="str">
        <f>IF(Table2[[#This Row],[Description]]="","",DATE(Table2[[#This Row],[Year]],Table2[[#This Row],[Month]],1))</f>
        <v/>
      </c>
    </row>
    <row r="3270" spans="7:11" x14ac:dyDescent="0.25">
      <c r="G3270" s="1" t="str">
        <f>IF(Table2[[#This Row],[Description]]="","",VLOOKUP(Table2[[#This Row],[Description]],$Q$1:$S$101,2,FALSE))</f>
        <v/>
      </c>
      <c r="H3270" s="1" t="str">
        <f>IF(Table2[[#This Row],[Description]]="","",VLOOKUP(Table2[[#This Row],[Description]],$Q$1:$S$101,3,FALSE))</f>
        <v/>
      </c>
      <c r="I3270" s="1" t="str">
        <f>IF(Table2[[#This Row],[Description]]="","",IF(Table2[[#This Row],[Currency]]=$O$2,$P$2,HLOOKUP(Table2[[#This Row],[Date]],Funds!$C$10:$GV$11,2,FALSE)))</f>
        <v/>
      </c>
      <c r="J3270" s="215" t="str">
        <f>IF(Table2[[#This Row],[Description]]="","",Table2[[#This Row],[Value]]/Table2[[#This Row],[Conversion]])</f>
        <v/>
      </c>
      <c r="K3270" s="45" t="str">
        <f>IF(Table2[[#This Row],[Description]]="","",DATE(Table2[[#This Row],[Year]],Table2[[#This Row],[Month]],1))</f>
        <v/>
      </c>
    </row>
    <row r="3271" spans="7:11" x14ac:dyDescent="0.25">
      <c r="G3271" s="1" t="str">
        <f>IF(Table2[[#This Row],[Description]]="","",VLOOKUP(Table2[[#This Row],[Description]],$Q$1:$S$101,2,FALSE))</f>
        <v/>
      </c>
      <c r="H3271" s="1" t="str">
        <f>IF(Table2[[#This Row],[Description]]="","",VLOOKUP(Table2[[#This Row],[Description]],$Q$1:$S$101,3,FALSE))</f>
        <v/>
      </c>
      <c r="I3271" s="1" t="str">
        <f>IF(Table2[[#This Row],[Description]]="","",IF(Table2[[#This Row],[Currency]]=$O$2,$P$2,HLOOKUP(Table2[[#This Row],[Date]],Funds!$C$10:$GV$11,2,FALSE)))</f>
        <v/>
      </c>
      <c r="J3271" s="215" t="str">
        <f>IF(Table2[[#This Row],[Description]]="","",Table2[[#This Row],[Value]]/Table2[[#This Row],[Conversion]])</f>
        <v/>
      </c>
      <c r="K3271" s="45" t="str">
        <f>IF(Table2[[#This Row],[Description]]="","",DATE(Table2[[#This Row],[Year]],Table2[[#This Row],[Month]],1))</f>
        <v/>
      </c>
    </row>
    <row r="3272" spans="7:11" x14ac:dyDescent="0.25">
      <c r="G3272" s="1" t="str">
        <f>IF(Table2[[#This Row],[Description]]="","",VLOOKUP(Table2[[#This Row],[Description]],$Q$1:$S$101,2,FALSE))</f>
        <v/>
      </c>
      <c r="H3272" s="1" t="str">
        <f>IF(Table2[[#This Row],[Description]]="","",VLOOKUP(Table2[[#This Row],[Description]],$Q$1:$S$101,3,FALSE))</f>
        <v/>
      </c>
      <c r="I3272" s="1" t="str">
        <f>IF(Table2[[#This Row],[Description]]="","",IF(Table2[[#This Row],[Currency]]=$O$2,$P$2,HLOOKUP(Table2[[#This Row],[Date]],Funds!$C$10:$GV$11,2,FALSE)))</f>
        <v/>
      </c>
      <c r="J3272" s="215" t="str">
        <f>IF(Table2[[#This Row],[Description]]="","",Table2[[#This Row],[Value]]/Table2[[#This Row],[Conversion]])</f>
        <v/>
      </c>
      <c r="K3272" s="45" t="str">
        <f>IF(Table2[[#This Row],[Description]]="","",DATE(Table2[[#This Row],[Year]],Table2[[#This Row],[Month]],1))</f>
        <v/>
      </c>
    </row>
    <row r="3273" spans="7:11" x14ac:dyDescent="0.25">
      <c r="G3273" s="1" t="str">
        <f>IF(Table2[[#This Row],[Description]]="","",VLOOKUP(Table2[[#This Row],[Description]],$Q$1:$S$101,2,FALSE))</f>
        <v/>
      </c>
      <c r="H3273" s="1" t="str">
        <f>IF(Table2[[#This Row],[Description]]="","",VLOOKUP(Table2[[#This Row],[Description]],$Q$1:$S$101,3,FALSE))</f>
        <v/>
      </c>
      <c r="I3273" s="1" t="str">
        <f>IF(Table2[[#This Row],[Description]]="","",IF(Table2[[#This Row],[Currency]]=$O$2,$P$2,HLOOKUP(Table2[[#This Row],[Date]],Funds!$C$10:$GV$11,2,FALSE)))</f>
        <v/>
      </c>
      <c r="J3273" s="215" t="str">
        <f>IF(Table2[[#This Row],[Description]]="","",Table2[[#This Row],[Value]]/Table2[[#This Row],[Conversion]])</f>
        <v/>
      </c>
      <c r="K3273" s="45" t="str">
        <f>IF(Table2[[#This Row],[Description]]="","",DATE(Table2[[#This Row],[Year]],Table2[[#This Row],[Month]],1))</f>
        <v/>
      </c>
    </row>
    <row r="3274" spans="7:11" x14ac:dyDescent="0.25">
      <c r="G3274" s="1" t="str">
        <f>IF(Table2[[#This Row],[Description]]="","",VLOOKUP(Table2[[#This Row],[Description]],$Q$1:$S$101,2,FALSE))</f>
        <v/>
      </c>
      <c r="H3274" s="1" t="str">
        <f>IF(Table2[[#This Row],[Description]]="","",VLOOKUP(Table2[[#This Row],[Description]],$Q$1:$S$101,3,FALSE))</f>
        <v/>
      </c>
      <c r="I3274" s="1" t="str">
        <f>IF(Table2[[#This Row],[Description]]="","",IF(Table2[[#This Row],[Currency]]=$O$2,$P$2,HLOOKUP(Table2[[#This Row],[Date]],Funds!$C$10:$GV$11,2,FALSE)))</f>
        <v/>
      </c>
      <c r="J3274" s="215" t="str">
        <f>IF(Table2[[#This Row],[Description]]="","",Table2[[#This Row],[Value]]/Table2[[#This Row],[Conversion]])</f>
        <v/>
      </c>
      <c r="K3274" s="45" t="str">
        <f>IF(Table2[[#This Row],[Description]]="","",DATE(Table2[[#This Row],[Year]],Table2[[#This Row],[Month]],1))</f>
        <v/>
      </c>
    </row>
    <row r="3275" spans="7:11" x14ac:dyDescent="0.25">
      <c r="G3275" s="1" t="str">
        <f>IF(Table2[[#This Row],[Description]]="","",VLOOKUP(Table2[[#This Row],[Description]],$Q$1:$S$101,2,FALSE))</f>
        <v/>
      </c>
      <c r="H3275" s="1" t="str">
        <f>IF(Table2[[#This Row],[Description]]="","",VLOOKUP(Table2[[#This Row],[Description]],$Q$1:$S$101,3,FALSE))</f>
        <v/>
      </c>
      <c r="I3275" s="1" t="str">
        <f>IF(Table2[[#This Row],[Description]]="","",IF(Table2[[#This Row],[Currency]]=$O$2,$P$2,HLOOKUP(Table2[[#This Row],[Date]],Funds!$C$10:$GV$11,2,FALSE)))</f>
        <v/>
      </c>
      <c r="J3275" s="215" t="str">
        <f>IF(Table2[[#This Row],[Description]]="","",Table2[[#This Row],[Value]]/Table2[[#This Row],[Conversion]])</f>
        <v/>
      </c>
      <c r="K3275" s="45" t="str">
        <f>IF(Table2[[#This Row],[Description]]="","",DATE(Table2[[#This Row],[Year]],Table2[[#This Row],[Month]],1))</f>
        <v/>
      </c>
    </row>
    <row r="3276" spans="7:11" x14ac:dyDescent="0.25">
      <c r="G3276" s="1" t="str">
        <f>IF(Table2[[#This Row],[Description]]="","",VLOOKUP(Table2[[#This Row],[Description]],$Q$1:$S$101,2,FALSE))</f>
        <v/>
      </c>
      <c r="H3276" s="1" t="str">
        <f>IF(Table2[[#This Row],[Description]]="","",VLOOKUP(Table2[[#This Row],[Description]],$Q$1:$S$101,3,FALSE))</f>
        <v/>
      </c>
      <c r="I3276" s="1" t="str">
        <f>IF(Table2[[#This Row],[Description]]="","",IF(Table2[[#This Row],[Currency]]=$O$2,$P$2,HLOOKUP(Table2[[#This Row],[Date]],Funds!$C$10:$GV$11,2,FALSE)))</f>
        <v/>
      </c>
      <c r="J3276" s="215" t="str">
        <f>IF(Table2[[#This Row],[Description]]="","",Table2[[#This Row],[Value]]/Table2[[#This Row],[Conversion]])</f>
        <v/>
      </c>
      <c r="K3276" s="45" t="str">
        <f>IF(Table2[[#This Row],[Description]]="","",DATE(Table2[[#This Row],[Year]],Table2[[#This Row],[Month]],1))</f>
        <v/>
      </c>
    </row>
    <row r="3277" spans="7:11" x14ac:dyDescent="0.25">
      <c r="G3277" s="1" t="str">
        <f>IF(Table2[[#This Row],[Description]]="","",VLOOKUP(Table2[[#This Row],[Description]],$Q$1:$S$101,2,FALSE))</f>
        <v/>
      </c>
      <c r="H3277" s="1" t="str">
        <f>IF(Table2[[#This Row],[Description]]="","",VLOOKUP(Table2[[#This Row],[Description]],$Q$1:$S$101,3,FALSE))</f>
        <v/>
      </c>
      <c r="I3277" s="1" t="str">
        <f>IF(Table2[[#This Row],[Description]]="","",IF(Table2[[#This Row],[Currency]]=$O$2,$P$2,HLOOKUP(Table2[[#This Row],[Date]],Funds!$C$10:$GV$11,2,FALSE)))</f>
        <v/>
      </c>
      <c r="J3277" s="215" t="str">
        <f>IF(Table2[[#This Row],[Description]]="","",Table2[[#This Row],[Value]]/Table2[[#This Row],[Conversion]])</f>
        <v/>
      </c>
      <c r="K3277" s="45" t="str">
        <f>IF(Table2[[#This Row],[Description]]="","",DATE(Table2[[#This Row],[Year]],Table2[[#This Row],[Month]],1))</f>
        <v/>
      </c>
    </row>
    <row r="3278" spans="7:11" x14ac:dyDescent="0.25">
      <c r="G3278" s="1" t="str">
        <f>IF(Table2[[#This Row],[Description]]="","",VLOOKUP(Table2[[#This Row],[Description]],$Q$1:$S$101,2,FALSE))</f>
        <v/>
      </c>
      <c r="H3278" s="1" t="str">
        <f>IF(Table2[[#This Row],[Description]]="","",VLOOKUP(Table2[[#This Row],[Description]],$Q$1:$S$101,3,FALSE))</f>
        <v/>
      </c>
      <c r="I3278" s="1" t="str">
        <f>IF(Table2[[#This Row],[Description]]="","",IF(Table2[[#This Row],[Currency]]=$O$2,$P$2,HLOOKUP(Table2[[#This Row],[Date]],Funds!$C$10:$GV$11,2,FALSE)))</f>
        <v/>
      </c>
      <c r="J3278" s="215" t="str">
        <f>IF(Table2[[#This Row],[Description]]="","",Table2[[#This Row],[Value]]/Table2[[#This Row],[Conversion]])</f>
        <v/>
      </c>
      <c r="K3278" s="45" t="str">
        <f>IF(Table2[[#This Row],[Description]]="","",DATE(Table2[[#This Row],[Year]],Table2[[#This Row],[Month]],1))</f>
        <v/>
      </c>
    </row>
    <row r="3279" spans="7:11" x14ac:dyDescent="0.25">
      <c r="G3279" s="1" t="str">
        <f>IF(Table2[[#This Row],[Description]]="","",VLOOKUP(Table2[[#This Row],[Description]],$Q$1:$S$101,2,FALSE))</f>
        <v/>
      </c>
      <c r="H3279" s="1" t="str">
        <f>IF(Table2[[#This Row],[Description]]="","",VLOOKUP(Table2[[#This Row],[Description]],$Q$1:$S$101,3,FALSE))</f>
        <v/>
      </c>
      <c r="I3279" s="1" t="str">
        <f>IF(Table2[[#This Row],[Description]]="","",IF(Table2[[#This Row],[Currency]]=$O$2,$P$2,HLOOKUP(Table2[[#This Row],[Date]],Funds!$C$10:$GV$11,2,FALSE)))</f>
        <v/>
      </c>
      <c r="J3279" s="215" t="str">
        <f>IF(Table2[[#This Row],[Description]]="","",Table2[[#This Row],[Value]]/Table2[[#This Row],[Conversion]])</f>
        <v/>
      </c>
      <c r="K3279" s="45" t="str">
        <f>IF(Table2[[#This Row],[Description]]="","",DATE(Table2[[#This Row],[Year]],Table2[[#This Row],[Month]],1))</f>
        <v/>
      </c>
    </row>
    <row r="3280" spans="7:11" x14ac:dyDescent="0.25">
      <c r="G3280" s="1" t="str">
        <f>IF(Table2[[#This Row],[Description]]="","",VLOOKUP(Table2[[#This Row],[Description]],$Q$1:$S$101,2,FALSE))</f>
        <v/>
      </c>
      <c r="H3280" s="1" t="str">
        <f>IF(Table2[[#This Row],[Description]]="","",VLOOKUP(Table2[[#This Row],[Description]],$Q$1:$S$101,3,FALSE))</f>
        <v/>
      </c>
      <c r="I3280" s="1" t="str">
        <f>IF(Table2[[#This Row],[Description]]="","",IF(Table2[[#This Row],[Currency]]=$O$2,$P$2,HLOOKUP(Table2[[#This Row],[Date]],Funds!$C$10:$GV$11,2,FALSE)))</f>
        <v/>
      </c>
      <c r="J3280" s="215" t="str">
        <f>IF(Table2[[#This Row],[Description]]="","",Table2[[#This Row],[Value]]/Table2[[#This Row],[Conversion]])</f>
        <v/>
      </c>
      <c r="K3280" s="45" t="str">
        <f>IF(Table2[[#This Row],[Description]]="","",DATE(Table2[[#This Row],[Year]],Table2[[#This Row],[Month]],1))</f>
        <v/>
      </c>
    </row>
    <row r="3281" spans="7:11" x14ac:dyDescent="0.25">
      <c r="G3281" s="1" t="str">
        <f>IF(Table2[[#This Row],[Description]]="","",VLOOKUP(Table2[[#This Row],[Description]],$Q$1:$S$101,2,FALSE))</f>
        <v/>
      </c>
      <c r="H3281" s="1" t="str">
        <f>IF(Table2[[#This Row],[Description]]="","",VLOOKUP(Table2[[#This Row],[Description]],$Q$1:$S$101,3,FALSE))</f>
        <v/>
      </c>
      <c r="I3281" s="1" t="str">
        <f>IF(Table2[[#This Row],[Description]]="","",IF(Table2[[#This Row],[Currency]]=$O$2,$P$2,HLOOKUP(Table2[[#This Row],[Date]],Funds!$C$10:$GV$11,2,FALSE)))</f>
        <v/>
      </c>
      <c r="J3281" s="215" t="str">
        <f>IF(Table2[[#This Row],[Description]]="","",Table2[[#This Row],[Value]]/Table2[[#This Row],[Conversion]])</f>
        <v/>
      </c>
      <c r="K3281" s="45" t="str">
        <f>IF(Table2[[#This Row],[Description]]="","",DATE(Table2[[#This Row],[Year]],Table2[[#This Row],[Month]],1))</f>
        <v/>
      </c>
    </row>
    <row r="3282" spans="7:11" x14ac:dyDescent="0.25">
      <c r="G3282" s="1" t="str">
        <f>IF(Table2[[#This Row],[Description]]="","",VLOOKUP(Table2[[#This Row],[Description]],$Q$1:$S$101,2,FALSE))</f>
        <v/>
      </c>
      <c r="H3282" s="1" t="str">
        <f>IF(Table2[[#This Row],[Description]]="","",VLOOKUP(Table2[[#This Row],[Description]],$Q$1:$S$101,3,FALSE))</f>
        <v/>
      </c>
      <c r="I3282" s="1" t="str">
        <f>IF(Table2[[#This Row],[Description]]="","",IF(Table2[[#This Row],[Currency]]=$O$2,$P$2,HLOOKUP(Table2[[#This Row],[Date]],Funds!$C$10:$GV$11,2,FALSE)))</f>
        <v/>
      </c>
      <c r="J3282" s="215" t="str">
        <f>IF(Table2[[#This Row],[Description]]="","",Table2[[#This Row],[Value]]/Table2[[#This Row],[Conversion]])</f>
        <v/>
      </c>
      <c r="K3282" s="45" t="str">
        <f>IF(Table2[[#This Row],[Description]]="","",DATE(Table2[[#This Row],[Year]],Table2[[#This Row],[Month]],1))</f>
        <v/>
      </c>
    </row>
    <row r="3283" spans="7:11" x14ac:dyDescent="0.25">
      <c r="G3283" s="1" t="str">
        <f>IF(Table2[[#This Row],[Description]]="","",VLOOKUP(Table2[[#This Row],[Description]],$Q$1:$S$101,2,FALSE))</f>
        <v/>
      </c>
      <c r="H3283" s="1" t="str">
        <f>IF(Table2[[#This Row],[Description]]="","",VLOOKUP(Table2[[#This Row],[Description]],$Q$1:$S$101,3,FALSE))</f>
        <v/>
      </c>
      <c r="I3283" s="1" t="str">
        <f>IF(Table2[[#This Row],[Description]]="","",IF(Table2[[#This Row],[Currency]]=$O$2,$P$2,HLOOKUP(Table2[[#This Row],[Date]],Funds!$C$10:$GV$11,2,FALSE)))</f>
        <v/>
      </c>
      <c r="J3283" s="215" t="str">
        <f>IF(Table2[[#This Row],[Description]]="","",Table2[[#This Row],[Value]]/Table2[[#This Row],[Conversion]])</f>
        <v/>
      </c>
      <c r="K3283" s="45" t="str">
        <f>IF(Table2[[#This Row],[Description]]="","",DATE(Table2[[#This Row],[Year]],Table2[[#This Row],[Month]],1))</f>
        <v/>
      </c>
    </row>
    <row r="3284" spans="7:11" x14ac:dyDescent="0.25">
      <c r="G3284" s="1" t="str">
        <f>IF(Table2[[#This Row],[Description]]="","",VLOOKUP(Table2[[#This Row],[Description]],$Q$1:$S$101,2,FALSE))</f>
        <v/>
      </c>
      <c r="H3284" s="1" t="str">
        <f>IF(Table2[[#This Row],[Description]]="","",VLOOKUP(Table2[[#This Row],[Description]],$Q$1:$S$101,3,FALSE))</f>
        <v/>
      </c>
      <c r="I3284" s="1" t="str">
        <f>IF(Table2[[#This Row],[Description]]="","",IF(Table2[[#This Row],[Currency]]=$O$2,$P$2,HLOOKUP(Table2[[#This Row],[Date]],Funds!$C$10:$GV$11,2,FALSE)))</f>
        <v/>
      </c>
      <c r="J3284" s="215" t="str">
        <f>IF(Table2[[#This Row],[Description]]="","",Table2[[#This Row],[Value]]/Table2[[#This Row],[Conversion]])</f>
        <v/>
      </c>
      <c r="K3284" s="45" t="str">
        <f>IF(Table2[[#This Row],[Description]]="","",DATE(Table2[[#This Row],[Year]],Table2[[#This Row],[Month]],1))</f>
        <v/>
      </c>
    </row>
    <row r="3285" spans="7:11" x14ac:dyDescent="0.25">
      <c r="G3285" s="1" t="str">
        <f>IF(Table2[[#This Row],[Description]]="","",VLOOKUP(Table2[[#This Row],[Description]],$Q$1:$S$101,2,FALSE))</f>
        <v/>
      </c>
      <c r="H3285" s="1" t="str">
        <f>IF(Table2[[#This Row],[Description]]="","",VLOOKUP(Table2[[#This Row],[Description]],$Q$1:$S$101,3,FALSE))</f>
        <v/>
      </c>
      <c r="I3285" s="1" t="str">
        <f>IF(Table2[[#This Row],[Description]]="","",IF(Table2[[#This Row],[Currency]]=$O$2,$P$2,HLOOKUP(Table2[[#This Row],[Date]],Funds!$C$10:$GV$11,2,FALSE)))</f>
        <v/>
      </c>
      <c r="J3285" s="215" t="str">
        <f>IF(Table2[[#This Row],[Description]]="","",Table2[[#This Row],[Value]]/Table2[[#This Row],[Conversion]])</f>
        <v/>
      </c>
      <c r="K3285" s="45" t="str">
        <f>IF(Table2[[#This Row],[Description]]="","",DATE(Table2[[#This Row],[Year]],Table2[[#This Row],[Month]],1))</f>
        <v/>
      </c>
    </row>
    <row r="3286" spans="7:11" x14ac:dyDescent="0.25">
      <c r="G3286" s="1" t="str">
        <f>IF(Table2[[#This Row],[Description]]="","",VLOOKUP(Table2[[#This Row],[Description]],$Q$1:$S$101,2,FALSE))</f>
        <v/>
      </c>
      <c r="H3286" s="1" t="str">
        <f>IF(Table2[[#This Row],[Description]]="","",VLOOKUP(Table2[[#This Row],[Description]],$Q$1:$S$101,3,FALSE))</f>
        <v/>
      </c>
      <c r="I3286" s="1" t="str">
        <f>IF(Table2[[#This Row],[Description]]="","",IF(Table2[[#This Row],[Currency]]=$O$2,$P$2,HLOOKUP(Table2[[#This Row],[Date]],Funds!$C$10:$GV$11,2,FALSE)))</f>
        <v/>
      </c>
      <c r="J3286" s="215" t="str">
        <f>IF(Table2[[#This Row],[Description]]="","",Table2[[#This Row],[Value]]/Table2[[#This Row],[Conversion]])</f>
        <v/>
      </c>
      <c r="K3286" s="45" t="str">
        <f>IF(Table2[[#This Row],[Description]]="","",DATE(Table2[[#This Row],[Year]],Table2[[#This Row],[Month]],1))</f>
        <v/>
      </c>
    </row>
    <row r="3287" spans="7:11" x14ac:dyDescent="0.25">
      <c r="G3287" s="1" t="str">
        <f>IF(Table2[[#This Row],[Description]]="","",VLOOKUP(Table2[[#This Row],[Description]],$Q$1:$S$101,2,FALSE))</f>
        <v/>
      </c>
      <c r="H3287" s="1" t="str">
        <f>IF(Table2[[#This Row],[Description]]="","",VLOOKUP(Table2[[#This Row],[Description]],$Q$1:$S$101,3,FALSE))</f>
        <v/>
      </c>
      <c r="I3287" s="1" t="str">
        <f>IF(Table2[[#This Row],[Description]]="","",IF(Table2[[#This Row],[Currency]]=$O$2,$P$2,HLOOKUP(Table2[[#This Row],[Date]],Funds!$C$10:$GV$11,2,FALSE)))</f>
        <v/>
      </c>
      <c r="J3287" s="215" t="str">
        <f>IF(Table2[[#This Row],[Description]]="","",Table2[[#This Row],[Value]]/Table2[[#This Row],[Conversion]])</f>
        <v/>
      </c>
      <c r="K3287" s="45" t="str">
        <f>IF(Table2[[#This Row],[Description]]="","",DATE(Table2[[#This Row],[Year]],Table2[[#This Row],[Month]],1))</f>
        <v/>
      </c>
    </row>
    <row r="3288" spans="7:11" x14ac:dyDescent="0.25">
      <c r="G3288" s="1" t="str">
        <f>IF(Table2[[#This Row],[Description]]="","",VLOOKUP(Table2[[#This Row],[Description]],$Q$1:$S$101,2,FALSE))</f>
        <v/>
      </c>
      <c r="H3288" s="1" t="str">
        <f>IF(Table2[[#This Row],[Description]]="","",VLOOKUP(Table2[[#This Row],[Description]],$Q$1:$S$101,3,FALSE))</f>
        <v/>
      </c>
      <c r="I3288" s="1" t="str">
        <f>IF(Table2[[#This Row],[Description]]="","",IF(Table2[[#This Row],[Currency]]=$O$2,$P$2,HLOOKUP(Table2[[#This Row],[Date]],Funds!$C$10:$GV$11,2,FALSE)))</f>
        <v/>
      </c>
      <c r="J3288" s="215" t="str">
        <f>IF(Table2[[#This Row],[Description]]="","",Table2[[#This Row],[Value]]/Table2[[#This Row],[Conversion]])</f>
        <v/>
      </c>
      <c r="K3288" s="45" t="str">
        <f>IF(Table2[[#This Row],[Description]]="","",DATE(Table2[[#This Row],[Year]],Table2[[#This Row],[Month]],1))</f>
        <v/>
      </c>
    </row>
    <row r="3289" spans="7:11" x14ac:dyDescent="0.25">
      <c r="G3289" s="1" t="str">
        <f>IF(Table2[[#This Row],[Description]]="","",VLOOKUP(Table2[[#This Row],[Description]],$Q$1:$S$101,2,FALSE))</f>
        <v/>
      </c>
      <c r="H3289" s="1" t="str">
        <f>IF(Table2[[#This Row],[Description]]="","",VLOOKUP(Table2[[#This Row],[Description]],$Q$1:$S$101,3,FALSE))</f>
        <v/>
      </c>
      <c r="I3289" s="1" t="str">
        <f>IF(Table2[[#This Row],[Description]]="","",IF(Table2[[#This Row],[Currency]]=$O$2,$P$2,HLOOKUP(Table2[[#This Row],[Date]],Funds!$C$10:$GV$11,2,FALSE)))</f>
        <v/>
      </c>
      <c r="J3289" s="215" t="str">
        <f>IF(Table2[[#This Row],[Description]]="","",Table2[[#This Row],[Value]]/Table2[[#This Row],[Conversion]])</f>
        <v/>
      </c>
      <c r="K3289" s="45" t="str">
        <f>IF(Table2[[#This Row],[Description]]="","",DATE(Table2[[#This Row],[Year]],Table2[[#This Row],[Month]],1))</f>
        <v/>
      </c>
    </row>
    <row r="3290" spans="7:11" x14ac:dyDescent="0.25">
      <c r="G3290" s="1" t="str">
        <f>IF(Table2[[#This Row],[Description]]="","",VLOOKUP(Table2[[#This Row],[Description]],$Q$1:$S$101,2,FALSE))</f>
        <v/>
      </c>
      <c r="H3290" s="1" t="str">
        <f>IF(Table2[[#This Row],[Description]]="","",VLOOKUP(Table2[[#This Row],[Description]],$Q$1:$S$101,3,FALSE))</f>
        <v/>
      </c>
      <c r="I3290" s="1" t="str">
        <f>IF(Table2[[#This Row],[Description]]="","",IF(Table2[[#This Row],[Currency]]=$O$2,$P$2,HLOOKUP(Table2[[#This Row],[Date]],Funds!$C$10:$GV$11,2,FALSE)))</f>
        <v/>
      </c>
      <c r="J3290" s="215" t="str">
        <f>IF(Table2[[#This Row],[Description]]="","",Table2[[#This Row],[Value]]/Table2[[#This Row],[Conversion]])</f>
        <v/>
      </c>
      <c r="K3290" s="45" t="str">
        <f>IF(Table2[[#This Row],[Description]]="","",DATE(Table2[[#This Row],[Year]],Table2[[#This Row],[Month]],1))</f>
        <v/>
      </c>
    </row>
    <row r="3291" spans="7:11" x14ac:dyDescent="0.25">
      <c r="G3291" s="1" t="str">
        <f>IF(Table2[[#This Row],[Description]]="","",VLOOKUP(Table2[[#This Row],[Description]],$Q$1:$S$101,2,FALSE))</f>
        <v/>
      </c>
      <c r="H3291" s="1" t="str">
        <f>IF(Table2[[#This Row],[Description]]="","",VLOOKUP(Table2[[#This Row],[Description]],$Q$1:$S$101,3,FALSE))</f>
        <v/>
      </c>
      <c r="I3291" s="1" t="str">
        <f>IF(Table2[[#This Row],[Description]]="","",IF(Table2[[#This Row],[Currency]]=$O$2,$P$2,HLOOKUP(Table2[[#This Row],[Date]],Funds!$C$10:$GV$11,2,FALSE)))</f>
        <v/>
      </c>
      <c r="J3291" s="215" t="str">
        <f>IF(Table2[[#This Row],[Description]]="","",Table2[[#This Row],[Value]]/Table2[[#This Row],[Conversion]])</f>
        <v/>
      </c>
      <c r="K3291" s="45" t="str">
        <f>IF(Table2[[#This Row],[Description]]="","",DATE(Table2[[#This Row],[Year]],Table2[[#This Row],[Month]],1))</f>
        <v/>
      </c>
    </row>
    <row r="3292" spans="7:11" x14ac:dyDescent="0.25">
      <c r="G3292" s="1" t="str">
        <f>IF(Table2[[#This Row],[Description]]="","",VLOOKUP(Table2[[#This Row],[Description]],$Q$1:$S$101,2,FALSE))</f>
        <v/>
      </c>
      <c r="H3292" s="1" t="str">
        <f>IF(Table2[[#This Row],[Description]]="","",VLOOKUP(Table2[[#This Row],[Description]],$Q$1:$S$101,3,FALSE))</f>
        <v/>
      </c>
      <c r="I3292" s="1" t="str">
        <f>IF(Table2[[#This Row],[Description]]="","",IF(Table2[[#This Row],[Currency]]=$O$2,$P$2,HLOOKUP(Table2[[#This Row],[Date]],Funds!$C$10:$GV$11,2,FALSE)))</f>
        <v/>
      </c>
      <c r="J3292" s="215" t="str">
        <f>IF(Table2[[#This Row],[Description]]="","",Table2[[#This Row],[Value]]/Table2[[#This Row],[Conversion]])</f>
        <v/>
      </c>
      <c r="K3292" s="45" t="str">
        <f>IF(Table2[[#This Row],[Description]]="","",DATE(Table2[[#This Row],[Year]],Table2[[#This Row],[Month]],1))</f>
        <v/>
      </c>
    </row>
    <row r="3293" spans="7:11" x14ac:dyDescent="0.25">
      <c r="G3293" s="1" t="str">
        <f>IF(Table2[[#This Row],[Description]]="","",VLOOKUP(Table2[[#This Row],[Description]],$Q$1:$S$101,2,FALSE))</f>
        <v/>
      </c>
      <c r="H3293" s="1" t="str">
        <f>IF(Table2[[#This Row],[Description]]="","",VLOOKUP(Table2[[#This Row],[Description]],$Q$1:$S$101,3,FALSE))</f>
        <v/>
      </c>
      <c r="I3293" s="1" t="str">
        <f>IF(Table2[[#This Row],[Description]]="","",IF(Table2[[#This Row],[Currency]]=$O$2,$P$2,HLOOKUP(Table2[[#This Row],[Date]],Funds!$C$10:$GV$11,2,FALSE)))</f>
        <v/>
      </c>
      <c r="J3293" s="215" t="str">
        <f>IF(Table2[[#This Row],[Description]]="","",Table2[[#This Row],[Value]]/Table2[[#This Row],[Conversion]])</f>
        <v/>
      </c>
      <c r="K3293" s="45" t="str">
        <f>IF(Table2[[#This Row],[Description]]="","",DATE(Table2[[#This Row],[Year]],Table2[[#This Row],[Month]],1))</f>
        <v/>
      </c>
    </row>
    <row r="3294" spans="7:11" x14ac:dyDescent="0.25">
      <c r="G3294" s="1" t="str">
        <f>IF(Table2[[#This Row],[Description]]="","",VLOOKUP(Table2[[#This Row],[Description]],$Q$1:$S$101,2,FALSE))</f>
        <v/>
      </c>
      <c r="H3294" s="1" t="str">
        <f>IF(Table2[[#This Row],[Description]]="","",VLOOKUP(Table2[[#This Row],[Description]],$Q$1:$S$101,3,FALSE))</f>
        <v/>
      </c>
      <c r="I3294" s="1" t="str">
        <f>IF(Table2[[#This Row],[Description]]="","",IF(Table2[[#This Row],[Currency]]=$O$2,$P$2,HLOOKUP(Table2[[#This Row],[Date]],Funds!$C$10:$GV$11,2,FALSE)))</f>
        <v/>
      </c>
      <c r="J3294" s="215" t="str">
        <f>IF(Table2[[#This Row],[Description]]="","",Table2[[#This Row],[Value]]/Table2[[#This Row],[Conversion]])</f>
        <v/>
      </c>
      <c r="K3294" s="45" t="str">
        <f>IF(Table2[[#This Row],[Description]]="","",DATE(Table2[[#This Row],[Year]],Table2[[#This Row],[Month]],1))</f>
        <v/>
      </c>
    </row>
    <row r="3295" spans="7:11" x14ac:dyDescent="0.25">
      <c r="G3295" s="1" t="str">
        <f>IF(Table2[[#This Row],[Description]]="","",VLOOKUP(Table2[[#This Row],[Description]],$Q$1:$S$101,2,FALSE))</f>
        <v/>
      </c>
      <c r="H3295" s="1" t="str">
        <f>IF(Table2[[#This Row],[Description]]="","",VLOOKUP(Table2[[#This Row],[Description]],$Q$1:$S$101,3,FALSE))</f>
        <v/>
      </c>
      <c r="I3295" s="1" t="str">
        <f>IF(Table2[[#This Row],[Description]]="","",IF(Table2[[#This Row],[Currency]]=$O$2,$P$2,HLOOKUP(Table2[[#This Row],[Date]],Funds!$C$10:$GV$11,2,FALSE)))</f>
        <v/>
      </c>
      <c r="J3295" s="215" t="str">
        <f>IF(Table2[[#This Row],[Description]]="","",Table2[[#This Row],[Value]]/Table2[[#This Row],[Conversion]])</f>
        <v/>
      </c>
      <c r="K3295" s="45" t="str">
        <f>IF(Table2[[#This Row],[Description]]="","",DATE(Table2[[#This Row],[Year]],Table2[[#This Row],[Month]],1))</f>
        <v/>
      </c>
    </row>
    <row r="3296" spans="7:11" x14ac:dyDescent="0.25">
      <c r="G3296" s="1" t="str">
        <f>IF(Table2[[#This Row],[Description]]="","",VLOOKUP(Table2[[#This Row],[Description]],$Q$1:$S$101,2,FALSE))</f>
        <v/>
      </c>
      <c r="H3296" s="1" t="str">
        <f>IF(Table2[[#This Row],[Description]]="","",VLOOKUP(Table2[[#This Row],[Description]],$Q$1:$S$101,3,FALSE))</f>
        <v/>
      </c>
      <c r="I3296" s="1" t="str">
        <f>IF(Table2[[#This Row],[Description]]="","",IF(Table2[[#This Row],[Currency]]=$O$2,$P$2,HLOOKUP(Table2[[#This Row],[Date]],Funds!$C$10:$GV$11,2,FALSE)))</f>
        <v/>
      </c>
      <c r="J3296" s="215" t="str">
        <f>IF(Table2[[#This Row],[Description]]="","",Table2[[#This Row],[Value]]/Table2[[#This Row],[Conversion]])</f>
        <v/>
      </c>
      <c r="K3296" s="45" t="str">
        <f>IF(Table2[[#This Row],[Description]]="","",DATE(Table2[[#This Row],[Year]],Table2[[#This Row],[Month]],1))</f>
        <v/>
      </c>
    </row>
    <row r="3297" spans="7:11" x14ac:dyDescent="0.25">
      <c r="G3297" s="1" t="str">
        <f>IF(Table2[[#This Row],[Description]]="","",VLOOKUP(Table2[[#This Row],[Description]],$Q$1:$S$101,2,FALSE))</f>
        <v/>
      </c>
      <c r="H3297" s="1" t="str">
        <f>IF(Table2[[#This Row],[Description]]="","",VLOOKUP(Table2[[#This Row],[Description]],$Q$1:$S$101,3,FALSE))</f>
        <v/>
      </c>
      <c r="I3297" s="1" t="str">
        <f>IF(Table2[[#This Row],[Description]]="","",IF(Table2[[#This Row],[Currency]]=$O$2,$P$2,HLOOKUP(Table2[[#This Row],[Date]],Funds!$C$10:$GV$11,2,FALSE)))</f>
        <v/>
      </c>
      <c r="J3297" s="215" t="str">
        <f>IF(Table2[[#This Row],[Description]]="","",Table2[[#This Row],[Value]]/Table2[[#This Row],[Conversion]])</f>
        <v/>
      </c>
      <c r="K3297" s="45" t="str">
        <f>IF(Table2[[#This Row],[Description]]="","",DATE(Table2[[#This Row],[Year]],Table2[[#This Row],[Month]],1))</f>
        <v/>
      </c>
    </row>
    <row r="3298" spans="7:11" x14ac:dyDescent="0.25">
      <c r="G3298" s="1" t="str">
        <f>IF(Table2[[#This Row],[Description]]="","",VLOOKUP(Table2[[#This Row],[Description]],$Q$1:$S$101,2,FALSE))</f>
        <v/>
      </c>
      <c r="H3298" s="1" t="str">
        <f>IF(Table2[[#This Row],[Description]]="","",VLOOKUP(Table2[[#This Row],[Description]],$Q$1:$S$101,3,FALSE))</f>
        <v/>
      </c>
      <c r="I3298" s="1" t="str">
        <f>IF(Table2[[#This Row],[Description]]="","",IF(Table2[[#This Row],[Currency]]=$O$2,$P$2,HLOOKUP(Table2[[#This Row],[Date]],Funds!$C$10:$GV$11,2,FALSE)))</f>
        <v/>
      </c>
      <c r="J3298" s="215" t="str">
        <f>IF(Table2[[#This Row],[Description]]="","",Table2[[#This Row],[Value]]/Table2[[#This Row],[Conversion]])</f>
        <v/>
      </c>
      <c r="K3298" s="45" t="str">
        <f>IF(Table2[[#This Row],[Description]]="","",DATE(Table2[[#This Row],[Year]],Table2[[#This Row],[Month]],1))</f>
        <v/>
      </c>
    </row>
    <row r="3299" spans="7:11" x14ac:dyDescent="0.25">
      <c r="G3299" s="1" t="str">
        <f>IF(Table2[[#This Row],[Description]]="","",VLOOKUP(Table2[[#This Row],[Description]],$Q$1:$S$101,2,FALSE))</f>
        <v/>
      </c>
      <c r="H3299" s="1" t="str">
        <f>IF(Table2[[#This Row],[Description]]="","",VLOOKUP(Table2[[#This Row],[Description]],$Q$1:$S$101,3,FALSE))</f>
        <v/>
      </c>
      <c r="I3299" s="1" t="str">
        <f>IF(Table2[[#This Row],[Description]]="","",IF(Table2[[#This Row],[Currency]]=$O$2,$P$2,HLOOKUP(Table2[[#This Row],[Date]],Funds!$C$10:$GV$11,2,FALSE)))</f>
        <v/>
      </c>
      <c r="J3299" s="215" t="str">
        <f>IF(Table2[[#This Row],[Description]]="","",Table2[[#This Row],[Value]]/Table2[[#This Row],[Conversion]])</f>
        <v/>
      </c>
      <c r="K3299" s="45" t="str">
        <f>IF(Table2[[#This Row],[Description]]="","",DATE(Table2[[#This Row],[Year]],Table2[[#This Row],[Month]],1))</f>
        <v/>
      </c>
    </row>
    <row r="3300" spans="7:11" x14ac:dyDescent="0.25">
      <c r="G3300" s="1" t="str">
        <f>IF(Table2[[#This Row],[Description]]="","",VLOOKUP(Table2[[#This Row],[Description]],$Q$1:$S$101,2,FALSE))</f>
        <v/>
      </c>
      <c r="H3300" s="1" t="str">
        <f>IF(Table2[[#This Row],[Description]]="","",VLOOKUP(Table2[[#This Row],[Description]],$Q$1:$S$101,3,FALSE))</f>
        <v/>
      </c>
      <c r="I3300" s="1" t="str">
        <f>IF(Table2[[#This Row],[Description]]="","",IF(Table2[[#This Row],[Currency]]=$O$2,$P$2,HLOOKUP(Table2[[#This Row],[Date]],Funds!$C$10:$GV$11,2,FALSE)))</f>
        <v/>
      </c>
      <c r="J3300" s="215" t="str">
        <f>IF(Table2[[#This Row],[Description]]="","",Table2[[#This Row],[Value]]/Table2[[#This Row],[Conversion]])</f>
        <v/>
      </c>
      <c r="K3300" s="45" t="str">
        <f>IF(Table2[[#This Row],[Description]]="","",DATE(Table2[[#This Row],[Year]],Table2[[#This Row],[Month]],1))</f>
        <v/>
      </c>
    </row>
    <row r="3301" spans="7:11" x14ac:dyDescent="0.25">
      <c r="G3301" s="1" t="str">
        <f>IF(Table2[[#This Row],[Description]]="","",VLOOKUP(Table2[[#This Row],[Description]],$Q$1:$S$101,2,FALSE))</f>
        <v/>
      </c>
      <c r="H3301" s="1" t="str">
        <f>IF(Table2[[#This Row],[Description]]="","",VLOOKUP(Table2[[#This Row],[Description]],$Q$1:$S$101,3,FALSE))</f>
        <v/>
      </c>
      <c r="I3301" s="1" t="str">
        <f>IF(Table2[[#This Row],[Description]]="","",IF(Table2[[#This Row],[Currency]]=$O$2,$P$2,HLOOKUP(Table2[[#This Row],[Date]],Funds!$C$10:$GV$11,2,FALSE)))</f>
        <v/>
      </c>
      <c r="J3301" s="215" t="str">
        <f>IF(Table2[[#This Row],[Description]]="","",Table2[[#This Row],[Value]]/Table2[[#This Row],[Conversion]])</f>
        <v/>
      </c>
      <c r="K3301" s="45" t="str">
        <f>IF(Table2[[#This Row],[Description]]="","",DATE(Table2[[#This Row],[Year]],Table2[[#This Row],[Month]],1))</f>
        <v/>
      </c>
    </row>
    <row r="3302" spans="7:11" x14ac:dyDescent="0.25">
      <c r="G3302" s="1" t="str">
        <f>IF(Table2[[#This Row],[Description]]="","",VLOOKUP(Table2[[#This Row],[Description]],$Q$1:$S$101,2,FALSE))</f>
        <v/>
      </c>
      <c r="H3302" s="1" t="str">
        <f>IF(Table2[[#This Row],[Description]]="","",VLOOKUP(Table2[[#This Row],[Description]],$Q$1:$S$101,3,FALSE))</f>
        <v/>
      </c>
      <c r="I3302" s="1" t="str">
        <f>IF(Table2[[#This Row],[Description]]="","",IF(Table2[[#This Row],[Currency]]=$O$2,$P$2,HLOOKUP(Table2[[#This Row],[Date]],Funds!$C$10:$GV$11,2,FALSE)))</f>
        <v/>
      </c>
      <c r="J3302" s="215" t="str">
        <f>IF(Table2[[#This Row],[Description]]="","",Table2[[#This Row],[Value]]/Table2[[#This Row],[Conversion]])</f>
        <v/>
      </c>
      <c r="K3302" s="45" t="str">
        <f>IF(Table2[[#This Row],[Description]]="","",DATE(Table2[[#This Row],[Year]],Table2[[#This Row],[Month]],1))</f>
        <v/>
      </c>
    </row>
    <row r="3303" spans="7:11" x14ac:dyDescent="0.25">
      <c r="G3303" s="1" t="str">
        <f>IF(Table2[[#This Row],[Description]]="","",VLOOKUP(Table2[[#This Row],[Description]],$Q$1:$S$101,2,FALSE))</f>
        <v/>
      </c>
      <c r="H3303" s="1" t="str">
        <f>IF(Table2[[#This Row],[Description]]="","",VLOOKUP(Table2[[#This Row],[Description]],$Q$1:$S$101,3,FALSE))</f>
        <v/>
      </c>
      <c r="I3303" s="1" t="str">
        <f>IF(Table2[[#This Row],[Description]]="","",IF(Table2[[#This Row],[Currency]]=$O$2,$P$2,HLOOKUP(Table2[[#This Row],[Date]],Funds!$C$10:$GV$11,2,FALSE)))</f>
        <v/>
      </c>
      <c r="J3303" s="215" t="str">
        <f>IF(Table2[[#This Row],[Description]]="","",Table2[[#This Row],[Value]]/Table2[[#This Row],[Conversion]])</f>
        <v/>
      </c>
      <c r="K3303" s="45" t="str">
        <f>IF(Table2[[#This Row],[Description]]="","",DATE(Table2[[#This Row],[Year]],Table2[[#This Row],[Month]],1))</f>
        <v/>
      </c>
    </row>
    <row r="3304" spans="7:11" x14ac:dyDescent="0.25">
      <c r="G3304" s="1" t="str">
        <f>IF(Table2[[#This Row],[Description]]="","",VLOOKUP(Table2[[#This Row],[Description]],$Q$1:$S$101,2,FALSE))</f>
        <v/>
      </c>
      <c r="H3304" s="1" t="str">
        <f>IF(Table2[[#This Row],[Description]]="","",VLOOKUP(Table2[[#This Row],[Description]],$Q$1:$S$101,3,FALSE))</f>
        <v/>
      </c>
      <c r="I3304" s="1" t="str">
        <f>IF(Table2[[#This Row],[Description]]="","",IF(Table2[[#This Row],[Currency]]=$O$2,$P$2,HLOOKUP(Table2[[#This Row],[Date]],Funds!$C$10:$GV$11,2,FALSE)))</f>
        <v/>
      </c>
      <c r="J3304" s="215" t="str">
        <f>IF(Table2[[#This Row],[Description]]="","",Table2[[#This Row],[Value]]/Table2[[#This Row],[Conversion]])</f>
        <v/>
      </c>
      <c r="K3304" s="45" t="str">
        <f>IF(Table2[[#This Row],[Description]]="","",DATE(Table2[[#This Row],[Year]],Table2[[#This Row],[Month]],1))</f>
        <v/>
      </c>
    </row>
    <row r="3305" spans="7:11" x14ac:dyDescent="0.25">
      <c r="G3305" s="1" t="str">
        <f>IF(Table2[[#This Row],[Description]]="","",VLOOKUP(Table2[[#This Row],[Description]],$Q$1:$S$101,2,FALSE))</f>
        <v/>
      </c>
      <c r="H3305" s="1" t="str">
        <f>IF(Table2[[#This Row],[Description]]="","",VLOOKUP(Table2[[#This Row],[Description]],$Q$1:$S$101,3,FALSE))</f>
        <v/>
      </c>
      <c r="I3305" s="1" t="str">
        <f>IF(Table2[[#This Row],[Description]]="","",IF(Table2[[#This Row],[Currency]]=$O$2,$P$2,HLOOKUP(Table2[[#This Row],[Date]],Funds!$C$10:$GV$11,2,FALSE)))</f>
        <v/>
      </c>
      <c r="J3305" s="215" t="str">
        <f>IF(Table2[[#This Row],[Description]]="","",Table2[[#This Row],[Value]]/Table2[[#This Row],[Conversion]])</f>
        <v/>
      </c>
      <c r="K3305" s="45" t="str">
        <f>IF(Table2[[#This Row],[Description]]="","",DATE(Table2[[#This Row],[Year]],Table2[[#This Row],[Month]],1))</f>
        <v/>
      </c>
    </row>
    <row r="3306" spans="7:11" x14ac:dyDescent="0.25">
      <c r="G3306" s="1" t="str">
        <f>IF(Table2[[#This Row],[Description]]="","",VLOOKUP(Table2[[#This Row],[Description]],$Q$1:$S$101,2,FALSE))</f>
        <v/>
      </c>
      <c r="H3306" s="1" t="str">
        <f>IF(Table2[[#This Row],[Description]]="","",VLOOKUP(Table2[[#This Row],[Description]],$Q$1:$S$101,3,FALSE))</f>
        <v/>
      </c>
      <c r="I3306" s="1" t="str">
        <f>IF(Table2[[#This Row],[Description]]="","",IF(Table2[[#This Row],[Currency]]=$O$2,$P$2,HLOOKUP(Table2[[#This Row],[Date]],Funds!$C$10:$GV$11,2,FALSE)))</f>
        <v/>
      </c>
      <c r="J3306" s="215" t="str">
        <f>IF(Table2[[#This Row],[Description]]="","",Table2[[#This Row],[Value]]/Table2[[#This Row],[Conversion]])</f>
        <v/>
      </c>
      <c r="K3306" s="45" t="str">
        <f>IF(Table2[[#This Row],[Description]]="","",DATE(Table2[[#This Row],[Year]],Table2[[#This Row],[Month]],1))</f>
        <v/>
      </c>
    </row>
    <row r="3307" spans="7:11" x14ac:dyDescent="0.25">
      <c r="G3307" s="1" t="str">
        <f>IF(Table2[[#This Row],[Description]]="","",VLOOKUP(Table2[[#This Row],[Description]],$Q$1:$S$101,2,FALSE))</f>
        <v/>
      </c>
      <c r="H3307" s="1" t="str">
        <f>IF(Table2[[#This Row],[Description]]="","",VLOOKUP(Table2[[#This Row],[Description]],$Q$1:$S$101,3,FALSE))</f>
        <v/>
      </c>
      <c r="I3307" s="1" t="str">
        <f>IF(Table2[[#This Row],[Description]]="","",IF(Table2[[#This Row],[Currency]]=$O$2,$P$2,HLOOKUP(Table2[[#This Row],[Date]],Funds!$C$10:$GV$11,2,FALSE)))</f>
        <v/>
      </c>
      <c r="J3307" s="215" t="str">
        <f>IF(Table2[[#This Row],[Description]]="","",Table2[[#This Row],[Value]]/Table2[[#This Row],[Conversion]])</f>
        <v/>
      </c>
      <c r="K3307" s="45" t="str">
        <f>IF(Table2[[#This Row],[Description]]="","",DATE(Table2[[#This Row],[Year]],Table2[[#This Row],[Month]],1))</f>
        <v/>
      </c>
    </row>
    <row r="3308" spans="7:11" x14ac:dyDescent="0.25">
      <c r="G3308" s="1" t="str">
        <f>IF(Table2[[#This Row],[Description]]="","",VLOOKUP(Table2[[#This Row],[Description]],$Q$1:$S$101,2,FALSE))</f>
        <v/>
      </c>
      <c r="H3308" s="1" t="str">
        <f>IF(Table2[[#This Row],[Description]]="","",VLOOKUP(Table2[[#This Row],[Description]],$Q$1:$S$101,3,FALSE))</f>
        <v/>
      </c>
      <c r="I3308" s="1" t="str">
        <f>IF(Table2[[#This Row],[Description]]="","",IF(Table2[[#This Row],[Currency]]=$O$2,$P$2,HLOOKUP(Table2[[#This Row],[Date]],Funds!$C$10:$GV$11,2,FALSE)))</f>
        <v/>
      </c>
      <c r="J3308" s="215" t="str">
        <f>IF(Table2[[#This Row],[Description]]="","",Table2[[#This Row],[Value]]/Table2[[#This Row],[Conversion]])</f>
        <v/>
      </c>
      <c r="K3308" s="45" t="str">
        <f>IF(Table2[[#This Row],[Description]]="","",DATE(Table2[[#This Row],[Year]],Table2[[#This Row],[Month]],1))</f>
        <v/>
      </c>
    </row>
    <row r="3309" spans="7:11" x14ac:dyDescent="0.25">
      <c r="G3309" s="1" t="str">
        <f>IF(Table2[[#This Row],[Description]]="","",VLOOKUP(Table2[[#This Row],[Description]],$Q$1:$S$101,2,FALSE))</f>
        <v/>
      </c>
      <c r="H3309" s="1" t="str">
        <f>IF(Table2[[#This Row],[Description]]="","",VLOOKUP(Table2[[#This Row],[Description]],$Q$1:$S$101,3,FALSE))</f>
        <v/>
      </c>
      <c r="I3309" s="1" t="str">
        <f>IF(Table2[[#This Row],[Description]]="","",IF(Table2[[#This Row],[Currency]]=$O$2,$P$2,HLOOKUP(Table2[[#This Row],[Date]],Funds!$C$10:$GV$11,2,FALSE)))</f>
        <v/>
      </c>
      <c r="J3309" s="215" t="str">
        <f>IF(Table2[[#This Row],[Description]]="","",Table2[[#This Row],[Value]]/Table2[[#This Row],[Conversion]])</f>
        <v/>
      </c>
      <c r="K3309" s="45" t="str">
        <f>IF(Table2[[#This Row],[Description]]="","",DATE(Table2[[#This Row],[Year]],Table2[[#This Row],[Month]],1))</f>
        <v/>
      </c>
    </row>
    <row r="3310" spans="7:11" x14ac:dyDescent="0.25">
      <c r="G3310" s="1" t="str">
        <f>IF(Table2[[#This Row],[Description]]="","",VLOOKUP(Table2[[#This Row],[Description]],$Q$1:$S$101,2,FALSE))</f>
        <v/>
      </c>
      <c r="H3310" s="1" t="str">
        <f>IF(Table2[[#This Row],[Description]]="","",VLOOKUP(Table2[[#This Row],[Description]],$Q$1:$S$101,3,FALSE))</f>
        <v/>
      </c>
      <c r="I3310" s="1" t="str">
        <f>IF(Table2[[#This Row],[Description]]="","",IF(Table2[[#This Row],[Currency]]=$O$2,$P$2,HLOOKUP(Table2[[#This Row],[Date]],Funds!$C$10:$GV$11,2,FALSE)))</f>
        <v/>
      </c>
      <c r="J3310" s="215" t="str">
        <f>IF(Table2[[#This Row],[Description]]="","",Table2[[#This Row],[Value]]/Table2[[#This Row],[Conversion]])</f>
        <v/>
      </c>
      <c r="K3310" s="45" t="str">
        <f>IF(Table2[[#This Row],[Description]]="","",DATE(Table2[[#This Row],[Year]],Table2[[#This Row],[Month]],1))</f>
        <v/>
      </c>
    </row>
    <row r="3311" spans="7:11" x14ac:dyDescent="0.25">
      <c r="G3311" s="1" t="str">
        <f>IF(Table2[[#This Row],[Description]]="","",VLOOKUP(Table2[[#This Row],[Description]],$Q$1:$S$101,2,FALSE))</f>
        <v/>
      </c>
      <c r="H3311" s="1" t="str">
        <f>IF(Table2[[#This Row],[Description]]="","",VLOOKUP(Table2[[#This Row],[Description]],$Q$1:$S$101,3,FALSE))</f>
        <v/>
      </c>
      <c r="I3311" s="1" t="str">
        <f>IF(Table2[[#This Row],[Description]]="","",IF(Table2[[#This Row],[Currency]]=$O$2,$P$2,HLOOKUP(Table2[[#This Row],[Date]],Funds!$C$10:$GV$11,2,FALSE)))</f>
        <v/>
      </c>
      <c r="J3311" s="215" t="str">
        <f>IF(Table2[[#This Row],[Description]]="","",Table2[[#This Row],[Value]]/Table2[[#This Row],[Conversion]])</f>
        <v/>
      </c>
      <c r="K3311" s="45" t="str">
        <f>IF(Table2[[#This Row],[Description]]="","",DATE(Table2[[#This Row],[Year]],Table2[[#This Row],[Month]],1))</f>
        <v/>
      </c>
    </row>
    <row r="3312" spans="7:11" x14ac:dyDescent="0.25">
      <c r="G3312" s="1" t="str">
        <f>IF(Table2[[#This Row],[Description]]="","",VLOOKUP(Table2[[#This Row],[Description]],$Q$1:$S$101,2,FALSE))</f>
        <v/>
      </c>
      <c r="H3312" s="1" t="str">
        <f>IF(Table2[[#This Row],[Description]]="","",VLOOKUP(Table2[[#This Row],[Description]],$Q$1:$S$101,3,FALSE))</f>
        <v/>
      </c>
      <c r="I3312" s="1" t="str">
        <f>IF(Table2[[#This Row],[Description]]="","",IF(Table2[[#This Row],[Currency]]=$O$2,$P$2,HLOOKUP(Table2[[#This Row],[Date]],Funds!$C$10:$GV$11,2,FALSE)))</f>
        <v/>
      </c>
      <c r="J3312" s="215" t="str">
        <f>IF(Table2[[#This Row],[Description]]="","",Table2[[#This Row],[Value]]/Table2[[#This Row],[Conversion]])</f>
        <v/>
      </c>
      <c r="K3312" s="45" t="str">
        <f>IF(Table2[[#This Row],[Description]]="","",DATE(Table2[[#This Row],[Year]],Table2[[#This Row],[Month]],1))</f>
        <v/>
      </c>
    </row>
    <row r="3313" spans="7:11" x14ac:dyDescent="0.25">
      <c r="G3313" s="1" t="str">
        <f>IF(Table2[[#This Row],[Description]]="","",VLOOKUP(Table2[[#This Row],[Description]],$Q$1:$S$101,2,FALSE))</f>
        <v/>
      </c>
      <c r="H3313" s="1" t="str">
        <f>IF(Table2[[#This Row],[Description]]="","",VLOOKUP(Table2[[#This Row],[Description]],$Q$1:$S$101,3,FALSE))</f>
        <v/>
      </c>
      <c r="I3313" s="1" t="str">
        <f>IF(Table2[[#This Row],[Description]]="","",IF(Table2[[#This Row],[Currency]]=$O$2,$P$2,HLOOKUP(Table2[[#This Row],[Date]],Funds!$C$10:$GV$11,2,FALSE)))</f>
        <v/>
      </c>
      <c r="J3313" s="215" t="str">
        <f>IF(Table2[[#This Row],[Description]]="","",Table2[[#This Row],[Value]]/Table2[[#This Row],[Conversion]])</f>
        <v/>
      </c>
      <c r="K3313" s="45" t="str">
        <f>IF(Table2[[#This Row],[Description]]="","",DATE(Table2[[#This Row],[Year]],Table2[[#This Row],[Month]],1))</f>
        <v/>
      </c>
    </row>
    <row r="3314" spans="7:11" x14ac:dyDescent="0.25">
      <c r="G3314" s="1" t="str">
        <f>IF(Table2[[#This Row],[Description]]="","",VLOOKUP(Table2[[#This Row],[Description]],$Q$1:$S$101,2,FALSE))</f>
        <v/>
      </c>
      <c r="H3314" s="1" t="str">
        <f>IF(Table2[[#This Row],[Description]]="","",VLOOKUP(Table2[[#This Row],[Description]],$Q$1:$S$101,3,FALSE))</f>
        <v/>
      </c>
      <c r="I3314" s="1" t="str">
        <f>IF(Table2[[#This Row],[Description]]="","",IF(Table2[[#This Row],[Currency]]=$O$2,$P$2,HLOOKUP(Table2[[#This Row],[Date]],Funds!$C$10:$GV$11,2,FALSE)))</f>
        <v/>
      </c>
      <c r="J3314" s="215" t="str">
        <f>IF(Table2[[#This Row],[Description]]="","",Table2[[#This Row],[Value]]/Table2[[#This Row],[Conversion]])</f>
        <v/>
      </c>
      <c r="K3314" s="45" t="str">
        <f>IF(Table2[[#This Row],[Description]]="","",DATE(Table2[[#This Row],[Year]],Table2[[#This Row],[Month]],1))</f>
        <v/>
      </c>
    </row>
    <row r="3315" spans="7:11" x14ac:dyDescent="0.25">
      <c r="G3315" s="1" t="str">
        <f>IF(Table2[[#This Row],[Description]]="","",VLOOKUP(Table2[[#This Row],[Description]],$Q$1:$S$101,2,FALSE))</f>
        <v/>
      </c>
      <c r="H3315" s="1" t="str">
        <f>IF(Table2[[#This Row],[Description]]="","",VLOOKUP(Table2[[#This Row],[Description]],$Q$1:$S$101,3,FALSE))</f>
        <v/>
      </c>
      <c r="I3315" s="1" t="str">
        <f>IF(Table2[[#This Row],[Description]]="","",IF(Table2[[#This Row],[Currency]]=$O$2,$P$2,HLOOKUP(Table2[[#This Row],[Date]],Funds!$C$10:$GV$11,2,FALSE)))</f>
        <v/>
      </c>
      <c r="J3315" s="215" t="str">
        <f>IF(Table2[[#This Row],[Description]]="","",Table2[[#This Row],[Value]]/Table2[[#This Row],[Conversion]])</f>
        <v/>
      </c>
      <c r="K3315" s="45" t="str">
        <f>IF(Table2[[#This Row],[Description]]="","",DATE(Table2[[#This Row],[Year]],Table2[[#This Row],[Month]],1))</f>
        <v/>
      </c>
    </row>
    <row r="3316" spans="7:11" x14ac:dyDescent="0.25">
      <c r="G3316" s="1" t="str">
        <f>IF(Table2[[#This Row],[Description]]="","",VLOOKUP(Table2[[#This Row],[Description]],$Q$1:$S$101,2,FALSE))</f>
        <v/>
      </c>
      <c r="H3316" s="1" t="str">
        <f>IF(Table2[[#This Row],[Description]]="","",VLOOKUP(Table2[[#This Row],[Description]],$Q$1:$S$101,3,FALSE))</f>
        <v/>
      </c>
      <c r="I3316" s="1" t="str">
        <f>IF(Table2[[#This Row],[Description]]="","",IF(Table2[[#This Row],[Currency]]=$O$2,$P$2,HLOOKUP(Table2[[#This Row],[Date]],Funds!$C$10:$GV$11,2,FALSE)))</f>
        <v/>
      </c>
      <c r="J3316" s="215" t="str">
        <f>IF(Table2[[#This Row],[Description]]="","",Table2[[#This Row],[Value]]/Table2[[#This Row],[Conversion]])</f>
        <v/>
      </c>
      <c r="K3316" s="45" t="str">
        <f>IF(Table2[[#This Row],[Description]]="","",DATE(Table2[[#This Row],[Year]],Table2[[#This Row],[Month]],1))</f>
        <v/>
      </c>
    </row>
    <row r="3317" spans="7:11" x14ac:dyDescent="0.25">
      <c r="G3317" s="1" t="str">
        <f>IF(Table2[[#This Row],[Description]]="","",VLOOKUP(Table2[[#This Row],[Description]],$Q$1:$S$101,2,FALSE))</f>
        <v/>
      </c>
      <c r="H3317" s="1" t="str">
        <f>IF(Table2[[#This Row],[Description]]="","",VLOOKUP(Table2[[#This Row],[Description]],$Q$1:$S$101,3,FALSE))</f>
        <v/>
      </c>
      <c r="I3317" s="1" t="str">
        <f>IF(Table2[[#This Row],[Description]]="","",IF(Table2[[#This Row],[Currency]]=$O$2,$P$2,HLOOKUP(Table2[[#This Row],[Date]],Funds!$C$10:$GV$11,2,FALSE)))</f>
        <v/>
      </c>
      <c r="J3317" s="215" t="str">
        <f>IF(Table2[[#This Row],[Description]]="","",Table2[[#This Row],[Value]]/Table2[[#This Row],[Conversion]])</f>
        <v/>
      </c>
      <c r="K3317" s="45" t="str">
        <f>IF(Table2[[#This Row],[Description]]="","",DATE(Table2[[#This Row],[Year]],Table2[[#This Row],[Month]],1))</f>
        <v/>
      </c>
    </row>
    <row r="3318" spans="7:11" x14ac:dyDescent="0.25">
      <c r="G3318" s="1" t="str">
        <f>IF(Table2[[#This Row],[Description]]="","",VLOOKUP(Table2[[#This Row],[Description]],$Q$1:$S$101,2,FALSE))</f>
        <v/>
      </c>
      <c r="H3318" s="1" t="str">
        <f>IF(Table2[[#This Row],[Description]]="","",VLOOKUP(Table2[[#This Row],[Description]],$Q$1:$S$101,3,FALSE))</f>
        <v/>
      </c>
      <c r="I3318" s="1" t="str">
        <f>IF(Table2[[#This Row],[Description]]="","",IF(Table2[[#This Row],[Currency]]=$O$2,$P$2,HLOOKUP(Table2[[#This Row],[Date]],Funds!$C$10:$GV$11,2,FALSE)))</f>
        <v/>
      </c>
      <c r="J3318" s="215" t="str">
        <f>IF(Table2[[#This Row],[Description]]="","",Table2[[#This Row],[Value]]/Table2[[#This Row],[Conversion]])</f>
        <v/>
      </c>
      <c r="K3318" s="45" t="str">
        <f>IF(Table2[[#This Row],[Description]]="","",DATE(Table2[[#This Row],[Year]],Table2[[#This Row],[Month]],1))</f>
        <v/>
      </c>
    </row>
    <row r="3319" spans="7:11" x14ac:dyDescent="0.25">
      <c r="G3319" s="1" t="str">
        <f>IF(Table2[[#This Row],[Description]]="","",VLOOKUP(Table2[[#This Row],[Description]],$Q$1:$S$101,2,FALSE))</f>
        <v/>
      </c>
      <c r="H3319" s="1" t="str">
        <f>IF(Table2[[#This Row],[Description]]="","",VLOOKUP(Table2[[#This Row],[Description]],$Q$1:$S$101,3,FALSE))</f>
        <v/>
      </c>
      <c r="I3319" s="1" t="str">
        <f>IF(Table2[[#This Row],[Description]]="","",IF(Table2[[#This Row],[Currency]]=$O$2,$P$2,HLOOKUP(Table2[[#This Row],[Date]],Funds!$C$10:$GV$11,2,FALSE)))</f>
        <v/>
      </c>
      <c r="J3319" s="215" t="str">
        <f>IF(Table2[[#This Row],[Description]]="","",Table2[[#This Row],[Value]]/Table2[[#This Row],[Conversion]])</f>
        <v/>
      </c>
      <c r="K3319" s="45" t="str">
        <f>IF(Table2[[#This Row],[Description]]="","",DATE(Table2[[#This Row],[Year]],Table2[[#This Row],[Month]],1))</f>
        <v/>
      </c>
    </row>
    <row r="3320" spans="7:11" x14ac:dyDescent="0.25">
      <c r="G3320" s="1" t="str">
        <f>IF(Table2[[#This Row],[Description]]="","",VLOOKUP(Table2[[#This Row],[Description]],$Q$1:$S$101,2,FALSE))</f>
        <v/>
      </c>
      <c r="H3320" s="1" t="str">
        <f>IF(Table2[[#This Row],[Description]]="","",VLOOKUP(Table2[[#This Row],[Description]],$Q$1:$S$101,3,FALSE))</f>
        <v/>
      </c>
      <c r="I3320" s="1" t="str">
        <f>IF(Table2[[#This Row],[Description]]="","",IF(Table2[[#This Row],[Currency]]=$O$2,$P$2,HLOOKUP(Table2[[#This Row],[Date]],Funds!$C$10:$GV$11,2,FALSE)))</f>
        <v/>
      </c>
      <c r="J3320" s="215" t="str">
        <f>IF(Table2[[#This Row],[Description]]="","",Table2[[#This Row],[Value]]/Table2[[#This Row],[Conversion]])</f>
        <v/>
      </c>
      <c r="K3320" s="45" t="str">
        <f>IF(Table2[[#This Row],[Description]]="","",DATE(Table2[[#This Row],[Year]],Table2[[#This Row],[Month]],1))</f>
        <v/>
      </c>
    </row>
    <row r="3321" spans="7:11" x14ac:dyDescent="0.25">
      <c r="G3321" s="1" t="str">
        <f>IF(Table2[[#This Row],[Description]]="","",VLOOKUP(Table2[[#This Row],[Description]],$Q$1:$S$101,2,FALSE))</f>
        <v/>
      </c>
      <c r="H3321" s="1" t="str">
        <f>IF(Table2[[#This Row],[Description]]="","",VLOOKUP(Table2[[#This Row],[Description]],$Q$1:$S$101,3,FALSE))</f>
        <v/>
      </c>
      <c r="I3321" s="1" t="str">
        <f>IF(Table2[[#This Row],[Description]]="","",IF(Table2[[#This Row],[Currency]]=$O$2,$P$2,HLOOKUP(Table2[[#This Row],[Date]],Funds!$C$10:$GV$11,2,FALSE)))</f>
        <v/>
      </c>
      <c r="J3321" s="215" t="str">
        <f>IF(Table2[[#This Row],[Description]]="","",Table2[[#This Row],[Value]]/Table2[[#This Row],[Conversion]])</f>
        <v/>
      </c>
      <c r="K3321" s="45" t="str">
        <f>IF(Table2[[#This Row],[Description]]="","",DATE(Table2[[#This Row],[Year]],Table2[[#This Row],[Month]],1))</f>
        <v/>
      </c>
    </row>
    <row r="3322" spans="7:11" x14ac:dyDescent="0.25">
      <c r="G3322" s="1" t="str">
        <f>IF(Table2[[#This Row],[Description]]="","",VLOOKUP(Table2[[#This Row],[Description]],$Q$1:$S$101,2,FALSE))</f>
        <v/>
      </c>
      <c r="H3322" s="1" t="str">
        <f>IF(Table2[[#This Row],[Description]]="","",VLOOKUP(Table2[[#This Row],[Description]],$Q$1:$S$101,3,FALSE))</f>
        <v/>
      </c>
      <c r="I3322" s="1" t="str">
        <f>IF(Table2[[#This Row],[Description]]="","",IF(Table2[[#This Row],[Currency]]=$O$2,$P$2,HLOOKUP(Table2[[#This Row],[Date]],Funds!$C$10:$GV$11,2,FALSE)))</f>
        <v/>
      </c>
      <c r="J3322" s="215" t="str">
        <f>IF(Table2[[#This Row],[Description]]="","",Table2[[#This Row],[Value]]/Table2[[#This Row],[Conversion]])</f>
        <v/>
      </c>
      <c r="K3322" s="45" t="str">
        <f>IF(Table2[[#This Row],[Description]]="","",DATE(Table2[[#This Row],[Year]],Table2[[#This Row],[Month]],1))</f>
        <v/>
      </c>
    </row>
    <row r="3323" spans="7:11" x14ac:dyDescent="0.25">
      <c r="G3323" s="1" t="str">
        <f>IF(Table2[[#This Row],[Description]]="","",VLOOKUP(Table2[[#This Row],[Description]],$Q$1:$S$101,2,FALSE))</f>
        <v/>
      </c>
      <c r="H3323" s="1" t="str">
        <f>IF(Table2[[#This Row],[Description]]="","",VLOOKUP(Table2[[#This Row],[Description]],$Q$1:$S$101,3,FALSE))</f>
        <v/>
      </c>
      <c r="I3323" s="1" t="str">
        <f>IF(Table2[[#This Row],[Description]]="","",IF(Table2[[#This Row],[Currency]]=$O$2,$P$2,HLOOKUP(Table2[[#This Row],[Date]],Funds!$C$10:$GV$11,2,FALSE)))</f>
        <v/>
      </c>
      <c r="J3323" s="215" t="str">
        <f>IF(Table2[[#This Row],[Description]]="","",Table2[[#This Row],[Value]]/Table2[[#This Row],[Conversion]])</f>
        <v/>
      </c>
      <c r="K3323" s="45" t="str">
        <f>IF(Table2[[#This Row],[Description]]="","",DATE(Table2[[#This Row],[Year]],Table2[[#This Row],[Month]],1))</f>
        <v/>
      </c>
    </row>
    <row r="3324" spans="7:11" x14ac:dyDescent="0.25">
      <c r="G3324" s="1" t="str">
        <f>IF(Table2[[#This Row],[Description]]="","",VLOOKUP(Table2[[#This Row],[Description]],$Q$1:$S$101,2,FALSE))</f>
        <v/>
      </c>
      <c r="H3324" s="1" t="str">
        <f>IF(Table2[[#This Row],[Description]]="","",VLOOKUP(Table2[[#This Row],[Description]],$Q$1:$S$101,3,FALSE))</f>
        <v/>
      </c>
      <c r="I3324" s="1" t="str">
        <f>IF(Table2[[#This Row],[Description]]="","",IF(Table2[[#This Row],[Currency]]=$O$2,$P$2,HLOOKUP(Table2[[#This Row],[Date]],Funds!$C$10:$GV$11,2,FALSE)))</f>
        <v/>
      </c>
      <c r="J3324" s="215" t="str">
        <f>IF(Table2[[#This Row],[Description]]="","",Table2[[#This Row],[Value]]/Table2[[#This Row],[Conversion]])</f>
        <v/>
      </c>
      <c r="K3324" s="45" t="str">
        <f>IF(Table2[[#This Row],[Description]]="","",DATE(Table2[[#This Row],[Year]],Table2[[#This Row],[Month]],1))</f>
        <v/>
      </c>
    </row>
    <row r="3325" spans="7:11" x14ac:dyDescent="0.25">
      <c r="G3325" s="1" t="str">
        <f>IF(Table2[[#This Row],[Description]]="","",VLOOKUP(Table2[[#This Row],[Description]],$Q$1:$S$101,2,FALSE))</f>
        <v/>
      </c>
      <c r="H3325" s="1" t="str">
        <f>IF(Table2[[#This Row],[Description]]="","",VLOOKUP(Table2[[#This Row],[Description]],$Q$1:$S$101,3,FALSE))</f>
        <v/>
      </c>
      <c r="I3325" s="1" t="str">
        <f>IF(Table2[[#This Row],[Description]]="","",IF(Table2[[#This Row],[Currency]]=$O$2,$P$2,HLOOKUP(Table2[[#This Row],[Date]],Funds!$C$10:$GV$11,2,FALSE)))</f>
        <v/>
      </c>
      <c r="J3325" s="215" t="str">
        <f>IF(Table2[[#This Row],[Description]]="","",Table2[[#This Row],[Value]]/Table2[[#This Row],[Conversion]])</f>
        <v/>
      </c>
      <c r="K3325" s="45" t="str">
        <f>IF(Table2[[#This Row],[Description]]="","",DATE(Table2[[#This Row],[Year]],Table2[[#This Row],[Month]],1))</f>
        <v/>
      </c>
    </row>
    <row r="3326" spans="7:11" x14ac:dyDescent="0.25">
      <c r="G3326" s="1" t="str">
        <f>IF(Table2[[#This Row],[Description]]="","",VLOOKUP(Table2[[#This Row],[Description]],$Q$1:$S$101,2,FALSE))</f>
        <v/>
      </c>
      <c r="H3326" s="1" t="str">
        <f>IF(Table2[[#This Row],[Description]]="","",VLOOKUP(Table2[[#This Row],[Description]],$Q$1:$S$101,3,FALSE))</f>
        <v/>
      </c>
      <c r="I3326" s="1" t="str">
        <f>IF(Table2[[#This Row],[Description]]="","",IF(Table2[[#This Row],[Currency]]=$O$2,$P$2,HLOOKUP(Table2[[#This Row],[Date]],Funds!$C$10:$GV$11,2,FALSE)))</f>
        <v/>
      </c>
      <c r="J3326" s="215" t="str">
        <f>IF(Table2[[#This Row],[Description]]="","",Table2[[#This Row],[Value]]/Table2[[#This Row],[Conversion]])</f>
        <v/>
      </c>
      <c r="K3326" s="45" t="str">
        <f>IF(Table2[[#This Row],[Description]]="","",DATE(Table2[[#This Row],[Year]],Table2[[#This Row],[Month]],1))</f>
        <v/>
      </c>
    </row>
    <row r="3327" spans="7:11" x14ac:dyDescent="0.25">
      <c r="G3327" s="1" t="str">
        <f>IF(Table2[[#This Row],[Description]]="","",VLOOKUP(Table2[[#This Row],[Description]],$Q$1:$S$101,2,FALSE))</f>
        <v/>
      </c>
      <c r="H3327" s="1" t="str">
        <f>IF(Table2[[#This Row],[Description]]="","",VLOOKUP(Table2[[#This Row],[Description]],$Q$1:$S$101,3,FALSE))</f>
        <v/>
      </c>
      <c r="I3327" s="1" t="str">
        <f>IF(Table2[[#This Row],[Description]]="","",IF(Table2[[#This Row],[Currency]]=$O$2,$P$2,HLOOKUP(Table2[[#This Row],[Date]],Funds!$C$10:$GV$11,2,FALSE)))</f>
        <v/>
      </c>
      <c r="J3327" s="215" t="str">
        <f>IF(Table2[[#This Row],[Description]]="","",Table2[[#This Row],[Value]]/Table2[[#This Row],[Conversion]])</f>
        <v/>
      </c>
      <c r="K3327" s="45" t="str">
        <f>IF(Table2[[#This Row],[Description]]="","",DATE(Table2[[#This Row],[Year]],Table2[[#This Row],[Month]],1))</f>
        <v/>
      </c>
    </row>
    <row r="3328" spans="7:11" x14ac:dyDescent="0.25">
      <c r="G3328" s="1" t="str">
        <f>IF(Table2[[#This Row],[Description]]="","",VLOOKUP(Table2[[#This Row],[Description]],$Q$1:$S$101,2,FALSE))</f>
        <v/>
      </c>
      <c r="H3328" s="1" t="str">
        <f>IF(Table2[[#This Row],[Description]]="","",VLOOKUP(Table2[[#This Row],[Description]],$Q$1:$S$101,3,FALSE))</f>
        <v/>
      </c>
      <c r="I3328" s="1" t="str">
        <f>IF(Table2[[#This Row],[Description]]="","",IF(Table2[[#This Row],[Currency]]=$O$2,$P$2,HLOOKUP(Table2[[#This Row],[Date]],Funds!$C$10:$GV$11,2,FALSE)))</f>
        <v/>
      </c>
      <c r="J3328" s="215" t="str">
        <f>IF(Table2[[#This Row],[Description]]="","",Table2[[#This Row],[Value]]/Table2[[#This Row],[Conversion]])</f>
        <v/>
      </c>
      <c r="K3328" s="45" t="str">
        <f>IF(Table2[[#This Row],[Description]]="","",DATE(Table2[[#This Row],[Year]],Table2[[#This Row],[Month]],1))</f>
        <v/>
      </c>
    </row>
    <row r="3329" spans="7:11" x14ac:dyDescent="0.25">
      <c r="G3329" s="1" t="str">
        <f>IF(Table2[[#This Row],[Description]]="","",VLOOKUP(Table2[[#This Row],[Description]],$Q$1:$S$101,2,FALSE))</f>
        <v/>
      </c>
      <c r="H3329" s="1" t="str">
        <f>IF(Table2[[#This Row],[Description]]="","",VLOOKUP(Table2[[#This Row],[Description]],$Q$1:$S$101,3,FALSE))</f>
        <v/>
      </c>
      <c r="I3329" s="1" t="str">
        <f>IF(Table2[[#This Row],[Description]]="","",IF(Table2[[#This Row],[Currency]]=$O$2,$P$2,HLOOKUP(Table2[[#This Row],[Date]],Funds!$C$10:$GV$11,2,FALSE)))</f>
        <v/>
      </c>
      <c r="J3329" s="215" t="str">
        <f>IF(Table2[[#This Row],[Description]]="","",Table2[[#This Row],[Value]]/Table2[[#This Row],[Conversion]])</f>
        <v/>
      </c>
      <c r="K3329" s="45" t="str">
        <f>IF(Table2[[#This Row],[Description]]="","",DATE(Table2[[#This Row],[Year]],Table2[[#This Row],[Month]],1))</f>
        <v/>
      </c>
    </row>
    <row r="3330" spans="7:11" x14ac:dyDescent="0.25">
      <c r="G3330" s="1" t="str">
        <f>IF(Table2[[#This Row],[Description]]="","",VLOOKUP(Table2[[#This Row],[Description]],$Q$1:$S$101,2,FALSE))</f>
        <v/>
      </c>
      <c r="H3330" s="1" t="str">
        <f>IF(Table2[[#This Row],[Description]]="","",VLOOKUP(Table2[[#This Row],[Description]],$Q$1:$S$101,3,FALSE))</f>
        <v/>
      </c>
      <c r="I3330" s="1" t="str">
        <f>IF(Table2[[#This Row],[Description]]="","",IF(Table2[[#This Row],[Currency]]=$O$2,$P$2,HLOOKUP(Table2[[#This Row],[Date]],Funds!$C$10:$GV$11,2,FALSE)))</f>
        <v/>
      </c>
      <c r="J3330" s="215" t="str">
        <f>IF(Table2[[#This Row],[Description]]="","",Table2[[#This Row],[Value]]/Table2[[#This Row],[Conversion]])</f>
        <v/>
      </c>
      <c r="K3330" s="45" t="str">
        <f>IF(Table2[[#This Row],[Description]]="","",DATE(Table2[[#This Row],[Year]],Table2[[#This Row],[Month]],1))</f>
        <v/>
      </c>
    </row>
    <row r="3331" spans="7:11" x14ac:dyDescent="0.25">
      <c r="G3331" s="1" t="str">
        <f>IF(Table2[[#This Row],[Description]]="","",VLOOKUP(Table2[[#This Row],[Description]],$Q$1:$S$101,2,FALSE))</f>
        <v/>
      </c>
      <c r="H3331" s="1" t="str">
        <f>IF(Table2[[#This Row],[Description]]="","",VLOOKUP(Table2[[#This Row],[Description]],$Q$1:$S$101,3,FALSE))</f>
        <v/>
      </c>
      <c r="I3331" s="1" t="str">
        <f>IF(Table2[[#This Row],[Description]]="","",IF(Table2[[#This Row],[Currency]]=$O$2,$P$2,HLOOKUP(Table2[[#This Row],[Date]],Funds!$C$10:$GV$11,2,FALSE)))</f>
        <v/>
      </c>
      <c r="J3331" s="215" t="str">
        <f>IF(Table2[[#This Row],[Description]]="","",Table2[[#This Row],[Value]]/Table2[[#This Row],[Conversion]])</f>
        <v/>
      </c>
      <c r="K3331" s="45" t="str">
        <f>IF(Table2[[#This Row],[Description]]="","",DATE(Table2[[#This Row],[Year]],Table2[[#This Row],[Month]],1))</f>
        <v/>
      </c>
    </row>
    <row r="3332" spans="7:11" x14ac:dyDescent="0.25">
      <c r="G3332" s="1" t="str">
        <f>IF(Table2[[#This Row],[Description]]="","",VLOOKUP(Table2[[#This Row],[Description]],$Q$1:$S$101,2,FALSE))</f>
        <v/>
      </c>
      <c r="H3332" s="1" t="str">
        <f>IF(Table2[[#This Row],[Description]]="","",VLOOKUP(Table2[[#This Row],[Description]],$Q$1:$S$101,3,FALSE))</f>
        <v/>
      </c>
      <c r="I3332" s="1" t="str">
        <f>IF(Table2[[#This Row],[Description]]="","",IF(Table2[[#This Row],[Currency]]=$O$2,$P$2,HLOOKUP(Table2[[#This Row],[Date]],Funds!$C$10:$GV$11,2,FALSE)))</f>
        <v/>
      </c>
      <c r="J3332" s="215" t="str">
        <f>IF(Table2[[#This Row],[Description]]="","",Table2[[#This Row],[Value]]/Table2[[#This Row],[Conversion]])</f>
        <v/>
      </c>
      <c r="K3332" s="45" t="str">
        <f>IF(Table2[[#This Row],[Description]]="","",DATE(Table2[[#This Row],[Year]],Table2[[#This Row],[Month]],1))</f>
        <v/>
      </c>
    </row>
    <row r="3333" spans="7:11" x14ac:dyDescent="0.25">
      <c r="G3333" s="1" t="str">
        <f>IF(Table2[[#This Row],[Description]]="","",VLOOKUP(Table2[[#This Row],[Description]],$Q$1:$S$101,2,FALSE))</f>
        <v/>
      </c>
      <c r="H3333" s="1" t="str">
        <f>IF(Table2[[#This Row],[Description]]="","",VLOOKUP(Table2[[#This Row],[Description]],$Q$1:$S$101,3,FALSE))</f>
        <v/>
      </c>
      <c r="I3333" s="1" t="str">
        <f>IF(Table2[[#This Row],[Description]]="","",IF(Table2[[#This Row],[Currency]]=$O$2,$P$2,HLOOKUP(Table2[[#This Row],[Date]],Funds!$C$10:$GV$11,2,FALSE)))</f>
        <v/>
      </c>
      <c r="J3333" s="215" t="str">
        <f>IF(Table2[[#This Row],[Description]]="","",Table2[[#This Row],[Value]]/Table2[[#This Row],[Conversion]])</f>
        <v/>
      </c>
      <c r="K3333" s="45" t="str">
        <f>IF(Table2[[#This Row],[Description]]="","",DATE(Table2[[#This Row],[Year]],Table2[[#This Row],[Month]],1))</f>
        <v/>
      </c>
    </row>
    <row r="3334" spans="7:11" x14ac:dyDescent="0.25">
      <c r="G3334" s="1" t="str">
        <f>IF(Table2[[#This Row],[Description]]="","",VLOOKUP(Table2[[#This Row],[Description]],$Q$1:$S$101,2,FALSE))</f>
        <v/>
      </c>
      <c r="H3334" s="1" t="str">
        <f>IF(Table2[[#This Row],[Description]]="","",VLOOKUP(Table2[[#This Row],[Description]],$Q$1:$S$101,3,FALSE))</f>
        <v/>
      </c>
      <c r="I3334" s="1" t="str">
        <f>IF(Table2[[#This Row],[Description]]="","",IF(Table2[[#This Row],[Currency]]=$O$2,$P$2,HLOOKUP(Table2[[#This Row],[Date]],Funds!$C$10:$GV$11,2,FALSE)))</f>
        <v/>
      </c>
      <c r="J3334" s="215" t="str">
        <f>IF(Table2[[#This Row],[Description]]="","",Table2[[#This Row],[Value]]/Table2[[#This Row],[Conversion]])</f>
        <v/>
      </c>
      <c r="K3334" s="45" t="str">
        <f>IF(Table2[[#This Row],[Description]]="","",DATE(Table2[[#This Row],[Year]],Table2[[#This Row],[Month]],1))</f>
        <v/>
      </c>
    </row>
    <row r="3335" spans="7:11" x14ac:dyDescent="0.25">
      <c r="G3335" s="1" t="str">
        <f>IF(Table2[[#This Row],[Description]]="","",VLOOKUP(Table2[[#This Row],[Description]],$Q$1:$S$101,2,FALSE))</f>
        <v/>
      </c>
      <c r="H3335" s="1" t="str">
        <f>IF(Table2[[#This Row],[Description]]="","",VLOOKUP(Table2[[#This Row],[Description]],$Q$1:$S$101,3,FALSE))</f>
        <v/>
      </c>
      <c r="I3335" s="1" t="str">
        <f>IF(Table2[[#This Row],[Description]]="","",IF(Table2[[#This Row],[Currency]]=$O$2,$P$2,HLOOKUP(Table2[[#This Row],[Date]],Funds!$C$10:$GV$11,2,FALSE)))</f>
        <v/>
      </c>
      <c r="J3335" s="215" t="str">
        <f>IF(Table2[[#This Row],[Description]]="","",Table2[[#This Row],[Value]]/Table2[[#This Row],[Conversion]])</f>
        <v/>
      </c>
      <c r="K3335" s="45" t="str">
        <f>IF(Table2[[#This Row],[Description]]="","",DATE(Table2[[#This Row],[Year]],Table2[[#This Row],[Month]],1))</f>
        <v/>
      </c>
    </row>
    <row r="3336" spans="7:11" x14ac:dyDescent="0.25">
      <c r="G3336" s="1" t="str">
        <f>IF(Table2[[#This Row],[Description]]="","",VLOOKUP(Table2[[#This Row],[Description]],$Q$1:$S$101,2,FALSE))</f>
        <v/>
      </c>
      <c r="H3336" s="1" t="str">
        <f>IF(Table2[[#This Row],[Description]]="","",VLOOKUP(Table2[[#This Row],[Description]],$Q$1:$S$101,3,FALSE))</f>
        <v/>
      </c>
      <c r="I3336" s="1" t="str">
        <f>IF(Table2[[#This Row],[Description]]="","",IF(Table2[[#This Row],[Currency]]=$O$2,$P$2,HLOOKUP(Table2[[#This Row],[Date]],Funds!$C$10:$GV$11,2,FALSE)))</f>
        <v/>
      </c>
      <c r="J3336" s="215" t="str">
        <f>IF(Table2[[#This Row],[Description]]="","",Table2[[#This Row],[Value]]/Table2[[#This Row],[Conversion]])</f>
        <v/>
      </c>
      <c r="K3336" s="45" t="str">
        <f>IF(Table2[[#This Row],[Description]]="","",DATE(Table2[[#This Row],[Year]],Table2[[#This Row],[Month]],1))</f>
        <v/>
      </c>
    </row>
    <row r="3337" spans="7:11" x14ac:dyDescent="0.25">
      <c r="G3337" s="1" t="str">
        <f>IF(Table2[[#This Row],[Description]]="","",VLOOKUP(Table2[[#This Row],[Description]],$Q$1:$S$101,2,FALSE))</f>
        <v/>
      </c>
      <c r="H3337" s="1" t="str">
        <f>IF(Table2[[#This Row],[Description]]="","",VLOOKUP(Table2[[#This Row],[Description]],$Q$1:$S$101,3,FALSE))</f>
        <v/>
      </c>
      <c r="I3337" s="1" t="str">
        <f>IF(Table2[[#This Row],[Description]]="","",IF(Table2[[#This Row],[Currency]]=$O$2,$P$2,HLOOKUP(Table2[[#This Row],[Date]],Funds!$C$10:$GV$11,2,FALSE)))</f>
        <v/>
      </c>
      <c r="J3337" s="215" t="str">
        <f>IF(Table2[[#This Row],[Description]]="","",Table2[[#This Row],[Value]]/Table2[[#This Row],[Conversion]])</f>
        <v/>
      </c>
      <c r="K3337" s="45" t="str">
        <f>IF(Table2[[#This Row],[Description]]="","",DATE(Table2[[#This Row],[Year]],Table2[[#This Row],[Month]],1))</f>
        <v/>
      </c>
    </row>
    <row r="3338" spans="7:11" x14ac:dyDescent="0.25">
      <c r="G3338" s="1" t="str">
        <f>IF(Table2[[#This Row],[Description]]="","",VLOOKUP(Table2[[#This Row],[Description]],$Q$1:$S$101,2,FALSE))</f>
        <v/>
      </c>
      <c r="H3338" s="1" t="str">
        <f>IF(Table2[[#This Row],[Description]]="","",VLOOKUP(Table2[[#This Row],[Description]],$Q$1:$S$101,3,FALSE))</f>
        <v/>
      </c>
      <c r="I3338" s="1" t="str">
        <f>IF(Table2[[#This Row],[Description]]="","",IF(Table2[[#This Row],[Currency]]=$O$2,$P$2,HLOOKUP(Table2[[#This Row],[Date]],Funds!$C$10:$GV$11,2,FALSE)))</f>
        <v/>
      </c>
      <c r="J3338" s="215" t="str">
        <f>IF(Table2[[#This Row],[Description]]="","",Table2[[#This Row],[Value]]/Table2[[#This Row],[Conversion]])</f>
        <v/>
      </c>
      <c r="K3338" s="45" t="str">
        <f>IF(Table2[[#This Row],[Description]]="","",DATE(Table2[[#This Row],[Year]],Table2[[#This Row],[Month]],1))</f>
        <v/>
      </c>
    </row>
    <row r="3339" spans="7:11" x14ac:dyDescent="0.25">
      <c r="G3339" s="1" t="str">
        <f>IF(Table2[[#This Row],[Description]]="","",VLOOKUP(Table2[[#This Row],[Description]],$Q$1:$S$101,2,FALSE))</f>
        <v/>
      </c>
      <c r="H3339" s="1" t="str">
        <f>IF(Table2[[#This Row],[Description]]="","",VLOOKUP(Table2[[#This Row],[Description]],$Q$1:$S$101,3,FALSE))</f>
        <v/>
      </c>
      <c r="I3339" s="1" t="str">
        <f>IF(Table2[[#This Row],[Description]]="","",IF(Table2[[#This Row],[Currency]]=$O$2,$P$2,HLOOKUP(Table2[[#This Row],[Date]],Funds!$C$10:$GV$11,2,FALSE)))</f>
        <v/>
      </c>
      <c r="J3339" s="215" t="str">
        <f>IF(Table2[[#This Row],[Description]]="","",Table2[[#This Row],[Value]]/Table2[[#This Row],[Conversion]])</f>
        <v/>
      </c>
      <c r="K3339" s="45" t="str">
        <f>IF(Table2[[#This Row],[Description]]="","",DATE(Table2[[#This Row],[Year]],Table2[[#This Row],[Month]],1))</f>
        <v/>
      </c>
    </row>
    <row r="3340" spans="7:11" x14ac:dyDescent="0.25">
      <c r="G3340" s="1" t="str">
        <f>IF(Table2[[#This Row],[Description]]="","",VLOOKUP(Table2[[#This Row],[Description]],$Q$1:$S$101,2,FALSE))</f>
        <v/>
      </c>
      <c r="H3340" s="1" t="str">
        <f>IF(Table2[[#This Row],[Description]]="","",VLOOKUP(Table2[[#This Row],[Description]],$Q$1:$S$101,3,FALSE))</f>
        <v/>
      </c>
      <c r="I3340" s="1" t="str">
        <f>IF(Table2[[#This Row],[Description]]="","",IF(Table2[[#This Row],[Currency]]=$O$2,$P$2,HLOOKUP(Table2[[#This Row],[Date]],Funds!$C$10:$GV$11,2,FALSE)))</f>
        <v/>
      </c>
      <c r="J3340" s="215" t="str">
        <f>IF(Table2[[#This Row],[Description]]="","",Table2[[#This Row],[Value]]/Table2[[#This Row],[Conversion]])</f>
        <v/>
      </c>
      <c r="K3340" s="45" t="str">
        <f>IF(Table2[[#This Row],[Description]]="","",DATE(Table2[[#This Row],[Year]],Table2[[#This Row],[Month]],1))</f>
        <v/>
      </c>
    </row>
    <row r="3341" spans="7:11" x14ac:dyDescent="0.25">
      <c r="G3341" s="1" t="str">
        <f>IF(Table2[[#This Row],[Description]]="","",VLOOKUP(Table2[[#This Row],[Description]],$Q$1:$S$101,2,FALSE))</f>
        <v/>
      </c>
      <c r="H3341" s="1" t="str">
        <f>IF(Table2[[#This Row],[Description]]="","",VLOOKUP(Table2[[#This Row],[Description]],$Q$1:$S$101,3,FALSE))</f>
        <v/>
      </c>
      <c r="I3341" s="1" t="str">
        <f>IF(Table2[[#This Row],[Description]]="","",IF(Table2[[#This Row],[Currency]]=$O$2,$P$2,HLOOKUP(Table2[[#This Row],[Date]],Funds!$C$10:$GV$11,2,FALSE)))</f>
        <v/>
      </c>
      <c r="J3341" s="215" t="str">
        <f>IF(Table2[[#This Row],[Description]]="","",Table2[[#This Row],[Value]]/Table2[[#This Row],[Conversion]])</f>
        <v/>
      </c>
      <c r="K3341" s="45" t="str">
        <f>IF(Table2[[#This Row],[Description]]="","",DATE(Table2[[#This Row],[Year]],Table2[[#This Row],[Month]],1))</f>
        <v/>
      </c>
    </row>
    <row r="3342" spans="7:11" x14ac:dyDescent="0.25">
      <c r="G3342" s="1" t="str">
        <f>IF(Table2[[#This Row],[Description]]="","",VLOOKUP(Table2[[#This Row],[Description]],$Q$1:$S$101,2,FALSE))</f>
        <v/>
      </c>
      <c r="H3342" s="1" t="str">
        <f>IF(Table2[[#This Row],[Description]]="","",VLOOKUP(Table2[[#This Row],[Description]],$Q$1:$S$101,3,FALSE))</f>
        <v/>
      </c>
      <c r="I3342" s="1" t="str">
        <f>IF(Table2[[#This Row],[Description]]="","",IF(Table2[[#This Row],[Currency]]=$O$2,$P$2,HLOOKUP(Table2[[#This Row],[Date]],Funds!$C$10:$GV$11,2,FALSE)))</f>
        <v/>
      </c>
      <c r="J3342" s="215" t="str">
        <f>IF(Table2[[#This Row],[Description]]="","",Table2[[#This Row],[Value]]/Table2[[#This Row],[Conversion]])</f>
        <v/>
      </c>
      <c r="K3342" s="45" t="str">
        <f>IF(Table2[[#This Row],[Description]]="","",DATE(Table2[[#This Row],[Year]],Table2[[#This Row],[Month]],1))</f>
        <v/>
      </c>
    </row>
    <row r="3343" spans="7:11" x14ac:dyDescent="0.25">
      <c r="G3343" s="1" t="str">
        <f>IF(Table2[[#This Row],[Description]]="","",VLOOKUP(Table2[[#This Row],[Description]],$Q$1:$S$101,2,FALSE))</f>
        <v/>
      </c>
      <c r="H3343" s="1" t="str">
        <f>IF(Table2[[#This Row],[Description]]="","",VLOOKUP(Table2[[#This Row],[Description]],$Q$1:$S$101,3,FALSE))</f>
        <v/>
      </c>
      <c r="I3343" s="1" t="str">
        <f>IF(Table2[[#This Row],[Description]]="","",IF(Table2[[#This Row],[Currency]]=$O$2,$P$2,HLOOKUP(Table2[[#This Row],[Date]],Funds!$C$10:$GV$11,2,FALSE)))</f>
        <v/>
      </c>
      <c r="J3343" s="215" t="str">
        <f>IF(Table2[[#This Row],[Description]]="","",Table2[[#This Row],[Value]]/Table2[[#This Row],[Conversion]])</f>
        <v/>
      </c>
      <c r="K3343" s="45" t="str">
        <f>IF(Table2[[#This Row],[Description]]="","",DATE(Table2[[#This Row],[Year]],Table2[[#This Row],[Month]],1))</f>
        <v/>
      </c>
    </row>
    <row r="3344" spans="7:11" x14ac:dyDescent="0.25">
      <c r="G3344" s="1" t="str">
        <f>IF(Table2[[#This Row],[Description]]="","",VLOOKUP(Table2[[#This Row],[Description]],$Q$1:$S$101,2,FALSE))</f>
        <v/>
      </c>
      <c r="H3344" s="1" t="str">
        <f>IF(Table2[[#This Row],[Description]]="","",VLOOKUP(Table2[[#This Row],[Description]],$Q$1:$S$101,3,FALSE))</f>
        <v/>
      </c>
      <c r="I3344" s="1" t="str">
        <f>IF(Table2[[#This Row],[Description]]="","",IF(Table2[[#This Row],[Currency]]=$O$2,$P$2,HLOOKUP(Table2[[#This Row],[Date]],Funds!$C$10:$GV$11,2,FALSE)))</f>
        <v/>
      </c>
      <c r="J3344" s="215" t="str">
        <f>IF(Table2[[#This Row],[Description]]="","",Table2[[#This Row],[Value]]/Table2[[#This Row],[Conversion]])</f>
        <v/>
      </c>
      <c r="K3344" s="45" t="str">
        <f>IF(Table2[[#This Row],[Description]]="","",DATE(Table2[[#This Row],[Year]],Table2[[#This Row],[Month]],1))</f>
        <v/>
      </c>
    </row>
    <row r="3345" spans="7:11" x14ac:dyDescent="0.25">
      <c r="G3345" s="1" t="str">
        <f>IF(Table2[[#This Row],[Description]]="","",VLOOKUP(Table2[[#This Row],[Description]],$Q$1:$S$101,2,FALSE))</f>
        <v/>
      </c>
      <c r="H3345" s="1" t="str">
        <f>IF(Table2[[#This Row],[Description]]="","",VLOOKUP(Table2[[#This Row],[Description]],$Q$1:$S$101,3,FALSE))</f>
        <v/>
      </c>
      <c r="I3345" s="1" t="str">
        <f>IF(Table2[[#This Row],[Description]]="","",IF(Table2[[#This Row],[Currency]]=$O$2,$P$2,HLOOKUP(Table2[[#This Row],[Date]],Funds!$C$10:$GV$11,2,FALSE)))</f>
        <v/>
      </c>
      <c r="J3345" s="215" t="str">
        <f>IF(Table2[[#This Row],[Description]]="","",Table2[[#This Row],[Value]]/Table2[[#This Row],[Conversion]])</f>
        <v/>
      </c>
      <c r="K3345" s="45" t="str">
        <f>IF(Table2[[#This Row],[Description]]="","",DATE(Table2[[#This Row],[Year]],Table2[[#This Row],[Month]],1))</f>
        <v/>
      </c>
    </row>
    <row r="3346" spans="7:11" x14ac:dyDescent="0.25">
      <c r="G3346" s="1" t="str">
        <f>IF(Table2[[#This Row],[Description]]="","",VLOOKUP(Table2[[#This Row],[Description]],$Q$1:$S$101,2,FALSE))</f>
        <v/>
      </c>
      <c r="H3346" s="1" t="str">
        <f>IF(Table2[[#This Row],[Description]]="","",VLOOKUP(Table2[[#This Row],[Description]],$Q$1:$S$101,3,FALSE))</f>
        <v/>
      </c>
      <c r="I3346" s="1" t="str">
        <f>IF(Table2[[#This Row],[Description]]="","",IF(Table2[[#This Row],[Currency]]=$O$2,$P$2,HLOOKUP(Table2[[#This Row],[Date]],Funds!$C$10:$GV$11,2,FALSE)))</f>
        <v/>
      </c>
      <c r="J3346" s="215" t="str">
        <f>IF(Table2[[#This Row],[Description]]="","",Table2[[#This Row],[Value]]/Table2[[#This Row],[Conversion]])</f>
        <v/>
      </c>
      <c r="K3346" s="45" t="str">
        <f>IF(Table2[[#This Row],[Description]]="","",DATE(Table2[[#This Row],[Year]],Table2[[#This Row],[Month]],1))</f>
        <v/>
      </c>
    </row>
    <row r="3347" spans="7:11" x14ac:dyDescent="0.25">
      <c r="G3347" s="1" t="str">
        <f>IF(Table2[[#This Row],[Description]]="","",VLOOKUP(Table2[[#This Row],[Description]],$Q$1:$S$101,2,FALSE))</f>
        <v/>
      </c>
      <c r="H3347" s="1" t="str">
        <f>IF(Table2[[#This Row],[Description]]="","",VLOOKUP(Table2[[#This Row],[Description]],$Q$1:$S$101,3,FALSE))</f>
        <v/>
      </c>
      <c r="I3347" s="1" t="str">
        <f>IF(Table2[[#This Row],[Description]]="","",IF(Table2[[#This Row],[Currency]]=$O$2,$P$2,HLOOKUP(Table2[[#This Row],[Date]],Funds!$C$10:$GV$11,2,FALSE)))</f>
        <v/>
      </c>
      <c r="J3347" s="215" t="str">
        <f>IF(Table2[[#This Row],[Description]]="","",Table2[[#This Row],[Value]]/Table2[[#This Row],[Conversion]])</f>
        <v/>
      </c>
      <c r="K3347" s="45" t="str">
        <f>IF(Table2[[#This Row],[Description]]="","",DATE(Table2[[#This Row],[Year]],Table2[[#This Row],[Month]],1))</f>
        <v/>
      </c>
    </row>
    <row r="3348" spans="7:11" x14ac:dyDescent="0.25">
      <c r="G3348" s="1" t="str">
        <f>IF(Table2[[#This Row],[Description]]="","",VLOOKUP(Table2[[#This Row],[Description]],$Q$1:$S$101,2,FALSE))</f>
        <v/>
      </c>
      <c r="H3348" s="1" t="str">
        <f>IF(Table2[[#This Row],[Description]]="","",VLOOKUP(Table2[[#This Row],[Description]],$Q$1:$S$101,3,FALSE))</f>
        <v/>
      </c>
      <c r="I3348" s="1" t="str">
        <f>IF(Table2[[#This Row],[Description]]="","",IF(Table2[[#This Row],[Currency]]=$O$2,$P$2,HLOOKUP(Table2[[#This Row],[Date]],Funds!$C$10:$GV$11,2,FALSE)))</f>
        <v/>
      </c>
      <c r="J3348" s="215" t="str">
        <f>IF(Table2[[#This Row],[Description]]="","",Table2[[#This Row],[Value]]/Table2[[#This Row],[Conversion]])</f>
        <v/>
      </c>
      <c r="K3348" s="45" t="str">
        <f>IF(Table2[[#This Row],[Description]]="","",DATE(Table2[[#This Row],[Year]],Table2[[#This Row],[Month]],1))</f>
        <v/>
      </c>
    </row>
    <row r="3349" spans="7:11" x14ac:dyDescent="0.25">
      <c r="G3349" s="1" t="str">
        <f>IF(Table2[[#This Row],[Description]]="","",VLOOKUP(Table2[[#This Row],[Description]],$Q$1:$S$101,2,FALSE))</f>
        <v/>
      </c>
      <c r="H3349" s="1" t="str">
        <f>IF(Table2[[#This Row],[Description]]="","",VLOOKUP(Table2[[#This Row],[Description]],$Q$1:$S$101,3,FALSE))</f>
        <v/>
      </c>
      <c r="I3349" s="1" t="str">
        <f>IF(Table2[[#This Row],[Description]]="","",IF(Table2[[#This Row],[Currency]]=$O$2,$P$2,HLOOKUP(Table2[[#This Row],[Date]],Funds!$C$10:$GV$11,2,FALSE)))</f>
        <v/>
      </c>
      <c r="J3349" s="215" t="str">
        <f>IF(Table2[[#This Row],[Description]]="","",Table2[[#This Row],[Value]]/Table2[[#This Row],[Conversion]])</f>
        <v/>
      </c>
      <c r="K3349" s="45" t="str">
        <f>IF(Table2[[#This Row],[Description]]="","",DATE(Table2[[#This Row],[Year]],Table2[[#This Row],[Month]],1))</f>
        <v/>
      </c>
    </row>
    <row r="3350" spans="7:11" x14ac:dyDescent="0.25">
      <c r="G3350" s="1" t="str">
        <f>IF(Table2[[#This Row],[Description]]="","",VLOOKUP(Table2[[#This Row],[Description]],$Q$1:$S$101,2,FALSE))</f>
        <v/>
      </c>
      <c r="H3350" s="1" t="str">
        <f>IF(Table2[[#This Row],[Description]]="","",VLOOKUP(Table2[[#This Row],[Description]],$Q$1:$S$101,3,FALSE))</f>
        <v/>
      </c>
      <c r="I3350" s="1" t="str">
        <f>IF(Table2[[#This Row],[Description]]="","",IF(Table2[[#This Row],[Currency]]=$O$2,$P$2,HLOOKUP(Table2[[#This Row],[Date]],Funds!$C$10:$GV$11,2,FALSE)))</f>
        <v/>
      </c>
      <c r="J3350" s="215" t="str">
        <f>IF(Table2[[#This Row],[Description]]="","",Table2[[#This Row],[Value]]/Table2[[#This Row],[Conversion]])</f>
        <v/>
      </c>
      <c r="K3350" s="45" t="str">
        <f>IF(Table2[[#This Row],[Description]]="","",DATE(Table2[[#This Row],[Year]],Table2[[#This Row],[Month]],1))</f>
        <v/>
      </c>
    </row>
    <row r="3351" spans="7:11" x14ac:dyDescent="0.25">
      <c r="G3351" s="1" t="str">
        <f>IF(Table2[[#This Row],[Description]]="","",VLOOKUP(Table2[[#This Row],[Description]],$Q$1:$S$101,2,FALSE))</f>
        <v/>
      </c>
      <c r="H3351" s="1" t="str">
        <f>IF(Table2[[#This Row],[Description]]="","",VLOOKUP(Table2[[#This Row],[Description]],$Q$1:$S$101,3,FALSE))</f>
        <v/>
      </c>
      <c r="I3351" s="1" t="str">
        <f>IF(Table2[[#This Row],[Description]]="","",IF(Table2[[#This Row],[Currency]]=$O$2,$P$2,HLOOKUP(Table2[[#This Row],[Date]],Funds!$C$10:$GV$11,2,FALSE)))</f>
        <v/>
      </c>
      <c r="J3351" s="215" t="str">
        <f>IF(Table2[[#This Row],[Description]]="","",Table2[[#This Row],[Value]]/Table2[[#This Row],[Conversion]])</f>
        <v/>
      </c>
      <c r="K3351" s="45" t="str">
        <f>IF(Table2[[#This Row],[Description]]="","",DATE(Table2[[#This Row],[Year]],Table2[[#This Row],[Month]],1))</f>
        <v/>
      </c>
    </row>
    <row r="3352" spans="7:11" x14ac:dyDescent="0.25">
      <c r="G3352" s="1" t="str">
        <f>IF(Table2[[#This Row],[Description]]="","",VLOOKUP(Table2[[#This Row],[Description]],$Q$1:$S$101,2,FALSE))</f>
        <v/>
      </c>
      <c r="H3352" s="1" t="str">
        <f>IF(Table2[[#This Row],[Description]]="","",VLOOKUP(Table2[[#This Row],[Description]],$Q$1:$S$101,3,FALSE))</f>
        <v/>
      </c>
      <c r="I3352" s="1" t="str">
        <f>IF(Table2[[#This Row],[Description]]="","",IF(Table2[[#This Row],[Currency]]=$O$2,$P$2,HLOOKUP(Table2[[#This Row],[Date]],Funds!$C$10:$GV$11,2,FALSE)))</f>
        <v/>
      </c>
      <c r="J3352" s="215" t="str">
        <f>IF(Table2[[#This Row],[Description]]="","",Table2[[#This Row],[Value]]/Table2[[#This Row],[Conversion]])</f>
        <v/>
      </c>
      <c r="K3352" s="45" t="str">
        <f>IF(Table2[[#This Row],[Description]]="","",DATE(Table2[[#This Row],[Year]],Table2[[#This Row],[Month]],1))</f>
        <v/>
      </c>
    </row>
    <row r="3353" spans="7:11" x14ac:dyDescent="0.25">
      <c r="G3353" s="1" t="str">
        <f>IF(Table2[[#This Row],[Description]]="","",VLOOKUP(Table2[[#This Row],[Description]],$Q$1:$S$101,2,FALSE))</f>
        <v/>
      </c>
      <c r="H3353" s="1" t="str">
        <f>IF(Table2[[#This Row],[Description]]="","",VLOOKUP(Table2[[#This Row],[Description]],$Q$1:$S$101,3,FALSE))</f>
        <v/>
      </c>
      <c r="I3353" s="1" t="str">
        <f>IF(Table2[[#This Row],[Description]]="","",IF(Table2[[#This Row],[Currency]]=$O$2,$P$2,HLOOKUP(Table2[[#This Row],[Date]],Funds!$C$10:$GV$11,2,FALSE)))</f>
        <v/>
      </c>
      <c r="J3353" s="215" t="str">
        <f>IF(Table2[[#This Row],[Description]]="","",Table2[[#This Row],[Value]]/Table2[[#This Row],[Conversion]])</f>
        <v/>
      </c>
      <c r="K3353" s="45" t="str">
        <f>IF(Table2[[#This Row],[Description]]="","",DATE(Table2[[#This Row],[Year]],Table2[[#This Row],[Month]],1))</f>
        <v/>
      </c>
    </row>
    <row r="3354" spans="7:11" x14ac:dyDescent="0.25">
      <c r="G3354" s="1" t="str">
        <f>IF(Table2[[#This Row],[Description]]="","",VLOOKUP(Table2[[#This Row],[Description]],$Q$1:$S$101,2,FALSE))</f>
        <v/>
      </c>
      <c r="H3354" s="1" t="str">
        <f>IF(Table2[[#This Row],[Description]]="","",VLOOKUP(Table2[[#This Row],[Description]],$Q$1:$S$101,3,FALSE))</f>
        <v/>
      </c>
      <c r="I3354" s="1" t="str">
        <f>IF(Table2[[#This Row],[Description]]="","",IF(Table2[[#This Row],[Currency]]=$O$2,$P$2,HLOOKUP(Table2[[#This Row],[Date]],Funds!$C$10:$GV$11,2,FALSE)))</f>
        <v/>
      </c>
      <c r="J3354" s="215" t="str">
        <f>IF(Table2[[#This Row],[Description]]="","",Table2[[#This Row],[Value]]/Table2[[#This Row],[Conversion]])</f>
        <v/>
      </c>
      <c r="K3354" s="45" t="str">
        <f>IF(Table2[[#This Row],[Description]]="","",DATE(Table2[[#This Row],[Year]],Table2[[#This Row],[Month]],1))</f>
        <v/>
      </c>
    </row>
    <row r="3355" spans="7:11" x14ac:dyDescent="0.25">
      <c r="G3355" s="1" t="str">
        <f>IF(Table2[[#This Row],[Description]]="","",VLOOKUP(Table2[[#This Row],[Description]],$Q$1:$S$101,2,FALSE))</f>
        <v/>
      </c>
      <c r="H3355" s="1" t="str">
        <f>IF(Table2[[#This Row],[Description]]="","",VLOOKUP(Table2[[#This Row],[Description]],$Q$1:$S$101,3,FALSE))</f>
        <v/>
      </c>
      <c r="I3355" s="1" t="str">
        <f>IF(Table2[[#This Row],[Description]]="","",IF(Table2[[#This Row],[Currency]]=$O$2,$P$2,HLOOKUP(Table2[[#This Row],[Date]],Funds!$C$10:$GV$11,2,FALSE)))</f>
        <v/>
      </c>
      <c r="J3355" s="215" t="str">
        <f>IF(Table2[[#This Row],[Description]]="","",Table2[[#This Row],[Value]]/Table2[[#This Row],[Conversion]])</f>
        <v/>
      </c>
      <c r="K3355" s="45" t="str">
        <f>IF(Table2[[#This Row],[Description]]="","",DATE(Table2[[#This Row],[Year]],Table2[[#This Row],[Month]],1))</f>
        <v/>
      </c>
    </row>
    <row r="3356" spans="7:11" x14ac:dyDescent="0.25">
      <c r="G3356" s="1" t="str">
        <f>IF(Table2[[#This Row],[Description]]="","",VLOOKUP(Table2[[#This Row],[Description]],$Q$1:$S$101,2,FALSE))</f>
        <v/>
      </c>
      <c r="H3356" s="1" t="str">
        <f>IF(Table2[[#This Row],[Description]]="","",VLOOKUP(Table2[[#This Row],[Description]],$Q$1:$S$101,3,FALSE))</f>
        <v/>
      </c>
      <c r="I3356" s="1" t="str">
        <f>IF(Table2[[#This Row],[Description]]="","",IF(Table2[[#This Row],[Currency]]=$O$2,$P$2,HLOOKUP(Table2[[#This Row],[Date]],Funds!$C$10:$GV$11,2,FALSE)))</f>
        <v/>
      </c>
      <c r="J3356" s="215" t="str">
        <f>IF(Table2[[#This Row],[Description]]="","",Table2[[#This Row],[Value]]/Table2[[#This Row],[Conversion]])</f>
        <v/>
      </c>
      <c r="K3356" s="45" t="str">
        <f>IF(Table2[[#This Row],[Description]]="","",DATE(Table2[[#This Row],[Year]],Table2[[#This Row],[Month]],1))</f>
        <v/>
      </c>
    </row>
    <row r="3357" spans="7:11" x14ac:dyDescent="0.25">
      <c r="G3357" s="1" t="str">
        <f>IF(Table2[[#This Row],[Description]]="","",VLOOKUP(Table2[[#This Row],[Description]],$Q$1:$S$101,2,FALSE))</f>
        <v/>
      </c>
      <c r="H3357" s="1" t="str">
        <f>IF(Table2[[#This Row],[Description]]="","",VLOOKUP(Table2[[#This Row],[Description]],$Q$1:$S$101,3,FALSE))</f>
        <v/>
      </c>
      <c r="I3357" s="1" t="str">
        <f>IF(Table2[[#This Row],[Description]]="","",IF(Table2[[#This Row],[Currency]]=$O$2,$P$2,HLOOKUP(Table2[[#This Row],[Date]],Funds!$C$10:$GV$11,2,FALSE)))</f>
        <v/>
      </c>
      <c r="J3357" s="215" t="str">
        <f>IF(Table2[[#This Row],[Description]]="","",Table2[[#This Row],[Value]]/Table2[[#This Row],[Conversion]])</f>
        <v/>
      </c>
      <c r="K3357" s="45" t="str">
        <f>IF(Table2[[#This Row],[Description]]="","",DATE(Table2[[#This Row],[Year]],Table2[[#This Row],[Month]],1))</f>
        <v/>
      </c>
    </row>
    <row r="3358" spans="7:11" x14ac:dyDescent="0.25">
      <c r="G3358" s="1" t="str">
        <f>IF(Table2[[#This Row],[Description]]="","",VLOOKUP(Table2[[#This Row],[Description]],$Q$1:$S$101,2,FALSE))</f>
        <v/>
      </c>
      <c r="H3358" s="1" t="str">
        <f>IF(Table2[[#This Row],[Description]]="","",VLOOKUP(Table2[[#This Row],[Description]],$Q$1:$S$101,3,FALSE))</f>
        <v/>
      </c>
      <c r="I3358" s="1" t="str">
        <f>IF(Table2[[#This Row],[Description]]="","",IF(Table2[[#This Row],[Currency]]=$O$2,$P$2,HLOOKUP(Table2[[#This Row],[Date]],Funds!$C$10:$GV$11,2,FALSE)))</f>
        <v/>
      </c>
      <c r="J3358" s="215" t="str">
        <f>IF(Table2[[#This Row],[Description]]="","",Table2[[#This Row],[Value]]/Table2[[#This Row],[Conversion]])</f>
        <v/>
      </c>
      <c r="K3358" s="45" t="str">
        <f>IF(Table2[[#This Row],[Description]]="","",DATE(Table2[[#This Row],[Year]],Table2[[#This Row],[Month]],1))</f>
        <v/>
      </c>
    </row>
    <row r="3359" spans="7:11" x14ac:dyDescent="0.25">
      <c r="G3359" s="1" t="str">
        <f>IF(Table2[[#This Row],[Description]]="","",VLOOKUP(Table2[[#This Row],[Description]],$Q$1:$S$101,2,FALSE))</f>
        <v/>
      </c>
      <c r="H3359" s="1" t="str">
        <f>IF(Table2[[#This Row],[Description]]="","",VLOOKUP(Table2[[#This Row],[Description]],$Q$1:$S$101,3,FALSE))</f>
        <v/>
      </c>
      <c r="I3359" s="1" t="str">
        <f>IF(Table2[[#This Row],[Description]]="","",IF(Table2[[#This Row],[Currency]]=$O$2,$P$2,HLOOKUP(Table2[[#This Row],[Date]],Funds!$C$10:$GV$11,2,FALSE)))</f>
        <v/>
      </c>
      <c r="J3359" s="215" t="str">
        <f>IF(Table2[[#This Row],[Description]]="","",Table2[[#This Row],[Value]]/Table2[[#This Row],[Conversion]])</f>
        <v/>
      </c>
      <c r="K3359" s="45" t="str">
        <f>IF(Table2[[#This Row],[Description]]="","",DATE(Table2[[#This Row],[Year]],Table2[[#This Row],[Month]],1))</f>
        <v/>
      </c>
    </row>
    <row r="3360" spans="7:11" x14ac:dyDescent="0.25">
      <c r="G3360" s="1" t="str">
        <f>IF(Table2[[#This Row],[Description]]="","",VLOOKUP(Table2[[#This Row],[Description]],$Q$1:$S$101,2,FALSE))</f>
        <v/>
      </c>
      <c r="H3360" s="1" t="str">
        <f>IF(Table2[[#This Row],[Description]]="","",VLOOKUP(Table2[[#This Row],[Description]],$Q$1:$S$101,3,FALSE))</f>
        <v/>
      </c>
      <c r="I3360" s="1" t="str">
        <f>IF(Table2[[#This Row],[Description]]="","",IF(Table2[[#This Row],[Currency]]=$O$2,$P$2,HLOOKUP(Table2[[#This Row],[Date]],Funds!$C$10:$GV$11,2,FALSE)))</f>
        <v/>
      </c>
      <c r="J3360" s="215" t="str">
        <f>IF(Table2[[#This Row],[Description]]="","",Table2[[#This Row],[Value]]/Table2[[#This Row],[Conversion]])</f>
        <v/>
      </c>
      <c r="K3360" s="45" t="str">
        <f>IF(Table2[[#This Row],[Description]]="","",DATE(Table2[[#This Row],[Year]],Table2[[#This Row],[Month]],1))</f>
        <v/>
      </c>
    </row>
    <row r="3361" spans="7:11" x14ac:dyDescent="0.25">
      <c r="G3361" s="1" t="str">
        <f>IF(Table2[[#This Row],[Description]]="","",VLOOKUP(Table2[[#This Row],[Description]],$Q$1:$S$101,2,FALSE))</f>
        <v/>
      </c>
      <c r="H3361" s="1" t="str">
        <f>IF(Table2[[#This Row],[Description]]="","",VLOOKUP(Table2[[#This Row],[Description]],$Q$1:$S$101,3,FALSE))</f>
        <v/>
      </c>
      <c r="I3361" s="1" t="str">
        <f>IF(Table2[[#This Row],[Description]]="","",IF(Table2[[#This Row],[Currency]]=$O$2,$P$2,HLOOKUP(Table2[[#This Row],[Date]],Funds!$C$10:$GV$11,2,FALSE)))</f>
        <v/>
      </c>
      <c r="J3361" s="215" t="str">
        <f>IF(Table2[[#This Row],[Description]]="","",Table2[[#This Row],[Value]]/Table2[[#This Row],[Conversion]])</f>
        <v/>
      </c>
      <c r="K3361" s="45" t="str">
        <f>IF(Table2[[#This Row],[Description]]="","",DATE(Table2[[#This Row],[Year]],Table2[[#This Row],[Month]],1))</f>
        <v/>
      </c>
    </row>
    <row r="3362" spans="7:11" x14ac:dyDescent="0.25">
      <c r="G3362" s="1" t="str">
        <f>IF(Table2[[#This Row],[Description]]="","",VLOOKUP(Table2[[#This Row],[Description]],$Q$1:$S$101,2,FALSE))</f>
        <v/>
      </c>
      <c r="H3362" s="1" t="str">
        <f>IF(Table2[[#This Row],[Description]]="","",VLOOKUP(Table2[[#This Row],[Description]],$Q$1:$S$101,3,FALSE))</f>
        <v/>
      </c>
      <c r="I3362" s="1" t="str">
        <f>IF(Table2[[#This Row],[Description]]="","",IF(Table2[[#This Row],[Currency]]=$O$2,$P$2,HLOOKUP(Table2[[#This Row],[Date]],Funds!$C$10:$GV$11,2,FALSE)))</f>
        <v/>
      </c>
      <c r="J3362" s="215" t="str">
        <f>IF(Table2[[#This Row],[Description]]="","",Table2[[#This Row],[Value]]/Table2[[#This Row],[Conversion]])</f>
        <v/>
      </c>
      <c r="K3362" s="45" t="str">
        <f>IF(Table2[[#This Row],[Description]]="","",DATE(Table2[[#This Row],[Year]],Table2[[#This Row],[Month]],1))</f>
        <v/>
      </c>
    </row>
    <row r="3363" spans="7:11" x14ac:dyDescent="0.25">
      <c r="G3363" s="1" t="str">
        <f>IF(Table2[[#This Row],[Description]]="","",VLOOKUP(Table2[[#This Row],[Description]],$Q$1:$S$101,2,FALSE))</f>
        <v/>
      </c>
      <c r="H3363" s="1" t="str">
        <f>IF(Table2[[#This Row],[Description]]="","",VLOOKUP(Table2[[#This Row],[Description]],$Q$1:$S$101,3,FALSE))</f>
        <v/>
      </c>
      <c r="I3363" s="1" t="str">
        <f>IF(Table2[[#This Row],[Description]]="","",IF(Table2[[#This Row],[Currency]]=$O$2,$P$2,HLOOKUP(Table2[[#This Row],[Date]],Funds!$C$10:$GV$11,2,FALSE)))</f>
        <v/>
      </c>
      <c r="J3363" s="215" t="str">
        <f>IF(Table2[[#This Row],[Description]]="","",Table2[[#This Row],[Value]]/Table2[[#This Row],[Conversion]])</f>
        <v/>
      </c>
      <c r="K3363" s="45" t="str">
        <f>IF(Table2[[#This Row],[Description]]="","",DATE(Table2[[#This Row],[Year]],Table2[[#This Row],[Month]],1))</f>
        <v/>
      </c>
    </row>
    <row r="3364" spans="7:11" x14ac:dyDescent="0.25">
      <c r="G3364" s="1" t="str">
        <f>IF(Table2[[#This Row],[Description]]="","",VLOOKUP(Table2[[#This Row],[Description]],$Q$1:$S$101,2,FALSE))</f>
        <v/>
      </c>
      <c r="H3364" s="1" t="str">
        <f>IF(Table2[[#This Row],[Description]]="","",VLOOKUP(Table2[[#This Row],[Description]],$Q$1:$S$101,3,FALSE))</f>
        <v/>
      </c>
      <c r="I3364" s="1" t="str">
        <f>IF(Table2[[#This Row],[Description]]="","",IF(Table2[[#This Row],[Currency]]=$O$2,$P$2,HLOOKUP(Table2[[#This Row],[Date]],Funds!$C$10:$GV$11,2,FALSE)))</f>
        <v/>
      </c>
      <c r="J3364" s="215" t="str">
        <f>IF(Table2[[#This Row],[Description]]="","",Table2[[#This Row],[Value]]/Table2[[#This Row],[Conversion]])</f>
        <v/>
      </c>
      <c r="K3364" s="45" t="str">
        <f>IF(Table2[[#This Row],[Description]]="","",DATE(Table2[[#This Row],[Year]],Table2[[#This Row],[Month]],1))</f>
        <v/>
      </c>
    </row>
    <row r="3365" spans="7:11" x14ac:dyDescent="0.25">
      <c r="G3365" s="1" t="str">
        <f>IF(Table2[[#This Row],[Description]]="","",VLOOKUP(Table2[[#This Row],[Description]],$Q$1:$S$101,2,FALSE))</f>
        <v/>
      </c>
      <c r="H3365" s="1" t="str">
        <f>IF(Table2[[#This Row],[Description]]="","",VLOOKUP(Table2[[#This Row],[Description]],$Q$1:$S$101,3,FALSE))</f>
        <v/>
      </c>
      <c r="I3365" s="1" t="str">
        <f>IF(Table2[[#This Row],[Description]]="","",IF(Table2[[#This Row],[Currency]]=$O$2,$P$2,HLOOKUP(Table2[[#This Row],[Date]],Funds!$C$10:$GV$11,2,FALSE)))</f>
        <v/>
      </c>
      <c r="J3365" s="215" t="str">
        <f>IF(Table2[[#This Row],[Description]]="","",Table2[[#This Row],[Value]]/Table2[[#This Row],[Conversion]])</f>
        <v/>
      </c>
      <c r="K3365" s="45" t="str">
        <f>IF(Table2[[#This Row],[Description]]="","",DATE(Table2[[#This Row],[Year]],Table2[[#This Row],[Month]],1))</f>
        <v/>
      </c>
    </row>
    <row r="3366" spans="7:11" x14ac:dyDescent="0.25">
      <c r="G3366" s="1" t="str">
        <f>IF(Table2[[#This Row],[Description]]="","",VLOOKUP(Table2[[#This Row],[Description]],$Q$1:$S$101,2,FALSE))</f>
        <v/>
      </c>
      <c r="H3366" s="1" t="str">
        <f>IF(Table2[[#This Row],[Description]]="","",VLOOKUP(Table2[[#This Row],[Description]],$Q$1:$S$101,3,FALSE))</f>
        <v/>
      </c>
      <c r="I3366" s="1" t="str">
        <f>IF(Table2[[#This Row],[Description]]="","",IF(Table2[[#This Row],[Currency]]=$O$2,$P$2,HLOOKUP(Table2[[#This Row],[Date]],Funds!$C$10:$GV$11,2,FALSE)))</f>
        <v/>
      </c>
      <c r="J3366" s="215" t="str">
        <f>IF(Table2[[#This Row],[Description]]="","",Table2[[#This Row],[Value]]/Table2[[#This Row],[Conversion]])</f>
        <v/>
      </c>
      <c r="K3366" s="45" t="str">
        <f>IF(Table2[[#This Row],[Description]]="","",DATE(Table2[[#This Row],[Year]],Table2[[#This Row],[Month]],1))</f>
        <v/>
      </c>
    </row>
    <row r="3367" spans="7:11" x14ac:dyDescent="0.25">
      <c r="G3367" s="1" t="str">
        <f>IF(Table2[[#This Row],[Description]]="","",VLOOKUP(Table2[[#This Row],[Description]],$Q$1:$S$101,2,FALSE))</f>
        <v/>
      </c>
      <c r="H3367" s="1" t="str">
        <f>IF(Table2[[#This Row],[Description]]="","",VLOOKUP(Table2[[#This Row],[Description]],$Q$1:$S$101,3,FALSE))</f>
        <v/>
      </c>
      <c r="I3367" s="1" t="str">
        <f>IF(Table2[[#This Row],[Description]]="","",IF(Table2[[#This Row],[Currency]]=$O$2,$P$2,HLOOKUP(Table2[[#This Row],[Date]],Funds!$C$10:$GV$11,2,FALSE)))</f>
        <v/>
      </c>
      <c r="J3367" s="215" t="str">
        <f>IF(Table2[[#This Row],[Description]]="","",Table2[[#This Row],[Value]]/Table2[[#This Row],[Conversion]])</f>
        <v/>
      </c>
      <c r="K3367" s="45" t="str">
        <f>IF(Table2[[#This Row],[Description]]="","",DATE(Table2[[#This Row],[Year]],Table2[[#This Row],[Month]],1))</f>
        <v/>
      </c>
    </row>
    <row r="3368" spans="7:11" x14ac:dyDescent="0.25">
      <c r="G3368" s="1" t="str">
        <f>IF(Table2[[#This Row],[Description]]="","",VLOOKUP(Table2[[#This Row],[Description]],$Q$1:$S$101,2,FALSE))</f>
        <v/>
      </c>
      <c r="H3368" s="1" t="str">
        <f>IF(Table2[[#This Row],[Description]]="","",VLOOKUP(Table2[[#This Row],[Description]],$Q$1:$S$101,3,FALSE))</f>
        <v/>
      </c>
      <c r="I3368" s="1" t="str">
        <f>IF(Table2[[#This Row],[Description]]="","",IF(Table2[[#This Row],[Currency]]=$O$2,$P$2,HLOOKUP(Table2[[#This Row],[Date]],Funds!$C$10:$GV$11,2,FALSE)))</f>
        <v/>
      </c>
      <c r="J3368" s="215" t="str">
        <f>IF(Table2[[#This Row],[Description]]="","",Table2[[#This Row],[Value]]/Table2[[#This Row],[Conversion]])</f>
        <v/>
      </c>
      <c r="K3368" s="45" t="str">
        <f>IF(Table2[[#This Row],[Description]]="","",DATE(Table2[[#This Row],[Year]],Table2[[#This Row],[Month]],1))</f>
        <v/>
      </c>
    </row>
    <row r="3369" spans="7:11" x14ac:dyDescent="0.25">
      <c r="G3369" s="1" t="str">
        <f>IF(Table2[[#This Row],[Description]]="","",VLOOKUP(Table2[[#This Row],[Description]],$Q$1:$S$101,2,FALSE))</f>
        <v/>
      </c>
      <c r="H3369" s="1" t="str">
        <f>IF(Table2[[#This Row],[Description]]="","",VLOOKUP(Table2[[#This Row],[Description]],$Q$1:$S$101,3,FALSE))</f>
        <v/>
      </c>
      <c r="I3369" s="1" t="str">
        <f>IF(Table2[[#This Row],[Description]]="","",IF(Table2[[#This Row],[Currency]]=$O$2,$P$2,HLOOKUP(Table2[[#This Row],[Date]],Funds!$C$10:$GV$11,2,FALSE)))</f>
        <v/>
      </c>
      <c r="J3369" s="215" t="str">
        <f>IF(Table2[[#This Row],[Description]]="","",Table2[[#This Row],[Value]]/Table2[[#This Row],[Conversion]])</f>
        <v/>
      </c>
      <c r="K3369" s="45" t="str">
        <f>IF(Table2[[#This Row],[Description]]="","",DATE(Table2[[#This Row],[Year]],Table2[[#This Row],[Month]],1))</f>
        <v/>
      </c>
    </row>
    <row r="3370" spans="7:11" x14ac:dyDescent="0.25">
      <c r="G3370" s="1" t="str">
        <f>IF(Table2[[#This Row],[Description]]="","",VLOOKUP(Table2[[#This Row],[Description]],$Q$1:$S$101,2,FALSE))</f>
        <v/>
      </c>
      <c r="H3370" s="1" t="str">
        <f>IF(Table2[[#This Row],[Description]]="","",VLOOKUP(Table2[[#This Row],[Description]],$Q$1:$S$101,3,FALSE))</f>
        <v/>
      </c>
      <c r="I3370" s="1" t="str">
        <f>IF(Table2[[#This Row],[Description]]="","",IF(Table2[[#This Row],[Currency]]=$O$2,$P$2,HLOOKUP(Table2[[#This Row],[Date]],Funds!$C$10:$GV$11,2,FALSE)))</f>
        <v/>
      </c>
      <c r="J3370" s="215" t="str">
        <f>IF(Table2[[#This Row],[Description]]="","",Table2[[#This Row],[Value]]/Table2[[#This Row],[Conversion]])</f>
        <v/>
      </c>
      <c r="K3370" s="45" t="str">
        <f>IF(Table2[[#This Row],[Description]]="","",DATE(Table2[[#This Row],[Year]],Table2[[#This Row],[Month]],1))</f>
        <v/>
      </c>
    </row>
    <row r="3371" spans="7:11" x14ac:dyDescent="0.25">
      <c r="G3371" s="1" t="str">
        <f>IF(Table2[[#This Row],[Description]]="","",VLOOKUP(Table2[[#This Row],[Description]],$Q$1:$S$101,2,FALSE))</f>
        <v/>
      </c>
      <c r="H3371" s="1" t="str">
        <f>IF(Table2[[#This Row],[Description]]="","",VLOOKUP(Table2[[#This Row],[Description]],$Q$1:$S$101,3,FALSE))</f>
        <v/>
      </c>
      <c r="I3371" s="1" t="str">
        <f>IF(Table2[[#This Row],[Description]]="","",IF(Table2[[#This Row],[Currency]]=$O$2,$P$2,HLOOKUP(Table2[[#This Row],[Date]],Funds!$C$10:$GV$11,2,FALSE)))</f>
        <v/>
      </c>
      <c r="J3371" s="215" t="str">
        <f>IF(Table2[[#This Row],[Description]]="","",Table2[[#This Row],[Value]]/Table2[[#This Row],[Conversion]])</f>
        <v/>
      </c>
      <c r="K3371" s="45" t="str">
        <f>IF(Table2[[#This Row],[Description]]="","",DATE(Table2[[#This Row],[Year]],Table2[[#This Row],[Month]],1))</f>
        <v/>
      </c>
    </row>
    <row r="3372" spans="7:11" x14ac:dyDescent="0.25">
      <c r="G3372" s="1" t="str">
        <f>IF(Table2[[#This Row],[Description]]="","",VLOOKUP(Table2[[#This Row],[Description]],$Q$1:$S$101,2,FALSE))</f>
        <v/>
      </c>
      <c r="H3372" s="1" t="str">
        <f>IF(Table2[[#This Row],[Description]]="","",VLOOKUP(Table2[[#This Row],[Description]],$Q$1:$S$101,3,FALSE))</f>
        <v/>
      </c>
      <c r="I3372" s="1" t="str">
        <f>IF(Table2[[#This Row],[Description]]="","",IF(Table2[[#This Row],[Currency]]=$O$2,$P$2,HLOOKUP(Table2[[#This Row],[Date]],Funds!$C$10:$GV$11,2,FALSE)))</f>
        <v/>
      </c>
      <c r="J3372" s="215" t="str">
        <f>IF(Table2[[#This Row],[Description]]="","",Table2[[#This Row],[Value]]/Table2[[#This Row],[Conversion]])</f>
        <v/>
      </c>
      <c r="K3372" s="45" t="str">
        <f>IF(Table2[[#This Row],[Description]]="","",DATE(Table2[[#This Row],[Year]],Table2[[#This Row],[Month]],1))</f>
        <v/>
      </c>
    </row>
    <row r="3373" spans="7:11" x14ac:dyDescent="0.25">
      <c r="G3373" s="1" t="str">
        <f>IF(Table2[[#This Row],[Description]]="","",VLOOKUP(Table2[[#This Row],[Description]],$Q$1:$S$101,2,FALSE))</f>
        <v/>
      </c>
      <c r="H3373" s="1" t="str">
        <f>IF(Table2[[#This Row],[Description]]="","",VLOOKUP(Table2[[#This Row],[Description]],$Q$1:$S$101,3,FALSE))</f>
        <v/>
      </c>
      <c r="I3373" s="1" t="str">
        <f>IF(Table2[[#This Row],[Description]]="","",IF(Table2[[#This Row],[Currency]]=$O$2,$P$2,HLOOKUP(Table2[[#This Row],[Date]],Funds!$C$10:$GV$11,2,FALSE)))</f>
        <v/>
      </c>
      <c r="J3373" s="215" t="str">
        <f>IF(Table2[[#This Row],[Description]]="","",Table2[[#This Row],[Value]]/Table2[[#This Row],[Conversion]])</f>
        <v/>
      </c>
      <c r="K3373" s="45" t="str">
        <f>IF(Table2[[#This Row],[Description]]="","",DATE(Table2[[#This Row],[Year]],Table2[[#This Row],[Month]],1))</f>
        <v/>
      </c>
    </row>
    <row r="3374" spans="7:11" x14ac:dyDescent="0.25">
      <c r="G3374" s="1" t="str">
        <f>IF(Table2[[#This Row],[Description]]="","",VLOOKUP(Table2[[#This Row],[Description]],$Q$1:$S$101,2,FALSE))</f>
        <v/>
      </c>
      <c r="H3374" s="1" t="str">
        <f>IF(Table2[[#This Row],[Description]]="","",VLOOKUP(Table2[[#This Row],[Description]],$Q$1:$S$101,3,FALSE))</f>
        <v/>
      </c>
      <c r="I3374" s="1" t="str">
        <f>IF(Table2[[#This Row],[Description]]="","",IF(Table2[[#This Row],[Currency]]=$O$2,$P$2,HLOOKUP(Table2[[#This Row],[Date]],Funds!$C$10:$GV$11,2,FALSE)))</f>
        <v/>
      </c>
      <c r="J3374" s="215" t="str">
        <f>IF(Table2[[#This Row],[Description]]="","",Table2[[#This Row],[Value]]/Table2[[#This Row],[Conversion]])</f>
        <v/>
      </c>
      <c r="K3374" s="45" t="str">
        <f>IF(Table2[[#This Row],[Description]]="","",DATE(Table2[[#This Row],[Year]],Table2[[#This Row],[Month]],1))</f>
        <v/>
      </c>
    </row>
    <row r="3375" spans="7:11" x14ac:dyDescent="0.25">
      <c r="G3375" s="1" t="str">
        <f>IF(Table2[[#This Row],[Description]]="","",VLOOKUP(Table2[[#This Row],[Description]],$Q$1:$S$101,2,FALSE))</f>
        <v/>
      </c>
      <c r="H3375" s="1" t="str">
        <f>IF(Table2[[#This Row],[Description]]="","",VLOOKUP(Table2[[#This Row],[Description]],$Q$1:$S$101,3,FALSE))</f>
        <v/>
      </c>
      <c r="I3375" s="1" t="str">
        <f>IF(Table2[[#This Row],[Description]]="","",IF(Table2[[#This Row],[Currency]]=$O$2,$P$2,HLOOKUP(Table2[[#This Row],[Date]],Funds!$C$10:$GV$11,2,FALSE)))</f>
        <v/>
      </c>
      <c r="J3375" s="215" t="str">
        <f>IF(Table2[[#This Row],[Description]]="","",Table2[[#This Row],[Value]]/Table2[[#This Row],[Conversion]])</f>
        <v/>
      </c>
      <c r="K3375" s="45" t="str">
        <f>IF(Table2[[#This Row],[Description]]="","",DATE(Table2[[#This Row],[Year]],Table2[[#This Row],[Month]],1))</f>
        <v/>
      </c>
    </row>
    <row r="3376" spans="7:11" x14ac:dyDescent="0.25">
      <c r="G3376" s="1" t="str">
        <f>IF(Table2[[#This Row],[Description]]="","",VLOOKUP(Table2[[#This Row],[Description]],$Q$1:$S$101,2,FALSE))</f>
        <v/>
      </c>
      <c r="H3376" s="1" t="str">
        <f>IF(Table2[[#This Row],[Description]]="","",VLOOKUP(Table2[[#This Row],[Description]],$Q$1:$S$101,3,FALSE))</f>
        <v/>
      </c>
      <c r="I3376" s="1" t="str">
        <f>IF(Table2[[#This Row],[Description]]="","",IF(Table2[[#This Row],[Currency]]=$O$2,$P$2,HLOOKUP(Table2[[#This Row],[Date]],Funds!$C$10:$GV$11,2,FALSE)))</f>
        <v/>
      </c>
      <c r="J3376" s="215" t="str">
        <f>IF(Table2[[#This Row],[Description]]="","",Table2[[#This Row],[Value]]/Table2[[#This Row],[Conversion]])</f>
        <v/>
      </c>
      <c r="K3376" s="45" t="str">
        <f>IF(Table2[[#This Row],[Description]]="","",DATE(Table2[[#This Row],[Year]],Table2[[#This Row],[Month]],1))</f>
        <v/>
      </c>
    </row>
    <row r="3377" spans="7:11" x14ac:dyDescent="0.25">
      <c r="G3377" s="1" t="str">
        <f>IF(Table2[[#This Row],[Description]]="","",VLOOKUP(Table2[[#This Row],[Description]],$Q$1:$S$101,2,FALSE))</f>
        <v/>
      </c>
      <c r="H3377" s="1" t="str">
        <f>IF(Table2[[#This Row],[Description]]="","",VLOOKUP(Table2[[#This Row],[Description]],$Q$1:$S$101,3,FALSE))</f>
        <v/>
      </c>
      <c r="I3377" s="1" t="str">
        <f>IF(Table2[[#This Row],[Description]]="","",IF(Table2[[#This Row],[Currency]]=$O$2,$P$2,HLOOKUP(Table2[[#This Row],[Date]],Funds!$C$10:$GV$11,2,FALSE)))</f>
        <v/>
      </c>
      <c r="J3377" s="215" t="str">
        <f>IF(Table2[[#This Row],[Description]]="","",Table2[[#This Row],[Value]]/Table2[[#This Row],[Conversion]])</f>
        <v/>
      </c>
      <c r="K3377" s="45" t="str">
        <f>IF(Table2[[#This Row],[Description]]="","",DATE(Table2[[#This Row],[Year]],Table2[[#This Row],[Month]],1))</f>
        <v/>
      </c>
    </row>
    <row r="3378" spans="7:11" x14ac:dyDescent="0.25">
      <c r="G3378" s="1" t="str">
        <f>IF(Table2[[#This Row],[Description]]="","",VLOOKUP(Table2[[#This Row],[Description]],$Q$1:$S$101,2,FALSE))</f>
        <v/>
      </c>
      <c r="H3378" s="1" t="str">
        <f>IF(Table2[[#This Row],[Description]]="","",VLOOKUP(Table2[[#This Row],[Description]],$Q$1:$S$101,3,FALSE))</f>
        <v/>
      </c>
      <c r="I3378" s="1" t="str">
        <f>IF(Table2[[#This Row],[Description]]="","",IF(Table2[[#This Row],[Currency]]=$O$2,$P$2,HLOOKUP(Table2[[#This Row],[Date]],Funds!$C$10:$GV$11,2,FALSE)))</f>
        <v/>
      </c>
      <c r="J3378" s="215" t="str">
        <f>IF(Table2[[#This Row],[Description]]="","",Table2[[#This Row],[Value]]/Table2[[#This Row],[Conversion]])</f>
        <v/>
      </c>
      <c r="K3378" s="45" t="str">
        <f>IF(Table2[[#This Row],[Description]]="","",DATE(Table2[[#This Row],[Year]],Table2[[#This Row],[Month]],1))</f>
        <v/>
      </c>
    </row>
    <row r="3379" spans="7:11" x14ac:dyDescent="0.25">
      <c r="G3379" s="1" t="str">
        <f>IF(Table2[[#This Row],[Description]]="","",VLOOKUP(Table2[[#This Row],[Description]],$Q$1:$S$101,2,FALSE))</f>
        <v/>
      </c>
      <c r="H3379" s="1" t="str">
        <f>IF(Table2[[#This Row],[Description]]="","",VLOOKUP(Table2[[#This Row],[Description]],$Q$1:$S$101,3,FALSE))</f>
        <v/>
      </c>
      <c r="I3379" s="1" t="str">
        <f>IF(Table2[[#This Row],[Description]]="","",IF(Table2[[#This Row],[Currency]]=$O$2,$P$2,HLOOKUP(Table2[[#This Row],[Date]],Funds!$C$10:$GV$11,2,FALSE)))</f>
        <v/>
      </c>
      <c r="J3379" s="215" t="str">
        <f>IF(Table2[[#This Row],[Description]]="","",Table2[[#This Row],[Value]]/Table2[[#This Row],[Conversion]])</f>
        <v/>
      </c>
      <c r="K3379" s="45" t="str">
        <f>IF(Table2[[#This Row],[Description]]="","",DATE(Table2[[#This Row],[Year]],Table2[[#This Row],[Month]],1))</f>
        <v/>
      </c>
    </row>
    <row r="3380" spans="7:11" x14ac:dyDescent="0.25">
      <c r="G3380" s="1" t="str">
        <f>IF(Table2[[#This Row],[Description]]="","",VLOOKUP(Table2[[#This Row],[Description]],$Q$1:$S$101,2,FALSE))</f>
        <v/>
      </c>
      <c r="H3380" s="1" t="str">
        <f>IF(Table2[[#This Row],[Description]]="","",VLOOKUP(Table2[[#This Row],[Description]],$Q$1:$S$101,3,FALSE))</f>
        <v/>
      </c>
      <c r="I3380" s="1" t="str">
        <f>IF(Table2[[#This Row],[Description]]="","",IF(Table2[[#This Row],[Currency]]=$O$2,$P$2,HLOOKUP(Table2[[#This Row],[Date]],Funds!$C$10:$GV$11,2,FALSE)))</f>
        <v/>
      </c>
      <c r="J3380" s="215" t="str">
        <f>IF(Table2[[#This Row],[Description]]="","",Table2[[#This Row],[Value]]/Table2[[#This Row],[Conversion]])</f>
        <v/>
      </c>
      <c r="K3380" s="45" t="str">
        <f>IF(Table2[[#This Row],[Description]]="","",DATE(Table2[[#This Row],[Year]],Table2[[#This Row],[Month]],1))</f>
        <v/>
      </c>
    </row>
    <row r="3381" spans="7:11" x14ac:dyDescent="0.25">
      <c r="G3381" s="1" t="str">
        <f>IF(Table2[[#This Row],[Description]]="","",VLOOKUP(Table2[[#This Row],[Description]],$Q$1:$S$101,2,FALSE))</f>
        <v/>
      </c>
      <c r="H3381" s="1" t="str">
        <f>IF(Table2[[#This Row],[Description]]="","",VLOOKUP(Table2[[#This Row],[Description]],$Q$1:$S$101,3,FALSE))</f>
        <v/>
      </c>
      <c r="I3381" s="1" t="str">
        <f>IF(Table2[[#This Row],[Description]]="","",IF(Table2[[#This Row],[Currency]]=$O$2,$P$2,HLOOKUP(Table2[[#This Row],[Date]],Funds!$C$10:$GV$11,2,FALSE)))</f>
        <v/>
      </c>
      <c r="J3381" s="215" t="str">
        <f>IF(Table2[[#This Row],[Description]]="","",Table2[[#This Row],[Value]]/Table2[[#This Row],[Conversion]])</f>
        <v/>
      </c>
      <c r="K3381" s="45" t="str">
        <f>IF(Table2[[#This Row],[Description]]="","",DATE(Table2[[#This Row],[Year]],Table2[[#This Row],[Month]],1))</f>
        <v/>
      </c>
    </row>
    <row r="3382" spans="7:11" x14ac:dyDescent="0.25">
      <c r="G3382" s="1" t="str">
        <f>IF(Table2[[#This Row],[Description]]="","",VLOOKUP(Table2[[#This Row],[Description]],$Q$1:$S$101,2,FALSE))</f>
        <v/>
      </c>
      <c r="H3382" s="1" t="str">
        <f>IF(Table2[[#This Row],[Description]]="","",VLOOKUP(Table2[[#This Row],[Description]],$Q$1:$S$101,3,FALSE))</f>
        <v/>
      </c>
      <c r="I3382" s="1" t="str">
        <f>IF(Table2[[#This Row],[Description]]="","",IF(Table2[[#This Row],[Currency]]=$O$2,$P$2,HLOOKUP(Table2[[#This Row],[Date]],Funds!$C$10:$GV$11,2,FALSE)))</f>
        <v/>
      </c>
      <c r="J3382" s="215" t="str">
        <f>IF(Table2[[#This Row],[Description]]="","",Table2[[#This Row],[Value]]/Table2[[#This Row],[Conversion]])</f>
        <v/>
      </c>
      <c r="K3382" s="45" t="str">
        <f>IF(Table2[[#This Row],[Description]]="","",DATE(Table2[[#This Row],[Year]],Table2[[#This Row],[Month]],1))</f>
        <v/>
      </c>
    </row>
    <row r="3383" spans="7:11" x14ac:dyDescent="0.25">
      <c r="G3383" s="1" t="str">
        <f>IF(Table2[[#This Row],[Description]]="","",VLOOKUP(Table2[[#This Row],[Description]],$Q$1:$S$101,2,FALSE))</f>
        <v/>
      </c>
      <c r="H3383" s="1" t="str">
        <f>IF(Table2[[#This Row],[Description]]="","",VLOOKUP(Table2[[#This Row],[Description]],$Q$1:$S$101,3,FALSE))</f>
        <v/>
      </c>
      <c r="I3383" s="1" t="str">
        <f>IF(Table2[[#This Row],[Description]]="","",IF(Table2[[#This Row],[Currency]]=$O$2,$P$2,HLOOKUP(Table2[[#This Row],[Date]],Funds!$C$10:$GV$11,2,FALSE)))</f>
        <v/>
      </c>
      <c r="J3383" s="215" t="str">
        <f>IF(Table2[[#This Row],[Description]]="","",Table2[[#This Row],[Value]]/Table2[[#This Row],[Conversion]])</f>
        <v/>
      </c>
      <c r="K3383" s="45" t="str">
        <f>IF(Table2[[#This Row],[Description]]="","",DATE(Table2[[#This Row],[Year]],Table2[[#This Row],[Month]],1))</f>
        <v/>
      </c>
    </row>
    <row r="3384" spans="7:11" x14ac:dyDescent="0.25">
      <c r="G3384" s="1" t="str">
        <f>IF(Table2[[#This Row],[Description]]="","",VLOOKUP(Table2[[#This Row],[Description]],$Q$1:$S$101,2,FALSE))</f>
        <v/>
      </c>
      <c r="H3384" s="1" t="str">
        <f>IF(Table2[[#This Row],[Description]]="","",VLOOKUP(Table2[[#This Row],[Description]],$Q$1:$S$101,3,FALSE))</f>
        <v/>
      </c>
      <c r="I3384" s="1" t="str">
        <f>IF(Table2[[#This Row],[Description]]="","",IF(Table2[[#This Row],[Currency]]=$O$2,$P$2,HLOOKUP(Table2[[#This Row],[Date]],Funds!$C$10:$GV$11,2,FALSE)))</f>
        <v/>
      </c>
      <c r="J3384" s="215" t="str">
        <f>IF(Table2[[#This Row],[Description]]="","",Table2[[#This Row],[Value]]/Table2[[#This Row],[Conversion]])</f>
        <v/>
      </c>
      <c r="K3384" s="45" t="str">
        <f>IF(Table2[[#This Row],[Description]]="","",DATE(Table2[[#This Row],[Year]],Table2[[#This Row],[Month]],1))</f>
        <v/>
      </c>
    </row>
    <row r="3385" spans="7:11" x14ac:dyDescent="0.25">
      <c r="G3385" s="1" t="str">
        <f>IF(Table2[[#This Row],[Description]]="","",VLOOKUP(Table2[[#This Row],[Description]],$Q$1:$S$101,2,FALSE))</f>
        <v/>
      </c>
      <c r="H3385" s="1" t="str">
        <f>IF(Table2[[#This Row],[Description]]="","",VLOOKUP(Table2[[#This Row],[Description]],$Q$1:$S$101,3,FALSE))</f>
        <v/>
      </c>
      <c r="I3385" s="1" t="str">
        <f>IF(Table2[[#This Row],[Description]]="","",IF(Table2[[#This Row],[Currency]]=$O$2,$P$2,HLOOKUP(Table2[[#This Row],[Date]],Funds!$C$10:$GV$11,2,FALSE)))</f>
        <v/>
      </c>
      <c r="J3385" s="215" t="str">
        <f>IF(Table2[[#This Row],[Description]]="","",Table2[[#This Row],[Value]]/Table2[[#This Row],[Conversion]])</f>
        <v/>
      </c>
      <c r="K3385" s="45" t="str">
        <f>IF(Table2[[#This Row],[Description]]="","",DATE(Table2[[#This Row],[Year]],Table2[[#This Row],[Month]],1))</f>
        <v/>
      </c>
    </row>
    <row r="3386" spans="7:11" x14ac:dyDescent="0.25">
      <c r="G3386" s="1" t="str">
        <f>IF(Table2[[#This Row],[Description]]="","",VLOOKUP(Table2[[#This Row],[Description]],$Q$1:$S$101,2,FALSE))</f>
        <v/>
      </c>
      <c r="H3386" s="1" t="str">
        <f>IF(Table2[[#This Row],[Description]]="","",VLOOKUP(Table2[[#This Row],[Description]],$Q$1:$S$101,3,FALSE))</f>
        <v/>
      </c>
      <c r="I3386" s="1" t="str">
        <f>IF(Table2[[#This Row],[Description]]="","",IF(Table2[[#This Row],[Currency]]=$O$2,$P$2,HLOOKUP(Table2[[#This Row],[Date]],Funds!$C$10:$GV$11,2,FALSE)))</f>
        <v/>
      </c>
      <c r="J3386" s="215" t="str">
        <f>IF(Table2[[#This Row],[Description]]="","",Table2[[#This Row],[Value]]/Table2[[#This Row],[Conversion]])</f>
        <v/>
      </c>
      <c r="K3386" s="45" t="str">
        <f>IF(Table2[[#This Row],[Description]]="","",DATE(Table2[[#This Row],[Year]],Table2[[#This Row],[Month]],1))</f>
        <v/>
      </c>
    </row>
    <row r="3387" spans="7:11" x14ac:dyDescent="0.25">
      <c r="G3387" s="1" t="str">
        <f>IF(Table2[[#This Row],[Description]]="","",VLOOKUP(Table2[[#This Row],[Description]],$Q$1:$S$101,2,FALSE))</f>
        <v/>
      </c>
      <c r="H3387" s="1" t="str">
        <f>IF(Table2[[#This Row],[Description]]="","",VLOOKUP(Table2[[#This Row],[Description]],$Q$1:$S$101,3,FALSE))</f>
        <v/>
      </c>
      <c r="I3387" s="1" t="str">
        <f>IF(Table2[[#This Row],[Description]]="","",IF(Table2[[#This Row],[Currency]]=$O$2,$P$2,HLOOKUP(Table2[[#This Row],[Date]],Funds!$C$10:$GV$11,2,FALSE)))</f>
        <v/>
      </c>
      <c r="J3387" s="215" t="str">
        <f>IF(Table2[[#This Row],[Description]]="","",Table2[[#This Row],[Value]]/Table2[[#This Row],[Conversion]])</f>
        <v/>
      </c>
      <c r="K3387" s="45" t="str">
        <f>IF(Table2[[#This Row],[Description]]="","",DATE(Table2[[#This Row],[Year]],Table2[[#This Row],[Month]],1))</f>
        <v/>
      </c>
    </row>
    <row r="3388" spans="7:11" x14ac:dyDescent="0.25">
      <c r="G3388" s="1" t="str">
        <f>IF(Table2[[#This Row],[Description]]="","",VLOOKUP(Table2[[#This Row],[Description]],$Q$1:$S$101,2,FALSE))</f>
        <v/>
      </c>
      <c r="H3388" s="1" t="str">
        <f>IF(Table2[[#This Row],[Description]]="","",VLOOKUP(Table2[[#This Row],[Description]],$Q$1:$S$101,3,FALSE))</f>
        <v/>
      </c>
      <c r="I3388" s="1" t="str">
        <f>IF(Table2[[#This Row],[Description]]="","",IF(Table2[[#This Row],[Currency]]=$O$2,$P$2,HLOOKUP(Table2[[#This Row],[Date]],Funds!$C$10:$GV$11,2,FALSE)))</f>
        <v/>
      </c>
      <c r="J3388" s="215" t="str">
        <f>IF(Table2[[#This Row],[Description]]="","",Table2[[#This Row],[Value]]/Table2[[#This Row],[Conversion]])</f>
        <v/>
      </c>
      <c r="K3388" s="45" t="str">
        <f>IF(Table2[[#This Row],[Description]]="","",DATE(Table2[[#This Row],[Year]],Table2[[#This Row],[Month]],1))</f>
        <v/>
      </c>
    </row>
    <row r="3389" spans="7:11" x14ac:dyDescent="0.25">
      <c r="G3389" s="1" t="str">
        <f>IF(Table2[[#This Row],[Description]]="","",VLOOKUP(Table2[[#This Row],[Description]],$Q$1:$S$101,2,FALSE))</f>
        <v/>
      </c>
      <c r="H3389" s="1" t="str">
        <f>IF(Table2[[#This Row],[Description]]="","",VLOOKUP(Table2[[#This Row],[Description]],$Q$1:$S$101,3,FALSE))</f>
        <v/>
      </c>
      <c r="I3389" s="1" t="str">
        <f>IF(Table2[[#This Row],[Description]]="","",IF(Table2[[#This Row],[Currency]]=$O$2,$P$2,HLOOKUP(Table2[[#This Row],[Date]],Funds!$C$10:$GV$11,2,FALSE)))</f>
        <v/>
      </c>
      <c r="J3389" s="215" t="str">
        <f>IF(Table2[[#This Row],[Description]]="","",Table2[[#This Row],[Value]]/Table2[[#This Row],[Conversion]])</f>
        <v/>
      </c>
      <c r="K3389" s="45" t="str">
        <f>IF(Table2[[#This Row],[Description]]="","",DATE(Table2[[#This Row],[Year]],Table2[[#This Row],[Month]],1))</f>
        <v/>
      </c>
    </row>
    <row r="3390" spans="7:11" x14ac:dyDescent="0.25">
      <c r="G3390" s="1" t="str">
        <f>IF(Table2[[#This Row],[Description]]="","",VLOOKUP(Table2[[#This Row],[Description]],$Q$1:$S$101,2,FALSE))</f>
        <v/>
      </c>
      <c r="H3390" s="1" t="str">
        <f>IF(Table2[[#This Row],[Description]]="","",VLOOKUP(Table2[[#This Row],[Description]],$Q$1:$S$101,3,FALSE))</f>
        <v/>
      </c>
      <c r="I3390" s="1" t="str">
        <f>IF(Table2[[#This Row],[Description]]="","",IF(Table2[[#This Row],[Currency]]=$O$2,$P$2,HLOOKUP(Table2[[#This Row],[Date]],Funds!$C$10:$GV$11,2,FALSE)))</f>
        <v/>
      </c>
      <c r="J3390" s="215" t="str">
        <f>IF(Table2[[#This Row],[Description]]="","",Table2[[#This Row],[Value]]/Table2[[#This Row],[Conversion]])</f>
        <v/>
      </c>
      <c r="K3390" s="45" t="str">
        <f>IF(Table2[[#This Row],[Description]]="","",DATE(Table2[[#This Row],[Year]],Table2[[#This Row],[Month]],1))</f>
        <v/>
      </c>
    </row>
    <row r="3391" spans="7:11" x14ac:dyDescent="0.25">
      <c r="G3391" s="1" t="str">
        <f>IF(Table2[[#This Row],[Description]]="","",VLOOKUP(Table2[[#This Row],[Description]],$Q$1:$S$101,2,FALSE))</f>
        <v/>
      </c>
      <c r="H3391" s="1" t="str">
        <f>IF(Table2[[#This Row],[Description]]="","",VLOOKUP(Table2[[#This Row],[Description]],$Q$1:$S$101,3,FALSE))</f>
        <v/>
      </c>
      <c r="I3391" s="1" t="str">
        <f>IF(Table2[[#This Row],[Description]]="","",IF(Table2[[#This Row],[Currency]]=$O$2,$P$2,HLOOKUP(Table2[[#This Row],[Date]],Funds!$C$10:$GV$11,2,FALSE)))</f>
        <v/>
      </c>
      <c r="J3391" s="215" t="str">
        <f>IF(Table2[[#This Row],[Description]]="","",Table2[[#This Row],[Value]]/Table2[[#This Row],[Conversion]])</f>
        <v/>
      </c>
      <c r="K3391" s="45" t="str">
        <f>IF(Table2[[#This Row],[Description]]="","",DATE(Table2[[#This Row],[Year]],Table2[[#This Row],[Month]],1))</f>
        <v/>
      </c>
    </row>
    <row r="3392" spans="7:11" x14ac:dyDescent="0.25">
      <c r="G3392" s="1" t="str">
        <f>IF(Table2[[#This Row],[Description]]="","",VLOOKUP(Table2[[#This Row],[Description]],$Q$1:$S$101,2,FALSE))</f>
        <v/>
      </c>
      <c r="H3392" s="1" t="str">
        <f>IF(Table2[[#This Row],[Description]]="","",VLOOKUP(Table2[[#This Row],[Description]],$Q$1:$S$101,3,FALSE))</f>
        <v/>
      </c>
      <c r="I3392" s="1" t="str">
        <f>IF(Table2[[#This Row],[Description]]="","",IF(Table2[[#This Row],[Currency]]=$O$2,$P$2,HLOOKUP(Table2[[#This Row],[Date]],Funds!$C$10:$GV$11,2,FALSE)))</f>
        <v/>
      </c>
      <c r="J3392" s="215" t="str">
        <f>IF(Table2[[#This Row],[Description]]="","",Table2[[#This Row],[Value]]/Table2[[#This Row],[Conversion]])</f>
        <v/>
      </c>
      <c r="K3392" s="45" t="str">
        <f>IF(Table2[[#This Row],[Description]]="","",DATE(Table2[[#This Row],[Year]],Table2[[#This Row],[Month]],1))</f>
        <v/>
      </c>
    </row>
    <row r="3393" spans="7:11" x14ac:dyDescent="0.25">
      <c r="G3393" s="1" t="str">
        <f>IF(Table2[[#This Row],[Description]]="","",VLOOKUP(Table2[[#This Row],[Description]],$Q$1:$S$101,2,FALSE))</f>
        <v/>
      </c>
      <c r="H3393" s="1" t="str">
        <f>IF(Table2[[#This Row],[Description]]="","",VLOOKUP(Table2[[#This Row],[Description]],$Q$1:$S$101,3,FALSE))</f>
        <v/>
      </c>
      <c r="I3393" s="1" t="str">
        <f>IF(Table2[[#This Row],[Description]]="","",IF(Table2[[#This Row],[Currency]]=$O$2,$P$2,HLOOKUP(Table2[[#This Row],[Date]],Funds!$C$10:$GV$11,2,FALSE)))</f>
        <v/>
      </c>
      <c r="J3393" s="215" t="str">
        <f>IF(Table2[[#This Row],[Description]]="","",Table2[[#This Row],[Value]]/Table2[[#This Row],[Conversion]])</f>
        <v/>
      </c>
      <c r="K3393" s="45" t="str">
        <f>IF(Table2[[#This Row],[Description]]="","",DATE(Table2[[#This Row],[Year]],Table2[[#This Row],[Month]],1))</f>
        <v/>
      </c>
    </row>
    <row r="3394" spans="7:11" x14ac:dyDescent="0.25">
      <c r="G3394" s="1" t="str">
        <f>IF(Table2[[#This Row],[Description]]="","",VLOOKUP(Table2[[#This Row],[Description]],$Q$1:$S$101,2,FALSE))</f>
        <v/>
      </c>
      <c r="H3394" s="1" t="str">
        <f>IF(Table2[[#This Row],[Description]]="","",VLOOKUP(Table2[[#This Row],[Description]],$Q$1:$S$101,3,FALSE))</f>
        <v/>
      </c>
      <c r="I3394" s="1" t="str">
        <f>IF(Table2[[#This Row],[Description]]="","",IF(Table2[[#This Row],[Currency]]=$O$2,$P$2,HLOOKUP(Table2[[#This Row],[Date]],Funds!$C$10:$GV$11,2,FALSE)))</f>
        <v/>
      </c>
      <c r="J3394" s="215" t="str">
        <f>IF(Table2[[#This Row],[Description]]="","",Table2[[#This Row],[Value]]/Table2[[#This Row],[Conversion]])</f>
        <v/>
      </c>
      <c r="K3394" s="45" t="str">
        <f>IF(Table2[[#This Row],[Description]]="","",DATE(Table2[[#This Row],[Year]],Table2[[#This Row],[Month]],1))</f>
        <v/>
      </c>
    </row>
    <row r="3395" spans="7:11" x14ac:dyDescent="0.25">
      <c r="G3395" s="1" t="str">
        <f>IF(Table2[[#This Row],[Description]]="","",VLOOKUP(Table2[[#This Row],[Description]],$Q$1:$S$101,2,FALSE))</f>
        <v/>
      </c>
      <c r="H3395" s="1" t="str">
        <f>IF(Table2[[#This Row],[Description]]="","",VLOOKUP(Table2[[#This Row],[Description]],$Q$1:$S$101,3,FALSE))</f>
        <v/>
      </c>
      <c r="I3395" s="1" t="str">
        <f>IF(Table2[[#This Row],[Description]]="","",IF(Table2[[#This Row],[Currency]]=$O$2,$P$2,HLOOKUP(Table2[[#This Row],[Date]],Funds!$C$10:$GV$11,2,FALSE)))</f>
        <v/>
      </c>
      <c r="J3395" s="215" t="str">
        <f>IF(Table2[[#This Row],[Description]]="","",Table2[[#This Row],[Value]]/Table2[[#This Row],[Conversion]])</f>
        <v/>
      </c>
      <c r="K3395" s="45" t="str">
        <f>IF(Table2[[#This Row],[Description]]="","",DATE(Table2[[#This Row],[Year]],Table2[[#This Row],[Month]],1))</f>
        <v/>
      </c>
    </row>
    <row r="3396" spans="7:11" x14ac:dyDescent="0.25">
      <c r="G3396" s="1" t="str">
        <f>IF(Table2[[#This Row],[Description]]="","",VLOOKUP(Table2[[#This Row],[Description]],$Q$1:$S$101,2,FALSE))</f>
        <v/>
      </c>
      <c r="H3396" s="1" t="str">
        <f>IF(Table2[[#This Row],[Description]]="","",VLOOKUP(Table2[[#This Row],[Description]],$Q$1:$S$101,3,FALSE))</f>
        <v/>
      </c>
      <c r="I3396" s="1" t="str">
        <f>IF(Table2[[#This Row],[Description]]="","",IF(Table2[[#This Row],[Currency]]=$O$2,$P$2,HLOOKUP(Table2[[#This Row],[Date]],Funds!$C$10:$GV$11,2,FALSE)))</f>
        <v/>
      </c>
      <c r="J3396" s="215" t="str">
        <f>IF(Table2[[#This Row],[Description]]="","",Table2[[#This Row],[Value]]/Table2[[#This Row],[Conversion]])</f>
        <v/>
      </c>
      <c r="K3396" s="45" t="str">
        <f>IF(Table2[[#This Row],[Description]]="","",DATE(Table2[[#This Row],[Year]],Table2[[#This Row],[Month]],1))</f>
        <v/>
      </c>
    </row>
    <row r="3397" spans="7:11" x14ac:dyDescent="0.25">
      <c r="G3397" s="1" t="str">
        <f>IF(Table2[[#This Row],[Description]]="","",VLOOKUP(Table2[[#This Row],[Description]],$Q$1:$S$101,2,FALSE))</f>
        <v/>
      </c>
      <c r="H3397" s="1" t="str">
        <f>IF(Table2[[#This Row],[Description]]="","",VLOOKUP(Table2[[#This Row],[Description]],$Q$1:$S$101,3,FALSE))</f>
        <v/>
      </c>
      <c r="I3397" s="1" t="str">
        <f>IF(Table2[[#This Row],[Description]]="","",IF(Table2[[#This Row],[Currency]]=$O$2,$P$2,HLOOKUP(Table2[[#This Row],[Date]],Funds!$C$10:$GV$11,2,FALSE)))</f>
        <v/>
      </c>
      <c r="J3397" s="215" t="str">
        <f>IF(Table2[[#This Row],[Description]]="","",Table2[[#This Row],[Value]]/Table2[[#This Row],[Conversion]])</f>
        <v/>
      </c>
      <c r="K3397" s="45" t="str">
        <f>IF(Table2[[#This Row],[Description]]="","",DATE(Table2[[#This Row],[Year]],Table2[[#This Row],[Month]],1))</f>
        <v/>
      </c>
    </row>
    <row r="3398" spans="7:11" x14ac:dyDescent="0.25">
      <c r="G3398" s="1" t="str">
        <f>IF(Table2[[#This Row],[Description]]="","",VLOOKUP(Table2[[#This Row],[Description]],$Q$1:$S$101,2,FALSE))</f>
        <v/>
      </c>
      <c r="H3398" s="1" t="str">
        <f>IF(Table2[[#This Row],[Description]]="","",VLOOKUP(Table2[[#This Row],[Description]],$Q$1:$S$101,3,FALSE))</f>
        <v/>
      </c>
      <c r="I3398" s="1" t="str">
        <f>IF(Table2[[#This Row],[Description]]="","",IF(Table2[[#This Row],[Currency]]=$O$2,$P$2,HLOOKUP(Table2[[#This Row],[Date]],Funds!$C$10:$GV$11,2,FALSE)))</f>
        <v/>
      </c>
      <c r="J3398" s="215" t="str">
        <f>IF(Table2[[#This Row],[Description]]="","",Table2[[#This Row],[Value]]/Table2[[#This Row],[Conversion]])</f>
        <v/>
      </c>
      <c r="K3398" s="45" t="str">
        <f>IF(Table2[[#This Row],[Description]]="","",DATE(Table2[[#This Row],[Year]],Table2[[#This Row],[Month]],1))</f>
        <v/>
      </c>
    </row>
    <row r="3399" spans="7:11" x14ac:dyDescent="0.25">
      <c r="G3399" s="1" t="str">
        <f>IF(Table2[[#This Row],[Description]]="","",VLOOKUP(Table2[[#This Row],[Description]],$Q$1:$S$101,2,FALSE))</f>
        <v/>
      </c>
      <c r="H3399" s="1" t="str">
        <f>IF(Table2[[#This Row],[Description]]="","",VLOOKUP(Table2[[#This Row],[Description]],$Q$1:$S$101,3,FALSE))</f>
        <v/>
      </c>
      <c r="I3399" s="1" t="str">
        <f>IF(Table2[[#This Row],[Description]]="","",IF(Table2[[#This Row],[Currency]]=$O$2,$P$2,HLOOKUP(Table2[[#This Row],[Date]],Funds!$C$10:$GV$11,2,FALSE)))</f>
        <v/>
      </c>
      <c r="J3399" s="215" t="str">
        <f>IF(Table2[[#This Row],[Description]]="","",Table2[[#This Row],[Value]]/Table2[[#This Row],[Conversion]])</f>
        <v/>
      </c>
      <c r="K3399" s="45" t="str">
        <f>IF(Table2[[#This Row],[Description]]="","",DATE(Table2[[#This Row],[Year]],Table2[[#This Row],[Month]],1))</f>
        <v/>
      </c>
    </row>
    <row r="3400" spans="7:11" x14ac:dyDescent="0.25">
      <c r="G3400" s="1" t="str">
        <f>IF(Table2[[#This Row],[Description]]="","",VLOOKUP(Table2[[#This Row],[Description]],$Q$1:$S$101,2,FALSE))</f>
        <v/>
      </c>
      <c r="H3400" s="1" t="str">
        <f>IF(Table2[[#This Row],[Description]]="","",VLOOKUP(Table2[[#This Row],[Description]],$Q$1:$S$101,3,FALSE))</f>
        <v/>
      </c>
      <c r="I3400" s="1" t="str">
        <f>IF(Table2[[#This Row],[Description]]="","",IF(Table2[[#This Row],[Currency]]=$O$2,$P$2,HLOOKUP(Table2[[#This Row],[Date]],Funds!$C$10:$GV$11,2,FALSE)))</f>
        <v/>
      </c>
      <c r="J3400" s="215" t="str">
        <f>IF(Table2[[#This Row],[Description]]="","",Table2[[#This Row],[Value]]/Table2[[#This Row],[Conversion]])</f>
        <v/>
      </c>
      <c r="K3400" s="45" t="str">
        <f>IF(Table2[[#This Row],[Description]]="","",DATE(Table2[[#This Row],[Year]],Table2[[#This Row],[Month]],1))</f>
        <v/>
      </c>
    </row>
    <row r="3401" spans="7:11" x14ac:dyDescent="0.25">
      <c r="G3401" s="1" t="str">
        <f>IF(Table2[[#This Row],[Description]]="","",VLOOKUP(Table2[[#This Row],[Description]],$Q$1:$S$101,2,FALSE))</f>
        <v/>
      </c>
      <c r="H3401" s="1" t="str">
        <f>IF(Table2[[#This Row],[Description]]="","",VLOOKUP(Table2[[#This Row],[Description]],$Q$1:$S$101,3,FALSE))</f>
        <v/>
      </c>
      <c r="I3401" s="1" t="str">
        <f>IF(Table2[[#This Row],[Description]]="","",IF(Table2[[#This Row],[Currency]]=$O$2,$P$2,HLOOKUP(Table2[[#This Row],[Date]],Funds!$C$10:$GV$11,2,FALSE)))</f>
        <v/>
      </c>
      <c r="J3401" s="215" t="str">
        <f>IF(Table2[[#This Row],[Description]]="","",Table2[[#This Row],[Value]]/Table2[[#This Row],[Conversion]])</f>
        <v/>
      </c>
      <c r="K3401" s="45" t="str">
        <f>IF(Table2[[#This Row],[Description]]="","",DATE(Table2[[#This Row],[Year]],Table2[[#This Row],[Month]],1))</f>
        <v/>
      </c>
    </row>
    <row r="3402" spans="7:11" x14ac:dyDescent="0.25">
      <c r="G3402" s="1" t="str">
        <f>IF(Table2[[#This Row],[Description]]="","",VLOOKUP(Table2[[#This Row],[Description]],$Q$1:$S$101,2,FALSE))</f>
        <v/>
      </c>
      <c r="H3402" s="1" t="str">
        <f>IF(Table2[[#This Row],[Description]]="","",VLOOKUP(Table2[[#This Row],[Description]],$Q$1:$S$101,3,FALSE))</f>
        <v/>
      </c>
      <c r="I3402" s="1" t="str">
        <f>IF(Table2[[#This Row],[Description]]="","",IF(Table2[[#This Row],[Currency]]=$O$2,$P$2,HLOOKUP(Table2[[#This Row],[Date]],Funds!$C$10:$GV$11,2,FALSE)))</f>
        <v/>
      </c>
      <c r="J3402" s="215" t="str">
        <f>IF(Table2[[#This Row],[Description]]="","",Table2[[#This Row],[Value]]/Table2[[#This Row],[Conversion]])</f>
        <v/>
      </c>
      <c r="K3402" s="45" t="str">
        <f>IF(Table2[[#This Row],[Description]]="","",DATE(Table2[[#This Row],[Year]],Table2[[#This Row],[Month]],1))</f>
        <v/>
      </c>
    </row>
    <row r="3403" spans="7:11" x14ac:dyDescent="0.25">
      <c r="G3403" s="1" t="str">
        <f>IF(Table2[[#This Row],[Description]]="","",VLOOKUP(Table2[[#This Row],[Description]],$Q$1:$S$101,2,FALSE))</f>
        <v/>
      </c>
      <c r="H3403" s="1" t="str">
        <f>IF(Table2[[#This Row],[Description]]="","",VLOOKUP(Table2[[#This Row],[Description]],$Q$1:$S$101,3,FALSE))</f>
        <v/>
      </c>
      <c r="I3403" s="1" t="str">
        <f>IF(Table2[[#This Row],[Description]]="","",IF(Table2[[#This Row],[Currency]]=$O$2,$P$2,HLOOKUP(Table2[[#This Row],[Date]],Funds!$C$10:$GV$11,2,FALSE)))</f>
        <v/>
      </c>
      <c r="J3403" s="215" t="str">
        <f>IF(Table2[[#This Row],[Description]]="","",Table2[[#This Row],[Value]]/Table2[[#This Row],[Conversion]])</f>
        <v/>
      </c>
      <c r="K3403" s="45" t="str">
        <f>IF(Table2[[#This Row],[Description]]="","",DATE(Table2[[#This Row],[Year]],Table2[[#This Row],[Month]],1))</f>
        <v/>
      </c>
    </row>
    <row r="3404" spans="7:11" x14ac:dyDescent="0.25">
      <c r="G3404" s="1" t="str">
        <f>IF(Table2[[#This Row],[Description]]="","",VLOOKUP(Table2[[#This Row],[Description]],$Q$1:$S$101,2,FALSE))</f>
        <v/>
      </c>
      <c r="H3404" s="1" t="str">
        <f>IF(Table2[[#This Row],[Description]]="","",VLOOKUP(Table2[[#This Row],[Description]],$Q$1:$S$101,3,FALSE))</f>
        <v/>
      </c>
      <c r="I3404" s="1" t="str">
        <f>IF(Table2[[#This Row],[Description]]="","",IF(Table2[[#This Row],[Currency]]=$O$2,$P$2,HLOOKUP(Table2[[#This Row],[Date]],Funds!$C$10:$GV$11,2,FALSE)))</f>
        <v/>
      </c>
      <c r="J3404" s="215" t="str">
        <f>IF(Table2[[#This Row],[Description]]="","",Table2[[#This Row],[Value]]/Table2[[#This Row],[Conversion]])</f>
        <v/>
      </c>
      <c r="K3404" s="45" t="str">
        <f>IF(Table2[[#This Row],[Description]]="","",DATE(Table2[[#This Row],[Year]],Table2[[#This Row],[Month]],1))</f>
        <v/>
      </c>
    </row>
    <row r="3405" spans="7:11" x14ac:dyDescent="0.25">
      <c r="G3405" s="1" t="str">
        <f>IF(Table2[[#This Row],[Description]]="","",VLOOKUP(Table2[[#This Row],[Description]],$Q$1:$S$101,2,FALSE))</f>
        <v/>
      </c>
      <c r="H3405" s="1" t="str">
        <f>IF(Table2[[#This Row],[Description]]="","",VLOOKUP(Table2[[#This Row],[Description]],$Q$1:$S$101,3,FALSE))</f>
        <v/>
      </c>
      <c r="I3405" s="1" t="str">
        <f>IF(Table2[[#This Row],[Description]]="","",IF(Table2[[#This Row],[Currency]]=$O$2,$P$2,HLOOKUP(Table2[[#This Row],[Date]],Funds!$C$10:$GV$11,2,FALSE)))</f>
        <v/>
      </c>
      <c r="J3405" s="215" t="str">
        <f>IF(Table2[[#This Row],[Description]]="","",Table2[[#This Row],[Value]]/Table2[[#This Row],[Conversion]])</f>
        <v/>
      </c>
      <c r="K3405" s="45" t="str">
        <f>IF(Table2[[#This Row],[Description]]="","",DATE(Table2[[#This Row],[Year]],Table2[[#This Row],[Month]],1))</f>
        <v/>
      </c>
    </row>
    <row r="3406" spans="7:11" x14ac:dyDescent="0.25">
      <c r="G3406" s="1" t="str">
        <f>IF(Table2[[#This Row],[Description]]="","",VLOOKUP(Table2[[#This Row],[Description]],$Q$1:$S$101,2,FALSE))</f>
        <v/>
      </c>
      <c r="H3406" s="1" t="str">
        <f>IF(Table2[[#This Row],[Description]]="","",VLOOKUP(Table2[[#This Row],[Description]],$Q$1:$S$101,3,FALSE))</f>
        <v/>
      </c>
      <c r="I3406" s="1" t="str">
        <f>IF(Table2[[#This Row],[Description]]="","",IF(Table2[[#This Row],[Currency]]=$O$2,$P$2,HLOOKUP(Table2[[#This Row],[Date]],Funds!$C$10:$GV$11,2,FALSE)))</f>
        <v/>
      </c>
      <c r="J3406" s="215" t="str">
        <f>IF(Table2[[#This Row],[Description]]="","",Table2[[#This Row],[Value]]/Table2[[#This Row],[Conversion]])</f>
        <v/>
      </c>
      <c r="K3406" s="45" t="str">
        <f>IF(Table2[[#This Row],[Description]]="","",DATE(Table2[[#This Row],[Year]],Table2[[#This Row],[Month]],1))</f>
        <v/>
      </c>
    </row>
    <row r="3407" spans="7:11" x14ac:dyDescent="0.25">
      <c r="G3407" s="1" t="str">
        <f>IF(Table2[[#This Row],[Description]]="","",VLOOKUP(Table2[[#This Row],[Description]],$Q$1:$S$101,2,FALSE))</f>
        <v/>
      </c>
      <c r="H3407" s="1" t="str">
        <f>IF(Table2[[#This Row],[Description]]="","",VLOOKUP(Table2[[#This Row],[Description]],$Q$1:$S$101,3,FALSE))</f>
        <v/>
      </c>
      <c r="I3407" s="1" t="str">
        <f>IF(Table2[[#This Row],[Description]]="","",IF(Table2[[#This Row],[Currency]]=$O$2,$P$2,HLOOKUP(Table2[[#This Row],[Date]],Funds!$C$10:$GV$11,2,FALSE)))</f>
        <v/>
      </c>
      <c r="J3407" s="215" t="str">
        <f>IF(Table2[[#This Row],[Description]]="","",Table2[[#This Row],[Value]]/Table2[[#This Row],[Conversion]])</f>
        <v/>
      </c>
      <c r="K3407" s="45" t="str">
        <f>IF(Table2[[#This Row],[Description]]="","",DATE(Table2[[#This Row],[Year]],Table2[[#This Row],[Month]],1))</f>
        <v/>
      </c>
    </row>
    <row r="3408" spans="7:11" x14ac:dyDescent="0.25">
      <c r="G3408" s="1" t="str">
        <f>IF(Table2[[#This Row],[Description]]="","",VLOOKUP(Table2[[#This Row],[Description]],$Q$1:$S$101,2,FALSE))</f>
        <v/>
      </c>
      <c r="H3408" s="1" t="str">
        <f>IF(Table2[[#This Row],[Description]]="","",VLOOKUP(Table2[[#This Row],[Description]],$Q$1:$S$101,3,FALSE))</f>
        <v/>
      </c>
      <c r="I3408" s="1" t="str">
        <f>IF(Table2[[#This Row],[Description]]="","",IF(Table2[[#This Row],[Currency]]=$O$2,$P$2,HLOOKUP(Table2[[#This Row],[Date]],Funds!$C$10:$GV$11,2,FALSE)))</f>
        <v/>
      </c>
      <c r="J3408" s="215" t="str">
        <f>IF(Table2[[#This Row],[Description]]="","",Table2[[#This Row],[Value]]/Table2[[#This Row],[Conversion]])</f>
        <v/>
      </c>
      <c r="K3408" s="45" t="str">
        <f>IF(Table2[[#This Row],[Description]]="","",DATE(Table2[[#This Row],[Year]],Table2[[#This Row],[Month]],1))</f>
        <v/>
      </c>
    </row>
    <row r="3409" spans="7:11" x14ac:dyDescent="0.25">
      <c r="G3409" s="1" t="str">
        <f>IF(Table2[[#This Row],[Description]]="","",VLOOKUP(Table2[[#This Row],[Description]],$Q$1:$S$101,2,FALSE))</f>
        <v/>
      </c>
      <c r="H3409" s="1" t="str">
        <f>IF(Table2[[#This Row],[Description]]="","",VLOOKUP(Table2[[#This Row],[Description]],$Q$1:$S$101,3,FALSE))</f>
        <v/>
      </c>
      <c r="I3409" s="1" t="str">
        <f>IF(Table2[[#This Row],[Description]]="","",IF(Table2[[#This Row],[Currency]]=$O$2,$P$2,HLOOKUP(Table2[[#This Row],[Date]],Funds!$C$10:$GV$11,2,FALSE)))</f>
        <v/>
      </c>
      <c r="J3409" s="215" t="str">
        <f>IF(Table2[[#This Row],[Description]]="","",Table2[[#This Row],[Value]]/Table2[[#This Row],[Conversion]])</f>
        <v/>
      </c>
      <c r="K3409" s="45" t="str">
        <f>IF(Table2[[#This Row],[Description]]="","",DATE(Table2[[#This Row],[Year]],Table2[[#This Row],[Month]],1))</f>
        <v/>
      </c>
    </row>
    <row r="3410" spans="7:11" x14ac:dyDescent="0.25">
      <c r="G3410" s="1" t="str">
        <f>IF(Table2[[#This Row],[Description]]="","",VLOOKUP(Table2[[#This Row],[Description]],$Q$1:$S$101,2,FALSE))</f>
        <v/>
      </c>
      <c r="H3410" s="1" t="str">
        <f>IF(Table2[[#This Row],[Description]]="","",VLOOKUP(Table2[[#This Row],[Description]],$Q$1:$S$101,3,FALSE))</f>
        <v/>
      </c>
      <c r="I3410" s="1" t="str">
        <f>IF(Table2[[#This Row],[Description]]="","",IF(Table2[[#This Row],[Currency]]=$O$2,$P$2,HLOOKUP(Table2[[#This Row],[Date]],Funds!$C$10:$GV$11,2,FALSE)))</f>
        <v/>
      </c>
      <c r="J3410" s="215" t="str">
        <f>IF(Table2[[#This Row],[Description]]="","",Table2[[#This Row],[Value]]/Table2[[#This Row],[Conversion]])</f>
        <v/>
      </c>
      <c r="K3410" s="45" t="str">
        <f>IF(Table2[[#This Row],[Description]]="","",DATE(Table2[[#This Row],[Year]],Table2[[#This Row],[Month]],1))</f>
        <v/>
      </c>
    </row>
    <row r="3411" spans="7:11" x14ac:dyDescent="0.25">
      <c r="G3411" s="1" t="str">
        <f>IF(Table2[[#This Row],[Description]]="","",VLOOKUP(Table2[[#This Row],[Description]],$Q$1:$S$101,2,FALSE))</f>
        <v/>
      </c>
      <c r="H3411" s="1" t="str">
        <f>IF(Table2[[#This Row],[Description]]="","",VLOOKUP(Table2[[#This Row],[Description]],$Q$1:$S$101,3,FALSE))</f>
        <v/>
      </c>
      <c r="I3411" s="1" t="str">
        <f>IF(Table2[[#This Row],[Description]]="","",IF(Table2[[#This Row],[Currency]]=$O$2,$P$2,HLOOKUP(Table2[[#This Row],[Date]],Funds!$C$10:$GV$11,2,FALSE)))</f>
        <v/>
      </c>
      <c r="J3411" s="215" t="str">
        <f>IF(Table2[[#This Row],[Description]]="","",Table2[[#This Row],[Value]]/Table2[[#This Row],[Conversion]])</f>
        <v/>
      </c>
      <c r="K3411" s="45" t="str">
        <f>IF(Table2[[#This Row],[Description]]="","",DATE(Table2[[#This Row],[Year]],Table2[[#This Row],[Month]],1))</f>
        <v/>
      </c>
    </row>
    <row r="3412" spans="7:11" x14ac:dyDescent="0.25">
      <c r="G3412" s="1" t="str">
        <f>IF(Table2[[#This Row],[Description]]="","",VLOOKUP(Table2[[#This Row],[Description]],$Q$1:$S$101,2,FALSE))</f>
        <v/>
      </c>
      <c r="H3412" s="1" t="str">
        <f>IF(Table2[[#This Row],[Description]]="","",VLOOKUP(Table2[[#This Row],[Description]],$Q$1:$S$101,3,FALSE))</f>
        <v/>
      </c>
      <c r="I3412" s="1" t="str">
        <f>IF(Table2[[#This Row],[Description]]="","",IF(Table2[[#This Row],[Currency]]=$O$2,$P$2,HLOOKUP(Table2[[#This Row],[Date]],Funds!$C$10:$GV$11,2,FALSE)))</f>
        <v/>
      </c>
      <c r="J3412" s="215" t="str">
        <f>IF(Table2[[#This Row],[Description]]="","",Table2[[#This Row],[Value]]/Table2[[#This Row],[Conversion]])</f>
        <v/>
      </c>
      <c r="K3412" s="45" t="str">
        <f>IF(Table2[[#This Row],[Description]]="","",DATE(Table2[[#This Row],[Year]],Table2[[#This Row],[Month]],1))</f>
        <v/>
      </c>
    </row>
    <row r="3413" spans="7:11" x14ac:dyDescent="0.25">
      <c r="G3413" s="1" t="str">
        <f>IF(Table2[[#This Row],[Description]]="","",VLOOKUP(Table2[[#This Row],[Description]],$Q$1:$S$101,2,FALSE))</f>
        <v/>
      </c>
      <c r="H3413" s="1" t="str">
        <f>IF(Table2[[#This Row],[Description]]="","",VLOOKUP(Table2[[#This Row],[Description]],$Q$1:$S$101,3,FALSE))</f>
        <v/>
      </c>
      <c r="I3413" s="1" t="str">
        <f>IF(Table2[[#This Row],[Description]]="","",IF(Table2[[#This Row],[Currency]]=$O$2,$P$2,HLOOKUP(Table2[[#This Row],[Date]],Funds!$C$10:$GV$11,2,FALSE)))</f>
        <v/>
      </c>
      <c r="J3413" s="215" t="str">
        <f>IF(Table2[[#This Row],[Description]]="","",Table2[[#This Row],[Value]]/Table2[[#This Row],[Conversion]])</f>
        <v/>
      </c>
      <c r="K3413" s="45" t="str">
        <f>IF(Table2[[#This Row],[Description]]="","",DATE(Table2[[#This Row],[Year]],Table2[[#This Row],[Month]],1))</f>
        <v/>
      </c>
    </row>
    <row r="3414" spans="7:11" x14ac:dyDescent="0.25">
      <c r="G3414" s="1" t="str">
        <f>IF(Table2[[#This Row],[Description]]="","",VLOOKUP(Table2[[#This Row],[Description]],$Q$1:$S$101,2,FALSE))</f>
        <v/>
      </c>
      <c r="H3414" s="1" t="str">
        <f>IF(Table2[[#This Row],[Description]]="","",VLOOKUP(Table2[[#This Row],[Description]],$Q$1:$S$101,3,FALSE))</f>
        <v/>
      </c>
      <c r="I3414" s="1" t="str">
        <f>IF(Table2[[#This Row],[Description]]="","",IF(Table2[[#This Row],[Currency]]=$O$2,$P$2,HLOOKUP(Table2[[#This Row],[Date]],Funds!$C$10:$GV$11,2,FALSE)))</f>
        <v/>
      </c>
      <c r="J3414" s="215" t="str">
        <f>IF(Table2[[#This Row],[Description]]="","",Table2[[#This Row],[Value]]/Table2[[#This Row],[Conversion]])</f>
        <v/>
      </c>
      <c r="K3414" s="45" t="str">
        <f>IF(Table2[[#This Row],[Description]]="","",DATE(Table2[[#This Row],[Year]],Table2[[#This Row],[Month]],1))</f>
        <v/>
      </c>
    </row>
    <row r="3415" spans="7:11" x14ac:dyDescent="0.25">
      <c r="G3415" s="1" t="str">
        <f>IF(Table2[[#This Row],[Description]]="","",VLOOKUP(Table2[[#This Row],[Description]],$Q$1:$S$101,2,FALSE))</f>
        <v/>
      </c>
      <c r="H3415" s="1" t="str">
        <f>IF(Table2[[#This Row],[Description]]="","",VLOOKUP(Table2[[#This Row],[Description]],$Q$1:$S$101,3,FALSE))</f>
        <v/>
      </c>
      <c r="I3415" s="1" t="str">
        <f>IF(Table2[[#This Row],[Description]]="","",IF(Table2[[#This Row],[Currency]]=$O$2,$P$2,HLOOKUP(Table2[[#This Row],[Date]],Funds!$C$10:$GV$11,2,FALSE)))</f>
        <v/>
      </c>
      <c r="J3415" s="215" t="str">
        <f>IF(Table2[[#This Row],[Description]]="","",Table2[[#This Row],[Value]]/Table2[[#This Row],[Conversion]])</f>
        <v/>
      </c>
      <c r="K3415" s="45" t="str">
        <f>IF(Table2[[#This Row],[Description]]="","",DATE(Table2[[#This Row],[Year]],Table2[[#This Row],[Month]],1))</f>
        <v/>
      </c>
    </row>
    <row r="3416" spans="7:11" x14ac:dyDescent="0.25">
      <c r="G3416" s="1" t="str">
        <f>IF(Table2[[#This Row],[Description]]="","",VLOOKUP(Table2[[#This Row],[Description]],$Q$1:$S$101,2,FALSE))</f>
        <v/>
      </c>
      <c r="H3416" s="1" t="str">
        <f>IF(Table2[[#This Row],[Description]]="","",VLOOKUP(Table2[[#This Row],[Description]],$Q$1:$S$101,3,FALSE))</f>
        <v/>
      </c>
      <c r="I3416" s="1" t="str">
        <f>IF(Table2[[#This Row],[Description]]="","",IF(Table2[[#This Row],[Currency]]=$O$2,$P$2,HLOOKUP(Table2[[#This Row],[Date]],Funds!$C$10:$GV$11,2,FALSE)))</f>
        <v/>
      </c>
      <c r="J3416" s="215" t="str">
        <f>IF(Table2[[#This Row],[Description]]="","",Table2[[#This Row],[Value]]/Table2[[#This Row],[Conversion]])</f>
        <v/>
      </c>
      <c r="K3416" s="45" t="str">
        <f>IF(Table2[[#This Row],[Description]]="","",DATE(Table2[[#This Row],[Year]],Table2[[#This Row],[Month]],1))</f>
        <v/>
      </c>
    </row>
    <row r="3417" spans="7:11" x14ac:dyDescent="0.25">
      <c r="G3417" s="1" t="str">
        <f>IF(Table2[[#This Row],[Description]]="","",VLOOKUP(Table2[[#This Row],[Description]],$Q$1:$S$101,2,FALSE))</f>
        <v/>
      </c>
      <c r="H3417" s="1" t="str">
        <f>IF(Table2[[#This Row],[Description]]="","",VLOOKUP(Table2[[#This Row],[Description]],$Q$1:$S$101,3,FALSE))</f>
        <v/>
      </c>
      <c r="I3417" s="1" t="str">
        <f>IF(Table2[[#This Row],[Description]]="","",IF(Table2[[#This Row],[Currency]]=$O$2,$P$2,HLOOKUP(Table2[[#This Row],[Date]],Funds!$C$10:$GV$11,2,FALSE)))</f>
        <v/>
      </c>
      <c r="J3417" s="215" t="str">
        <f>IF(Table2[[#This Row],[Description]]="","",Table2[[#This Row],[Value]]/Table2[[#This Row],[Conversion]])</f>
        <v/>
      </c>
      <c r="K3417" s="45" t="str">
        <f>IF(Table2[[#This Row],[Description]]="","",DATE(Table2[[#This Row],[Year]],Table2[[#This Row],[Month]],1))</f>
        <v/>
      </c>
    </row>
    <row r="3418" spans="7:11" x14ac:dyDescent="0.25">
      <c r="G3418" s="1" t="str">
        <f>IF(Table2[[#This Row],[Description]]="","",VLOOKUP(Table2[[#This Row],[Description]],$Q$1:$S$101,2,FALSE))</f>
        <v/>
      </c>
      <c r="H3418" s="1" t="str">
        <f>IF(Table2[[#This Row],[Description]]="","",VLOOKUP(Table2[[#This Row],[Description]],$Q$1:$S$101,3,FALSE))</f>
        <v/>
      </c>
      <c r="I3418" s="1" t="str">
        <f>IF(Table2[[#This Row],[Description]]="","",IF(Table2[[#This Row],[Currency]]=$O$2,$P$2,HLOOKUP(Table2[[#This Row],[Date]],Funds!$C$10:$GV$11,2,FALSE)))</f>
        <v/>
      </c>
      <c r="J3418" s="215" t="str">
        <f>IF(Table2[[#This Row],[Description]]="","",Table2[[#This Row],[Value]]/Table2[[#This Row],[Conversion]])</f>
        <v/>
      </c>
      <c r="K3418" s="45" t="str">
        <f>IF(Table2[[#This Row],[Description]]="","",DATE(Table2[[#This Row],[Year]],Table2[[#This Row],[Month]],1))</f>
        <v/>
      </c>
    </row>
    <row r="3419" spans="7:11" x14ac:dyDescent="0.25">
      <c r="G3419" s="1" t="str">
        <f>IF(Table2[[#This Row],[Description]]="","",VLOOKUP(Table2[[#This Row],[Description]],$Q$1:$S$101,2,FALSE))</f>
        <v/>
      </c>
      <c r="H3419" s="1" t="str">
        <f>IF(Table2[[#This Row],[Description]]="","",VLOOKUP(Table2[[#This Row],[Description]],$Q$1:$S$101,3,FALSE))</f>
        <v/>
      </c>
      <c r="I3419" s="1" t="str">
        <f>IF(Table2[[#This Row],[Description]]="","",IF(Table2[[#This Row],[Currency]]=$O$2,$P$2,HLOOKUP(Table2[[#This Row],[Date]],Funds!$C$10:$GV$11,2,FALSE)))</f>
        <v/>
      </c>
      <c r="J3419" s="215" t="str">
        <f>IF(Table2[[#This Row],[Description]]="","",Table2[[#This Row],[Value]]/Table2[[#This Row],[Conversion]])</f>
        <v/>
      </c>
      <c r="K3419" s="45" t="str">
        <f>IF(Table2[[#This Row],[Description]]="","",DATE(Table2[[#This Row],[Year]],Table2[[#This Row],[Month]],1))</f>
        <v/>
      </c>
    </row>
    <row r="3420" spans="7:11" x14ac:dyDescent="0.25">
      <c r="G3420" s="1" t="str">
        <f>IF(Table2[[#This Row],[Description]]="","",VLOOKUP(Table2[[#This Row],[Description]],$Q$1:$S$101,2,FALSE))</f>
        <v/>
      </c>
      <c r="H3420" s="1" t="str">
        <f>IF(Table2[[#This Row],[Description]]="","",VLOOKUP(Table2[[#This Row],[Description]],$Q$1:$S$101,3,FALSE))</f>
        <v/>
      </c>
      <c r="I3420" s="1" t="str">
        <f>IF(Table2[[#This Row],[Description]]="","",IF(Table2[[#This Row],[Currency]]=$O$2,$P$2,HLOOKUP(Table2[[#This Row],[Date]],Funds!$C$10:$GV$11,2,FALSE)))</f>
        <v/>
      </c>
      <c r="J3420" s="215" t="str">
        <f>IF(Table2[[#This Row],[Description]]="","",Table2[[#This Row],[Value]]/Table2[[#This Row],[Conversion]])</f>
        <v/>
      </c>
      <c r="K3420" s="45" t="str">
        <f>IF(Table2[[#This Row],[Description]]="","",DATE(Table2[[#This Row],[Year]],Table2[[#This Row],[Month]],1))</f>
        <v/>
      </c>
    </row>
    <row r="3421" spans="7:11" x14ac:dyDescent="0.25">
      <c r="G3421" s="1" t="str">
        <f>IF(Table2[[#This Row],[Description]]="","",VLOOKUP(Table2[[#This Row],[Description]],$Q$1:$S$101,2,FALSE))</f>
        <v/>
      </c>
      <c r="H3421" s="1" t="str">
        <f>IF(Table2[[#This Row],[Description]]="","",VLOOKUP(Table2[[#This Row],[Description]],$Q$1:$S$101,3,FALSE))</f>
        <v/>
      </c>
      <c r="I3421" s="1" t="str">
        <f>IF(Table2[[#This Row],[Description]]="","",IF(Table2[[#This Row],[Currency]]=$O$2,$P$2,HLOOKUP(Table2[[#This Row],[Date]],Funds!$C$10:$GV$11,2,FALSE)))</f>
        <v/>
      </c>
      <c r="J3421" s="215" t="str">
        <f>IF(Table2[[#This Row],[Description]]="","",Table2[[#This Row],[Value]]/Table2[[#This Row],[Conversion]])</f>
        <v/>
      </c>
      <c r="K3421" s="45" t="str">
        <f>IF(Table2[[#This Row],[Description]]="","",DATE(Table2[[#This Row],[Year]],Table2[[#This Row],[Month]],1))</f>
        <v/>
      </c>
    </row>
    <row r="3422" spans="7:11" x14ac:dyDescent="0.25">
      <c r="G3422" s="1" t="str">
        <f>IF(Table2[[#This Row],[Description]]="","",VLOOKUP(Table2[[#This Row],[Description]],$Q$1:$S$101,2,FALSE))</f>
        <v/>
      </c>
      <c r="H3422" s="1" t="str">
        <f>IF(Table2[[#This Row],[Description]]="","",VLOOKUP(Table2[[#This Row],[Description]],$Q$1:$S$101,3,FALSE))</f>
        <v/>
      </c>
      <c r="I3422" s="1" t="str">
        <f>IF(Table2[[#This Row],[Description]]="","",IF(Table2[[#This Row],[Currency]]=$O$2,$P$2,HLOOKUP(Table2[[#This Row],[Date]],Funds!$C$10:$GV$11,2,FALSE)))</f>
        <v/>
      </c>
      <c r="J3422" s="215" t="str">
        <f>IF(Table2[[#This Row],[Description]]="","",Table2[[#This Row],[Value]]/Table2[[#This Row],[Conversion]])</f>
        <v/>
      </c>
      <c r="K3422" s="45" t="str">
        <f>IF(Table2[[#This Row],[Description]]="","",DATE(Table2[[#This Row],[Year]],Table2[[#This Row],[Month]],1))</f>
        <v/>
      </c>
    </row>
    <row r="3423" spans="7:11" x14ac:dyDescent="0.25">
      <c r="G3423" s="1" t="str">
        <f>IF(Table2[[#This Row],[Description]]="","",VLOOKUP(Table2[[#This Row],[Description]],$Q$1:$S$101,2,FALSE))</f>
        <v/>
      </c>
      <c r="H3423" s="1" t="str">
        <f>IF(Table2[[#This Row],[Description]]="","",VLOOKUP(Table2[[#This Row],[Description]],$Q$1:$S$101,3,FALSE))</f>
        <v/>
      </c>
      <c r="I3423" s="1" t="str">
        <f>IF(Table2[[#This Row],[Description]]="","",IF(Table2[[#This Row],[Currency]]=$O$2,$P$2,HLOOKUP(Table2[[#This Row],[Date]],Funds!$C$10:$GV$11,2,FALSE)))</f>
        <v/>
      </c>
      <c r="J3423" s="215" t="str">
        <f>IF(Table2[[#This Row],[Description]]="","",Table2[[#This Row],[Value]]/Table2[[#This Row],[Conversion]])</f>
        <v/>
      </c>
      <c r="K3423" s="45" t="str">
        <f>IF(Table2[[#This Row],[Description]]="","",DATE(Table2[[#This Row],[Year]],Table2[[#This Row],[Month]],1))</f>
        <v/>
      </c>
    </row>
    <row r="3424" spans="7:11" x14ac:dyDescent="0.25">
      <c r="G3424" s="1" t="str">
        <f>IF(Table2[[#This Row],[Description]]="","",VLOOKUP(Table2[[#This Row],[Description]],$Q$1:$S$101,2,FALSE))</f>
        <v/>
      </c>
      <c r="H3424" s="1" t="str">
        <f>IF(Table2[[#This Row],[Description]]="","",VLOOKUP(Table2[[#This Row],[Description]],$Q$1:$S$101,3,FALSE))</f>
        <v/>
      </c>
      <c r="I3424" s="1" t="str">
        <f>IF(Table2[[#This Row],[Description]]="","",IF(Table2[[#This Row],[Currency]]=$O$2,$P$2,HLOOKUP(Table2[[#This Row],[Date]],Funds!$C$10:$GV$11,2,FALSE)))</f>
        <v/>
      </c>
      <c r="J3424" s="215" t="str">
        <f>IF(Table2[[#This Row],[Description]]="","",Table2[[#This Row],[Value]]/Table2[[#This Row],[Conversion]])</f>
        <v/>
      </c>
      <c r="K3424" s="45" t="str">
        <f>IF(Table2[[#This Row],[Description]]="","",DATE(Table2[[#This Row],[Year]],Table2[[#This Row],[Month]],1))</f>
        <v/>
      </c>
    </row>
    <row r="3425" spans="7:11" x14ac:dyDescent="0.25">
      <c r="G3425" s="1" t="str">
        <f>IF(Table2[[#This Row],[Description]]="","",VLOOKUP(Table2[[#This Row],[Description]],$Q$1:$S$101,2,FALSE))</f>
        <v/>
      </c>
      <c r="H3425" s="1" t="str">
        <f>IF(Table2[[#This Row],[Description]]="","",VLOOKUP(Table2[[#This Row],[Description]],$Q$1:$S$101,3,FALSE))</f>
        <v/>
      </c>
      <c r="I3425" s="1" t="str">
        <f>IF(Table2[[#This Row],[Description]]="","",IF(Table2[[#This Row],[Currency]]=$O$2,$P$2,HLOOKUP(Table2[[#This Row],[Date]],Funds!$C$10:$GV$11,2,FALSE)))</f>
        <v/>
      </c>
      <c r="J3425" s="215" t="str">
        <f>IF(Table2[[#This Row],[Description]]="","",Table2[[#This Row],[Value]]/Table2[[#This Row],[Conversion]])</f>
        <v/>
      </c>
      <c r="K3425" s="45" t="str">
        <f>IF(Table2[[#This Row],[Description]]="","",DATE(Table2[[#This Row],[Year]],Table2[[#This Row],[Month]],1))</f>
        <v/>
      </c>
    </row>
    <row r="3426" spans="7:11" x14ac:dyDescent="0.25">
      <c r="G3426" s="1" t="str">
        <f>IF(Table2[[#This Row],[Description]]="","",VLOOKUP(Table2[[#This Row],[Description]],$Q$1:$S$101,2,FALSE))</f>
        <v/>
      </c>
      <c r="H3426" s="1" t="str">
        <f>IF(Table2[[#This Row],[Description]]="","",VLOOKUP(Table2[[#This Row],[Description]],$Q$1:$S$101,3,FALSE))</f>
        <v/>
      </c>
      <c r="I3426" s="1" t="str">
        <f>IF(Table2[[#This Row],[Description]]="","",IF(Table2[[#This Row],[Currency]]=$O$2,$P$2,HLOOKUP(Table2[[#This Row],[Date]],Funds!$C$10:$GV$11,2,FALSE)))</f>
        <v/>
      </c>
      <c r="J3426" s="215" t="str">
        <f>IF(Table2[[#This Row],[Description]]="","",Table2[[#This Row],[Value]]/Table2[[#This Row],[Conversion]])</f>
        <v/>
      </c>
      <c r="K3426" s="45" t="str">
        <f>IF(Table2[[#This Row],[Description]]="","",DATE(Table2[[#This Row],[Year]],Table2[[#This Row],[Month]],1))</f>
        <v/>
      </c>
    </row>
    <row r="3427" spans="7:11" x14ac:dyDescent="0.25">
      <c r="G3427" s="1" t="str">
        <f>IF(Table2[[#This Row],[Description]]="","",VLOOKUP(Table2[[#This Row],[Description]],$Q$1:$S$101,2,FALSE))</f>
        <v/>
      </c>
      <c r="H3427" s="1" t="str">
        <f>IF(Table2[[#This Row],[Description]]="","",VLOOKUP(Table2[[#This Row],[Description]],$Q$1:$S$101,3,FALSE))</f>
        <v/>
      </c>
      <c r="I3427" s="1" t="str">
        <f>IF(Table2[[#This Row],[Description]]="","",IF(Table2[[#This Row],[Currency]]=$O$2,$P$2,HLOOKUP(Table2[[#This Row],[Date]],Funds!$C$10:$GV$11,2,FALSE)))</f>
        <v/>
      </c>
      <c r="J3427" s="215" t="str">
        <f>IF(Table2[[#This Row],[Description]]="","",Table2[[#This Row],[Value]]/Table2[[#This Row],[Conversion]])</f>
        <v/>
      </c>
      <c r="K3427" s="45" t="str">
        <f>IF(Table2[[#This Row],[Description]]="","",DATE(Table2[[#This Row],[Year]],Table2[[#This Row],[Month]],1))</f>
        <v/>
      </c>
    </row>
    <row r="3428" spans="7:11" x14ac:dyDescent="0.25">
      <c r="G3428" s="1" t="str">
        <f>IF(Table2[[#This Row],[Description]]="","",VLOOKUP(Table2[[#This Row],[Description]],$Q$1:$S$101,2,FALSE))</f>
        <v/>
      </c>
      <c r="H3428" s="1" t="str">
        <f>IF(Table2[[#This Row],[Description]]="","",VLOOKUP(Table2[[#This Row],[Description]],$Q$1:$S$101,3,FALSE))</f>
        <v/>
      </c>
      <c r="I3428" s="1" t="str">
        <f>IF(Table2[[#This Row],[Description]]="","",IF(Table2[[#This Row],[Currency]]=$O$2,$P$2,HLOOKUP(Table2[[#This Row],[Date]],Funds!$C$10:$GV$11,2,FALSE)))</f>
        <v/>
      </c>
      <c r="J3428" s="215" t="str">
        <f>IF(Table2[[#This Row],[Description]]="","",Table2[[#This Row],[Value]]/Table2[[#This Row],[Conversion]])</f>
        <v/>
      </c>
      <c r="K3428" s="45" t="str">
        <f>IF(Table2[[#This Row],[Description]]="","",DATE(Table2[[#This Row],[Year]],Table2[[#This Row],[Month]],1))</f>
        <v/>
      </c>
    </row>
    <row r="3429" spans="7:11" x14ac:dyDescent="0.25">
      <c r="G3429" s="1" t="str">
        <f>IF(Table2[[#This Row],[Description]]="","",VLOOKUP(Table2[[#This Row],[Description]],$Q$1:$S$101,2,FALSE))</f>
        <v/>
      </c>
      <c r="H3429" s="1" t="str">
        <f>IF(Table2[[#This Row],[Description]]="","",VLOOKUP(Table2[[#This Row],[Description]],$Q$1:$S$101,3,FALSE))</f>
        <v/>
      </c>
      <c r="I3429" s="1" t="str">
        <f>IF(Table2[[#This Row],[Description]]="","",IF(Table2[[#This Row],[Currency]]=$O$2,$P$2,HLOOKUP(Table2[[#This Row],[Date]],Funds!$C$10:$GV$11,2,FALSE)))</f>
        <v/>
      </c>
      <c r="J3429" s="215" t="str">
        <f>IF(Table2[[#This Row],[Description]]="","",Table2[[#This Row],[Value]]/Table2[[#This Row],[Conversion]])</f>
        <v/>
      </c>
      <c r="K3429" s="45" t="str">
        <f>IF(Table2[[#This Row],[Description]]="","",DATE(Table2[[#This Row],[Year]],Table2[[#This Row],[Month]],1))</f>
        <v/>
      </c>
    </row>
    <row r="3430" spans="7:11" x14ac:dyDescent="0.25">
      <c r="G3430" s="1" t="str">
        <f>IF(Table2[[#This Row],[Description]]="","",VLOOKUP(Table2[[#This Row],[Description]],$Q$1:$S$101,2,FALSE))</f>
        <v/>
      </c>
      <c r="H3430" s="1" t="str">
        <f>IF(Table2[[#This Row],[Description]]="","",VLOOKUP(Table2[[#This Row],[Description]],$Q$1:$S$101,3,FALSE))</f>
        <v/>
      </c>
      <c r="I3430" s="1" t="str">
        <f>IF(Table2[[#This Row],[Description]]="","",IF(Table2[[#This Row],[Currency]]=$O$2,$P$2,HLOOKUP(Table2[[#This Row],[Date]],Funds!$C$10:$GV$11,2,FALSE)))</f>
        <v/>
      </c>
      <c r="J3430" s="215" t="str">
        <f>IF(Table2[[#This Row],[Description]]="","",Table2[[#This Row],[Value]]/Table2[[#This Row],[Conversion]])</f>
        <v/>
      </c>
      <c r="K3430" s="45" t="str">
        <f>IF(Table2[[#This Row],[Description]]="","",DATE(Table2[[#This Row],[Year]],Table2[[#This Row],[Month]],1))</f>
        <v/>
      </c>
    </row>
    <row r="3431" spans="7:11" x14ac:dyDescent="0.25">
      <c r="G3431" s="1" t="str">
        <f>IF(Table2[[#This Row],[Description]]="","",VLOOKUP(Table2[[#This Row],[Description]],$Q$1:$S$101,2,FALSE))</f>
        <v/>
      </c>
      <c r="H3431" s="1" t="str">
        <f>IF(Table2[[#This Row],[Description]]="","",VLOOKUP(Table2[[#This Row],[Description]],$Q$1:$S$101,3,FALSE))</f>
        <v/>
      </c>
      <c r="I3431" s="1" t="str">
        <f>IF(Table2[[#This Row],[Description]]="","",IF(Table2[[#This Row],[Currency]]=$O$2,$P$2,HLOOKUP(Table2[[#This Row],[Date]],Funds!$C$10:$GV$11,2,FALSE)))</f>
        <v/>
      </c>
      <c r="J3431" s="215" t="str">
        <f>IF(Table2[[#This Row],[Description]]="","",Table2[[#This Row],[Value]]/Table2[[#This Row],[Conversion]])</f>
        <v/>
      </c>
      <c r="K3431" s="45" t="str">
        <f>IF(Table2[[#This Row],[Description]]="","",DATE(Table2[[#This Row],[Year]],Table2[[#This Row],[Month]],1))</f>
        <v/>
      </c>
    </row>
    <row r="3432" spans="7:11" x14ac:dyDescent="0.25">
      <c r="G3432" s="1" t="str">
        <f>IF(Table2[[#This Row],[Description]]="","",VLOOKUP(Table2[[#This Row],[Description]],$Q$1:$S$101,2,FALSE))</f>
        <v/>
      </c>
      <c r="H3432" s="1" t="str">
        <f>IF(Table2[[#This Row],[Description]]="","",VLOOKUP(Table2[[#This Row],[Description]],$Q$1:$S$101,3,FALSE))</f>
        <v/>
      </c>
      <c r="I3432" s="1" t="str">
        <f>IF(Table2[[#This Row],[Description]]="","",IF(Table2[[#This Row],[Currency]]=$O$2,$P$2,HLOOKUP(Table2[[#This Row],[Date]],Funds!$C$10:$GV$11,2,FALSE)))</f>
        <v/>
      </c>
      <c r="J3432" s="215" t="str">
        <f>IF(Table2[[#This Row],[Description]]="","",Table2[[#This Row],[Value]]/Table2[[#This Row],[Conversion]])</f>
        <v/>
      </c>
      <c r="K3432" s="45" t="str">
        <f>IF(Table2[[#This Row],[Description]]="","",DATE(Table2[[#This Row],[Year]],Table2[[#This Row],[Month]],1))</f>
        <v/>
      </c>
    </row>
    <row r="3433" spans="7:11" x14ac:dyDescent="0.25">
      <c r="G3433" s="1" t="str">
        <f>IF(Table2[[#This Row],[Description]]="","",VLOOKUP(Table2[[#This Row],[Description]],$Q$1:$S$101,2,FALSE))</f>
        <v/>
      </c>
      <c r="H3433" s="1" t="str">
        <f>IF(Table2[[#This Row],[Description]]="","",VLOOKUP(Table2[[#This Row],[Description]],$Q$1:$S$101,3,FALSE))</f>
        <v/>
      </c>
      <c r="I3433" s="1" t="str">
        <f>IF(Table2[[#This Row],[Description]]="","",IF(Table2[[#This Row],[Currency]]=$O$2,$P$2,HLOOKUP(Table2[[#This Row],[Date]],Funds!$C$10:$GV$11,2,FALSE)))</f>
        <v/>
      </c>
      <c r="J3433" s="215" t="str">
        <f>IF(Table2[[#This Row],[Description]]="","",Table2[[#This Row],[Value]]/Table2[[#This Row],[Conversion]])</f>
        <v/>
      </c>
      <c r="K3433" s="45" t="str">
        <f>IF(Table2[[#This Row],[Description]]="","",DATE(Table2[[#This Row],[Year]],Table2[[#This Row],[Month]],1))</f>
        <v/>
      </c>
    </row>
    <row r="3434" spans="7:11" x14ac:dyDescent="0.25">
      <c r="G3434" s="1" t="str">
        <f>IF(Table2[[#This Row],[Description]]="","",VLOOKUP(Table2[[#This Row],[Description]],$Q$1:$S$101,2,FALSE))</f>
        <v/>
      </c>
      <c r="H3434" s="1" t="str">
        <f>IF(Table2[[#This Row],[Description]]="","",VLOOKUP(Table2[[#This Row],[Description]],$Q$1:$S$101,3,FALSE))</f>
        <v/>
      </c>
      <c r="I3434" s="1" t="str">
        <f>IF(Table2[[#This Row],[Description]]="","",IF(Table2[[#This Row],[Currency]]=$O$2,$P$2,HLOOKUP(Table2[[#This Row],[Date]],Funds!$C$10:$GV$11,2,FALSE)))</f>
        <v/>
      </c>
      <c r="J3434" s="215" t="str">
        <f>IF(Table2[[#This Row],[Description]]="","",Table2[[#This Row],[Value]]/Table2[[#This Row],[Conversion]])</f>
        <v/>
      </c>
      <c r="K3434" s="45" t="str">
        <f>IF(Table2[[#This Row],[Description]]="","",DATE(Table2[[#This Row],[Year]],Table2[[#This Row],[Month]],1))</f>
        <v/>
      </c>
    </row>
    <row r="3435" spans="7:11" x14ac:dyDescent="0.25">
      <c r="G3435" s="1" t="str">
        <f>IF(Table2[[#This Row],[Description]]="","",VLOOKUP(Table2[[#This Row],[Description]],$Q$1:$S$101,2,FALSE))</f>
        <v/>
      </c>
      <c r="H3435" s="1" t="str">
        <f>IF(Table2[[#This Row],[Description]]="","",VLOOKUP(Table2[[#This Row],[Description]],$Q$1:$S$101,3,FALSE))</f>
        <v/>
      </c>
      <c r="I3435" s="1" t="str">
        <f>IF(Table2[[#This Row],[Description]]="","",IF(Table2[[#This Row],[Currency]]=$O$2,$P$2,HLOOKUP(Table2[[#This Row],[Date]],Funds!$C$10:$GV$11,2,FALSE)))</f>
        <v/>
      </c>
      <c r="J3435" s="215" t="str">
        <f>IF(Table2[[#This Row],[Description]]="","",Table2[[#This Row],[Value]]/Table2[[#This Row],[Conversion]])</f>
        <v/>
      </c>
      <c r="K3435" s="45" t="str">
        <f>IF(Table2[[#This Row],[Description]]="","",DATE(Table2[[#This Row],[Year]],Table2[[#This Row],[Month]],1))</f>
        <v/>
      </c>
    </row>
    <row r="3436" spans="7:11" x14ac:dyDescent="0.25">
      <c r="G3436" s="1" t="str">
        <f>IF(Table2[[#This Row],[Description]]="","",VLOOKUP(Table2[[#This Row],[Description]],$Q$1:$S$101,2,FALSE))</f>
        <v/>
      </c>
      <c r="H3436" s="1" t="str">
        <f>IF(Table2[[#This Row],[Description]]="","",VLOOKUP(Table2[[#This Row],[Description]],$Q$1:$S$101,3,FALSE))</f>
        <v/>
      </c>
      <c r="I3436" s="1" t="str">
        <f>IF(Table2[[#This Row],[Description]]="","",IF(Table2[[#This Row],[Currency]]=$O$2,$P$2,HLOOKUP(Table2[[#This Row],[Date]],Funds!$C$10:$GV$11,2,FALSE)))</f>
        <v/>
      </c>
      <c r="J3436" s="215" t="str">
        <f>IF(Table2[[#This Row],[Description]]="","",Table2[[#This Row],[Value]]/Table2[[#This Row],[Conversion]])</f>
        <v/>
      </c>
      <c r="K3436" s="45" t="str">
        <f>IF(Table2[[#This Row],[Description]]="","",DATE(Table2[[#This Row],[Year]],Table2[[#This Row],[Month]],1))</f>
        <v/>
      </c>
    </row>
    <row r="3437" spans="7:11" x14ac:dyDescent="0.25">
      <c r="G3437" s="1" t="str">
        <f>IF(Table2[[#This Row],[Description]]="","",VLOOKUP(Table2[[#This Row],[Description]],$Q$1:$S$101,2,FALSE))</f>
        <v/>
      </c>
      <c r="H3437" s="1" t="str">
        <f>IF(Table2[[#This Row],[Description]]="","",VLOOKUP(Table2[[#This Row],[Description]],$Q$1:$S$101,3,FALSE))</f>
        <v/>
      </c>
      <c r="I3437" s="1" t="str">
        <f>IF(Table2[[#This Row],[Description]]="","",IF(Table2[[#This Row],[Currency]]=$O$2,$P$2,HLOOKUP(Table2[[#This Row],[Date]],Funds!$C$10:$GV$11,2,FALSE)))</f>
        <v/>
      </c>
      <c r="J3437" s="215" t="str">
        <f>IF(Table2[[#This Row],[Description]]="","",Table2[[#This Row],[Value]]/Table2[[#This Row],[Conversion]])</f>
        <v/>
      </c>
      <c r="K3437" s="45" t="str">
        <f>IF(Table2[[#This Row],[Description]]="","",DATE(Table2[[#This Row],[Year]],Table2[[#This Row],[Month]],1))</f>
        <v/>
      </c>
    </row>
    <row r="3438" spans="7:11" x14ac:dyDescent="0.25">
      <c r="G3438" s="1" t="str">
        <f>IF(Table2[[#This Row],[Description]]="","",VLOOKUP(Table2[[#This Row],[Description]],$Q$1:$S$101,2,FALSE))</f>
        <v/>
      </c>
      <c r="H3438" s="1" t="str">
        <f>IF(Table2[[#This Row],[Description]]="","",VLOOKUP(Table2[[#This Row],[Description]],$Q$1:$S$101,3,FALSE))</f>
        <v/>
      </c>
      <c r="I3438" s="1" t="str">
        <f>IF(Table2[[#This Row],[Description]]="","",IF(Table2[[#This Row],[Currency]]=$O$2,$P$2,HLOOKUP(Table2[[#This Row],[Date]],Funds!$C$10:$GV$11,2,FALSE)))</f>
        <v/>
      </c>
      <c r="J3438" s="215" t="str">
        <f>IF(Table2[[#This Row],[Description]]="","",Table2[[#This Row],[Value]]/Table2[[#This Row],[Conversion]])</f>
        <v/>
      </c>
      <c r="K3438" s="45" t="str">
        <f>IF(Table2[[#This Row],[Description]]="","",DATE(Table2[[#This Row],[Year]],Table2[[#This Row],[Month]],1))</f>
        <v/>
      </c>
    </row>
    <row r="3439" spans="7:11" x14ac:dyDescent="0.25">
      <c r="G3439" s="1" t="str">
        <f>IF(Table2[[#This Row],[Description]]="","",VLOOKUP(Table2[[#This Row],[Description]],$Q$1:$S$101,2,FALSE))</f>
        <v/>
      </c>
      <c r="H3439" s="1" t="str">
        <f>IF(Table2[[#This Row],[Description]]="","",VLOOKUP(Table2[[#This Row],[Description]],$Q$1:$S$101,3,FALSE))</f>
        <v/>
      </c>
      <c r="I3439" s="1" t="str">
        <f>IF(Table2[[#This Row],[Description]]="","",IF(Table2[[#This Row],[Currency]]=$O$2,$P$2,HLOOKUP(Table2[[#This Row],[Date]],Funds!$C$10:$GV$11,2,FALSE)))</f>
        <v/>
      </c>
      <c r="J3439" s="215" t="str">
        <f>IF(Table2[[#This Row],[Description]]="","",Table2[[#This Row],[Value]]/Table2[[#This Row],[Conversion]])</f>
        <v/>
      </c>
      <c r="K3439" s="45" t="str">
        <f>IF(Table2[[#This Row],[Description]]="","",DATE(Table2[[#This Row],[Year]],Table2[[#This Row],[Month]],1))</f>
        <v/>
      </c>
    </row>
    <row r="3440" spans="7:11" x14ac:dyDescent="0.25">
      <c r="G3440" s="1" t="str">
        <f>IF(Table2[[#This Row],[Description]]="","",VLOOKUP(Table2[[#This Row],[Description]],$Q$1:$S$101,2,FALSE))</f>
        <v/>
      </c>
      <c r="H3440" s="1" t="str">
        <f>IF(Table2[[#This Row],[Description]]="","",VLOOKUP(Table2[[#This Row],[Description]],$Q$1:$S$101,3,FALSE))</f>
        <v/>
      </c>
      <c r="I3440" s="1" t="str">
        <f>IF(Table2[[#This Row],[Description]]="","",IF(Table2[[#This Row],[Currency]]=$O$2,$P$2,HLOOKUP(Table2[[#This Row],[Date]],Funds!$C$10:$GV$11,2,FALSE)))</f>
        <v/>
      </c>
      <c r="J3440" s="215" t="str">
        <f>IF(Table2[[#This Row],[Description]]="","",Table2[[#This Row],[Value]]/Table2[[#This Row],[Conversion]])</f>
        <v/>
      </c>
      <c r="K3440" s="45" t="str">
        <f>IF(Table2[[#This Row],[Description]]="","",DATE(Table2[[#This Row],[Year]],Table2[[#This Row],[Month]],1))</f>
        <v/>
      </c>
    </row>
    <row r="3441" spans="7:11" x14ac:dyDescent="0.25">
      <c r="G3441" s="1" t="str">
        <f>IF(Table2[[#This Row],[Description]]="","",VLOOKUP(Table2[[#This Row],[Description]],$Q$1:$S$101,2,FALSE))</f>
        <v/>
      </c>
      <c r="H3441" s="1" t="str">
        <f>IF(Table2[[#This Row],[Description]]="","",VLOOKUP(Table2[[#This Row],[Description]],$Q$1:$S$101,3,FALSE))</f>
        <v/>
      </c>
      <c r="I3441" s="1" t="str">
        <f>IF(Table2[[#This Row],[Description]]="","",IF(Table2[[#This Row],[Currency]]=$O$2,$P$2,HLOOKUP(Table2[[#This Row],[Date]],Funds!$C$10:$GV$11,2,FALSE)))</f>
        <v/>
      </c>
      <c r="J3441" s="215" t="str">
        <f>IF(Table2[[#This Row],[Description]]="","",Table2[[#This Row],[Value]]/Table2[[#This Row],[Conversion]])</f>
        <v/>
      </c>
      <c r="K3441" s="45" t="str">
        <f>IF(Table2[[#This Row],[Description]]="","",DATE(Table2[[#This Row],[Year]],Table2[[#This Row],[Month]],1))</f>
        <v/>
      </c>
    </row>
    <row r="3442" spans="7:11" x14ac:dyDescent="0.25">
      <c r="G3442" s="1" t="str">
        <f>IF(Table2[[#This Row],[Description]]="","",VLOOKUP(Table2[[#This Row],[Description]],$Q$1:$S$101,2,FALSE))</f>
        <v/>
      </c>
      <c r="H3442" s="1" t="str">
        <f>IF(Table2[[#This Row],[Description]]="","",VLOOKUP(Table2[[#This Row],[Description]],$Q$1:$S$101,3,FALSE))</f>
        <v/>
      </c>
      <c r="I3442" s="1" t="str">
        <f>IF(Table2[[#This Row],[Description]]="","",IF(Table2[[#This Row],[Currency]]=$O$2,$P$2,HLOOKUP(Table2[[#This Row],[Date]],Funds!$C$10:$GV$11,2,FALSE)))</f>
        <v/>
      </c>
      <c r="J3442" s="215" t="str">
        <f>IF(Table2[[#This Row],[Description]]="","",Table2[[#This Row],[Value]]/Table2[[#This Row],[Conversion]])</f>
        <v/>
      </c>
      <c r="K3442" s="45" t="str">
        <f>IF(Table2[[#This Row],[Description]]="","",DATE(Table2[[#This Row],[Year]],Table2[[#This Row],[Month]],1))</f>
        <v/>
      </c>
    </row>
    <row r="3443" spans="7:11" x14ac:dyDescent="0.25">
      <c r="G3443" s="1" t="str">
        <f>IF(Table2[[#This Row],[Description]]="","",VLOOKUP(Table2[[#This Row],[Description]],$Q$1:$S$101,2,FALSE))</f>
        <v/>
      </c>
      <c r="H3443" s="1" t="str">
        <f>IF(Table2[[#This Row],[Description]]="","",VLOOKUP(Table2[[#This Row],[Description]],$Q$1:$S$101,3,FALSE))</f>
        <v/>
      </c>
      <c r="I3443" s="1" t="str">
        <f>IF(Table2[[#This Row],[Description]]="","",IF(Table2[[#This Row],[Currency]]=$O$2,$P$2,HLOOKUP(Table2[[#This Row],[Date]],Funds!$C$10:$GV$11,2,FALSE)))</f>
        <v/>
      </c>
      <c r="J3443" s="215" t="str">
        <f>IF(Table2[[#This Row],[Description]]="","",Table2[[#This Row],[Value]]/Table2[[#This Row],[Conversion]])</f>
        <v/>
      </c>
      <c r="K3443" s="45" t="str">
        <f>IF(Table2[[#This Row],[Description]]="","",DATE(Table2[[#This Row],[Year]],Table2[[#This Row],[Month]],1))</f>
        <v/>
      </c>
    </row>
    <row r="3444" spans="7:11" x14ac:dyDescent="0.25">
      <c r="G3444" s="1" t="str">
        <f>IF(Table2[[#This Row],[Description]]="","",VLOOKUP(Table2[[#This Row],[Description]],$Q$1:$S$101,2,FALSE))</f>
        <v/>
      </c>
      <c r="H3444" s="1" t="str">
        <f>IF(Table2[[#This Row],[Description]]="","",VLOOKUP(Table2[[#This Row],[Description]],$Q$1:$S$101,3,FALSE))</f>
        <v/>
      </c>
      <c r="I3444" s="1" t="str">
        <f>IF(Table2[[#This Row],[Description]]="","",IF(Table2[[#This Row],[Currency]]=$O$2,$P$2,HLOOKUP(Table2[[#This Row],[Date]],Funds!$C$10:$GV$11,2,FALSE)))</f>
        <v/>
      </c>
      <c r="J3444" s="215" t="str">
        <f>IF(Table2[[#This Row],[Description]]="","",Table2[[#This Row],[Value]]/Table2[[#This Row],[Conversion]])</f>
        <v/>
      </c>
      <c r="K3444" s="45" t="str">
        <f>IF(Table2[[#This Row],[Description]]="","",DATE(Table2[[#This Row],[Year]],Table2[[#This Row],[Month]],1))</f>
        <v/>
      </c>
    </row>
    <row r="3445" spans="7:11" x14ac:dyDescent="0.25">
      <c r="G3445" s="1" t="str">
        <f>IF(Table2[[#This Row],[Description]]="","",VLOOKUP(Table2[[#This Row],[Description]],$Q$1:$S$101,2,FALSE))</f>
        <v/>
      </c>
      <c r="H3445" s="1" t="str">
        <f>IF(Table2[[#This Row],[Description]]="","",VLOOKUP(Table2[[#This Row],[Description]],$Q$1:$S$101,3,FALSE))</f>
        <v/>
      </c>
      <c r="I3445" s="1" t="str">
        <f>IF(Table2[[#This Row],[Description]]="","",IF(Table2[[#This Row],[Currency]]=$O$2,$P$2,HLOOKUP(Table2[[#This Row],[Date]],Funds!$C$10:$GV$11,2,FALSE)))</f>
        <v/>
      </c>
      <c r="J3445" s="215" t="str">
        <f>IF(Table2[[#This Row],[Description]]="","",Table2[[#This Row],[Value]]/Table2[[#This Row],[Conversion]])</f>
        <v/>
      </c>
      <c r="K3445" s="45" t="str">
        <f>IF(Table2[[#This Row],[Description]]="","",DATE(Table2[[#This Row],[Year]],Table2[[#This Row],[Month]],1))</f>
        <v/>
      </c>
    </row>
    <row r="3446" spans="7:11" x14ac:dyDescent="0.25">
      <c r="G3446" s="1" t="str">
        <f>IF(Table2[[#This Row],[Description]]="","",VLOOKUP(Table2[[#This Row],[Description]],$Q$1:$S$101,2,FALSE))</f>
        <v/>
      </c>
      <c r="H3446" s="1" t="str">
        <f>IF(Table2[[#This Row],[Description]]="","",VLOOKUP(Table2[[#This Row],[Description]],$Q$1:$S$101,3,FALSE))</f>
        <v/>
      </c>
      <c r="I3446" s="1" t="str">
        <f>IF(Table2[[#This Row],[Description]]="","",IF(Table2[[#This Row],[Currency]]=$O$2,$P$2,HLOOKUP(Table2[[#This Row],[Date]],Funds!$C$10:$GV$11,2,FALSE)))</f>
        <v/>
      </c>
      <c r="J3446" s="215" t="str">
        <f>IF(Table2[[#This Row],[Description]]="","",Table2[[#This Row],[Value]]/Table2[[#This Row],[Conversion]])</f>
        <v/>
      </c>
      <c r="K3446" s="45" t="str">
        <f>IF(Table2[[#This Row],[Description]]="","",DATE(Table2[[#This Row],[Year]],Table2[[#This Row],[Month]],1))</f>
        <v/>
      </c>
    </row>
    <row r="3447" spans="7:11" x14ac:dyDescent="0.25">
      <c r="G3447" s="1" t="str">
        <f>IF(Table2[[#This Row],[Description]]="","",VLOOKUP(Table2[[#This Row],[Description]],$Q$1:$S$101,2,FALSE))</f>
        <v/>
      </c>
      <c r="H3447" s="1" t="str">
        <f>IF(Table2[[#This Row],[Description]]="","",VLOOKUP(Table2[[#This Row],[Description]],$Q$1:$S$101,3,FALSE))</f>
        <v/>
      </c>
      <c r="I3447" s="1" t="str">
        <f>IF(Table2[[#This Row],[Description]]="","",IF(Table2[[#This Row],[Currency]]=$O$2,$P$2,HLOOKUP(Table2[[#This Row],[Date]],Funds!$C$10:$GV$11,2,FALSE)))</f>
        <v/>
      </c>
      <c r="J3447" s="215" t="str">
        <f>IF(Table2[[#This Row],[Description]]="","",Table2[[#This Row],[Value]]/Table2[[#This Row],[Conversion]])</f>
        <v/>
      </c>
      <c r="K3447" s="45" t="str">
        <f>IF(Table2[[#This Row],[Description]]="","",DATE(Table2[[#This Row],[Year]],Table2[[#This Row],[Month]],1))</f>
        <v/>
      </c>
    </row>
    <row r="3448" spans="7:11" x14ac:dyDescent="0.25">
      <c r="G3448" s="1" t="str">
        <f>IF(Table2[[#This Row],[Description]]="","",VLOOKUP(Table2[[#This Row],[Description]],$Q$1:$S$101,2,FALSE))</f>
        <v/>
      </c>
      <c r="H3448" s="1" t="str">
        <f>IF(Table2[[#This Row],[Description]]="","",VLOOKUP(Table2[[#This Row],[Description]],$Q$1:$S$101,3,FALSE))</f>
        <v/>
      </c>
      <c r="I3448" s="1" t="str">
        <f>IF(Table2[[#This Row],[Description]]="","",IF(Table2[[#This Row],[Currency]]=$O$2,$P$2,HLOOKUP(Table2[[#This Row],[Date]],Funds!$C$10:$GV$11,2,FALSE)))</f>
        <v/>
      </c>
      <c r="J3448" s="215" t="str">
        <f>IF(Table2[[#This Row],[Description]]="","",Table2[[#This Row],[Value]]/Table2[[#This Row],[Conversion]])</f>
        <v/>
      </c>
      <c r="K3448" s="45" t="str">
        <f>IF(Table2[[#This Row],[Description]]="","",DATE(Table2[[#This Row],[Year]],Table2[[#This Row],[Month]],1))</f>
        <v/>
      </c>
    </row>
    <row r="3449" spans="7:11" x14ac:dyDescent="0.25">
      <c r="G3449" s="1" t="str">
        <f>IF(Table2[[#This Row],[Description]]="","",VLOOKUP(Table2[[#This Row],[Description]],$Q$1:$S$101,2,FALSE))</f>
        <v/>
      </c>
      <c r="H3449" s="1" t="str">
        <f>IF(Table2[[#This Row],[Description]]="","",VLOOKUP(Table2[[#This Row],[Description]],$Q$1:$S$101,3,FALSE))</f>
        <v/>
      </c>
      <c r="I3449" s="1" t="str">
        <f>IF(Table2[[#This Row],[Description]]="","",IF(Table2[[#This Row],[Currency]]=$O$2,$P$2,HLOOKUP(Table2[[#This Row],[Date]],Funds!$C$10:$GV$11,2,FALSE)))</f>
        <v/>
      </c>
      <c r="J3449" s="215" t="str">
        <f>IF(Table2[[#This Row],[Description]]="","",Table2[[#This Row],[Value]]/Table2[[#This Row],[Conversion]])</f>
        <v/>
      </c>
      <c r="K3449" s="45" t="str">
        <f>IF(Table2[[#This Row],[Description]]="","",DATE(Table2[[#This Row],[Year]],Table2[[#This Row],[Month]],1))</f>
        <v/>
      </c>
    </row>
    <row r="3450" spans="7:11" x14ac:dyDescent="0.25">
      <c r="G3450" s="1" t="str">
        <f>IF(Table2[[#This Row],[Description]]="","",VLOOKUP(Table2[[#This Row],[Description]],$Q$1:$S$101,2,FALSE))</f>
        <v/>
      </c>
      <c r="H3450" s="1" t="str">
        <f>IF(Table2[[#This Row],[Description]]="","",VLOOKUP(Table2[[#This Row],[Description]],$Q$1:$S$101,3,FALSE))</f>
        <v/>
      </c>
      <c r="I3450" s="1" t="str">
        <f>IF(Table2[[#This Row],[Description]]="","",IF(Table2[[#This Row],[Currency]]=$O$2,$P$2,HLOOKUP(Table2[[#This Row],[Date]],Funds!$C$10:$GV$11,2,FALSE)))</f>
        <v/>
      </c>
      <c r="J3450" s="215" t="str">
        <f>IF(Table2[[#This Row],[Description]]="","",Table2[[#This Row],[Value]]/Table2[[#This Row],[Conversion]])</f>
        <v/>
      </c>
      <c r="K3450" s="45" t="str">
        <f>IF(Table2[[#This Row],[Description]]="","",DATE(Table2[[#This Row],[Year]],Table2[[#This Row],[Month]],1))</f>
        <v/>
      </c>
    </row>
    <row r="3451" spans="7:11" x14ac:dyDescent="0.25">
      <c r="G3451" s="1" t="str">
        <f>IF(Table2[[#This Row],[Description]]="","",VLOOKUP(Table2[[#This Row],[Description]],$Q$1:$S$101,2,FALSE))</f>
        <v/>
      </c>
      <c r="H3451" s="1" t="str">
        <f>IF(Table2[[#This Row],[Description]]="","",VLOOKUP(Table2[[#This Row],[Description]],$Q$1:$S$101,3,FALSE))</f>
        <v/>
      </c>
      <c r="I3451" s="1" t="str">
        <f>IF(Table2[[#This Row],[Description]]="","",IF(Table2[[#This Row],[Currency]]=$O$2,$P$2,HLOOKUP(Table2[[#This Row],[Date]],Funds!$C$10:$GV$11,2,FALSE)))</f>
        <v/>
      </c>
      <c r="J3451" s="215" t="str">
        <f>IF(Table2[[#This Row],[Description]]="","",Table2[[#This Row],[Value]]/Table2[[#This Row],[Conversion]])</f>
        <v/>
      </c>
      <c r="K3451" s="45" t="str">
        <f>IF(Table2[[#This Row],[Description]]="","",DATE(Table2[[#This Row],[Year]],Table2[[#This Row],[Month]],1))</f>
        <v/>
      </c>
    </row>
    <row r="3452" spans="7:11" x14ac:dyDescent="0.25">
      <c r="G3452" s="1" t="str">
        <f>IF(Table2[[#This Row],[Description]]="","",VLOOKUP(Table2[[#This Row],[Description]],$Q$1:$S$101,2,FALSE))</f>
        <v/>
      </c>
      <c r="H3452" s="1" t="str">
        <f>IF(Table2[[#This Row],[Description]]="","",VLOOKUP(Table2[[#This Row],[Description]],$Q$1:$S$101,3,FALSE))</f>
        <v/>
      </c>
      <c r="I3452" s="1" t="str">
        <f>IF(Table2[[#This Row],[Description]]="","",IF(Table2[[#This Row],[Currency]]=$O$2,$P$2,HLOOKUP(Table2[[#This Row],[Date]],Funds!$C$10:$GV$11,2,FALSE)))</f>
        <v/>
      </c>
      <c r="J3452" s="215" t="str">
        <f>IF(Table2[[#This Row],[Description]]="","",Table2[[#This Row],[Value]]/Table2[[#This Row],[Conversion]])</f>
        <v/>
      </c>
      <c r="K3452" s="45" t="str">
        <f>IF(Table2[[#This Row],[Description]]="","",DATE(Table2[[#This Row],[Year]],Table2[[#This Row],[Month]],1))</f>
        <v/>
      </c>
    </row>
    <row r="3453" spans="7:11" x14ac:dyDescent="0.25">
      <c r="G3453" s="1" t="str">
        <f>IF(Table2[[#This Row],[Description]]="","",VLOOKUP(Table2[[#This Row],[Description]],$Q$1:$S$101,2,FALSE))</f>
        <v/>
      </c>
      <c r="H3453" s="1" t="str">
        <f>IF(Table2[[#This Row],[Description]]="","",VLOOKUP(Table2[[#This Row],[Description]],$Q$1:$S$101,3,FALSE))</f>
        <v/>
      </c>
      <c r="I3453" s="1" t="str">
        <f>IF(Table2[[#This Row],[Description]]="","",IF(Table2[[#This Row],[Currency]]=$O$2,$P$2,HLOOKUP(Table2[[#This Row],[Date]],Funds!$C$10:$GV$11,2,FALSE)))</f>
        <v/>
      </c>
      <c r="J3453" s="215" t="str">
        <f>IF(Table2[[#This Row],[Description]]="","",Table2[[#This Row],[Value]]/Table2[[#This Row],[Conversion]])</f>
        <v/>
      </c>
      <c r="K3453" s="45" t="str">
        <f>IF(Table2[[#This Row],[Description]]="","",DATE(Table2[[#This Row],[Year]],Table2[[#This Row],[Month]],1))</f>
        <v/>
      </c>
    </row>
    <row r="3454" spans="7:11" x14ac:dyDescent="0.25">
      <c r="G3454" s="1" t="str">
        <f>IF(Table2[[#This Row],[Description]]="","",VLOOKUP(Table2[[#This Row],[Description]],$Q$1:$S$101,2,FALSE))</f>
        <v/>
      </c>
      <c r="H3454" s="1" t="str">
        <f>IF(Table2[[#This Row],[Description]]="","",VLOOKUP(Table2[[#This Row],[Description]],$Q$1:$S$101,3,FALSE))</f>
        <v/>
      </c>
      <c r="I3454" s="1" t="str">
        <f>IF(Table2[[#This Row],[Description]]="","",IF(Table2[[#This Row],[Currency]]=$O$2,$P$2,HLOOKUP(Table2[[#This Row],[Date]],Funds!$C$10:$GV$11,2,FALSE)))</f>
        <v/>
      </c>
      <c r="J3454" s="215" t="str">
        <f>IF(Table2[[#This Row],[Description]]="","",Table2[[#This Row],[Value]]/Table2[[#This Row],[Conversion]])</f>
        <v/>
      </c>
      <c r="K3454" s="45" t="str">
        <f>IF(Table2[[#This Row],[Description]]="","",DATE(Table2[[#This Row],[Year]],Table2[[#This Row],[Month]],1))</f>
        <v/>
      </c>
    </row>
    <row r="3455" spans="7:11" x14ac:dyDescent="0.25">
      <c r="G3455" s="1" t="str">
        <f>IF(Table2[[#This Row],[Description]]="","",VLOOKUP(Table2[[#This Row],[Description]],$Q$1:$S$101,2,FALSE))</f>
        <v/>
      </c>
      <c r="H3455" s="1" t="str">
        <f>IF(Table2[[#This Row],[Description]]="","",VLOOKUP(Table2[[#This Row],[Description]],$Q$1:$S$101,3,FALSE))</f>
        <v/>
      </c>
      <c r="I3455" s="1" t="str">
        <f>IF(Table2[[#This Row],[Description]]="","",IF(Table2[[#This Row],[Currency]]=$O$2,$P$2,HLOOKUP(Table2[[#This Row],[Date]],Funds!$C$10:$GV$11,2,FALSE)))</f>
        <v/>
      </c>
      <c r="J3455" s="215" t="str">
        <f>IF(Table2[[#This Row],[Description]]="","",Table2[[#This Row],[Value]]/Table2[[#This Row],[Conversion]])</f>
        <v/>
      </c>
      <c r="K3455" s="45" t="str">
        <f>IF(Table2[[#This Row],[Description]]="","",DATE(Table2[[#This Row],[Year]],Table2[[#This Row],[Month]],1))</f>
        <v/>
      </c>
    </row>
    <row r="3456" spans="7:11" x14ac:dyDescent="0.25">
      <c r="G3456" s="1" t="str">
        <f>IF(Table2[[#This Row],[Description]]="","",VLOOKUP(Table2[[#This Row],[Description]],$Q$1:$S$101,2,FALSE))</f>
        <v/>
      </c>
      <c r="H3456" s="1" t="str">
        <f>IF(Table2[[#This Row],[Description]]="","",VLOOKUP(Table2[[#This Row],[Description]],$Q$1:$S$101,3,FALSE))</f>
        <v/>
      </c>
      <c r="I3456" s="1" t="str">
        <f>IF(Table2[[#This Row],[Description]]="","",IF(Table2[[#This Row],[Currency]]=$O$2,$P$2,HLOOKUP(Table2[[#This Row],[Date]],Funds!$C$10:$GV$11,2,FALSE)))</f>
        <v/>
      </c>
      <c r="J3456" s="215" t="str">
        <f>IF(Table2[[#This Row],[Description]]="","",Table2[[#This Row],[Value]]/Table2[[#This Row],[Conversion]])</f>
        <v/>
      </c>
      <c r="K3456" s="45" t="str">
        <f>IF(Table2[[#This Row],[Description]]="","",DATE(Table2[[#This Row],[Year]],Table2[[#This Row],[Month]],1))</f>
        <v/>
      </c>
    </row>
    <row r="3457" spans="7:11" x14ac:dyDescent="0.25">
      <c r="G3457" s="1" t="str">
        <f>IF(Table2[[#This Row],[Description]]="","",VLOOKUP(Table2[[#This Row],[Description]],$Q$1:$S$101,2,FALSE))</f>
        <v/>
      </c>
      <c r="H3457" s="1" t="str">
        <f>IF(Table2[[#This Row],[Description]]="","",VLOOKUP(Table2[[#This Row],[Description]],$Q$1:$S$101,3,FALSE))</f>
        <v/>
      </c>
      <c r="I3457" s="1" t="str">
        <f>IF(Table2[[#This Row],[Description]]="","",IF(Table2[[#This Row],[Currency]]=$O$2,$P$2,HLOOKUP(Table2[[#This Row],[Date]],Funds!$C$10:$GV$11,2,FALSE)))</f>
        <v/>
      </c>
      <c r="J3457" s="215" t="str">
        <f>IF(Table2[[#This Row],[Description]]="","",Table2[[#This Row],[Value]]/Table2[[#This Row],[Conversion]])</f>
        <v/>
      </c>
      <c r="K3457" s="45" t="str">
        <f>IF(Table2[[#This Row],[Description]]="","",DATE(Table2[[#This Row],[Year]],Table2[[#This Row],[Month]],1))</f>
        <v/>
      </c>
    </row>
    <row r="3458" spans="7:11" x14ac:dyDescent="0.25">
      <c r="G3458" s="1" t="str">
        <f>IF(Table2[[#This Row],[Description]]="","",VLOOKUP(Table2[[#This Row],[Description]],$Q$1:$S$101,2,FALSE))</f>
        <v/>
      </c>
      <c r="H3458" s="1" t="str">
        <f>IF(Table2[[#This Row],[Description]]="","",VLOOKUP(Table2[[#This Row],[Description]],$Q$1:$S$101,3,FALSE))</f>
        <v/>
      </c>
      <c r="I3458" s="1" t="str">
        <f>IF(Table2[[#This Row],[Description]]="","",IF(Table2[[#This Row],[Currency]]=$O$2,$P$2,HLOOKUP(Table2[[#This Row],[Date]],Funds!$C$10:$GV$11,2,FALSE)))</f>
        <v/>
      </c>
      <c r="J3458" s="215" t="str">
        <f>IF(Table2[[#This Row],[Description]]="","",Table2[[#This Row],[Value]]/Table2[[#This Row],[Conversion]])</f>
        <v/>
      </c>
      <c r="K3458" s="45" t="str">
        <f>IF(Table2[[#This Row],[Description]]="","",DATE(Table2[[#This Row],[Year]],Table2[[#This Row],[Month]],1))</f>
        <v/>
      </c>
    </row>
    <row r="3459" spans="7:11" x14ac:dyDescent="0.25">
      <c r="G3459" s="1" t="str">
        <f>IF(Table2[[#This Row],[Description]]="","",VLOOKUP(Table2[[#This Row],[Description]],$Q$1:$S$101,2,FALSE))</f>
        <v/>
      </c>
      <c r="H3459" s="1" t="str">
        <f>IF(Table2[[#This Row],[Description]]="","",VLOOKUP(Table2[[#This Row],[Description]],$Q$1:$S$101,3,FALSE))</f>
        <v/>
      </c>
      <c r="I3459" s="1" t="str">
        <f>IF(Table2[[#This Row],[Description]]="","",IF(Table2[[#This Row],[Currency]]=$O$2,$P$2,HLOOKUP(Table2[[#This Row],[Date]],Funds!$C$10:$GV$11,2,FALSE)))</f>
        <v/>
      </c>
      <c r="J3459" s="215" t="str">
        <f>IF(Table2[[#This Row],[Description]]="","",Table2[[#This Row],[Value]]/Table2[[#This Row],[Conversion]])</f>
        <v/>
      </c>
      <c r="K3459" s="45" t="str">
        <f>IF(Table2[[#This Row],[Description]]="","",DATE(Table2[[#This Row],[Year]],Table2[[#This Row],[Month]],1))</f>
        <v/>
      </c>
    </row>
    <row r="3460" spans="7:11" x14ac:dyDescent="0.25">
      <c r="G3460" s="1" t="str">
        <f>IF(Table2[[#This Row],[Description]]="","",VLOOKUP(Table2[[#This Row],[Description]],$Q$1:$S$101,2,FALSE))</f>
        <v/>
      </c>
      <c r="H3460" s="1" t="str">
        <f>IF(Table2[[#This Row],[Description]]="","",VLOOKUP(Table2[[#This Row],[Description]],$Q$1:$S$101,3,FALSE))</f>
        <v/>
      </c>
      <c r="I3460" s="1" t="str">
        <f>IF(Table2[[#This Row],[Description]]="","",IF(Table2[[#This Row],[Currency]]=$O$2,$P$2,HLOOKUP(Table2[[#This Row],[Date]],Funds!$C$10:$GV$11,2,FALSE)))</f>
        <v/>
      </c>
      <c r="J3460" s="215" t="str">
        <f>IF(Table2[[#This Row],[Description]]="","",Table2[[#This Row],[Value]]/Table2[[#This Row],[Conversion]])</f>
        <v/>
      </c>
      <c r="K3460" s="45" t="str">
        <f>IF(Table2[[#This Row],[Description]]="","",DATE(Table2[[#This Row],[Year]],Table2[[#This Row],[Month]],1))</f>
        <v/>
      </c>
    </row>
    <row r="3461" spans="7:11" x14ac:dyDescent="0.25">
      <c r="G3461" s="1" t="str">
        <f>IF(Table2[[#This Row],[Description]]="","",VLOOKUP(Table2[[#This Row],[Description]],$Q$1:$S$101,2,FALSE))</f>
        <v/>
      </c>
      <c r="H3461" s="1" t="str">
        <f>IF(Table2[[#This Row],[Description]]="","",VLOOKUP(Table2[[#This Row],[Description]],$Q$1:$S$101,3,FALSE))</f>
        <v/>
      </c>
      <c r="I3461" s="1" t="str">
        <f>IF(Table2[[#This Row],[Description]]="","",IF(Table2[[#This Row],[Currency]]=$O$2,$P$2,HLOOKUP(Table2[[#This Row],[Date]],Funds!$C$10:$GV$11,2,FALSE)))</f>
        <v/>
      </c>
      <c r="J3461" s="215" t="str">
        <f>IF(Table2[[#This Row],[Description]]="","",Table2[[#This Row],[Value]]/Table2[[#This Row],[Conversion]])</f>
        <v/>
      </c>
      <c r="K3461" s="45" t="str">
        <f>IF(Table2[[#This Row],[Description]]="","",DATE(Table2[[#This Row],[Year]],Table2[[#This Row],[Month]],1))</f>
        <v/>
      </c>
    </row>
    <row r="3462" spans="7:11" x14ac:dyDescent="0.25">
      <c r="G3462" s="1" t="str">
        <f>IF(Table2[[#This Row],[Description]]="","",VLOOKUP(Table2[[#This Row],[Description]],$Q$1:$S$101,2,FALSE))</f>
        <v/>
      </c>
      <c r="H3462" s="1" t="str">
        <f>IF(Table2[[#This Row],[Description]]="","",VLOOKUP(Table2[[#This Row],[Description]],$Q$1:$S$101,3,FALSE))</f>
        <v/>
      </c>
      <c r="I3462" s="1" t="str">
        <f>IF(Table2[[#This Row],[Description]]="","",IF(Table2[[#This Row],[Currency]]=$O$2,$P$2,HLOOKUP(Table2[[#This Row],[Date]],Funds!$C$10:$GV$11,2,FALSE)))</f>
        <v/>
      </c>
      <c r="J3462" s="215" t="str">
        <f>IF(Table2[[#This Row],[Description]]="","",Table2[[#This Row],[Value]]/Table2[[#This Row],[Conversion]])</f>
        <v/>
      </c>
      <c r="K3462" s="45" t="str">
        <f>IF(Table2[[#This Row],[Description]]="","",DATE(Table2[[#This Row],[Year]],Table2[[#This Row],[Month]],1))</f>
        <v/>
      </c>
    </row>
    <row r="3463" spans="7:11" x14ac:dyDescent="0.25">
      <c r="G3463" s="1" t="str">
        <f>IF(Table2[[#This Row],[Description]]="","",VLOOKUP(Table2[[#This Row],[Description]],$Q$1:$S$101,2,FALSE))</f>
        <v/>
      </c>
      <c r="H3463" s="1" t="str">
        <f>IF(Table2[[#This Row],[Description]]="","",VLOOKUP(Table2[[#This Row],[Description]],$Q$1:$S$101,3,FALSE))</f>
        <v/>
      </c>
      <c r="I3463" s="1" t="str">
        <f>IF(Table2[[#This Row],[Description]]="","",IF(Table2[[#This Row],[Currency]]=$O$2,$P$2,HLOOKUP(Table2[[#This Row],[Date]],Funds!$C$10:$GV$11,2,FALSE)))</f>
        <v/>
      </c>
      <c r="J3463" s="215" t="str">
        <f>IF(Table2[[#This Row],[Description]]="","",Table2[[#This Row],[Value]]/Table2[[#This Row],[Conversion]])</f>
        <v/>
      </c>
      <c r="K3463" s="45" t="str">
        <f>IF(Table2[[#This Row],[Description]]="","",DATE(Table2[[#This Row],[Year]],Table2[[#This Row],[Month]],1))</f>
        <v/>
      </c>
    </row>
    <row r="3464" spans="7:11" x14ac:dyDescent="0.25">
      <c r="G3464" s="1" t="str">
        <f>IF(Table2[[#This Row],[Description]]="","",VLOOKUP(Table2[[#This Row],[Description]],$Q$1:$S$101,2,FALSE))</f>
        <v/>
      </c>
      <c r="H3464" s="1" t="str">
        <f>IF(Table2[[#This Row],[Description]]="","",VLOOKUP(Table2[[#This Row],[Description]],$Q$1:$S$101,3,FALSE))</f>
        <v/>
      </c>
      <c r="I3464" s="1" t="str">
        <f>IF(Table2[[#This Row],[Description]]="","",IF(Table2[[#This Row],[Currency]]=$O$2,$P$2,HLOOKUP(Table2[[#This Row],[Date]],Funds!$C$10:$GV$11,2,FALSE)))</f>
        <v/>
      </c>
      <c r="J3464" s="215" t="str">
        <f>IF(Table2[[#This Row],[Description]]="","",Table2[[#This Row],[Value]]/Table2[[#This Row],[Conversion]])</f>
        <v/>
      </c>
      <c r="K3464" s="45" t="str">
        <f>IF(Table2[[#This Row],[Description]]="","",DATE(Table2[[#This Row],[Year]],Table2[[#This Row],[Month]],1))</f>
        <v/>
      </c>
    </row>
    <row r="3465" spans="7:11" x14ac:dyDescent="0.25">
      <c r="G3465" s="1" t="str">
        <f>IF(Table2[[#This Row],[Description]]="","",VLOOKUP(Table2[[#This Row],[Description]],$Q$1:$S$101,2,FALSE))</f>
        <v/>
      </c>
      <c r="H3465" s="1" t="str">
        <f>IF(Table2[[#This Row],[Description]]="","",VLOOKUP(Table2[[#This Row],[Description]],$Q$1:$S$101,3,FALSE))</f>
        <v/>
      </c>
      <c r="I3465" s="1" t="str">
        <f>IF(Table2[[#This Row],[Description]]="","",IF(Table2[[#This Row],[Currency]]=$O$2,$P$2,HLOOKUP(Table2[[#This Row],[Date]],Funds!$C$10:$GV$11,2,FALSE)))</f>
        <v/>
      </c>
      <c r="J3465" s="215" t="str">
        <f>IF(Table2[[#This Row],[Description]]="","",Table2[[#This Row],[Value]]/Table2[[#This Row],[Conversion]])</f>
        <v/>
      </c>
      <c r="K3465" s="45" t="str">
        <f>IF(Table2[[#This Row],[Description]]="","",DATE(Table2[[#This Row],[Year]],Table2[[#This Row],[Month]],1))</f>
        <v/>
      </c>
    </row>
    <row r="3466" spans="7:11" x14ac:dyDescent="0.25">
      <c r="G3466" s="1" t="str">
        <f>IF(Table2[[#This Row],[Description]]="","",VLOOKUP(Table2[[#This Row],[Description]],$Q$1:$S$101,2,FALSE))</f>
        <v/>
      </c>
      <c r="H3466" s="1" t="str">
        <f>IF(Table2[[#This Row],[Description]]="","",VLOOKUP(Table2[[#This Row],[Description]],$Q$1:$S$101,3,FALSE))</f>
        <v/>
      </c>
      <c r="I3466" s="1" t="str">
        <f>IF(Table2[[#This Row],[Description]]="","",IF(Table2[[#This Row],[Currency]]=$O$2,$P$2,HLOOKUP(Table2[[#This Row],[Date]],Funds!$C$10:$GV$11,2,FALSE)))</f>
        <v/>
      </c>
      <c r="J3466" s="215" t="str">
        <f>IF(Table2[[#This Row],[Description]]="","",Table2[[#This Row],[Value]]/Table2[[#This Row],[Conversion]])</f>
        <v/>
      </c>
      <c r="K3466" s="45" t="str">
        <f>IF(Table2[[#This Row],[Description]]="","",DATE(Table2[[#This Row],[Year]],Table2[[#This Row],[Month]],1))</f>
        <v/>
      </c>
    </row>
    <row r="3467" spans="7:11" x14ac:dyDescent="0.25">
      <c r="G3467" s="1" t="str">
        <f>IF(Table2[[#This Row],[Description]]="","",VLOOKUP(Table2[[#This Row],[Description]],$Q$1:$S$101,2,FALSE))</f>
        <v/>
      </c>
      <c r="H3467" s="1" t="str">
        <f>IF(Table2[[#This Row],[Description]]="","",VLOOKUP(Table2[[#This Row],[Description]],$Q$1:$S$101,3,FALSE))</f>
        <v/>
      </c>
      <c r="I3467" s="1" t="str">
        <f>IF(Table2[[#This Row],[Description]]="","",IF(Table2[[#This Row],[Currency]]=$O$2,$P$2,HLOOKUP(Table2[[#This Row],[Date]],Funds!$C$10:$GV$11,2,FALSE)))</f>
        <v/>
      </c>
      <c r="J3467" s="215" t="str">
        <f>IF(Table2[[#This Row],[Description]]="","",Table2[[#This Row],[Value]]/Table2[[#This Row],[Conversion]])</f>
        <v/>
      </c>
      <c r="K3467" s="45" t="str">
        <f>IF(Table2[[#This Row],[Description]]="","",DATE(Table2[[#This Row],[Year]],Table2[[#This Row],[Month]],1))</f>
        <v/>
      </c>
    </row>
    <row r="3468" spans="7:11" x14ac:dyDescent="0.25">
      <c r="G3468" s="1" t="str">
        <f>IF(Table2[[#This Row],[Description]]="","",VLOOKUP(Table2[[#This Row],[Description]],$Q$1:$S$101,2,FALSE))</f>
        <v/>
      </c>
      <c r="H3468" s="1" t="str">
        <f>IF(Table2[[#This Row],[Description]]="","",VLOOKUP(Table2[[#This Row],[Description]],$Q$1:$S$101,3,FALSE))</f>
        <v/>
      </c>
      <c r="I3468" s="1" t="str">
        <f>IF(Table2[[#This Row],[Description]]="","",IF(Table2[[#This Row],[Currency]]=$O$2,$P$2,HLOOKUP(Table2[[#This Row],[Date]],Funds!$C$10:$GV$11,2,FALSE)))</f>
        <v/>
      </c>
      <c r="J3468" s="215" t="str">
        <f>IF(Table2[[#This Row],[Description]]="","",Table2[[#This Row],[Value]]/Table2[[#This Row],[Conversion]])</f>
        <v/>
      </c>
      <c r="K3468" s="45" t="str">
        <f>IF(Table2[[#This Row],[Description]]="","",DATE(Table2[[#This Row],[Year]],Table2[[#This Row],[Month]],1))</f>
        <v/>
      </c>
    </row>
    <row r="3469" spans="7:11" x14ac:dyDescent="0.25">
      <c r="G3469" s="1" t="str">
        <f>IF(Table2[[#This Row],[Description]]="","",VLOOKUP(Table2[[#This Row],[Description]],$Q$1:$S$101,2,FALSE))</f>
        <v/>
      </c>
      <c r="H3469" s="1" t="str">
        <f>IF(Table2[[#This Row],[Description]]="","",VLOOKUP(Table2[[#This Row],[Description]],$Q$1:$S$101,3,FALSE))</f>
        <v/>
      </c>
      <c r="I3469" s="1" t="str">
        <f>IF(Table2[[#This Row],[Description]]="","",IF(Table2[[#This Row],[Currency]]=$O$2,$P$2,HLOOKUP(Table2[[#This Row],[Date]],Funds!$C$10:$GV$11,2,FALSE)))</f>
        <v/>
      </c>
      <c r="J3469" s="215" t="str">
        <f>IF(Table2[[#This Row],[Description]]="","",Table2[[#This Row],[Value]]/Table2[[#This Row],[Conversion]])</f>
        <v/>
      </c>
      <c r="K3469" s="45" t="str">
        <f>IF(Table2[[#This Row],[Description]]="","",DATE(Table2[[#This Row],[Year]],Table2[[#This Row],[Month]],1))</f>
        <v/>
      </c>
    </row>
    <row r="3470" spans="7:11" x14ac:dyDescent="0.25">
      <c r="G3470" s="1" t="str">
        <f>IF(Table2[[#This Row],[Description]]="","",VLOOKUP(Table2[[#This Row],[Description]],$Q$1:$S$101,2,FALSE))</f>
        <v/>
      </c>
      <c r="H3470" s="1" t="str">
        <f>IF(Table2[[#This Row],[Description]]="","",VLOOKUP(Table2[[#This Row],[Description]],$Q$1:$S$101,3,FALSE))</f>
        <v/>
      </c>
      <c r="I3470" s="1" t="str">
        <f>IF(Table2[[#This Row],[Description]]="","",IF(Table2[[#This Row],[Currency]]=$O$2,$P$2,HLOOKUP(Table2[[#This Row],[Date]],Funds!$C$10:$GV$11,2,FALSE)))</f>
        <v/>
      </c>
      <c r="J3470" s="215" t="str">
        <f>IF(Table2[[#This Row],[Description]]="","",Table2[[#This Row],[Value]]/Table2[[#This Row],[Conversion]])</f>
        <v/>
      </c>
      <c r="K3470" s="45" t="str">
        <f>IF(Table2[[#This Row],[Description]]="","",DATE(Table2[[#This Row],[Year]],Table2[[#This Row],[Month]],1))</f>
        <v/>
      </c>
    </row>
    <row r="3471" spans="7:11" x14ac:dyDescent="0.25">
      <c r="G3471" s="1" t="str">
        <f>IF(Table2[[#This Row],[Description]]="","",VLOOKUP(Table2[[#This Row],[Description]],$Q$1:$S$101,2,FALSE))</f>
        <v/>
      </c>
      <c r="H3471" s="1" t="str">
        <f>IF(Table2[[#This Row],[Description]]="","",VLOOKUP(Table2[[#This Row],[Description]],$Q$1:$S$101,3,FALSE))</f>
        <v/>
      </c>
      <c r="I3471" s="1" t="str">
        <f>IF(Table2[[#This Row],[Description]]="","",IF(Table2[[#This Row],[Currency]]=$O$2,$P$2,HLOOKUP(Table2[[#This Row],[Date]],Funds!$C$10:$GV$11,2,FALSE)))</f>
        <v/>
      </c>
      <c r="J3471" s="215" t="str">
        <f>IF(Table2[[#This Row],[Description]]="","",Table2[[#This Row],[Value]]/Table2[[#This Row],[Conversion]])</f>
        <v/>
      </c>
      <c r="K3471" s="45" t="str">
        <f>IF(Table2[[#This Row],[Description]]="","",DATE(Table2[[#This Row],[Year]],Table2[[#This Row],[Month]],1))</f>
        <v/>
      </c>
    </row>
    <row r="3472" spans="7:11" x14ac:dyDescent="0.25">
      <c r="G3472" s="1" t="str">
        <f>IF(Table2[[#This Row],[Description]]="","",VLOOKUP(Table2[[#This Row],[Description]],$Q$1:$S$101,2,FALSE))</f>
        <v/>
      </c>
      <c r="H3472" s="1" t="str">
        <f>IF(Table2[[#This Row],[Description]]="","",VLOOKUP(Table2[[#This Row],[Description]],$Q$1:$S$101,3,FALSE))</f>
        <v/>
      </c>
      <c r="I3472" s="1" t="str">
        <f>IF(Table2[[#This Row],[Description]]="","",IF(Table2[[#This Row],[Currency]]=$O$2,$P$2,HLOOKUP(Table2[[#This Row],[Date]],Funds!$C$10:$GV$11,2,FALSE)))</f>
        <v/>
      </c>
      <c r="J3472" s="215" t="str">
        <f>IF(Table2[[#This Row],[Description]]="","",Table2[[#This Row],[Value]]/Table2[[#This Row],[Conversion]])</f>
        <v/>
      </c>
      <c r="K3472" s="45" t="str">
        <f>IF(Table2[[#This Row],[Description]]="","",DATE(Table2[[#This Row],[Year]],Table2[[#This Row],[Month]],1))</f>
        <v/>
      </c>
    </row>
    <row r="3473" spans="7:11" x14ac:dyDescent="0.25">
      <c r="G3473" s="1" t="str">
        <f>IF(Table2[[#This Row],[Description]]="","",VLOOKUP(Table2[[#This Row],[Description]],$Q$1:$S$101,2,FALSE))</f>
        <v/>
      </c>
      <c r="H3473" s="1" t="str">
        <f>IF(Table2[[#This Row],[Description]]="","",VLOOKUP(Table2[[#This Row],[Description]],$Q$1:$S$101,3,FALSE))</f>
        <v/>
      </c>
      <c r="I3473" s="1" t="str">
        <f>IF(Table2[[#This Row],[Description]]="","",IF(Table2[[#This Row],[Currency]]=$O$2,$P$2,HLOOKUP(Table2[[#This Row],[Date]],Funds!$C$10:$GV$11,2,FALSE)))</f>
        <v/>
      </c>
      <c r="J3473" s="215" t="str">
        <f>IF(Table2[[#This Row],[Description]]="","",Table2[[#This Row],[Value]]/Table2[[#This Row],[Conversion]])</f>
        <v/>
      </c>
      <c r="K3473" s="45" t="str">
        <f>IF(Table2[[#This Row],[Description]]="","",DATE(Table2[[#This Row],[Year]],Table2[[#This Row],[Month]],1))</f>
        <v/>
      </c>
    </row>
    <row r="3474" spans="7:11" x14ac:dyDescent="0.25">
      <c r="G3474" s="1" t="str">
        <f>IF(Table2[[#This Row],[Description]]="","",VLOOKUP(Table2[[#This Row],[Description]],$Q$1:$S$101,2,FALSE))</f>
        <v/>
      </c>
      <c r="H3474" s="1" t="str">
        <f>IF(Table2[[#This Row],[Description]]="","",VLOOKUP(Table2[[#This Row],[Description]],$Q$1:$S$101,3,FALSE))</f>
        <v/>
      </c>
      <c r="I3474" s="1" t="str">
        <f>IF(Table2[[#This Row],[Description]]="","",IF(Table2[[#This Row],[Currency]]=$O$2,$P$2,HLOOKUP(Table2[[#This Row],[Date]],Funds!$C$10:$GV$11,2,FALSE)))</f>
        <v/>
      </c>
      <c r="J3474" s="215" t="str">
        <f>IF(Table2[[#This Row],[Description]]="","",Table2[[#This Row],[Value]]/Table2[[#This Row],[Conversion]])</f>
        <v/>
      </c>
      <c r="K3474" s="45" t="str">
        <f>IF(Table2[[#This Row],[Description]]="","",DATE(Table2[[#This Row],[Year]],Table2[[#This Row],[Month]],1))</f>
        <v/>
      </c>
    </row>
    <row r="3475" spans="7:11" x14ac:dyDescent="0.25">
      <c r="G3475" s="1" t="str">
        <f>IF(Table2[[#This Row],[Description]]="","",VLOOKUP(Table2[[#This Row],[Description]],$Q$1:$S$101,2,FALSE))</f>
        <v/>
      </c>
      <c r="H3475" s="1" t="str">
        <f>IF(Table2[[#This Row],[Description]]="","",VLOOKUP(Table2[[#This Row],[Description]],$Q$1:$S$101,3,FALSE))</f>
        <v/>
      </c>
      <c r="I3475" s="1" t="str">
        <f>IF(Table2[[#This Row],[Description]]="","",IF(Table2[[#This Row],[Currency]]=$O$2,$P$2,HLOOKUP(Table2[[#This Row],[Date]],Funds!$C$10:$GV$11,2,FALSE)))</f>
        <v/>
      </c>
      <c r="J3475" s="215" t="str">
        <f>IF(Table2[[#This Row],[Description]]="","",Table2[[#This Row],[Value]]/Table2[[#This Row],[Conversion]])</f>
        <v/>
      </c>
      <c r="K3475" s="45" t="str">
        <f>IF(Table2[[#This Row],[Description]]="","",DATE(Table2[[#This Row],[Year]],Table2[[#This Row],[Month]],1))</f>
        <v/>
      </c>
    </row>
    <row r="3476" spans="7:11" x14ac:dyDescent="0.25">
      <c r="G3476" s="1" t="str">
        <f>IF(Table2[[#This Row],[Description]]="","",VLOOKUP(Table2[[#This Row],[Description]],$Q$1:$S$101,2,FALSE))</f>
        <v/>
      </c>
      <c r="H3476" s="1" t="str">
        <f>IF(Table2[[#This Row],[Description]]="","",VLOOKUP(Table2[[#This Row],[Description]],$Q$1:$S$101,3,FALSE))</f>
        <v/>
      </c>
      <c r="I3476" s="1" t="str">
        <f>IF(Table2[[#This Row],[Description]]="","",IF(Table2[[#This Row],[Currency]]=$O$2,$P$2,HLOOKUP(Table2[[#This Row],[Date]],Funds!$C$10:$GV$11,2,FALSE)))</f>
        <v/>
      </c>
      <c r="J3476" s="215" t="str">
        <f>IF(Table2[[#This Row],[Description]]="","",Table2[[#This Row],[Value]]/Table2[[#This Row],[Conversion]])</f>
        <v/>
      </c>
      <c r="K3476" s="45" t="str">
        <f>IF(Table2[[#This Row],[Description]]="","",DATE(Table2[[#This Row],[Year]],Table2[[#This Row],[Month]],1))</f>
        <v/>
      </c>
    </row>
    <row r="3477" spans="7:11" x14ac:dyDescent="0.25">
      <c r="G3477" s="1" t="str">
        <f>IF(Table2[[#This Row],[Description]]="","",VLOOKUP(Table2[[#This Row],[Description]],$Q$1:$S$101,2,FALSE))</f>
        <v/>
      </c>
      <c r="H3477" s="1" t="str">
        <f>IF(Table2[[#This Row],[Description]]="","",VLOOKUP(Table2[[#This Row],[Description]],$Q$1:$S$101,3,FALSE))</f>
        <v/>
      </c>
      <c r="I3477" s="1" t="str">
        <f>IF(Table2[[#This Row],[Description]]="","",IF(Table2[[#This Row],[Currency]]=$O$2,$P$2,HLOOKUP(Table2[[#This Row],[Date]],Funds!$C$10:$GV$11,2,FALSE)))</f>
        <v/>
      </c>
      <c r="J3477" s="215" t="str">
        <f>IF(Table2[[#This Row],[Description]]="","",Table2[[#This Row],[Value]]/Table2[[#This Row],[Conversion]])</f>
        <v/>
      </c>
      <c r="K3477" s="45" t="str">
        <f>IF(Table2[[#This Row],[Description]]="","",DATE(Table2[[#This Row],[Year]],Table2[[#This Row],[Month]],1))</f>
        <v/>
      </c>
    </row>
    <row r="3478" spans="7:11" x14ac:dyDescent="0.25">
      <c r="G3478" s="1" t="str">
        <f>IF(Table2[[#This Row],[Description]]="","",VLOOKUP(Table2[[#This Row],[Description]],$Q$1:$S$101,2,FALSE))</f>
        <v/>
      </c>
      <c r="H3478" s="1" t="str">
        <f>IF(Table2[[#This Row],[Description]]="","",VLOOKUP(Table2[[#This Row],[Description]],$Q$1:$S$101,3,FALSE))</f>
        <v/>
      </c>
      <c r="I3478" s="1" t="str">
        <f>IF(Table2[[#This Row],[Description]]="","",IF(Table2[[#This Row],[Currency]]=$O$2,$P$2,HLOOKUP(Table2[[#This Row],[Date]],Funds!$C$10:$GV$11,2,FALSE)))</f>
        <v/>
      </c>
      <c r="J3478" s="215" t="str">
        <f>IF(Table2[[#This Row],[Description]]="","",Table2[[#This Row],[Value]]/Table2[[#This Row],[Conversion]])</f>
        <v/>
      </c>
      <c r="K3478" s="45" t="str">
        <f>IF(Table2[[#This Row],[Description]]="","",DATE(Table2[[#This Row],[Year]],Table2[[#This Row],[Month]],1))</f>
        <v/>
      </c>
    </row>
    <row r="3479" spans="7:11" x14ac:dyDescent="0.25">
      <c r="G3479" s="1" t="str">
        <f>IF(Table2[[#This Row],[Description]]="","",VLOOKUP(Table2[[#This Row],[Description]],$Q$1:$S$101,2,FALSE))</f>
        <v/>
      </c>
      <c r="H3479" s="1" t="str">
        <f>IF(Table2[[#This Row],[Description]]="","",VLOOKUP(Table2[[#This Row],[Description]],$Q$1:$S$101,3,FALSE))</f>
        <v/>
      </c>
      <c r="I3479" s="1" t="str">
        <f>IF(Table2[[#This Row],[Description]]="","",IF(Table2[[#This Row],[Currency]]=$O$2,$P$2,HLOOKUP(Table2[[#This Row],[Date]],Funds!$C$10:$GV$11,2,FALSE)))</f>
        <v/>
      </c>
      <c r="J3479" s="215" t="str">
        <f>IF(Table2[[#This Row],[Description]]="","",Table2[[#This Row],[Value]]/Table2[[#This Row],[Conversion]])</f>
        <v/>
      </c>
      <c r="K3479" s="45" t="str">
        <f>IF(Table2[[#This Row],[Description]]="","",DATE(Table2[[#This Row],[Year]],Table2[[#This Row],[Month]],1))</f>
        <v/>
      </c>
    </row>
    <row r="3480" spans="7:11" x14ac:dyDescent="0.25">
      <c r="G3480" s="1" t="str">
        <f>IF(Table2[[#This Row],[Description]]="","",VLOOKUP(Table2[[#This Row],[Description]],$Q$1:$S$101,2,FALSE))</f>
        <v/>
      </c>
      <c r="H3480" s="1" t="str">
        <f>IF(Table2[[#This Row],[Description]]="","",VLOOKUP(Table2[[#This Row],[Description]],$Q$1:$S$101,3,FALSE))</f>
        <v/>
      </c>
      <c r="I3480" s="1" t="str">
        <f>IF(Table2[[#This Row],[Description]]="","",IF(Table2[[#This Row],[Currency]]=$O$2,$P$2,HLOOKUP(Table2[[#This Row],[Date]],Funds!$C$10:$GV$11,2,FALSE)))</f>
        <v/>
      </c>
      <c r="J3480" s="215" t="str">
        <f>IF(Table2[[#This Row],[Description]]="","",Table2[[#This Row],[Value]]/Table2[[#This Row],[Conversion]])</f>
        <v/>
      </c>
      <c r="K3480" s="45" t="str">
        <f>IF(Table2[[#This Row],[Description]]="","",DATE(Table2[[#This Row],[Year]],Table2[[#This Row],[Month]],1))</f>
        <v/>
      </c>
    </row>
    <row r="3481" spans="7:11" x14ac:dyDescent="0.25">
      <c r="G3481" s="1" t="str">
        <f>IF(Table2[[#This Row],[Description]]="","",VLOOKUP(Table2[[#This Row],[Description]],$Q$1:$S$101,2,FALSE))</f>
        <v/>
      </c>
      <c r="H3481" s="1" t="str">
        <f>IF(Table2[[#This Row],[Description]]="","",VLOOKUP(Table2[[#This Row],[Description]],$Q$1:$S$101,3,FALSE))</f>
        <v/>
      </c>
      <c r="I3481" s="1" t="str">
        <f>IF(Table2[[#This Row],[Description]]="","",IF(Table2[[#This Row],[Currency]]=$O$2,$P$2,HLOOKUP(Table2[[#This Row],[Date]],Funds!$C$10:$GV$11,2,FALSE)))</f>
        <v/>
      </c>
      <c r="J3481" s="215" t="str">
        <f>IF(Table2[[#This Row],[Description]]="","",Table2[[#This Row],[Value]]/Table2[[#This Row],[Conversion]])</f>
        <v/>
      </c>
      <c r="K3481" s="45" t="str">
        <f>IF(Table2[[#This Row],[Description]]="","",DATE(Table2[[#This Row],[Year]],Table2[[#This Row],[Month]],1))</f>
        <v/>
      </c>
    </row>
    <row r="3482" spans="7:11" x14ac:dyDescent="0.25">
      <c r="G3482" s="1" t="str">
        <f>IF(Table2[[#This Row],[Description]]="","",VLOOKUP(Table2[[#This Row],[Description]],$Q$1:$S$101,2,FALSE))</f>
        <v/>
      </c>
      <c r="H3482" s="1" t="str">
        <f>IF(Table2[[#This Row],[Description]]="","",VLOOKUP(Table2[[#This Row],[Description]],$Q$1:$S$101,3,FALSE))</f>
        <v/>
      </c>
      <c r="I3482" s="1" t="str">
        <f>IF(Table2[[#This Row],[Description]]="","",IF(Table2[[#This Row],[Currency]]=$O$2,$P$2,HLOOKUP(Table2[[#This Row],[Date]],Funds!$C$10:$GV$11,2,FALSE)))</f>
        <v/>
      </c>
      <c r="J3482" s="215" t="str">
        <f>IF(Table2[[#This Row],[Description]]="","",Table2[[#This Row],[Value]]/Table2[[#This Row],[Conversion]])</f>
        <v/>
      </c>
      <c r="K3482" s="45" t="str">
        <f>IF(Table2[[#This Row],[Description]]="","",DATE(Table2[[#This Row],[Year]],Table2[[#This Row],[Month]],1))</f>
        <v/>
      </c>
    </row>
    <row r="3483" spans="7:11" x14ac:dyDescent="0.25">
      <c r="G3483" s="1" t="str">
        <f>IF(Table2[[#This Row],[Description]]="","",VLOOKUP(Table2[[#This Row],[Description]],$Q$1:$S$101,2,FALSE))</f>
        <v/>
      </c>
      <c r="H3483" s="1" t="str">
        <f>IF(Table2[[#This Row],[Description]]="","",VLOOKUP(Table2[[#This Row],[Description]],$Q$1:$S$101,3,FALSE))</f>
        <v/>
      </c>
      <c r="I3483" s="1" t="str">
        <f>IF(Table2[[#This Row],[Description]]="","",IF(Table2[[#This Row],[Currency]]=$O$2,$P$2,HLOOKUP(Table2[[#This Row],[Date]],Funds!$C$10:$GV$11,2,FALSE)))</f>
        <v/>
      </c>
      <c r="J3483" s="215" t="str">
        <f>IF(Table2[[#This Row],[Description]]="","",Table2[[#This Row],[Value]]/Table2[[#This Row],[Conversion]])</f>
        <v/>
      </c>
      <c r="K3483" s="45" t="str">
        <f>IF(Table2[[#This Row],[Description]]="","",DATE(Table2[[#This Row],[Year]],Table2[[#This Row],[Month]],1))</f>
        <v/>
      </c>
    </row>
    <row r="3484" spans="7:11" x14ac:dyDescent="0.25">
      <c r="G3484" s="1" t="str">
        <f>IF(Table2[[#This Row],[Description]]="","",VLOOKUP(Table2[[#This Row],[Description]],$Q$1:$S$101,2,FALSE))</f>
        <v/>
      </c>
      <c r="H3484" s="1" t="str">
        <f>IF(Table2[[#This Row],[Description]]="","",VLOOKUP(Table2[[#This Row],[Description]],$Q$1:$S$101,3,FALSE))</f>
        <v/>
      </c>
      <c r="I3484" s="1" t="str">
        <f>IF(Table2[[#This Row],[Description]]="","",IF(Table2[[#This Row],[Currency]]=$O$2,$P$2,HLOOKUP(Table2[[#This Row],[Date]],Funds!$C$10:$GV$11,2,FALSE)))</f>
        <v/>
      </c>
      <c r="J3484" s="215" t="str">
        <f>IF(Table2[[#This Row],[Description]]="","",Table2[[#This Row],[Value]]/Table2[[#This Row],[Conversion]])</f>
        <v/>
      </c>
      <c r="K3484" s="45" t="str">
        <f>IF(Table2[[#This Row],[Description]]="","",DATE(Table2[[#This Row],[Year]],Table2[[#This Row],[Month]],1))</f>
        <v/>
      </c>
    </row>
    <row r="3485" spans="7:11" x14ac:dyDescent="0.25">
      <c r="G3485" s="1" t="str">
        <f>IF(Table2[[#This Row],[Description]]="","",VLOOKUP(Table2[[#This Row],[Description]],$Q$1:$S$101,2,FALSE))</f>
        <v/>
      </c>
      <c r="H3485" s="1" t="str">
        <f>IF(Table2[[#This Row],[Description]]="","",VLOOKUP(Table2[[#This Row],[Description]],$Q$1:$S$101,3,FALSE))</f>
        <v/>
      </c>
      <c r="I3485" s="1" t="str">
        <f>IF(Table2[[#This Row],[Description]]="","",IF(Table2[[#This Row],[Currency]]=$O$2,$P$2,HLOOKUP(Table2[[#This Row],[Date]],Funds!$C$10:$GV$11,2,FALSE)))</f>
        <v/>
      </c>
      <c r="J3485" s="215" t="str">
        <f>IF(Table2[[#This Row],[Description]]="","",Table2[[#This Row],[Value]]/Table2[[#This Row],[Conversion]])</f>
        <v/>
      </c>
      <c r="K3485" s="45" t="str">
        <f>IF(Table2[[#This Row],[Description]]="","",DATE(Table2[[#This Row],[Year]],Table2[[#This Row],[Month]],1))</f>
        <v/>
      </c>
    </row>
    <row r="3486" spans="7:11" x14ac:dyDescent="0.25">
      <c r="G3486" s="1" t="str">
        <f>IF(Table2[[#This Row],[Description]]="","",VLOOKUP(Table2[[#This Row],[Description]],$Q$1:$S$101,2,FALSE))</f>
        <v/>
      </c>
      <c r="H3486" s="1" t="str">
        <f>IF(Table2[[#This Row],[Description]]="","",VLOOKUP(Table2[[#This Row],[Description]],$Q$1:$S$101,3,FALSE))</f>
        <v/>
      </c>
      <c r="I3486" s="1" t="str">
        <f>IF(Table2[[#This Row],[Description]]="","",IF(Table2[[#This Row],[Currency]]=$O$2,$P$2,HLOOKUP(Table2[[#This Row],[Date]],Funds!$C$10:$GV$11,2,FALSE)))</f>
        <v/>
      </c>
      <c r="J3486" s="215" t="str">
        <f>IF(Table2[[#This Row],[Description]]="","",Table2[[#This Row],[Value]]/Table2[[#This Row],[Conversion]])</f>
        <v/>
      </c>
      <c r="K3486" s="45" t="str">
        <f>IF(Table2[[#This Row],[Description]]="","",DATE(Table2[[#This Row],[Year]],Table2[[#This Row],[Month]],1))</f>
        <v/>
      </c>
    </row>
    <row r="3487" spans="7:11" x14ac:dyDescent="0.25">
      <c r="G3487" s="1" t="str">
        <f>IF(Table2[[#This Row],[Description]]="","",VLOOKUP(Table2[[#This Row],[Description]],$Q$1:$S$101,2,FALSE))</f>
        <v/>
      </c>
      <c r="H3487" s="1" t="str">
        <f>IF(Table2[[#This Row],[Description]]="","",VLOOKUP(Table2[[#This Row],[Description]],$Q$1:$S$101,3,FALSE))</f>
        <v/>
      </c>
      <c r="I3487" s="1" t="str">
        <f>IF(Table2[[#This Row],[Description]]="","",IF(Table2[[#This Row],[Currency]]=$O$2,$P$2,HLOOKUP(Table2[[#This Row],[Date]],Funds!$C$10:$GV$11,2,FALSE)))</f>
        <v/>
      </c>
      <c r="J3487" s="215" t="str">
        <f>IF(Table2[[#This Row],[Description]]="","",Table2[[#This Row],[Value]]/Table2[[#This Row],[Conversion]])</f>
        <v/>
      </c>
      <c r="K3487" s="45" t="str">
        <f>IF(Table2[[#This Row],[Description]]="","",DATE(Table2[[#This Row],[Year]],Table2[[#This Row],[Month]],1))</f>
        <v/>
      </c>
    </row>
    <row r="3488" spans="7:11" x14ac:dyDescent="0.25">
      <c r="G3488" s="1" t="str">
        <f>IF(Table2[[#This Row],[Description]]="","",VLOOKUP(Table2[[#This Row],[Description]],$Q$1:$S$101,2,FALSE))</f>
        <v/>
      </c>
      <c r="H3488" s="1" t="str">
        <f>IF(Table2[[#This Row],[Description]]="","",VLOOKUP(Table2[[#This Row],[Description]],$Q$1:$S$101,3,FALSE))</f>
        <v/>
      </c>
      <c r="I3488" s="1" t="str">
        <f>IF(Table2[[#This Row],[Description]]="","",IF(Table2[[#This Row],[Currency]]=$O$2,$P$2,HLOOKUP(Table2[[#This Row],[Date]],Funds!$C$10:$GV$11,2,FALSE)))</f>
        <v/>
      </c>
      <c r="J3488" s="215" t="str">
        <f>IF(Table2[[#This Row],[Description]]="","",Table2[[#This Row],[Value]]/Table2[[#This Row],[Conversion]])</f>
        <v/>
      </c>
      <c r="K3488" s="45" t="str">
        <f>IF(Table2[[#This Row],[Description]]="","",DATE(Table2[[#This Row],[Year]],Table2[[#This Row],[Month]],1))</f>
        <v/>
      </c>
    </row>
    <row r="3489" spans="7:11" x14ac:dyDescent="0.25">
      <c r="G3489" s="1" t="str">
        <f>IF(Table2[[#This Row],[Description]]="","",VLOOKUP(Table2[[#This Row],[Description]],$Q$1:$S$101,2,FALSE))</f>
        <v/>
      </c>
      <c r="H3489" s="1" t="str">
        <f>IF(Table2[[#This Row],[Description]]="","",VLOOKUP(Table2[[#This Row],[Description]],$Q$1:$S$101,3,FALSE))</f>
        <v/>
      </c>
      <c r="I3489" s="1" t="str">
        <f>IF(Table2[[#This Row],[Description]]="","",IF(Table2[[#This Row],[Currency]]=$O$2,$P$2,HLOOKUP(Table2[[#This Row],[Date]],Funds!$C$10:$GV$11,2,FALSE)))</f>
        <v/>
      </c>
      <c r="J3489" s="215" t="str">
        <f>IF(Table2[[#This Row],[Description]]="","",Table2[[#This Row],[Value]]/Table2[[#This Row],[Conversion]])</f>
        <v/>
      </c>
      <c r="K3489" s="45" t="str">
        <f>IF(Table2[[#This Row],[Description]]="","",DATE(Table2[[#This Row],[Year]],Table2[[#This Row],[Month]],1))</f>
        <v/>
      </c>
    </row>
    <row r="3490" spans="7:11" x14ac:dyDescent="0.25">
      <c r="G3490" s="1" t="str">
        <f>IF(Table2[[#This Row],[Description]]="","",VLOOKUP(Table2[[#This Row],[Description]],$Q$1:$S$101,2,FALSE))</f>
        <v/>
      </c>
      <c r="H3490" s="1" t="str">
        <f>IF(Table2[[#This Row],[Description]]="","",VLOOKUP(Table2[[#This Row],[Description]],$Q$1:$S$101,3,FALSE))</f>
        <v/>
      </c>
      <c r="I3490" s="1" t="str">
        <f>IF(Table2[[#This Row],[Description]]="","",IF(Table2[[#This Row],[Currency]]=$O$2,$P$2,HLOOKUP(Table2[[#This Row],[Date]],Funds!$C$10:$GV$11,2,FALSE)))</f>
        <v/>
      </c>
      <c r="J3490" s="215" t="str">
        <f>IF(Table2[[#This Row],[Description]]="","",Table2[[#This Row],[Value]]/Table2[[#This Row],[Conversion]])</f>
        <v/>
      </c>
      <c r="K3490" s="45" t="str">
        <f>IF(Table2[[#This Row],[Description]]="","",DATE(Table2[[#This Row],[Year]],Table2[[#This Row],[Month]],1))</f>
        <v/>
      </c>
    </row>
    <row r="3491" spans="7:11" x14ac:dyDescent="0.25">
      <c r="G3491" s="1" t="str">
        <f>IF(Table2[[#This Row],[Description]]="","",VLOOKUP(Table2[[#This Row],[Description]],$Q$1:$S$101,2,FALSE))</f>
        <v/>
      </c>
      <c r="H3491" s="1" t="str">
        <f>IF(Table2[[#This Row],[Description]]="","",VLOOKUP(Table2[[#This Row],[Description]],$Q$1:$S$101,3,FALSE))</f>
        <v/>
      </c>
      <c r="I3491" s="1" t="str">
        <f>IF(Table2[[#This Row],[Description]]="","",IF(Table2[[#This Row],[Currency]]=$O$2,$P$2,HLOOKUP(Table2[[#This Row],[Date]],Funds!$C$10:$GV$11,2,FALSE)))</f>
        <v/>
      </c>
      <c r="J3491" s="215" t="str">
        <f>IF(Table2[[#This Row],[Description]]="","",Table2[[#This Row],[Value]]/Table2[[#This Row],[Conversion]])</f>
        <v/>
      </c>
      <c r="K3491" s="45" t="str">
        <f>IF(Table2[[#This Row],[Description]]="","",DATE(Table2[[#This Row],[Year]],Table2[[#This Row],[Month]],1))</f>
        <v/>
      </c>
    </row>
    <row r="3492" spans="7:11" x14ac:dyDescent="0.25">
      <c r="G3492" s="1" t="str">
        <f>IF(Table2[[#This Row],[Description]]="","",VLOOKUP(Table2[[#This Row],[Description]],$Q$1:$S$101,2,FALSE))</f>
        <v/>
      </c>
      <c r="H3492" s="1" t="str">
        <f>IF(Table2[[#This Row],[Description]]="","",VLOOKUP(Table2[[#This Row],[Description]],$Q$1:$S$101,3,FALSE))</f>
        <v/>
      </c>
      <c r="I3492" s="1" t="str">
        <f>IF(Table2[[#This Row],[Description]]="","",IF(Table2[[#This Row],[Currency]]=$O$2,$P$2,HLOOKUP(Table2[[#This Row],[Date]],Funds!$C$10:$GV$11,2,FALSE)))</f>
        <v/>
      </c>
      <c r="J3492" s="215" t="str">
        <f>IF(Table2[[#This Row],[Description]]="","",Table2[[#This Row],[Value]]/Table2[[#This Row],[Conversion]])</f>
        <v/>
      </c>
      <c r="K3492" s="45" t="str">
        <f>IF(Table2[[#This Row],[Description]]="","",DATE(Table2[[#This Row],[Year]],Table2[[#This Row],[Month]],1))</f>
        <v/>
      </c>
    </row>
    <row r="3493" spans="7:11" x14ac:dyDescent="0.25">
      <c r="G3493" s="1" t="str">
        <f>IF(Table2[[#This Row],[Description]]="","",VLOOKUP(Table2[[#This Row],[Description]],$Q$1:$S$101,2,FALSE))</f>
        <v/>
      </c>
      <c r="H3493" s="1" t="str">
        <f>IF(Table2[[#This Row],[Description]]="","",VLOOKUP(Table2[[#This Row],[Description]],$Q$1:$S$101,3,FALSE))</f>
        <v/>
      </c>
      <c r="I3493" s="1" t="str">
        <f>IF(Table2[[#This Row],[Description]]="","",IF(Table2[[#This Row],[Currency]]=$O$2,$P$2,HLOOKUP(Table2[[#This Row],[Date]],Funds!$C$10:$GV$11,2,FALSE)))</f>
        <v/>
      </c>
      <c r="J3493" s="215" t="str">
        <f>IF(Table2[[#This Row],[Description]]="","",Table2[[#This Row],[Value]]/Table2[[#This Row],[Conversion]])</f>
        <v/>
      </c>
      <c r="K3493" s="45" t="str">
        <f>IF(Table2[[#This Row],[Description]]="","",DATE(Table2[[#This Row],[Year]],Table2[[#This Row],[Month]],1))</f>
        <v/>
      </c>
    </row>
    <row r="3494" spans="7:11" x14ac:dyDescent="0.25">
      <c r="G3494" s="1" t="str">
        <f>IF(Table2[[#This Row],[Description]]="","",VLOOKUP(Table2[[#This Row],[Description]],$Q$1:$S$101,2,FALSE))</f>
        <v/>
      </c>
      <c r="H3494" s="1" t="str">
        <f>IF(Table2[[#This Row],[Description]]="","",VLOOKUP(Table2[[#This Row],[Description]],$Q$1:$S$101,3,FALSE))</f>
        <v/>
      </c>
      <c r="I3494" s="1" t="str">
        <f>IF(Table2[[#This Row],[Description]]="","",IF(Table2[[#This Row],[Currency]]=$O$2,$P$2,HLOOKUP(Table2[[#This Row],[Date]],Funds!$C$10:$GV$11,2,FALSE)))</f>
        <v/>
      </c>
      <c r="J3494" s="215" t="str">
        <f>IF(Table2[[#This Row],[Description]]="","",Table2[[#This Row],[Value]]/Table2[[#This Row],[Conversion]])</f>
        <v/>
      </c>
      <c r="K3494" s="45" t="str">
        <f>IF(Table2[[#This Row],[Description]]="","",DATE(Table2[[#This Row],[Year]],Table2[[#This Row],[Month]],1))</f>
        <v/>
      </c>
    </row>
    <row r="3495" spans="7:11" x14ac:dyDescent="0.25">
      <c r="G3495" s="1" t="str">
        <f>IF(Table2[[#This Row],[Description]]="","",VLOOKUP(Table2[[#This Row],[Description]],$Q$1:$S$101,2,FALSE))</f>
        <v/>
      </c>
      <c r="H3495" s="1" t="str">
        <f>IF(Table2[[#This Row],[Description]]="","",VLOOKUP(Table2[[#This Row],[Description]],$Q$1:$S$101,3,FALSE))</f>
        <v/>
      </c>
      <c r="I3495" s="1" t="str">
        <f>IF(Table2[[#This Row],[Description]]="","",IF(Table2[[#This Row],[Currency]]=$O$2,$P$2,HLOOKUP(Table2[[#This Row],[Date]],Funds!$C$10:$GV$11,2,FALSE)))</f>
        <v/>
      </c>
      <c r="J3495" s="215" t="str">
        <f>IF(Table2[[#This Row],[Description]]="","",Table2[[#This Row],[Value]]/Table2[[#This Row],[Conversion]])</f>
        <v/>
      </c>
      <c r="K3495" s="45" t="str">
        <f>IF(Table2[[#This Row],[Description]]="","",DATE(Table2[[#This Row],[Year]],Table2[[#This Row],[Month]],1))</f>
        <v/>
      </c>
    </row>
    <row r="3496" spans="7:11" x14ac:dyDescent="0.25">
      <c r="G3496" s="1" t="str">
        <f>IF(Table2[[#This Row],[Description]]="","",VLOOKUP(Table2[[#This Row],[Description]],$Q$1:$S$101,2,FALSE))</f>
        <v/>
      </c>
      <c r="H3496" s="1" t="str">
        <f>IF(Table2[[#This Row],[Description]]="","",VLOOKUP(Table2[[#This Row],[Description]],$Q$1:$S$101,3,FALSE))</f>
        <v/>
      </c>
      <c r="I3496" s="1" t="str">
        <f>IF(Table2[[#This Row],[Description]]="","",IF(Table2[[#This Row],[Currency]]=$O$2,$P$2,HLOOKUP(Table2[[#This Row],[Date]],Funds!$C$10:$GV$11,2,FALSE)))</f>
        <v/>
      </c>
      <c r="J3496" s="215" t="str">
        <f>IF(Table2[[#This Row],[Description]]="","",Table2[[#This Row],[Value]]/Table2[[#This Row],[Conversion]])</f>
        <v/>
      </c>
      <c r="K3496" s="45" t="str">
        <f>IF(Table2[[#This Row],[Description]]="","",DATE(Table2[[#This Row],[Year]],Table2[[#This Row],[Month]],1))</f>
        <v/>
      </c>
    </row>
    <row r="3497" spans="7:11" x14ac:dyDescent="0.25">
      <c r="G3497" s="1" t="str">
        <f>IF(Table2[[#This Row],[Description]]="","",VLOOKUP(Table2[[#This Row],[Description]],$Q$1:$S$101,2,FALSE))</f>
        <v/>
      </c>
      <c r="H3497" s="1" t="str">
        <f>IF(Table2[[#This Row],[Description]]="","",VLOOKUP(Table2[[#This Row],[Description]],$Q$1:$S$101,3,FALSE))</f>
        <v/>
      </c>
      <c r="I3497" s="1" t="str">
        <f>IF(Table2[[#This Row],[Description]]="","",IF(Table2[[#This Row],[Currency]]=$O$2,$P$2,HLOOKUP(Table2[[#This Row],[Date]],Funds!$C$10:$GV$11,2,FALSE)))</f>
        <v/>
      </c>
      <c r="J3497" s="215" t="str">
        <f>IF(Table2[[#This Row],[Description]]="","",Table2[[#This Row],[Value]]/Table2[[#This Row],[Conversion]])</f>
        <v/>
      </c>
      <c r="K3497" s="45" t="str">
        <f>IF(Table2[[#This Row],[Description]]="","",DATE(Table2[[#This Row],[Year]],Table2[[#This Row],[Month]],1))</f>
        <v/>
      </c>
    </row>
    <row r="3498" spans="7:11" x14ac:dyDescent="0.25">
      <c r="G3498" s="1" t="str">
        <f>IF(Table2[[#This Row],[Description]]="","",VLOOKUP(Table2[[#This Row],[Description]],$Q$1:$S$101,2,FALSE))</f>
        <v/>
      </c>
      <c r="H3498" s="1" t="str">
        <f>IF(Table2[[#This Row],[Description]]="","",VLOOKUP(Table2[[#This Row],[Description]],$Q$1:$S$101,3,FALSE))</f>
        <v/>
      </c>
      <c r="I3498" s="1" t="str">
        <f>IF(Table2[[#This Row],[Description]]="","",IF(Table2[[#This Row],[Currency]]=$O$2,$P$2,HLOOKUP(Table2[[#This Row],[Date]],Funds!$C$10:$GV$11,2,FALSE)))</f>
        <v/>
      </c>
      <c r="J3498" s="215" t="str">
        <f>IF(Table2[[#This Row],[Description]]="","",Table2[[#This Row],[Value]]/Table2[[#This Row],[Conversion]])</f>
        <v/>
      </c>
      <c r="K3498" s="45" t="str">
        <f>IF(Table2[[#This Row],[Description]]="","",DATE(Table2[[#This Row],[Year]],Table2[[#This Row],[Month]],1))</f>
        <v/>
      </c>
    </row>
    <row r="3499" spans="7:11" x14ac:dyDescent="0.25">
      <c r="G3499" s="1" t="str">
        <f>IF(Table2[[#This Row],[Description]]="","",VLOOKUP(Table2[[#This Row],[Description]],$Q$1:$S$101,2,FALSE))</f>
        <v/>
      </c>
      <c r="H3499" s="1" t="str">
        <f>IF(Table2[[#This Row],[Description]]="","",VLOOKUP(Table2[[#This Row],[Description]],$Q$1:$S$101,3,FALSE))</f>
        <v/>
      </c>
      <c r="I3499" s="1" t="str">
        <f>IF(Table2[[#This Row],[Description]]="","",IF(Table2[[#This Row],[Currency]]=$O$2,$P$2,HLOOKUP(Table2[[#This Row],[Date]],Funds!$C$10:$GV$11,2,FALSE)))</f>
        <v/>
      </c>
      <c r="J3499" s="215" t="str">
        <f>IF(Table2[[#This Row],[Description]]="","",Table2[[#This Row],[Value]]/Table2[[#This Row],[Conversion]])</f>
        <v/>
      </c>
      <c r="K3499" s="45" t="str">
        <f>IF(Table2[[#This Row],[Description]]="","",DATE(Table2[[#This Row],[Year]],Table2[[#This Row],[Month]],1))</f>
        <v/>
      </c>
    </row>
    <row r="3500" spans="7:11" x14ac:dyDescent="0.25">
      <c r="G3500" s="1" t="str">
        <f>IF(Table2[[#This Row],[Description]]="","",VLOOKUP(Table2[[#This Row],[Description]],$Q$1:$S$101,2,FALSE))</f>
        <v/>
      </c>
      <c r="H3500" s="1" t="str">
        <f>IF(Table2[[#This Row],[Description]]="","",VLOOKUP(Table2[[#This Row],[Description]],$Q$1:$S$101,3,FALSE))</f>
        <v/>
      </c>
      <c r="I3500" s="1" t="str">
        <f>IF(Table2[[#This Row],[Description]]="","",IF(Table2[[#This Row],[Currency]]=$O$2,$P$2,HLOOKUP(Table2[[#This Row],[Date]],Funds!$C$10:$GV$11,2,FALSE)))</f>
        <v/>
      </c>
      <c r="J3500" s="215" t="str">
        <f>IF(Table2[[#This Row],[Description]]="","",Table2[[#This Row],[Value]]/Table2[[#This Row],[Conversion]])</f>
        <v/>
      </c>
      <c r="K3500" s="45" t="str">
        <f>IF(Table2[[#This Row],[Description]]="","",DATE(Table2[[#This Row],[Year]],Table2[[#This Row],[Month]],1))</f>
        <v/>
      </c>
    </row>
    <row r="3501" spans="7:11" x14ac:dyDescent="0.25">
      <c r="G3501" s="1" t="str">
        <f>IF(Table2[[#This Row],[Description]]="","",VLOOKUP(Table2[[#This Row],[Description]],$Q$1:$S$101,2,FALSE))</f>
        <v/>
      </c>
      <c r="H3501" s="1" t="str">
        <f>IF(Table2[[#This Row],[Description]]="","",VLOOKUP(Table2[[#This Row],[Description]],$Q$1:$S$101,3,FALSE))</f>
        <v/>
      </c>
      <c r="I3501" s="1" t="str">
        <f>IF(Table2[[#This Row],[Description]]="","",IF(Table2[[#This Row],[Currency]]=$O$2,$P$2,HLOOKUP(Table2[[#This Row],[Date]],Funds!$C$10:$GV$11,2,FALSE)))</f>
        <v/>
      </c>
      <c r="J3501" s="215" t="str">
        <f>IF(Table2[[#This Row],[Description]]="","",Table2[[#This Row],[Value]]/Table2[[#This Row],[Conversion]])</f>
        <v/>
      </c>
      <c r="K3501" s="45" t="str">
        <f>IF(Table2[[#This Row],[Description]]="","",DATE(Table2[[#This Row],[Year]],Table2[[#This Row],[Month]],1))</f>
        <v/>
      </c>
    </row>
    <row r="3502" spans="7:11" x14ac:dyDescent="0.25">
      <c r="G3502" s="1" t="str">
        <f>IF(Table2[[#This Row],[Description]]="","",VLOOKUP(Table2[[#This Row],[Description]],$Q$1:$S$101,2,FALSE))</f>
        <v/>
      </c>
      <c r="H3502" s="1" t="str">
        <f>IF(Table2[[#This Row],[Description]]="","",VLOOKUP(Table2[[#This Row],[Description]],$Q$1:$S$101,3,FALSE))</f>
        <v/>
      </c>
      <c r="I3502" s="1" t="str">
        <f>IF(Table2[[#This Row],[Description]]="","",IF(Table2[[#This Row],[Currency]]=$O$2,$P$2,HLOOKUP(Table2[[#This Row],[Date]],Funds!$C$10:$GV$11,2,FALSE)))</f>
        <v/>
      </c>
      <c r="J3502" s="215" t="str">
        <f>IF(Table2[[#This Row],[Description]]="","",Table2[[#This Row],[Value]]/Table2[[#This Row],[Conversion]])</f>
        <v/>
      </c>
      <c r="K3502" s="45" t="str">
        <f>IF(Table2[[#This Row],[Description]]="","",DATE(Table2[[#This Row],[Year]],Table2[[#This Row],[Month]],1))</f>
        <v/>
      </c>
    </row>
    <row r="3503" spans="7:11" x14ac:dyDescent="0.25">
      <c r="G3503" s="1" t="str">
        <f>IF(Table2[[#This Row],[Description]]="","",VLOOKUP(Table2[[#This Row],[Description]],$Q$1:$S$101,2,FALSE))</f>
        <v/>
      </c>
      <c r="H3503" s="1" t="str">
        <f>IF(Table2[[#This Row],[Description]]="","",VLOOKUP(Table2[[#This Row],[Description]],$Q$1:$S$101,3,FALSE))</f>
        <v/>
      </c>
      <c r="I3503" s="1" t="str">
        <f>IF(Table2[[#This Row],[Description]]="","",IF(Table2[[#This Row],[Currency]]=$O$2,$P$2,HLOOKUP(Table2[[#This Row],[Date]],Funds!$C$10:$GV$11,2,FALSE)))</f>
        <v/>
      </c>
      <c r="J3503" s="215" t="str">
        <f>IF(Table2[[#This Row],[Description]]="","",Table2[[#This Row],[Value]]/Table2[[#This Row],[Conversion]])</f>
        <v/>
      </c>
      <c r="K3503" s="45" t="str">
        <f>IF(Table2[[#This Row],[Description]]="","",DATE(Table2[[#This Row],[Year]],Table2[[#This Row],[Month]],1))</f>
        <v/>
      </c>
    </row>
    <row r="3504" spans="7:11" x14ac:dyDescent="0.25">
      <c r="G3504" s="1" t="str">
        <f>IF(Table2[[#This Row],[Description]]="","",VLOOKUP(Table2[[#This Row],[Description]],$Q$1:$S$101,2,FALSE))</f>
        <v/>
      </c>
      <c r="H3504" s="1" t="str">
        <f>IF(Table2[[#This Row],[Description]]="","",VLOOKUP(Table2[[#This Row],[Description]],$Q$1:$S$101,3,FALSE))</f>
        <v/>
      </c>
      <c r="I3504" s="1" t="str">
        <f>IF(Table2[[#This Row],[Description]]="","",IF(Table2[[#This Row],[Currency]]=$O$2,$P$2,HLOOKUP(Table2[[#This Row],[Date]],Funds!$C$10:$GV$11,2,FALSE)))</f>
        <v/>
      </c>
      <c r="J3504" s="215" t="str">
        <f>IF(Table2[[#This Row],[Description]]="","",Table2[[#This Row],[Value]]/Table2[[#This Row],[Conversion]])</f>
        <v/>
      </c>
      <c r="K3504" s="45" t="str">
        <f>IF(Table2[[#This Row],[Description]]="","",DATE(Table2[[#This Row],[Year]],Table2[[#This Row],[Month]],1))</f>
        <v/>
      </c>
    </row>
    <row r="3505" spans="7:11" x14ac:dyDescent="0.25">
      <c r="G3505" s="1" t="str">
        <f>IF(Table2[[#This Row],[Description]]="","",VLOOKUP(Table2[[#This Row],[Description]],$Q$1:$S$101,2,FALSE))</f>
        <v/>
      </c>
      <c r="H3505" s="1" t="str">
        <f>IF(Table2[[#This Row],[Description]]="","",VLOOKUP(Table2[[#This Row],[Description]],$Q$1:$S$101,3,FALSE))</f>
        <v/>
      </c>
      <c r="I3505" s="1" t="str">
        <f>IF(Table2[[#This Row],[Description]]="","",IF(Table2[[#This Row],[Currency]]=$O$2,$P$2,HLOOKUP(Table2[[#This Row],[Date]],Funds!$C$10:$GV$11,2,FALSE)))</f>
        <v/>
      </c>
      <c r="J3505" s="215" t="str">
        <f>IF(Table2[[#This Row],[Description]]="","",Table2[[#This Row],[Value]]/Table2[[#This Row],[Conversion]])</f>
        <v/>
      </c>
      <c r="K3505" s="45" t="str">
        <f>IF(Table2[[#This Row],[Description]]="","",DATE(Table2[[#This Row],[Year]],Table2[[#This Row],[Month]],1))</f>
        <v/>
      </c>
    </row>
    <row r="3506" spans="7:11" x14ac:dyDescent="0.25">
      <c r="G3506" s="1" t="str">
        <f>IF(Table2[[#This Row],[Description]]="","",VLOOKUP(Table2[[#This Row],[Description]],$Q$1:$S$101,2,FALSE))</f>
        <v/>
      </c>
      <c r="H3506" s="1" t="str">
        <f>IF(Table2[[#This Row],[Description]]="","",VLOOKUP(Table2[[#This Row],[Description]],$Q$1:$S$101,3,FALSE))</f>
        <v/>
      </c>
      <c r="I3506" s="1" t="str">
        <f>IF(Table2[[#This Row],[Description]]="","",IF(Table2[[#This Row],[Currency]]=$O$2,$P$2,HLOOKUP(Table2[[#This Row],[Date]],Funds!$C$10:$GV$11,2,FALSE)))</f>
        <v/>
      </c>
      <c r="J3506" s="215" t="str">
        <f>IF(Table2[[#This Row],[Description]]="","",Table2[[#This Row],[Value]]/Table2[[#This Row],[Conversion]])</f>
        <v/>
      </c>
      <c r="K3506" s="45" t="str">
        <f>IF(Table2[[#This Row],[Description]]="","",DATE(Table2[[#This Row],[Year]],Table2[[#This Row],[Month]],1))</f>
        <v/>
      </c>
    </row>
    <row r="3507" spans="7:11" x14ac:dyDescent="0.25">
      <c r="G3507" s="1" t="str">
        <f>IF(Table2[[#This Row],[Description]]="","",VLOOKUP(Table2[[#This Row],[Description]],$Q$1:$S$101,2,FALSE))</f>
        <v/>
      </c>
      <c r="H3507" s="1" t="str">
        <f>IF(Table2[[#This Row],[Description]]="","",VLOOKUP(Table2[[#This Row],[Description]],$Q$1:$S$101,3,FALSE))</f>
        <v/>
      </c>
      <c r="I3507" s="1" t="str">
        <f>IF(Table2[[#This Row],[Description]]="","",IF(Table2[[#This Row],[Currency]]=$O$2,$P$2,HLOOKUP(Table2[[#This Row],[Date]],Funds!$C$10:$GV$11,2,FALSE)))</f>
        <v/>
      </c>
      <c r="J3507" s="215" t="str">
        <f>IF(Table2[[#This Row],[Description]]="","",Table2[[#This Row],[Value]]/Table2[[#This Row],[Conversion]])</f>
        <v/>
      </c>
      <c r="K3507" s="45" t="str">
        <f>IF(Table2[[#This Row],[Description]]="","",DATE(Table2[[#This Row],[Year]],Table2[[#This Row],[Month]],1))</f>
        <v/>
      </c>
    </row>
    <row r="3508" spans="7:11" x14ac:dyDescent="0.25">
      <c r="G3508" s="1" t="str">
        <f>IF(Table2[[#This Row],[Description]]="","",VLOOKUP(Table2[[#This Row],[Description]],$Q$1:$S$101,2,FALSE))</f>
        <v/>
      </c>
      <c r="H3508" s="1" t="str">
        <f>IF(Table2[[#This Row],[Description]]="","",VLOOKUP(Table2[[#This Row],[Description]],$Q$1:$S$101,3,FALSE))</f>
        <v/>
      </c>
      <c r="I3508" s="1" t="str">
        <f>IF(Table2[[#This Row],[Description]]="","",IF(Table2[[#This Row],[Currency]]=$O$2,$P$2,HLOOKUP(Table2[[#This Row],[Date]],Funds!$C$10:$GV$11,2,FALSE)))</f>
        <v/>
      </c>
      <c r="J3508" s="215" t="str">
        <f>IF(Table2[[#This Row],[Description]]="","",Table2[[#This Row],[Value]]/Table2[[#This Row],[Conversion]])</f>
        <v/>
      </c>
      <c r="K3508" s="45" t="str">
        <f>IF(Table2[[#This Row],[Description]]="","",DATE(Table2[[#This Row],[Year]],Table2[[#This Row],[Month]],1))</f>
        <v/>
      </c>
    </row>
    <row r="3509" spans="7:11" x14ac:dyDescent="0.25">
      <c r="G3509" s="1" t="str">
        <f>IF(Table2[[#This Row],[Description]]="","",VLOOKUP(Table2[[#This Row],[Description]],$Q$1:$S$101,2,FALSE))</f>
        <v/>
      </c>
      <c r="H3509" s="1" t="str">
        <f>IF(Table2[[#This Row],[Description]]="","",VLOOKUP(Table2[[#This Row],[Description]],$Q$1:$S$101,3,FALSE))</f>
        <v/>
      </c>
      <c r="I3509" s="1" t="str">
        <f>IF(Table2[[#This Row],[Description]]="","",IF(Table2[[#This Row],[Currency]]=$O$2,$P$2,HLOOKUP(Table2[[#This Row],[Date]],Funds!$C$10:$GV$11,2,FALSE)))</f>
        <v/>
      </c>
      <c r="J3509" s="215" t="str">
        <f>IF(Table2[[#This Row],[Description]]="","",Table2[[#This Row],[Value]]/Table2[[#This Row],[Conversion]])</f>
        <v/>
      </c>
      <c r="K3509" s="45" t="str">
        <f>IF(Table2[[#This Row],[Description]]="","",DATE(Table2[[#This Row],[Year]],Table2[[#This Row],[Month]],1))</f>
        <v/>
      </c>
    </row>
    <row r="3510" spans="7:11" x14ac:dyDescent="0.25">
      <c r="G3510" s="1" t="str">
        <f>IF(Table2[[#This Row],[Description]]="","",VLOOKUP(Table2[[#This Row],[Description]],$Q$1:$S$101,2,FALSE))</f>
        <v/>
      </c>
      <c r="H3510" s="1" t="str">
        <f>IF(Table2[[#This Row],[Description]]="","",VLOOKUP(Table2[[#This Row],[Description]],$Q$1:$S$101,3,FALSE))</f>
        <v/>
      </c>
      <c r="I3510" s="1" t="str">
        <f>IF(Table2[[#This Row],[Description]]="","",IF(Table2[[#This Row],[Currency]]=$O$2,$P$2,HLOOKUP(Table2[[#This Row],[Date]],Funds!$C$10:$GV$11,2,FALSE)))</f>
        <v/>
      </c>
      <c r="J3510" s="215" t="str">
        <f>IF(Table2[[#This Row],[Description]]="","",Table2[[#This Row],[Value]]/Table2[[#This Row],[Conversion]])</f>
        <v/>
      </c>
      <c r="K3510" s="45" t="str">
        <f>IF(Table2[[#This Row],[Description]]="","",DATE(Table2[[#This Row],[Year]],Table2[[#This Row],[Month]],1))</f>
        <v/>
      </c>
    </row>
    <row r="3511" spans="7:11" x14ac:dyDescent="0.25">
      <c r="G3511" s="1" t="str">
        <f>IF(Table2[[#This Row],[Description]]="","",VLOOKUP(Table2[[#This Row],[Description]],$Q$1:$S$101,2,FALSE))</f>
        <v/>
      </c>
      <c r="H3511" s="1" t="str">
        <f>IF(Table2[[#This Row],[Description]]="","",VLOOKUP(Table2[[#This Row],[Description]],$Q$1:$S$101,3,FALSE))</f>
        <v/>
      </c>
      <c r="I3511" s="1" t="str">
        <f>IF(Table2[[#This Row],[Description]]="","",IF(Table2[[#This Row],[Currency]]=$O$2,$P$2,HLOOKUP(Table2[[#This Row],[Date]],Funds!$C$10:$GV$11,2,FALSE)))</f>
        <v/>
      </c>
      <c r="J3511" s="215" t="str">
        <f>IF(Table2[[#This Row],[Description]]="","",Table2[[#This Row],[Value]]/Table2[[#This Row],[Conversion]])</f>
        <v/>
      </c>
      <c r="K3511" s="45" t="str">
        <f>IF(Table2[[#This Row],[Description]]="","",DATE(Table2[[#This Row],[Year]],Table2[[#This Row],[Month]],1))</f>
        <v/>
      </c>
    </row>
    <row r="3512" spans="7:11" x14ac:dyDescent="0.25">
      <c r="G3512" s="1" t="str">
        <f>IF(Table2[[#This Row],[Description]]="","",VLOOKUP(Table2[[#This Row],[Description]],$Q$1:$S$101,2,FALSE))</f>
        <v/>
      </c>
      <c r="H3512" s="1" t="str">
        <f>IF(Table2[[#This Row],[Description]]="","",VLOOKUP(Table2[[#This Row],[Description]],$Q$1:$S$101,3,FALSE))</f>
        <v/>
      </c>
      <c r="I3512" s="1" t="str">
        <f>IF(Table2[[#This Row],[Description]]="","",IF(Table2[[#This Row],[Currency]]=$O$2,$P$2,HLOOKUP(Table2[[#This Row],[Date]],Funds!$C$10:$GV$11,2,FALSE)))</f>
        <v/>
      </c>
      <c r="J3512" s="215" t="str">
        <f>IF(Table2[[#This Row],[Description]]="","",Table2[[#This Row],[Value]]/Table2[[#This Row],[Conversion]])</f>
        <v/>
      </c>
      <c r="K3512" s="45" t="str">
        <f>IF(Table2[[#This Row],[Description]]="","",DATE(Table2[[#This Row],[Year]],Table2[[#This Row],[Month]],1))</f>
        <v/>
      </c>
    </row>
    <row r="3513" spans="7:11" x14ac:dyDescent="0.25">
      <c r="G3513" s="1" t="str">
        <f>IF(Table2[[#This Row],[Description]]="","",VLOOKUP(Table2[[#This Row],[Description]],$Q$1:$S$101,2,FALSE))</f>
        <v/>
      </c>
      <c r="H3513" s="1" t="str">
        <f>IF(Table2[[#This Row],[Description]]="","",VLOOKUP(Table2[[#This Row],[Description]],$Q$1:$S$101,3,FALSE))</f>
        <v/>
      </c>
      <c r="I3513" s="1" t="str">
        <f>IF(Table2[[#This Row],[Description]]="","",IF(Table2[[#This Row],[Currency]]=$O$2,$P$2,HLOOKUP(Table2[[#This Row],[Date]],Funds!$C$10:$GV$11,2,FALSE)))</f>
        <v/>
      </c>
      <c r="J3513" s="215" t="str">
        <f>IF(Table2[[#This Row],[Description]]="","",Table2[[#This Row],[Value]]/Table2[[#This Row],[Conversion]])</f>
        <v/>
      </c>
      <c r="K3513" s="45" t="str">
        <f>IF(Table2[[#This Row],[Description]]="","",DATE(Table2[[#This Row],[Year]],Table2[[#This Row],[Month]],1))</f>
        <v/>
      </c>
    </row>
    <row r="3514" spans="7:11" x14ac:dyDescent="0.25">
      <c r="G3514" s="1" t="str">
        <f>IF(Table2[[#This Row],[Description]]="","",VLOOKUP(Table2[[#This Row],[Description]],$Q$1:$S$101,2,FALSE))</f>
        <v/>
      </c>
      <c r="H3514" s="1" t="str">
        <f>IF(Table2[[#This Row],[Description]]="","",VLOOKUP(Table2[[#This Row],[Description]],$Q$1:$S$101,3,FALSE))</f>
        <v/>
      </c>
      <c r="I3514" s="1" t="str">
        <f>IF(Table2[[#This Row],[Description]]="","",IF(Table2[[#This Row],[Currency]]=$O$2,$P$2,HLOOKUP(Table2[[#This Row],[Date]],Funds!$C$10:$GV$11,2,FALSE)))</f>
        <v/>
      </c>
      <c r="J3514" s="215" t="str">
        <f>IF(Table2[[#This Row],[Description]]="","",Table2[[#This Row],[Value]]/Table2[[#This Row],[Conversion]])</f>
        <v/>
      </c>
      <c r="K3514" s="45" t="str">
        <f>IF(Table2[[#This Row],[Description]]="","",DATE(Table2[[#This Row],[Year]],Table2[[#This Row],[Month]],1))</f>
        <v/>
      </c>
    </row>
    <row r="3515" spans="7:11" x14ac:dyDescent="0.25">
      <c r="G3515" s="1" t="str">
        <f>IF(Table2[[#This Row],[Description]]="","",VLOOKUP(Table2[[#This Row],[Description]],$Q$1:$S$101,2,FALSE))</f>
        <v/>
      </c>
      <c r="H3515" s="1" t="str">
        <f>IF(Table2[[#This Row],[Description]]="","",VLOOKUP(Table2[[#This Row],[Description]],$Q$1:$S$101,3,FALSE))</f>
        <v/>
      </c>
      <c r="I3515" s="1" t="str">
        <f>IF(Table2[[#This Row],[Description]]="","",IF(Table2[[#This Row],[Currency]]=$O$2,$P$2,HLOOKUP(Table2[[#This Row],[Date]],Funds!$C$10:$GV$11,2,FALSE)))</f>
        <v/>
      </c>
      <c r="J3515" s="215" t="str">
        <f>IF(Table2[[#This Row],[Description]]="","",Table2[[#This Row],[Value]]/Table2[[#This Row],[Conversion]])</f>
        <v/>
      </c>
      <c r="K3515" s="45" t="str">
        <f>IF(Table2[[#This Row],[Description]]="","",DATE(Table2[[#This Row],[Year]],Table2[[#This Row],[Month]],1))</f>
        <v/>
      </c>
    </row>
    <row r="3516" spans="7:11" x14ac:dyDescent="0.25">
      <c r="G3516" s="1" t="str">
        <f>IF(Table2[[#This Row],[Description]]="","",VLOOKUP(Table2[[#This Row],[Description]],$Q$1:$S$101,2,FALSE))</f>
        <v/>
      </c>
      <c r="H3516" s="1" t="str">
        <f>IF(Table2[[#This Row],[Description]]="","",VLOOKUP(Table2[[#This Row],[Description]],$Q$1:$S$101,3,FALSE))</f>
        <v/>
      </c>
      <c r="I3516" s="1" t="str">
        <f>IF(Table2[[#This Row],[Description]]="","",IF(Table2[[#This Row],[Currency]]=$O$2,$P$2,HLOOKUP(Table2[[#This Row],[Date]],Funds!$C$10:$GV$11,2,FALSE)))</f>
        <v/>
      </c>
      <c r="J3516" s="215" t="str">
        <f>IF(Table2[[#This Row],[Description]]="","",Table2[[#This Row],[Value]]/Table2[[#This Row],[Conversion]])</f>
        <v/>
      </c>
      <c r="K3516" s="45" t="str">
        <f>IF(Table2[[#This Row],[Description]]="","",DATE(Table2[[#This Row],[Year]],Table2[[#This Row],[Month]],1))</f>
        <v/>
      </c>
    </row>
    <row r="3517" spans="7:11" x14ac:dyDescent="0.25">
      <c r="G3517" s="1" t="str">
        <f>IF(Table2[[#This Row],[Description]]="","",VLOOKUP(Table2[[#This Row],[Description]],$Q$1:$S$101,2,FALSE))</f>
        <v/>
      </c>
      <c r="H3517" s="1" t="str">
        <f>IF(Table2[[#This Row],[Description]]="","",VLOOKUP(Table2[[#This Row],[Description]],$Q$1:$S$101,3,FALSE))</f>
        <v/>
      </c>
      <c r="I3517" s="1" t="str">
        <f>IF(Table2[[#This Row],[Description]]="","",IF(Table2[[#This Row],[Currency]]=$O$2,$P$2,HLOOKUP(Table2[[#This Row],[Date]],Funds!$C$10:$GV$11,2,FALSE)))</f>
        <v/>
      </c>
      <c r="J3517" s="215" t="str">
        <f>IF(Table2[[#This Row],[Description]]="","",Table2[[#This Row],[Value]]/Table2[[#This Row],[Conversion]])</f>
        <v/>
      </c>
      <c r="K3517" s="45" t="str">
        <f>IF(Table2[[#This Row],[Description]]="","",DATE(Table2[[#This Row],[Year]],Table2[[#This Row],[Month]],1))</f>
        <v/>
      </c>
    </row>
    <row r="3518" spans="7:11" x14ac:dyDescent="0.25">
      <c r="G3518" s="1" t="str">
        <f>IF(Table2[[#This Row],[Description]]="","",VLOOKUP(Table2[[#This Row],[Description]],$Q$1:$S$101,2,FALSE))</f>
        <v/>
      </c>
      <c r="H3518" s="1" t="str">
        <f>IF(Table2[[#This Row],[Description]]="","",VLOOKUP(Table2[[#This Row],[Description]],$Q$1:$S$101,3,FALSE))</f>
        <v/>
      </c>
      <c r="I3518" s="1" t="str">
        <f>IF(Table2[[#This Row],[Description]]="","",IF(Table2[[#This Row],[Currency]]=$O$2,$P$2,HLOOKUP(Table2[[#This Row],[Date]],Funds!$C$10:$GV$11,2,FALSE)))</f>
        <v/>
      </c>
      <c r="J3518" s="215" t="str">
        <f>IF(Table2[[#This Row],[Description]]="","",Table2[[#This Row],[Value]]/Table2[[#This Row],[Conversion]])</f>
        <v/>
      </c>
      <c r="K3518" s="45" t="str">
        <f>IF(Table2[[#This Row],[Description]]="","",DATE(Table2[[#This Row],[Year]],Table2[[#This Row],[Month]],1))</f>
        <v/>
      </c>
    </row>
    <row r="3519" spans="7:11" x14ac:dyDescent="0.25">
      <c r="G3519" s="1" t="str">
        <f>IF(Table2[[#This Row],[Description]]="","",VLOOKUP(Table2[[#This Row],[Description]],$Q$1:$S$101,2,FALSE))</f>
        <v/>
      </c>
      <c r="H3519" s="1" t="str">
        <f>IF(Table2[[#This Row],[Description]]="","",VLOOKUP(Table2[[#This Row],[Description]],$Q$1:$S$101,3,FALSE))</f>
        <v/>
      </c>
      <c r="I3519" s="1" t="str">
        <f>IF(Table2[[#This Row],[Description]]="","",IF(Table2[[#This Row],[Currency]]=$O$2,$P$2,HLOOKUP(Table2[[#This Row],[Date]],Funds!$C$10:$GV$11,2,FALSE)))</f>
        <v/>
      </c>
      <c r="J3519" s="215" t="str">
        <f>IF(Table2[[#This Row],[Description]]="","",Table2[[#This Row],[Value]]/Table2[[#This Row],[Conversion]])</f>
        <v/>
      </c>
      <c r="K3519" s="45" t="str">
        <f>IF(Table2[[#This Row],[Description]]="","",DATE(Table2[[#This Row],[Year]],Table2[[#This Row],[Month]],1))</f>
        <v/>
      </c>
    </row>
    <row r="3520" spans="7:11" x14ac:dyDescent="0.25">
      <c r="G3520" s="1" t="str">
        <f>IF(Table2[[#This Row],[Description]]="","",VLOOKUP(Table2[[#This Row],[Description]],$Q$1:$S$101,2,FALSE))</f>
        <v/>
      </c>
      <c r="H3520" s="1" t="str">
        <f>IF(Table2[[#This Row],[Description]]="","",VLOOKUP(Table2[[#This Row],[Description]],$Q$1:$S$101,3,FALSE))</f>
        <v/>
      </c>
      <c r="I3520" s="1" t="str">
        <f>IF(Table2[[#This Row],[Description]]="","",IF(Table2[[#This Row],[Currency]]=$O$2,$P$2,HLOOKUP(Table2[[#This Row],[Date]],Funds!$C$10:$GV$11,2,FALSE)))</f>
        <v/>
      </c>
      <c r="J3520" s="215" t="str">
        <f>IF(Table2[[#This Row],[Description]]="","",Table2[[#This Row],[Value]]/Table2[[#This Row],[Conversion]])</f>
        <v/>
      </c>
      <c r="K3520" s="45" t="str">
        <f>IF(Table2[[#This Row],[Description]]="","",DATE(Table2[[#This Row],[Year]],Table2[[#This Row],[Month]],1))</f>
        <v/>
      </c>
    </row>
    <row r="3521" spans="7:11" x14ac:dyDescent="0.25">
      <c r="G3521" s="1" t="str">
        <f>IF(Table2[[#This Row],[Description]]="","",VLOOKUP(Table2[[#This Row],[Description]],$Q$1:$S$101,2,FALSE))</f>
        <v/>
      </c>
      <c r="H3521" s="1" t="str">
        <f>IF(Table2[[#This Row],[Description]]="","",VLOOKUP(Table2[[#This Row],[Description]],$Q$1:$S$101,3,FALSE))</f>
        <v/>
      </c>
      <c r="I3521" s="1" t="str">
        <f>IF(Table2[[#This Row],[Description]]="","",IF(Table2[[#This Row],[Currency]]=$O$2,$P$2,HLOOKUP(Table2[[#This Row],[Date]],Funds!$C$10:$GV$11,2,FALSE)))</f>
        <v/>
      </c>
      <c r="J3521" s="215" t="str">
        <f>IF(Table2[[#This Row],[Description]]="","",Table2[[#This Row],[Value]]/Table2[[#This Row],[Conversion]])</f>
        <v/>
      </c>
      <c r="K3521" s="45" t="str">
        <f>IF(Table2[[#This Row],[Description]]="","",DATE(Table2[[#This Row],[Year]],Table2[[#This Row],[Month]],1))</f>
        <v/>
      </c>
    </row>
    <row r="3522" spans="7:11" x14ac:dyDescent="0.25">
      <c r="G3522" s="1" t="str">
        <f>IF(Table2[[#This Row],[Description]]="","",VLOOKUP(Table2[[#This Row],[Description]],$Q$1:$S$101,2,FALSE))</f>
        <v/>
      </c>
      <c r="H3522" s="1" t="str">
        <f>IF(Table2[[#This Row],[Description]]="","",VLOOKUP(Table2[[#This Row],[Description]],$Q$1:$S$101,3,FALSE))</f>
        <v/>
      </c>
      <c r="I3522" s="1" t="str">
        <f>IF(Table2[[#This Row],[Description]]="","",IF(Table2[[#This Row],[Currency]]=$O$2,$P$2,HLOOKUP(Table2[[#This Row],[Date]],Funds!$C$10:$GV$11,2,FALSE)))</f>
        <v/>
      </c>
      <c r="J3522" s="215" t="str">
        <f>IF(Table2[[#This Row],[Description]]="","",Table2[[#This Row],[Value]]/Table2[[#This Row],[Conversion]])</f>
        <v/>
      </c>
      <c r="K3522" s="45" t="str">
        <f>IF(Table2[[#This Row],[Description]]="","",DATE(Table2[[#This Row],[Year]],Table2[[#This Row],[Month]],1))</f>
        <v/>
      </c>
    </row>
    <row r="3523" spans="7:11" x14ac:dyDescent="0.25">
      <c r="G3523" s="1" t="str">
        <f>IF(Table2[[#This Row],[Description]]="","",VLOOKUP(Table2[[#This Row],[Description]],$Q$1:$S$101,2,FALSE))</f>
        <v/>
      </c>
      <c r="H3523" s="1" t="str">
        <f>IF(Table2[[#This Row],[Description]]="","",VLOOKUP(Table2[[#This Row],[Description]],$Q$1:$S$101,3,FALSE))</f>
        <v/>
      </c>
      <c r="I3523" s="1" t="str">
        <f>IF(Table2[[#This Row],[Description]]="","",IF(Table2[[#This Row],[Currency]]=$O$2,$P$2,HLOOKUP(Table2[[#This Row],[Date]],Funds!$C$10:$GV$11,2,FALSE)))</f>
        <v/>
      </c>
      <c r="J3523" s="215" t="str">
        <f>IF(Table2[[#This Row],[Description]]="","",Table2[[#This Row],[Value]]/Table2[[#This Row],[Conversion]])</f>
        <v/>
      </c>
      <c r="K3523" s="45" t="str">
        <f>IF(Table2[[#This Row],[Description]]="","",DATE(Table2[[#This Row],[Year]],Table2[[#This Row],[Month]],1))</f>
        <v/>
      </c>
    </row>
    <row r="3524" spans="7:11" x14ac:dyDescent="0.25">
      <c r="G3524" s="1" t="str">
        <f>IF(Table2[[#This Row],[Description]]="","",VLOOKUP(Table2[[#This Row],[Description]],$Q$1:$S$101,2,FALSE))</f>
        <v/>
      </c>
      <c r="H3524" s="1" t="str">
        <f>IF(Table2[[#This Row],[Description]]="","",VLOOKUP(Table2[[#This Row],[Description]],$Q$1:$S$101,3,FALSE))</f>
        <v/>
      </c>
      <c r="I3524" s="1" t="str">
        <f>IF(Table2[[#This Row],[Description]]="","",IF(Table2[[#This Row],[Currency]]=$O$2,$P$2,HLOOKUP(Table2[[#This Row],[Date]],Funds!$C$10:$GV$11,2,FALSE)))</f>
        <v/>
      </c>
      <c r="J3524" s="215" t="str">
        <f>IF(Table2[[#This Row],[Description]]="","",Table2[[#This Row],[Value]]/Table2[[#This Row],[Conversion]])</f>
        <v/>
      </c>
      <c r="K3524" s="45" t="str">
        <f>IF(Table2[[#This Row],[Description]]="","",DATE(Table2[[#This Row],[Year]],Table2[[#This Row],[Month]],1))</f>
        <v/>
      </c>
    </row>
    <row r="3525" spans="7:11" x14ac:dyDescent="0.25">
      <c r="G3525" s="1" t="str">
        <f>IF(Table2[[#This Row],[Description]]="","",VLOOKUP(Table2[[#This Row],[Description]],$Q$1:$S$101,2,FALSE))</f>
        <v/>
      </c>
      <c r="H3525" s="1" t="str">
        <f>IF(Table2[[#This Row],[Description]]="","",VLOOKUP(Table2[[#This Row],[Description]],$Q$1:$S$101,3,FALSE))</f>
        <v/>
      </c>
      <c r="I3525" s="1" t="str">
        <f>IF(Table2[[#This Row],[Description]]="","",IF(Table2[[#This Row],[Currency]]=$O$2,$P$2,HLOOKUP(Table2[[#This Row],[Date]],Funds!$C$10:$GV$11,2,FALSE)))</f>
        <v/>
      </c>
      <c r="J3525" s="215" t="str">
        <f>IF(Table2[[#This Row],[Description]]="","",Table2[[#This Row],[Value]]/Table2[[#This Row],[Conversion]])</f>
        <v/>
      </c>
      <c r="K3525" s="45" t="str">
        <f>IF(Table2[[#This Row],[Description]]="","",DATE(Table2[[#This Row],[Year]],Table2[[#This Row],[Month]],1))</f>
        <v/>
      </c>
    </row>
    <row r="3526" spans="7:11" x14ac:dyDescent="0.25">
      <c r="G3526" s="1" t="str">
        <f>IF(Table2[[#This Row],[Description]]="","",VLOOKUP(Table2[[#This Row],[Description]],$Q$1:$S$101,2,FALSE))</f>
        <v/>
      </c>
      <c r="H3526" s="1" t="str">
        <f>IF(Table2[[#This Row],[Description]]="","",VLOOKUP(Table2[[#This Row],[Description]],$Q$1:$S$101,3,FALSE))</f>
        <v/>
      </c>
      <c r="I3526" s="1" t="str">
        <f>IF(Table2[[#This Row],[Description]]="","",IF(Table2[[#This Row],[Currency]]=$O$2,$P$2,HLOOKUP(Table2[[#This Row],[Date]],Funds!$C$10:$GV$11,2,FALSE)))</f>
        <v/>
      </c>
      <c r="J3526" s="215" t="str">
        <f>IF(Table2[[#This Row],[Description]]="","",Table2[[#This Row],[Value]]/Table2[[#This Row],[Conversion]])</f>
        <v/>
      </c>
      <c r="K3526" s="45" t="str">
        <f>IF(Table2[[#This Row],[Description]]="","",DATE(Table2[[#This Row],[Year]],Table2[[#This Row],[Month]],1))</f>
        <v/>
      </c>
    </row>
    <row r="3527" spans="7:11" x14ac:dyDescent="0.25">
      <c r="G3527" s="1" t="str">
        <f>IF(Table2[[#This Row],[Description]]="","",VLOOKUP(Table2[[#This Row],[Description]],$Q$1:$S$101,2,FALSE))</f>
        <v/>
      </c>
      <c r="H3527" s="1" t="str">
        <f>IF(Table2[[#This Row],[Description]]="","",VLOOKUP(Table2[[#This Row],[Description]],$Q$1:$S$101,3,FALSE))</f>
        <v/>
      </c>
      <c r="I3527" s="1" t="str">
        <f>IF(Table2[[#This Row],[Description]]="","",IF(Table2[[#This Row],[Currency]]=$O$2,$P$2,HLOOKUP(Table2[[#This Row],[Date]],Funds!$C$10:$GV$11,2,FALSE)))</f>
        <v/>
      </c>
      <c r="J3527" s="215" t="str">
        <f>IF(Table2[[#This Row],[Description]]="","",Table2[[#This Row],[Value]]/Table2[[#This Row],[Conversion]])</f>
        <v/>
      </c>
      <c r="K3527" s="45" t="str">
        <f>IF(Table2[[#This Row],[Description]]="","",DATE(Table2[[#This Row],[Year]],Table2[[#This Row],[Month]],1))</f>
        <v/>
      </c>
    </row>
    <row r="3528" spans="7:11" x14ac:dyDescent="0.25">
      <c r="G3528" s="1" t="str">
        <f>IF(Table2[[#This Row],[Description]]="","",VLOOKUP(Table2[[#This Row],[Description]],$Q$1:$S$101,2,FALSE))</f>
        <v/>
      </c>
      <c r="H3528" s="1" t="str">
        <f>IF(Table2[[#This Row],[Description]]="","",VLOOKUP(Table2[[#This Row],[Description]],$Q$1:$S$101,3,FALSE))</f>
        <v/>
      </c>
      <c r="I3528" s="1" t="str">
        <f>IF(Table2[[#This Row],[Description]]="","",IF(Table2[[#This Row],[Currency]]=$O$2,$P$2,HLOOKUP(Table2[[#This Row],[Date]],Funds!$C$10:$GV$11,2,FALSE)))</f>
        <v/>
      </c>
      <c r="J3528" s="215" t="str">
        <f>IF(Table2[[#This Row],[Description]]="","",Table2[[#This Row],[Value]]/Table2[[#This Row],[Conversion]])</f>
        <v/>
      </c>
      <c r="K3528" s="45" t="str">
        <f>IF(Table2[[#This Row],[Description]]="","",DATE(Table2[[#This Row],[Year]],Table2[[#This Row],[Month]],1))</f>
        <v/>
      </c>
    </row>
    <row r="3529" spans="7:11" x14ac:dyDescent="0.25">
      <c r="G3529" s="1" t="str">
        <f>IF(Table2[[#This Row],[Description]]="","",VLOOKUP(Table2[[#This Row],[Description]],$Q$1:$S$101,2,FALSE))</f>
        <v/>
      </c>
      <c r="H3529" s="1" t="str">
        <f>IF(Table2[[#This Row],[Description]]="","",VLOOKUP(Table2[[#This Row],[Description]],$Q$1:$S$101,3,FALSE))</f>
        <v/>
      </c>
      <c r="I3529" s="1" t="str">
        <f>IF(Table2[[#This Row],[Description]]="","",IF(Table2[[#This Row],[Currency]]=$O$2,$P$2,HLOOKUP(Table2[[#This Row],[Date]],Funds!$C$10:$GV$11,2,FALSE)))</f>
        <v/>
      </c>
      <c r="J3529" s="215" t="str">
        <f>IF(Table2[[#This Row],[Description]]="","",Table2[[#This Row],[Value]]/Table2[[#This Row],[Conversion]])</f>
        <v/>
      </c>
      <c r="K3529" s="45" t="str">
        <f>IF(Table2[[#This Row],[Description]]="","",DATE(Table2[[#This Row],[Year]],Table2[[#This Row],[Month]],1))</f>
        <v/>
      </c>
    </row>
    <row r="3530" spans="7:11" x14ac:dyDescent="0.25">
      <c r="G3530" s="1" t="str">
        <f>IF(Table2[[#This Row],[Description]]="","",VLOOKUP(Table2[[#This Row],[Description]],$Q$1:$S$101,2,FALSE))</f>
        <v/>
      </c>
      <c r="H3530" s="1" t="str">
        <f>IF(Table2[[#This Row],[Description]]="","",VLOOKUP(Table2[[#This Row],[Description]],$Q$1:$S$101,3,FALSE))</f>
        <v/>
      </c>
      <c r="I3530" s="1" t="str">
        <f>IF(Table2[[#This Row],[Description]]="","",IF(Table2[[#This Row],[Currency]]=$O$2,$P$2,HLOOKUP(Table2[[#This Row],[Date]],Funds!$C$10:$GV$11,2,FALSE)))</f>
        <v/>
      </c>
      <c r="J3530" s="215" t="str">
        <f>IF(Table2[[#This Row],[Description]]="","",Table2[[#This Row],[Value]]/Table2[[#This Row],[Conversion]])</f>
        <v/>
      </c>
      <c r="K3530" s="45" t="str">
        <f>IF(Table2[[#This Row],[Description]]="","",DATE(Table2[[#This Row],[Year]],Table2[[#This Row],[Month]],1))</f>
        <v/>
      </c>
    </row>
    <row r="3531" spans="7:11" x14ac:dyDescent="0.25">
      <c r="G3531" s="1" t="str">
        <f>IF(Table2[[#This Row],[Description]]="","",VLOOKUP(Table2[[#This Row],[Description]],$Q$1:$S$101,2,FALSE))</f>
        <v/>
      </c>
      <c r="H3531" s="1" t="str">
        <f>IF(Table2[[#This Row],[Description]]="","",VLOOKUP(Table2[[#This Row],[Description]],$Q$1:$S$101,3,FALSE))</f>
        <v/>
      </c>
      <c r="I3531" s="1" t="str">
        <f>IF(Table2[[#This Row],[Description]]="","",IF(Table2[[#This Row],[Currency]]=$O$2,$P$2,HLOOKUP(Table2[[#This Row],[Date]],Funds!$C$10:$GV$11,2,FALSE)))</f>
        <v/>
      </c>
      <c r="J3531" s="215" t="str">
        <f>IF(Table2[[#This Row],[Description]]="","",Table2[[#This Row],[Value]]/Table2[[#This Row],[Conversion]])</f>
        <v/>
      </c>
      <c r="K3531" s="45" t="str">
        <f>IF(Table2[[#This Row],[Description]]="","",DATE(Table2[[#This Row],[Year]],Table2[[#This Row],[Month]],1))</f>
        <v/>
      </c>
    </row>
    <row r="3532" spans="7:11" x14ac:dyDescent="0.25">
      <c r="G3532" s="1" t="str">
        <f>IF(Table2[[#This Row],[Description]]="","",VLOOKUP(Table2[[#This Row],[Description]],$Q$1:$S$101,2,FALSE))</f>
        <v/>
      </c>
      <c r="H3532" s="1" t="str">
        <f>IF(Table2[[#This Row],[Description]]="","",VLOOKUP(Table2[[#This Row],[Description]],$Q$1:$S$101,3,FALSE))</f>
        <v/>
      </c>
      <c r="I3532" s="1" t="str">
        <f>IF(Table2[[#This Row],[Description]]="","",IF(Table2[[#This Row],[Currency]]=$O$2,$P$2,HLOOKUP(Table2[[#This Row],[Date]],Funds!$C$10:$GV$11,2,FALSE)))</f>
        <v/>
      </c>
      <c r="J3532" s="215" t="str">
        <f>IF(Table2[[#This Row],[Description]]="","",Table2[[#This Row],[Value]]/Table2[[#This Row],[Conversion]])</f>
        <v/>
      </c>
      <c r="K3532" s="45" t="str">
        <f>IF(Table2[[#This Row],[Description]]="","",DATE(Table2[[#This Row],[Year]],Table2[[#This Row],[Month]],1))</f>
        <v/>
      </c>
    </row>
    <row r="3533" spans="7:11" x14ac:dyDescent="0.25">
      <c r="G3533" s="1" t="str">
        <f>IF(Table2[[#This Row],[Description]]="","",VLOOKUP(Table2[[#This Row],[Description]],$Q$1:$S$101,2,FALSE))</f>
        <v/>
      </c>
      <c r="H3533" s="1" t="str">
        <f>IF(Table2[[#This Row],[Description]]="","",VLOOKUP(Table2[[#This Row],[Description]],$Q$1:$S$101,3,FALSE))</f>
        <v/>
      </c>
      <c r="I3533" s="1" t="str">
        <f>IF(Table2[[#This Row],[Description]]="","",IF(Table2[[#This Row],[Currency]]=$O$2,$P$2,HLOOKUP(Table2[[#This Row],[Date]],Funds!$C$10:$GV$11,2,FALSE)))</f>
        <v/>
      </c>
      <c r="J3533" s="215" t="str">
        <f>IF(Table2[[#This Row],[Description]]="","",Table2[[#This Row],[Value]]/Table2[[#This Row],[Conversion]])</f>
        <v/>
      </c>
      <c r="K3533" s="45" t="str">
        <f>IF(Table2[[#This Row],[Description]]="","",DATE(Table2[[#This Row],[Year]],Table2[[#This Row],[Month]],1))</f>
        <v/>
      </c>
    </row>
    <row r="3534" spans="7:11" x14ac:dyDescent="0.25">
      <c r="G3534" s="1" t="str">
        <f>IF(Table2[[#This Row],[Description]]="","",VLOOKUP(Table2[[#This Row],[Description]],$Q$1:$S$101,2,FALSE))</f>
        <v/>
      </c>
      <c r="H3534" s="1" t="str">
        <f>IF(Table2[[#This Row],[Description]]="","",VLOOKUP(Table2[[#This Row],[Description]],$Q$1:$S$101,3,FALSE))</f>
        <v/>
      </c>
      <c r="I3534" s="1" t="str">
        <f>IF(Table2[[#This Row],[Description]]="","",IF(Table2[[#This Row],[Currency]]=$O$2,$P$2,HLOOKUP(Table2[[#This Row],[Date]],Funds!$C$10:$GV$11,2,FALSE)))</f>
        <v/>
      </c>
      <c r="J3534" s="215" t="str">
        <f>IF(Table2[[#This Row],[Description]]="","",Table2[[#This Row],[Value]]/Table2[[#This Row],[Conversion]])</f>
        <v/>
      </c>
      <c r="K3534" s="45" t="str">
        <f>IF(Table2[[#This Row],[Description]]="","",DATE(Table2[[#This Row],[Year]],Table2[[#This Row],[Month]],1))</f>
        <v/>
      </c>
    </row>
    <row r="3535" spans="7:11" x14ac:dyDescent="0.25">
      <c r="G3535" s="1" t="str">
        <f>IF(Table2[[#This Row],[Description]]="","",VLOOKUP(Table2[[#This Row],[Description]],$Q$1:$S$101,2,FALSE))</f>
        <v/>
      </c>
      <c r="H3535" s="1" t="str">
        <f>IF(Table2[[#This Row],[Description]]="","",VLOOKUP(Table2[[#This Row],[Description]],$Q$1:$S$101,3,FALSE))</f>
        <v/>
      </c>
      <c r="I3535" s="1" t="str">
        <f>IF(Table2[[#This Row],[Description]]="","",IF(Table2[[#This Row],[Currency]]=$O$2,$P$2,HLOOKUP(Table2[[#This Row],[Date]],Funds!$C$10:$GV$11,2,FALSE)))</f>
        <v/>
      </c>
      <c r="J3535" s="215" t="str">
        <f>IF(Table2[[#This Row],[Description]]="","",Table2[[#This Row],[Value]]/Table2[[#This Row],[Conversion]])</f>
        <v/>
      </c>
      <c r="K3535" s="45" t="str">
        <f>IF(Table2[[#This Row],[Description]]="","",DATE(Table2[[#This Row],[Year]],Table2[[#This Row],[Month]],1))</f>
        <v/>
      </c>
    </row>
    <row r="3536" spans="7:11" x14ac:dyDescent="0.25">
      <c r="G3536" s="1" t="str">
        <f>IF(Table2[[#This Row],[Description]]="","",VLOOKUP(Table2[[#This Row],[Description]],$Q$1:$S$101,2,FALSE))</f>
        <v/>
      </c>
      <c r="H3536" s="1" t="str">
        <f>IF(Table2[[#This Row],[Description]]="","",VLOOKUP(Table2[[#This Row],[Description]],$Q$1:$S$101,3,FALSE))</f>
        <v/>
      </c>
      <c r="I3536" s="1" t="str">
        <f>IF(Table2[[#This Row],[Description]]="","",IF(Table2[[#This Row],[Currency]]=$O$2,$P$2,HLOOKUP(Table2[[#This Row],[Date]],Funds!$C$10:$GV$11,2,FALSE)))</f>
        <v/>
      </c>
      <c r="J3536" s="215" t="str">
        <f>IF(Table2[[#This Row],[Description]]="","",Table2[[#This Row],[Value]]/Table2[[#This Row],[Conversion]])</f>
        <v/>
      </c>
      <c r="K3536" s="45" t="str">
        <f>IF(Table2[[#This Row],[Description]]="","",DATE(Table2[[#This Row],[Year]],Table2[[#This Row],[Month]],1))</f>
        <v/>
      </c>
    </row>
    <row r="3537" spans="7:11" x14ac:dyDescent="0.25">
      <c r="G3537" s="1" t="str">
        <f>IF(Table2[[#This Row],[Description]]="","",VLOOKUP(Table2[[#This Row],[Description]],$Q$1:$S$101,2,FALSE))</f>
        <v/>
      </c>
      <c r="H3537" s="1" t="str">
        <f>IF(Table2[[#This Row],[Description]]="","",VLOOKUP(Table2[[#This Row],[Description]],$Q$1:$S$101,3,FALSE))</f>
        <v/>
      </c>
      <c r="I3537" s="1" t="str">
        <f>IF(Table2[[#This Row],[Description]]="","",IF(Table2[[#This Row],[Currency]]=$O$2,$P$2,HLOOKUP(Table2[[#This Row],[Date]],Funds!$C$10:$GV$11,2,FALSE)))</f>
        <v/>
      </c>
      <c r="J3537" s="215" t="str">
        <f>IF(Table2[[#This Row],[Description]]="","",Table2[[#This Row],[Value]]/Table2[[#This Row],[Conversion]])</f>
        <v/>
      </c>
      <c r="K3537" s="45" t="str">
        <f>IF(Table2[[#This Row],[Description]]="","",DATE(Table2[[#This Row],[Year]],Table2[[#This Row],[Month]],1))</f>
        <v/>
      </c>
    </row>
    <row r="3538" spans="7:11" x14ac:dyDescent="0.25">
      <c r="G3538" s="1" t="str">
        <f>IF(Table2[[#This Row],[Description]]="","",VLOOKUP(Table2[[#This Row],[Description]],$Q$1:$S$101,2,FALSE))</f>
        <v/>
      </c>
      <c r="H3538" s="1" t="str">
        <f>IF(Table2[[#This Row],[Description]]="","",VLOOKUP(Table2[[#This Row],[Description]],$Q$1:$S$101,3,FALSE))</f>
        <v/>
      </c>
      <c r="I3538" s="1" t="str">
        <f>IF(Table2[[#This Row],[Description]]="","",IF(Table2[[#This Row],[Currency]]=$O$2,$P$2,HLOOKUP(Table2[[#This Row],[Date]],Funds!$C$10:$GV$11,2,FALSE)))</f>
        <v/>
      </c>
      <c r="J3538" s="215" t="str">
        <f>IF(Table2[[#This Row],[Description]]="","",Table2[[#This Row],[Value]]/Table2[[#This Row],[Conversion]])</f>
        <v/>
      </c>
      <c r="K3538" s="45" t="str">
        <f>IF(Table2[[#This Row],[Description]]="","",DATE(Table2[[#This Row],[Year]],Table2[[#This Row],[Month]],1))</f>
        <v/>
      </c>
    </row>
    <row r="3539" spans="7:11" x14ac:dyDescent="0.25">
      <c r="G3539" s="1" t="str">
        <f>IF(Table2[[#This Row],[Description]]="","",VLOOKUP(Table2[[#This Row],[Description]],$Q$1:$S$101,2,FALSE))</f>
        <v/>
      </c>
      <c r="H3539" s="1" t="str">
        <f>IF(Table2[[#This Row],[Description]]="","",VLOOKUP(Table2[[#This Row],[Description]],$Q$1:$S$101,3,FALSE))</f>
        <v/>
      </c>
      <c r="I3539" s="1" t="str">
        <f>IF(Table2[[#This Row],[Description]]="","",IF(Table2[[#This Row],[Currency]]=$O$2,$P$2,HLOOKUP(Table2[[#This Row],[Date]],Funds!$C$10:$GV$11,2,FALSE)))</f>
        <v/>
      </c>
      <c r="J3539" s="215" t="str">
        <f>IF(Table2[[#This Row],[Description]]="","",Table2[[#This Row],[Value]]/Table2[[#This Row],[Conversion]])</f>
        <v/>
      </c>
      <c r="K3539" s="45" t="str">
        <f>IF(Table2[[#This Row],[Description]]="","",DATE(Table2[[#This Row],[Year]],Table2[[#This Row],[Month]],1))</f>
        <v/>
      </c>
    </row>
    <row r="3540" spans="7:11" x14ac:dyDescent="0.25">
      <c r="G3540" s="1" t="str">
        <f>IF(Table2[[#This Row],[Description]]="","",VLOOKUP(Table2[[#This Row],[Description]],$Q$1:$S$101,2,FALSE))</f>
        <v/>
      </c>
      <c r="H3540" s="1" t="str">
        <f>IF(Table2[[#This Row],[Description]]="","",VLOOKUP(Table2[[#This Row],[Description]],$Q$1:$S$101,3,FALSE))</f>
        <v/>
      </c>
      <c r="I3540" s="1" t="str">
        <f>IF(Table2[[#This Row],[Description]]="","",IF(Table2[[#This Row],[Currency]]=$O$2,$P$2,HLOOKUP(Table2[[#This Row],[Date]],Funds!$C$10:$GV$11,2,FALSE)))</f>
        <v/>
      </c>
      <c r="J3540" s="215" t="str">
        <f>IF(Table2[[#This Row],[Description]]="","",Table2[[#This Row],[Value]]/Table2[[#This Row],[Conversion]])</f>
        <v/>
      </c>
      <c r="K3540" s="45" t="str">
        <f>IF(Table2[[#This Row],[Description]]="","",DATE(Table2[[#This Row],[Year]],Table2[[#This Row],[Month]],1))</f>
        <v/>
      </c>
    </row>
    <row r="3541" spans="7:11" x14ac:dyDescent="0.25">
      <c r="G3541" s="1" t="str">
        <f>IF(Table2[[#This Row],[Description]]="","",VLOOKUP(Table2[[#This Row],[Description]],$Q$1:$S$101,2,FALSE))</f>
        <v/>
      </c>
      <c r="H3541" s="1" t="str">
        <f>IF(Table2[[#This Row],[Description]]="","",VLOOKUP(Table2[[#This Row],[Description]],$Q$1:$S$101,3,FALSE))</f>
        <v/>
      </c>
      <c r="I3541" s="1" t="str">
        <f>IF(Table2[[#This Row],[Description]]="","",IF(Table2[[#This Row],[Currency]]=$O$2,$P$2,HLOOKUP(Table2[[#This Row],[Date]],Funds!$C$10:$GV$11,2,FALSE)))</f>
        <v/>
      </c>
      <c r="J3541" s="215" t="str">
        <f>IF(Table2[[#This Row],[Description]]="","",Table2[[#This Row],[Value]]/Table2[[#This Row],[Conversion]])</f>
        <v/>
      </c>
      <c r="K3541" s="45" t="str">
        <f>IF(Table2[[#This Row],[Description]]="","",DATE(Table2[[#This Row],[Year]],Table2[[#This Row],[Month]],1))</f>
        <v/>
      </c>
    </row>
    <row r="3542" spans="7:11" x14ac:dyDescent="0.25">
      <c r="G3542" s="1" t="str">
        <f>IF(Table2[[#This Row],[Description]]="","",VLOOKUP(Table2[[#This Row],[Description]],$Q$1:$S$101,2,FALSE))</f>
        <v/>
      </c>
      <c r="H3542" s="1" t="str">
        <f>IF(Table2[[#This Row],[Description]]="","",VLOOKUP(Table2[[#This Row],[Description]],$Q$1:$S$101,3,FALSE))</f>
        <v/>
      </c>
      <c r="I3542" s="1" t="str">
        <f>IF(Table2[[#This Row],[Description]]="","",IF(Table2[[#This Row],[Currency]]=$O$2,$P$2,HLOOKUP(Table2[[#This Row],[Date]],Funds!$C$10:$GV$11,2,FALSE)))</f>
        <v/>
      </c>
      <c r="J3542" s="215" t="str">
        <f>IF(Table2[[#This Row],[Description]]="","",Table2[[#This Row],[Value]]/Table2[[#This Row],[Conversion]])</f>
        <v/>
      </c>
      <c r="K3542" s="45" t="str">
        <f>IF(Table2[[#This Row],[Description]]="","",DATE(Table2[[#This Row],[Year]],Table2[[#This Row],[Month]],1))</f>
        <v/>
      </c>
    </row>
    <row r="3543" spans="7:11" x14ac:dyDescent="0.25">
      <c r="G3543" s="1" t="str">
        <f>IF(Table2[[#This Row],[Description]]="","",VLOOKUP(Table2[[#This Row],[Description]],$Q$1:$S$101,2,FALSE))</f>
        <v/>
      </c>
      <c r="H3543" s="1" t="str">
        <f>IF(Table2[[#This Row],[Description]]="","",VLOOKUP(Table2[[#This Row],[Description]],$Q$1:$S$101,3,FALSE))</f>
        <v/>
      </c>
      <c r="I3543" s="1" t="str">
        <f>IF(Table2[[#This Row],[Description]]="","",IF(Table2[[#This Row],[Currency]]=$O$2,$P$2,HLOOKUP(Table2[[#This Row],[Date]],Funds!$C$10:$GV$11,2,FALSE)))</f>
        <v/>
      </c>
      <c r="J3543" s="215" t="str">
        <f>IF(Table2[[#This Row],[Description]]="","",Table2[[#This Row],[Value]]/Table2[[#This Row],[Conversion]])</f>
        <v/>
      </c>
      <c r="K3543" s="45" t="str">
        <f>IF(Table2[[#This Row],[Description]]="","",DATE(Table2[[#This Row],[Year]],Table2[[#This Row],[Month]],1))</f>
        <v/>
      </c>
    </row>
    <row r="3544" spans="7:11" x14ac:dyDescent="0.25">
      <c r="G3544" s="1" t="str">
        <f>IF(Table2[[#This Row],[Description]]="","",VLOOKUP(Table2[[#This Row],[Description]],$Q$1:$S$101,2,FALSE))</f>
        <v/>
      </c>
      <c r="H3544" s="1" t="str">
        <f>IF(Table2[[#This Row],[Description]]="","",VLOOKUP(Table2[[#This Row],[Description]],$Q$1:$S$101,3,FALSE))</f>
        <v/>
      </c>
      <c r="I3544" s="1" t="str">
        <f>IF(Table2[[#This Row],[Description]]="","",IF(Table2[[#This Row],[Currency]]=$O$2,$P$2,HLOOKUP(Table2[[#This Row],[Date]],Funds!$C$10:$GV$11,2,FALSE)))</f>
        <v/>
      </c>
      <c r="J3544" s="215" t="str">
        <f>IF(Table2[[#This Row],[Description]]="","",Table2[[#This Row],[Value]]/Table2[[#This Row],[Conversion]])</f>
        <v/>
      </c>
      <c r="K3544" s="45" t="str">
        <f>IF(Table2[[#This Row],[Description]]="","",DATE(Table2[[#This Row],[Year]],Table2[[#This Row],[Month]],1))</f>
        <v/>
      </c>
    </row>
    <row r="3545" spans="7:11" x14ac:dyDescent="0.25">
      <c r="G3545" s="1" t="str">
        <f>IF(Table2[[#This Row],[Description]]="","",VLOOKUP(Table2[[#This Row],[Description]],$Q$1:$S$101,2,FALSE))</f>
        <v/>
      </c>
      <c r="H3545" s="1" t="str">
        <f>IF(Table2[[#This Row],[Description]]="","",VLOOKUP(Table2[[#This Row],[Description]],$Q$1:$S$101,3,FALSE))</f>
        <v/>
      </c>
      <c r="I3545" s="1" t="str">
        <f>IF(Table2[[#This Row],[Description]]="","",IF(Table2[[#This Row],[Currency]]=$O$2,$P$2,HLOOKUP(Table2[[#This Row],[Date]],Funds!$C$10:$GV$11,2,FALSE)))</f>
        <v/>
      </c>
      <c r="J3545" s="215" t="str">
        <f>IF(Table2[[#This Row],[Description]]="","",Table2[[#This Row],[Value]]/Table2[[#This Row],[Conversion]])</f>
        <v/>
      </c>
      <c r="K3545" s="45" t="str">
        <f>IF(Table2[[#This Row],[Description]]="","",DATE(Table2[[#This Row],[Year]],Table2[[#This Row],[Month]],1))</f>
        <v/>
      </c>
    </row>
    <row r="3546" spans="7:11" x14ac:dyDescent="0.25">
      <c r="G3546" s="1" t="str">
        <f>IF(Table2[[#This Row],[Description]]="","",VLOOKUP(Table2[[#This Row],[Description]],$Q$1:$S$101,2,FALSE))</f>
        <v/>
      </c>
      <c r="H3546" s="1" t="str">
        <f>IF(Table2[[#This Row],[Description]]="","",VLOOKUP(Table2[[#This Row],[Description]],$Q$1:$S$101,3,FALSE))</f>
        <v/>
      </c>
      <c r="I3546" s="1" t="str">
        <f>IF(Table2[[#This Row],[Description]]="","",IF(Table2[[#This Row],[Currency]]=$O$2,$P$2,HLOOKUP(Table2[[#This Row],[Date]],Funds!$C$10:$GV$11,2,FALSE)))</f>
        <v/>
      </c>
      <c r="J3546" s="215" t="str">
        <f>IF(Table2[[#This Row],[Description]]="","",Table2[[#This Row],[Value]]/Table2[[#This Row],[Conversion]])</f>
        <v/>
      </c>
      <c r="K3546" s="45" t="str">
        <f>IF(Table2[[#This Row],[Description]]="","",DATE(Table2[[#This Row],[Year]],Table2[[#This Row],[Month]],1))</f>
        <v/>
      </c>
    </row>
    <row r="3547" spans="7:11" x14ac:dyDescent="0.25">
      <c r="G3547" s="1" t="str">
        <f>IF(Table2[[#This Row],[Description]]="","",VLOOKUP(Table2[[#This Row],[Description]],$Q$1:$S$101,2,FALSE))</f>
        <v/>
      </c>
      <c r="H3547" s="1" t="str">
        <f>IF(Table2[[#This Row],[Description]]="","",VLOOKUP(Table2[[#This Row],[Description]],$Q$1:$S$101,3,FALSE))</f>
        <v/>
      </c>
      <c r="I3547" s="1" t="str">
        <f>IF(Table2[[#This Row],[Description]]="","",IF(Table2[[#This Row],[Currency]]=$O$2,$P$2,HLOOKUP(Table2[[#This Row],[Date]],Funds!$C$10:$GV$11,2,FALSE)))</f>
        <v/>
      </c>
      <c r="J3547" s="215" t="str">
        <f>IF(Table2[[#This Row],[Description]]="","",Table2[[#This Row],[Value]]/Table2[[#This Row],[Conversion]])</f>
        <v/>
      </c>
      <c r="K3547" s="45" t="str">
        <f>IF(Table2[[#This Row],[Description]]="","",DATE(Table2[[#This Row],[Year]],Table2[[#This Row],[Month]],1))</f>
        <v/>
      </c>
    </row>
    <row r="3548" spans="7:11" x14ac:dyDescent="0.25">
      <c r="G3548" s="1" t="str">
        <f>IF(Table2[[#This Row],[Description]]="","",VLOOKUP(Table2[[#This Row],[Description]],$Q$1:$S$101,2,FALSE))</f>
        <v/>
      </c>
      <c r="H3548" s="1" t="str">
        <f>IF(Table2[[#This Row],[Description]]="","",VLOOKUP(Table2[[#This Row],[Description]],$Q$1:$S$101,3,FALSE))</f>
        <v/>
      </c>
      <c r="I3548" s="1" t="str">
        <f>IF(Table2[[#This Row],[Description]]="","",IF(Table2[[#This Row],[Currency]]=$O$2,$P$2,HLOOKUP(Table2[[#This Row],[Date]],Funds!$C$10:$GV$11,2,FALSE)))</f>
        <v/>
      </c>
      <c r="J3548" s="215" t="str">
        <f>IF(Table2[[#This Row],[Description]]="","",Table2[[#This Row],[Value]]/Table2[[#This Row],[Conversion]])</f>
        <v/>
      </c>
      <c r="K3548" s="45" t="str">
        <f>IF(Table2[[#This Row],[Description]]="","",DATE(Table2[[#This Row],[Year]],Table2[[#This Row],[Month]],1))</f>
        <v/>
      </c>
    </row>
    <row r="3549" spans="7:11" x14ac:dyDescent="0.25">
      <c r="G3549" s="1" t="str">
        <f>IF(Table2[[#This Row],[Description]]="","",VLOOKUP(Table2[[#This Row],[Description]],$Q$1:$S$101,2,FALSE))</f>
        <v/>
      </c>
      <c r="H3549" s="1" t="str">
        <f>IF(Table2[[#This Row],[Description]]="","",VLOOKUP(Table2[[#This Row],[Description]],$Q$1:$S$101,3,FALSE))</f>
        <v/>
      </c>
      <c r="I3549" s="1" t="str">
        <f>IF(Table2[[#This Row],[Description]]="","",IF(Table2[[#This Row],[Currency]]=$O$2,$P$2,HLOOKUP(Table2[[#This Row],[Date]],Funds!$C$10:$GV$11,2,FALSE)))</f>
        <v/>
      </c>
      <c r="J3549" s="215" t="str">
        <f>IF(Table2[[#This Row],[Description]]="","",Table2[[#This Row],[Value]]/Table2[[#This Row],[Conversion]])</f>
        <v/>
      </c>
      <c r="K3549" s="45" t="str">
        <f>IF(Table2[[#This Row],[Description]]="","",DATE(Table2[[#This Row],[Year]],Table2[[#This Row],[Month]],1))</f>
        <v/>
      </c>
    </row>
    <row r="3550" spans="7:11" x14ac:dyDescent="0.25">
      <c r="G3550" s="1" t="str">
        <f>IF(Table2[[#This Row],[Description]]="","",VLOOKUP(Table2[[#This Row],[Description]],$Q$1:$S$101,2,FALSE))</f>
        <v/>
      </c>
      <c r="H3550" s="1" t="str">
        <f>IF(Table2[[#This Row],[Description]]="","",VLOOKUP(Table2[[#This Row],[Description]],$Q$1:$S$101,3,FALSE))</f>
        <v/>
      </c>
      <c r="I3550" s="1" t="str">
        <f>IF(Table2[[#This Row],[Description]]="","",IF(Table2[[#This Row],[Currency]]=$O$2,$P$2,HLOOKUP(Table2[[#This Row],[Date]],Funds!$C$10:$GV$11,2,FALSE)))</f>
        <v/>
      </c>
      <c r="J3550" s="215" t="str">
        <f>IF(Table2[[#This Row],[Description]]="","",Table2[[#This Row],[Value]]/Table2[[#This Row],[Conversion]])</f>
        <v/>
      </c>
      <c r="K3550" s="45" t="str">
        <f>IF(Table2[[#This Row],[Description]]="","",DATE(Table2[[#This Row],[Year]],Table2[[#This Row],[Month]],1))</f>
        <v/>
      </c>
    </row>
    <row r="3551" spans="7:11" x14ac:dyDescent="0.25">
      <c r="G3551" s="1" t="str">
        <f>IF(Table2[[#This Row],[Description]]="","",VLOOKUP(Table2[[#This Row],[Description]],$Q$1:$S$101,2,FALSE))</f>
        <v/>
      </c>
      <c r="H3551" s="1" t="str">
        <f>IF(Table2[[#This Row],[Description]]="","",VLOOKUP(Table2[[#This Row],[Description]],$Q$1:$S$101,3,FALSE))</f>
        <v/>
      </c>
      <c r="I3551" s="1" t="str">
        <f>IF(Table2[[#This Row],[Description]]="","",IF(Table2[[#This Row],[Currency]]=$O$2,$P$2,HLOOKUP(Table2[[#This Row],[Date]],Funds!$C$10:$GV$11,2,FALSE)))</f>
        <v/>
      </c>
      <c r="J3551" s="215" t="str">
        <f>IF(Table2[[#This Row],[Description]]="","",Table2[[#This Row],[Value]]/Table2[[#This Row],[Conversion]])</f>
        <v/>
      </c>
      <c r="K3551" s="45" t="str">
        <f>IF(Table2[[#This Row],[Description]]="","",DATE(Table2[[#This Row],[Year]],Table2[[#This Row],[Month]],1))</f>
        <v/>
      </c>
    </row>
    <row r="3552" spans="7:11" x14ac:dyDescent="0.25">
      <c r="G3552" s="1" t="str">
        <f>IF(Table2[[#This Row],[Description]]="","",VLOOKUP(Table2[[#This Row],[Description]],$Q$1:$S$101,2,FALSE))</f>
        <v/>
      </c>
      <c r="H3552" s="1" t="str">
        <f>IF(Table2[[#This Row],[Description]]="","",VLOOKUP(Table2[[#This Row],[Description]],$Q$1:$S$101,3,FALSE))</f>
        <v/>
      </c>
      <c r="I3552" s="1" t="str">
        <f>IF(Table2[[#This Row],[Description]]="","",IF(Table2[[#This Row],[Currency]]=$O$2,$P$2,HLOOKUP(Table2[[#This Row],[Date]],Funds!$C$10:$GV$11,2,FALSE)))</f>
        <v/>
      </c>
      <c r="J3552" s="215" t="str">
        <f>IF(Table2[[#This Row],[Description]]="","",Table2[[#This Row],[Value]]/Table2[[#This Row],[Conversion]])</f>
        <v/>
      </c>
      <c r="K3552" s="45" t="str">
        <f>IF(Table2[[#This Row],[Description]]="","",DATE(Table2[[#This Row],[Year]],Table2[[#This Row],[Month]],1))</f>
        <v/>
      </c>
    </row>
    <row r="3553" spans="7:11" x14ac:dyDescent="0.25">
      <c r="G3553" s="1" t="str">
        <f>IF(Table2[[#This Row],[Description]]="","",VLOOKUP(Table2[[#This Row],[Description]],$Q$1:$S$101,2,FALSE))</f>
        <v/>
      </c>
      <c r="H3553" s="1" t="str">
        <f>IF(Table2[[#This Row],[Description]]="","",VLOOKUP(Table2[[#This Row],[Description]],$Q$1:$S$101,3,FALSE))</f>
        <v/>
      </c>
      <c r="I3553" s="1" t="str">
        <f>IF(Table2[[#This Row],[Description]]="","",IF(Table2[[#This Row],[Currency]]=$O$2,$P$2,HLOOKUP(Table2[[#This Row],[Date]],Funds!$C$10:$GV$11,2,FALSE)))</f>
        <v/>
      </c>
      <c r="J3553" s="215" t="str">
        <f>IF(Table2[[#This Row],[Description]]="","",Table2[[#This Row],[Value]]/Table2[[#This Row],[Conversion]])</f>
        <v/>
      </c>
      <c r="K3553" s="45" t="str">
        <f>IF(Table2[[#This Row],[Description]]="","",DATE(Table2[[#This Row],[Year]],Table2[[#This Row],[Month]],1))</f>
        <v/>
      </c>
    </row>
    <row r="3554" spans="7:11" x14ac:dyDescent="0.25">
      <c r="G3554" s="1" t="str">
        <f>IF(Table2[[#This Row],[Description]]="","",VLOOKUP(Table2[[#This Row],[Description]],$Q$1:$S$101,2,FALSE))</f>
        <v/>
      </c>
      <c r="H3554" s="1" t="str">
        <f>IF(Table2[[#This Row],[Description]]="","",VLOOKUP(Table2[[#This Row],[Description]],$Q$1:$S$101,3,FALSE))</f>
        <v/>
      </c>
      <c r="I3554" s="1" t="str">
        <f>IF(Table2[[#This Row],[Description]]="","",IF(Table2[[#This Row],[Currency]]=$O$2,$P$2,HLOOKUP(Table2[[#This Row],[Date]],Funds!$C$10:$GV$11,2,FALSE)))</f>
        <v/>
      </c>
      <c r="J3554" s="215" t="str">
        <f>IF(Table2[[#This Row],[Description]]="","",Table2[[#This Row],[Value]]/Table2[[#This Row],[Conversion]])</f>
        <v/>
      </c>
      <c r="K3554" s="45" t="str">
        <f>IF(Table2[[#This Row],[Description]]="","",DATE(Table2[[#This Row],[Year]],Table2[[#This Row],[Month]],1))</f>
        <v/>
      </c>
    </row>
    <row r="3555" spans="7:11" x14ac:dyDescent="0.25">
      <c r="G3555" s="1" t="str">
        <f>IF(Table2[[#This Row],[Description]]="","",VLOOKUP(Table2[[#This Row],[Description]],$Q$1:$S$101,2,FALSE))</f>
        <v/>
      </c>
      <c r="H3555" s="1" t="str">
        <f>IF(Table2[[#This Row],[Description]]="","",VLOOKUP(Table2[[#This Row],[Description]],$Q$1:$S$101,3,FALSE))</f>
        <v/>
      </c>
      <c r="I3555" s="1" t="str">
        <f>IF(Table2[[#This Row],[Description]]="","",IF(Table2[[#This Row],[Currency]]=$O$2,$P$2,HLOOKUP(Table2[[#This Row],[Date]],Funds!$C$10:$GV$11,2,FALSE)))</f>
        <v/>
      </c>
      <c r="J3555" s="215" t="str">
        <f>IF(Table2[[#This Row],[Description]]="","",Table2[[#This Row],[Value]]/Table2[[#This Row],[Conversion]])</f>
        <v/>
      </c>
      <c r="K3555" s="45" t="str">
        <f>IF(Table2[[#This Row],[Description]]="","",DATE(Table2[[#This Row],[Year]],Table2[[#This Row],[Month]],1))</f>
        <v/>
      </c>
    </row>
    <row r="3556" spans="7:11" x14ac:dyDescent="0.25">
      <c r="G3556" s="1" t="str">
        <f>IF(Table2[[#This Row],[Description]]="","",VLOOKUP(Table2[[#This Row],[Description]],$Q$1:$S$101,2,FALSE))</f>
        <v/>
      </c>
      <c r="H3556" s="1" t="str">
        <f>IF(Table2[[#This Row],[Description]]="","",VLOOKUP(Table2[[#This Row],[Description]],$Q$1:$S$101,3,FALSE))</f>
        <v/>
      </c>
      <c r="I3556" s="1" t="str">
        <f>IF(Table2[[#This Row],[Description]]="","",IF(Table2[[#This Row],[Currency]]=$O$2,$P$2,HLOOKUP(Table2[[#This Row],[Date]],Funds!$C$10:$GV$11,2,FALSE)))</f>
        <v/>
      </c>
      <c r="J3556" s="215" t="str">
        <f>IF(Table2[[#This Row],[Description]]="","",Table2[[#This Row],[Value]]/Table2[[#This Row],[Conversion]])</f>
        <v/>
      </c>
      <c r="K3556" s="45" t="str">
        <f>IF(Table2[[#This Row],[Description]]="","",DATE(Table2[[#This Row],[Year]],Table2[[#This Row],[Month]],1))</f>
        <v/>
      </c>
    </row>
    <row r="3557" spans="7:11" x14ac:dyDescent="0.25">
      <c r="G3557" s="1" t="str">
        <f>IF(Table2[[#This Row],[Description]]="","",VLOOKUP(Table2[[#This Row],[Description]],$Q$1:$S$101,2,FALSE))</f>
        <v/>
      </c>
      <c r="H3557" s="1" t="str">
        <f>IF(Table2[[#This Row],[Description]]="","",VLOOKUP(Table2[[#This Row],[Description]],$Q$1:$S$101,3,FALSE))</f>
        <v/>
      </c>
      <c r="I3557" s="1" t="str">
        <f>IF(Table2[[#This Row],[Description]]="","",IF(Table2[[#This Row],[Currency]]=$O$2,$P$2,HLOOKUP(Table2[[#This Row],[Date]],Funds!$C$10:$GV$11,2,FALSE)))</f>
        <v/>
      </c>
      <c r="J3557" s="215" t="str">
        <f>IF(Table2[[#This Row],[Description]]="","",Table2[[#This Row],[Value]]/Table2[[#This Row],[Conversion]])</f>
        <v/>
      </c>
      <c r="K3557" s="45" t="str">
        <f>IF(Table2[[#This Row],[Description]]="","",DATE(Table2[[#This Row],[Year]],Table2[[#This Row],[Month]],1))</f>
        <v/>
      </c>
    </row>
    <row r="3558" spans="7:11" x14ac:dyDescent="0.25">
      <c r="G3558" s="1" t="str">
        <f>IF(Table2[[#This Row],[Description]]="","",VLOOKUP(Table2[[#This Row],[Description]],$Q$1:$S$101,2,FALSE))</f>
        <v/>
      </c>
      <c r="H3558" s="1" t="str">
        <f>IF(Table2[[#This Row],[Description]]="","",VLOOKUP(Table2[[#This Row],[Description]],$Q$1:$S$101,3,FALSE))</f>
        <v/>
      </c>
      <c r="I3558" s="1" t="str">
        <f>IF(Table2[[#This Row],[Description]]="","",IF(Table2[[#This Row],[Currency]]=$O$2,$P$2,HLOOKUP(Table2[[#This Row],[Date]],Funds!$C$10:$GV$11,2,FALSE)))</f>
        <v/>
      </c>
      <c r="J3558" s="215" t="str">
        <f>IF(Table2[[#This Row],[Description]]="","",Table2[[#This Row],[Value]]/Table2[[#This Row],[Conversion]])</f>
        <v/>
      </c>
      <c r="K3558" s="45" t="str">
        <f>IF(Table2[[#This Row],[Description]]="","",DATE(Table2[[#This Row],[Year]],Table2[[#This Row],[Month]],1))</f>
        <v/>
      </c>
    </row>
    <row r="3559" spans="7:11" x14ac:dyDescent="0.25">
      <c r="G3559" s="1" t="str">
        <f>IF(Table2[[#This Row],[Description]]="","",VLOOKUP(Table2[[#This Row],[Description]],$Q$1:$S$101,2,FALSE))</f>
        <v/>
      </c>
      <c r="H3559" s="1" t="str">
        <f>IF(Table2[[#This Row],[Description]]="","",VLOOKUP(Table2[[#This Row],[Description]],$Q$1:$S$101,3,FALSE))</f>
        <v/>
      </c>
      <c r="I3559" s="1" t="str">
        <f>IF(Table2[[#This Row],[Description]]="","",IF(Table2[[#This Row],[Currency]]=$O$2,$P$2,HLOOKUP(Table2[[#This Row],[Date]],Funds!$C$10:$GV$11,2,FALSE)))</f>
        <v/>
      </c>
      <c r="J3559" s="215" t="str">
        <f>IF(Table2[[#This Row],[Description]]="","",Table2[[#This Row],[Value]]/Table2[[#This Row],[Conversion]])</f>
        <v/>
      </c>
      <c r="K3559" s="45" t="str">
        <f>IF(Table2[[#This Row],[Description]]="","",DATE(Table2[[#This Row],[Year]],Table2[[#This Row],[Month]],1))</f>
        <v/>
      </c>
    </row>
    <row r="3560" spans="7:11" x14ac:dyDescent="0.25">
      <c r="G3560" s="1" t="str">
        <f>IF(Table2[[#This Row],[Description]]="","",VLOOKUP(Table2[[#This Row],[Description]],$Q$1:$S$101,2,FALSE))</f>
        <v/>
      </c>
      <c r="H3560" s="1" t="str">
        <f>IF(Table2[[#This Row],[Description]]="","",VLOOKUP(Table2[[#This Row],[Description]],$Q$1:$S$101,3,FALSE))</f>
        <v/>
      </c>
      <c r="I3560" s="1" t="str">
        <f>IF(Table2[[#This Row],[Description]]="","",IF(Table2[[#This Row],[Currency]]=$O$2,$P$2,HLOOKUP(Table2[[#This Row],[Date]],Funds!$C$10:$GV$11,2,FALSE)))</f>
        <v/>
      </c>
      <c r="J3560" s="215" t="str">
        <f>IF(Table2[[#This Row],[Description]]="","",Table2[[#This Row],[Value]]/Table2[[#This Row],[Conversion]])</f>
        <v/>
      </c>
      <c r="K3560" s="45" t="str">
        <f>IF(Table2[[#This Row],[Description]]="","",DATE(Table2[[#This Row],[Year]],Table2[[#This Row],[Month]],1))</f>
        <v/>
      </c>
    </row>
    <row r="3561" spans="7:11" x14ac:dyDescent="0.25">
      <c r="G3561" s="1" t="str">
        <f>IF(Table2[[#This Row],[Description]]="","",VLOOKUP(Table2[[#This Row],[Description]],$Q$1:$S$101,2,FALSE))</f>
        <v/>
      </c>
      <c r="H3561" s="1" t="str">
        <f>IF(Table2[[#This Row],[Description]]="","",VLOOKUP(Table2[[#This Row],[Description]],$Q$1:$S$101,3,FALSE))</f>
        <v/>
      </c>
      <c r="I3561" s="1" t="str">
        <f>IF(Table2[[#This Row],[Description]]="","",IF(Table2[[#This Row],[Currency]]=$O$2,$P$2,HLOOKUP(Table2[[#This Row],[Date]],Funds!$C$10:$GV$11,2,FALSE)))</f>
        <v/>
      </c>
      <c r="J3561" s="215" t="str">
        <f>IF(Table2[[#This Row],[Description]]="","",Table2[[#This Row],[Value]]/Table2[[#This Row],[Conversion]])</f>
        <v/>
      </c>
      <c r="K3561" s="45" t="str">
        <f>IF(Table2[[#This Row],[Description]]="","",DATE(Table2[[#This Row],[Year]],Table2[[#This Row],[Month]],1))</f>
        <v/>
      </c>
    </row>
    <row r="3562" spans="7:11" x14ac:dyDescent="0.25">
      <c r="G3562" s="1" t="str">
        <f>IF(Table2[[#This Row],[Description]]="","",VLOOKUP(Table2[[#This Row],[Description]],$Q$1:$S$101,2,FALSE))</f>
        <v/>
      </c>
      <c r="H3562" s="1" t="str">
        <f>IF(Table2[[#This Row],[Description]]="","",VLOOKUP(Table2[[#This Row],[Description]],$Q$1:$S$101,3,FALSE))</f>
        <v/>
      </c>
      <c r="I3562" s="1" t="str">
        <f>IF(Table2[[#This Row],[Description]]="","",IF(Table2[[#This Row],[Currency]]=$O$2,$P$2,HLOOKUP(Table2[[#This Row],[Date]],Funds!$C$10:$GV$11,2,FALSE)))</f>
        <v/>
      </c>
      <c r="J3562" s="215" t="str">
        <f>IF(Table2[[#This Row],[Description]]="","",Table2[[#This Row],[Value]]/Table2[[#This Row],[Conversion]])</f>
        <v/>
      </c>
      <c r="K3562" s="45" t="str">
        <f>IF(Table2[[#This Row],[Description]]="","",DATE(Table2[[#This Row],[Year]],Table2[[#This Row],[Month]],1))</f>
        <v/>
      </c>
    </row>
    <row r="3563" spans="7:11" x14ac:dyDescent="0.25">
      <c r="G3563" s="1" t="str">
        <f>IF(Table2[[#This Row],[Description]]="","",VLOOKUP(Table2[[#This Row],[Description]],$Q$1:$S$101,2,FALSE))</f>
        <v/>
      </c>
      <c r="H3563" s="1" t="str">
        <f>IF(Table2[[#This Row],[Description]]="","",VLOOKUP(Table2[[#This Row],[Description]],$Q$1:$S$101,3,FALSE))</f>
        <v/>
      </c>
      <c r="I3563" s="1" t="str">
        <f>IF(Table2[[#This Row],[Description]]="","",IF(Table2[[#This Row],[Currency]]=$O$2,$P$2,HLOOKUP(Table2[[#This Row],[Date]],Funds!$C$10:$GV$11,2,FALSE)))</f>
        <v/>
      </c>
      <c r="J3563" s="215" t="str">
        <f>IF(Table2[[#This Row],[Description]]="","",Table2[[#This Row],[Value]]/Table2[[#This Row],[Conversion]])</f>
        <v/>
      </c>
      <c r="K3563" s="45" t="str">
        <f>IF(Table2[[#This Row],[Description]]="","",DATE(Table2[[#This Row],[Year]],Table2[[#This Row],[Month]],1))</f>
        <v/>
      </c>
    </row>
    <row r="3564" spans="7:11" x14ac:dyDescent="0.25">
      <c r="G3564" s="1" t="str">
        <f>IF(Table2[[#This Row],[Description]]="","",VLOOKUP(Table2[[#This Row],[Description]],$Q$1:$S$101,2,FALSE))</f>
        <v/>
      </c>
      <c r="H3564" s="1" t="str">
        <f>IF(Table2[[#This Row],[Description]]="","",VLOOKUP(Table2[[#This Row],[Description]],$Q$1:$S$101,3,FALSE))</f>
        <v/>
      </c>
      <c r="I3564" s="1" t="str">
        <f>IF(Table2[[#This Row],[Description]]="","",IF(Table2[[#This Row],[Currency]]=$O$2,$P$2,HLOOKUP(Table2[[#This Row],[Date]],Funds!$C$10:$GV$11,2,FALSE)))</f>
        <v/>
      </c>
      <c r="J3564" s="215" t="str">
        <f>IF(Table2[[#This Row],[Description]]="","",Table2[[#This Row],[Value]]/Table2[[#This Row],[Conversion]])</f>
        <v/>
      </c>
      <c r="K3564" s="45" t="str">
        <f>IF(Table2[[#This Row],[Description]]="","",DATE(Table2[[#This Row],[Year]],Table2[[#This Row],[Month]],1))</f>
        <v/>
      </c>
    </row>
    <row r="3565" spans="7:11" x14ac:dyDescent="0.25">
      <c r="G3565" s="1" t="str">
        <f>IF(Table2[[#This Row],[Description]]="","",VLOOKUP(Table2[[#This Row],[Description]],$Q$1:$S$101,2,FALSE))</f>
        <v/>
      </c>
      <c r="H3565" s="1" t="str">
        <f>IF(Table2[[#This Row],[Description]]="","",VLOOKUP(Table2[[#This Row],[Description]],$Q$1:$S$101,3,FALSE))</f>
        <v/>
      </c>
      <c r="I3565" s="1" t="str">
        <f>IF(Table2[[#This Row],[Description]]="","",IF(Table2[[#This Row],[Currency]]=$O$2,$P$2,HLOOKUP(Table2[[#This Row],[Date]],Funds!$C$10:$GV$11,2,FALSE)))</f>
        <v/>
      </c>
      <c r="J3565" s="215" t="str">
        <f>IF(Table2[[#This Row],[Description]]="","",Table2[[#This Row],[Value]]/Table2[[#This Row],[Conversion]])</f>
        <v/>
      </c>
      <c r="K3565" s="45" t="str">
        <f>IF(Table2[[#This Row],[Description]]="","",DATE(Table2[[#This Row],[Year]],Table2[[#This Row],[Month]],1))</f>
        <v/>
      </c>
    </row>
    <row r="3566" spans="7:11" x14ac:dyDescent="0.25">
      <c r="G3566" s="1" t="str">
        <f>IF(Table2[[#This Row],[Description]]="","",VLOOKUP(Table2[[#This Row],[Description]],$Q$1:$S$101,2,FALSE))</f>
        <v/>
      </c>
      <c r="H3566" s="1" t="str">
        <f>IF(Table2[[#This Row],[Description]]="","",VLOOKUP(Table2[[#This Row],[Description]],$Q$1:$S$101,3,FALSE))</f>
        <v/>
      </c>
      <c r="I3566" s="1" t="str">
        <f>IF(Table2[[#This Row],[Description]]="","",IF(Table2[[#This Row],[Currency]]=$O$2,$P$2,HLOOKUP(Table2[[#This Row],[Date]],Funds!$C$10:$GV$11,2,FALSE)))</f>
        <v/>
      </c>
      <c r="J3566" s="215" t="str">
        <f>IF(Table2[[#This Row],[Description]]="","",Table2[[#This Row],[Value]]/Table2[[#This Row],[Conversion]])</f>
        <v/>
      </c>
      <c r="K3566" s="45" t="str">
        <f>IF(Table2[[#This Row],[Description]]="","",DATE(Table2[[#This Row],[Year]],Table2[[#This Row],[Month]],1))</f>
        <v/>
      </c>
    </row>
    <row r="3567" spans="7:11" x14ac:dyDescent="0.25">
      <c r="G3567" s="1" t="str">
        <f>IF(Table2[[#This Row],[Description]]="","",VLOOKUP(Table2[[#This Row],[Description]],$Q$1:$S$101,2,FALSE))</f>
        <v/>
      </c>
      <c r="H3567" s="1" t="str">
        <f>IF(Table2[[#This Row],[Description]]="","",VLOOKUP(Table2[[#This Row],[Description]],$Q$1:$S$101,3,FALSE))</f>
        <v/>
      </c>
      <c r="I3567" s="1" t="str">
        <f>IF(Table2[[#This Row],[Description]]="","",IF(Table2[[#This Row],[Currency]]=$O$2,$P$2,HLOOKUP(Table2[[#This Row],[Date]],Funds!$C$10:$GV$11,2,FALSE)))</f>
        <v/>
      </c>
      <c r="J3567" s="215" t="str">
        <f>IF(Table2[[#This Row],[Description]]="","",Table2[[#This Row],[Value]]/Table2[[#This Row],[Conversion]])</f>
        <v/>
      </c>
      <c r="K3567" s="45" t="str">
        <f>IF(Table2[[#This Row],[Description]]="","",DATE(Table2[[#This Row],[Year]],Table2[[#This Row],[Month]],1))</f>
        <v/>
      </c>
    </row>
    <row r="3568" spans="7:11" x14ac:dyDescent="0.25">
      <c r="G3568" s="1" t="str">
        <f>IF(Table2[[#This Row],[Description]]="","",VLOOKUP(Table2[[#This Row],[Description]],$Q$1:$S$101,2,FALSE))</f>
        <v/>
      </c>
      <c r="H3568" s="1" t="str">
        <f>IF(Table2[[#This Row],[Description]]="","",VLOOKUP(Table2[[#This Row],[Description]],$Q$1:$S$101,3,FALSE))</f>
        <v/>
      </c>
      <c r="I3568" s="1" t="str">
        <f>IF(Table2[[#This Row],[Description]]="","",IF(Table2[[#This Row],[Currency]]=$O$2,$P$2,HLOOKUP(Table2[[#This Row],[Date]],Funds!$C$10:$GV$11,2,FALSE)))</f>
        <v/>
      </c>
      <c r="J3568" s="215" t="str">
        <f>IF(Table2[[#This Row],[Description]]="","",Table2[[#This Row],[Value]]/Table2[[#This Row],[Conversion]])</f>
        <v/>
      </c>
      <c r="K3568" s="45" t="str">
        <f>IF(Table2[[#This Row],[Description]]="","",DATE(Table2[[#This Row],[Year]],Table2[[#This Row],[Month]],1))</f>
        <v/>
      </c>
    </row>
    <row r="3569" spans="7:11" x14ac:dyDescent="0.25">
      <c r="G3569" s="1" t="str">
        <f>IF(Table2[[#This Row],[Description]]="","",VLOOKUP(Table2[[#This Row],[Description]],$Q$1:$S$101,2,FALSE))</f>
        <v/>
      </c>
      <c r="H3569" s="1" t="str">
        <f>IF(Table2[[#This Row],[Description]]="","",VLOOKUP(Table2[[#This Row],[Description]],$Q$1:$S$101,3,FALSE))</f>
        <v/>
      </c>
      <c r="I3569" s="1" t="str">
        <f>IF(Table2[[#This Row],[Description]]="","",IF(Table2[[#This Row],[Currency]]=$O$2,$P$2,HLOOKUP(Table2[[#This Row],[Date]],Funds!$C$10:$GV$11,2,FALSE)))</f>
        <v/>
      </c>
      <c r="J3569" s="215" t="str">
        <f>IF(Table2[[#This Row],[Description]]="","",Table2[[#This Row],[Value]]/Table2[[#This Row],[Conversion]])</f>
        <v/>
      </c>
      <c r="K3569" s="45" t="str">
        <f>IF(Table2[[#This Row],[Description]]="","",DATE(Table2[[#This Row],[Year]],Table2[[#This Row],[Month]],1))</f>
        <v/>
      </c>
    </row>
    <row r="3570" spans="7:11" x14ac:dyDescent="0.25">
      <c r="G3570" s="1" t="str">
        <f>IF(Table2[[#This Row],[Description]]="","",VLOOKUP(Table2[[#This Row],[Description]],$Q$1:$S$101,2,FALSE))</f>
        <v/>
      </c>
      <c r="H3570" s="1" t="str">
        <f>IF(Table2[[#This Row],[Description]]="","",VLOOKUP(Table2[[#This Row],[Description]],$Q$1:$S$101,3,FALSE))</f>
        <v/>
      </c>
      <c r="I3570" s="1" t="str">
        <f>IF(Table2[[#This Row],[Description]]="","",IF(Table2[[#This Row],[Currency]]=$O$2,$P$2,HLOOKUP(Table2[[#This Row],[Date]],Funds!$C$10:$GV$11,2,FALSE)))</f>
        <v/>
      </c>
      <c r="J3570" s="215" t="str">
        <f>IF(Table2[[#This Row],[Description]]="","",Table2[[#This Row],[Value]]/Table2[[#This Row],[Conversion]])</f>
        <v/>
      </c>
      <c r="K3570" s="45" t="str">
        <f>IF(Table2[[#This Row],[Description]]="","",DATE(Table2[[#This Row],[Year]],Table2[[#This Row],[Month]],1))</f>
        <v/>
      </c>
    </row>
    <row r="3571" spans="7:11" x14ac:dyDescent="0.25">
      <c r="G3571" s="1" t="str">
        <f>IF(Table2[[#This Row],[Description]]="","",VLOOKUP(Table2[[#This Row],[Description]],$Q$1:$S$101,2,FALSE))</f>
        <v/>
      </c>
      <c r="H3571" s="1" t="str">
        <f>IF(Table2[[#This Row],[Description]]="","",VLOOKUP(Table2[[#This Row],[Description]],$Q$1:$S$101,3,FALSE))</f>
        <v/>
      </c>
      <c r="I3571" s="1" t="str">
        <f>IF(Table2[[#This Row],[Description]]="","",IF(Table2[[#This Row],[Currency]]=$O$2,$P$2,HLOOKUP(Table2[[#This Row],[Date]],Funds!$C$10:$GV$11,2,FALSE)))</f>
        <v/>
      </c>
      <c r="J3571" s="215" t="str">
        <f>IF(Table2[[#This Row],[Description]]="","",Table2[[#This Row],[Value]]/Table2[[#This Row],[Conversion]])</f>
        <v/>
      </c>
      <c r="K3571" s="45" t="str">
        <f>IF(Table2[[#This Row],[Description]]="","",DATE(Table2[[#This Row],[Year]],Table2[[#This Row],[Month]],1))</f>
        <v/>
      </c>
    </row>
    <row r="3572" spans="7:11" x14ac:dyDescent="0.25">
      <c r="G3572" s="1" t="str">
        <f>IF(Table2[[#This Row],[Description]]="","",VLOOKUP(Table2[[#This Row],[Description]],$Q$1:$S$101,2,FALSE))</f>
        <v/>
      </c>
      <c r="H3572" s="1" t="str">
        <f>IF(Table2[[#This Row],[Description]]="","",VLOOKUP(Table2[[#This Row],[Description]],$Q$1:$S$101,3,FALSE))</f>
        <v/>
      </c>
      <c r="I3572" s="1" t="str">
        <f>IF(Table2[[#This Row],[Description]]="","",IF(Table2[[#This Row],[Currency]]=$O$2,$P$2,HLOOKUP(Table2[[#This Row],[Date]],Funds!$C$10:$GV$11,2,FALSE)))</f>
        <v/>
      </c>
      <c r="J3572" s="215" t="str">
        <f>IF(Table2[[#This Row],[Description]]="","",Table2[[#This Row],[Value]]/Table2[[#This Row],[Conversion]])</f>
        <v/>
      </c>
      <c r="K3572" s="45" t="str">
        <f>IF(Table2[[#This Row],[Description]]="","",DATE(Table2[[#This Row],[Year]],Table2[[#This Row],[Month]],1))</f>
        <v/>
      </c>
    </row>
    <row r="3573" spans="7:11" x14ac:dyDescent="0.25">
      <c r="G3573" s="1" t="str">
        <f>IF(Table2[[#This Row],[Description]]="","",VLOOKUP(Table2[[#This Row],[Description]],$Q$1:$S$101,2,FALSE))</f>
        <v/>
      </c>
      <c r="H3573" s="1" t="str">
        <f>IF(Table2[[#This Row],[Description]]="","",VLOOKUP(Table2[[#This Row],[Description]],$Q$1:$S$101,3,FALSE))</f>
        <v/>
      </c>
      <c r="I3573" s="1" t="str">
        <f>IF(Table2[[#This Row],[Description]]="","",IF(Table2[[#This Row],[Currency]]=$O$2,$P$2,HLOOKUP(Table2[[#This Row],[Date]],Funds!$C$10:$GV$11,2,FALSE)))</f>
        <v/>
      </c>
      <c r="J3573" s="215" t="str">
        <f>IF(Table2[[#This Row],[Description]]="","",Table2[[#This Row],[Value]]/Table2[[#This Row],[Conversion]])</f>
        <v/>
      </c>
      <c r="K3573" s="45" t="str">
        <f>IF(Table2[[#This Row],[Description]]="","",DATE(Table2[[#This Row],[Year]],Table2[[#This Row],[Month]],1))</f>
        <v/>
      </c>
    </row>
    <row r="3574" spans="7:11" x14ac:dyDescent="0.25">
      <c r="G3574" s="1" t="str">
        <f>IF(Table2[[#This Row],[Description]]="","",VLOOKUP(Table2[[#This Row],[Description]],$Q$1:$S$101,2,FALSE))</f>
        <v/>
      </c>
      <c r="H3574" s="1" t="str">
        <f>IF(Table2[[#This Row],[Description]]="","",VLOOKUP(Table2[[#This Row],[Description]],$Q$1:$S$101,3,FALSE))</f>
        <v/>
      </c>
      <c r="I3574" s="1" t="str">
        <f>IF(Table2[[#This Row],[Description]]="","",IF(Table2[[#This Row],[Currency]]=$O$2,$P$2,HLOOKUP(Table2[[#This Row],[Date]],Funds!$C$10:$GV$11,2,FALSE)))</f>
        <v/>
      </c>
      <c r="J3574" s="215" t="str">
        <f>IF(Table2[[#This Row],[Description]]="","",Table2[[#This Row],[Value]]/Table2[[#This Row],[Conversion]])</f>
        <v/>
      </c>
      <c r="K3574" s="45" t="str">
        <f>IF(Table2[[#This Row],[Description]]="","",DATE(Table2[[#This Row],[Year]],Table2[[#This Row],[Month]],1))</f>
        <v/>
      </c>
    </row>
    <row r="3575" spans="7:11" x14ac:dyDescent="0.25">
      <c r="G3575" s="1" t="str">
        <f>IF(Table2[[#This Row],[Description]]="","",VLOOKUP(Table2[[#This Row],[Description]],$Q$1:$S$101,2,FALSE))</f>
        <v/>
      </c>
      <c r="H3575" s="1" t="str">
        <f>IF(Table2[[#This Row],[Description]]="","",VLOOKUP(Table2[[#This Row],[Description]],$Q$1:$S$101,3,FALSE))</f>
        <v/>
      </c>
      <c r="I3575" s="1" t="str">
        <f>IF(Table2[[#This Row],[Description]]="","",IF(Table2[[#This Row],[Currency]]=$O$2,$P$2,HLOOKUP(Table2[[#This Row],[Date]],Funds!$C$10:$GV$11,2,FALSE)))</f>
        <v/>
      </c>
      <c r="J3575" s="215" t="str">
        <f>IF(Table2[[#This Row],[Description]]="","",Table2[[#This Row],[Value]]/Table2[[#This Row],[Conversion]])</f>
        <v/>
      </c>
      <c r="K3575" s="45" t="str">
        <f>IF(Table2[[#This Row],[Description]]="","",DATE(Table2[[#This Row],[Year]],Table2[[#This Row],[Month]],1))</f>
        <v/>
      </c>
    </row>
    <row r="3576" spans="7:11" x14ac:dyDescent="0.25">
      <c r="G3576" s="1" t="str">
        <f>IF(Table2[[#This Row],[Description]]="","",VLOOKUP(Table2[[#This Row],[Description]],$Q$1:$S$101,2,FALSE))</f>
        <v/>
      </c>
      <c r="H3576" s="1" t="str">
        <f>IF(Table2[[#This Row],[Description]]="","",VLOOKUP(Table2[[#This Row],[Description]],$Q$1:$S$101,3,FALSE))</f>
        <v/>
      </c>
      <c r="I3576" s="1" t="str">
        <f>IF(Table2[[#This Row],[Description]]="","",IF(Table2[[#This Row],[Currency]]=$O$2,$P$2,HLOOKUP(Table2[[#This Row],[Date]],Funds!$C$10:$GV$11,2,FALSE)))</f>
        <v/>
      </c>
      <c r="J3576" s="215" t="str">
        <f>IF(Table2[[#This Row],[Description]]="","",Table2[[#This Row],[Value]]/Table2[[#This Row],[Conversion]])</f>
        <v/>
      </c>
      <c r="K3576" s="45" t="str">
        <f>IF(Table2[[#This Row],[Description]]="","",DATE(Table2[[#This Row],[Year]],Table2[[#This Row],[Month]],1))</f>
        <v/>
      </c>
    </row>
    <row r="3577" spans="7:11" x14ac:dyDescent="0.25">
      <c r="G3577" s="1" t="str">
        <f>IF(Table2[[#This Row],[Description]]="","",VLOOKUP(Table2[[#This Row],[Description]],$Q$1:$S$101,2,FALSE))</f>
        <v/>
      </c>
      <c r="H3577" s="1" t="str">
        <f>IF(Table2[[#This Row],[Description]]="","",VLOOKUP(Table2[[#This Row],[Description]],$Q$1:$S$101,3,FALSE))</f>
        <v/>
      </c>
      <c r="I3577" s="1" t="str">
        <f>IF(Table2[[#This Row],[Description]]="","",IF(Table2[[#This Row],[Currency]]=$O$2,$P$2,HLOOKUP(Table2[[#This Row],[Date]],Funds!$C$10:$GV$11,2,FALSE)))</f>
        <v/>
      </c>
      <c r="J3577" s="215" t="str">
        <f>IF(Table2[[#This Row],[Description]]="","",Table2[[#This Row],[Value]]/Table2[[#This Row],[Conversion]])</f>
        <v/>
      </c>
      <c r="K3577" s="45" t="str">
        <f>IF(Table2[[#This Row],[Description]]="","",DATE(Table2[[#This Row],[Year]],Table2[[#This Row],[Month]],1))</f>
        <v/>
      </c>
    </row>
    <row r="3578" spans="7:11" x14ac:dyDescent="0.25">
      <c r="G3578" s="1" t="str">
        <f>IF(Table2[[#This Row],[Description]]="","",VLOOKUP(Table2[[#This Row],[Description]],$Q$1:$S$101,2,FALSE))</f>
        <v/>
      </c>
      <c r="H3578" s="1" t="str">
        <f>IF(Table2[[#This Row],[Description]]="","",VLOOKUP(Table2[[#This Row],[Description]],$Q$1:$S$101,3,FALSE))</f>
        <v/>
      </c>
      <c r="I3578" s="1" t="str">
        <f>IF(Table2[[#This Row],[Description]]="","",IF(Table2[[#This Row],[Currency]]=$O$2,$P$2,HLOOKUP(Table2[[#This Row],[Date]],Funds!$C$10:$GV$11,2,FALSE)))</f>
        <v/>
      </c>
      <c r="J3578" s="215" t="str">
        <f>IF(Table2[[#This Row],[Description]]="","",Table2[[#This Row],[Value]]/Table2[[#This Row],[Conversion]])</f>
        <v/>
      </c>
      <c r="K3578" s="45" t="str">
        <f>IF(Table2[[#This Row],[Description]]="","",DATE(Table2[[#This Row],[Year]],Table2[[#This Row],[Month]],1))</f>
        <v/>
      </c>
    </row>
    <row r="3579" spans="7:11" x14ac:dyDescent="0.25">
      <c r="G3579" s="1" t="str">
        <f>IF(Table2[[#This Row],[Description]]="","",VLOOKUP(Table2[[#This Row],[Description]],$Q$1:$S$101,2,FALSE))</f>
        <v/>
      </c>
      <c r="H3579" s="1" t="str">
        <f>IF(Table2[[#This Row],[Description]]="","",VLOOKUP(Table2[[#This Row],[Description]],$Q$1:$S$101,3,FALSE))</f>
        <v/>
      </c>
      <c r="I3579" s="1" t="str">
        <f>IF(Table2[[#This Row],[Description]]="","",IF(Table2[[#This Row],[Currency]]=$O$2,$P$2,HLOOKUP(Table2[[#This Row],[Date]],Funds!$C$10:$GV$11,2,FALSE)))</f>
        <v/>
      </c>
      <c r="J3579" s="215" t="str">
        <f>IF(Table2[[#This Row],[Description]]="","",Table2[[#This Row],[Value]]/Table2[[#This Row],[Conversion]])</f>
        <v/>
      </c>
      <c r="K3579" s="45" t="str">
        <f>IF(Table2[[#This Row],[Description]]="","",DATE(Table2[[#This Row],[Year]],Table2[[#This Row],[Month]],1))</f>
        <v/>
      </c>
    </row>
    <row r="3580" spans="7:11" x14ac:dyDescent="0.25">
      <c r="G3580" s="1" t="str">
        <f>IF(Table2[[#This Row],[Description]]="","",VLOOKUP(Table2[[#This Row],[Description]],$Q$1:$S$101,2,FALSE))</f>
        <v/>
      </c>
      <c r="H3580" s="1" t="str">
        <f>IF(Table2[[#This Row],[Description]]="","",VLOOKUP(Table2[[#This Row],[Description]],$Q$1:$S$101,3,FALSE))</f>
        <v/>
      </c>
      <c r="I3580" s="1" t="str">
        <f>IF(Table2[[#This Row],[Description]]="","",IF(Table2[[#This Row],[Currency]]=$O$2,$P$2,HLOOKUP(Table2[[#This Row],[Date]],Funds!$C$10:$GV$11,2,FALSE)))</f>
        <v/>
      </c>
      <c r="J3580" s="215" t="str">
        <f>IF(Table2[[#This Row],[Description]]="","",Table2[[#This Row],[Value]]/Table2[[#This Row],[Conversion]])</f>
        <v/>
      </c>
      <c r="K3580" s="45" t="str">
        <f>IF(Table2[[#This Row],[Description]]="","",DATE(Table2[[#This Row],[Year]],Table2[[#This Row],[Month]],1))</f>
        <v/>
      </c>
    </row>
    <row r="3581" spans="7:11" x14ac:dyDescent="0.25">
      <c r="G3581" s="1" t="str">
        <f>IF(Table2[[#This Row],[Description]]="","",VLOOKUP(Table2[[#This Row],[Description]],$Q$1:$S$101,2,FALSE))</f>
        <v/>
      </c>
      <c r="H3581" s="1" t="str">
        <f>IF(Table2[[#This Row],[Description]]="","",VLOOKUP(Table2[[#This Row],[Description]],$Q$1:$S$101,3,FALSE))</f>
        <v/>
      </c>
      <c r="I3581" s="1" t="str">
        <f>IF(Table2[[#This Row],[Description]]="","",IF(Table2[[#This Row],[Currency]]=$O$2,$P$2,HLOOKUP(Table2[[#This Row],[Date]],Funds!$C$10:$GV$11,2,FALSE)))</f>
        <v/>
      </c>
      <c r="J3581" s="215" t="str">
        <f>IF(Table2[[#This Row],[Description]]="","",Table2[[#This Row],[Value]]/Table2[[#This Row],[Conversion]])</f>
        <v/>
      </c>
      <c r="K3581" s="45" t="str">
        <f>IF(Table2[[#This Row],[Description]]="","",DATE(Table2[[#This Row],[Year]],Table2[[#This Row],[Month]],1))</f>
        <v/>
      </c>
    </row>
    <row r="3582" spans="7:11" x14ac:dyDescent="0.25">
      <c r="G3582" s="1" t="str">
        <f>IF(Table2[[#This Row],[Description]]="","",VLOOKUP(Table2[[#This Row],[Description]],$Q$1:$S$101,2,FALSE))</f>
        <v/>
      </c>
      <c r="H3582" s="1" t="str">
        <f>IF(Table2[[#This Row],[Description]]="","",VLOOKUP(Table2[[#This Row],[Description]],$Q$1:$S$101,3,FALSE))</f>
        <v/>
      </c>
      <c r="I3582" s="1" t="str">
        <f>IF(Table2[[#This Row],[Description]]="","",IF(Table2[[#This Row],[Currency]]=$O$2,$P$2,HLOOKUP(Table2[[#This Row],[Date]],Funds!$C$10:$GV$11,2,FALSE)))</f>
        <v/>
      </c>
      <c r="J3582" s="215" t="str">
        <f>IF(Table2[[#This Row],[Description]]="","",Table2[[#This Row],[Value]]/Table2[[#This Row],[Conversion]])</f>
        <v/>
      </c>
      <c r="K3582" s="45" t="str">
        <f>IF(Table2[[#This Row],[Description]]="","",DATE(Table2[[#This Row],[Year]],Table2[[#This Row],[Month]],1))</f>
        <v/>
      </c>
    </row>
    <row r="3583" spans="7:11" x14ac:dyDescent="0.25">
      <c r="G3583" s="1" t="str">
        <f>IF(Table2[[#This Row],[Description]]="","",VLOOKUP(Table2[[#This Row],[Description]],$Q$1:$S$101,2,FALSE))</f>
        <v/>
      </c>
      <c r="H3583" s="1" t="str">
        <f>IF(Table2[[#This Row],[Description]]="","",VLOOKUP(Table2[[#This Row],[Description]],$Q$1:$S$101,3,FALSE))</f>
        <v/>
      </c>
      <c r="I3583" s="1" t="str">
        <f>IF(Table2[[#This Row],[Description]]="","",IF(Table2[[#This Row],[Currency]]=$O$2,$P$2,HLOOKUP(Table2[[#This Row],[Date]],Funds!$C$10:$GV$11,2,FALSE)))</f>
        <v/>
      </c>
      <c r="J3583" s="215" t="str">
        <f>IF(Table2[[#This Row],[Description]]="","",Table2[[#This Row],[Value]]/Table2[[#This Row],[Conversion]])</f>
        <v/>
      </c>
      <c r="K3583" s="45" t="str">
        <f>IF(Table2[[#This Row],[Description]]="","",DATE(Table2[[#This Row],[Year]],Table2[[#This Row],[Month]],1))</f>
        <v/>
      </c>
    </row>
    <row r="3584" spans="7:11" x14ac:dyDescent="0.25">
      <c r="G3584" s="1" t="str">
        <f>IF(Table2[[#This Row],[Description]]="","",VLOOKUP(Table2[[#This Row],[Description]],$Q$1:$S$101,2,FALSE))</f>
        <v/>
      </c>
      <c r="H3584" s="1" t="str">
        <f>IF(Table2[[#This Row],[Description]]="","",VLOOKUP(Table2[[#This Row],[Description]],$Q$1:$S$101,3,FALSE))</f>
        <v/>
      </c>
      <c r="I3584" s="1" t="str">
        <f>IF(Table2[[#This Row],[Description]]="","",IF(Table2[[#This Row],[Currency]]=$O$2,$P$2,HLOOKUP(Table2[[#This Row],[Date]],Funds!$C$10:$GV$11,2,FALSE)))</f>
        <v/>
      </c>
      <c r="J3584" s="215" t="str">
        <f>IF(Table2[[#This Row],[Description]]="","",Table2[[#This Row],[Value]]/Table2[[#This Row],[Conversion]])</f>
        <v/>
      </c>
      <c r="K3584" s="45" t="str">
        <f>IF(Table2[[#This Row],[Description]]="","",DATE(Table2[[#This Row],[Year]],Table2[[#This Row],[Month]],1))</f>
        <v/>
      </c>
    </row>
    <row r="3585" spans="7:11" x14ac:dyDescent="0.25">
      <c r="G3585" s="1" t="str">
        <f>IF(Table2[[#This Row],[Description]]="","",VLOOKUP(Table2[[#This Row],[Description]],$Q$1:$S$101,2,FALSE))</f>
        <v/>
      </c>
      <c r="H3585" s="1" t="str">
        <f>IF(Table2[[#This Row],[Description]]="","",VLOOKUP(Table2[[#This Row],[Description]],$Q$1:$S$101,3,FALSE))</f>
        <v/>
      </c>
      <c r="I3585" s="1" t="str">
        <f>IF(Table2[[#This Row],[Description]]="","",IF(Table2[[#This Row],[Currency]]=$O$2,$P$2,HLOOKUP(Table2[[#This Row],[Date]],Funds!$C$10:$GV$11,2,FALSE)))</f>
        <v/>
      </c>
      <c r="J3585" s="215" t="str">
        <f>IF(Table2[[#This Row],[Description]]="","",Table2[[#This Row],[Value]]/Table2[[#This Row],[Conversion]])</f>
        <v/>
      </c>
      <c r="K3585" s="45" t="str">
        <f>IF(Table2[[#This Row],[Description]]="","",DATE(Table2[[#This Row],[Year]],Table2[[#This Row],[Month]],1))</f>
        <v/>
      </c>
    </row>
    <row r="3586" spans="7:11" x14ac:dyDescent="0.25">
      <c r="G3586" s="1" t="str">
        <f>IF(Table2[[#This Row],[Description]]="","",VLOOKUP(Table2[[#This Row],[Description]],$Q$1:$S$101,2,FALSE))</f>
        <v/>
      </c>
      <c r="H3586" s="1" t="str">
        <f>IF(Table2[[#This Row],[Description]]="","",VLOOKUP(Table2[[#This Row],[Description]],$Q$1:$S$101,3,FALSE))</f>
        <v/>
      </c>
      <c r="I3586" s="1" t="str">
        <f>IF(Table2[[#This Row],[Description]]="","",IF(Table2[[#This Row],[Currency]]=$O$2,$P$2,HLOOKUP(Table2[[#This Row],[Date]],Funds!$C$10:$GV$11,2,FALSE)))</f>
        <v/>
      </c>
      <c r="J3586" s="215" t="str">
        <f>IF(Table2[[#This Row],[Description]]="","",Table2[[#This Row],[Value]]/Table2[[#This Row],[Conversion]])</f>
        <v/>
      </c>
      <c r="K3586" s="45" t="str">
        <f>IF(Table2[[#This Row],[Description]]="","",DATE(Table2[[#This Row],[Year]],Table2[[#This Row],[Month]],1))</f>
        <v/>
      </c>
    </row>
    <row r="3587" spans="7:11" x14ac:dyDescent="0.25">
      <c r="G3587" s="1" t="str">
        <f>IF(Table2[[#This Row],[Description]]="","",VLOOKUP(Table2[[#This Row],[Description]],$Q$1:$S$101,2,FALSE))</f>
        <v/>
      </c>
      <c r="H3587" s="1" t="str">
        <f>IF(Table2[[#This Row],[Description]]="","",VLOOKUP(Table2[[#This Row],[Description]],$Q$1:$S$101,3,FALSE))</f>
        <v/>
      </c>
      <c r="I3587" s="1" t="str">
        <f>IF(Table2[[#This Row],[Description]]="","",IF(Table2[[#This Row],[Currency]]=$O$2,$P$2,HLOOKUP(Table2[[#This Row],[Date]],Funds!$C$10:$GV$11,2,FALSE)))</f>
        <v/>
      </c>
      <c r="J3587" s="215" t="str">
        <f>IF(Table2[[#This Row],[Description]]="","",Table2[[#This Row],[Value]]/Table2[[#This Row],[Conversion]])</f>
        <v/>
      </c>
      <c r="K3587" s="45" t="str">
        <f>IF(Table2[[#This Row],[Description]]="","",DATE(Table2[[#This Row],[Year]],Table2[[#This Row],[Month]],1))</f>
        <v/>
      </c>
    </row>
    <row r="3588" spans="7:11" x14ac:dyDescent="0.25">
      <c r="G3588" s="1" t="str">
        <f>IF(Table2[[#This Row],[Description]]="","",VLOOKUP(Table2[[#This Row],[Description]],$Q$1:$S$101,2,FALSE))</f>
        <v/>
      </c>
      <c r="H3588" s="1" t="str">
        <f>IF(Table2[[#This Row],[Description]]="","",VLOOKUP(Table2[[#This Row],[Description]],$Q$1:$S$101,3,FALSE))</f>
        <v/>
      </c>
      <c r="I3588" s="1" t="str">
        <f>IF(Table2[[#This Row],[Description]]="","",IF(Table2[[#This Row],[Currency]]=$O$2,$P$2,HLOOKUP(Table2[[#This Row],[Date]],Funds!$C$10:$GV$11,2,FALSE)))</f>
        <v/>
      </c>
      <c r="J3588" s="215" t="str">
        <f>IF(Table2[[#This Row],[Description]]="","",Table2[[#This Row],[Value]]/Table2[[#This Row],[Conversion]])</f>
        <v/>
      </c>
      <c r="K3588" s="45" t="str">
        <f>IF(Table2[[#This Row],[Description]]="","",DATE(Table2[[#This Row],[Year]],Table2[[#This Row],[Month]],1))</f>
        <v/>
      </c>
    </row>
    <row r="3589" spans="7:11" x14ac:dyDescent="0.25">
      <c r="G3589" s="1" t="str">
        <f>IF(Table2[[#This Row],[Description]]="","",VLOOKUP(Table2[[#This Row],[Description]],$Q$1:$S$101,2,FALSE))</f>
        <v/>
      </c>
      <c r="H3589" s="1" t="str">
        <f>IF(Table2[[#This Row],[Description]]="","",VLOOKUP(Table2[[#This Row],[Description]],$Q$1:$S$101,3,FALSE))</f>
        <v/>
      </c>
      <c r="I3589" s="1" t="str">
        <f>IF(Table2[[#This Row],[Description]]="","",IF(Table2[[#This Row],[Currency]]=$O$2,$P$2,HLOOKUP(Table2[[#This Row],[Date]],Funds!$C$10:$GV$11,2,FALSE)))</f>
        <v/>
      </c>
      <c r="J3589" s="215" t="str">
        <f>IF(Table2[[#This Row],[Description]]="","",Table2[[#This Row],[Value]]/Table2[[#This Row],[Conversion]])</f>
        <v/>
      </c>
      <c r="K3589" s="45" t="str">
        <f>IF(Table2[[#This Row],[Description]]="","",DATE(Table2[[#This Row],[Year]],Table2[[#This Row],[Month]],1))</f>
        <v/>
      </c>
    </row>
    <row r="3590" spans="7:11" x14ac:dyDescent="0.25">
      <c r="G3590" s="1" t="str">
        <f>IF(Table2[[#This Row],[Description]]="","",VLOOKUP(Table2[[#This Row],[Description]],$Q$1:$S$101,2,FALSE))</f>
        <v/>
      </c>
      <c r="H3590" s="1" t="str">
        <f>IF(Table2[[#This Row],[Description]]="","",VLOOKUP(Table2[[#This Row],[Description]],$Q$1:$S$101,3,FALSE))</f>
        <v/>
      </c>
      <c r="I3590" s="1" t="str">
        <f>IF(Table2[[#This Row],[Description]]="","",IF(Table2[[#This Row],[Currency]]=$O$2,$P$2,HLOOKUP(Table2[[#This Row],[Date]],Funds!$C$10:$GV$11,2,FALSE)))</f>
        <v/>
      </c>
      <c r="J3590" s="215" t="str">
        <f>IF(Table2[[#This Row],[Description]]="","",Table2[[#This Row],[Value]]/Table2[[#This Row],[Conversion]])</f>
        <v/>
      </c>
      <c r="K3590" s="45" t="str">
        <f>IF(Table2[[#This Row],[Description]]="","",DATE(Table2[[#This Row],[Year]],Table2[[#This Row],[Month]],1))</f>
        <v/>
      </c>
    </row>
    <row r="3591" spans="7:11" x14ac:dyDescent="0.25">
      <c r="G3591" s="1" t="str">
        <f>IF(Table2[[#This Row],[Description]]="","",VLOOKUP(Table2[[#This Row],[Description]],$Q$1:$S$101,2,FALSE))</f>
        <v/>
      </c>
      <c r="H3591" s="1" t="str">
        <f>IF(Table2[[#This Row],[Description]]="","",VLOOKUP(Table2[[#This Row],[Description]],$Q$1:$S$101,3,FALSE))</f>
        <v/>
      </c>
      <c r="I3591" s="1" t="str">
        <f>IF(Table2[[#This Row],[Description]]="","",IF(Table2[[#This Row],[Currency]]=$O$2,$P$2,HLOOKUP(Table2[[#This Row],[Date]],Funds!$C$10:$GV$11,2,FALSE)))</f>
        <v/>
      </c>
      <c r="J3591" s="215" t="str">
        <f>IF(Table2[[#This Row],[Description]]="","",Table2[[#This Row],[Value]]/Table2[[#This Row],[Conversion]])</f>
        <v/>
      </c>
      <c r="K3591" s="45" t="str">
        <f>IF(Table2[[#This Row],[Description]]="","",DATE(Table2[[#This Row],[Year]],Table2[[#This Row],[Month]],1))</f>
        <v/>
      </c>
    </row>
    <row r="3592" spans="7:11" x14ac:dyDescent="0.25">
      <c r="G3592" s="1" t="str">
        <f>IF(Table2[[#This Row],[Description]]="","",VLOOKUP(Table2[[#This Row],[Description]],$Q$1:$S$101,2,FALSE))</f>
        <v/>
      </c>
      <c r="H3592" s="1" t="str">
        <f>IF(Table2[[#This Row],[Description]]="","",VLOOKUP(Table2[[#This Row],[Description]],$Q$1:$S$101,3,FALSE))</f>
        <v/>
      </c>
      <c r="I3592" s="1" t="str">
        <f>IF(Table2[[#This Row],[Description]]="","",IF(Table2[[#This Row],[Currency]]=$O$2,$P$2,HLOOKUP(Table2[[#This Row],[Date]],Funds!$C$10:$GV$11,2,FALSE)))</f>
        <v/>
      </c>
      <c r="J3592" s="215" t="str">
        <f>IF(Table2[[#This Row],[Description]]="","",Table2[[#This Row],[Value]]/Table2[[#This Row],[Conversion]])</f>
        <v/>
      </c>
      <c r="K3592" s="45" t="str">
        <f>IF(Table2[[#This Row],[Description]]="","",DATE(Table2[[#This Row],[Year]],Table2[[#This Row],[Month]],1))</f>
        <v/>
      </c>
    </row>
    <row r="3593" spans="7:11" x14ac:dyDescent="0.25">
      <c r="G3593" s="1" t="str">
        <f>IF(Table2[[#This Row],[Description]]="","",VLOOKUP(Table2[[#This Row],[Description]],$Q$1:$S$101,2,FALSE))</f>
        <v/>
      </c>
      <c r="H3593" s="1" t="str">
        <f>IF(Table2[[#This Row],[Description]]="","",VLOOKUP(Table2[[#This Row],[Description]],$Q$1:$S$101,3,FALSE))</f>
        <v/>
      </c>
      <c r="I3593" s="1" t="str">
        <f>IF(Table2[[#This Row],[Description]]="","",IF(Table2[[#This Row],[Currency]]=$O$2,$P$2,HLOOKUP(Table2[[#This Row],[Date]],Funds!$C$10:$GV$11,2,FALSE)))</f>
        <v/>
      </c>
      <c r="J3593" s="215" t="str">
        <f>IF(Table2[[#This Row],[Description]]="","",Table2[[#This Row],[Value]]/Table2[[#This Row],[Conversion]])</f>
        <v/>
      </c>
      <c r="K3593" s="45" t="str">
        <f>IF(Table2[[#This Row],[Description]]="","",DATE(Table2[[#This Row],[Year]],Table2[[#This Row],[Month]],1))</f>
        <v/>
      </c>
    </row>
    <row r="3594" spans="7:11" x14ac:dyDescent="0.25">
      <c r="G3594" s="1" t="str">
        <f>IF(Table2[[#This Row],[Description]]="","",VLOOKUP(Table2[[#This Row],[Description]],$Q$1:$S$101,2,FALSE))</f>
        <v/>
      </c>
      <c r="H3594" s="1" t="str">
        <f>IF(Table2[[#This Row],[Description]]="","",VLOOKUP(Table2[[#This Row],[Description]],$Q$1:$S$101,3,FALSE))</f>
        <v/>
      </c>
      <c r="I3594" s="1" t="str">
        <f>IF(Table2[[#This Row],[Description]]="","",IF(Table2[[#This Row],[Currency]]=$O$2,$P$2,HLOOKUP(Table2[[#This Row],[Date]],Funds!$C$10:$GV$11,2,FALSE)))</f>
        <v/>
      </c>
      <c r="J3594" s="215" t="str">
        <f>IF(Table2[[#This Row],[Description]]="","",Table2[[#This Row],[Value]]/Table2[[#This Row],[Conversion]])</f>
        <v/>
      </c>
      <c r="K3594" s="45" t="str">
        <f>IF(Table2[[#This Row],[Description]]="","",DATE(Table2[[#This Row],[Year]],Table2[[#This Row],[Month]],1))</f>
        <v/>
      </c>
    </row>
    <row r="3595" spans="7:11" x14ac:dyDescent="0.25">
      <c r="G3595" s="1" t="str">
        <f>IF(Table2[[#This Row],[Description]]="","",VLOOKUP(Table2[[#This Row],[Description]],$Q$1:$S$101,2,FALSE))</f>
        <v/>
      </c>
      <c r="H3595" s="1" t="str">
        <f>IF(Table2[[#This Row],[Description]]="","",VLOOKUP(Table2[[#This Row],[Description]],$Q$1:$S$101,3,FALSE))</f>
        <v/>
      </c>
      <c r="I3595" s="1" t="str">
        <f>IF(Table2[[#This Row],[Description]]="","",IF(Table2[[#This Row],[Currency]]=$O$2,$P$2,HLOOKUP(Table2[[#This Row],[Date]],Funds!$C$10:$GV$11,2,FALSE)))</f>
        <v/>
      </c>
      <c r="J3595" s="215" t="str">
        <f>IF(Table2[[#This Row],[Description]]="","",Table2[[#This Row],[Value]]/Table2[[#This Row],[Conversion]])</f>
        <v/>
      </c>
      <c r="K3595" s="45" t="str">
        <f>IF(Table2[[#This Row],[Description]]="","",DATE(Table2[[#This Row],[Year]],Table2[[#This Row],[Month]],1))</f>
        <v/>
      </c>
    </row>
    <row r="3596" spans="7:11" x14ac:dyDescent="0.25">
      <c r="G3596" s="1" t="str">
        <f>IF(Table2[[#This Row],[Description]]="","",VLOOKUP(Table2[[#This Row],[Description]],$Q$1:$S$101,2,FALSE))</f>
        <v/>
      </c>
      <c r="H3596" s="1" t="str">
        <f>IF(Table2[[#This Row],[Description]]="","",VLOOKUP(Table2[[#This Row],[Description]],$Q$1:$S$101,3,FALSE))</f>
        <v/>
      </c>
      <c r="I3596" s="1" t="str">
        <f>IF(Table2[[#This Row],[Description]]="","",IF(Table2[[#This Row],[Currency]]=$O$2,$P$2,HLOOKUP(Table2[[#This Row],[Date]],Funds!$C$10:$GV$11,2,FALSE)))</f>
        <v/>
      </c>
      <c r="J3596" s="215" t="str">
        <f>IF(Table2[[#This Row],[Description]]="","",Table2[[#This Row],[Value]]/Table2[[#This Row],[Conversion]])</f>
        <v/>
      </c>
      <c r="K3596" s="45" t="str">
        <f>IF(Table2[[#This Row],[Description]]="","",DATE(Table2[[#This Row],[Year]],Table2[[#This Row],[Month]],1))</f>
        <v/>
      </c>
    </row>
    <row r="3597" spans="7:11" x14ac:dyDescent="0.25">
      <c r="G3597" s="1" t="str">
        <f>IF(Table2[[#This Row],[Description]]="","",VLOOKUP(Table2[[#This Row],[Description]],$Q$1:$S$101,2,FALSE))</f>
        <v/>
      </c>
      <c r="H3597" s="1" t="str">
        <f>IF(Table2[[#This Row],[Description]]="","",VLOOKUP(Table2[[#This Row],[Description]],$Q$1:$S$101,3,FALSE))</f>
        <v/>
      </c>
      <c r="I3597" s="1" t="str">
        <f>IF(Table2[[#This Row],[Description]]="","",IF(Table2[[#This Row],[Currency]]=$O$2,$P$2,HLOOKUP(Table2[[#This Row],[Date]],Funds!$C$10:$GV$11,2,FALSE)))</f>
        <v/>
      </c>
      <c r="J3597" s="215" t="str">
        <f>IF(Table2[[#This Row],[Description]]="","",Table2[[#This Row],[Value]]/Table2[[#This Row],[Conversion]])</f>
        <v/>
      </c>
      <c r="K3597" s="45" t="str">
        <f>IF(Table2[[#This Row],[Description]]="","",DATE(Table2[[#This Row],[Year]],Table2[[#This Row],[Month]],1))</f>
        <v/>
      </c>
    </row>
    <row r="3598" spans="7:11" x14ac:dyDescent="0.25">
      <c r="G3598" s="1" t="str">
        <f>IF(Table2[[#This Row],[Description]]="","",VLOOKUP(Table2[[#This Row],[Description]],$Q$1:$S$101,2,FALSE))</f>
        <v/>
      </c>
      <c r="H3598" s="1" t="str">
        <f>IF(Table2[[#This Row],[Description]]="","",VLOOKUP(Table2[[#This Row],[Description]],$Q$1:$S$101,3,FALSE))</f>
        <v/>
      </c>
      <c r="I3598" s="1" t="str">
        <f>IF(Table2[[#This Row],[Description]]="","",IF(Table2[[#This Row],[Currency]]=$O$2,$P$2,HLOOKUP(Table2[[#This Row],[Date]],Funds!$C$10:$GV$11,2,FALSE)))</f>
        <v/>
      </c>
      <c r="J3598" s="215" t="str">
        <f>IF(Table2[[#This Row],[Description]]="","",Table2[[#This Row],[Value]]/Table2[[#This Row],[Conversion]])</f>
        <v/>
      </c>
      <c r="K3598" s="45" t="str">
        <f>IF(Table2[[#This Row],[Description]]="","",DATE(Table2[[#This Row],[Year]],Table2[[#This Row],[Month]],1))</f>
        <v/>
      </c>
    </row>
    <row r="3599" spans="7:11" x14ac:dyDescent="0.25">
      <c r="G3599" s="1" t="str">
        <f>IF(Table2[[#This Row],[Description]]="","",VLOOKUP(Table2[[#This Row],[Description]],$Q$1:$S$101,2,FALSE))</f>
        <v/>
      </c>
      <c r="H3599" s="1" t="str">
        <f>IF(Table2[[#This Row],[Description]]="","",VLOOKUP(Table2[[#This Row],[Description]],$Q$1:$S$101,3,FALSE))</f>
        <v/>
      </c>
      <c r="I3599" s="1" t="str">
        <f>IF(Table2[[#This Row],[Description]]="","",IF(Table2[[#This Row],[Currency]]=$O$2,$P$2,HLOOKUP(Table2[[#This Row],[Date]],Funds!$C$10:$GV$11,2,FALSE)))</f>
        <v/>
      </c>
      <c r="J3599" s="215" t="str">
        <f>IF(Table2[[#This Row],[Description]]="","",Table2[[#This Row],[Value]]/Table2[[#This Row],[Conversion]])</f>
        <v/>
      </c>
      <c r="K3599" s="45" t="str">
        <f>IF(Table2[[#This Row],[Description]]="","",DATE(Table2[[#This Row],[Year]],Table2[[#This Row],[Month]],1))</f>
        <v/>
      </c>
    </row>
    <row r="3600" spans="7:11" x14ac:dyDescent="0.25">
      <c r="G3600" s="1" t="str">
        <f>IF(Table2[[#This Row],[Description]]="","",VLOOKUP(Table2[[#This Row],[Description]],$Q$1:$S$101,2,FALSE))</f>
        <v/>
      </c>
      <c r="H3600" s="1" t="str">
        <f>IF(Table2[[#This Row],[Description]]="","",VLOOKUP(Table2[[#This Row],[Description]],$Q$1:$S$101,3,FALSE))</f>
        <v/>
      </c>
      <c r="I3600" s="1" t="str">
        <f>IF(Table2[[#This Row],[Description]]="","",IF(Table2[[#This Row],[Currency]]=$O$2,$P$2,HLOOKUP(Table2[[#This Row],[Date]],Funds!$C$10:$GV$11,2,FALSE)))</f>
        <v/>
      </c>
      <c r="J3600" s="215" t="str">
        <f>IF(Table2[[#This Row],[Description]]="","",Table2[[#This Row],[Value]]/Table2[[#This Row],[Conversion]])</f>
        <v/>
      </c>
      <c r="K3600" s="45" t="str">
        <f>IF(Table2[[#This Row],[Description]]="","",DATE(Table2[[#This Row],[Year]],Table2[[#This Row],[Month]],1))</f>
        <v/>
      </c>
    </row>
    <row r="3601" spans="7:11" x14ac:dyDescent="0.25">
      <c r="G3601" s="1" t="str">
        <f>IF(Table2[[#This Row],[Description]]="","",VLOOKUP(Table2[[#This Row],[Description]],$Q$1:$S$101,2,FALSE))</f>
        <v/>
      </c>
      <c r="H3601" s="1" t="str">
        <f>IF(Table2[[#This Row],[Description]]="","",VLOOKUP(Table2[[#This Row],[Description]],$Q$1:$S$101,3,FALSE))</f>
        <v/>
      </c>
      <c r="I3601" s="1" t="str">
        <f>IF(Table2[[#This Row],[Description]]="","",IF(Table2[[#This Row],[Currency]]=$O$2,$P$2,HLOOKUP(Table2[[#This Row],[Date]],Funds!$C$10:$GV$11,2,FALSE)))</f>
        <v/>
      </c>
      <c r="J3601" s="215" t="str">
        <f>IF(Table2[[#This Row],[Description]]="","",Table2[[#This Row],[Value]]/Table2[[#This Row],[Conversion]])</f>
        <v/>
      </c>
      <c r="K3601" s="45" t="str">
        <f>IF(Table2[[#This Row],[Description]]="","",DATE(Table2[[#This Row],[Year]],Table2[[#This Row],[Month]],1))</f>
        <v/>
      </c>
    </row>
    <row r="3602" spans="7:11" x14ac:dyDescent="0.25">
      <c r="G3602" s="1" t="str">
        <f>IF(Table2[[#This Row],[Description]]="","",VLOOKUP(Table2[[#This Row],[Description]],$Q$1:$S$101,2,FALSE))</f>
        <v/>
      </c>
      <c r="H3602" s="1" t="str">
        <f>IF(Table2[[#This Row],[Description]]="","",VLOOKUP(Table2[[#This Row],[Description]],$Q$1:$S$101,3,FALSE))</f>
        <v/>
      </c>
      <c r="I3602" s="1" t="str">
        <f>IF(Table2[[#This Row],[Description]]="","",IF(Table2[[#This Row],[Currency]]=$O$2,$P$2,HLOOKUP(Table2[[#This Row],[Date]],Funds!$C$10:$GV$11,2,FALSE)))</f>
        <v/>
      </c>
      <c r="J3602" s="215" t="str">
        <f>IF(Table2[[#This Row],[Description]]="","",Table2[[#This Row],[Value]]/Table2[[#This Row],[Conversion]])</f>
        <v/>
      </c>
      <c r="K3602" s="45" t="str">
        <f>IF(Table2[[#This Row],[Description]]="","",DATE(Table2[[#This Row],[Year]],Table2[[#This Row],[Month]],1))</f>
        <v/>
      </c>
    </row>
    <row r="3603" spans="7:11" x14ac:dyDescent="0.25">
      <c r="G3603" s="1" t="str">
        <f>IF(Table2[[#This Row],[Description]]="","",VLOOKUP(Table2[[#This Row],[Description]],$Q$1:$S$101,2,FALSE))</f>
        <v/>
      </c>
      <c r="H3603" s="1" t="str">
        <f>IF(Table2[[#This Row],[Description]]="","",VLOOKUP(Table2[[#This Row],[Description]],$Q$1:$S$101,3,FALSE))</f>
        <v/>
      </c>
      <c r="I3603" s="1" t="str">
        <f>IF(Table2[[#This Row],[Description]]="","",IF(Table2[[#This Row],[Currency]]=$O$2,$P$2,HLOOKUP(Table2[[#This Row],[Date]],Funds!$C$10:$GV$11,2,FALSE)))</f>
        <v/>
      </c>
      <c r="J3603" s="215" t="str">
        <f>IF(Table2[[#This Row],[Description]]="","",Table2[[#This Row],[Value]]/Table2[[#This Row],[Conversion]])</f>
        <v/>
      </c>
      <c r="K3603" s="45" t="str">
        <f>IF(Table2[[#This Row],[Description]]="","",DATE(Table2[[#This Row],[Year]],Table2[[#This Row],[Month]],1))</f>
        <v/>
      </c>
    </row>
    <row r="3604" spans="7:11" x14ac:dyDescent="0.25">
      <c r="G3604" s="1" t="str">
        <f>IF(Table2[[#This Row],[Description]]="","",VLOOKUP(Table2[[#This Row],[Description]],$Q$1:$S$101,2,FALSE))</f>
        <v/>
      </c>
      <c r="H3604" s="1" t="str">
        <f>IF(Table2[[#This Row],[Description]]="","",VLOOKUP(Table2[[#This Row],[Description]],$Q$1:$S$101,3,FALSE))</f>
        <v/>
      </c>
      <c r="I3604" s="1" t="str">
        <f>IF(Table2[[#This Row],[Description]]="","",IF(Table2[[#This Row],[Currency]]=$O$2,$P$2,HLOOKUP(Table2[[#This Row],[Date]],Funds!$C$10:$GV$11,2,FALSE)))</f>
        <v/>
      </c>
      <c r="J3604" s="215" t="str">
        <f>IF(Table2[[#This Row],[Description]]="","",Table2[[#This Row],[Value]]/Table2[[#This Row],[Conversion]])</f>
        <v/>
      </c>
      <c r="K3604" s="45" t="str">
        <f>IF(Table2[[#This Row],[Description]]="","",DATE(Table2[[#This Row],[Year]],Table2[[#This Row],[Month]],1))</f>
        <v/>
      </c>
    </row>
    <row r="3605" spans="7:11" x14ac:dyDescent="0.25">
      <c r="G3605" s="1" t="str">
        <f>IF(Table2[[#This Row],[Description]]="","",VLOOKUP(Table2[[#This Row],[Description]],$Q$1:$S$101,2,FALSE))</f>
        <v/>
      </c>
      <c r="H3605" s="1" t="str">
        <f>IF(Table2[[#This Row],[Description]]="","",VLOOKUP(Table2[[#This Row],[Description]],$Q$1:$S$101,3,FALSE))</f>
        <v/>
      </c>
      <c r="I3605" s="1" t="str">
        <f>IF(Table2[[#This Row],[Description]]="","",IF(Table2[[#This Row],[Currency]]=$O$2,$P$2,HLOOKUP(Table2[[#This Row],[Date]],Funds!$C$10:$GV$11,2,FALSE)))</f>
        <v/>
      </c>
      <c r="J3605" s="215" t="str">
        <f>IF(Table2[[#This Row],[Description]]="","",Table2[[#This Row],[Value]]/Table2[[#This Row],[Conversion]])</f>
        <v/>
      </c>
      <c r="K3605" s="45" t="str">
        <f>IF(Table2[[#This Row],[Description]]="","",DATE(Table2[[#This Row],[Year]],Table2[[#This Row],[Month]],1))</f>
        <v/>
      </c>
    </row>
    <row r="3606" spans="7:11" x14ac:dyDescent="0.25">
      <c r="G3606" s="1" t="str">
        <f>IF(Table2[[#This Row],[Description]]="","",VLOOKUP(Table2[[#This Row],[Description]],$Q$1:$S$101,2,FALSE))</f>
        <v/>
      </c>
      <c r="H3606" s="1" t="str">
        <f>IF(Table2[[#This Row],[Description]]="","",VLOOKUP(Table2[[#This Row],[Description]],$Q$1:$S$101,3,FALSE))</f>
        <v/>
      </c>
      <c r="I3606" s="1" t="str">
        <f>IF(Table2[[#This Row],[Description]]="","",IF(Table2[[#This Row],[Currency]]=$O$2,$P$2,HLOOKUP(Table2[[#This Row],[Date]],Funds!$C$10:$GV$11,2,FALSE)))</f>
        <v/>
      </c>
      <c r="J3606" s="215" t="str">
        <f>IF(Table2[[#This Row],[Description]]="","",Table2[[#This Row],[Value]]/Table2[[#This Row],[Conversion]])</f>
        <v/>
      </c>
      <c r="K3606" s="45" t="str">
        <f>IF(Table2[[#This Row],[Description]]="","",DATE(Table2[[#This Row],[Year]],Table2[[#This Row],[Month]],1))</f>
        <v/>
      </c>
    </row>
    <row r="3607" spans="7:11" x14ac:dyDescent="0.25">
      <c r="G3607" s="1" t="str">
        <f>IF(Table2[[#This Row],[Description]]="","",VLOOKUP(Table2[[#This Row],[Description]],$Q$1:$S$101,2,FALSE))</f>
        <v/>
      </c>
      <c r="H3607" s="1" t="str">
        <f>IF(Table2[[#This Row],[Description]]="","",VLOOKUP(Table2[[#This Row],[Description]],$Q$1:$S$101,3,FALSE))</f>
        <v/>
      </c>
      <c r="I3607" s="1" t="str">
        <f>IF(Table2[[#This Row],[Description]]="","",IF(Table2[[#This Row],[Currency]]=$O$2,$P$2,HLOOKUP(Table2[[#This Row],[Date]],Funds!$C$10:$GV$11,2,FALSE)))</f>
        <v/>
      </c>
      <c r="J3607" s="215" t="str">
        <f>IF(Table2[[#This Row],[Description]]="","",Table2[[#This Row],[Value]]/Table2[[#This Row],[Conversion]])</f>
        <v/>
      </c>
      <c r="K3607" s="45" t="str">
        <f>IF(Table2[[#This Row],[Description]]="","",DATE(Table2[[#This Row],[Year]],Table2[[#This Row],[Month]],1))</f>
        <v/>
      </c>
    </row>
    <row r="3608" spans="7:11" x14ac:dyDescent="0.25">
      <c r="G3608" s="1" t="str">
        <f>IF(Table2[[#This Row],[Description]]="","",VLOOKUP(Table2[[#This Row],[Description]],$Q$1:$S$101,2,FALSE))</f>
        <v/>
      </c>
      <c r="H3608" s="1" t="str">
        <f>IF(Table2[[#This Row],[Description]]="","",VLOOKUP(Table2[[#This Row],[Description]],$Q$1:$S$101,3,FALSE))</f>
        <v/>
      </c>
      <c r="I3608" s="1" t="str">
        <f>IF(Table2[[#This Row],[Description]]="","",IF(Table2[[#This Row],[Currency]]=$O$2,$P$2,HLOOKUP(Table2[[#This Row],[Date]],Funds!$C$10:$GV$11,2,FALSE)))</f>
        <v/>
      </c>
      <c r="J3608" s="215" t="str">
        <f>IF(Table2[[#This Row],[Description]]="","",Table2[[#This Row],[Value]]/Table2[[#This Row],[Conversion]])</f>
        <v/>
      </c>
      <c r="K3608" s="45" t="str">
        <f>IF(Table2[[#This Row],[Description]]="","",DATE(Table2[[#This Row],[Year]],Table2[[#This Row],[Month]],1))</f>
        <v/>
      </c>
    </row>
    <row r="3609" spans="7:11" x14ac:dyDescent="0.25">
      <c r="G3609" s="1" t="str">
        <f>IF(Table2[[#This Row],[Description]]="","",VLOOKUP(Table2[[#This Row],[Description]],$Q$1:$S$101,2,FALSE))</f>
        <v/>
      </c>
      <c r="H3609" s="1" t="str">
        <f>IF(Table2[[#This Row],[Description]]="","",VLOOKUP(Table2[[#This Row],[Description]],$Q$1:$S$101,3,FALSE))</f>
        <v/>
      </c>
      <c r="I3609" s="1" t="str">
        <f>IF(Table2[[#This Row],[Description]]="","",IF(Table2[[#This Row],[Currency]]=$O$2,$P$2,HLOOKUP(Table2[[#This Row],[Date]],Funds!$C$10:$GV$11,2,FALSE)))</f>
        <v/>
      </c>
      <c r="J3609" s="215" t="str">
        <f>IF(Table2[[#This Row],[Description]]="","",Table2[[#This Row],[Value]]/Table2[[#This Row],[Conversion]])</f>
        <v/>
      </c>
      <c r="K3609" s="45" t="str">
        <f>IF(Table2[[#This Row],[Description]]="","",DATE(Table2[[#This Row],[Year]],Table2[[#This Row],[Month]],1))</f>
        <v/>
      </c>
    </row>
    <row r="3610" spans="7:11" x14ac:dyDescent="0.25">
      <c r="G3610" s="1" t="str">
        <f>IF(Table2[[#This Row],[Description]]="","",VLOOKUP(Table2[[#This Row],[Description]],$Q$1:$S$101,2,FALSE))</f>
        <v/>
      </c>
      <c r="H3610" s="1" t="str">
        <f>IF(Table2[[#This Row],[Description]]="","",VLOOKUP(Table2[[#This Row],[Description]],$Q$1:$S$101,3,FALSE))</f>
        <v/>
      </c>
      <c r="I3610" s="1" t="str">
        <f>IF(Table2[[#This Row],[Description]]="","",IF(Table2[[#This Row],[Currency]]=$O$2,$P$2,HLOOKUP(Table2[[#This Row],[Date]],Funds!$C$10:$GV$11,2,FALSE)))</f>
        <v/>
      </c>
      <c r="J3610" s="215" t="str">
        <f>IF(Table2[[#This Row],[Description]]="","",Table2[[#This Row],[Value]]/Table2[[#This Row],[Conversion]])</f>
        <v/>
      </c>
      <c r="K3610" s="45" t="str">
        <f>IF(Table2[[#This Row],[Description]]="","",DATE(Table2[[#This Row],[Year]],Table2[[#This Row],[Month]],1))</f>
        <v/>
      </c>
    </row>
    <row r="3611" spans="7:11" x14ac:dyDescent="0.25">
      <c r="G3611" s="1" t="str">
        <f>IF(Table2[[#This Row],[Description]]="","",VLOOKUP(Table2[[#This Row],[Description]],$Q$1:$S$101,2,FALSE))</f>
        <v/>
      </c>
      <c r="H3611" s="1" t="str">
        <f>IF(Table2[[#This Row],[Description]]="","",VLOOKUP(Table2[[#This Row],[Description]],$Q$1:$S$101,3,FALSE))</f>
        <v/>
      </c>
      <c r="I3611" s="1" t="str">
        <f>IF(Table2[[#This Row],[Description]]="","",IF(Table2[[#This Row],[Currency]]=$O$2,$P$2,HLOOKUP(Table2[[#This Row],[Date]],Funds!$C$10:$GV$11,2,FALSE)))</f>
        <v/>
      </c>
      <c r="J3611" s="215" t="str">
        <f>IF(Table2[[#This Row],[Description]]="","",Table2[[#This Row],[Value]]/Table2[[#This Row],[Conversion]])</f>
        <v/>
      </c>
      <c r="K3611" s="45" t="str">
        <f>IF(Table2[[#This Row],[Description]]="","",DATE(Table2[[#This Row],[Year]],Table2[[#This Row],[Month]],1))</f>
        <v/>
      </c>
    </row>
    <row r="3612" spans="7:11" x14ac:dyDescent="0.25">
      <c r="G3612" s="1" t="str">
        <f>IF(Table2[[#This Row],[Description]]="","",VLOOKUP(Table2[[#This Row],[Description]],$Q$1:$S$101,2,FALSE))</f>
        <v/>
      </c>
      <c r="H3612" s="1" t="str">
        <f>IF(Table2[[#This Row],[Description]]="","",VLOOKUP(Table2[[#This Row],[Description]],$Q$1:$S$101,3,FALSE))</f>
        <v/>
      </c>
      <c r="I3612" s="1" t="str">
        <f>IF(Table2[[#This Row],[Description]]="","",IF(Table2[[#This Row],[Currency]]=$O$2,$P$2,HLOOKUP(Table2[[#This Row],[Date]],Funds!$C$10:$GV$11,2,FALSE)))</f>
        <v/>
      </c>
      <c r="J3612" s="215" t="str">
        <f>IF(Table2[[#This Row],[Description]]="","",Table2[[#This Row],[Value]]/Table2[[#This Row],[Conversion]])</f>
        <v/>
      </c>
      <c r="K3612" s="45" t="str">
        <f>IF(Table2[[#This Row],[Description]]="","",DATE(Table2[[#This Row],[Year]],Table2[[#This Row],[Month]],1))</f>
        <v/>
      </c>
    </row>
    <row r="3613" spans="7:11" x14ac:dyDescent="0.25">
      <c r="G3613" s="1" t="str">
        <f>IF(Table2[[#This Row],[Description]]="","",VLOOKUP(Table2[[#This Row],[Description]],$Q$1:$S$101,2,FALSE))</f>
        <v/>
      </c>
      <c r="H3613" s="1" t="str">
        <f>IF(Table2[[#This Row],[Description]]="","",VLOOKUP(Table2[[#This Row],[Description]],$Q$1:$S$101,3,FALSE))</f>
        <v/>
      </c>
      <c r="I3613" s="1" t="str">
        <f>IF(Table2[[#This Row],[Description]]="","",IF(Table2[[#This Row],[Currency]]=$O$2,$P$2,HLOOKUP(Table2[[#This Row],[Date]],Funds!$C$10:$GV$11,2,FALSE)))</f>
        <v/>
      </c>
      <c r="J3613" s="215" t="str">
        <f>IF(Table2[[#This Row],[Description]]="","",Table2[[#This Row],[Value]]/Table2[[#This Row],[Conversion]])</f>
        <v/>
      </c>
      <c r="K3613" s="45" t="str">
        <f>IF(Table2[[#This Row],[Description]]="","",DATE(Table2[[#This Row],[Year]],Table2[[#This Row],[Month]],1))</f>
        <v/>
      </c>
    </row>
    <row r="3614" spans="7:11" x14ac:dyDescent="0.25">
      <c r="G3614" s="1" t="str">
        <f>IF(Table2[[#This Row],[Description]]="","",VLOOKUP(Table2[[#This Row],[Description]],$Q$1:$S$101,2,FALSE))</f>
        <v/>
      </c>
      <c r="H3614" s="1" t="str">
        <f>IF(Table2[[#This Row],[Description]]="","",VLOOKUP(Table2[[#This Row],[Description]],$Q$1:$S$101,3,FALSE))</f>
        <v/>
      </c>
      <c r="I3614" s="1" t="str">
        <f>IF(Table2[[#This Row],[Description]]="","",IF(Table2[[#This Row],[Currency]]=$O$2,$P$2,HLOOKUP(Table2[[#This Row],[Date]],Funds!$C$10:$GV$11,2,FALSE)))</f>
        <v/>
      </c>
      <c r="J3614" s="215" t="str">
        <f>IF(Table2[[#This Row],[Description]]="","",Table2[[#This Row],[Value]]/Table2[[#This Row],[Conversion]])</f>
        <v/>
      </c>
      <c r="K3614" s="45" t="str">
        <f>IF(Table2[[#This Row],[Description]]="","",DATE(Table2[[#This Row],[Year]],Table2[[#This Row],[Month]],1))</f>
        <v/>
      </c>
    </row>
    <row r="3615" spans="7:11" x14ac:dyDescent="0.25">
      <c r="G3615" s="1" t="str">
        <f>IF(Table2[[#This Row],[Description]]="","",VLOOKUP(Table2[[#This Row],[Description]],$Q$1:$S$101,2,FALSE))</f>
        <v/>
      </c>
      <c r="H3615" s="1" t="str">
        <f>IF(Table2[[#This Row],[Description]]="","",VLOOKUP(Table2[[#This Row],[Description]],$Q$1:$S$101,3,FALSE))</f>
        <v/>
      </c>
      <c r="I3615" s="1" t="str">
        <f>IF(Table2[[#This Row],[Description]]="","",IF(Table2[[#This Row],[Currency]]=$O$2,$P$2,HLOOKUP(Table2[[#This Row],[Date]],Funds!$C$10:$GV$11,2,FALSE)))</f>
        <v/>
      </c>
      <c r="J3615" s="215" t="str">
        <f>IF(Table2[[#This Row],[Description]]="","",Table2[[#This Row],[Value]]/Table2[[#This Row],[Conversion]])</f>
        <v/>
      </c>
      <c r="K3615" s="45" t="str">
        <f>IF(Table2[[#This Row],[Description]]="","",DATE(Table2[[#This Row],[Year]],Table2[[#This Row],[Month]],1))</f>
        <v/>
      </c>
    </row>
    <row r="3616" spans="7:11" x14ac:dyDescent="0.25">
      <c r="G3616" s="1" t="str">
        <f>IF(Table2[[#This Row],[Description]]="","",VLOOKUP(Table2[[#This Row],[Description]],$Q$1:$S$101,2,FALSE))</f>
        <v/>
      </c>
      <c r="H3616" s="1" t="str">
        <f>IF(Table2[[#This Row],[Description]]="","",VLOOKUP(Table2[[#This Row],[Description]],$Q$1:$S$101,3,FALSE))</f>
        <v/>
      </c>
      <c r="I3616" s="1" t="str">
        <f>IF(Table2[[#This Row],[Description]]="","",IF(Table2[[#This Row],[Currency]]=$O$2,$P$2,HLOOKUP(Table2[[#This Row],[Date]],Funds!$C$10:$GV$11,2,FALSE)))</f>
        <v/>
      </c>
      <c r="J3616" s="215" t="str">
        <f>IF(Table2[[#This Row],[Description]]="","",Table2[[#This Row],[Value]]/Table2[[#This Row],[Conversion]])</f>
        <v/>
      </c>
      <c r="K3616" s="45" t="str">
        <f>IF(Table2[[#This Row],[Description]]="","",DATE(Table2[[#This Row],[Year]],Table2[[#This Row],[Month]],1))</f>
        <v/>
      </c>
    </row>
    <row r="3617" spans="7:11" x14ac:dyDescent="0.25">
      <c r="G3617" s="1" t="str">
        <f>IF(Table2[[#This Row],[Description]]="","",VLOOKUP(Table2[[#This Row],[Description]],$Q$1:$S$101,2,FALSE))</f>
        <v/>
      </c>
      <c r="H3617" s="1" t="str">
        <f>IF(Table2[[#This Row],[Description]]="","",VLOOKUP(Table2[[#This Row],[Description]],$Q$1:$S$101,3,FALSE))</f>
        <v/>
      </c>
      <c r="I3617" s="1" t="str">
        <f>IF(Table2[[#This Row],[Description]]="","",IF(Table2[[#This Row],[Currency]]=$O$2,$P$2,HLOOKUP(Table2[[#This Row],[Date]],Funds!$C$10:$GV$11,2,FALSE)))</f>
        <v/>
      </c>
      <c r="J3617" s="215" t="str">
        <f>IF(Table2[[#This Row],[Description]]="","",Table2[[#This Row],[Value]]/Table2[[#This Row],[Conversion]])</f>
        <v/>
      </c>
      <c r="K3617" s="45" t="str">
        <f>IF(Table2[[#This Row],[Description]]="","",DATE(Table2[[#This Row],[Year]],Table2[[#This Row],[Month]],1))</f>
        <v/>
      </c>
    </row>
    <row r="3618" spans="7:11" x14ac:dyDescent="0.25">
      <c r="G3618" s="1" t="str">
        <f>IF(Table2[[#This Row],[Description]]="","",VLOOKUP(Table2[[#This Row],[Description]],$Q$1:$S$101,2,FALSE))</f>
        <v/>
      </c>
      <c r="H3618" s="1" t="str">
        <f>IF(Table2[[#This Row],[Description]]="","",VLOOKUP(Table2[[#This Row],[Description]],$Q$1:$S$101,3,FALSE))</f>
        <v/>
      </c>
      <c r="I3618" s="1" t="str">
        <f>IF(Table2[[#This Row],[Description]]="","",IF(Table2[[#This Row],[Currency]]=$O$2,$P$2,HLOOKUP(Table2[[#This Row],[Date]],Funds!$C$10:$GV$11,2,FALSE)))</f>
        <v/>
      </c>
      <c r="J3618" s="215" t="str">
        <f>IF(Table2[[#This Row],[Description]]="","",Table2[[#This Row],[Value]]/Table2[[#This Row],[Conversion]])</f>
        <v/>
      </c>
      <c r="K3618" s="45" t="str">
        <f>IF(Table2[[#This Row],[Description]]="","",DATE(Table2[[#This Row],[Year]],Table2[[#This Row],[Month]],1))</f>
        <v/>
      </c>
    </row>
    <row r="3619" spans="7:11" x14ac:dyDescent="0.25">
      <c r="G3619" s="1" t="str">
        <f>IF(Table2[[#This Row],[Description]]="","",VLOOKUP(Table2[[#This Row],[Description]],$Q$1:$S$101,2,FALSE))</f>
        <v/>
      </c>
      <c r="H3619" s="1" t="str">
        <f>IF(Table2[[#This Row],[Description]]="","",VLOOKUP(Table2[[#This Row],[Description]],$Q$1:$S$101,3,FALSE))</f>
        <v/>
      </c>
      <c r="I3619" s="1" t="str">
        <f>IF(Table2[[#This Row],[Description]]="","",IF(Table2[[#This Row],[Currency]]=$O$2,$P$2,HLOOKUP(Table2[[#This Row],[Date]],Funds!$C$10:$GV$11,2,FALSE)))</f>
        <v/>
      </c>
      <c r="J3619" s="215" t="str">
        <f>IF(Table2[[#This Row],[Description]]="","",Table2[[#This Row],[Value]]/Table2[[#This Row],[Conversion]])</f>
        <v/>
      </c>
      <c r="K3619" s="45" t="str">
        <f>IF(Table2[[#This Row],[Description]]="","",DATE(Table2[[#This Row],[Year]],Table2[[#This Row],[Month]],1))</f>
        <v/>
      </c>
    </row>
    <row r="3620" spans="7:11" x14ac:dyDescent="0.25">
      <c r="G3620" s="1" t="str">
        <f>IF(Table2[[#This Row],[Description]]="","",VLOOKUP(Table2[[#This Row],[Description]],$Q$1:$S$101,2,FALSE))</f>
        <v/>
      </c>
      <c r="H3620" s="1" t="str">
        <f>IF(Table2[[#This Row],[Description]]="","",VLOOKUP(Table2[[#This Row],[Description]],$Q$1:$S$101,3,FALSE))</f>
        <v/>
      </c>
      <c r="I3620" s="1" t="str">
        <f>IF(Table2[[#This Row],[Description]]="","",IF(Table2[[#This Row],[Currency]]=$O$2,$P$2,HLOOKUP(Table2[[#This Row],[Date]],Funds!$C$10:$GV$11,2,FALSE)))</f>
        <v/>
      </c>
      <c r="J3620" s="215" t="str">
        <f>IF(Table2[[#This Row],[Description]]="","",Table2[[#This Row],[Value]]/Table2[[#This Row],[Conversion]])</f>
        <v/>
      </c>
      <c r="K3620" s="45" t="str">
        <f>IF(Table2[[#This Row],[Description]]="","",DATE(Table2[[#This Row],[Year]],Table2[[#This Row],[Month]],1))</f>
        <v/>
      </c>
    </row>
    <row r="3621" spans="7:11" x14ac:dyDescent="0.25">
      <c r="G3621" s="1" t="str">
        <f>IF(Table2[[#This Row],[Description]]="","",VLOOKUP(Table2[[#This Row],[Description]],$Q$1:$S$101,2,FALSE))</f>
        <v/>
      </c>
      <c r="H3621" s="1" t="str">
        <f>IF(Table2[[#This Row],[Description]]="","",VLOOKUP(Table2[[#This Row],[Description]],$Q$1:$S$101,3,FALSE))</f>
        <v/>
      </c>
      <c r="I3621" s="1" t="str">
        <f>IF(Table2[[#This Row],[Description]]="","",IF(Table2[[#This Row],[Currency]]=$O$2,$P$2,HLOOKUP(Table2[[#This Row],[Date]],Funds!$C$10:$GV$11,2,FALSE)))</f>
        <v/>
      </c>
      <c r="J3621" s="215" t="str">
        <f>IF(Table2[[#This Row],[Description]]="","",Table2[[#This Row],[Value]]/Table2[[#This Row],[Conversion]])</f>
        <v/>
      </c>
      <c r="K3621" s="45" t="str">
        <f>IF(Table2[[#This Row],[Description]]="","",DATE(Table2[[#This Row],[Year]],Table2[[#This Row],[Month]],1))</f>
        <v/>
      </c>
    </row>
    <row r="3622" spans="7:11" x14ac:dyDescent="0.25">
      <c r="G3622" s="1" t="str">
        <f>IF(Table2[[#This Row],[Description]]="","",VLOOKUP(Table2[[#This Row],[Description]],$Q$1:$S$101,2,FALSE))</f>
        <v/>
      </c>
      <c r="H3622" s="1" t="str">
        <f>IF(Table2[[#This Row],[Description]]="","",VLOOKUP(Table2[[#This Row],[Description]],$Q$1:$S$101,3,FALSE))</f>
        <v/>
      </c>
      <c r="I3622" s="1" t="str">
        <f>IF(Table2[[#This Row],[Description]]="","",IF(Table2[[#This Row],[Currency]]=$O$2,$P$2,HLOOKUP(Table2[[#This Row],[Date]],Funds!$C$10:$GV$11,2,FALSE)))</f>
        <v/>
      </c>
      <c r="J3622" s="215" t="str">
        <f>IF(Table2[[#This Row],[Description]]="","",Table2[[#This Row],[Value]]/Table2[[#This Row],[Conversion]])</f>
        <v/>
      </c>
      <c r="K3622" s="45" t="str">
        <f>IF(Table2[[#This Row],[Description]]="","",DATE(Table2[[#This Row],[Year]],Table2[[#This Row],[Month]],1))</f>
        <v/>
      </c>
    </row>
    <row r="3623" spans="7:11" x14ac:dyDescent="0.25">
      <c r="G3623" s="1" t="str">
        <f>IF(Table2[[#This Row],[Description]]="","",VLOOKUP(Table2[[#This Row],[Description]],$Q$1:$S$101,2,FALSE))</f>
        <v/>
      </c>
      <c r="H3623" s="1" t="str">
        <f>IF(Table2[[#This Row],[Description]]="","",VLOOKUP(Table2[[#This Row],[Description]],$Q$1:$S$101,3,FALSE))</f>
        <v/>
      </c>
      <c r="I3623" s="1" t="str">
        <f>IF(Table2[[#This Row],[Description]]="","",IF(Table2[[#This Row],[Currency]]=$O$2,$P$2,HLOOKUP(Table2[[#This Row],[Date]],Funds!$C$10:$GV$11,2,FALSE)))</f>
        <v/>
      </c>
      <c r="J3623" s="215" t="str">
        <f>IF(Table2[[#This Row],[Description]]="","",Table2[[#This Row],[Value]]/Table2[[#This Row],[Conversion]])</f>
        <v/>
      </c>
      <c r="K3623" s="45" t="str">
        <f>IF(Table2[[#This Row],[Description]]="","",DATE(Table2[[#This Row],[Year]],Table2[[#This Row],[Month]],1))</f>
        <v/>
      </c>
    </row>
    <row r="3624" spans="7:11" x14ac:dyDescent="0.25">
      <c r="G3624" s="1" t="str">
        <f>IF(Table2[[#This Row],[Description]]="","",VLOOKUP(Table2[[#This Row],[Description]],$Q$1:$S$101,2,FALSE))</f>
        <v/>
      </c>
      <c r="H3624" s="1" t="str">
        <f>IF(Table2[[#This Row],[Description]]="","",VLOOKUP(Table2[[#This Row],[Description]],$Q$1:$S$101,3,FALSE))</f>
        <v/>
      </c>
      <c r="I3624" s="1" t="str">
        <f>IF(Table2[[#This Row],[Description]]="","",IF(Table2[[#This Row],[Currency]]=$O$2,$P$2,HLOOKUP(Table2[[#This Row],[Date]],Funds!$C$10:$GV$11,2,FALSE)))</f>
        <v/>
      </c>
      <c r="J3624" s="215" t="str">
        <f>IF(Table2[[#This Row],[Description]]="","",Table2[[#This Row],[Value]]/Table2[[#This Row],[Conversion]])</f>
        <v/>
      </c>
      <c r="K3624" s="45" t="str">
        <f>IF(Table2[[#This Row],[Description]]="","",DATE(Table2[[#This Row],[Year]],Table2[[#This Row],[Month]],1))</f>
        <v/>
      </c>
    </row>
    <row r="3625" spans="7:11" x14ac:dyDescent="0.25">
      <c r="G3625" s="1" t="str">
        <f>IF(Table2[[#This Row],[Description]]="","",VLOOKUP(Table2[[#This Row],[Description]],$Q$1:$S$101,2,FALSE))</f>
        <v/>
      </c>
      <c r="H3625" s="1" t="str">
        <f>IF(Table2[[#This Row],[Description]]="","",VLOOKUP(Table2[[#This Row],[Description]],$Q$1:$S$101,3,FALSE))</f>
        <v/>
      </c>
      <c r="I3625" s="1" t="str">
        <f>IF(Table2[[#This Row],[Description]]="","",IF(Table2[[#This Row],[Currency]]=$O$2,$P$2,HLOOKUP(Table2[[#This Row],[Date]],Funds!$C$10:$GV$11,2,FALSE)))</f>
        <v/>
      </c>
      <c r="J3625" s="215" t="str">
        <f>IF(Table2[[#This Row],[Description]]="","",Table2[[#This Row],[Value]]/Table2[[#This Row],[Conversion]])</f>
        <v/>
      </c>
      <c r="K3625" s="45" t="str">
        <f>IF(Table2[[#This Row],[Description]]="","",DATE(Table2[[#This Row],[Year]],Table2[[#This Row],[Month]],1))</f>
        <v/>
      </c>
    </row>
    <row r="3626" spans="7:11" x14ac:dyDescent="0.25">
      <c r="G3626" s="1" t="str">
        <f>IF(Table2[[#This Row],[Description]]="","",VLOOKUP(Table2[[#This Row],[Description]],$Q$1:$S$101,2,FALSE))</f>
        <v/>
      </c>
      <c r="H3626" s="1" t="str">
        <f>IF(Table2[[#This Row],[Description]]="","",VLOOKUP(Table2[[#This Row],[Description]],$Q$1:$S$101,3,FALSE))</f>
        <v/>
      </c>
      <c r="I3626" s="1" t="str">
        <f>IF(Table2[[#This Row],[Description]]="","",IF(Table2[[#This Row],[Currency]]=$O$2,$P$2,HLOOKUP(Table2[[#This Row],[Date]],Funds!$C$10:$GV$11,2,FALSE)))</f>
        <v/>
      </c>
      <c r="J3626" s="215" t="str">
        <f>IF(Table2[[#This Row],[Description]]="","",Table2[[#This Row],[Value]]/Table2[[#This Row],[Conversion]])</f>
        <v/>
      </c>
      <c r="K3626" s="45" t="str">
        <f>IF(Table2[[#This Row],[Description]]="","",DATE(Table2[[#This Row],[Year]],Table2[[#This Row],[Month]],1))</f>
        <v/>
      </c>
    </row>
    <row r="3627" spans="7:11" x14ac:dyDescent="0.25">
      <c r="G3627" s="1" t="str">
        <f>IF(Table2[[#This Row],[Description]]="","",VLOOKUP(Table2[[#This Row],[Description]],$Q$1:$S$101,2,FALSE))</f>
        <v/>
      </c>
      <c r="H3627" s="1" t="str">
        <f>IF(Table2[[#This Row],[Description]]="","",VLOOKUP(Table2[[#This Row],[Description]],$Q$1:$S$101,3,FALSE))</f>
        <v/>
      </c>
      <c r="I3627" s="1" t="str">
        <f>IF(Table2[[#This Row],[Description]]="","",IF(Table2[[#This Row],[Currency]]=$O$2,$P$2,HLOOKUP(Table2[[#This Row],[Date]],Funds!$C$10:$GV$11,2,FALSE)))</f>
        <v/>
      </c>
      <c r="J3627" s="215" t="str">
        <f>IF(Table2[[#This Row],[Description]]="","",Table2[[#This Row],[Value]]/Table2[[#This Row],[Conversion]])</f>
        <v/>
      </c>
      <c r="K3627" s="45" t="str">
        <f>IF(Table2[[#This Row],[Description]]="","",DATE(Table2[[#This Row],[Year]],Table2[[#This Row],[Month]],1))</f>
        <v/>
      </c>
    </row>
    <row r="3628" spans="7:11" x14ac:dyDescent="0.25">
      <c r="G3628" s="1" t="str">
        <f>IF(Table2[[#This Row],[Description]]="","",VLOOKUP(Table2[[#This Row],[Description]],$Q$1:$S$101,2,FALSE))</f>
        <v/>
      </c>
      <c r="H3628" s="1" t="str">
        <f>IF(Table2[[#This Row],[Description]]="","",VLOOKUP(Table2[[#This Row],[Description]],$Q$1:$S$101,3,FALSE))</f>
        <v/>
      </c>
      <c r="I3628" s="1" t="str">
        <f>IF(Table2[[#This Row],[Description]]="","",IF(Table2[[#This Row],[Currency]]=$O$2,$P$2,HLOOKUP(Table2[[#This Row],[Date]],Funds!$C$10:$GV$11,2,FALSE)))</f>
        <v/>
      </c>
      <c r="J3628" s="215" t="str">
        <f>IF(Table2[[#This Row],[Description]]="","",Table2[[#This Row],[Value]]/Table2[[#This Row],[Conversion]])</f>
        <v/>
      </c>
      <c r="K3628" s="45" t="str">
        <f>IF(Table2[[#This Row],[Description]]="","",DATE(Table2[[#This Row],[Year]],Table2[[#This Row],[Month]],1))</f>
        <v/>
      </c>
    </row>
    <row r="3629" spans="7:11" x14ac:dyDescent="0.25">
      <c r="G3629" s="1" t="str">
        <f>IF(Table2[[#This Row],[Description]]="","",VLOOKUP(Table2[[#This Row],[Description]],$Q$1:$S$101,2,FALSE))</f>
        <v/>
      </c>
      <c r="H3629" s="1" t="str">
        <f>IF(Table2[[#This Row],[Description]]="","",VLOOKUP(Table2[[#This Row],[Description]],$Q$1:$S$101,3,FALSE))</f>
        <v/>
      </c>
      <c r="I3629" s="1" t="str">
        <f>IF(Table2[[#This Row],[Description]]="","",IF(Table2[[#This Row],[Currency]]=$O$2,$P$2,HLOOKUP(Table2[[#This Row],[Date]],Funds!$C$10:$GV$11,2,FALSE)))</f>
        <v/>
      </c>
      <c r="J3629" s="215" t="str">
        <f>IF(Table2[[#This Row],[Description]]="","",Table2[[#This Row],[Value]]/Table2[[#This Row],[Conversion]])</f>
        <v/>
      </c>
      <c r="K3629" s="45" t="str">
        <f>IF(Table2[[#This Row],[Description]]="","",DATE(Table2[[#This Row],[Year]],Table2[[#This Row],[Month]],1))</f>
        <v/>
      </c>
    </row>
    <row r="3630" spans="7:11" x14ac:dyDescent="0.25">
      <c r="G3630" s="1" t="str">
        <f>IF(Table2[[#This Row],[Description]]="","",VLOOKUP(Table2[[#This Row],[Description]],$Q$1:$S$101,2,FALSE))</f>
        <v/>
      </c>
      <c r="H3630" s="1" t="str">
        <f>IF(Table2[[#This Row],[Description]]="","",VLOOKUP(Table2[[#This Row],[Description]],$Q$1:$S$101,3,FALSE))</f>
        <v/>
      </c>
      <c r="I3630" s="1" t="str">
        <f>IF(Table2[[#This Row],[Description]]="","",IF(Table2[[#This Row],[Currency]]=$O$2,$P$2,HLOOKUP(Table2[[#This Row],[Date]],Funds!$C$10:$GV$11,2,FALSE)))</f>
        <v/>
      </c>
      <c r="J3630" s="215" t="str">
        <f>IF(Table2[[#This Row],[Description]]="","",Table2[[#This Row],[Value]]/Table2[[#This Row],[Conversion]])</f>
        <v/>
      </c>
      <c r="K3630" s="45" t="str">
        <f>IF(Table2[[#This Row],[Description]]="","",DATE(Table2[[#This Row],[Year]],Table2[[#This Row],[Month]],1))</f>
        <v/>
      </c>
    </row>
    <row r="3631" spans="7:11" x14ac:dyDescent="0.25">
      <c r="G3631" s="1" t="str">
        <f>IF(Table2[[#This Row],[Description]]="","",VLOOKUP(Table2[[#This Row],[Description]],$Q$1:$S$101,2,FALSE))</f>
        <v/>
      </c>
      <c r="H3631" s="1" t="str">
        <f>IF(Table2[[#This Row],[Description]]="","",VLOOKUP(Table2[[#This Row],[Description]],$Q$1:$S$101,3,FALSE))</f>
        <v/>
      </c>
      <c r="I3631" s="1" t="str">
        <f>IF(Table2[[#This Row],[Description]]="","",IF(Table2[[#This Row],[Currency]]=$O$2,$P$2,HLOOKUP(Table2[[#This Row],[Date]],Funds!$C$10:$GV$11,2,FALSE)))</f>
        <v/>
      </c>
      <c r="J3631" s="215" t="str">
        <f>IF(Table2[[#This Row],[Description]]="","",Table2[[#This Row],[Value]]/Table2[[#This Row],[Conversion]])</f>
        <v/>
      </c>
      <c r="K3631" s="45" t="str">
        <f>IF(Table2[[#This Row],[Description]]="","",DATE(Table2[[#This Row],[Year]],Table2[[#This Row],[Month]],1))</f>
        <v/>
      </c>
    </row>
    <row r="3632" spans="7:11" x14ac:dyDescent="0.25">
      <c r="G3632" s="1" t="str">
        <f>IF(Table2[[#This Row],[Description]]="","",VLOOKUP(Table2[[#This Row],[Description]],$Q$1:$S$101,2,FALSE))</f>
        <v/>
      </c>
      <c r="H3632" s="1" t="str">
        <f>IF(Table2[[#This Row],[Description]]="","",VLOOKUP(Table2[[#This Row],[Description]],$Q$1:$S$101,3,FALSE))</f>
        <v/>
      </c>
      <c r="I3632" s="1" t="str">
        <f>IF(Table2[[#This Row],[Description]]="","",IF(Table2[[#This Row],[Currency]]=$O$2,$P$2,HLOOKUP(Table2[[#This Row],[Date]],Funds!$C$10:$GV$11,2,FALSE)))</f>
        <v/>
      </c>
      <c r="J3632" s="215" t="str">
        <f>IF(Table2[[#This Row],[Description]]="","",Table2[[#This Row],[Value]]/Table2[[#This Row],[Conversion]])</f>
        <v/>
      </c>
      <c r="K3632" s="45" t="str">
        <f>IF(Table2[[#This Row],[Description]]="","",DATE(Table2[[#This Row],[Year]],Table2[[#This Row],[Month]],1))</f>
        <v/>
      </c>
    </row>
    <row r="3633" spans="7:11" x14ac:dyDescent="0.25">
      <c r="G3633" s="1" t="str">
        <f>IF(Table2[[#This Row],[Description]]="","",VLOOKUP(Table2[[#This Row],[Description]],$Q$1:$S$101,2,FALSE))</f>
        <v/>
      </c>
      <c r="H3633" s="1" t="str">
        <f>IF(Table2[[#This Row],[Description]]="","",VLOOKUP(Table2[[#This Row],[Description]],$Q$1:$S$101,3,FALSE))</f>
        <v/>
      </c>
      <c r="I3633" s="1" t="str">
        <f>IF(Table2[[#This Row],[Description]]="","",IF(Table2[[#This Row],[Currency]]=$O$2,$P$2,HLOOKUP(Table2[[#This Row],[Date]],Funds!$C$10:$GV$11,2,FALSE)))</f>
        <v/>
      </c>
      <c r="J3633" s="215" t="str">
        <f>IF(Table2[[#This Row],[Description]]="","",Table2[[#This Row],[Value]]/Table2[[#This Row],[Conversion]])</f>
        <v/>
      </c>
      <c r="K3633" s="45" t="str">
        <f>IF(Table2[[#This Row],[Description]]="","",DATE(Table2[[#This Row],[Year]],Table2[[#This Row],[Month]],1))</f>
        <v/>
      </c>
    </row>
    <row r="3634" spans="7:11" x14ac:dyDescent="0.25">
      <c r="G3634" s="1" t="str">
        <f>IF(Table2[[#This Row],[Description]]="","",VLOOKUP(Table2[[#This Row],[Description]],$Q$1:$S$101,2,FALSE))</f>
        <v/>
      </c>
      <c r="H3634" s="1" t="str">
        <f>IF(Table2[[#This Row],[Description]]="","",VLOOKUP(Table2[[#This Row],[Description]],$Q$1:$S$101,3,FALSE))</f>
        <v/>
      </c>
      <c r="I3634" s="1" t="str">
        <f>IF(Table2[[#This Row],[Description]]="","",IF(Table2[[#This Row],[Currency]]=$O$2,$P$2,HLOOKUP(Table2[[#This Row],[Date]],Funds!$C$10:$GV$11,2,FALSE)))</f>
        <v/>
      </c>
      <c r="J3634" s="215" t="str">
        <f>IF(Table2[[#This Row],[Description]]="","",Table2[[#This Row],[Value]]/Table2[[#This Row],[Conversion]])</f>
        <v/>
      </c>
      <c r="K3634" s="45" t="str">
        <f>IF(Table2[[#This Row],[Description]]="","",DATE(Table2[[#This Row],[Year]],Table2[[#This Row],[Month]],1))</f>
        <v/>
      </c>
    </row>
    <row r="3635" spans="7:11" x14ac:dyDescent="0.25">
      <c r="G3635" s="1" t="str">
        <f>IF(Table2[[#This Row],[Description]]="","",VLOOKUP(Table2[[#This Row],[Description]],$Q$1:$S$101,2,FALSE))</f>
        <v/>
      </c>
      <c r="H3635" s="1" t="str">
        <f>IF(Table2[[#This Row],[Description]]="","",VLOOKUP(Table2[[#This Row],[Description]],$Q$1:$S$101,3,FALSE))</f>
        <v/>
      </c>
      <c r="I3635" s="1" t="str">
        <f>IF(Table2[[#This Row],[Description]]="","",IF(Table2[[#This Row],[Currency]]=$O$2,$P$2,HLOOKUP(Table2[[#This Row],[Date]],Funds!$C$10:$GV$11,2,FALSE)))</f>
        <v/>
      </c>
      <c r="J3635" s="215" t="str">
        <f>IF(Table2[[#This Row],[Description]]="","",Table2[[#This Row],[Value]]/Table2[[#This Row],[Conversion]])</f>
        <v/>
      </c>
      <c r="K3635" s="45" t="str">
        <f>IF(Table2[[#This Row],[Description]]="","",DATE(Table2[[#This Row],[Year]],Table2[[#This Row],[Month]],1))</f>
        <v/>
      </c>
    </row>
    <row r="3636" spans="7:11" x14ac:dyDescent="0.25">
      <c r="G3636" s="1" t="str">
        <f>IF(Table2[[#This Row],[Description]]="","",VLOOKUP(Table2[[#This Row],[Description]],$Q$1:$S$101,2,FALSE))</f>
        <v/>
      </c>
      <c r="H3636" s="1" t="str">
        <f>IF(Table2[[#This Row],[Description]]="","",VLOOKUP(Table2[[#This Row],[Description]],$Q$1:$S$101,3,FALSE))</f>
        <v/>
      </c>
      <c r="I3636" s="1" t="str">
        <f>IF(Table2[[#This Row],[Description]]="","",IF(Table2[[#This Row],[Currency]]=$O$2,$P$2,HLOOKUP(Table2[[#This Row],[Date]],Funds!$C$10:$GV$11,2,FALSE)))</f>
        <v/>
      </c>
      <c r="J3636" s="215" t="str">
        <f>IF(Table2[[#This Row],[Description]]="","",Table2[[#This Row],[Value]]/Table2[[#This Row],[Conversion]])</f>
        <v/>
      </c>
      <c r="K3636" s="45" t="str">
        <f>IF(Table2[[#This Row],[Description]]="","",DATE(Table2[[#This Row],[Year]],Table2[[#This Row],[Month]],1))</f>
        <v/>
      </c>
    </row>
    <row r="3637" spans="7:11" x14ac:dyDescent="0.25">
      <c r="G3637" s="1" t="str">
        <f>IF(Table2[[#This Row],[Description]]="","",VLOOKUP(Table2[[#This Row],[Description]],$Q$1:$S$101,2,FALSE))</f>
        <v/>
      </c>
      <c r="H3637" s="1" t="str">
        <f>IF(Table2[[#This Row],[Description]]="","",VLOOKUP(Table2[[#This Row],[Description]],$Q$1:$S$101,3,FALSE))</f>
        <v/>
      </c>
      <c r="I3637" s="1" t="str">
        <f>IF(Table2[[#This Row],[Description]]="","",IF(Table2[[#This Row],[Currency]]=$O$2,$P$2,HLOOKUP(Table2[[#This Row],[Date]],Funds!$C$10:$GV$11,2,FALSE)))</f>
        <v/>
      </c>
      <c r="J3637" s="215" t="str">
        <f>IF(Table2[[#This Row],[Description]]="","",Table2[[#This Row],[Value]]/Table2[[#This Row],[Conversion]])</f>
        <v/>
      </c>
      <c r="K3637" s="45" t="str">
        <f>IF(Table2[[#This Row],[Description]]="","",DATE(Table2[[#This Row],[Year]],Table2[[#This Row],[Month]],1))</f>
        <v/>
      </c>
    </row>
    <row r="3638" spans="7:11" x14ac:dyDescent="0.25">
      <c r="G3638" s="1" t="str">
        <f>IF(Table2[[#This Row],[Description]]="","",VLOOKUP(Table2[[#This Row],[Description]],$Q$1:$S$101,2,FALSE))</f>
        <v/>
      </c>
      <c r="H3638" s="1" t="str">
        <f>IF(Table2[[#This Row],[Description]]="","",VLOOKUP(Table2[[#This Row],[Description]],$Q$1:$S$101,3,FALSE))</f>
        <v/>
      </c>
      <c r="I3638" s="1" t="str">
        <f>IF(Table2[[#This Row],[Description]]="","",IF(Table2[[#This Row],[Currency]]=$O$2,$P$2,HLOOKUP(Table2[[#This Row],[Date]],Funds!$C$10:$GV$11,2,FALSE)))</f>
        <v/>
      </c>
      <c r="J3638" s="215" t="str">
        <f>IF(Table2[[#This Row],[Description]]="","",Table2[[#This Row],[Value]]/Table2[[#This Row],[Conversion]])</f>
        <v/>
      </c>
      <c r="K3638" s="45" t="str">
        <f>IF(Table2[[#This Row],[Description]]="","",DATE(Table2[[#This Row],[Year]],Table2[[#This Row],[Month]],1))</f>
        <v/>
      </c>
    </row>
    <row r="3639" spans="7:11" x14ac:dyDescent="0.25">
      <c r="G3639" s="1" t="str">
        <f>IF(Table2[[#This Row],[Description]]="","",VLOOKUP(Table2[[#This Row],[Description]],$Q$1:$S$101,2,FALSE))</f>
        <v/>
      </c>
      <c r="H3639" s="1" t="str">
        <f>IF(Table2[[#This Row],[Description]]="","",VLOOKUP(Table2[[#This Row],[Description]],$Q$1:$S$101,3,FALSE))</f>
        <v/>
      </c>
      <c r="I3639" s="1" t="str">
        <f>IF(Table2[[#This Row],[Description]]="","",IF(Table2[[#This Row],[Currency]]=$O$2,$P$2,HLOOKUP(Table2[[#This Row],[Date]],Funds!$C$10:$GV$11,2,FALSE)))</f>
        <v/>
      </c>
      <c r="J3639" s="215" t="str">
        <f>IF(Table2[[#This Row],[Description]]="","",Table2[[#This Row],[Value]]/Table2[[#This Row],[Conversion]])</f>
        <v/>
      </c>
      <c r="K3639" s="45" t="str">
        <f>IF(Table2[[#This Row],[Description]]="","",DATE(Table2[[#This Row],[Year]],Table2[[#This Row],[Month]],1))</f>
        <v/>
      </c>
    </row>
    <row r="3640" spans="7:11" x14ac:dyDescent="0.25">
      <c r="G3640" s="1" t="str">
        <f>IF(Table2[[#This Row],[Description]]="","",VLOOKUP(Table2[[#This Row],[Description]],$Q$1:$S$101,2,FALSE))</f>
        <v/>
      </c>
      <c r="H3640" s="1" t="str">
        <f>IF(Table2[[#This Row],[Description]]="","",VLOOKUP(Table2[[#This Row],[Description]],$Q$1:$S$101,3,FALSE))</f>
        <v/>
      </c>
      <c r="I3640" s="1" t="str">
        <f>IF(Table2[[#This Row],[Description]]="","",IF(Table2[[#This Row],[Currency]]=$O$2,$P$2,HLOOKUP(Table2[[#This Row],[Date]],Funds!$C$10:$GV$11,2,FALSE)))</f>
        <v/>
      </c>
      <c r="J3640" s="215" t="str">
        <f>IF(Table2[[#This Row],[Description]]="","",Table2[[#This Row],[Value]]/Table2[[#This Row],[Conversion]])</f>
        <v/>
      </c>
      <c r="K3640" s="45" t="str">
        <f>IF(Table2[[#This Row],[Description]]="","",DATE(Table2[[#This Row],[Year]],Table2[[#This Row],[Month]],1))</f>
        <v/>
      </c>
    </row>
    <row r="3641" spans="7:11" x14ac:dyDescent="0.25">
      <c r="G3641" s="1" t="str">
        <f>IF(Table2[[#This Row],[Description]]="","",VLOOKUP(Table2[[#This Row],[Description]],$Q$1:$S$101,2,FALSE))</f>
        <v/>
      </c>
      <c r="H3641" s="1" t="str">
        <f>IF(Table2[[#This Row],[Description]]="","",VLOOKUP(Table2[[#This Row],[Description]],$Q$1:$S$101,3,FALSE))</f>
        <v/>
      </c>
      <c r="I3641" s="1" t="str">
        <f>IF(Table2[[#This Row],[Description]]="","",IF(Table2[[#This Row],[Currency]]=$O$2,$P$2,HLOOKUP(Table2[[#This Row],[Date]],Funds!$C$10:$GV$11,2,FALSE)))</f>
        <v/>
      </c>
      <c r="J3641" s="215" t="str">
        <f>IF(Table2[[#This Row],[Description]]="","",Table2[[#This Row],[Value]]/Table2[[#This Row],[Conversion]])</f>
        <v/>
      </c>
      <c r="K3641" s="45" t="str">
        <f>IF(Table2[[#This Row],[Description]]="","",DATE(Table2[[#This Row],[Year]],Table2[[#This Row],[Month]],1))</f>
        <v/>
      </c>
    </row>
    <row r="3642" spans="7:11" x14ac:dyDescent="0.25">
      <c r="G3642" s="1" t="str">
        <f>IF(Table2[[#This Row],[Description]]="","",VLOOKUP(Table2[[#This Row],[Description]],$Q$1:$S$101,2,FALSE))</f>
        <v/>
      </c>
      <c r="H3642" s="1" t="str">
        <f>IF(Table2[[#This Row],[Description]]="","",VLOOKUP(Table2[[#This Row],[Description]],$Q$1:$S$101,3,FALSE))</f>
        <v/>
      </c>
      <c r="I3642" s="1" t="str">
        <f>IF(Table2[[#This Row],[Description]]="","",IF(Table2[[#This Row],[Currency]]=$O$2,$P$2,HLOOKUP(Table2[[#This Row],[Date]],Funds!$C$10:$GV$11,2,FALSE)))</f>
        <v/>
      </c>
      <c r="J3642" s="215" t="str">
        <f>IF(Table2[[#This Row],[Description]]="","",Table2[[#This Row],[Value]]/Table2[[#This Row],[Conversion]])</f>
        <v/>
      </c>
      <c r="K3642" s="45" t="str">
        <f>IF(Table2[[#This Row],[Description]]="","",DATE(Table2[[#This Row],[Year]],Table2[[#This Row],[Month]],1))</f>
        <v/>
      </c>
    </row>
    <row r="3643" spans="7:11" x14ac:dyDescent="0.25">
      <c r="G3643" s="1" t="str">
        <f>IF(Table2[[#This Row],[Description]]="","",VLOOKUP(Table2[[#This Row],[Description]],$Q$1:$S$101,2,FALSE))</f>
        <v/>
      </c>
      <c r="H3643" s="1" t="str">
        <f>IF(Table2[[#This Row],[Description]]="","",VLOOKUP(Table2[[#This Row],[Description]],$Q$1:$S$101,3,FALSE))</f>
        <v/>
      </c>
      <c r="I3643" s="1" t="str">
        <f>IF(Table2[[#This Row],[Description]]="","",IF(Table2[[#This Row],[Currency]]=$O$2,$P$2,HLOOKUP(Table2[[#This Row],[Date]],Funds!$C$10:$GV$11,2,FALSE)))</f>
        <v/>
      </c>
      <c r="J3643" s="215" t="str">
        <f>IF(Table2[[#This Row],[Description]]="","",Table2[[#This Row],[Value]]/Table2[[#This Row],[Conversion]])</f>
        <v/>
      </c>
      <c r="K3643" s="45" t="str">
        <f>IF(Table2[[#This Row],[Description]]="","",DATE(Table2[[#This Row],[Year]],Table2[[#This Row],[Month]],1))</f>
        <v/>
      </c>
    </row>
    <row r="3644" spans="7:11" x14ac:dyDescent="0.25">
      <c r="G3644" s="1" t="str">
        <f>IF(Table2[[#This Row],[Description]]="","",VLOOKUP(Table2[[#This Row],[Description]],$Q$1:$S$101,2,FALSE))</f>
        <v/>
      </c>
      <c r="H3644" s="1" t="str">
        <f>IF(Table2[[#This Row],[Description]]="","",VLOOKUP(Table2[[#This Row],[Description]],$Q$1:$S$101,3,FALSE))</f>
        <v/>
      </c>
      <c r="I3644" s="1" t="str">
        <f>IF(Table2[[#This Row],[Description]]="","",IF(Table2[[#This Row],[Currency]]=$O$2,$P$2,HLOOKUP(Table2[[#This Row],[Date]],Funds!$C$10:$GV$11,2,FALSE)))</f>
        <v/>
      </c>
      <c r="J3644" s="215" t="str">
        <f>IF(Table2[[#This Row],[Description]]="","",Table2[[#This Row],[Value]]/Table2[[#This Row],[Conversion]])</f>
        <v/>
      </c>
      <c r="K3644" s="45" t="str">
        <f>IF(Table2[[#This Row],[Description]]="","",DATE(Table2[[#This Row],[Year]],Table2[[#This Row],[Month]],1))</f>
        <v/>
      </c>
    </row>
    <row r="3645" spans="7:11" x14ac:dyDescent="0.25">
      <c r="G3645" s="1" t="str">
        <f>IF(Table2[[#This Row],[Description]]="","",VLOOKUP(Table2[[#This Row],[Description]],$Q$1:$S$101,2,FALSE))</f>
        <v/>
      </c>
      <c r="H3645" s="1" t="str">
        <f>IF(Table2[[#This Row],[Description]]="","",VLOOKUP(Table2[[#This Row],[Description]],$Q$1:$S$101,3,FALSE))</f>
        <v/>
      </c>
      <c r="I3645" s="1" t="str">
        <f>IF(Table2[[#This Row],[Description]]="","",IF(Table2[[#This Row],[Currency]]=$O$2,$P$2,HLOOKUP(Table2[[#This Row],[Date]],Funds!$C$10:$GV$11,2,FALSE)))</f>
        <v/>
      </c>
      <c r="J3645" s="215" t="str">
        <f>IF(Table2[[#This Row],[Description]]="","",Table2[[#This Row],[Value]]/Table2[[#This Row],[Conversion]])</f>
        <v/>
      </c>
      <c r="K3645" s="45" t="str">
        <f>IF(Table2[[#This Row],[Description]]="","",DATE(Table2[[#This Row],[Year]],Table2[[#This Row],[Month]],1))</f>
        <v/>
      </c>
    </row>
    <row r="3646" spans="7:11" x14ac:dyDescent="0.25">
      <c r="G3646" s="1" t="str">
        <f>IF(Table2[[#This Row],[Description]]="","",VLOOKUP(Table2[[#This Row],[Description]],$Q$1:$S$101,2,FALSE))</f>
        <v/>
      </c>
      <c r="H3646" s="1" t="str">
        <f>IF(Table2[[#This Row],[Description]]="","",VLOOKUP(Table2[[#This Row],[Description]],$Q$1:$S$101,3,FALSE))</f>
        <v/>
      </c>
      <c r="I3646" s="1" t="str">
        <f>IF(Table2[[#This Row],[Description]]="","",IF(Table2[[#This Row],[Currency]]=$O$2,$P$2,HLOOKUP(Table2[[#This Row],[Date]],Funds!$C$10:$GV$11,2,FALSE)))</f>
        <v/>
      </c>
      <c r="J3646" s="215" t="str">
        <f>IF(Table2[[#This Row],[Description]]="","",Table2[[#This Row],[Value]]/Table2[[#This Row],[Conversion]])</f>
        <v/>
      </c>
      <c r="K3646" s="45" t="str">
        <f>IF(Table2[[#This Row],[Description]]="","",DATE(Table2[[#This Row],[Year]],Table2[[#This Row],[Month]],1))</f>
        <v/>
      </c>
    </row>
    <row r="3647" spans="7:11" x14ac:dyDescent="0.25">
      <c r="G3647" s="1" t="str">
        <f>IF(Table2[[#This Row],[Description]]="","",VLOOKUP(Table2[[#This Row],[Description]],$Q$1:$S$101,2,FALSE))</f>
        <v/>
      </c>
      <c r="H3647" s="1" t="str">
        <f>IF(Table2[[#This Row],[Description]]="","",VLOOKUP(Table2[[#This Row],[Description]],$Q$1:$S$101,3,FALSE))</f>
        <v/>
      </c>
      <c r="I3647" s="1" t="str">
        <f>IF(Table2[[#This Row],[Description]]="","",IF(Table2[[#This Row],[Currency]]=$O$2,$P$2,HLOOKUP(Table2[[#This Row],[Date]],Funds!$C$10:$GV$11,2,FALSE)))</f>
        <v/>
      </c>
      <c r="J3647" s="215" t="str">
        <f>IF(Table2[[#This Row],[Description]]="","",Table2[[#This Row],[Value]]/Table2[[#This Row],[Conversion]])</f>
        <v/>
      </c>
      <c r="K3647" s="45" t="str">
        <f>IF(Table2[[#This Row],[Description]]="","",DATE(Table2[[#This Row],[Year]],Table2[[#This Row],[Month]],1))</f>
        <v/>
      </c>
    </row>
    <row r="3648" spans="7:11" x14ac:dyDescent="0.25">
      <c r="G3648" s="1" t="str">
        <f>IF(Table2[[#This Row],[Description]]="","",VLOOKUP(Table2[[#This Row],[Description]],$Q$1:$S$101,2,FALSE))</f>
        <v/>
      </c>
      <c r="H3648" s="1" t="str">
        <f>IF(Table2[[#This Row],[Description]]="","",VLOOKUP(Table2[[#This Row],[Description]],$Q$1:$S$101,3,FALSE))</f>
        <v/>
      </c>
      <c r="I3648" s="1" t="str">
        <f>IF(Table2[[#This Row],[Description]]="","",IF(Table2[[#This Row],[Currency]]=$O$2,$P$2,HLOOKUP(Table2[[#This Row],[Date]],Funds!$C$10:$GV$11,2,FALSE)))</f>
        <v/>
      </c>
      <c r="J3648" s="215" t="str">
        <f>IF(Table2[[#This Row],[Description]]="","",Table2[[#This Row],[Value]]/Table2[[#This Row],[Conversion]])</f>
        <v/>
      </c>
      <c r="K3648" s="45" t="str">
        <f>IF(Table2[[#This Row],[Description]]="","",DATE(Table2[[#This Row],[Year]],Table2[[#This Row],[Month]],1))</f>
        <v/>
      </c>
    </row>
    <row r="3649" spans="7:11" x14ac:dyDescent="0.25">
      <c r="G3649" s="1" t="str">
        <f>IF(Table2[[#This Row],[Description]]="","",VLOOKUP(Table2[[#This Row],[Description]],$Q$1:$S$101,2,FALSE))</f>
        <v/>
      </c>
      <c r="H3649" s="1" t="str">
        <f>IF(Table2[[#This Row],[Description]]="","",VLOOKUP(Table2[[#This Row],[Description]],$Q$1:$S$101,3,FALSE))</f>
        <v/>
      </c>
      <c r="I3649" s="1" t="str">
        <f>IF(Table2[[#This Row],[Description]]="","",IF(Table2[[#This Row],[Currency]]=$O$2,$P$2,HLOOKUP(Table2[[#This Row],[Date]],Funds!$C$10:$GV$11,2,FALSE)))</f>
        <v/>
      </c>
      <c r="J3649" s="215" t="str">
        <f>IF(Table2[[#This Row],[Description]]="","",Table2[[#This Row],[Value]]/Table2[[#This Row],[Conversion]])</f>
        <v/>
      </c>
      <c r="K3649" s="45" t="str">
        <f>IF(Table2[[#This Row],[Description]]="","",DATE(Table2[[#This Row],[Year]],Table2[[#This Row],[Month]],1))</f>
        <v/>
      </c>
    </row>
    <row r="3650" spans="7:11" x14ac:dyDescent="0.25">
      <c r="G3650" s="1" t="str">
        <f>IF(Table2[[#This Row],[Description]]="","",VLOOKUP(Table2[[#This Row],[Description]],$Q$1:$S$101,2,FALSE))</f>
        <v/>
      </c>
      <c r="H3650" s="1" t="str">
        <f>IF(Table2[[#This Row],[Description]]="","",VLOOKUP(Table2[[#This Row],[Description]],$Q$1:$S$101,3,FALSE))</f>
        <v/>
      </c>
      <c r="I3650" s="1" t="str">
        <f>IF(Table2[[#This Row],[Description]]="","",IF(Table2[[#This Row],[Currency]]=$O$2,$P$2,HLOOKUP(Table2[[#This Row],[Date]],Funds!$C$10:$GV$11,2,FALSE)))</f>
        <v/>
      </c>
      <c r="J3650" s="215" t="str">
        <f>IF(Table2[[#This Row],[Description]]="","",Table2[[#This Row],[Value]]/Table2[[#This Row],[Conversion]])</f>
        <v/>
      </c>
      <c r="K3650" s="45" t="str">
        <f>IF(Table2[[#This Row],[Description]]="","",DATE(Table2[[#This Row],[Year]],Table2[[#This Row],[Month]],1))</f>
        <v/>
      </c>
    </row>
    <row r="3651" spans="7:11" x14ac:dyDescent="0.25">
      <c r="G3651" s="1" t="str">
        <f>IF(Table2[[#This Row],[Description]]="","",VLOOKUP(Table2[[#This Row],[Description]],$Q$1:$S$101,2,FALSE))</f>
        <v/>
      </c>
      <c r="H3651" s="1" t="str">
        <f>IF(Table2[[#This Row],[Description]]="","",VLOOKUP(Table2[[#This Row],[Description]],$Q$1:$S$101,3,FALSE))</f>
        <v/>
      </c>
      <c r="I3651" s="1" t="str">
        <f>IF(Table2[[#This Row],[Description]]="","",IF(Table2[[#This Row],[Currency]]=$O$2,$P$2,HLOOKUP(Table2[[#This Row],[Date]],Funds!$C$10:$GV$11,2,FALSE)))</f>
        <v/>
      </c>
      <c r="J3651" s="215" t="str">
        <f>IF(Table2[[#This Row],[Description]]="","",Table2[[#This Row],[Value]]/Table2[[#This Row],[Conversion]])</f>
        <v/>
      </c>
      <c r="K3651" s="45" t="str">
        <f>IF(Table2[[#This Row],[Description]]="","",DATE(Table2[[#This Row],[Year]],Table2[[#This Row],[Month]],1))</f>
        <v/>
      </c>
    </row>
    <row r="3652" spans="7:11" x14ac:dyDescent="0.25">
      <c r="G3652" s="1" t="str">
        <f>IF(Table2[[#This Row],[Description]]="","",VLOOKUP(Table2[[#This Row],[Description]],$Q$1:$S$101,2,FALSE))</f>
        <v/>
      </c>
      <c r="H3652" s="1" t="str">
        <f>IF(Table2[[#This Row],[Description]]="","",VLOOKUP(Table2[[#This Row],[Description]],$Q$1:$S$101,3,FALSE))</f>
        <v/>
      </c>
      <c r="I3652" s="1" t="str">
        <f>IF(Table2[[#This Row],[Description]]="","",IF(Table2[[#This Row],[Currency]]=$O$2,$P$2,HLOOKUP(Table2[[#This Row],[Date]],Funds!$C$10:$GV$11,2,FALSE)))</f>
        <v/>
      </c>
      <c r="J3652" s="215" t="str">
        <f>IF(Table2[[#This Row],[Description]]="","",Table2[[#This Row],[Value]]/Table2[[#This Row],[Conversion]])</f>
        <v/>
      </c>
      <c r="K3652" s="45" t="str">
        <f>IF(Table2[[#This Row],[Description]]="","",DATE(Table2[[#This Row],[Year]],Table2[[#This Row],[Month]],1))</f>
        <v/>
      </c>
    </row>
    <row r="3653" spans="7:11" x14ac:dyDescent="0.25">
      <c r="G3653" s="1" t="str">
        <f>IF(Table2[[#This Row],[Description]]="","",VLOOKUP(Table2[[#This Row],[Description]],$Q$1:$S$101,2,FALSE))</f>
        <v/>
      </c>
      <c r="H3653" s="1" t="str">
        <f>IF(Table2[[#This Row],[Description]]="","",VLOOKUP(Table2[[#This Row],[Description]],$Q$1:$S$101,3,FALSE))</f>
        <v/>
      </c>
      <c r="I3653" s="1" t="str">
        <f>IF(Table2[[#This Row],[Description]]="","",IF(Table2[[#This Row],[Currency]]=$O$2,$P$2,HLOOKUP(Table2[[#This Row],[Date]],Funds!$C$10:$GV$11,2,FALSE)))</f>
        <v/>
      </c>
      <c r="J3653" s="215" t="str">
        <f>IF(Table2[[#This Row],[Description]]="","",Table2[[#This Row],[Value]]/Table2[[#This Row],[Conversion]])</f>
        <v/>
      </c>
      <c r="K3653" s="45" t="str">
        <f>IF(Table2[[#This Row],[Description]]="","",DATE(Table2[[#This Row],[Year]],Table2[[#This Row],[Month]],1))</f>
        <v/>
      </c>
    </row>
    <row r="3654" spans="7:11" x14ac:dyDescent="0.25">
      <c r="G3654" s="1" t="str">
        <f>IF(Table2[[#This Row],[Description]]="","",VLOOKUP(Table2[[#This Row],[Description]],$Q$1:$S$101,2,FALSE))</f>
        <v/>
      </c>
      <c r="H3654" s="1" t="str">
        <f>IF(Table2[[#This Row],[Description]]="","",VLOOKUP(Table2[[#This Row],[Description]],$Q$1:$S$101,3,FALSE))</f>
        <v/>
      </c>
      <c r="I3654" s="1" t="str">
        <f>IF(Table2[[#This Row],[Description]]="","",IF(Table2[[#This Row],[Currency]]=$O$2,$P$2,HLOOKUP(Table2[[#This Row],[Date]],Funds!$C$10:$GV$11,2,FALSE)))</f>
        <v/>
      </c>
      <c r="J3654" s="215" t="str">
        <f>IF(Table2[[#This Row],[Description]]="","",Table2[[#This Row],[Value]]/Table2[[#This Row],[Conversion]])</f>
        <v/>
      </c>
      <c r="K3654" s="45" t="str">
        <f>IF(Table2[[#This Row],[Description]]="","",DATE(Table2[[#This Row],[Year]],Table2[[#This Row],[Month]],1))</f>
        <v/>
      </c>
    </row>
    <row r="3655" spans="7:11" x14ac:dyDescent="0.25">
      <c r="G3655" s="1" t="str">
        <f>IF(Table2[[#This Row],[Description]]="","",VLOOKUP(Table2[[#This Row],[Description]],$Q$1:$S$101,2,FALSE))</f>
        <v/>
      </c>
      <c r="H3655" s="1" t="str">
        <f>IF(Table2[[#This Row],[Description]]="","",VLOOKUP(Table2[[#This Row],[Description]],$Q$1:$S$101,3,FALSE))</f>
        <v/>
      </c>
      <c r="I3655" s="1" t="str">
        <f>IF(Table2[[#This Row],[Description]]="","",IF(Table2[[#This Row],[Currency]]=$O$2,$P$2,HLOOKUP(Table2[[#This Row],[Date]],Funds!$C$10:$GV$11,2,FALSE)))</f>
        <v/>
      </c>
      <c r="J3655" s="215" t="str">
        <f>IF(Table2[[#This Row],[Description]]="","",Table2[[#This Row],[Value]]/Table2[[#This Row],[Conversion]])</f>
        <v/>
      </c>
      <c r="K3655" s="45" t="str">
        <f>IF(Table2[[#This Row],[Description]]="","",DATE(Table2[[#This Row],[Year]],Table2[[#This Row],[Month]],1))</f>
        <v/>
      </c>
    </row>
    <row r="3656" spans="7:11" x14ac:dyDescent="0.25">
      <c r="G3656" s="1" t="str">
        <f>IF(Table2[[#This Row],[Description]]="","",VLOOKUP(Table2[[#This Row],[Description]],$Q$1:$S$101,2,FALSE))</f>
        <v/>
      </c>
      <c r="H3656" s="1" t="str">
        <f>IF(Table2[[#This Row],[Description]]="","",VLOOKUP(Table2[[#This Row],[Description]],$Q$1:$S$101,3,FALSE))</f>
        <v/>
      </c>
      <c r="I3656" s="1" t="str">
        <f>IF(Table2[[#This Row],[Description]]="","",IF(Table2[[#This Row],[Currency]]=$O$2,$P$2,HLOOKUP(Table2[[#This Row],[Date]],Funds!$C$10:$GV$11,2,FALSE)))</f>
        <v/>
      </c>
      <c r="J3656" s="215" t="str">
        <f>IF(Table2[[#This Row],[Description]]="","",Table2[[#This Row],[Value]]/Table2[[#This Row],[Conversion]])</f>
        <v/>
      </c>
      <c r="K3656" s="45" t="str">
        <f>IF(Table2[[#This Row],[Description]]="","",DATE(Table2[[#This Row],[Year]],Table2[[#This Row],[Month]],1))</f>
        <v/>
      </c>
    </row>
    <row r="3657" spans="7:11" x14ac:dyDescent="0.25">
      <c r="G3657" s="1" t="str">
        <f>IF(Table2[[#This Row],[Description]]="","",VLOOKUP(Table2[[#This Row],[Description]],$Q$1:$S$101,2,FALSE))</f>
        <v/>
      </c>
      <c r="H3657" s="1" t="str">
        <f>IF(Table2[[#This Row],[Description]]="","",VLOOKUP(Table2[[#This Row],[Description]],$Q$1:$S$101,3,FALSE))</f>
        <v/>
      </c>
      <c r="I3657" s="1" t="str">
        <f>IF(Table2[[#This Row],[Description]]="","",IF(Table2[[#This Row],[Currency]]=$O$2,$P$2,HLOOKUP(Table2[[#This Row],[Date]],Funds!$C$10:$GV$11,2,FALSE)))</f>
        <v/>
      </c>
      <c r="J3657" s="215" t="str">
        <f>IF(Table2[[#This Row],[Description]]="","",Table2[[#This Row],[Value]]/Table2[[#This Row],[Conversion]])</f>
        <v/>
      </c>
      <c r="K3657" s="45" t="str">
        <f>IF(Table2[[#This Row],[Description]]="","",DATE(Table2[[#This Row],[Year]],Table2[[#This Row],[Month]],1))</f>
        <v/>
      </c>
    </row>
    <row r="3658" spans="7:11" x14ac:dyDescent="0.25">
      <c r="G3658" s="1" t="str">
        <f>IF(Table2[[#This Row],[Description]]="","",VLOOKUP(Table2[[#This Row],[Description]],$Q$1:$S$101,2,FALSE))</f>
        <v/>
      </c>
      <c r="H3658" s="1" t="str">
        <f>IF(Table2[[#This Row],[Description]]="","",VLOOKUP(Table2[[#This Row],[Description]],$Q$1:$S$101,3,FALSE))</f>
        <v/>
      </c>
      <c r="I3658" s="1" t="str">
        <f>IF(Table2[[#This Row],[Description]]="","",IF(Table2[[#This Row],[Currency]]=$O$2,$P$2,HLOOKUP(Table2[[#This Row],[Date]],Funds!$C$10:$GV$11,2,FALSE)))</f>
        <v/>
      </c>
      <c r="J3658" s="215" t="str">
        <f>IF(Table2[[#This Row],[Description]]="","",Table2[[#This Row],[Value]]/Table2[[#This Row],[Conversion]])</f>
        <v/>
      </c>
      <c r="K3658" s="45" t="str">
        <f>IF(Table2[[#This Row],[Description]]="","",DATE(Table2[[#This Row],[Year]],Table2[[#This Row],[Month]],1))</f>
        <v/>
      </c>
    </row>
    <row r="3659" spans="7:11" x14ac:dyDescent="0.25">
      <c r="G3659" s="1" t="str">
        <f>IF(Table2[[#This Row],[Description]]="","",VLOOKUP(Table2[[#This Row],[Description]],$Q$1:$S$101,2,FALSE))</f>
        <v/>
      </c>
      <c r="H3659" s="1" t="str">
        <f>IF(Table2[[#This Row],[Description]]="","",VLOOKUP(Table2[[#This Row],[Description]],$Q$1:$S$101,3,FALSE))</f>
        <v/>
      </c>
      <c r="I3659" s="1" t="str">
        <f>IF(Table2[[#This Row],[Description]]="","",IF(Table2[[#This Row],[Currency]]=$O$2,$P$2,HLOOKUP(Table2[[#This Row],[Date]],Funds!$C$10:$GV$11,2,FALSE)))</f>
        <v/>
      </c>
      <c r="J3659" s="215" t="str">
        <f>IF(Table2[[#This Row],[Description]]="","",Table2[[#This Row],[Value]]/Table2[[#This Row],[Conversion]])</f>
        <v/>
      </c>
      <c r="K3659" s="45" t="str">
        <f>IF(Table2[[#This Row],[Description]]="","",DATE(Table2[[#This Row],[Year]],Table2[[#This Row],[Month]],1))</f>
        <v/>
      </c>
    </row>
    <row r="3660" spans="7:11" x14ac:dyDescent="0.25">
      <c r="G3660" s="1" t="str">
        <f>IF(Table2[[#This Row],[Description]]="","",VLOOKUP(Table2[[#This Row],[Description]],$Q$1:$S$101,2,FALSE))</f>
        <v/>
      </c>
      <c r="H3660" s="1" t="str">
        <f>IF(Table2[[#This Row],[Description]]="","",VLOOKUP(Table2[[#This Row],[Description]],$Q$1:$S$101,3,FALSE))</f>
        <v/>
      </c>
      <c r="I3660" s="1" t="str">
        <f>IF(Table2[[#This Row],[Description]]="","",IF(Table2[[#This Row],[Currency]]=$O$2,$P$2,HLOOKUP(Table2[[#This Row],[Date]],Funds!$C$10:$GV$11,2,FALSE)))</f>
        <v/>
      </c>
      <c r="J3660" s="215" t="str">
        <f>IF(Table2[[#This Row],[Description]]="","",Table2[[#This Row],[Value]]/Table2[[#This Row],[Conversion]])</f>
        <v/>
      </c>
      <c r="K3660" s="45" t="str">
        <f>IF(Table2[[#This Row],[Description]]="","",DATE(Table2[[#This Row],[Year]],Table2[[#This Row],[Month]],1))</f>
        <v/>
      </c>
    </row>
    <row r="3661" spans="7:11" x14ac:dyDescent="0.25">
      <c r="G3661" s="1" t="str">
        <f>IF(Table2[[#This Row],[Description]]="","",VLOOKUP(Table2[[#This Row],[Description]],$Q$1:$S$101,2,FALSE))</f>
        <v/>
      </c>
      <c r="H3661" s="1" t="str">
        <f>IF(Table2[[#This Row],[Description]]="","",VLOOKUP(Table2[[#This Row],[Description]],$Q$1:$S$101,3,FALSE))</f>
        <v/>
      </c>
      <c r="I3661" s="1" t="str">
        <f>IF(Table2[[#This Row],[Description]]="","",IF(Table2[[#This Row],[Currency]]=$O$2,$P$2,HLOOKUP(Table2[[#This Row],[Date]],Funds!$C$10:$GV$11,2,FALSE)))</f>
        <v/>
      </c>
      <c r="J3661" s="215" t="str">
        <f>IF(Table2[[#This Row],[Description]]="","",Table2[[#This Row],[Value]]/Table2[[#This Row],[Conversion]])</f>
        <v/>
      </c>
      <c r="K3661" s="45" t="str">
        <f>IF(Table2[[#This Row],[Description]]="","",DATE(Table2[[#This Row],[Year]],Table2[[#This Row],[Month]],1))</f>
        <v/>
      </c>
    </row>
    <row r="3662" spans="7:11" x14ac:dyDescent="0.25">
      <c r="G3662" s="1" t="str">
        <f>IF(Table2[[#This Row],[Description]]="","",VLOOKUP(Table2[[#This Row],[Description]],$Q$1:$S$101,2,FALSE))</f>
        <v/>
      </c>
      <c r="H3662" s="1" t="str">
        <f>IF(Table2[[#This Row],[Description]]="","",VLOOKUP(Table2[[#This Row],[Description]],$Q$1:$S$101,3,FALSE))</f>
        <v/>
      </c>
      <c r="I3662" s="1" t="str">
        <f>IF(Table2[[#This Row],[Description]]="","",IF(Table2[[#This Row],[Currency]]=$O$2,$P$2,HLOOKUP(Table2[[#This Row],[Date]],Funds!$C$10:$GV$11,2,FALSE)))</f>
        <v/>
      </c>
      <c r="J3662" s="215" t="str">
        <f>IF(Table2[[#This Row],[Description]]="","",Table2[[#This Row],[Value]]/Table2[[#This Row],[Conversion]])</f>
        <v/>
      </c>
      <c r="K3662" s="45" t="str">
        <f>IF(Table2[[#This Row],[Description]]="","",DATE(Table2[[#This Row],[Year]],Table2[[#This Row],[Month]],1))</f>
        <v/>
      </c>
    </row>
    <row r="3663" spans="7:11" x14ac:dyDescent="0.25">
      <c r="G3663" s="1" t="str">
        <f>IF(Table2[[#This Row],[Description]]="","",VLOOKUP(Table2[[#This Row],[Description]],$Q$1:$S$101,2,FALSE))</f>
        <v/>
      </c>
      <c r="H3663" s="1" t="str">
        <f>IF(Table2[[#This Row],[Description]]="","",VLOOKUP(Table2[[#This Row],[Description]],$Q$1:$S$101,3,FALSE))</f>
        <v/>
      </c>
      <c r="I3663" s="1" t="str">
        <f>IF(Table2[[#This Row],[Description]]="","",IF(Table2[[#This Row],[Currency]]=$O$2,$P$2,HLOOKUP(Table2[[#This Row],[Date]],Funds!$C$10:$GV$11,2,FALSE)))</f>
        <v/>
      </c>
      <c r="J3663" s="215" t="str">
        <f>IF(Table2[[#This Row],[Description]]="","",Table2[[#This Row],[Value]]/Table2[[#This Row],[Conversion]])</f>
        <v/>
      </c>
      <c r="K3663" s="45" t="str">
        <f>IF(Table2[[#This Row],[Description]]="","",DATE(Table2[[#This Row],[Year]],Table2[[#This Row],[Month]],1))</f>
        <v/>
      </c>
    </row>
    <row r="3664" spans="7:11" x14ac:dyDescent="0.25">
      <c r="G3664" s="1" t="str">
        <f>IF(Table2[[#This Row],[Description]]="","",VLOOKUP(Table2[[#This Row],[Description]],$Q$1:$S$101,2,FALSE))</f>
        <v/>
      </c>
      <c r="H3664" s="1" t="str">
        <f>IF(Table2[[#This Row],[Description]]="","",VLOOKUP(Table2[[#This Row],[Description]],$Q$1:$S$101,3,FALSE))</f>
        <v/>
      </c>
      <c r="I3664" s="1" t="str">
        <f>IF(Table2[[#This Row],[Description]]="","",IF(Table2[[#This Row],[Currency]]=$O$2,$P$2,HLOOKUP(Table2[[#This Row],[Date]],Funds!$C$10:$GV$11,2,FALSE)))</f>
        <v/>
      </c>
      <c r="J3664" s="215" t="str">
        <f>IF(Table2[[#This Row],[Description]]="","",Table2[[#This Row],[Value]]/Table2[[#This Row],[Conversion]])</f>
        <v/>
      </c>
      <c r="K3664" s="45" t="str">
        <f>IF(Table2[[#This Row],[Description]]="","",DATE(Table2[[#This Row],[Year]],Table2[[#This Row],[Month]],1))</f>
        <v/>
      </c>
    </row>
    <row r="3665" spans="7:11" x14ac:dyDescent="0.25">
      <c r="G3665" s="1" t="str">
        <f>IF(Table2[[#This Row],[Description]]="","",VLOOKUP(Table2[[#This Row],[Description]],$Q$1:$S$101,2,FALSE))</f>
        <v/>
      </c>
      <c r="H3665" s="1" t="str">
        <f>IF(Table2[[#This Row],[Description]]="","",VLOOKUP(Table2[[#This Row],[Description]],$Q$1:$S$101,3,FALSE))</f>
        <v/>
      </c>
      <c r="I3665" s="1" t="str">
        <f>IF(Table2[[#This Row],[Description]]="","",IF(Table2[[#This Row],[Currency]]=$O$2,$P$2,HLOOKUP(Table2[[#This Row],[Date]],Funds!$C$10:$GV$11,2,FALSE)))</f>
        <v/>
      </c>
      <c r="J3665" s="215" t="str">
        <f>IF(Table2[[#This Row],[Description]]="","",Table2[[#This Row],[Value]]/Table2[[#This Row],[Conversion]])</f>
        <v/>
      </c>
      <c r="K3665" s="45" t="str">
        <f>IF(Table2[[#This Row],[Description]]="","",DATE(Table2[[#This Row],[Year]],Table2[[#This Row],[Month]],1))</f>
        <v/>
      </c>
    </row>
    <row r="3666" spans="7:11" x14ac:dyDescent="0.25">
      <c r="G3666" s="1" t="str">
        <f>IF(Table2[[#This Row],[Description]]="","",VLOOKUP(Table2[[#This Row],[Description]],$Q$1:$S$101,2,FALSE))</f>
        <v/>
      </c>
      <c r="H3666" s="1" t="str">
        <f>IF(Table2[[#This Row],[Description]]="","",VLOOKUP(Table2[[#This Row],[Description]],$Q$1:$S$101,3,FALSE))</f>
        <v/>
      </c>
      <c r="I3666" s="1" t="str">
        <f>IF(Table2[[#This Row],[Description]]="","",IF(Table2[[#This Row],[Currency]]=$O$2,$P$2,HLOOKUP(Table2[[#This Row],[Date]],Funds!$C$10:$GV$11,2,FALSE)))</f>
        <v/>
      </c>
      <c r="J3666" s="215" t="str">
        <f>IF(Table2[[#This Row],[Description]]="","",Table2[[#This Row],[Value]]/Table2[[#This Row],[Conversion]])</f>
        <v/>
      </c>
      <c r="K3666" s="45" t="str">
        <f>IF(Table2[[#This Row],[Description]]="","",DATE(Table2[[#This Row],[Year]],Table2[[#This Row],[Month]],1))</f>
        <v/>
      </c>
    </row>
    <row r="3667" spans="7:11" x14ac:dyDescent="0.25">
      <c r="G3667" s="1" t="str">
        <f>IF(Table2[[#This Row],[Description]]="","",VLOOKUP(Table2[[#This Row],[Description]],$Q$1:$S$101,2,FALSE))</f>
        <v/>
      </c>
      <c r="H3667" s="1" t="str">
        <f>IF(Table2[[#This Row],[Description]]="","",VLOOKUP(Table2[[#This Row],[Description]],$Q$1:$S$101,3,FALSE))</f>
        <v/>
      </c>
      <c r="I3667" s="1" t="str">
        <f>IF(Table2[[#This Row],[Description]]="","",IF(Table2[[#This Row],[Currency]]=$O$2,$P$2,HLOOKUP(Table2[[#This Row],[Date]],Funds!$C$10:$GV$11,2,FALSE)))</f>
        <v/>
      </c>
      <c r="J3667" s="215" t="str">
        <f>IF(Table2[[#This Row],[Description]]="","",Table2[[#This Row],[Value]]/Table2[[#This Row],[Conversion]])</f>
        <v/>
      </c>
      <c r="K3667" s="45" t="str">
        <f>IF(Table2[[#This Row],[Description]]="","",DATE(Table2[[#This Row],[Year]],Table2[[#This Row],[Month]],1))</f>
        <v/>
      </c>
    </row>
    <row r="3668" spans="7:11" x14ac:dyDescent="0.25">
      <c r="G3668" s="1" t="str">
        <f>IF(Table2[[#This Row],[Description]]="","",VLOOKUP(Table2[[#This Row],[Description]],$Q$1:$S$101,2,FALSE))</f>
        <v/>
      </c>
      <c r="H3668" s="1" t="str">
        <f>IF(Table2[[#This Row],[Description]]="","",VLOOKUP(Table2[[#This Row],[Description]],$Q$1:$S$101,3,FALSE))</f>
        <v/>
      </c>
      <c r="I3668" s="1" t="str">
        <f>IF(Table2[[#This Row],[Description]]="","",IF(Table2[[#This Row],[Currency]]=$O$2,$P$2,HLOOKUP(Table2[[#This Row],[Date]],Funds!$C$10:$GV$11,2,FALSE)))</f>
        <v/>
      </c>
      <c r="J3668" s="215" t="str">
        <f>IF(Table2[[#This Row],[Description]]="","",Table2[[#This Row],[Value]]/Table2[[#This Row],[Conversion]])</f>
        <v/>
      </c>
      <c r="K3668" s="45" t="str">
        <f>IF(Table2[[#This Row],[Description]]="","",DATE(Table2[[#This Row],[Year]],Table2[[#This Row],[Month]],1))</f>
        <v/>
      </c>
    </row>
    <row r="3669" spans="7:11" x14ac:dyDescent="0.25">
      <c r="G3669" s="1" t="str">
        <f>IF(Table2[[#This Row],[Description]]="","",VLOOKUP(Table2[[#This Row],[Description]],$Q$1:$S$101,2,FALSE))</f>
        <v/>
      </c>
      <c r="H3669" s="1" t="str">
        <f>IF(Table2[[#This Row],[Description]]="","",VLOOKUP(Table2[[#This Row],[Description]],$Q$1:$S$101,3,FALSE))</f>
        <v/>
      </c>
      <c r="I3669" s="1" t="str">
        <f>IF(Table2[[#This Row],[Description]]="","",IF(Table2[[#This Row],[Currency]]=$O$2,$P$2,HLOOKUP(Table2[[#This Row],[Date]],Funds!$C$10:$GV$11,2,FALSE)))</f>
        <v/>
      </c>
      <c r="J3669" s="215" t="str">
        <f>IF(Table2[[#This Row],[Description]]="","",Table2[[#This Row],[Value]]/Table2[[#This Row],[Conversion]])</f>
        <v/>
      </c>
      <c r="K3669" s="45" t="str">
        <f>IF(Table2[[#This Row],[Description]]="","",DATE(Table2[[#This Row],[Year]],Table2[[#This Row],[Month]],1))</f>
        <v/>
      </c>
    </row>
    <row r="3670" spans="7:11" x14ac:dyDescent="0.25">
      <c r="G3670" s="1" t="str">
        <f>IF(Table2[[#This Row],[Description]]="","",VLOOKUP(Table2[[#This Row],[Description]],$Q$1:$S$101,2,FALSE))</f>
        <v/>
      </c>
      <c r="H3670" s="1" t="str">
        <f>IF(Table2[[#This Row],[Description]]="","",VLOOKUP(Table2[[#This Row],[Description]],$Q$1:$S$101,3,FALSE))</f>
        <v/>
      </c>
      <c r="I3670" s="1" t="str">
        <f>IF(Table2[[#This Row],[Description]]="","",IF(Table2[[#This Row],[Currency]]=$O$2,$P$2,HLOOKUP(Table2[[#This Row],[Date]],Funds!$C$10:$GV$11,2,FALSE)))</f>
        <v/>
      </c>
      <c r="J3670" s="215" t="str">
        <f>IF(Table2[[#This Row],[Description]]="","",Table2[[#This Row],[Value]]/Table2[[#This Row],[Conversion]])</f>
        <v/>
      </c>
      <c r="K3670" s="45" t="str">
        <f>IF(Table2[[#This Row],[Description]]="","",DATE(Table2[[#This Row],[Year]],Table2[[#This Row],[Month]],1))</f>
        <v/>
      </c>
    </row>
    <row r="3671" spans="7:11" x14ac:dyDescent="0.25">
      <c r="G3671" s="1" t="str">
        <f>IF(Table2[[#This Row],[Description]]="","",VLOOKUP(Table2[[#This Row],[Description]],$Q$1:$S$101,2,FALSE))</f>
        <v/>
      </c>
      <c r="H3671" s="1" t="str">
        <f>IF(Table2[[#This Row],[Description]]="","",VLOOKUP(Table2[[#This Row],[Description]],$Q$1:$S$101,3,FALSE))</f>
        <v/>
      </c>
      <c r="I3671" s="1" t="str">
        <f>IF(Table2[[#This Row],[Description]]="","",IF(Table2[[#This Row],[Currency]]=$O$2,$P$2,HLOOKUP(Table2[[#This Row],[Date]],Funds!$C$10:$GV$11,2,FALSE)))</f>
        <v/>
      </c>
      <c r="J3671" s="215" t="str">
        <f>IF(Table2[[#This Row],[Description]]="","",Table2[[#This Row],[Value]]/Table2[[#This Row],[Conversion]])</f>
        <v/>
      </c>
      <c r="K3671" s="45" t="str">
        <f>IF(Table2[[#This Row],[Description]]="","",DATE(Table2[[#This Row],[Year]],Table2[[#This Row],[Month]],1))</f>
        <v/>
      </c>
    </row>
    <row r="3672" spans="7:11" x14ac:dyDescent="0.25">
      <c r="G3672" s="1" t="str">
        <f>IF(Table2[[#This Row],[Description]]="","",VLOOKUP(Table2[[#This Row],[Description]],$Q$1:$S$101,2,FALSE))</f>
        <v/>
      </c>
      <c r="H3672" s="1" t="str">
        <f>IF(Table2[[#This Row],[Description]]="","",VLOOKUP(Table2[[#This Row],[Description]],$Q$1:$S$101,3,FALSE))</f>
        <v/>
      </c>
      <c r="I3672" s="1" t="str">
        <f>IF(Table2[[#This Row],[Description]]="","",IF(Table2[[#This Row],[Currency]]=$O$2,$P$2,HLOOKUP(Table2[[#This Row],[Date]],Funds!$C$10:$GV$11,2,FALSE)))</f>
        <v/>
      </c>
      <c r="J3672" s="215" t="str">
        <f>IF(Table2[[#This Row],[Description]]="","",Table2[[#This Row],[Value]]/Table2[[#This Row],[Conversion]])</f>
        <v/>
      </c>
      <c r="K3672" s="45" t="str">
        <f>IF(Table2[[#This Row],[Description]]="","",DATE(Table2[[#This Row],[Year]],Table2[[#This Row],[Month]],1))</f>
        <v/>
      </c>
    </row>
    <row r="3673" spans="7:11" x14ac:dyDescent="0.25">
      <c r="G3673" s="1" t="str">
        <f>IF(Table2[[#This Row],[Description]]="","",VLOOKUP(Table2[[#This Row],[Description]],$Q$1:$S$101,2,FALSE))</f>
        <v/>
      </c>
      <c r="H3673" s="1" t="str">
        <f>IF(Table2[[#This Row],[Description]]="","",VLOOKUP(Table2[[#This Row],[Description]],$Q$1:$S$101,3,FALSE))</f>
        <v/>
      </c>
      <c r="I3673" s="1" t="str">
        <f>IF(Table2[[#This Row],[Description]]="","",IF(Table2[[#This Row],[Currency]]=$O$2,$P$2,HLOOKUP(Table2[[#This Row],[Date]],Funds!$C$10:$GV$11,2,FALSE)))</f>
        <v/>
      </c>
      <c r="J3673" s="215" t="str">
        <f>IF(Table2[[#This Row],[Description]]="","",Table2[[#This Row],[Value]]/Table2[[#This Row],[Conversion]])</f>
        <v/>
      </c>
      <c r="K3673" s="45" t="str">
        <f>IF(Table2[[#This Row],[Description]]="","",DATE(Table2[[#This Row],[Year]],Table2[[#This Row],[Month]],1))</f>
        <v/>
      </c>
    </row>
    <row r="3674" spans="7:11" x14ac:dyDescent="0.25">
      <c r="G3674" s="1" t="str">
        <f>IF(Table2[[#This Row],[Description]]="","",VLOOKUP(Table2[[#This Row],[Description]],$Q$1:$S$101,2,FALSE))</f>
        <v/>
      </c>
      <c r="H3674" s="1" t="str">
        <f>IF(Table2[[#This Row],[Description]]="","",VLOOKUP(Table2[[#This Row],[Description]],$Q$1:$S$101,3,FALSE))</f>
        <v/>
      </c>
      <c r="I3674" s="1" t="str">
        <f>IF(Table2[[#This Row],[Description]]="","",IF(Table2[[#This Row],[Currency]]=$O$2,$P$2,HLOOKUP(Table2[[#This Row],[Date]],Funds!$C$10:$GV$11,2,FALSE)))</f>
        <v/>
      </c>
      <c r="J3674" s="215" t="str">
        <f>IF(Table2[[#This Row],[Description]]="","",Table2[[#This Row],[Value]]/Table2[[#This Row],[Conversion]])</f>
        <v/>
      </c>
      <c r="K3674" s="45" t="str">
        <f>IF(Table2[[#This Row],[Description]]="","",DATE(Table2[[#This Row],[Year]],Table2[[#This Row],[Month]],1))</f>
        <v/>
      </c>
    </row>
    <row r="3675" spans="7:11" x14ac:dyDescent="0.25">
      <c r="G3675" s="1" t="str">
        <f>IF(Table2[[#This Row],[Description]]="","",VLOOKUP(Table2[[#This Row],[Description]],$Q$1:$S$101,2,FALSE))</f>
        <v/>
      </c>
      <c r="H3675" s="1" t="str">
        <f>IF(Table2[[#This Row],[Description]]="","",VLOOKUP(Table2[[#This Row],[Description]],$Q$1:$S$101,3,FALSE))</f>
        <v/>
      </c>
      <c r="I3675" s="1" t="str">
        <f>IF(Table2[[#This Row],[Description]]="","",IF(Table2[[#This Row],[Currency]]=$O$2,$P$2,HLOOKUP(Table2[[#This Row],[Date]],Funds!$C$10:$GV$11,2,FALSE)))</f>
        <v/>
      </c>
      <c r="J3675" s="215" t="str">
        <f>IF(Table2[[#This Row],[Description]]="","",Table2[[#This Row],[Value]]/Table2[[#This Row],[Conversion]])</f>
        <v/>
      </c>
      <c r="K3675" s="45" t="str">
        <f>IF(Table2[[#This Row],[Description]]="","",DATE(Table2[[#This Row],[Year]],Table2[[#This Row],[Month]],1))</f>
        <v/>
      </c>
    </row>
    <row r="3676" spans="7:11" x14ac:dyDescent="0.25">
      <c r="G3676" s="1" t="str">
        <f>IF(Table2[[#This Row],[Description]]="","",VLOOKUP(Table2[[#This Row],[Description]],$Q$1:$S$101,2,FALSE))</f>
        <v/>
      </c>
      <c r="H3676" s="1" t="str">
        <f>IF(Table2[[#This Row],[Description]]="","",VLOOKUP(Table2[[#This Row],[Description]],$Q$1:$S$101,3,FALSE))</f>
        <v/>
      </c>
      <c r="I3676" s="1" t="str">
        <f>IF(Table2[[#This Row],[Description]]="","",IF(Table2[[#This Row],[Currency]]=$O$2,$P$2,HLOOKUP(Table2[[#This Row],[Date]],Funds!$C$10:$GV$11,2,FALSE)))</f>
        <v/>
      </c>
      <c r="J3676" s="215" t="str">
        <f>IF(Table2[[#This Row],[Description]]="","",Table2[[#This Row],[Value]]/Table2[[#This Row],[Conversion]])</f>
        <v/>
      </c>
      <c r="K3676" s="45" t="str">
        <f>IF(Table2[[#This Row],[Description]]="","",DATE(Table2[[#This Row],[Year]],Table2[[#This Row],[Month]],1))</f>
        <v/>
      </c>
    </row>
    <row r="3677" spans="7:11" x14ac:dyDescent="0.25">
      <c r="G3677" s="1" t="str">
        <f>IF(Table2[[#This Row],[Description]]="","",VLOOKUP(Table2[[#This Row],[Description]],$Q$1:$S$101,2,FALSE))</f>
        <v/>
      </c>
      <c r="H3677" s="1" t="str">
        <f>IF(Table2[[#This Row],[Description]]="","",VLOOKUP(Table2[[#This Row],[Description]],$Q$1:$S$101,3,FALSE))</f>
        <v/>
      </c>
      <c r="I3677" s="1" t="str">
        <f>IF(Table2[[#This Row],[Description]]="","",IF(Table2[[#This Row],[Currency]]=$O$2,$P$2,HLOOKUP(Table2[[#This Row],[Date]],Funds!$C$10:$GV$11,2,FALSE)))</f>
        <v/>
      </c>
      <c r="J3677" s="215" t="str">
        <f>IF(Table2[[#This Row],[Description]]="","",Table2[[#This Row],[Value]]/Table2[[#This Row],[Conversion]])</f>
        <v/>
      </c>
      <c r="K3677" s="45" t="str">
        <f>IF(Table2[[#This Row],[Description]]="","",DATE(Table2[[#This Row],[Year]],Table2[[#This Row],[Month]],1))</f>
        <v/>
      </c>
    </row>
    <row r="3678" spans="7:11" x14ac:dyDescent="0.25">
      <c r="G3678" s="1" t="str">
        <f>IF(Table2[[#This Row],[Description]]="","",VLOOKUP(Table2[[#This Row],[Description]],$Q$1:$S$101,2,FALSE))</f>
        <v/>
      </c>
      <c r="H3678" s="1" t="str">
        <f>IF(Table2[[#This Row],[Description]]="","",VLOOKUP(Table2[[#This Row],[Description]],$Q$1:$S$101,3,FALSE))</f>
        <v/>
      </c>
      <c r="I3678" s="1" t="str">
        <f>IF(Table2[[#This Row],[Description]]="","",IF(Table2[[#This Row],[Currency]]=$O$2,$P$2,HLOOKUP(Table2[[#This Row],[Date]],Funds!$C$10:$GV$11,2,FALSE)))</f>
        <v/>
      </c>
      <c r="J3678" s="215" t="str">
        <f>IF(Table2[[#This Row],[Description]]="","",Table2[[#This Row],[Value]]/Table2[[#This Row],[Conversion]])</f>
        <v/>
      </c>
      <c r="K3678" s="45" t="str">
        <f>IF(Table2[[#This Row],[Description]]="","",DATE(Table2[[#This Row],[Year]],Table2[[#This Row],[Month]],1))</f>
        <v/>
      </c>
    </row>
    <row r="3679" spans="7:11" x14ac:dyDescent="0.25">
      <c r="G3679" s="1" t="str">
        <f>IF(Table2[[#This Row],[Description]]="","",VLOOKUP(Table2[[#This Row],[Description]],$Q$1:$S$101,2,FALSE))</f>
        <v/>
      </c>
      <c r="H3679" s="1" t="str">
        <f>IF(Table2[[#This Row],[Description]]="","",VLOOKUP(Table2[[#This Row],[Description]],$Q$1:$S$101,3,FALSE))</f>
        <v/>
      </c>
      <c r="I3679" s="1" t="str">
        <f>IF(Table2[[#This Row],[Description]]="","",IF(Table2[[#This Row],[Currency]]=$O$2,$P$2,HLOOKUP(Table2[[#This Row],[Date]],Funds!$C$10:$GV$11,2,FALSE)))</f>
        <v/>
      </c>
      <c r="J3679" s="215" t="str">
        <f>IF(Table2[[#This Row],[Description]]="","",Table2[[#This Row],[Value]]/Table2[[#This Row],[Conversion]])</f>
        <v/>
      </c>
      <c r="K3679" s="45" t="str">
        <f>IF(Table2[[#This Row],[Description]]="","",DATE(Table2[[#This Row],[Year]],Table2[[#This Row],[Month]],1))</f>
        <v/>
      </c>
    </row>
    <row r="3680" spans="7:11" x14ac:dyDescent="0.25">
      <c r="G3680" s="1" t="str">
        <f>IF(Table2[[#This Row],[Description]]="","",VLOOKUP(Table2[[#This Row],[Description]],$Q$1:$S$101,2,FALSE))</f>
        <v/>
      </c>
      <c r="H3680" s="1" t="str">
        <f>IF(Table2[[#This Row],[Description]]="","",VLOOKUP(Table2[[#This Row],[Description]],$Q$1:$S$101,3,FALSE))</f>
        <v/>
      </c>
      <c r="I3680" s="1" t="str">
        <f>IF(Table2[[#This Row],[Description]]="","",IF(Table2[[#This Row],[Currency]]=$O$2,$P$2,HLOOKUP(Table2[[#This Row],[Date]],Funds!$C$10:$GV$11,2,FALSE)))</f>
        <v/>
      </c>
      <c r="J3680" s="215" t="str">
        <f>IF(Table2[[#This Row],[Description]]="","",Table2[[#This Row],[Value]]/Table2[[#This Row],[Conversion]])</f>
        <v/>
      </c>
      <c r="K3680" s="45" t="str">
        <f>IF(Table2[[#This Row],[Description]]="","",DATE(Table2[[#This Row],[Year]],Table2[[#This Row],[Month]],1))</f>
        <v/>
      </c>
    </row>
    <row r="3681" spans="7:11" x14ac:dyDescent="0.25">
      <c r="G3681" s="1" t="str">
        <f>IF(Table2[[#This Row],[Description]]="","",VLOOKUP(Table2[[#This Row],[Description]],$Q$1:$S$101,2,FALSE))</f>
        <v/>
      </c>
      <c r="H3681" s="1" t="str">
        <f>IF(Table2[[#This Row],[Description]]="","",VLOOKUP(Table2[[#This Row],[Description]],$Q$1:$S$101,3,FALSE))</f>
        <v/>
      </c>
      <c r="I3681" s="1" t="str">
        <f>IF(Table2[[#This Row],[Description]]="","",IF(Table2[[#This Row],[Currency]]=$O$2,$P$2,HLOOKUP(Table2[[#This Row],[Date]],Funds!$C$10:$GV$11,2,FALSE)))</f>
        <v/>
      </c>
      <c r="J3681" s="215" t="str">
        <f>IF(Table2[[#This Row],[Description]]="","",Table2[[#This Row],[Value]]/Table2[[#This Row],[Conversion]])</f>
        <v/>
      </c>
      <c r="K3681" s="45" t="str">
        <f>IF(Table2[[#This Row],[Description]]="","",DATE(Table2[[#This Row],[Year]],Table2[[#This Row],[Month]],1))</f>
        <v/>
      </c>
    </row>
    <row r="3682" spans="7:11" x14ac:dyDescent="0.25">
      <c r="G3682" s="1" t="str">
        <f>IF(Table2[[#This Row],[Description]]="","",VLOOKUP(Table2[[#This Row],[Description]],$Q$1:$S$101,2,FALSE))</f>
        <v/>
      </c>
      <c r="H3682" s="1" t="str">
        <f>IF(Table2[[#This Row],[Description]]="","",VLOOKUP(Table2[[#This Row],[Description]],$Q$1:$S$101,3,FALSE))</f>
        <v/>
      </c>
      <c r="I3682" s="1" t="str">
        <f>IF(Table2[[#This Row],[Description]]="","",IF(Table2[[#This Row],[Currency]]=$O$2,$P$2,HLOOKUP(Table2[[#This Row],[Date]],Funds!$C$10:$GV$11,2,FALSE)))</f>
        <v/>
      </c>
      <c r="J3682" s="215" t="str">
        <f>IF(Table2[[#This Row],[Description]]="","",Table2[[#This Row],[Value]]/Table2[[#This Row],[Conversion]])</f>
        <v/>
      </c>
      <c r="K3682" s="45" t="str">
        <f>IF(Table2[[#This Row],[Description]]="","",DATE(Table2[[#This Row],[Year]],Table2[[#This Row],[Month]],1))</f>
        <v/>
      </c>
    </row>
    <row r="3683" spans="7:11" x14ac:dyDescent="0.25">
      <c r="G3683" s="1" t="str">
        <f>IF(Table2[[#This Row],[Description]]="","",VLOOKUP(Table2[[#This Row],[Description]],$Q$1:$S$101,2,FALSE))</f>
        <v/>
      </c>
      <c r="H3683" s="1" t="str">
        <f>IF(Table2[[#This Row],[Description]]="","",VLOOKUP(Table2[[#This Row],[Description]],$Q$1:$S$101,3,FALSE))</f>
        <v/>
      </c>
      <c r="I3683" s="1" t="str">
        <f>IF(Table2[[#This Row],[Description]]="","",IF(Table2[[#This Row],[Currency]]=$O$2,$P$2,HLOOKUP(Table2[[#This Row],[Date]],Funds!$C$10:$GV$11,2,FALSE)))</f>
        <v/>
      </c>
      <c r="J3683" s="215" t="str">
        <f>IF(Table2[[#This Row],[Description]]="","",Table2[[#This Row],[Value]]/Table2[[#This Row],[Conversion]])</f>
        <v/>
      </c>
      <c r="K3683" s="45" t="str">
        <f>IF(Table2[[#This Row],[Description]]="","",DATE(Table2[[#This Row],[Year]],Table2[[#This Row],[Month]],1))</f>
        <v/>
      </c>
    </row>
    <row r="3684" spans="7:11" x14ac:dyDescent="0.25">
      <c r="G3684" s="1" t="str">
        <f>IF(Table2[[#This Row],[Description]]="","",VLOOKUP(Table2[[#This Row],[Description]],$Q$1:$S$101,2,FALSE))</f>
        <v/>
      </c>
      <c r="H3684" s="1" t="str">
        <f>IF(Table2[[#This Row],[Description]]="","",VLOOKUP(Table2[[#This Row],[Description]],$Q$1:$S$101,3,FALSE))</f>
        <v/>
      </c>
      <c r="I3684" s="1" t="str">
        <f>IF(Table2[[#This Row],[Description]]="","",IF(Table2[[#This Row],[Currency]]=$O$2,$P$2,HLOOKUP(Table2[[#This Row],[Date]],Funds!$C$10:$GV$11,2,FALSE)))</f>
        <v/>
      </c>
      <c r="J3684" s="215" t="str">
        <f>IF(Table2[[#This Row],[Description]]="","",Table2[[#This Row],[Value]]/Table2[[#This Row],[Conversion]])</f>
        <v/>
      </c>
      <c r="K3684" s="45" t="str">
        <f>IF(Table2[[#This Row],[Description]]="","",DATE(Table2[[#This Row],[Year]],Table2[[#This Row],[Month]],1))</f>
        <v/>
      </c>
    </row>
    <row r="3685" spans="7:11" x14ac:dyDescent="0.25">
      <c r="G3685" s="1" t="str">
        <f>IF(Table2[[#This Row],[Description]]="","",VLOOKUP(Table2[[#This Row],[Description]],$Q$1:$S$101,2,FALSE))</f>
        <v/>
      </c>
      <c r="H3685" s="1" t="str">
        <f>IF(Table2[[#This Row],[Description]]="","",VLOOKUP(Table2[[#This Row],[Description]],$Q$1:$S$101,3,FALSE))</f>
        <v/>
      </c>
      <c r="I3685" s="1" t="str">
        <f>IF(Table2[[#This Row],[Description]]="","",IF(Table2[[#This Row],[Currency]]=$O$2,$P$2,HLOOKUP(Table2[[#This Row],[Date]],Funds!$C$10:$GV$11,2,FALSE)))</f>
        <v/>
      </c>
      <c r="J3685" s="215" t="str">
        <f>IF(Table2[[#This Row],[Description]]="","",Table2[[#This Row],[Value]]/Table2[[#This Row],[Conversion]])</f>
        <v/>
      </c>
      <c r="K3685" s="45" t="str">
        <f>IF(Table2[[#This Row],[Description]]="","",DATE(Table2[[#This Row],[Year]],Table2[[#This Row],[Month]],1))</f>
        <v/>
      </c>
    </row>
    <row r="3686" spans="7:11" x14ac:dyDescent="0.25">
      <c r="G3686" s="1" t="str">
        <f>IF(Table2[[#This Row],[Description]]="","",VLOOKUP(Table2[[#This Row],[Description]],$Q$1:$S$101,2,FALSE))</f>
        <v/>
      </c>
      <c r="H3686" s="1" t="str">
        <f>IF(Table2[[#This Row],[Description]]="","",VLOOKUP(Table2[[#This Row],[Description]],$Q$1:$S$101,3,FALSE))</f>
        <v/>
      </c>
      <c r="I3686" s="1" t="str">
        <f>IF(Table2[[#This Row],[Description]]="","",IF(Table2[[#This Row],[Currency]]=$O$2,$P$2,HLOOKUP(Table2[[#This Row],[Date]],Funds!$C$10:$GV$11,2,FALSE)))</f>
        <v/>
      </c>
      <c r="J3686" s="215" t="str">
        <f>IF(Table2[[#This Row],[Description]]="","",Table2[[#This Row],[Value]]/Table2[[#This Row],[Conversion]])</f>
        <v/>
      </c>
      <c r="K3686" s="45" t="str">
        <f>IF(Table2[[#This Row],[Description]]="","",DATE(Table2[[#This Row],[Year]],Table2[[#This Row],[Month]],1))</f>
        <v/>
      </c>
    </row>
    <row r="3687" spans="7:11" x14ac:dyDescent="0.25">
      <c r="G3687" s="1" t="str">
        <f>IF(Table2[[#This Row],[Description]]="","",VLOOKUP(Table2[[#This Row],[Description]],$Q$1:$S$101,2,FALSE))</f>
        <v/>
      </c>
      <c r="H3687" s="1" t="str">
        <f>IF(Table2[[#This Row],[Description]]="","",VLOOKUP(Table2[[#This Row],[Description]],$Q$1:$S$101,3,FALSE))</f>
        <v/>
      </c>
      <c r="I3687" s="1" t="str">
        <f>IF(Table2[[#This Row],[Description]]="","",IF(Table2[[#This Row],[Currency]]=$O$2,$P$2,HLOOKUP(Table2[[#This Row],[Date]],Funds!$C$10:$GV$11,2,FALSE)))</f>
        <v/>
      </c>
      <c r="J3687" s="215" t="str">
        <f>IF(Table2[[#This Row],[Description]]="","",Table2[[#This Row],[Value]]/Table2[[#This Row],[Conversion]])</f>
        <v/>
      </c>
      <c r="K3687" s="45" t="str">
        <f>IF(Table2[[#This Row],[Description]]="","",DATE(Table2[[#This Row],[Year]],Table2[[#This Row],[Month]],1))</f>
        <v/>
      </c>
    </row>
    <row r="3688" spans="7:11" x14ac:dyDescent="0.25">
      <c r="G3688" s="1" t="str">
        <f>IF(Table2[[#This Row],[Description]]="","",VLOOKUP(Table2[[#This Row],[Description]],$Q$1:$S$101,2,FALSE))</f>
        <v/>
      </c>
      <c r="H3688" s="1" t="str">
        <f>IF(Table2[[#This Row],[Description]]="","",VLOOKUP(Table2[[#This Row],[Description]],$Q$1:$S$101,3,FALSE))</f>
        <v/>
      </c>
      <c r="I3688" s="1" t="str">
        <f>IF(Table2[[#This Row],[Description]]="","",IF(Table2[[#This Row],[Currency]]=$O$2,$P$2,HLOOKUP(Table2[[#This Row],[Date]],Funds!$C$10:$GV$11,2,FALSE)))</f>
        <v/>
      </c>
      <c r="J3688" s="215" t="str">
        <f>IF(Table2[[#This Row],[Description]]="","",Table2[[#This Row],[Value]]/Table2[[#This Row],[Conversion]])</f>
        <v/>
      </c>
      <c r="K3688" s="45" t="str">
        <f>IF(Table2[[#This Row],[Description]]="","",DATE(Table2[[#This Row],[Year]],Table2[[#This Row],[Month]],1))</f>
        <v/>
      </c>
    </row>
    <row r="3689" spans="7:11" x14ac:dyDescent="0.25">
      <c r="G3689" s="1" t="str">
        <f>IF(Table2[[#This Row],[Description]]="","",VLOOKUP(Table2[[#This Row],[Description]],$Q$1:$S$101,2,FALSE))</f>
        <v/>
      </c>
      <c r="H3689" s="1" t="str">
        <f>IF(Table2[[#This Row],[Description]]="","",VLOOKUP(Table2[[#This Row],[Description]],$Q$1:$S$101,3,FALSE))</f>
        <v/>
      </c>
      <c r="I3689" s="1" t="str">
        <f>IF(Table2[[#This Row],[Description]]="","",IF(Table2[[#This Row],[Currency]]=$O$2,$P$2,HLOOKUP(Table2[[#This Row],[Date]],Funds!$C$10:$GV$11,2,FALSE)))</f>
        <v/>
      </c>
      <c r="J3689" s="215" t="str">
        <f>IF(Table2[[#This Row],[Description]]="","",Table2[[#This Row],[Value]]/Table2[[#This Row],[Conversion]])</f>
        <v/>
      </c>
      <c r="K3689" s="45" t="str">
        <f>IF(Table2[[#This Row],[Description]]="","",DATE(Table2[[#This Row],[Year]],Table2[[#This Row],[Month]],1))</f>
        <v/>
      </c>
    </row>
    <row r="3690" spans="7:11" x14ac:dyDescent="0.25">
      <c r="G3690" s="1" t="str">
        <f>IF(Table2[[#This Row],[Description]]="","",VLOOKUP(Table2[[#This Row],[Description]],$Q$1:$S$101,2,FALSE))</f>
        <v/>
      </c>
      <c r="H3690" s="1" t="str">
        <f>IF(Table2[[#This Row],[Description]]="","",VLOOKUP(Table2[[#This Row],[Description]],$Q$1:$S$101,3,FALSE))</f>
        <v/>
      </c>
      <c r="I3690" s="1" t="str">
        <f>IF(Table2[[#This Row],[Description]]="","",IF(Table2[[#This Row],[Currency]]=$O$2,$P$2,HLOOKUP(Table2[[#This Row],[Date]],Funds!$C$10:$GV$11,2,FALSE)))</f>
        <v/>
      </c>
      <c r="J3690" s="215" t="str">
        <f>IF(Table2[[#This Row],[Description]]="","",Table2[[#This Row],[Value]]/Table2[[#This Row],[Conversion]])</f>
        <v/>
      </c>
      <c r="K3690" s="45" t="str">
        <f>IF(Table2[[#This Row],[Description]]="","",DATE(Table2[[#This Row],[Year]],Table2[[#This Row],[Month]],1))</f>
        <v/>
      </c>
    </row>
    <row r="3691" spans="7:11" x14ac:dyDescent="0.25">
      <c r="G3691" s="1" t="str">
        <f>IF(Table2[[#This Row],[Description]]="","",VLOOKUP(Table2[[#This Row],[Description]],$Q$1:$S$101,2,FALSE))</f>
        <v/>
      </c>
      <c r="H3691" s="1" t="str">
        <f>IF(Table2[[#This Row],[Description]]="","",VLOOKUP(Table2[[#This Row],[Description]],$Q$1:$S$101,3,FALSE))</f>
        <v/>
      </c>
      <c r="I3691" s="1" t="str">
        <f>IF(Table2[[#This Row],[Description]]="","",IF(Table2[[#This Row],[Currency]]=$O$2,$P$2,HLOOKUP(Table2[[#This Row],[Date]],Funds!$C$10:$GV$11,2,FALSE)))</f>
        <v/>
      </c>
      <c r="J3691" s="215" t="str">
        <f>IF(Table2[[#This Row],[Description]]="","",Table2[[#This Row],[Value]]/Table2[[#This Row],[Conversion]])</f>
        <v/>
      </c>
      <c r="K3691" s="45" t="str">
        <f>IF(Table2[[#This Row],[Description]]="","",DATE(Table2[[#This Row],[Year]],Table2[[#This Row],[Month]],1))</f>
        <v/>
      </c>
    </row>
    <row r="3692" spans="7:11" x14ac:dyDescent="0.25">
      <c r="G3692" s="1" t="str">
        <f>IF(Table2[[#This Row],[Description]]="","",VLOOKUP(Table2[[#This Row],[Description]],$Q$1:$S$101,2,FALSE))</f>
        <v/>
      </c>
      <c r="H3692" s="1" t="str">
        <f>IF(Table2[[#This Row],[Description]]="","",VLOOKUP(Table2[[#This Row],[Description]],$Q$1:$S$101,3,FALSE))</f>
        <v/>
      </c>
      <c r="I3692" s="1" t="str">
        <f>IF(Table2[[#This Row],[Description]]="","",IF(Table2[[#This Row],[Currency]]=$O$2,$P$2,HLOOKUP(Table2[[#This Row],[Date]],Funds!$C$10:$GV$11,2,FALSE)))</f>
        <v/>
      </c>
      <c r="J3692" s="215" t="str">
        <f>IF(Table2[[#This Row],[Description]]="","",Table2[[#This Row],[Value]]/Table2[[#This Row],[Conversion]])</f>
        <v/>
      </c>
      <c r="K3692" s="45" t="str">
        <f>IF(Table2[[#This Row],[Description]]="","",DATE(Table2[[#This Row],[Year]],Table2[[#This Row],[Month]],1))</f>
        <v/>
      </c>
    </row>
    <row r="3693" spans="7:11" x14ac:dyDescent="0.25">
      <c r="G3693" s="1" t="str">
        <f>IF(Table2[[#This Row],[Description]]="","",VLOOKUP(Table2[[#This Row],[Description]],$Q$1:$S$101,2,FALSE))</f>
        <v/>
      </c>
      <c r="H3693" s="1" t="str">
        <f>IF(Table2[[#This Row],[Description]]="","",VLOOKUP(Table2[[#This Row],[Description]],$Q$1:$S$101,3,FALSE))</f>
        <v/>
      </c>
      <c r="I3693" s="1" t="str">
        <f>IF(Table2[[#This Row],[Description]]="","",IF(Table2[[#This Row],[Currency]]=$O$2,$P$2,HLOOKUP(Table2[[#This Row],[Date]],Funds!$C$10:$GV$11,2,FALSE)))</f>
        <v/>
      </c>
      <c r="J3693" s="215" t="str">
        <f>IF(Table2[[#This Row],[Description]]="","",Table2[[#This Row],[Value]]/Table2[[#This Row],[Conversion]])</f>
        <v/>
      </c>
      <c r="K3693" s="45" t="str">
        <f>IF(Table2[[#This Row],[Description]]="","",DATE(Table2[[#This Row],[Year]],Table2[[#This Row],[Month]],1))</f>
        <v/>
      </c>
    </row>
    <row r="3694" spans="7:11" x14ac:dyDescent="0.25">
      <c r="G3694" s="1" t="str">
        <f>IF(Table2[[#This Row],[Description]]="","",VLOOKUP(Table2[[#This Row],[Description]],$Q$1:$S$101,2,FALSE))</f>
        <v/>
      </c>
      <c r="H3694" s="1" t="str">
        <f>IF(Table2[[#This Row],[Description]]="","",VLOOKUP(Table2[[#This Row],[Description]],$Q$1:$S$101,3,FALSE))</f>
        <v/>
      </c>
      <c r="I3694" s="1" t="str">
        <f>IF(Table2[[#This Row],[Description]]="","",IF(Table2[[#This Row],[Currency]]=$O$2,$P$2,HLOOKUP(Table2[[#This Row],[Date]],Funds!$C$10:$GV$11,2,FALSE)))</f>
        <v/>
      </c>
      <c r="J3694" s="215" t="str">
        <f>IF(Table2[[#This Row],[Description]]="","",Table2[[#This Row],[Value]]/Table2[[#This Row],[Conversion]])</f>
        <v/>
      </c>
      <c r="K3694" s="45" t="str">
        <f>IF(Table2[[#This Row],[Description]]="","",DATE(Table2[[#This Row],[Year]],Table2[[#This Row],[Month]],1))</f>
        <v/>
      </c>
    </row>
    <row r="3695" spans="7:11" x14ac:dyDescent="0.25">
      <c r="G3695" s="1" t="str">
        <f>IF(Table2[[#This Row],[Description]]="","",VLOOKUP(Table2[[#This Row],[Description]],$Q$1:$S$101,2,FALSE))</f>
        <v/>
      </c>
      <c r="H3695" s="1" t="str">
        <f>IF(Table2[[#This Row],[Description]]="","",VLOOKUP(Table2[[#This Row],[Description]],$Q$1:$S$101,3,FALSE))</f>
        <v/>
      </c>
      <c r="I3695" s="1" t="str">
        <f>IF(Table2[[#This Row],[Description]]="","",IF(Table2[[#This Row],[Currency]]=$O$2,$P$2,HLOOKUP(Table2[[#This Row],[Date]],Funds!$C$10:$GV$11,2,FALSE)))</f>
        <v/>
      </c>
      <c r="J3695" s="215" t="str">
        <f>IF(Table2[[#This Row],[Description]]="","",Table2[[#This Row],[Value]]/Table2[[#This Row],[Conversion]])</f>
        <v/>
      </c>
      <c r="K3695" s="45" t="str">
        <f>IF(Table2[[#This Row],[Description]]="","",DATE(Table2[[#This Row],[Year]],Table2[[#This Row],[Month]],1))</f>
        <v/>
      </c>
    </row>
    <row r="3696" spans="7:11" x14ac:dyDescent="0.25">
      <c r="G3696" s="1" t="str">
        <f>IF(Table2[[#This Row],[Description]]="","",VLOOKUP(Table2[[#This Row],[Description]],$Q$1:$S$101,2,FALSE))</f>
        <v/>
      </c>
      <c r="H3696" s="1" t="str">
        <f>IF(Table2[[#This Row],[Description]]="","",VLOOKUP(Table2[[#This Row],[Description]],$Q$1:$S$101,3,FALSE))</f>
        <v/>
      </c>
      <c r="I3696" s="1" t="str">
        <f>IF(Table2[[#This Row],[Description]]="","",IF(Table2[[#This Row],[Currency]]=$O$2,$P$2,HLOOKUP(Table2[[#This Row],[Date]],Funds!$C$10:$GV$11,2,FALSE)))</f>
        <v/>
      </c>
      <c r="J3696" s="215" t="str">
        <f>IF(Table2[[#This Row],[Description]]="","",Table2[[#This Row],[Value]]/Table2[[#This Row],[Conversion]])</f>
        <v/>
      </c>
      <c r="K3696" s="45" t="str">
        <f>IF(Table2[[#This Row],[Description]]="","",DATE(Table2[[#This Row],[Year]],Table2[[#This Row],[Month]],1))</f>
        <v/>
      </c>
    </row>
    <row r="3697" spans="7:11" x14ac:dyDescent="0.25">
      <c r="G3697" s="1" t="str">
        <f>IF(Table2[[#This Row],[Description]]="","",VLOOKUP(Table2[[#This Row],[Description]],$Q$1:$S$101,2,FALSE))</f>
        <v/>
      </c>
      <c r="H3697" s="1" t="str">
        <f>IF(Table2[[#This Row],[Description]]="","",VLOOKUP(Table2[[#This Row],[Description]],$Q$1:$S$101,3,FALSE))</f>
        <v/>
      </c>
      <c r="I3697" s="1" t="str">
        <f>IF(Table2[[#This Row],[Description]]="","",IF(Table2[[#This Row],[Currency]]=$O$2,$P$2,HLOOKUP(Table2[[#This Row],[Date]],Funds!$C$10:$GV$11,2,FALSE)))</f>
        <v/>
      </c>
      <c r="J3697" s="215" t="str">
        <f>IF(Table2[[#This Row],[Description]]="","",Table2[[#This Row],[Value]]/Table2[[#This Row],[Conversion]])</f>
        <v/>
      </c>
      <c r="K3697" s="45" t="str">
        <f>IF(Table2[[#This Row],[Description]]="","",DATE(Table2[[#This Row],[Year]],Table2[[#This Row],[Month]],1))</f>
        <v/>
      </c>
    </row>
    <row r="3698" spans="7:11" x14ac:dyDescent="0.25">
      <c r="G3698" s="1" t="str">
        <f>IF(Table2[[#This Row],[Description]]="","",VLOOKUP(Table2[[#This Row],[Description]],$Q$1:$S$101,2,FALSE))</f>
        <v/>
      </c>
      <c r="H3698" s="1" t="str">
        <f>IF(Table2[[#This Row],[Description]]="","",VLOOKUP(Table2[[#This Row],[Description]],$Q$1:$S$101,3,FALSE))</f>
        <v/>
      </c>
      <c r="I3698" s="1" t="str">
        <f>IF(Table2[[#This Row],[Description]]="","",IF(Table2[[#This Row],[Currency]]=$O$2,$P$2,HLOOKUP(Table2[[#This Row],[Date]],Funds!$C$10:$GV$11,2,FALSE)))</f>
        <v/>
      </c>
      <c r="J3698" s="215" t="str">
        <f>IF(Table2[[#This Row],[Description]]="","",Table2[[#This Row],[Value]]/Table2[[#This Row],[Conversion]])</f>
        <v/>
      </c>
      <c r="K3698" s="45" t="str">
        <f>IF(Table2[[#This Row],[Description]]="","",DATE(Table2[[#This Row],[Year]],Table2[[#This Row],[Month]],1))</f>
        <v/>
      </c>
    </row>
    <row r="3699" spans="7:11" x14ac:dyDescent="0.25">
      <c r="G3699" s="1" t="str">
        <f>IF(Table2[[#This Row],[Description]]="","",VLOOKUP(Table2[[#This Row],[Description]],$Q$1:$S$101,2,FALSE))</f>
        <v/>
      </c>
      <c r="H3699" s="1" t="str">
        <f>IF(Table2[[#This Row],[Description]]="","",VLOOKUP(Table2[[#This Row],[Description]],$Q$1:$S$101,3,FALSE))</f>
        <v/>
      </c>
      <c r="I3699" s="1" t="str">
        <f>IF(Table2[[#This Row],[Description]]="","",IF(Table2[[#This Row],[Currency]]=$O$2,$P$2,HLOOKUP(Table2[[#This Row],[Date]],Funds!$C$10:$GV$11,2,FALSE)))</f>
        <v/>
      </c>
      <c r="J3699" s="215" t="str">
        <f>IF(Table2[[#This Row],[Description]]="","",Table2[[#This Row],[Value]]/Table2[[#This Row],[Conversion]])</f>
        <v/>
      </c>
      <c r="K3699" s="45" t="str">
        <f>IF(Table2[[#This Row],[Description]]="","",DATE(Table2[[#This Row],[Year]],Table2[[#This Row],[Month]],1))</f>
        <v/>
      </c>
    </row>
    <row r="3700" spans="7:11" x14ac:dyDescent="0.25">
      <c r="G3700" s="1" t="str">
        <f>IF(Table2[[#This Row],[Description]]="","",VLOOKUP(Table2[[#This Row],[Description]],$Q$1:$S$101,2,FALSE))</f>
        <v/>
      </c>
      <c r="H3700" s="1" t="str">
        <f>IF(Table2[[#This Row],[Description]]="","",VLOOKUP(Table2[[#This Row],[Description]],$Q$1:$S$101,3,FALSE))</f>
        <v/>
      </c>
      <c r="I3700" s="1" t="str">
        <f>IF(Table2[[#This Row],[Description]]="","",IF(Table2[[#This Row],[Currency]]=$O$2,$P$2,HLOOKUP(Table2[[#This Row],[Date]],Funds!$C$10:$GV$11,2,FALSE)))</f>
        <v/>
      </c>
      <c r="J3700" s="215" t="str">
        <f>IF(Table2[[#This Row],[Description]]="","",Table2[[#This Row],[Value]]/Table2[[#This Row],[Conversion]])</f>
        <v/>
      </c>
      <c r="K3700" s="45" t="str">
        <f>IF(Table2[[#This Row],[Description]]="","",DATE(Table2[[#This Row],[Year]],Table2[[#This Row],[Month]],1))</f>
        <v/>
      </c>
    </row>
    <row r="3701" spans="7:11" x14ac:dyDescent="0.25">
      <c r="G3701" s="1" t="str">
        <f>IF(Table2[[#This Row],[Description]]="","",VLOOKUP(Table2[[#This Row],[Description]],$Q$1:$S$101,2,FALSE))</f>
        <v/>
      </c>
      <c r="H3701" s="1" t="str">
        <f>IF(Table2[[#This Row],[Description]]="","",VLOOKUP(Table2[[#This Row],[Description]],$Q$1:$S$101,3,FALSE))</f>
        <v/>
      </c>
      <c r="I3701" s="1" t="str">
        <f>IF(Table2[[#This Row],[Description]]="","",IF(Table2[[#This Row],[Currency]]=$O$2,$P$2,HLOOKUP(Table2[[#This Row],[Date]],Funds!$C$10:$GV$11,2,FALSE)))</f>
        <v/>
      </c>
      <c r="J3701" s="215" t="str">
        <f>IF(Table2[[#This Row],[Description]]="","",Table2[[#This Row],[Value]]/Table2[[#This Row],[Conversion]])</f>
        <v/>
      </c>
      <c r="K3701" s="45" t="str">
        <f>IF(Table2[[#This Row],[Description]]="","",DATE(Table2[[#This Row],[Year]],Table2[[#This Row],[Month]],1))</f>
        <v/>
      </c>
    </row>
    <row r="3702" spans="7:11" x14ac:dyDescent="0.25">
      <c r="G3702" s="1" t="str">
        <f>IF(Table2[[#This Row],[Description]]="","",VLOOKUP(Table2[[#This Row],[Description]],$Q$1:$S$101,2,FALSE))</f>
        <v/>
      </c>
      <c r="H3702" s="1" t="str">
        <f>IF(Table2[[#This Row],[Description]]="","",VLOOKUP(Table2[[#This Row],[Description]],$Q$1:$S$101,3,FALSE))</f>
        <v/>
      </c>
      <c r="I3702" s="1" t="str">
        <f>IF(Table2[[#This Row],[Description]]="","",IF(Table2[[#This Row],[Currency]]=$O$2,$P$2,HLOOKUP(Table2[[#This Row],[Date]],Funds!$C$10:$GV$11,2,FALSE)))</f>
        <v/>
      </c>
      <c r="J3702" s="215" t="str">
        <f>IF(Table2[[#This Row],[Description]]="","",Table2[[#This Row],[Value]]/Table2[[#This Row],[Conversion]])</f>
        <v/>
      </c>
      <c r="K3702" s="45" t="str">
        <f>IF(Table2[[#This Row],[Description]]="","",DATE(Table2[[#This Row],[Year]],Table2[[#This Row],[Month]],1))</f>
        <v/>
      </c>
    </row>
    <row r="3703" spans="7:11" x14ac:dyDescent="0.25">
      <c r="G3703" s="1" t="str">
        <f>IF(Table2[[#This Row],[Description]]="","",VLOOKUP(Table2[[#This Row],[Description]],$Q$1:$S$101,2,FALSE))</f>
        <v/>
      </c>
      <c r="H3703" s="1" t="str">
        <f>IF(Table2[[#This Row],[Description]]="","",VLOOKUP(Table2[[#This Row],[Description]],$Q$1:$S$101,3,FALSE))</f>
        <v/>
      </c>
      <c r="I3703" s="1" t="str">
        <f>IF(Table2[[#This Row],[Description]]="","",IF(Table2[[#This Row],[Currency]]=$O$2,$P$2,HLOOKUP(Table2[[#This Row],[Date]],Funds!$C$10:$GV$11,2,FALSE)))</f>
        <v/>
      </c>
      <c r="J3703" s="215" t="str">
        <f>IF(Table2[[#This Row],[Description]]="","",Table2[[#This Row],[Value]]/Table2[[#This Row],[Conversion]])</f>
        <v/>
      </c>
      <c r="K3703" s="45" t="str">
        <f>IF(Table2[[#This Row],[Description]]="","",DATE(Table2[[#This Row],[Year]],Table2[[#This Row],[Month]],1))</f>
        <v/>
      </c>
    </row>
    <row r="3704" spans="7:11" x14ac:dyDescent="0.25">
      <c r="G3704" s="1" t="str">
        <f>IF(Table2[[#This Row],[Description]]="","",VLOOKUP(Table2[[#This Row],[Description]],$Q$1:$S$101,2,FALSE))</f>
        <v/>
      </c>
      <c r="H3704" s="1" t="str">
        <f>IF(Table2[[#This Row],[Description]]="","",VLOOKUP(Table2[[#This Row],[Description]],$Q$1:$S$101,3,FALSE))</f>
        <v/>
      </c>
      <c r="I3704" s="1" t="str">
        <f>IF(Table2[[#This Row],[Description]]="","",IF(Table2[[#This Row],[Currency]]=$O$2,$P$2,HLOOKUP(Table2[[#This Row],[Date]],Funds!$C$10:$GV$11,2,FALSE)))</f>
        <v/>
      </c>
      <c r="J3704" s="215" t="str">
        <f>IF(Table2[[#This Row],[Description]]="","",Table2[[#This Row],[Value]]/Table2[[#This Row],[Conversion]])</f>
        <v/>
      </c>
      <c r="K3704" s="45" t="str">
        <f>IF(Table2[[#This Row],[Description]]="","",DATE(Table2[[#This Row],[Year]],Table2[[#This Row],[Month]],1))</f>
        <v/>
      </c>
    </row>
    <row r="3705" spans="7:11" x14ac:dyDescent="0.25">
      <c r="G3705" s="1" t="str">
        <f>IF(Table2[[#This Row],[Description]]="","",VLOOKUP(Table2[[#This Row],[Description]],$Q$1:$S$101,2,FALSE))</f>
        <v/>
      </c>
      <c r="H3705" s="1" t="str">
        <f>IF(Table2[[#This Row],[Description]]="","",VLOOKUP(Table2[[#This Row],[Description]],$Q$1:$S$101,3,FALSE))</f>
        <v/>
      </c>
      <c r="I3705" s="1" t="str">
        <f>IF(Table2[[#This Row],[Description]]="","",IF(Table2[[#This Row],[Currency]]=$O$2,$P$2,HLOOKUP(Table2[[#This Row],[Date]],Funds!$C$10:$GV$11,2,FALSE)))</f>
        <v/>
      </c>
      <c r="J3705" s="215" t="str">
        <f>IF(Table2[[#This Row],[Description]]="","",Table2[[#This Row],[Value]]/Table2[[#This Row],[Conversion]])</f>
        <v/>
      </c>
      <c r="K3705" s="45" t="str">
        <f>IF(Table2[[#This Row],[Description]]="","",DATE(Table2[[#This Row],[Year]],Table2[[#This Row],[Month]],1))</f>
        <v/>
      </c>
    </row>
    <row r="3706" spans="7:11" x14ac:dyDescent="0.25">
      <c r="G3706" s="1" t="str">
        <f>IF(Table2[[#This Row],[Description]]="","",VLOOKUP(Table2[[#This Row],[Description]],$Q$1:$S$101,2,FALSE))</f>
        <v/>
      </c>
      <c r="H3706" s="1" t="str">
        <f>IF(Table2[[#This Row],[Description]]="","",VLOOKUP(Table2[[#This Row],[Description]],$Q$1:$S$101,3,FALSE))</f>
        <v/>
      </c>
      <c r="I3706" s="1" t="str">
        <f>IF(Table2[[#This Row],[Description]]="","",IF(Table2[[#This Row],[Currency]]=$O$2,$P$2,HLOOKUP(Table2[[#This Row],[Date]],Funds!$C$10:$GV$11,2,FALSE)))</f>
        <v/>
      </c>
      <c r="J3706" s="215" t="str">
        <f>IF(Table2[[#This Row],[Description]]="","",Table2[[#This Row],[Value]]/Table2[[#This Row],[Conversion]])</f>
        <v/>
      </c>
      <c r="K3706" s="45" t="str">
        <f>IF(Table2[[#This Row],[Description]]="","",DATE(Table2[[#This Row],[Year]],Table2[[#This Row],[Month]],1))</f>
        <v/>
      </c>
    </row>
    <row r="3707" spans="7:11" x14ac:dyDescent="0.25">
      <c r="G3707" s="1" t="str">
        <f>IF(Table2[[#This Row],[Description]]="","",VLOOKUP(Table2[[#This Row],[Description]],$Q$1:$S$101,2,FALSE))</f>
        <v/>
      </c>
      <c r="H3707" s="1" t="str">
        <f>IF(Table2[[#This Row],[Description]]="","",VLOOKUP(Table2[[#This Row],[Description]],$Q$1:$S$101,3,FALSE))</f>
        <v/>
      </c>
      <c r="I3707" s="1" t="str">
        <f>IF(Table2[[#This Row],[Description]]="","",IF(Table2[[#This Row],[Currency]]=$O$2,$P$2,HLOOKUP(Table2[[#This Row],[Date]],Funds!$C$10:$GV$11,2,FALSE)))</f>
        <v/>
      </c>
      <c r="J3707" s="215" t="str">
        <f>IF(Table2[[#This Row],[Description]]="","",Table2[[#This Row],[Value]]/Table2[[#This Row],[Conversion]])</f>
        <v/>
      </c>
      <c r="K3707" s="45" t="str">
        <f>IF(Table2[[#This Row],[Description]]="","",DATE(Table2[[#This Row],[Year]],Table2[[#This Row],[Month]],1))</f>
        <v/>
      </c>
    </row>
    <row r="3708" spans="7:11" x14ac:dyDescent="0.25">
      <c r="G3708" s="1" t="str">
        <f>IF(Table2[[#This Row],[Description]]="","",VLOOKUP(Table2[[#This Row],[Description]],$Q$1:$S$101,2,FALSE))</f>
        <v/>
      </c>
      <c r="H3708" s="1" t="str">
        <f>IF(Table2[[#This Row],[Description]]="","",VLOOKUP(Table2[[#This Row],[Description]],$Q$1:$S$101,3,FALSE))</f>
        <v/>
      </c>
      <c r="I3708" s="1" t="str">
        <f>IF(Table2[[#This Row],[Description]]="","",IF(Table2[[#This Row],[Currency]]=$O$2,$P$2,HLOOKUP(Table2[[#This Row],[Date]],Funds!$C$10:$GV$11,2,FALSE)))</f>
        <v/>
      </c>
      <c r="J3708" s="215" t="str">
        <f>IF(Table2[[#This Row],[Description]]="","",Table2[[#This Row],[Value]]/Table2[[#This Row],[Conversion]])</f>
        <v/>
      </c>
      <c r="K3708" s="45" t="str">
        <f>IF(Table2[[#This Row],[Description]]="","",DATE(Table2[[#This Row],[Year]],Table2[[#This Row],[Month]],1))</f>
        <v/>
      </c>
    </row>
    <row r="3709" spans="7:11" x14ac:dyDescent="0.25">
      <c r="G3709" s="1" t="str">
        <f>IF(Table2[[#This Row],[Description]]="","",VLOOKUP(Table2[[#This Row],[Description]],$Q$1:$S$101,2,FALSE))</f>
        <v/>
      </c>
      <c r="H3709" s="1" t="str">
        <f>IF(Table2[[#This Row],[Description]]="","",VLOOKUP(Table2[[#This Row],[Description]],$Q$1:$S$101,3,FALSE))</f>
        <v/>
      </c>
      <c r="I3709" s="1" t="str">
        <f>IF(Table2[[#This Row],[Description]]="","",IF(Table2[[#This Row],[Currency]]=$O$2,$P$2,HLOOKUP(Table2[[#This Row],[Date]],Funds!$C$10:$GV$11,2,FALSE)))</f>
        <v/>
      </c>
      <c r="J3709" s="215" t="str">
        <f>IF(Table2[[#This Row],[Description]]="","",Table2[[#This Row],[Value]]/Table2[[#This Row],[Conversion]])</f>
        <v/>
      </c>
      <c r="K3709" s="45" t="str">
        <f>IF(Table2[[#This Row],[Description]]="","",DATE(Table2[[#This Row],[Year]],Table2[[#This Row],[Month]],1))</f>
        <v/>
      </c>
    </row>
    <row r="3710" spans="7:11" x14ac:dyDescent="0.25">
      <c r="G3710" s="1" t="str">
        <f>IF(Table2[[#This Row],[Description]]="","",VLOOKUP(Table2[[#This Row],[Description]],$Q$1:$S$101,2,FALSE))</f>
        <v/>
      </c>
      <c r="H3710" s="1" t="str">
        <f>IF(Table2[[#This Row],[Description]]="","",VLOOKUP(Table2[[#This Row],[Description]],$Q$1:$S$101,3,FALSE))</f>
        <v/>
      </c>
      <c r="I3710" s="1" t="str">
        <f>IF(Table2[[#This Row],[Description]]="","",IF(Table2[[#This Row],[Currency]]=$O$2,$P$2,HLOOKUP(Table2[[#This Row],[Date]],Funds!$C$10:$GV$11,2,FALSE)))</f>
        <v/>
      </c>
      <c r="J3710" s="215" t="str">
        <f>IF(Table2[[#This Row],[Description]]="","",Table2[[#This Row],[Value]]/Table2[[#This Row],[Conversion]])</f>
        <v/>
      </c>
      <c r="K3710" s="45" t="str">
        <f>IF(Table2[[#This Row],[Description]]="","",DATE(Table2[[#This Row],[Year]],Table2[[#This Row],[Month]],1))</f>
        <v/>
      </c>
    </row>
    <row r="3711" spans="7:11" x14ac:dyDescent="0.25">
      <c r="G3711" s="1" t="str">
        <f>IF(Table2[[#This Row],[Description]]="","",VLOOKUP(Table2[[#This Row],[Description]],$Q$1:$S$101,2,FALSE))</f>
        <v/>
      </c>
      <c r="H3711" s="1" t="str">
        <f>IF(Table2[[#This Row],[Description]]="","",VLOOKUP(Table2[[#This Row],[Description]],$Q$1:$S$101,3,FALSE))</f>
        <v/>
      </c>
      <c r="I3711" s="1" t="str">
        <f>IF(Table2[[#This Row],[Description]]="","",IF(Table2[[#This Row],[Currency]]=$O$2,$P$2,HLOOKUP(Table2[[#This Row],[Date]],Funds!$C$10:$GV$11,2,FALSE)))</f>
        <v/>
      </c>
      <c r="J3711" s="215" t="str">
        <f>IF(Table2[[#This Row],[Description]]="","",Table2[[#This Row],[Value]]/Table2[[#This Row],[Conversion]])</f>
        <v/>
      </c>
      <c r="K3711" s="45" t="str">
        <f>IF(Table2[[#This Row],[Description]]="","",DATE(Table2[[#This Row],[Year]],Table2[[#This Row],[Month]],1))</f>
        <v/>
      </c>
    </row>
    <row r="3712" spans="7:11" x14ac:dyDescent="0.25">
      <c r="G3712" s="1" t="str">
        <f>IF(Table2[[#This Row],[Description]]="","",VLOOKUP(Table2[[#This Row],[Description]],$Q$1:$S$101,2,FALSE))</f>
        <v/>
      </c>
      <c r="H3712" s="1" t="str">
        <f>IF(Table2[[#This Row],[Description]]="","",VLOOKUP(Table2[[#This Row],[Description]],$Q$1:$S$101,3,FALSE))</f>
        <v/>
      </c>
      <c r="I3712" s="1" t="str">
        <f>IF(Table2[[#This Row],[Description]]="","",IF(Table2[[#This Row],[Currency]]=$O$2,$P$2,HLOOKUP(Table2[[#This Row],[Date]],Funds!$C$10:$GV$11,2,FALSE)))</f>
        <v/>
      </c>
      <c r="J3712" s="215" t="str">
        <f>IF(Table2[[#This Row],[Description]]="","",Table2[[#This Row],[Value]]/Table2[[#This Row],[Conversion]])</f>
        <v/>
      </c>
      <c r="K3712" s="45" t="str">
        <f>IF(Table2[[#This Row],[Description]]="","",DATE(Table2[[#This Row],[Year]],Table2[[#This Row],[Month]],1))</f>
        <v/>
      </c>
    </row>
    <row r="3713" spans="7:11" x14ac:dyDescent="0.25">
      <c r="G3713" s="1" t="str">
        <f>IF(Table2[[#This Row],[Description]]="","",VLOOKUP(Table2[[#This Row],[Description]],$Q$1:$S$101,2,FALSE))</f>
        <v/>
      </c>
      <c r="H3713" s="1" t="str">
        <f>IF(Table2[[#This Row],[Description]]="","",VLOOKUP(Table2[[#This Row],[Description]],$Q$1:$S$101,3,FALSE))</f>
        <v/>
      </c>
      <c r="I3713" s="1" t="str">
        <f>IF(Table2[[#This Row],[Description]]="","",IF(Table2[[#This Row],[Currency]]=$O$2,$P$2,HLOOKUP(Table2[[#This Row],[Date]],Funds!$C$10:$GV$11,2,FALSE)))</f>
        <v/>
      </c>
      <c r="J3713" s="215" t="str">
        <f>IF(Table2[[#This Row],[Description]]="","",Table2[[#This Row],[Value]]/Table2[[#This Row],[Conversion]])</f>
        <v/>
      </c>
      <c r="K3713" s="45" t="str">
        <f>IF(Table2[[#This Row],[Description]]="","",DATE(Table2[[#This Row],[Year]],Table2[[#This Row],[Month]],1))</f>
        <v/>
      </c>
    </row>
    <row r="3714" spans="7:11" x14ac:dyDescent="0.25">
      <c r="G3714" s="1" t="str">
        <f>IF(Table2[[#This Row],[Description]]="","",VLOOKUP(Table2[[#This Row],[Description]],$Q$1:$S$101,2,FALSE))</f>
        <v/>
      </c>
      <c r="H3714" s="1" t="str">
        <f>IF(Table2[[#This Row],[Description]]="","",VLOOKUP(Table2[[#This Row],[Description]],$Q$1:$S$101,3,FALSE))</f>
        <v/>
      </c>
      <c r="I3714" s="1" t="str">
        <f>IF(Table2[[#This Row],[Description]]="","",IF(Table2[[#This Row],[Currency]]=$O$2,$P$2,HLOOKUP(Table2[[#This Row],[Date]],Funds!$C$10:$GV$11,2,FALSE)))</f>
        <v/>
      </c>
      <c r="J3714" s="215" t="str">
        <f>IF(Table2[[#This Row],[Description]]="","",Table2[[#This Row],[Value]]/Table2[[#This Row],[Conversion]])</f>
        <v/>
      </c>
      <c r="K3714" s="45" t="str">
        <f>IF(Table2[[#This Row],[Description]]="","",DATE(Table2[[#This Row],[Year]],Table2[[#This Row],[Month]],1))</f>
        <v/>
      </c>
    </row>
    <row r="3715" spans="7:11" x14ac:dyDescent="0.25">
      <c r="G3715" s="1" t="str">
        <f>IF(Table2[[#This Row],[Description]]="","",VLOOKUP(Table2[[#This Row],[Description]],$Q$1:$S$101,2,FALSE))</f>
        <v/>
      </c>
      <c r="H3715" s="1" t="str">
        <f>IF(Table2[[#This Row],[Description]]="","",VLOOKUP(Table2[[#This Row],[Description]],$Q$1:$S$101,3,FALSE))</f>
        <v/>
      </c>
      <c r="I3715" s="1" t="str">
        <f>IF(Table2[[#This Row],[Description]]="","",IF(Table2[[#This Row],[Currency]]=$O$2,$P$2,HLOOKUP(Table2[[#This Row],[Date]],Funds!$C$10:$GV$11,2,FALSE)))</f>
        <v/>
      </c>
      <c r="J3715" s="215" t="str">
        <f>IF(Table2[[#This Row],[Description]]="","",Table2[[#This Row],[Value]]/Table2[[#This Row],[Conversion]])</f>
        <v/>
      </c>
      <c r="K3715" s="45" t="str">
        <f>IF(Table2[[#This Row],[Description]]="","",DATE(Table2[[#This Row],[Year]],Table2[[#This Row],[Month]],1))</f>
        <v/>
      </c>
    </row>
    <row r="3716" spans="7:11" x14ac:dyDescent="0.25">
      <c r="G3716" s="1" t="str">
        <f>IF(Table2[[#This Row],[Description]]="","",VLOOKUP(Table2[[#This Row],[Description]],$Q$1:$S$101,2,FALSE))</f>
        <v/>
      </c>
      <c r="H3716" s="1" t="str">
        <f>IF(Table2[[#This Row],[Description]]="","",VLOOKUP(Table2[[#This Row],[Description]],$Q$1:$S$101,3,FALSE))</f>
        <v/>
      </c>
      <c r="I3716" s="1" t="str">
        <f>IF(Table2[[#This Row],[Description]]="","",IF(Table2[[#This Row],[Currency]]=$O$2,$P$2,HLOOKUP(Table2[[#This Row],[Date]],Funds!$C$10:$GV$11,2,FALSE)))</f>
        <v/>
      </c>
      <c r="J3716" s="215" t="str">
        <f>IF(Table2[[#This Row],[Description]]="","",Table2[[#This Row],[Value]]/Table2[[#This Row],[Conversion]])</f>
        <v/>
      </c>
      <c r="K3716" s="45" t="str">
        <f>IF(Table2[[#This Row],[Description]]="","",DATE(Table2[[#This Row],[Year]],Table2[[#This Row],[Month]],1))</f>
        <v/>
      </c>
    </row>
    <row r="3717" spans="7:11" x14ac:dyDescent="0.25">
      <c r="G3717" s="1" t="str">
        <f>IF(Table2[[#This Row],[Description]]="","",VLOOKUP(Table2[[#This Row],[Description]],$Q$1:$S$101,2,FALSE))</f>
        <v/>
      </c>
      <c r="H3717" s="1" t="str">
        <f>IF(Table2[[#This Row],[Description]]="","",VLOOKUP(Table2[[#This Row],[Description]],$Q$1:$S$101,3,FALSE))</f>
        <v/>
      </c>
      <c r="I3717" s="1" t="str">
        <f>IF(Table2[[#This Row],[Description]]="","",IF(Table2[[#This Row],[Currency]]=$O$2,$P$2,HLOOKUP(Table2[[#This Row],[Date]],Funds!$C$10:$GV$11,2,FALSE)))</f>
        <v/>
      </c>
      <c r="J3717" s="215" t="str">
        <f>IF(Table2[[#This Row],[Description]]="","",Table2[[#This Row],[Value]]/Table2[[#This Row],[Conversion]])</f>
        <v/>
      </c>
      <c r="K3717" s="45" t="str">
        <f>IF(Table2[[#This Row],[Description]]="","",DATE(Table2[[#This Row],[Year]],Table2[[#This Row],[Month]],1))</f>
        <v/>
      </c>
    </row>
    <row r="3718" spans="7:11" x14ac:dyDescent="0.25">
      <c r="G3718" s="1" t="str">
        <f>IF(Table2[[#This Row],[Description]]="","",VLOOKUP(Table2[[#This Row],[Description]],$Q$1:$S$101,2,FALSE))</f>
        <v/>
      </c>
      <c r="H3718" s="1" t="str">
        <f>IF(Table2[[#This Row],[Description]]="","",VLOOKUP(Table2[[#This Row],[Description]],$Q$1:$S$101,3,FALSE))</f>
        <v/>
      </c>
      <c r="I3718" s="1" t="str">
        <f>IF(Table2[[#This Row],[Description]]="","",IF(Table2[[#This Row],[Currency]]=$O$2,$P$2,HLOOKUP(Table2[[#This Row],[Date]],Funds!$C$10:$GV$11,2,FALSE)))</f>
        <v/>
      </c>
      <c r="J3718" s="215" t="str">
        <f>IF(Table2[[#This Row],[Description]]="","",Table2[[#This Row],[Value]]/Table2[[#This Row],[Conversion]])</f>
        <v/>
      </c>
      <c r="K3718" s="45" t="str">
        <f>IF(Table2[[#This Row],[Description]]="","",DATE(Table2[[#This Row],[Year]],Table2[[#This Row],[Month]],1))</f>
        <v/>
      </c>
    </row>
    <row r="3719" spans="7:11" x14ac:dyDescent="0.25">
      <c r="G3719" s="1" t="str">
        <f>IF(Table2[[#This Row],[Description]]="","",VLOOKUP(Table2[[#This Row],[Description]],$Q$1:$S$101,2,FALSE))</f>
        <v/>
      </c>
      <c r="H3719" s="1" t="str">
        <f>IF(Table2[[#This Row],[Description]]="","",VLOOKUP(Table2[[#This Row],[Description]],$Q$1:$S$101,3,FALSE))</f>
        <v/>
      </c>
      <c r="I3719" s="1" t="str">
        <f>IF(Table2[[#This Row],[Description]]="","",IF(Table2[[#This Row],[Currency]]=$O$2,$P$2,HLOOKUP(Table2[[#This Row],[Date]],Funds!$C$10:$GV$11,2,FALSE)))</f>
        <v/>
      </c>
      <c r="J3719" s="215" t="str">
        <f>IF(Table2[[#This Row],[Description]]="","",Table2[[#This Row],[Value]]/Table2[[#This Row],[Conversion]])</f>
        <v/>
      </c>
      <c r="K3719" s="45" t="str">
        <f>IF(Table2[[#This Row],[Description]]="","",DATE(Table2[[#This Row],[Year]],Table2[[#This Row],[Month]],1))</f>
        <v/>
      </c>
    </row>
    <row r="3720" spans="7:11" x14ac:dyDescent="0.25">
      <c r="G3720" s="1" t="str">
        <f>IF(Table2[[#This Row],[Description]]="","",VLOOKUP(Table2[[#This Row],[Description]],$Q$1:$S$101,2,FALSE))</f>
        <v/>
      </c>
      <c r="H3720" s="1" t="str">
        <f>IF(Table2[[#This Row],[Description]]="","",VLOOKUP(Table2[[#This Row],[Description]],$Q$1:$S$101,3,FALSE))</f>
        <v/>
      </c>
      <c r="I3720" s="1" t="str">
        <f>IF(Table2[[#This Row],[Description]]="","",IF(Table2[[#This Row],[Currency]]=$O$2,$P$2,HLOOKUP(Table2[[#This Row],[Date]],Funds!$C$10:$GV$11,2,FALSE)))</f>
        <v/>
      </c>
      <c r="J3720" s="215" t="str">
        <f>IF(Table2[[#This Row],[Description]]="","",Table2[[#This Row],[Value]]/Table2[[#This Row],[Conversion]])</f>
        <v/>
      </c>
      <c r="K3720" s="45" t="str">
        <f>IF(Table2[[#This Row],[Description]]="","",DATE(Table2[[#This Row],[Year]],Table2[[#This Row],[Month]],1))</f>
        <v/>
      </c>
    </row>
    <row r="3721" spans="7:11" x14ac:dyDescent="0.25">
      <c r="G3721" s="1" t="str">
        <f>IF(Table2[[#This Row],[Description]]="","",VLOOKUP(Table2[[#This Row],[Description]],$Q$1:$S$101,2,FALSE))</f>
        <v/>
      </c>
      <c r="H3721" s="1" t="str">
        <f>IF(Table2[[#This Row],[Description]]="","",VLOOKUP(Table2[[#This Row],[Description]],$Q$1:$S$101,3,FALSE))</f>
        <v/>
      </c>
      <c r="I3721" s="1" t="str">
        <f>IF(Table2[[#This Row],[Description]]="","",IF(Table2[[#This Row],[Currency]]=$O$2,$P$2,HLOOKUP(Table2[[#This Row],[Date]],Funds!$C$10:$GV$11,2,FALSE)))</f>
        <v/>
      </c>
      <c r="J3721" s="215" t="str">
        <f>IF(Table2[[#This Row],[Description]]="","",Table2[[#This Row],[Value]]/Table2[[#This Row],[Conversion]])</f>
        <v/>
      </c>
      <c r="K3721" s="45" t="str">
        <f>IF(Table2[[#This Row],[Description]]="","",DATE(Table2[[#This Row],[Year]],Table2[[#This Row],[Month]],1))</f>
        <v/>
      </c>
    </row>
    <row r="3722" spans="7:11" x14ac:dyDescent="0.25">
      <c r="G3722" s="1" t="str">
        <f>IF(Table2[[#This Row],[Description]]="","",VLOOKUP(Table2[[#This Row],[Description]],$Q$1:$S$101,2,FALSE))</f>
        <v/>
      </c>
      <c r="H3722" s="1" t="str">
        <f>IF(Table2[[#This Row],[Description]]="","",VLOOKUP(Table2[[#This Row],[Description]],$Q$1:$S$101,3,FALSE))</f>
        <v/>
      </c>
      <c r="I3722" s="1" t="str">
        <f>IF(Table2[[#This Row],[Description]]="","",IF(Table2[[#This Row],[Currency]]=$O$2,$P$2,HLOOKUP(Table2[[#This Row],[Date]],Funds!$C$10:$GV$11,2,FALSE)))</f>
        <v/>
      </c>
      <c r="J3722" s="215" t="str">
        <f>IF(Table2[[#This Row],[Description]]="","",Table2[[#This Row],[Value]]/Table2[[#This Row],[Conversion]])</f>
        <v/>
      </c>
      <c r="K3722" s="45" t="str">
        <f>IF(Table2[[#This Row],[Description]]="","",DATE(Table2[[#This Row],[Year]],Table2[[#This Row],[Month]],1))</f>
        <v/>
      </c>
    </row>
    <row r="3723" spans="7:11" x14ac:dyDescent="0.25">
      <c r="G3723" s="1" t="str">
        <f>IF(Table2[[#This Row],[Description]]="","",VLOOKUP(Table2[[#This Row],[Description]],$Q$1:$S$101,2,FALSE))</f>
        <v/>
      </c>
      <c r="H3723" s="1" t="str">
        <f>IF(Table2[[#This Row],[Description]]="","",VLOOKUP(Table2[[#This Row],[Description]],$Q$1:$S$101,3,FALSE))</f>
        <v/>
      </c>
      <c r="I3723" s="1" t="str">
        <f>IF(Table2[[#This Row],[Description]]="","",IF(Table2[[#This Row],[Currency]]=$O$2,$P$2,HLOOKUP(Table2[[#This Row],[Date]],Funds!$C$10:$GV$11,2,FALSE)))</f>
        <v/>
      </c>
      <c r="J3723" s="215" t="str">
        <f>IF(Table2[[#This Row],[Description]]="","",Table2[[#This Row],[Value]]/Table2[[#This Row],[Conversion]])</f>
        <v/>
      </c>
      <c r="K3723" s="45" t="str">
        <f>IF(Table2[[#This Row],[Description]]="","",DATE(Table2[[#This Row],[Year]],Table2[[#This Row],[Month]],1))</f>
        <v/>
      </c>
    </row>
    <row r="3724" spans="7:11" x14ac:dyDescent="0.25">
      <c r="G3724" s="1" t="str">
        <f>IF(Table2[[#This Row],[Description]]="","",VLOOKUP(Table2[[#This Row],[Description]],$Q$1:$S$101,2,FALSE))</f>
        <v/>
      </c>
      <c r="H3724" s="1" t="str">
        <f>IF(Table2[[#This Row],[Description]]="","",VLOOKUP(Table2[[#This Row],[Description]],$Q$1:$S$101,3,FALSE))</f>
        <v/>
      </c>
      <c r="I3724" s="1" t="str">
        <f>IF(Table2[[#This Row],[Description]]="","",IF(Table2[[#This Row],[Currency]]=$O$2,$P$2,HLOOKUP(Table2[[#This Row],[Date]],Funds!$C$10:$GV$11,2,FALSE)))</f>
        <v/>
      </c>
      <c r="J3724" s="215" t="str">
        <f>IF(Table2[[#This Row],[Description]]="","",Table2[[#This Row],[Value]]/Table2[[#This Row],[Conversion]])</f>
        <v/>
      </c>
      <c r="K3724" s="45" t="str">
        <f>IF(Table2[[#This Row],[Description]]="","",DATE(Table2[[#This Row],[Year]],Table2[[#This Row],[Month]],1))</f>
        <v/>
      </c>
    </row>
    <row r="3725" spans="7:11" x14ac:dyDescent="0.25">
      <c r="G3725" s="1" t="str">
        <f>IF(Table2[[#This Row],[Description]]="","",VLOOKUP(Table2[[#This Row],[Description]],$Q$1:$S$101,2,FALSE))</f>
        <v/>
      </c>
      <c r="H3725" s="1" t="str">
        <f>IF(Table2[[#This Row],[Description]]="","",VLOOKUP(Table2[[#This Row],[Description]],$Q$1:$S$101,3,FALSE))</f>
        <v/>
      </c>
      <c r="I3725" s="1" t="str">
        <f>IF(Table2[[#This Row],[Description]]="","",IF(Table2[[#This Row],[Currency]]=$O$2,$P$2,HLOOKUP(Table2[[#This Row],[Date]],Funds!$C$10:$GV$11,2,FALSE)))</f>
        <v/>
      </c>
      <c r="J3725" s="215" t="str">
        <f>IF(Table2[[#This Row],[Description]]="","",Table2[[#This Row],[Value]]/Table2[[#This Row],[Conversion]])</f>
        <v/>
      </c>
      <c r="K3725" s="45" t="str">
        <f>IF(Table2[[#This Row],[Description]]="","",DATE(Table2[[#This Row],[Year]],Table2[[#This Row],[Month]],1))</f>
        <v/>
      </c>
    </row>
    <row r="3726" spans="7:11" x14ac:dyDescent="0.25">
      <c r="G3726" s="1" t="str">
        <f>IF(Table2[[#This Row],[Description]]="","",VLOOKUP(Table2[[#This Row],[Description]],$Q$1:$S$101,2,FALSE))</f>
        <v/>
      </c>
      <c r="H3726" s="1" t="str">
        <f>IF(Table2[[#This Row],[Description]]="","",VLOOKUP(Table2[[#This Row],[Description]],$Q$1:$S$101,3,FALSE))</f>
        <v/>
      </c>
      <c r="I3726" s="1" t="str">
        <f>IF(Table2[[#This Row],[Description]]="","",IF(Table2[[#This Row],[Currency]]=$O$2,$P$2,HLOOKUP(Table2[[#This Row],[Date]],Funds!$C$10:$GV$11,2,FALSE)))</f>
        <v/>
      </c>
      <c r="J3726" s="215" t="str">
        <f>IF(Table2[[#This Row],[Description]]="","",Table2[[#This Row],[Value]]/Table2[[#This Row],[Conversion]])</f>
        <v/>
      </c>
      <c r="K3726" s="45" t="str">
        <f>IF(Table2[[#This Row],[Description]]="","",DATE(Table2[[#This Row],[Year]],Table2[[#This Row],[Month]],1))</f>
        <v/>
      </c>
    </row>
    <row r="3727" spans="7:11" x14ac:dyDescent="0.25">
      <c r="G3727" s="1" t="str">
        <f>IF(Table2[[#This Row],[Description]]="","",VLOOKUP(Table2[[#This Row],[Description]],$Q$1:$S$101,2,FALSE))</f>
        <v/>
      </c>
      <c r="H3727" s="1" t="str">
        <f>IF(Table2[[#This Row],[Description]]="","",VLOOKUP(Table2[[#This Row],[Description]],$Q$1:$S$101,3,FALSE))</f>
        <v/>
      </c>
      <c r="I3727" s="1" t="str">
        <f>IF(Table2[[#This Row],[Description]]="","",IF(Table2[[#This Row],[Currency]]=$O$2,$P$2,HLOOKUP(Table2[[#This Row],[Date]],Funds!$C$10:$GV$11,2,FALSE)))</f>
        <v/>
      </c>
      <c r="J3727" s="215" t="str">
        <f>IF(Table2[[#This Row],[Description]]="","",Table2[[#This Row],[Value]]/Table2[[#This Row],[Conversion]])</f>
        <v/>
      </c>
      <c r="K3727" s="45" t="str">
        <f>IF(Table2[[#This Row],[Description]]="","",DATE(Table2[[#This Row],[Year]],Table2[[#This Row],[Month]],1))</f>
        <v/>
      </c>
    </row>
    <row r="3728" spans="7:11" x14ac:dyDescent="0.25">
      <c r="G3728" s="1" t="str">
        <f>IF(Table2[[#This Row],[Description]]="","",VLOOKUP(Table2[[#This Row],[Description]],$Q$1:$S$101,2,FALSE))</f>
        <v/>
      </c>
      <c r="H3728" s="1" t="str">
        <f>IF(Table2[[#This Row],[Description]]="","",VLOOKUP(Table2[[#This Row],[Description]],$Q$1:$S$101,3,FALSE))</f>
        <v/>
      </c>
      <c r="I3728" s="1" t="str">
        <f>IF(Table2[[#This Row],[Description]]="","",IF(Table2[[#This Row],[Currency]]=$O$2,$P$2,HLOOKUP(Table2[[#This Row],[Date]],Funds!$C$10:$GV$11,2,FALSE)))</f>
        <v/>
      </c>
      <c r="J3728" s="215" t="str">
        <f>IF(Table2[[#This Row],[Description]]="","",Table2[[#This Row],[Value]]/Table2[[#This Row],[Conversion]])</f>
        <v/>
      </c>
      <c r="K3728" s="45" t="str">
        <f>IF(Table2[[#This Row],[Description]]="","",DATE(Table2[[#This Row],[Year]],Table2[[#This Row],[Month]],1))</f>
        <v/>
      </c>
    </row>
    <row r="3729" spans="7:11" x14ac:dyDescent="0.25">
      <c r="G3729" s="1" t="str">
        <f>IF(Table2[[#This Row],[Description]]="","",VLOOKUP(Table2[[#This Row],[Description]],$Q$1:$S$101,2,FALSE))</f>
        <v/>
      </c>
      <c r="H3729" s="1" t="str">
        <f>IF(Table2[[#This Row],[Description]]="","",VLOOKUP(Table2[[#This Row],[Description]],$Q$1:$S$101,3,FALSE))</f>
        <v/>
      </c>
      <c r="I3729" s="1" t="str">
        <f>IF(Table2[[#This Row],[Description]]="","",IF(Table2[[#This Row],[Currency]]=$O$2,$P$2,HLOOKUP(Table2[[#This Row],[Date]],Funds!$C$10:$GV$11,2,FALSE)))</f>
        <v/>
      </c>
      <c r="J3729" s="215" t="str">
        <f>IF(Table2[[#This Row],[Description]]="","",Table2[[#This Row],[Value]]/Table2[[#This Row],[Conversion]])</f>
        <v/>
      </c>
      <c r="K3729" s="45" t="str">
        <f>IF(Table2[[#This Row],[Description]]="","",DATE(Table2[[#This Row],[Year]],Table2[[#This Row],[Month]],1))</f>
        <v/>
      </c>
    </row>
    <row r="3730" spans="7:11" x14ac:dyDescent="0.25">
      <c r="G3730" s="1" t="str">
        <f>IF(Table2[[#This Row],[Description]]="","",VLOOKUP(Table2[[#This Row],[Description]],$Q$1:$S$101,2,FALSE))</f>
        <v/>
      </c>
      <c r="H3730" s="1" t="str">
        <f>IF(Table2[[#This Row],[Description]]="","",VLOOKUP(Table2[[#This Row],[Description]],$Q$1:$S$101,3,FALSE))</f>
        <v/>
      </c>
      <c r="I3730" s="1" t="str">
        <f>IF(Table2[[#This Row],[Description]]="","",IF(Table2[[#This Row],[Currency]]=$O$2,$P$2,HLOOKUP(Table2[[#This Row],[Date]],Funds!$C$10:$GV$11,2,FALSE)))</f>
        <v/>
      </c>
      <c r="J3730" s="215" t="str">
        <f>IF(Table2[[#This Row],[Description]]="","",Table2[[#This Row],[Value]]/Table2[[#This Row],[Conversion]])</f>
        <v/>
      </c>
      <c r="K3730" s="45" t="str">
        <f>IF(Table2[[#This Row],[Description]]="","",DATE(Table2[[#This Row],[Year]],Table2[[#This Row],[Month]],1))</f>
        <v/>
      </c>
    </row>
    <row r="3731" spans="7:11" x14ac:dyDescent="0.25">
      <c r="G3731" s="1" t="str">
        <f>IF(Table2[[#This Row],[Description]]="","",VLOOKUP(Table2[[#This Row],[Description]],$Q$1:$S$101,2,FALSE))</f>
        <v/>
      </c>
      <c r="H3731" s="1" t="str">
        <f>IF(Table2[[#This Row],[Description]]="","",VLOOKUP(Table2[[#This Row],[Description]],$Q$1:$S$101,3,FALSE))</f>
        <v/>
      </c>
      <c r="I3731" s="1" t="str">
        <f>IF(Table2[[#This Row],[Description]]="","",IF(Table2[[#This Row],[Currency]]=$O$2,$P$2,HLOOKUP(Table2[[#This Row],[Date]],Funds!$C$10:$GV$11,2,FALSE)))</f>
        <v/>
      </c>
      <c r="J3731" s="215" t="str">
        <f>IF(Table2[[#This Row],[Description]]="","",Table2[[#This Row],[Value]]/Table2[[#This Row],[Conversion]])</f>
        <v/>
      </c>
      <c r="K3731" s="45" t="str">
        <f>IF(Table2[[#This Row],[Description]]="","",DATE(Table2[[#This Row],[Year]],Table2[[#This Row],[Month]],1))</f>
        <v/>
      </c>
    </row>
    <row r="3732" spans="7:11" x14ac:dyDescent="0.25">
      <c r="G3732" s="1" t="str">
        <f>IF(Table2[[#This Row],[Description]]="","",VLOOKUP(Table2[[#This Row],[Description]],$Q$1:$S$101,2,FALSE))</f>
        <v/>
      </c>
      <c r="H3732" s="1" t="str">
        <f>IF(Table2[[#This Row],[Description]]="","",VLOOKUP(Table2[[#This Row],[Description]],$Q$1:$S$101,3,FALSE))</f>
        <v/>
      </c>
      <c r="I3732" s="1" t="str">
        <f>IF(Table2[[#This Row],[Description]]="","",IF(Table2[[#This Row],[Currency]]=$O$2,$P$2,HLOOKUP(Table2[[#This Row],[Date]],Funds!$C$10:$GV$11,2,FALSE)))</f>
        <v/>
      </c>
      <c r="J3732" s="215" t="str">
        <f>IF(Table2[[#This Row],[Description]]="","",Table2[[#This Row],[Value]]/Table2[[#This Row],[Conversion]])</f>
        <v/>
      </c>
      <c r="K3732" s="45" t="str">
        <f>IF(Table2[[#This Row],[Description]]="","",DATE(Table2[[#This Row],[Year]],Table2[[#This Row],[Month]],1))</f>
        <v/>
      </c>
    </row>
    <row r="3733" spans="7:11" x14ac:dyDescent="0.25">
      <c r="G3733" s="1" t="str">
        <f>IF(Table2[[#This Row],[Description]]="","",VLOOKUP(Table2[[#This Row],[Description]],$Q$1:$S$101,2,FALSE))</f>
        <v/>
      </c>
      <c r="H3733" s="1" t="str">
        <f>IF(Table2[[#This Row],[Description]]="","",VLOOKUP(Table2[[#This Row],[Description]],$Q$1:$S$101,3,FALSE))</f>
        <v/>
      </c>
      <c r="I3733" s="1" t="str">
        <f>IF(Table2[[#This Row],[Description]]="","",IF(Table2[[#This Row],[Currency]]=$O$2,$P$2,HLOOKUP(Table2[[#This Row],[Date]],Funds!$C$10:$GV$11,2,FALSE)))</f>
        <v/>
      </c>
      <c r="J3733" s="215" t="str">
        <f>IF(Table2[[#This Row],[Description]]="","",Table2[[#This Row],[Value]]/Table2[[#This Row],[Conversion]])</f>
        <v/>
      </c>
      <c r="K3733" s="45" t="str">
        <f>IF(Table2[[#This Row],[Description]]="","",DATE(Table2[[#This Row],[Year]],Table2[[#This Row],[Month]],1))</f>
        <v/>
      </c>
    </row>
    <row r="3734" spans="7:11" x14ac:dyDescent="0.25">
      <c r="G3734" s="1" t="str">
        <f>IF(Table2[[#This Row],[Description]]="","",VLOOKUP(Table2[[#This Row],[Description]],$Q$1:$S$101,2,FALSE))</f>
        <v/>
      </c>
      <c r="H3734" s="1" t="str">
        <f>IF(Table2[[#This Row],[Description]]="","",VLOOKUP(Table2[[#This Row],[Description]],$Q$1:$S$101,3,FALSE))</f>
        <v/>
      </c>
      <c r="I3734" s="1" t="str">
        <f>IF(Table2[[#This Row],[Description]]="","",IF(Table2[[#This Row],[Currency]]=$O$2,$P$2,HLOOKUP(Table2[[#This Row],[Date]],Funds!$C$10:$GV$11,2,FALSE)))</f>
        <v/>
      </c>
      <c r="J3734" s="215" t="str">
        <f>IF(Table2[[#This Row],[Description]]="","",Table2[[#This Row],[Value]]/Table2[[#This Row],[Conversion]])</f>
        <v/>
      </c>
      <c r="K3734" s="45" t="str">
        <f>IF(Table2[[#This Row],[Description]]="","",DATE(Table2[[#This Row],[Year]],Table2[[#This Row],[Month]],1))</f>
        <v/>
      </c>
    </row>
    <row r="3735" spans="7:11" x14ac:dyDescent="0.25">
      <c r="G3735" s="1" t="str">
        <f>IF(Table2[[#This Row],[Description]]="","",VLOOKUP(Table2[[#This Row],[Description]],$Q$1:$S$101,2,FALSE))</f>
        <v/>
      </c>
      <c r="H3735" s="1" t="str">
        <f>IF(Table2[[#This Row],[Description]]="","",VLOOKUP(Table2[[#This Row],[Description]],$Q$1:$S$101,3,FALSE))</f>
        <v/>
      </c>
      <c r="I3735" s="1" t="str">
        <f>IF(Table2[[#This Row],[Description]]="","",IF(Table2[[#This Row],[Currency]]=$O$2,$P$2,HLOOKUP(Table2[[#This Row],[Date]],Funds!$C$10:$GV$11,2,FALSE)))</f>
        <v/>
      </c>
      <c r="J3735" s="215" t="str">
        <f>IF(Table2[[#This Row],[Description]]="","",Table2[[#This Row],[Value]]/Table2[[#This Row],[Conversion]])</f>
        <v/>
      </c>
      <c r="K3735" s="45" t="str">
        <f>IF(Table2[[#This Row],[Description]]="","",DATE(Table2[[#This Row],[Year]],Table2[[#This Row],[Month]],1))</f>
        <v/>
      </c>
    </row>
    <row r="3736" spans="7:11" x14ac:dyDescent="0.25">
      <c r="G3736" s="1" t="str">
        <f>IF(Table2[[#This Row],[Description]]="","",VLOOKUP(Table2[[#This Row],[Description]],$Q$1:$S$101,2,FALSE))</f>
        <v/>
      </c>
      <c r="H3736" s="1" t="str">
        <f>IF(Table2[[#This Row],[Description]]="","",VLOOKUP(Table2[[#This Row],[Description]],$Q$1:$S$101,3,FALSE))</f>
        <v/>
      </c>
      <c r="I3736" s="1" t="str">
        <f>IF(Table2[[#This Row],[Description]]="","",IF(Table2[[#This Row],[Currency]]=$O$2,$P$2,HLOOKUP(Table2[[#This Row],[Date]],Funds!$C$10:$GV$11,2,FALSE)))</f>
        <v/>
      </c>
      <c r="J3736" s="215" t="str">
        <f>IF(Table2[[#This Row],[Description]]="","",Table2[[#This Row],[Value]]/Table2[[#This Row],[Conversion]])</f>
        <v/>
      </c>
      <c r="K3736" s="45" t="str">
        <f>IF(Table2[[#This Row],[Description]]="","",DATE(Table2[[#This Row],[Year]],Table2[[#This Row],[Month]],1))</f>
        <v/>
      </c>
    </row>
    <row r="3737" spans="7:11" x14ac:dyDescent="0.25">
      <c r="G3737" s="1" t="str">
        <f>IF(Table2[[#This Row],[Description]]="","",VLOOKUP(Table2[[#This Row],[Description]],$Q$1:$S$101,2,FALSE))</f>
        <v/>
      </c>
      <c r="H3737" s="1" t="str">
        <f>IF(Table2[[#This Row],[Description]]="","",VLOOKUP(Table2[[#This Row],[Description]],$Q$1:$S$101,3,FALSE))</f>
        <v/>
      </c>
      <c r="I3737" s="1" t="str">
        <f>IF(Table2[[#This Row],[Description]]="","",IF(Table2[[#This Row],[Currency]]=$O$2,$P$2,HLOOKUP(Table2[[#This Row],[Date]],Funds!$C$10:$GV$11,2,FALSE)))</f>
        <v/>
      </c>
      <c r="J3737" s="215" t="str">
        <f>IF(Table2[[#This Row],[Description]]="","",Table2[[#This Row],[Value]]/Table2[[#This Row],[Conversion]])</f>
        <v/>
      </c>
      <c r="K3737" s="45" t="str">
        <f>IF(Table2[[#This Row],[Description]]="","",DATE(Table2[[#This Row],[Year]],Table2[[#This Row],[Month]],1))</f>
        <v/>
      </c>
    </row>
    <row r="3738" spans="7:11" x14ac:dyDescent="0.25">
      <c r="G3738" s="1" t="str">
        <f>IF(Table2[[#This Row],[Description]]="","",VLOOKUP(Table2[[#This Row],[Description]],$Q$1:$S$101,2,FALSE))</f>
        <v/>
      </c>
      <c r="H3738" s="1" t="str">
        <f>IF(Table2[[#This Row],[Description]]="","",VLOOKUP(Table2[[#This Row],[Description]],$Q$1:$S$101,3,FALSE))</f>
        <v/>
      </c>
      <c r="I3738" s="1" t="str">
        <f>IF(Table2[[#This Row],[Description]]="","",IF(Table2[[#This Row],[Currency]]=$O$2,$P$2,HLOOKUP(Table2[[#This Row],[Date]],Funds!$C$10:$GV$11,2,FALSE)))</f>
        <v/>
      </c>
      <c r="J3738" s="215" t="str">
        <f>IF(Table2[[#This Row],[Description]]="","",Table2[[#This Row],[Value]]/Table2[[#This Row],[Conversion]])</f>
        <v/>
      </c>
      <c r="K3738" s="45" t="str">
        <f>IF(Table2[[#This Row],[Description]]="","",DATE(Table2[[#This Row],[Year]],Table2[[#This Row],[Month]],1))</f>
        <v/>
      </c>
    </row>
    <row r="3739" spans="7:11" x14ac:dyDescent="0.25">
      <c r="G3739" s="1" t="str">
        <f>IF(Table2[[#This Row],[Description]]="","",VLOOKUP(Table2[[#This Row],[Description]],$Q$1:$S$101,2,FALSE))</f>
        <v/>
      </c>
      <c r="H3739" s="1" t="str">
        <f>IF(Table2[[#This Row],[Description]]="","",VLOOKUP(Table2[[#This Row],[Description]],$Q$1:$S$101,3,FALSE))</f>
        <v/>
      </c>
      <c r="I3739" s="1" t="str">
        <f>IF(Table2[[#This Row],[Description]]="","",IF(Table2[[#This Row],[Currency]]=$O$2,$P$2,HLOOKUP(Table2[[#This Row],[Date]],Funds!$C$10:$GV$11,2,FALSE)))</f>
        <v/>
      </c>
      <c r="J3739" s="215" t="str">
        <f>IF(Table2[[#This Row],[Description]]="","",Table2[[#This Row],[Value]]/Table2[[#This Row],[Conversion]])</f>
        <v/>
      </c>
      <c r="K3739" s="45" t="str">
        <f>IF(Table2[[#This Row],[Description]]="","",DATE(Table2[[#This Row],[Year]],Table2[[#This Row],[Month]],1))</f>
        <v/>
      </c>
    </row>
    <row r="3740" spans="7:11" x14ac:dyDescent="0.25">
      <c r="G3740" s="1" t="str">
        <f>IF(Table2[[#This Row],[Description]]="","",VLOOKUP(Table2[[#This Row],[Description]],$Q$1:$S$101,2,FALSE))</f>
        <v/>
      </c>
      <c r="H3740" s="1" t="str">
        <f>IF(Table2[[#This Row],[Description]]="","",VLOOKUP(Table2[[#This Row],[Description]],$Q$1:$S$101,3,FALSE))</f>
        <v/>
      </c>
      <c r="I3740" s="1" t="str">
        <f>IF(Table2[[#This Row],[Description]]="","",IF(Table2[[#This Row],[Currency]]=$O$2,$P$2,HLOOKUP(Table2[[#This Row],[Date]],Funds!$C$10:$GV$11,2,FALSE)))</f>
        <v/>
      </c>
      <c r="J3740" s="215" t="str">
        <f>IF(Table2[[#This Row],[Description]]="","",Table2[[#This Row],[Value]]/Table2[[#This Row],[Conversion]])</f>
        <v/>
      </c>
      <c r="K3740" s="45" t="str">
        <f>IF(Table2[[#This Row],[Description]]="","",DATE(Table2[[#This Row],[Year]],Table2[[#This Row],[Month]],1))</f>
        <v/>
      </c>
    </row>
    <row r="3741" spans="7:11" x14ac:dyDescent="0.25">
      <c r="G3741" s="1" t="str">
        <f>IF(Table2[[#This Row],[Description]]="","",VLOOKUP(Table2[[#This Row],[Description]],$Q$1:$S$101,2,FALSE))</f>
        <v/>
      </c>
      <c r="H3741" s="1" t="str">
        <f>IF(Table2[[#This Row],[Description]]="","",VLOOKUP(Table2[[#This Row],[Description]],$Q$1:$S$101,3,FALSE))</f>
        <v/>
      </c>
      <c r="I3741" s="1" t="str">
        <f>IF(Table2[[#This Row],[Description]]="","",IF(Table2[[#This Row],[Currency]]=$O$2,$P$2,HLOOKUP(Table2[[#This Row],[Date]],Funds!$C$10:$GV$11,2,FALSE)))</f>
        <v/>
      </c>
      <c r="J3741" s="215" t="str">
        <f>IF(Table2[[#This Row],[Description]]="","",Table2[[#This Row],[Value]]/Table2[[#This Row],[Conversion]])</f>
        <v/>
      </c>
      <c r="K3741" s="45" t="str">
        <f>IF(Table2[[#This Row],[Description]]="","",DATE(Table2[[#This Row],[Year]],Table2[[#This Row],[Month]],1))</f>
        <v/>
      </c>
    </row>
    <row r="3742" spans="7:11" x14ac:dyDescent="0.25">
      <c r="G3742" s="1" t="str">
        <f>IF(Table2[[#This Row],[Description]]="","",VLOOKUP(Table2[[#This Row],[Description]],$Q$1:$S$101,2,FALSE))</f>
        <v/>
      </c>
      <c r="H3742" s="1" t="str">
        <f>IF(Table2[[#This Row],[Description]]="","",VLOOKUP(Table2[[#This Row],[Description]],$Q$1:$S$101,3,FALSE))</f>
        <v/>
      </c>
      <c r="I3742" s="1" t="str">
        <f>IF(Table2[[#This Row],[Description]]="","",IF(Table2[[#This Row],[Currency]]=$O$2,$P$2,HLOOKUP(Table2[[#This Row],[Date]],Funds!$C$10:$GV$11,2,FALSE)))</f>
        <v/>
      </c>
      <c r="J3742" s="215" t="str">
        <f>IF(Table2[[#This Row],[Description]]="","",Table2[[#This Row],[Value]]/Table2[[#This Row],[Conversion]])</f>
        <v/>
      </c>
      <c r="K3742" s="45" t="str">
        <f>IF(Table2[[#This Row],[Description]]="","",DATE(Table2[[#This Row],[Year]],Table2[[#This Row],[Month]],1))</f>
        <v/>
      </c>
    </row>
    <row r="3743" spans="7:11" x14ac:dyDescent="0.25">
      <c r="G3743" s="1" t="str">
        <f>IF(Table2[[#This Row],[Description]]="","",VLOOKUP(Table2[[#This Row],[Description]],$Q$1:$S$101,2,FALSE))</f>
        <v/>
      </c>
      <c r="H3743" s="1" t="str">
        <f>IF(Table2[[#This Row],[Description]]="","",VLOOKUP(Table2[[#This Row],[Description]],$Q$1:$S$101,3,FALSE))</f>
        <v/>
      </c>
      <c r="I3743" s="1" t="str">
        <f>IF(Table2[[#This Row],[Description]]="","",IF(Table2[[#This Row],[Currency]]=$O$2,$P$2,HLOOKUP(Table2[[#This Row],[Date]],Funds!$C$10:$GV$11,2,FALSE)))</f>
        <v/>
      </c>
      <c r="J3743" s="215" t="str">
        <f>IF(Table2[[#This Row],[Description]]="","",Table2[[#This Row],[Value]]/Table2[[#This Row],[Conversion]])</f>
        <v/>
      </c>
      <c r="K3743" s="45" t="str">
        <f>IF(Table2[[#This Row],[Description]]="","",DATE(Table2[[#This Row],[Year]],Table2[[#This Row],[Month]],1))</f>
        <v/>
      </c>
    </row>
    <row r="3744" spans="7:11" x14ac:dyDescent="0.25">
      <c r="G3744" s="1" t="str">
        <f>IF(Table2[[#This Row],[Description]]="","",VLOOKUP(Table2[[#This Row],[Description]],$Q$1:$S$101,2,FALSE))</f>
        <v/>
      </c>
      <c r="H3744" s="1" t="str">
        <f>IF(Table2[[#This Row],[Description]]="","",VLOOKUP(Table2[[#This Row],[Description]],$Q$1:$S$101,3,FALSE))</f>
        <v/>
      </c>
      <c r="I3744" s="1" t="str">
        <f>IF(Table2[[#This Row],[Description]]="","",IF(Table2[[#This Row],[Currency]]=$O$2,$P$2,HLOOKUP(Table2[[#This Row],[Date]],Funds!$C$10:$GV$11,2,FALSE)))</f>
        <v/>
      </c>
      <c r="J3744" s="215" t="str">
        <f>IF(Table2[[#This Row],[Description]]="","",Table2[[#This Row],[Value]]/Table2[[#This Row],[Conversion]])</f>
        <v/>
      </c>
      <c r="K3744" s="45" t="str">
        <f>IF(Table2[[#This Row],[Description]]="","",DATE(Table2[[#This Row],[Year]],Table2[[#This Row],[Month]],1))</f>
        <v/>
      </c>
    </row>
    <row r="3745" spans="7:11" x14ac:dyDescent="0.25">
      <c r="G3745" s="1" t="str">
        <f>IF(Table2[[#This Row],[Description]]="","",VLOOKUP(Table2[[#This Row],[Description]],$Q$1:$S$101,2,FALSE))</f>
        <v/>
      </c>
      <c r="H3745" s="1" t="str">
        <f>IF(Table2[[#This Row],[Description]]="","",VLOOKUP(Table2[[#This Row],[Description]],$Q$1:$S$101,3,FALSE))</f>
        <v/>
      </c>
      <c r="I3745" s="1" t="str">
        <f>IF(Table2[[#This Row],[Description]]="","",IF(Table2[[#This Row],[Currency]]=$O$2,$P$2,HLOOKUP(Table2[[#This Row],[Date]],Funds!$C$10:$GV$11,2,FALSE)))</f>
        <v/>
      </c>
      <c r="J3745" s="215" t="str">
        <f>IF(Table2[[#This Row],[Description]]="","",Table2[[#This Row],[Value]]/Table2[[#This Row],[Conversion]])</f>
        <v/>
      </c>
      <c r="K3745" s="45" t="str">
        <f>IF(Table2[[#This Row],[Description]]="","",DATE(Table2[[#This Row],[Year]],Table2[[#This Row],[Month]],1))</f>
        <v/>
      </c>
    </row>
    <row r="3746" spans="7:11" x14ac:dyDescent="0.25">
      <c r="G3746" s="1" t="str">
        <f>IF(Table2[[#This Row],[Description]]="","",VLOOKUP(Table2[[#This Row],[Description]],$Q$1:$S$101,2,FALSE))</f>
        <v/>
      </c>
      <c r="H3746" s="1" t="str">
        <f>IF(Table2[[#This Row],[Description]]="","",VLOOKUP(Table2[[#This Row],[Description]],$Q$1:$S$101,3,FALSE))</f>
        <v/>
      </c>
      <c r="I3746" s="1" t="str">
        <f>IF(Table2[[#This Row],[Description]]="","",IF(Table2[[#This Row],[Currency]]=$O$2,$P$2,HLOOKUP(Table2[[#This Row],[Date]],Funds!$C$10:$GV$11,2,FALSE)))</f>
        <v/>
      </c>
      <c r="J3746" s="215" t="str">
        <f>IF(Table2[[#This Row],[Description]]="","",Table2[[#This Row],[Value]]/Table2[[#This Row],[Conversion]])</f>
        <v/>
      </c>
      <c r="K3746" s="45" t="str">
        <f>IF(Table2[[#This Row],[Description]]="","",DATE(Table2[[#This Row],[Year]],Table2[[#This Row],[Month]],1))</f>
        <v/>
      </c>
    </row>
    <row r="3747" spans="7:11" x14ac:dyDescent="0.25">
      <c r="G3747" s="1" t="str">
        <f>IF(Table2[[#This Row],[Description]]="","",VLOOKUP(Table2[[#This Row],[Description]],$Q$1:$S$101,2,FALSE))</f>
        <v/>
      </c>
      <c r="H3747" s="1" t="str">
        <f>IF(Table2[[#This Row],[Description]]="","",VLOOKUP(Table2[[#This Row],[Description]],$Q$1:$S$101,3,FALSE))</f>
        <v/>
      </c>
      <c r="I3747" s="1" t="str">
        <f>IF(Table2[[#This Row],[Description]]="","",IF(Table2[[#This Row],[Currency]]=$O$2,$P$2,HLOOKUP(Table2[[#This Row],[Date]],Funds!$C$10:$GV$11,2,FALSE)))</f>
        <v/>
      </c>
      <c r="J3747" s="215" t="str">
        <f>IF(Table2[[#This Row],[Description]]="","",Table2[[#This Row],[Value]]/Table2[[#This Row],[Conversion]])</f>
        <v/>
      </c>
      <c r="K3747" s="45" t="str">
        <f>IF(Table2[[#This Row],[Description]]="","",DATE(Table2[[#This Row],[Year]],Table2[[#This Row],[Month]],1))</f>
        <v/>
      </c>
    </row>
    <row r="3748" spans="7:11" x14ac:dyDescent="0.25">
      <c r="G3748" s="1" t="str">
        <f>IF(Table2[[#This Row],[Description]]="","",VLOOKUP(Table2[[#This Row],[Description]],$Q$1:$S$101,2,FALSE))</f>
        <v/>
      </c>
      <c r="H3748" s="1" t="str">
        <f>IF(Table2[[#This Row],[Description]]="","",VLOOKUP(Table2[[#This Row],[Description]],$Q$1:$S$101,3,FALSE))</f>
        <v/>
      </c>
      <c r="I3748" s="1" t="str">
        <f>IF(Table2[[#This Row],[Description]]="","",IF(Table2[[#This Row],[Currency]]=$O$2,$P$2,HLOOKUP(Table2[[#This Row],[Date]],Funds!$C$10:$GV$11,2,FALSE)))</f>
        <v/>
      </c>
      <c r="J3748" s="215" t="str">
        <f>IF(Table2[[#This Row],[Description]]="","",Table2[[#This Row],[Value]]/Table2[[#This Row],[Conversion]])</f>
        <v/>
      </c>
      <c r="K3748" s="45" t="str">
        <f>IF(Table2[[#This Row],[Description]]="","",DATE(Table2[[#This Row],[Year]],Table2[[#This Row],[Month]],1))</f>
        <v/>
      </c>
    </row>
    <row r="3749" spans="7:11" x14ac:dyDescent="0.25">
      <c r="G3749" s="1" t="str">
        <f>IF(Table2[[#This Row],[Description]]="","",VLOOKUP(Table2[[#This Row],[Description]],$Q$1:$S$101,2,FALSE))</f>
        <v/>
      </c>
      <c r="H3749" s="1" t="str">
        <f>IF(Table2[[#This Row],[Description]]="","",VLOOKUP(Table2[[#This Row],[Description]],$Q$1:$S$101,3,FALSE))</f>
        <v/>
      </c>
      <c r="I3749" s="1" t="str">
        <f>IF(Table2[[#This Row],[Description]]="","",IF(Table2[[#This Row],[Currency]]=$O$2,$P$2,HLOOKUP(Table2[[#This Row],[Date]],Funds!$C$10:$GV$11,2,FALSE)))</f>
        <v/>
      </c>
      <c r="J3749" s="215" t="str">
        <f>IF(Table2[[#This Row],[Description]]="","",Table2[[#This Row],[Value]]/Table2[[#This Row],[Conversion]])</f>
        <v/>
      </c>
      <c r="K3749" s="45" t="str">
        <f>IF(Table2[[#This Row],[Description]]="","",DATE(Table2[[#This Row],[Year]],Table2[[#This Row],[Month]],1))</f>
        <v/>
      </c>
    </row>
    <row r="3750" spans="7:11" x14ac:dyDescent="0.25">
      <c r="G3750" s="1" t="str">
        <f>IF(Table2[[#This Row],[Description]]="","",VLOOKUP(Table2[[#This Row],[Description]],$Q$1:$S$101,2,FALSE))</f>
        <v/>
      </c>
      <c r="H3750" s="1" t="str">
        <f>IF(Table2[[#This Row],[Description]]="","",VLOOKUP(Table2[[#This Row],[Description]],$Q$1:$S$101,3,FALSE))</f>
        <v/>
      </c>
      <c r="I3750" s="1" t="str">
        <f>IF(Table2[[#This Row],[Description]]="","",IF(Table2[[#This Row],[Currency]]=$O$2,$P$2,HLOOKUP(Table2[[#This Row],[Date]],Funds!$C$10:$GV$11,2,FALSE)))</f>
        <v/>
      </c>
      <c r="J3750" s="215" t="str">
        <f>IF(Table2[[#This Row],[Description]]="","",Table2[[#This Row],[Value]]/Table2[[#This Row],[Conversion]])</f>
        <v/>
      </c>
      <c r="K3750" s="45" t="str">
        <f>IF(Table2[[#This Row],[Description]]="","",DATE(Table2[[#This Row],[Year]],Table2[[#This Row],[Month]],1))</f>
        <v/>
      </c>
    </row>
    <row r="3751" spans="7:11" x14ac:dyDescent="0.25">
      <c r="G3751" s="1" t="str">
        <f>IF(Table2[[#This Row],[Description]]="","",VLOOKUP(Table2[[#This Row],[Description]],$Q$1:$S$101,2,FALSE))</f>
        <v/>
      </c>
      <c r="H3751" s="1" t="str">
        <f>IF(Table2[[#This Row],[Description]]="","",VLOOKUP(Table2[[#This Row],[Description]],$Q$1:$S$101,3,FALSE))</f>
        <v/>
      </c>
      <c r="I3751" s="1" t="str">
        <f>IF(Table2[[#This Row],[Description]]="","",IF(Table2[[#This Row],[Currency]]=$O$2,$P$2,HLOOKUP(Table2[[#This Row],[Date]],Funds!$C$10:$GV$11,2,FALSE)))</f>
        <v/>
      </c>
      <c r="J3751" s="215" t="str">
        <f>IF(Table2[[#This Row],[Description]]="","",Table2[[#This Row],[Value]]/Table2[[#This Row],[Conversion]])</f>
        <v/>
      </c>
      <c r="K3751" s="45" t="str">
        <f>IF(Table2[[#This Row],[Description]]="","",DATE(Table2[[#This Row],[Year]],Table2[[#This Row],[Month]],1))</f>
        <v/>
      </c>
    </row>
    <row r="3752" spans="7:11" x14ac:dyDescent="0.25">
      <c r="G3752" s="1" t="str">
        <f>IF(Table2[[#This Row],[Description]]="","",VLOOKUP(Table2[[#This Row],[Description]],$Q$1:$S$101,2,FALSE))</f>
        <v/>
      </c>
      <c r="H3752" s="1" t="str">
        <f>IF(Table2[[#This Row],[Description]]="","",VLOOKUP(Table2[[#This Row],[Description]],$Q$1:$S$101,3,FALSE))</f>
        <v/>
      </c>
      <c r="I3752" s="1" t="str">
        <f>IF(Table2[[#This Row],[Description]]="","",IF(Table2[[#This Row],[Currency]]=$O$2,$P$2,HLOOKUP(Table2[[#This Row],[Date]],Funds!$C$10:$GV$11,2,FALSE)))</f>
        <v/>
      </c>
      <c r="J3752" s="215" t="str">
        <f>IF(Table2[[#This Row],[Description]]="","",Table2[[#This Row],[Value]]/Table2[[#This Row],[Conversion]])</f>
        <v/>
      </c>
      <c r="K3752" s="45" t="str">
        <f>IF(Table2[[#This Row],[Description]]="","",DATE(Table2[[#This Row],[Year]],Table2[[#This Row],[Month]],1))</f>
        <v/>
      </c>
    </row>
    <row r="3753" spans="7:11" x14ac:dyDescent="0.25">
      <c r="G3753" s="1" t="str">
        <f>IF(Table2[[#This Row],[Description]]="","",VLOOKUP(Table2[[#This Row],[Description]],$Q$1:$S$101,2,FALSE))</f>
        <v/>
      </c>
      <c r="H3753" s="1" t="str">
        <f>IF(Table2[[#This Row],[Description]]="","",VLOOKUP(Table2[[#This Row],[Description]],$Q$1:$S$101,3,FALSE))</f>
        <v/>
      </c>
      <c r="I3753" s="1" t="str">
        <f>IF(Table2[[#This Row],[Description]]="","",IF(Table2[[#This Row],[Currency]]=$O$2,$P$2,HLOOKUP(Table2[[#This Row],[Date]],Funds!$C$10:$GV$11,2,FALSE)))</f>
        <v/>
      </c>
      <c r="J3753" s="215" t="str">
        <f>IF(Table2[[#This Row],[Description]]="","",Table2[[#This Row],[Value]]/Table2[[#This Row],[Conversion]])</f>
        <v/>
      </c>
      <c r="K3753" s="45" t="str">
        <f>IF(Table2[[#This Row],[Description]]="","",DATE(Table2[[#This Row],[Year]],Table2[[#This Row],[Month]],1))</f>
        <v/>
      </c>
    </row>
    <row r="3754" spans="7:11" x14ac:dyDescent="0.25">
      <c r="G3754" s="1" t="str">
        <f>IF(Table2[[#This Row],[Description]]="","",VLOOKUP(Table2[[#This Row],[Description]],$Q$1:$S$101,2,FALSE))</f>
        <v/>
      </c>
      <c r="H3754" s="1" t="str">
        <f>IF(Table2[[#This Row],[Description]]="","",VLOOKUP(Table2[[#This Row],[Description]],$Q$1:$S$101,3,FALSE))</f>
        <v/>
      </c>
      <c r="I3754" s="1" t="str">
        <f>IF(Table2[[#This Row],[Description]]="","",IF(Table2[[#This Row],[Currency]]=$O$2,$P$2,HLOOKUP(Table2[[#This Row],[Date]],Funds!$C$10:$GV$11,2,FALSE)))</f>
        <v/>
      </c>
      <c r="J3754" s="215" t="str">
        <f>IF(Table2[[#This Row],[Description]]="","",Table2[[#This Row],[Value]]/Table2[[#This Row],[Conversion]])</f>
        <v/>
      </c>
      <c r="K3754" s="45" t="str">
        <f>IF(Table2[[#This Row],[Description]]="","",DATE(Table2[[#This Row],[Year]],Table2[[#This Row],[Month]],1))</f>
        <v/>
      </c>
    </row>
    <row r="3755" spans="7:11" x14ac:dyDescent="0.25">
      <c r="G3755" s="1" t="str">
        <f>IF(Table2[[#This Row],[Description]]="","",VLOOKUP(Table2[[#This Row],[Description]],$Q$1:$S$101,2,FALSE))</f>
        <v/>
      </c>
      <c r="H3755" s="1" t="str">
        <f>IF(Table2[[#This Row],[Description]]="","",VLOOKUP(Table2[[#This Row],[Description]],$Q$1:$S$101,3,FALSE))</f>
        <v/>
      </c>
      <c r="I3755" s="1" t="str">
        <f>IF(Table2[[#This Row],[Description]]="","",IF(Table2[[#This Row],[Currency]]=$O$2,$P$2,HLOOKUP(Table2[[#This Row],[Date]],Funds!$C$10:$GV$11,2,FALSE)))</f>
        <v/>
      </c>
      <c r="J3755" s="215" t="str">
        <f>IF(Table2[[#This Row],[Description]]="","",Table2[[#This Row],[Value]]/Table2[[#This Row],[Conversion]])</f>
        <v/>
      </c>
      <c r="K3755" s="45" t="str">
        <f>IF(Table2[[#This Row],[Description]]="","",DATE(Table2[[#This Row],[Year]],Table2[[#This Row],[Month]],1))</f>
        <v/>
      </c>
    </row>
    <row r="3756" spans="7:11" x14ac:dyDescent="0.25">
      <c r="G3756" s="1" t="str">
        <f>IF(Table2[[#This Row],[Description]]="","",VLOOKUP(Table2[[#This Row],[Description]],$Q$1:$S$101,2,FALSE))</f>
        <v/>
      </c>
      <c r="H3756" s="1" t="str">
        <f>IF(Table2[[#This Row],[Description]]="","",VLOOKUP(Table2[[#This Row],[Description]],$Q$1:$S$101,3,FALSE))</f>
        <v/>
      </c>
      <c r="I3756" s="1" t="str">
        <f>IF(Table2[[#This Row],[Description]]="","",IF(Table2[[#This Row],[Currency]]=$O$2,$P$2,HLOOKUP(Table2[[#This Row],[Date]],Funds!$C$10:$GV$11,2,FALSE)))</f>
        <v/>
      </c>
      <c r="J3756" s="215" t="str">
        <f>IF(Table2[[#This Row],[Description]]="","",Table2[[#This Row],[Value]]/Table2[[#This Row],[Conversion]])</f>
        <v/>
      </c>
      <c r="K3756" s="45" t="str">
        <f>IF(Table2[[#This Row],[Description]]="","",DATE(Table2[[#This Row],[Year]],Table2[[#This Row],[Month]],1))</f>
        <v/>
      </c>
    </row>
    <row r="3757" spans="7:11" x14ac:dyDescent="0.25">
      <c r="G3757" s="1" t="str">
        <f>IF(Table2[[#This Row],[Description]]="","",VLOOKUP(Table2[[#This Row],[Description]],$Q$1:$S$101,2,FALSE))</f>
        <v/>
      </c>
      <c r="H3757" s="1" t="str">
        <f>IF(Table2[[#This Row],[Description]]="","",VLOOKUP(Table2[[#This Row],[Description]],$Q$1:$S$101,3,FALSE))</f>
        <v/>
      </c>
      <c r="I3757" s="1" t="str">
        <f>IF(Table2[[#This Row],[Description]]="","",IF(Table2[[#This Row],[Currency]]=$O$2,$P$2,HLOOKUP(Table2[[#This Row],[Date]],Funds!$C$10:$GV$11,2,FALSE)))</f>
        <v/>
      </c>
      <c r="J3757" s="215" t="str">
        <f>IF(Table2[[#This Row],[Description]]="","",Table2[[#This Row],[Value]]/Table2[[#This Row],[Conversion]])</f>
        <v/>
      </c>
      <c r="K3757" s="45" t="str">
        <f>IF(Table2[[#This Row],[Description]]="","",DATE(Table2[[#This Row],[Year]],Table2[[#This Row],[Month]],1))</f>
        <v/>
      </c>
    </row>
    <row r="3758" spans="7:11" x14ac:dyDescent="0.25">
      <c r="G3758" s="1" t="str">
        <f>IF(Table2[[#This Row],[Description]]="","",VLOOKUP(Table2[[#This Row],[Description]],$Q$1:$S$101,2,FALSE))</f>
        <v/>
      </c>
      <c r="H3758" s="1" t="str">
        <f>IF(Table2[[#This Row],[Description]]="","",VLOOKUP(Table2[[#This Row],[Description]],$Q$1:$S$101,3,FALSE))</f>
        <v/>
      </c>
      <c r="I3758" s="1" t="str">
        <f>IF(Table2[[#This Row],[Description]]="","",IF(Table2[[#This Row],[Currency]]=$O$2,$P$2,HLOOKUP(Table2[[#This Row],[Date]],Funds!$C$10:$GV$11,2,FALSE)))</f>
        <v/>
      </c>
      <c r="J3758" s="215" t="str">
        <f>IF(Table2[[#This Row],[Description]]="","",Table2[[#This Row],[Value]]/Table2[[#This Row],[Conversion]])</f>
        <v/>
      </c>
      <c r="K3758" s="45" t="str">
        <f>IF(Table2[[#This Row],[Description]]="","",DATE(Table2[[#This Row],[Year]],Table2[[#This Row],[Month]],1))</f>
        <v/>
      </c>
    </row>
    <row r="3759" spans="7:11" x14ac:dyDescent="0.25">
      <c r="G3759" s="1" t="str">
        <f>IF(Table2[[#This Row],[Description]]="","",VLOOKUP(Table2[[#This Row],[Description]],$Q$1:$S$101,2,FALSE))</f>
        <v/>
      </c>
      <c r="H3759" s="1" t="str">
        <f>IF(Table2[[#This Row],[Description]]="","",VLOOKUP(Table2[[#This Row],[Description]],$Q$1:$S$101,3,FALSE))</f>
        <v/>
      </c>
      <c r="I3759" s="1" t="str">
        <f>IF(Table2[[#This Row],[Description]]="","",IF(Table2[[#This Row],[Currency]]=$O$2,$P$2,HLOOKUP(Table2[[#This Row],[Date]],Funds!$C$10:$GV$11,2,FALSE)))</f>
        <v/>
      </c>
      <c r="J3759" s="215" t="str">
        <f>IF(Table2[[#This Row],[Description]]="","",Table2[[#This Row],[Value]]/Table2[[#This Row],[Conversion]])</f>
        <v/>
      </c>
      <c r="K3759" s="45" t="str">
        <f>IF(Table2[[#This Row],[Description]]="","",DATE(Table2[[#This Row],[Year]],Table2[[#This Row],[Month]],1))</f>
        <v/>
      </c>
    </row>
    <row r="3760" spans="7:11" x14ac:dyDescent="0.25">
      <c r="G3760" s="1" t="str">
        <f>IF(Table2[[#This Row],[Description]]="","",VLOOKUP(Table2[[#This Row],[Description]],$Q$1:$S$101,2,FALSE))</f>
        <v/>
      </c>
      <c r="H3760" s="1" t="str">
        <f>IF(Table2[[#This Row],[Description]]="","",VLOOKUP(Table2[[#This Row],[Description]],$Q$1:$S$101,3,FALSE))</f>
        <v/>
      </c>
      <c r="I3760" s="1" t="str">
        <f>IF(Table2[[#This Row],[Description]]="","",IF(Table2[[#This Row],[Currency]]=$O$2,$P$2,HLOOKUP(Table2[[#This Row],[Date]],Funds!$C$10:$GV$11,2,FALSE)))</f>
        <v/>
      </c>
      <c r="J3760" s="215" t="str">
        <f>IF(Table2[[#This Row],[Description]]="","",Table2[[#This Row],[Value]]/Table2[[#This Row],[Conversion]])</f>
        <v/>
      </c>
      <c r="K3760" s="45" t="str">
        <f>IF(Table2[[#This Row],[Description]]="","",DATE(Table2[[#This Row],[Year]],Table2[[#This Row],[Month]],1))</f>
        <v/>
      </c>
    </row>
    <row r="3761" spans="7:11" x14ac:dyDescent="0.25">
      <c r="G3761" s="1" t="str">
        <f>IF(Table2[[#This Row],[Description]]="","",VLOOKUP(Table2[[#This Row],[Description]],$Q$1:$S$101,2,FALSE))</f>
        <v/>
      </c>
      <c r="H3761" s="1" t="str">
        <f>IF(Table2[[#This Row],[Description]]="","",VLOOKUP(Table2[[#This Row],[Description]],$Q$1:$S$101,3,FALSE))</f>
        <v/>
      </c>
      <c r="I3761" s="1" t="str">
        <f>IF(Table2[[#This Row],[Description]]="","",IF(Table2[[#This Row],[Currency]]=$O$2,$P$2,HLOOKUP(Table2[[#This Row],[Date]],Funds!$C$10:$GV$11,2,FALSE)))</f>
        <v/>
      </c>
      <c r="J3761" s="215" t="str">
        <f>IF(Table2[[#This Row],[Description]]="","",Table2[[#This Row],[Value]]/Table2[[#This Row],[Conversion]])</f>
        <v/>
      </c>
      <c r="K3761" s="45" t="str">
        <f>IF(Table2[[#This Row],[Description]]="","",DATE(Table2[[#This Row],[Year]],Table2[[#This Row],[Month]],1))</f>
        <v/>
      </c>
    </row>
    <row r="3762" spans="7:11" x14ac:dyDescent="0.25">
      <c r="G3762" s="1" t="str">
        <f>IF(Table2[[#This Row],[Description]]="","",VLOOKUP(Table2[[#This Row],[Description]],$Q$1:$S$101,2,FALSE))</f>
        <v/>
      </c>
      <c r="H3762" s="1" t="str">
        <f>IF(Table2[[#This Row],[Description]]="","",VLOOKUP(Table2[[#This Row],[Description]],$Q$1:$S$101,3,FALSE))</f>
        <v/>
      </c>
      <c r="I3762" s="1" t="str">
        <f>IF(Table2[[#This Row],[Description]]="","",IF(Table2[[#This Row],[Currency]]=$O$2,$P$2,HLOOKUP(Table2[[#This Row],[Date]],Funds!$C$10:$GV$11,2,FALSE)))</f>
        <v/>
      </c>
      <c r="J3762" s="215" t="str">
        <f>IF(Table2[[#This Row],[Description]]="","",Table2[[#This Row],[Value]]/Table2[[#This Row],[Conversion]])</f>
        <v/>
      </c>
      <c r="K3762" s="45" t="str">
        <f>IF(Table2[[#This Row],[Description]]="","",DATE(Table2[[#This Row],[Year]],Table2[[#This Row],[Month]],1))</f>
        <v/>
      </c>
    </row>
    <row r="3763" spans="7:11" x14ac:dyDescent="0.25">
      <c r="G3763" s="1" t="str">
        <f>IF(Table2[[#This Row],[Description]]="","",VLOOKUP(Table2[[#This Row],[Description]],$Q$1:$S$101,2,FALSE))</f>
        <v/>
      </c>
      <c r="H3763" s="1" t="str">
        <f>IF(Table2[[#This Row],[Description]]="","",VLOOKUP(Table2[[#This Row],[Description]],$Q$1:$S$101,3,FALSE))</f>
        <v/>
      </c>
      <c r="I3763" s="1" t="str">
        <f>IF(Table2[[#This Row],[Description]]="","",IF(Table2[[#This Row],[Currency]]=$O$2,$P$2,HLOOKUP(Table2[[#This Row],[Date]],Funds!$C$10:$GV$11,2,FALSE)))</f>
        <v/>
      </c>
      <c r="J3763" s="215" t="str">
        <f>IF(Table2[[#This Row],[Description]]="","",Table2[[#This Row],[Value]]/Table2[[#This Row],[Conversion]])</f>
        <v/>
      </c>
      <c r="K3763" s="45" t="str">
        <f>IF(Table2[[#This Row],[Description]]="","",DATE(Table2[[#This Row],[Year]],Table2[[#This Row],[Month]],1))</f>
        <v/>
      </c>
    </row>
    <row r="3764" spans="7:11" x14ac:dyDescent="0.25">
      <c r="G3764" s="1" t="str">
        <f>IF(Table2[[#This Row],[Description]]="","",VLOOKUP(Table2[[#This Row],[Description]],$Q$1:$S$101,2,FALSE))</f>
        <v/>
      </c>
      <c r="H3764" s="1" t="str">
        <f>IF(Table2[[#This Row],[Description]]="","",VLOOKUP(Table2[[#This Row],[Description]],$Q$1:$S$101,3,FALSE))</f>
        <v/>
      </c>
      <c r="I3764" s="1" t="str">
        <f>IF(Table2[[#This Row],[Description]]="","",IF(Table2[[#This Row],[Currency]]=$O$2,$P$2,HLOOKUP(Table2[[#This Row],[Date]],Funds!$C$10:$GV$11,2,FALSE)))</f>
        <v/>
      </c>
      <c r="J3764" s="215" t="str">
        <f>IF(Table2[[#This Row],[Description]]="","",Table2[[#This Row],[Value]]/Table2[[#This Row],[Conversion]])</f>
        <v/>
      </c>
      <c r="K3764" s="45" t="str">
        <f>IF(Table2[[#This Row],[Description]]="","",DATE(Table2[[#This Row],[Year]],Table2[[#This Row],[Month]],1))</f>
        <v/>
      </c>
    </row>
    <row r="3765" spans="7:11" x14ac:dyDescent="0.25">
      <c r="G3765" s="1" t="str">
        <f>IF(Table2[[#This Row],[Description]]="","",VLOOKUP(Table2[[#This Row],[Description]],$Q$1:$S$101,2,FALSE))</f>
        <v/>
      </c>
      <c r="H3765" s="1" t="str">
        <f>IF(Table2[[#This Row],[Description]]="","",VLOOKUP(Table2[[#This Row],[Description]],$Q$1:$S$101,3,FALSE))</f>
        <v/>
      </c>
      <c r="I3765" s="1" t="str">
        <f>IF(Table2[[#This Row],[Description]]="","",IF(Table2[[#This Row],[Currency]]=$O$2,$P$2,HLOOKUP(Table2[[#This Row],[Date]],Funds!$C$10:$GV$11,2,FALSE)))</f>
        <v/>
      </c>
      <c r="J3765" s="215" t="str">
        <f>IF(Table2[[#This Row],[Description]]="","",Table2[[#This Row],[Value]]/Table2[[#This Row],[Conversion]])</f>
        <v/>
      </c>
      <c r="K3765" s="45" t="str">
        <f>IF(Table2[[#This Row],[Description]]="","",DATE(Table2[[#This Row],[Year]],Table2[[#This Row],[Month]],1))</f>
        <v/>
      </c>
    </row>
    <row r="3766" spans="7:11" x14ac:dyDescent="0.25">
      <c r="G3766" s="1" t="str">
        <f>IF(Table2[[#This Row],[Description]]="","",VLOOKUP(Table2[[#This Row],[Description]],$Q$1:$S$101,2,FALSE))</f>
        <v/>
      </c>
      <c r="H3766" s="1" t="str">
        <f>IF(Table2[[#This Row],[Description]]="","",VLOOKUP(Table2[[#This Row],[Description]],$Q$1:$S$101,3,FALSE))</f>
        <v/>
      </c>
      <c r="I3766" s="1" t="str">
        <f>IF(Table2[[#This Row],[Description]]="","",IF(Table2[[#This Row],[Currency]]=$O$2,$P$2,HLOOKUP(Table2[[#This Row],[Date]],Funds!$C$10:$GV$11,2,FALSE)))</f>
        <v/>
      </c>
      <c r="J3766" s="215" t="str">
        <f>IF(Table2[[#This Row],[Description]]="","",Table2[[#This Row],[Value]]/Table2[[#This Row],[Conversion]])</f>
        <v/>
      </c>
      <c r="K3766" s="45" t="str">
        <f>IF(Table2[[#This Row],[Description]]="","",DATE(Table2[[#This Row],[Year]],Table2[[#This Row],[Month]],1))</f>
        <v/>
      </c>
    </row>
    <row r="3767" spans="7:11" x14ac:dyDescent="0.25">
      <c r="G3767" s="1" t="str">
        <f>IF(Table2[[#This Row],[Description]]="","",VLOOKUP(Table2[[#This Row],[Description]],$Q$1:$S$101,2,FALSE))</f>
        <v/>
      </c>
      <c r="H3767" s="1" t="str">
        <f>IF(Table2[[#This Row],[Description]]="","",VLOOKUP(Table2[[#This Row],[Description]],$Q$1:$S$101,3,FALSE))</f>
        <v/>
      </c>
      <c r="I3767" s="1" t="str">
        <f>IF(Table2[[#This Row],[Description]]="","",IF(Table2[[#This Row],[Currency]]=$O$2,$P$2,HLOOKUP(Table2[[#This Row],[Date]],Funds!$C$10:$GV$11,2,FALSE)))</f>
        <v/>
      </c>
      <c r="J3767" s="215" t="str">
        <f>IF(Table2[[#This Row],[Description]]="","",Table2[[#This Row],[Value]]/Table2[[#This Row],[Conversion]])</f>
        <v/>
      </c>
      <c r="K3767" s="45" t="str">
        <f>IF(Table2[[#This Row],[Description]]="","",DATE(Table2[[#This Row],[Year]],Table2[[#This Row],[Month]],1))</f>
        <v/>
      </c>
    </row>
    <row r="3768" spans="7:11" x14ac:dyDescent="0.25">
      <c r="G3768" s="1" t="str">
        <f>IF(Table2[[#This Row],[Description]]="","",VLOOKUP(Table2[[#This Row],[Description]],$Q$1:$S$101,2,FALSE))</f>
        <v/>
      </c>
      <c r="H3768" s="1" t="str">
        <f>IF(Table2[[#This Row],[Description]]="","",VLOOKUP(Table2[[#This Row],[Description]],$Q$1:$S$101,3,FALSE))</f>
        <v/>
      </c>
      <c r="I3768" s="1" t="str">
        <f>IF(Table2[[#This Row],[Description]]="","",IF(Table2[[#This Row],[Currency]]=$O$2,$P$2,HLOOKUP(Table2[[#This Row],[Date]],Funds!$C$10:$GV$11,2,FALSE)))</f>
        <v/>
      </c>
      <c r="J3768" s="215" t="str">
        <f>IF(Table2[[#This Row],[Description]]="","",Table2[[#This Row],[Value]]/Table2[[#This Row],[Conversion]])</f>
        <v/>
      </c>
      <c r="K3768" s="45" t="str">
        <f>IF(Table2[[#This Row],[Description]]="","",DATE(Table2[[#This Row],[Year]],Table2[[#This Row],[Month]],1))</f>
        <v/>
      </c>
    </row>
    <row r="3769" spans="7:11" x14ac:dyDescent="0.25">
      <c r="G3769" s="1" t="str">
        <f>IF(Table2[[#This Row],[Description]]="","",VLOOKUP(Table2[[#This Row],[Description]],$Q$1:$S$101,2,FALSE))</f>
        <v/>
      </c>
      <c r="H3769" s="1" t="str">
        <f>IF(Table2[[#This Row],[Description]]="","",VLOOKUP(Table2[[#This Row],[Description]],$Q$1:$S$101,3,FALSE))</f>
        <v/>
      </c>
      <c r="I3769" s="1" t="str">
        <f>IF(Table2[[#This Row],[Description]]="","",IF(Table2[[#This Row],[Currency]]=$O$2,$P$2,HLOOKUP(Table2[[#This Row],[Date]],Funds!$C$10:$GV$11,2,FALSE)))</f>
        <v/>
      </c>
      <c r="J3769" s="215" t="str">
        <f>IF(Table2[[#This Row],[Description]]="","",Table2[[#This Row],[Value]]/Table2[[#This Row],[Conversion]])</f>
        <v/>
      </c>
      <c r="K3769" s="45" t="str">
        <f>IF(Table2[[#This Row],[Description]]="","",DATE(Table2[[#This Row],[Year]],Table2[[#This Row],[Month]],1))</f>
        <v/>
      </c>
    </row>
    <row r="3770" spans="7:11" x14ac:dyDescent="0.25">
      <c r="G3770" s="1" t="str">
        <f>IF(Table2[[#This Row],[Description]]="","",VLOOKUP(Table2[[#This Row],[Description]],$Q$1:$S$101,2,FALSE))</f>
        <v/>
      </c>
      <c r="H3770" s="1" t="str">
        <f>IF(Table2[[#This Row],[Description]]="","",VLOOKUP(Table2[[#This Row],[Description]],$Q$1:$S$101,3,FALSE))</f>
        <v/>
      </c>
      <c r="I3770" s="1" t="str">
        <f>IF(Table2[[#This Row],[Description]]="","",IF(Table2[[#This Row],[Currency]]=$O$2,$P$2,HLOOKUP(Table2[[#This Row],[Date]],Funds!$C$10:$GV$11,2,FALSE)))</f>
        <v/>
      </c>
      <c r="J3770" s="215" t="str">
        <f>IF(Table2[[#This Row],[Description]]="","",Table2[[#This Row],[Value]]/Table2[[#This Row],[Conversion]])</f>
        <v/>
      </c>
      <c r="K3770" s="45" t="str">
        <f>IF(Table2[[#This Row],[Description]]="","",DATE(Table2[[#This Row],[Year]],Table2[[#This Row],[Month]],1))</f>
        <v/>
      </c>
    </row>
    <row r="3771" spans="7:11" x14ac:dyDescent="0.25">
      <c r="G3771" s="1" t="str">
        <f>IF(Table2[[#This Row],[Description]]="","",VLOOKUP(Table2[[#This Row],[Description]],$Q$1:$S$101,2,FALSE))</f>
        <v/>
      </c>
      <c r="H3771" s="1" t="str">
        <f>IF(Table2[[#This Row],[Description]]="","",VLOOKUP(Table2[[#This Row],[Description]],$Q$1:$S$101,3,FALSE))</f>
        <v/>
      </c>
      <c r="I3771" s="1" t="str">
        <f>IF(Table2[[#This Row],[Description]]="","",IF(Table2[[#This Row],[Currency]]=$O$2,$P$2,HLOOKUP(Table2[[#This Row],[Date]],Funds!$C$10:$GV$11,2,FALSE)))</f>
        <v/>
      </c>
      <c r="J3771" s="215" t="str">
        <f>IF(Table2[[#This Row],[Description]]="","",Table2[[#This Row],[Value]]/Table2[[#This Row],[Conversion]])</f>
        <v/>
      </c>
      <c r="K3771" s="45" t="str">
        <f>IF(Table2[[#This Row],[Description]]="","",DATE(Table2[[#This Row],[Year]],Table2[[#This Row],[Month]],1))</f>
        <v/>
      </c>
    </row>
    <row r="3772" spans="7:11" x14ac:dyDescent="0.25">
      <c r="G3772" s="1" t="str">
        <f>IF(Table2[[#This Row],[Description]]="","",VLOOKUP(Table2[[#This Row],[Description]],$Q$1:$S$101,2,FALSE))</f>
        <v/>
      </c>
      <c r="H3772" s="1" t="str">
        <f>IF(Table2[[#This Row],[Description]]="","",VLOOKUP(Table2[[#This Row],[Description]],$Q$1:$S$101,3,FALSE))</f>
        <v/>
      </c>
      <c r="I3772" s="1" t="str">
        <f>IF(Table2[[#This Row],[Description]]="","",IF(Table2[[#This Row],[Currency]]=$O$2,$P$2,HLOOKUP(Table2[[#This Row],[Date]],Funds!$C$10:$GV$11,2,FALSE)))</f>
        <v/>
      </c>
      <c r="J3772" s="215" t="str">
        <f>IF(Table2[[#This Row],[Description]]="","",Table2[[#This Row],[Value]]/Table2[[#This Row],[Conversion]])</f>
        <v/>
      </c>
      <c r="K3772" s="45" t="str">
        <f>IF(Table2[[#This Row],[Description]]="","",DATE(Table2[[#This Row],[Year]],Table2[[#This Row],[Month]],1))</f>
        <v/>
      </c>
    </row>
    <row r="3773" spans="7:11" x14ac:dyDescent="0.25">
      <c r="G3773" s="1" t="str">
        <f>IF(Table2[[#This Row],[Description]]="","",VLOOKUP(Table2[[#This Row],[Description]],$Q$1:$S$101,2,FALSE))</f>
        <v/>
      </c>
      <c r="H3773" s="1" t="str">
        <f>IF(Table2[[#This Row],[Description]]="","",VLOOKUP(Table2[[#This Row],[Description]],$Q$1:$S$101,3,FALSE))</f>
        <v/>
      </c>
      <c r="I3773" s="1" t="str">
        <f>IF(Table2[[#This Row],[Description]]="","",IF(Table2[[#This Row],[Currency]]=$O$2,$P$2,HLOOKUP(Table2[[#This Row],[Date]],Funds!$C$10:$GV$11,2,FALSE)))</f>
        <v/>
      </c>
      <c r="J3773" s="215" t="str">
        <f>IF(Table2[[#This Row],[Description]]="","",Table2[[#This Row],[Value]]/Table2[[#This Row],[Conversion]])</f>
        <v/>
      </c>
      <c r="K3773" s="45" t="str">
        <f>IF(Table2[[#This Row],[Description]]="","",DATE(Table2[[#This Row],[Year]],Table2[[#This Row],[Month]],1))</f>
        <v/>
      </c>
    </row>
    <row r="3774" spans="7:11" x14ac:dyDescent="0.25">
      <c r="G3774" s="1" t="str">
        <f>IF(Table2[[#This Row],[Description]]="","",VLOOKUP(Table2[[#This Row],[Description]],$Q$1:$S$101,2,FALSE))</f>
        <v/>
      </c>
      <c r="H3774" s="1" t="str">
        <f>IF(Table2[[#This Row],[Description]]="","",VLOOKUP(Table2[[#This Row],[Description]],$Q$1:$S$101,3,FALSE))</f>
        <v/>
      </c>
      <c r="I3774" s="1" t="str">
        <f>IF(Table2[[#This Row],[Description]]="","",IF(Table2[[#This Row],[Currency]]=$O$2,$P$2,HLOOKUP(Table2[[#This Row],[Date]],Funds!$C$10:$GV$11,2,FALSE)))</f>
        <v/>
      </c>
      <c r="J3774" s="215" t="str">
        <f>IF(Table2[[#This Row],[Description]]="","",Table2[[#This Row],[Value]]/Table2[[#This Row],[Conversion]])</f>
        <v/>
      </c>
      <c r="K3774" s="45" t="str">
        <f>IF(Table2[[#This Row],[Description]]="","",DATE(Table2[[#This Row],[Year]],Table2[[#This Row],[Month]],1))</f>
        <v/>
      </c>
    </row>
    <row r="3775" spans="7:11" x14ac:dyDescent="0.25">
      <c r="G3775" s="1" t="str">
        <f>IF(Table2[[#This Row],[Description]]="","",VLOOKUP(Table2[[#This Row],[Description]],$Q$1:$S$101,2,FALSE))</f>
        <v/>
      </c>
      <c r="H3775" s="1" t="str">
        <f>IF(Table2[[#This Row],[Description]]="","",VLOOKUP(Table2[[#This Row],[Description]],$Q$1:$S$101,3,FALSE))</f>
        <v/>
      </c>
      <c r="I3775" s="1" t="str">
        <f>IF(Table2[[#This Row],[Description]]="","",IF(Table2[[#This Row],[Currency]]=$O$2,$P$2,HLOOKUP(Table2[[#This Row],[Date]],Funds!$C$10:$GV$11,2,FALSE)))</f>
        <v/>
      </c>
      <c r="J3775" s="215" t="str">
        <f>IF(Table2[[#This Row],[Description]]="","",Table2[[#This Row],[Value]]/Table2[[#This Row],[Conversion]])</f>
        <v/>
      </c>
      <c r="K3775" s="45" t="str">
        <f>IF(Table2[[#This Row],[Description]]="","",DATE(Table2[[#This Row],[Year]],Table2[[#This Row],[Month]],1))</f>
        <v/>
      </c>
    </row>
    <row r="3776" spans="7:11" x14ac:dyDescent="0.25">
      <c r="G3776" s="1" t="str">
        <f>IF(Table2[[#This Row],[Description]]="","",VLOOKUP(Table2[[#This Row],[Description]],$Q$1:$S$101,2,FALSE))</f>
        <v/>
      </c>
      <c r="H3776" s="1" t="str">
        <f>IF(Table2[[#This Row],[Description]]="","",VLOOKUP(Table2[[#This Row],[Description]],$Q$1:$S$101,3,FALSE))</f>
        <v/>
      </c>
      <c r="I3776" s="1" t="str">
        <f>IF(Table2[[#This Row],[Description]]="","",IF(Table2[[#This Row],[Currency]]=$O$2,$P$2,HLOOKUP(Table2[[#This Row],[Date]],Funds!$C$10:$GV$11,2,FALSE)))</f>
        <v/>
      </c>
      <c r="J3776" s="215" t="str">
        <f>IF(Table2[[#This Row],[Description]]="","",Table2[[#This Row],[Value]]/Table2[[#This Row],[Conversion]])</f>
        <v/>
      </c>
      <c r="K3776" s="45" t="str">
        <f>IF(Table2[[#This Row],[Description]]="","",DATE(Table2[[#This Row],[Year]],Table2[[#This Row],[Month]],1))</f>
        <v/>
      </c>
    </row>
    <row r="3777" spans="7:11" x14ac:dyDescent="0.25">
      <c r="G3777" s="1" t="str">
        <f>IF(Table2[[#This Row],[Description]]="","",VLOOKUP(Table2[[#This Row],[Description]],$Q$1:$S$101,2,FALSE))</f>
        <v/>
      </c>
      <c r="H3777" s="1" t="str">
        <f>IF(Table2[[#This Row],[Description]]="","",VLOOKUP(Table2[[#This Row],[Description]],$Q$1:$S$101,3,FALSE))</f>
        <v/>
      </c>
      <c r="I3777" s="1" t="str">
        <f>IF(Table2[[#This Row],[Description]]="","",IF(Table2[[#This Row],[Currency]]=$O$2,$P$2,HLOOKUP(Table2[[#This Row],[Date]],Funds!$C$10:$GV$11,2,FALSE)))</f>
        <v/>
      </c>
      <c r="J3777" s="215" t="str">
        <f>IF(Table2[[#This Row],[Description]]="","",Table2[[#This Row],[Value]]/Table2[[#This Row],[Conversion]])</f>
        <v/>
      </c>
      <c r="K3777" s="45" t="str">
        <f>IF(Table2[[#This Row],[Description]]="","",DATE(Table2[[#This Row],[Year]],Table2[[#This Row],[Month]],1))</f>
        <v/>
      </c>
    </row>
    <row r="3778" spans="7:11" x14ac:dyDescent="0.25">
      <c r="G3778" s="1" t="str">
        <f>IF(Table2[[#This Row],[Description]]="","",VLOOKUP(Table2[[#This Row],[Description]],$Q$1:$S$101,2,FALSE))</f>
        <v/>
      </c>
      <c r="H3778" s="1" t="str">
        <f>IF(Table2[[#This Row],[Description]]="","",VLOOKUP(Table2[[#This Row],[Description]],$Q$1:$S$101,3,FALSE))</f>
        <v/>
      </c>
      <c r="I3778" s="1" t="str">
        <f>IF(Table2[[#This Row],[Description]]="","",IF(Table2[[#This Row],[Currency]]=$O$2,$P$2,HLOOKUP(Table2[[#This Row],[Date]],Funds!$C$10:$GV$11,2,FALSE)))</f>
        <v/>
      </c>
      <c r="J3778" s="215" t="str">
        <f>IF(Table2[[#This Row],[Description]]="","",Table2[[#This Row],[Value]]/Table2[[#This Row],[Conversion]])</f>
        <v/>
      </c>
      <c r="K3778" s="45" t="str">
        <f>IF(Table2[[#This Row],[Description]]="","",DATE(Table2[[#This Row],[Year]],Table2[[#This Row],[Month]],1))</f>
        <v/>
      </c>
    </row>
    <row r="3779" spans="7:11" x14ac:dyDescent="0.25">
      <c r="G3779" s="1" t="str">
        <f>IF(Table2[[#This Row],[Description]]="","",VLOOKUP(Table2[[#This Row],[Description]],$Q$1:$S$101,2,FALSE))</f>
        <v/>
      </c>
      <c r="H3779" s="1" t="str">
        <f>IF(Table2[[#This Row],[Description]]="","",VLOOKUP(Table2[[#This Row],[Description]],$Q$1:$S$101,3,FALSE))</f>
        <v/>
      </c>
      <c r="I3779" s="1" t="str">
        <f>IF(Table2[[#This Row],[Description]]="","",IF(Table2[[#This Row],[Currency]]=$O$2,$P$2,HLOOKUP(Table2[[#This Row],[Date]],Funds!$C$10:$GV$11,2,FALSE)))</f>
        <v/>
      </c>
      <c r="J3779" s="215" t="str">
        <f>IF(Table2[[#This Row],[Description]]="","",Table2[[#This Row],[Value]]/Table2[[#This Row],[Conversion]])</f>
        <v/>
      </c>
      <c r="K3779" s="45" t="str">
        <f>IF(Table2[[#This Row],[Description]]="","",DATE(Table2[[#This Row],[Year]],Table2[[#This Row],[Month]],1))</f>
        <v/>
      </c>
    </row>
    <row r="3780" spans="7:11" x14ac:dyDescent="0.25">
      <c r="G3780" s="1" t="str">
        <f>IF(Table2[[#This Row],[Description]]="","",VLOOKUP(Table2[[#This Row],[Description]],$Q$1:$S$101,2,FALSE))</f>
        <v/>
      </c>
      <c r="H3780" s="1" t="str">
        <f>IF(Table2[[#This Row],[Description]]="","",VLOOKUP(Table2[[#This Row],[Description]],$Q$1:$S$101,3,FALSE))</f>
        <v/>
      </c>
      <c r="I3780" s="1" t="str">
        <f>IF(Table2[[#This Row],[Description]]="","",IF(Table2[[#This Row],[Currency]]=$O$2,$P$2,HLOOKUP(Table2[[#This Row],[Date]],Funds!$C$10:$GV$11,2,FALSE)))</f>
        <v/>
      </c>
      <c r="J3780" s="215" t="str">
        <f>IF(Table2[[#This Row],[Description]]="","",Table2[[#This Row],[Value]]/Table2[[#This Row],[Conversion]])</f>
        <v/>
      </c>
      <c r="K3780" s="45" t="str">
        <f>IF(Table2[[#This Row],[Description]]="","",DATE(Table2[[#This Row],[Year]],Table2[[#This Row],[Month]],1))</f>
        <v/>
      </c>
    </row>
    <row r="3781" spans="7:11" x14ac:dyDescent="0.25">
      <c r="G3781" s="1" t="str">
        <f>IF(Table2[[#This Row],[Description]]="","",VLOOKUP(Table2[[#This Row],[Description]],$Q$1:$S$101,2,FALSE))</f>
        <v/>
      </c>
      <c r="H3781" s="1" t="str">
        <f>IF(Table2[[#This Row],[Description]]="","",VLOOKUP(Table2[[#This Row],[Description]],$Q$1:$S$101,3,FALSE))</f>
        <v/>
      </c>
      <c r="I3781" s="1" t="str">
        <f>IF(Table2[[#This Row],[Description]]="","",IF(Table2[[#This Row],[Currency]]=$O$2,$P$2,HLOOKUP(Table2[[#This Row],[Date]],Funds!$C$10:$GV$11,2,FALSE)))</f>
        <v/>
      </c>
      <c r="J3781" s="215" t="str">
        <f>IF(Table2[[#This Row],[Description]]="","",Table2[[#This Row],[Value]]/Table2[[#This Row],[Conversion]])</f>
        <v/>
      </c>
      <c r="K3781" s="45" t="str">
        <f>IF(Table2[[#This Row],[Description]]="","",DATE(Table2[[#This Row],[Year]],Table2[[#This Row],[Month]],1))</f>
        <v/>
      </c>
    </row>
    <row r="3782" spans="7:11" x14ac:dyDescent="0.25">
      <c r="G3782" s="1" t="str">
        <f>IF(Table2[[#This Row],[Description]]="","",VLOOKUP(Table2[[#This Row],[Description]],$Q$1:$S$101,2,FALSE))</f>
        <v/>
      </c>
      <c r="H3782" s="1" t="str">
        <f>IF(Table2[[#This Row],[Description]]="","",VLOOKUP(Table2[[#This Row],[Description]],$Q$1:$S$101,3,FALSE))</f>
        <v/>
      </c>
      <c r="I3782" s="1" t="str">
        <f>IF(Table2[[#This Row],[Description]]="","",IF(Table2[[#This Row],[Currency]]=$O$2,$P$2,HLOOKUP(Table2[[#This Row],[Date]],Funds!$C$10:$GV$11,2,FALSE)))</f>
        <v/>
      </c>
      <c r="J3782" s="215" t="str">
        <f>IF(Table2[[#This Row],[Description]]="","",Table2[[#This Row],[Value]]/Table2[[#This Row],[Conversion]])</f>
        <v/>
      </c>
      <c r="K3782" s="45" t="str">
        <f>IF(Table2[[#This Row],[Description]]="","",DATE(Table2[[#This Row],[Year]],Table2[[#This Row],[Month]],1))</f>
        <v/>
      </c>
    </row>
    <row r="3783" spans="7:11" x14ac:dyDescent="0.25">
      <c r="G3783" s="1" t="str">
        <f>IF(Table2[[#This Row],[Description]]="","",VLOOKUP(Table2[[#This Row],[Description]],$Q$1:$S$101,2,FALSE))</f>
        <v/>
      </c>
      <c r="H3783" s="1" t="str">
        <f>IF(Table2[[#This Row],[Description]]="","",VLOOKUP(Table2[[#This Row],[Description]],$Q$1:$S$101,3,FALSE))</f>
        <v/>
      </c>
      <c r="I3783" s="1" t="str">
        <f>IF(Table2[[#This Row],[Description]]="","",IF(Table2[[#This Row],[Currency]]=$O$2,$P$2,HLOOKUP(Table2[[#This Row],[Date]],Funds!$C$10:$GV$11,2,FALSE)))</f>
        <v/>
      </c>
      <c r="J3783" s="215" t="str">
        <f>IF(Table2[[#This Row],[Description]]="","",Table2[[#This Row],[Value]]/Table2[[#This Row],[Conversion]])</f>
        <v/>
      </c>
      <c r="K3783" s="45" t="str">
        <f>IF(Table2[[#This Row],[Description]]="","",DATE(Table2[[#This Row],[Year]],Table2[[#This Row],[Month]],1))</f>
        <v/>
      </c>
    </row>
    <row r="3784" spans="7:11" x14ac:dyDescent="0.25">
      <c r="G3784" s="1" t="str">
        <f>IF(Table2[[#This Row],[Description]]="","",VLOOKUP(Table2[[#This Row],[Description]],$Q$1:$S$101,2,FALSE))</f>
        <v/>
      </c>
      <c r="H3784" s="1" t="str">
        <f>IF(Table2[[#This Row],[Description]]="","",VLOOKUP(Table2[[#This Row],[Description]],$Q$1:$S$101,3,FALSE))</f>
        <v/>
      </c>
      <c r="I3784" s="1" t="str">
        <f>IF(Table2[[#This Row],[Description]]="","",IF(Table2[[#This Row],[Currency]]=$O$2,$P$2,HLOOKUP(Table2[[#This Row],[Date]],Funds!$C$10:$GV$11,2,FALSE)))</f>
        <v/>
      </c>
      <c r="J3784" s="215" t="str">
        <f>IF(Table2[[#This Row],[Description]]="","",Table2[[#This Row],[Value]]/Table2[[#This Row],[Conversion]])</f>
        <v/>
      </c>
      <c r="K3784" s="45" t="str">
        <f>IF(Table2[[#This Row],[Description]]="","",DATE(Table2[[#This Row],[Year]],Table2[[#This Row],[Month]],1))</f>
        <v/>
      </c>
    </row>
    <row r="3785" spans="7:11" x14ac:dyDescent="0.25">
      <c r="G3785" s="1" t="str">
        <f>IF(Table2[[#This Row],[Description]]="","",VLOOKUP(Table2[[#This Row],[Description]],$Q$1:$S$101,2,FALSE))</f>
        <v/>
      </c>
      <c r="H3785" s="1" t="str">
        <f>IF(Table2[[#This Row],[Description]]="","",VLOOKUP(Table2[[#This Row],[Description]],$Q$1:$S$101,3,FALSE))</f>
        <v/>
      </c>
      <c r="I3785" s="1" t="str">
        <f>IF(Table2[[#This Row],[Description]]="","",IF(Table2[[#This Row],[Currency]]=$O$2,$P$2,HLOOKUP(Table2[[#This Row],[Date]],Funds!$C$10:$GV$11,2,FALSE)))</f>
        <v/>
      </c>
      <c r="J3785" s="215" t="str">
        <f>IF(Table2[[#This Row],[Description]]="","",Table2[[#This Row],[Value]]/Table2[[#This Row],[Conversion]])</f>
        <v/>
      </c>
      <c r="K3785" s="45" t="str">
        <f>IF(Table2[[#This Row],[Description]]="","",DATE(Table2[[#This Row],[Year]],Table2[[#This Row],[Month]],1))</f>
        <v/>
      </c>
    </row>
    <row r="3786" spans="7:11" x14ac:dyDescent="0.25">
      <c r="G3786" s="1" t="str">
        <f>IF(Table2[[#This Row],[Description]]="","",VLOOKUP(Table2[[#This Row],[Description]],$Q$1:$S$101,2,FALSE))</f>
        <v/>
      </c>
      <c r="H3786" s="1" t="str">
        <f>IF(Table2[[#This Row],[Description]]="","",VLOOKUP(Table2[[#This Row],[Description]],$Q$1:$S$101,3,FALSE))</f>
        <v/>
      </c>
      <c r="I3786" s="1" t="str">
        <f>IF(Table2[[#This Row],[Description]]="","",IF(Table2[[#This Row],[Currency]]=$O$2,$P$2,HLOOKUP(Table2[[#This Row],[Date]],Funds!$C$10:$GV$11,2,FALSE)))</f>
        <v/>
      </c>
      <c r="J3786" s="215" t="str">
        <f>IF(Table2[[#This Row],[Description]]="","",Table2[[#This Row],[Value]]/Table2[[#This Row],[Conversion]])</f>
        <v/>
      </c>
      <c r="K3786" s="45" t="str">
        <f>IF(Table2[[#This Row],[Description]]="","",DATE(Table2[[#This Row],[Year]],Table2[[#This Row],[Month]],1))</f>
        <v/>
      </c>
    </row>
    <row r="3787" spans="7:11" x14ac:dyDescent="0.25">
      <c r="G3787" s="1" t="str">
        <f>IF(Table2[[#This Row],[Description]]="","",VLOOKUP(Table2[[#This Row],[Description]],$Q$1:$S$101,2,FALSE))</f>
        <v/>
      </c>
      <c r="H3787" s="1" t="str">
        <f>IF(Table2[[#This Row],[Description]]="","",VLOOKUP(Table2[[#This Row],[Description]],$Q$1:$S$101,3,FALSE))</f>
        <v/>
      </c>
      <c r="I3787" s="1" t="str">
        <f>IF(Table2[[#This Row],[Description]]="","",IF(Table2[[#This Row],[Currency]]=$O$2,$P$2,HLOOKUP(Table2[[#This Row],[Date]],Funds!$C$10:$GV$11,2,FALSE)))</f>
        <v/>
      </c>
      <c r="J3787" s="215" t="str">
        <f>IF(Table2[[#This Row],[Description]]="","",Table2[[#This Row],[Value]]/Table2[[#This Row],[Conversion]])</f>
        <v/>
      </c>
      <c r="K3787" s="45" t="str">
        <f>IF(Table2[[#This Row],[Description]]="","",DATE(Table2[[#This Row],[Year]],Table2[[#This Row],[Month]],1))</f>
        <v/>
      </c>
    </row>
    <row r="3788" spans="7:11" x14ac:dyDescent="0.25">
      <c r="G3788" s="1" t="str">
        <f>IF(Table2[[#This Row],[Description]]="","",VLOOKUP(Table2[[#This Row],[Description]],$Q$1:$S$101,2,FALSE))</f>
        <v/>
      </c>
      <c r="H3788" s="1" t="str">
        <f>IF(Table2[[#This Row],[Description]]="","",VLOOKUP(Table2[[#This Row],[Description]],$Q$1:$S$101,3,FALSE))</f>
        <v/>
      </c>
      <c r="I3788" s="1" t="str">
        <f>IF(Table2[[#This Row],[Description]]="","",IF(Table2[[#This Row],[Currency]]=$O$2,$P$2,HLOOKUP(Table2[[#This Row],[Date]],Funds!$C$10:$GV$11,2,FALSE)))</f>
        <v/>
      </c>
      <c r="J3788" s="215" t="str">
        <f>IF(Table2[[#This Row],[Description]]="","",Table2[[#This Row],[Value]]/Table2[[#This Row],[Conversion]])</f>
        <v/>
      </c>
      <c r="K3788" s="45" t="str">
        <f>IF(Table2[[#This Row],[Description]]="","",DATE(Table2[[#This Row],[Year]],Table2[[#This Row],[Month]],1))</f>
        <v/>
      </c>
    </row>
    <row r="3789" spans="7:11" x14ac:dyDescent="0.25">
      <c r="G3789" s="1" t="str">
        <f>IF(Table2[[#This Row],[Description]]="","",VLOOKUP(Table2[[#This Row],[Description]],$Q$1:$S$101,2,FALSE))</f>
        <v/>
      </c>
      <c r="H3789" s="1" t="str">
        <f>IF(Table2[[#This Row],[Description]]="","",VLOOKUP(Table2[[#This Row],[Description]],$Q$1:$S$101,3,FALSE))</f>
        <v/>
      </c>
      <c r="I3789" s="1" t="str">
        <f>IF(Table2[[#This Row],[Description]]="","",IF(Table2[[#This Row],[Currency]]=$O$2,$P$2,HLOOKUP(Table2[[#This Row],[Date]],Funds!$C$10:$GV$11,2,FALSE)))</f>
        <v/>
      </c>
      <c r="J3789" s="215" t="str">
        <f>IF(Table2[[#This Row],[Description]]="","",Table2[[#This Row],[Value]]/Table2[[#This Row],[Conversion]])</f>
        <v/>
      </c>
      <c r="K3789" s="45" t="str">
        <f>IF(Table2[[#This Row],[Description]]="","",DATE(Table2[[#This Row],[Year]],Table2[[#This Row],[Month]],1))</f>
        <v/>
      </c>
    </row>
    <row r="3790" spans="7:11" x14ac:dyDescent="0.25">
      <c r="G3790" s="1" t="str">
        <f>IF(Table2[[#This Row],[Description]]="","",VLOOKUP(Table2[[#This Row],[Description]],$Q$1:$S$101,2,FALSE))</f>
        <v/>
      </c>
      <c r="H3790" s="1" t="str">
        <f>IF(Table2[[#This Row],[Description]]="","",VLOOKUP(Table2[[#This Row],[Description]],$Q$1:$S$101,3,FALSE))</f>
        <v/>
      </c>
      <c r="I3790" s="1" t="str">
        <f>IF(Table2[[#This Row],[Description]]="","",IF(Table2[[#This Row],[Currency]]=$O$2,$P$2,HLOOKUP(Table2[[#This Row],[Date]],Funds!$C$10:$GV$11,2,FALSE)))</f>
        <v/>
      </c>
      <c r="J3790" s="215" t="str">
        <f>IF(Table2[[#This Row],[Description]]="","",Table2[[#This Row],[Value]]/Table2[[#This Row],[Conversion]])</f>
        <v/>
      </c>
      <c r="K3790" s="45" t="str">
        <f>IF(Table2[[#This Row],[Description]]="","",DATE(Table2[[#This Row],[Year]],Table2[[#This Row],[Month]],1))</f>
        <v/>
      </c>
    </row>
    <row r="3791" spans="7:11" x14ac:dyDescent="0.25">
      <c r="G3791" s="1" t="str">
        <f>IF(Table2[[#This Row],[Description]]="","",VLOOKUP(Table2[[#This Row],[Description]],$Q$1:$S$101,2,FALSE))</f>
        <v/>
      </c>
      <c r="H3791" s="1" t="str">
        <f>IF(Table2[[#This Row],[Description]]="","",VLOOKUP(Table2[[#This Row],[Description]],$Q$1:$S$101,3,FALSE))</f>
        <v/>
      </c>
      <c r="I3791" s="1" t="str">
        <f>IF(Table2[[#This Row],[Description]]="","",IF(Table2[[#This Row],[Currency]]=$O$2,$P$2,HLOOKUP(Table2[[#This Row],[Date]],Funds!$C$10:$GV$11,2,FALSE)))</f>
        <v/>
      </c>
      <c r="J3791" s="215" t="str">
        <f>IF(Table2[[#This Row],[Description]]="","",Table2[[#This Row],[Value]]/Table2[[#This Row],[Conversion]])</f>
        <v/>
      </c>
      <c r="K3791" s="45" t="str">
        <f>IF(Table2[[#This Row],[Description]]="","",DATE(Table2[[#This Row],[Year]],Table2[[#This Row],[Month]],1))</f>
        <v/>
      </c>
    </row>
    <row r="3792" spans="7:11" x14ac:dyDescent="0.25">
      <c r="G3792" s="1" t="str">
        <f>IF(Table2[[#This Row],[Description]]="","",VLOOKUP(Table2[[#This Row],[Description]],$Q$1:$S$101,2,FALSE))</f>
        <v/>
      </c>
      <c r="H3792" s="1" t="str">
        <f>IF(Table2[[#This Row],[Description]]="","",VLOOKUP(Table2[[#This Row],[Description]],$Q$1:$S$101,3,FALSE))</f>
        <v/>
      </c>
      <c r="I3792" s="1" t="str">
        <f>IF(Table2[[#This Row],[Description]]="","",IF(Table2[[#This Row],[Currency]]=$O$2,$P$2,HLOOKUP(Table2[[#This Row],[Date]],Funds!$C$10:$GV$11,2,FALSE)))</f>
        <v/>
      </c>
      <c r="J3792" s="215" t="str">
        <f>IF(Table2[[#This Row],[Description]]="","",Table2[[#This Row],[Value]]/Table2[[#This Row],[Conversion]])</f>
        <v/>
      </c>
      <c r="K3792" s="45" t="str">
        <f>IF(Table2[[#This Row],[Description]]="","",DATE(Table2[[#This Row],[Year]],Table2[[#This Row],[Month]],1))</f>
        <v/>
      </c>
    </row>
    <row r="3793" spans="7:11" x14ac:dyDescent="0.25">
      <c r="G3793" s="1" t="str">
        <f>IF(Table2[[#This Row],[Description]]="","",VLOOKUP(Table2[[#This Row],[Description]],$Q$1:$S$101,2,FALSE))</f>
        <v/>
      </c>
      <c r="H3793" s="1" t="str">
        <f>IF(Table2[[#This Row],[Description]]="","",VLOOKUP(Table2[[#This Row],[Description]],$Q$1:$S$101,3,FALSE))</f>
        <v/>
      </c>
      <c r="I3793" s="1" t="str">
        <f>IF(Table2[[#This Row],[Description]]="","",IF(Table2[[#This Row],[Currency]]=$O$2,$P$2,HLOOKUP(Table2[[#This Row],[Date]],Funds!$C$10:$GV$11,2,FALSE)))</f>
        <v/>
      </c>
      <c r="J3793" s="215" t="str">
        <f>IF(Table2[[#This Row],[Description]]="","",Table2[[#This Row],[Value]]/Table2[[#This Row],[Conversion]])</f>
        <v/>
      </c>
      <c r="K3793" s="45" t="str">
        <f>IF(Table2[[#This Row],[Description]]="","",DATE(Table2[[#This Row],[Year]],Table2[[#This Row],[Month]],1))</f>
        <v/>
      </c>
    </row>
    <row r="3794" spans="7:11" x14ac:dyDescent="0.25">
      <c r="G3794" s="1" t="str">
        <f>IF(Table2[[#This Row],[Description]]="","",VLOOKUP(Table2[[#This Row],[Description]],$Q$1:$S$101,2,FALSE))</f>
        <v/>
      </c>
      <c r="H3794" s="1" t="str">
        <f>IF(Table2[[#This Row],[Description]]="","",VLOOKUP(Table2[[#This Row],[Description]],$Q$1:$S$101,3,FALSE))</f>
        <v/>
      </c>
      <c r="I3794" s="1" t="str">
        <f>IF(Table2[[#This Row],[Description]]="","",IF(Table2[[#This Row],[Currency]]=$O$2,$P$2,HLOOKUP(Table2[[#This Row],[Date]],Funds!$C$10:$GV$11,2,FALSE)))</f>
        <v/>
      </c>
      <c r="J3794" s="215" t="str">
        <f>IF(Table2[[#This Row],[Description]]="","",Table2[[#This Row],[Value]]/Table2[[#This Row],[Conversion]])</f>
        <v/>
      </c>
      <c r="K3794" s="45" t="str">
        <f>IF(Table2[[#This Row],[Description]]="","",DATE(Table2[[#This Row],[Year]],Table2[[#This Row],[Month]],1))</f>
        <v/>
      </c>
    </row>
    <row r="3795" spans="7:11" x14ac:dyDescent="0.25">
      <c r="G3795" s="1" t="str">
        <f>IF(Table2[[#This Row],[Description]]="","",VLOOKUP(Table2[[#This Row],[Description]],$Q$1:$S$101,2,FALSE))</f>
        <v/>
      </c>
      <c r="H3795" s="1" t="str">
        <f>IF(Table2[[#This Row],[Description]]="","",VLOOKUP(Table2[[#This Row],[Description]],$Q$1:$S$101,3,FALSE))</f>
        <v/>
      </c>
      <c r="I3795" s="1" t="str">
        <f>IF(Table2[[#This Row],[Description]]="","",IF(Table2[[#This Row],[Currency]]=$O$2,$P$2,HLOOKUP(Table2[[#This Row],[Date]],Funds!$C$10:$GV$11,2,FALSE)))</f>
        <v/>
      </c>
      <c r="J3795" s="215" t="str">
        <f>IF(Table2[[#This Row],[Description]]="","",Table2[[#This Row],[Value]]/Table2[[#This Row],[Conversion]])</f>
        <v/>
      </c>
      <c r="K3795" s="45" t="str">
        <f>IF(Table2[[#This Row],[Description]]="","",DATE(Table2[[#This Row],[Year]],Table2[[#This Row],[Month]],1))</f>
        <v/>
      </c>
    </row>
    <row r="3796" spans="7:11" x14ac:dyDescent="0.25">
      <c r="G3796" s="1" t="str">
        <f>IF(Table2[[#This Row],[Description]]="","",VLOOKUP(Table2[[#This Row],[Description]],$Q$1:$S$101,2,FALSE))</f>
        <v/>
      </c>
      <c r="H3796" s="1" t="str">
        <f>IF(Table2[[#This Row],[Description]]="","",VLOOKUP(Table2[[#This Row],[Description]],$Q$1:$S$101,3,FALSE))</f>
        <v/>
      </c>
      <c r="I3796" s="1" t="str">
        <f>IF(Table2[[#This Row],[Description]]="","",IF(Table2[[#This Row],[Currency]]=$O$2,$P$2,HLOOKUP(Table2[[#This Row],[Date]],Funds!$C$10:$GV$11,2,FALSE)))</f>
        <v/>
      </c>
      <c r="J3796" s="215" t="str">
        <f>IF(Table2[[#This Row],[Description]]="","",Table2[[#This Row],[Value]]/Table2[[#This Row],[Conversion]])</f>
        <v/>
      </c>
      <c r="K3796" s="45" t="str">
        <f>IF(Table2[[#This Row],[Description]]="","",DATE(Table2[[#This Row],[Year]],Table2[[#This Row],[Month]],1))</f>
        <v/>
      </c>
    </row>
    <row r="3797" spans="7:11" x14ac:dyDescent="0.25">
      <c r="G3797" s="1" t="str">
        <f>IF(Table2[[#This Row],[Description]]="","",VLOOKUP(Table2[[#This Row],[Description]],$Q$1:$S$101,2,FALSE))</f>
        <v/>
      </c>
      <c r="H3797" s="1" t="str">
        <f>IF(Table2[[#This Row],[Description]]="","",VLOOKUP(Table2[[#This Row],[Description]],$Q$1:$S$101,3,FALSE))</f>
        <v/>
      </c>
      <c r="I3797" s="1" t="str">
        <f>IF(Table2[[#This Row],[Description]]="","",IF(Table2[[#This Row],[Currency]]=$O$2,$P$2,HLOOKUP(Table2[[#This Row],[Date]],Funds!$C$10:$GV$11,2,FALSE)))</f>
        <v/>
      </c>
      <c r="J3797" s="215" t="str">
        <f>IF(Table2[[#This Row],[Description]]="","",Table2[[#This Row],[Value]]/Table2[[#This Row],[Conversion]])</f>
        <v/>
      </c>
      <c r="K3797" s="45" t="str">
        <f>IF(Table2[[#This Row],[Description]]="","",DATE(Table2[[#This Row],[Year]],Table2[[#This Row],[Month]],1))</f>
        <v/>
      </c>
    </row>
    <row r="3798" spans="7:11" x14ac:dyDescent="0.25">
      <c r="G3798" s="1" t="str">
        <f>IF(Table2[[#This Row],[Description]]="","",VLOOKUP(Table2[[#This Row],[Description]],$Q$1:$S$101,2,FALSE))</f>
        <v/>
      </c>
      <c r="H3798" s="1" t="str">
        <f>IF(Table2[[#This Row],[Description]]="","",VLOOKUP(Table2[[#This Row],[Description]],$Q$1:$S$101,3,FALSE))</f>
        <v/>
      </c>
      <c r="I3798" s="1" t="str">
        <f>IF(Table2[[#This Row],[Description]]="","",IF(Table2[[#This Row],[Currency]]=$O$2,$P$2,HLOOKUP(Table2[[#This Row],[Date]],Funds!$C$10:$GV$11,2,FALSE)))</f>
        <v/>
      </c>
      <c r="J3798" s="215" t="str">
        <f>IF(Table2[[#This Row],[Description]]="","",Table2[[#This Row],[Value]]/Table2[[#This Row],[Conversion]])</f>
        <v/>
      </c>
      <c r="K3798" s="45" t="str">
        <f>IF(Table2[[#This Row],[Description]]="","",DATE(Table2[[#This Row],[Year]],Table2[[#This Row],[Month]],1))</f>
        <v/>
      </c>
    </row>
    <row r="3799" spans="7:11" x14ac:dyDescent="0.25">
      <c r="G3799" s="1" t="str">
        <f>IF(Table2[[#This Row],[Description]]="","",VLOOKUP(Table2[[#This Row],[Description]],$Q$1:$S$101,2,FALSE))</f>
        <v/>
      </c>
      <c r="H3799" s="1" t="str">
        <f>IF(Table2[[#This Row],[Description]]="","",VLOOKUP(Table2[[#This Row],[Description]],$Q$1:$S$101,3,FALSE))</f>
        <v/>
      </c>
      <c r="I3799" s="1" t="str">
        <f>IF(Table2[[#This Row],[Description]]="","",IF(Table2[[#This Row],[Currency]]=$O$2,$P$2,HLOOKUP(Table2[[#This Row],[Date]],Funds!$C$10:$GV$11,2,FALSE)))</f>
        <v/>
      </c>
      <c r="J3799" s="215" t="str">
        <f>IF(Table2[[#This Row],[Description]]="","",Table2[[#This Row],[Value]]/Table2[[#This Row],[Conversion]])</f>
        <v/>
      </c>
      <c r="K3799" s="45" t="str">
        <f>IF(Table2[[#This Row],[Description]]="","",DATE(Table2[[#This Row],[Year]],Table2[[#This Row],[Month]],1))</f>
        <v/>
      </c>
    </row>
    <row r="3800" spans="7:11" x14ac:dyDescent="0.25">
      <c r="G3800" s="1" t="str">
        <f>IF(Table2[[#This Row],[Description]]="","",VLOOKUP(Table2[[#This Row],[Description]],$Q$1:$S$101,2,FALSE))</f>
        <v/>
      </c>
      <c r="H3800" s="1" t="str">
        <f>IF(Table2[[#This Row],[Description]]="","",VLOOKUP(Table2[[#This Row],[Description]],$Q$1:$S$101,3,FALSE))</f>
        <v/>
      </c>
      <c r="I3800" s="1" t="str">
        <f>IF(Table2[[#This Row],[Description]]="","",IF(Table2[[#This Row],[Currency]]=$O$2,$P$2,HLOOKUP(Table2[[#This Row],[Date]],Funds!$C$10:$GV$11,2,FALSE)))</f>
        <v/>
      </c>
      <c r="J3800" s="215" t="str">
        <f>IF(Table2[[#This Row],[Description]]="","",Table2[[#This Row],[Value]]/Table2[[#This Row],[Conversion]])</f>
        <v/>
      </c>
      <c r="K3800" s="45" t="str">
        <f>IF(Table2[[#This Row],[Description]]="","",DATE(Table2[[#This Row],[Year]],Table2[[#This Row],[Month]],1))</f>
        <v/>
      </c>
    </row>
    <row r="3801" spans="7:11" x14ac:dyDescent="0.25">
      <c r="G3801" s="1" t="str">
        <f>IF(Table2[[#This Row],[Description]]="","",VLOOKUP(Table2[[#This Row],[Description]],$Q$1:$S$101,2,FALSE))</f>
        <v/>
      </c>
      <c r="H3801" s="1" t="str">
        <f>IF(Table2[[#This Row],[Description]]="","",VLOOKUP(Table2[[#This Row],[Description]],$Q$1:$S$101,3,FALSE))</f>
        <v/>
      </c>
      <c r="I3801" s="1" t="str">
        <f>IF(Table2[[#This Row],[Description]]="","",IF(Table2[[#This Row],[Currency]]=$O$2,$P$2,HLOOKUP(Table2[[#This Row],[Date]],Funds!$C$10:$GV$11,2,FALSE)))</f>
        <v/>
      </c>
      <c r="J3801" s="215" t="str">
        <f>IF(Table2[[#This Row],[Description]]="","",Table2[[#This Row],[Value]]/Table2[[#This Row],[Conversion]])</f>
        <v/>
      </c>
      <c r="K3801" s="45" t="str">
        <f>IF(Table2[[#This Row],[Description]]="","",DATE(Table2[[#This Row],[Year]],Table2[[#This Row],[Month]],1))</f>
        <v/>
      </c>
    </row>
    <row r="3802" spans="7:11" x14ac:dyDescent="0.25">
      <c r="G3802" s="1" t="str">
        <f>IF(Table2[[#This Row],[Description]]="","",VLOOKUP(Table2[[#This Row],[Description]],$Q$1:$S$101,2,FALSE))</f>
        <v/>
      </c>
      <c r="H3802" s="1" t="str">
        <f>IF(Table2[[#This Row],[Description]]="","",VLOOKUP(Table2[[#This Row],[Description]],$Q$1:$S$101,3,FALSE))</f>
        <v/>
      </c>
      <c r="I3802" s="1" t="str">
        <f>IF(Table2[[#This Row],[Description]]="","",IF(Table2[[#This Row],[Currency]]=$O$2,$P$2,HLOOKUP(Table2[[#This Row],[Date]],Funds!$C$10:$GV$11,2,FALSE)))</f>
        <v/>
      </c>
      <c r="J3802" s="215" t="str">
        <f>IF(Table2[[#This Row],[Description]]="","",Table2[[#This Row],[Value]]/Table2[[#This Row],[Conversion]])</f>
        <v/>
      </c>
      <c r="K3802" s="45" t="str">
        <f>IF(Table2[[#This Row],[Description]]="","",DATE(Table2[[#This Row],[Year]],Table2[[#This Row],[Month]],1))</f>
        <v/>
      </c>
    </row>
    <row r="3803" spans="7:11" x14ac:dyDescent="0.25">
      <c r="G3803" s="1" t="str">
        <f>IF(Table2[[#This Row],[Description]]="","",VLOOKUP(Table2[[#This Row],[Description]],$Q$1:$S$101,2,FALSE))</f>
        <v/>
      </c>
      <c r="H3803" s="1" t="str">
        <f>IF(Table2[[#This Row],[Description]]="","",VLOOKUP(Table2[[#This Row],[Description]],$Q$1:$S$101,3,FALSE))</f>
        <v/>
      </c>
      <c r="I3803" s="1" t="str">
        <f>IF(Table2[[#This Row],[Description]]="","",IF(Table2[[#This Row],[Currency]]=$O$2,$P$2,HLOOKUP(Table2[[#This Row],[Date]],Funds!$C$10:$GV$11,2,FALSE)))</f>
        <v/>
      </c>
      <c r="J3803" s="215" t="str">
        <f>IF(Table2[[#This Row],[Description]]="","",Table2[[#This Row],[Value]]/Table2[[#This Row],[Conversion]])</f>
        <v/>
      </c>
      <c r="K3803" s="45" t="str">
        <f>IF(Table2[[#This Row],[Description]]="","",DATE(Table2[[#This Row],[Year]],Table2[[#This Row],[Month]],1))</f>
        <v/>
      </c>
    </row>
    <row r="3804" spans="7:11" x14ac:dyDescent="0.25">
      <c r="G3804" s="1" t="str">
        <f>IF(Table2[[#This Row],[Description]]="","",VLOOKUP(Table2[[#This Row],[Description]],$Q$1:$S$101,2,FALSE))</f>
        <v/>
      </c>
      <c r="H3804" s="1" t="str">
        <f>IF(Table2[[#This Row],[Description]]="","",VLOOKUP(Table2[[#This Row],[Description]],$Q$1:$S$101,3,FALSE))</f>
        <v/>
      </c>
      <c r="I3804" s="1" t="str">
        <f>IF(Table2[[#This Row],[Description]]="","",IF(Table2[[#This Row],[Currency]]=$O$2,$P$2,HLOOKUP(Table2[[#This Row],[Date]],Funds!$C$10:$GV$11,2,FALSE)))</f>
        <v/>
      </c>
      <c r="J3804" s="215" t="str">
        <f>IF(Table2[[#This Row],[Description]]="","",Table2[[#This Row],[Value]]/Table2[[#This Row],[Conversion]])</f>
        <v/>
      </c>
      <c r="K3804" s="45" t="str">
        <f>IF(Table2[[#This Row],[Description]]="","",DATE(Table2[[#This Row],[Year]],Table2[[#This Row],[Month]],1))</f>
        <v/>
      </c>
    </row>
    <row r="3805" spans="7:11" x14ac:dyDescent="0.25">
      <c r="G3805" s="1" t="str">
        <f>IF(Table2[[#This Row],[Description]]="","",VLOOKUP(Table2[[#This Row],[Description]],$Q$1:$S$101,2,FALSE))</f>
        <v/>
      </c>
      <c r="H3805" s="1" t="str">
        <f>IF(Table2[[#This Row],[Description]]="","",VLOOKUP(Table2[[#This Row],[Description]],$Q$1:$S$101,3,FALSE))</f>
        <v/>
      </c>
      <c r="I3805" s="1" t="str">
        <f>IF(Table2[[#This Row],[Description]]="","",IF(Table2[[#This Row],[Currency]]=$O$2,$P$2,HLOOKUP(Table2[[#This Row],[Date]],Funds!$C$10:$GV$11,2,FALSE)))</f>
        <v/>
      </c>
      <c r="J3805" s="215" t="str">
        <f>IF(Table2[[#This Row],[Description]]="","",Table2[[#This Row],[Value]]/Table2[[#This Row],[Conversion]])</f>
        <v/>
      </c>
      <c r="K3805" s="45" t="str">
        <f>IF(Table2[[#This Row],[Description]]="","",DATE(Table2[[#This Row],[Year]],Table2[[#This Row],[Month]],1))</f>
        <v/>
      </c>
    </row>
    <row r="3806" spans="7:11" x14ac:dyDescent="0.25">
      <c r="G3806" s="1" t="str">
        <f>IF(Table2[[#This Row],[Description]]="","",VLOOKUP(Table2[[#This Row],[Description]],$Q$1:$S$101,2,FALSE))</f>
        <v/>
      </c>
      <c r="H3806" s="1" t="str">
        <f>IF(Table2[[#This Row],[Description]]="","",VLOOKUP(Table2[[#This Row],[Description]],$Q$1:$S$101,3,FALSE))</f>
        <v/>
      </c>
      <c r="I3806" s="1" t="str">
        <f>IF(Table2[[#This Row],[Description]]="","",IF(Table2[[#This Row],[Currency]]=$O$2,$P$2,HLOOKUP(Table2[[#This Row],[Date]],Funds!$C$10:$GV$11,2,FALSE)))</f>
        <v/>
      </c>
      <c r="J3806" s="215" t="str">
        <f>IF(Table2[[#This Row],[Description]]="","",Table2[[#This Row],[Value]]/Table2[[#This Row],[Conversion]])</f>
        <v/>
      </c>
      <c r="K3806" s="45" t="str">
        <f>IF(Table2[[#This Row],[Description]]="","",DATE(Table2[[#This Row],[Year]],Table2[[#This Row],[Month]],1))</f>
        <v/>
      </c>
    </row>
    <row r="3807" spans="7:11" x14ac:dyDescent="0.25">
      <c r="G3807" s="1" t="str">
        <f>IF(Table2[[#This Row],[Description]]="","",VLOOKUP(Table2[[#This Row],[Description]],$Q$1:$S$101,2,FALSE))</f>
        <v/>
      </c>
      <c r="H3807" s="1" t="str">
        <f>IF(Table2[[#This Row],[Description]]="","",VLOOKUP(Table2[[#This Row],[Description]],$Q$1:$S$101,3,FALSE))</f>
        <v/>
      </c>
      <c r="I3807" s="1" t="str">
        <f>IF(Table2[[#This Row],[Description]]="","",IF(Table2[[#This Row],[Currency]]=$O$2,$P$2,HLOOKUP(Table2[[#This Row],[Date]],Funds!$C$10:$GV$11,2,FALSE)))</f>
        <v/>
      </c>
      <c r="J3807" s="215" t="str">
        <f>IF(Table2[[#This Row],[Description]]="","",Table2[[#This Row],[Value]]/Table2[[#This Row],[Conversion]])</f>
        <v/>
      </c>
      <c r="K3807" s="45" t="str">
        <f>IF(Table2[[#This Row],[Description]]="","",DATE(Table2[[#This Row],[Year]],Table2[[#This Row],[Month]],1))</f>
        <v/>
      </c>
    </row>
    <row r="3808" spans="7:11" x14ac:dyDescent="0.25">
      <c r="G3808" s="1" t="str">
        <f>IF(Table2[[#This Row],[Description]]="","",VLOOKUP(Table2[[#This Row],[Description]],$Q$1:$S$101,2,FALSE))</f>
        <v/>
      </c>
      <c r="H3808" s="1" t="str">
        <f>IF(Table2[[#This Row],[Description]]="","",VLOOKUP(Table2[[#This Row],[Description]],$Q$1:$S$101,3,FALSE))</f>
        <v/>
      </c>
      <c r="I3808" s="1" t="str">
        <f>IF(Table2[[#This Row],[Description]]="","",IF(Table2[[#This Row],[Currency]]=$O$2,$P$2,HLOOKUP(Table2[[#This Row],[Date]],Funds!$C$10:$GV$11,2,FALSE)))</f>
        <v/>
      </c>
      <c r="J3808" s="215" t="str">
        <f>IF(Table2[[#This Row],[Description]]="","",Table2[[#This Row],[Value]]/Table2[[#This Row],[Conversion]])</f>
        <v/>
      </c>
      <c r="K3808" s="45" t="str">
        <f>IF(Table2[[#This Row],[Description]]="","",DATE(Table2[[#This Row],[Year]],Table2[[#This Row],[Month]],1))</f>
        <v/>
      </c>
    </row>
    <row r="3809" spans="7:11" x14ac:dyDescent="0.25">
      <c r="G3809" s="1" t="str">
        <f>IF(Table2[[#This Row],[Description]]="","",VLOOKUP(Table2[[#This Row],[Description]],$Q$1:$S$101,2,FALSE))</f>
        <v/>
      </c>
      <c r="H3809" s="1" t="str">
        <f>IF(Table2[[#This Row],[Description]]="","",VLOOKUP(Table2[[#This Row],[Description]],$Q$1:$S$101,3,FALSE))</f>
        <v/>
      </c>
      <c r="I3809" s="1" t="str">
        <f>IF(Table2[[#This Row],[Description]]="","",IF(Table2[[#This Row],[Currency]]=$O$2,$P$2,HLOOKUP(Table2[[#This Row],[Date]],Funds!$C$10:$GV$11,2,FALSE)))</f>
        <v/>
      </c>
      <c r="J3809" s="215" t="str">
        <f>IF(Table2[[#This Row],[Description]]="","",Table2[[#This Row],[Value]]/Table2[[#This Row],[Conversion]])</f>
        <v/>
      </c>
      <c r="K3809" s="45" t="str">
        <f>IF(Table2[[#This Row],[Description]]="","",DATE(Table2[[#This Row],[Year]],Table2[[#This Row],[Month]],1))</f>
        <v/>
      </c>
    </row>
    <row r="3810" spans="7:11" x14ac:dyDescent="0.25">
      <c r="G3810" s="1" t="str">
        <f>IF(Table2[[#This Row],[Description]]="","",VLOOKUP(Table2[[#This Row],[Description]],$Q$1:$S$101,2,FALSE))</f>
        <v/>
      </c>
      <c r="H3810" s="1" t="str">
        <f>IF(Table2[[#This Row],[Description]]="","",VLOOKUP(Table2[[#This Row],[Description]],$Q$1:$S$101,3,FALSE))</f>
        <v/>
      </c>
      <c r="I3810" s="1" t="str">
        <f>IF(Table2[[#This Row],[Description]]="","",IF(Table2[[#This Row],[Currency]]=$O$2,$P$2,HLOOKUP(Table2[[#This Row],[Date]],Funds!$C$10:$GV$11,2,FALSE)))</f>
        <v/>
      </c>
      <c r="J3810" s="215" t="str">
        <f>IF(Table2[[#This Row],[Description]]="","",Table2[[#This Row],[Value]]/Table2[[#This Row],[Conversion]])</f>
        <v/>
      </c>
      <c r="K3810" s="45" t="str">
        <f>IF(Table2[[#This Row],[Description]]="","",DATE(Table2[[#This Row],[Year]],Table2[[#This Row],[Month]],1))</f>
        <v/>
      </c>
    </row>
    <row r="3811" spans="7:11" x14ac:dyDescent="0.25">
      <c r="G3811" s="1" t="str">
        <f>IF(Table2[[#This Row],[Description]]="","",VLOOKUP(Table2[[#This Row],[Description]],$Q$1:$S$101,2,FALSE))</f>
        <v/>
      </c>
      <c r="H3811" s="1" t="str">
        <f>IF(Table2[[#This Row],[Description]]="","",VLOOKUP(Table2[[#This Row],[Description]],$Q$1:$S$101,3,FALSE))</f>
        <v/>
      </c>
      <c r="I3811" s="1" t="str">
        <f>IF(Table2[[#This Row],[Description]]="","",IF(Table2[[#This Row],[Currency]]=$O$2,$P$2,HLOOKUP(Table2[[#This Row],[Date]],Funds!$C$10:$GV$11,2,FALSE)))</f>
        <v/>
      </c>
      <c r="J3811" s="215" t="str">
        <f>IF(Table2[[#This Row],[Description]]="","",Table2[[#This Row],[Value]]/Table2[[#This Row],[Conversion]])</f>
        <v/>
      </c>
      <c r="K3811" s="45" t="str">
        <f>IF(Table2[[#This Row],[Description]]="","",DATE(Table2[[#This Row],[Year]],Table2[[#This Row],[Month]],1))</f>
        <v/>
      </c>
    </row>
    <row r="3812" spans="7:11" x14ac:dyDescent="0.25">
      <c r="G3812" s="1" t="str">
        <f>IF(Table2[[#This Row],[Description]]="","",VLOOKUP(Table2[[#This Row],[Description]],$Q$1:$S$101,2,FALSE))</f>
        <v/>
      </c>
      <c r="H3812" s="1" t="str">
        <f>IF(Table2[[#This Row],[Description]]="","",VLOOKUP(Table2[[#This Row],[Description]],$Q$1:$S$101,3,FALSE))</f>
        <v/>
      </c>
      <c r="I3812" s="1" t="str">
        <f>IF(Table2[[#This Row],[Description]]="","",IF(Table2[[#This Row],[Currency]]=$O$2,$P$2,HLOOKUP(Table2[[#This Row],[Date]],Funds!$C$10:$GV$11,2,FALSE)))</f>
        <v/>
      </c>
      <c r="J3812" s="215" t="str">
        <f>IF(Table2[[#This Row],[Description]]="","",Table2[[#This Row],[Value]]/Table2[[#This Row],[Conversion]])</f>
        <v/>
      </c>
      <c r="K3812" s="45" t="str">
        <f>IF(Table2[[#This Row],[Description]]="","",DATE(Table2[[#This Row],[Year]],Table2[[#This Row],[Month]],1))</f>
        <v/>
      </c>
    </row>
    <row r="3813" spans="7:11" x14ac:dyDescent="0.25">
      <c r="G3813" s="1" t="str">
        <f>IF(Table2[[#This Row],[Description]]="","",VLOOKUP(Table2[[#This Row],[Description]],$Q$1:$S$101,2,FALSE))</f>
        <v/>
      </c>
      <c r="H3813" s="1" t="str">
        <f>IF(Table2[[#This Row],[Description]]="","",VLOOKUP(Table2[[#This Row],[Description]],$Q$1:$S$101,3,FALSE))</f>
        <v/>
      </c>
      <c r="I3813" s="1" t="str">
        <f>IF(Table2[[#This Row],[Description]]="","",IF(Table2[[#This Row],[Currency]]=$O$2,$P$2,HLOOKUP(Table2[[#This Row],[Date]],Funds!$C$10:$GV$11,2,FALSE)))</f>
        <v/>
      </c>
      <c r="J3813" s="215" t="str">
        <f>IF(Table2[[#This Row],[Description]]="","",Table2[[#This Row],[Value]]/Table2[[#This Row],[Conversion]])</f>
        <v/>
      </c>
      <c r="K3813" s="45" t="str">
        <f>IF(Table2[[#This Row],[Description]]="","",DATE(Table2[[#This Row],[Year]],Table2[[#This Row],[Month]],1))</f>
        <v/>
      </c>
    </row>
    <row r="3814" spans="7:11" x14ac:dyDescent="0.25">
      <c r="G3814" s="1" t="str">
        <f>IF(Table2[[#This Row],[Description]]="","",VLOOKUP(Table2[[#This Row],[Description]],$Q$1:$S$101,2,FALSE))</f>
        <v/>
      </c>
      <c r="H3814" s="1" t="str">
        <f>IF(Table2[[#This Row],[Description]]="","",VLOOKUP(Table2[[#This Row],[Description]],$Q$1:$S$101,3,FALSE))</f>
        <v/>
      </c>
      <c r="I3814" s="1" t="str">
        <f>IF(Table2[[#This Row],[Description]]="","",IF(Table2[[#This Row],[Currency]]=$O$2,$P$2,HLOOKUP(Table2[[#This Row],[Date]],Funds!$C$10:$GV$11,2,FALSE)))</f>
        <v/>
      </c>
      <c r="J3814" s="215" t="str">
        <f>IF(Table2[[#This Row],[Description]]="","",Table2[[#This Row],[Value]]/Table2[[#This Row],[Conversion]])</f>
        <v/>
      </c>
      <c r="K3814" s="45" t="str">
        <f>IF(Table2[[#This Row],[Description]]="","",DATE(Table2[[#This Row],[Year]],Table2[[#This Row],[Month]],1))</f>
        <v/>
      </c>
    </row>
    <row r="3815" spans="7:11" x14ac:dyDescent="0.25">
      <c r="G3815" s="1" t="str">
        <f>IF(Table2[[#This Row],[Description]]="","",VLOOKUP(Table2[[#This Row],[Description]],$Q$1:$S$101,2,FALSE))</f>
        <v/>
      </c>
      <c r="H3815" s="1" t="str">
        <f>IF(Table2[[#This Row],[Description]]="","",VLOOKUP(Table2[[#This Row],[Description]],$Q$1:$S$101,3,FALSE))</f>
        <v/>
      </c>
      <c r="I3815" s="1" t="str">
        <f>IF(Table2[[#This Row],[Description]]="","",IF(Table2[[#This Row],[Currency]]=$O$2,$P$2,HLOOKUP(Table2[[#This Row],[Date]],Funds!$C$10:$GV$11,2,FALSE)))</f>
        <v/>
      </c>
      <c r="J3815" s="215" t="str">
        <f>IF(Table2[[#This Row],[Description]]="","",Table2[[#This Row],[Value]]/Table2[[#This Row],[Conversion]])</f>
        <v/>
      </c>
      <c r="K3815" s="45" t="str">
        <f>IF(Table2[[#This Row],[Description]]="","",DATE(Table2[[#This Row],[Year]],Table2[[#This Row],[Month]],1))</f>
        <v/>
      </c>
    </row>
    <row r="3816" spans="7:11" x14ac:dyDescent="0.25">
      <c r="G3816" s="1" t="str">
        <f>IF(Table2[[#This Row],[Description]]="","",VLOOKUP(Table2[[#This Row],[Description]],$Q$1:$S$101,2,FALSE))</f>
        <v/>
      </c>
      <c r="H3816" s="1" t="str">
        <f>IF(Table2[[#This Row],[Description]]="","",VLOOKUP(Table2[[#This Row],[Description]],$Q$1:$S$101,3,FALSE))</f>
        <v/>
      </c>
      <c r="I3816" s="1" t="str">
        <f>IF(Table2[[#This Row],[Description]]="","",IF(Table2[[#This Row],[Currency]]=$O$2,$P$2,HLOOKUP(Table2[[#This Row],[Date]],Funds!$C$10:$GV$11,2,FALSE)))</f>
        <v/>
      </c>
      <c r="J3816" s="215" t="str">
        <f>IF(Table2[[#This Row],[Description]]="","",Table2[[#This Row],[Value]]/Table2[[#This Row],[Conversion]])</f>
        <v/>
      </c>
      <c r="K3816" s="45" t="str">
        <f>IF(Table2[[#This Row],[Description]]="","",DATE(Table2[[#This Row],[Year]],Table2[[#This Row],[Month]],1))</f>
        <v/>
      </c>
    </row>
    <row r="3817" spans="7:11" x14ac:dyDescent="0.25">
      <c r="G3817" s="1" t="str">
        <f>IF(Table2[[#This Row],[Description]]="","",VLOOKUP(Table2[[#This Row],[Description]],$Q$1:$S$101,2,FALSE))</f>
        <v/>
      </c>
      <c r="H3817" s="1" t="str">
        <f>IF(Table2[[#This Row],[Description]]="","",VLOOKUP(Table2[[#This Row],[Description]],$Q$1:$S$101,3,FALSE))</f>
        <v/>
      </c>
      <c r="I3817" s="1" t="str">
        <f>IF(Table2[[#This Row],[Description]]="","",IF(Table2[[#This Row],[Currency]]=$O$2,$P$2,HLOOKUP(Table2[[#This Row],[Date]],Funds!$C$10:$GV$11,2,FALSE)))</f>
        <v/>
      </c>
      <c r="J3817" s="215" t="str">
        <f>IF(Table2[[#This Row],[Description]]="","",Table2[[#This Row],[Value]]/Table2[[#This Row],[Conversion]])</f>
        <v/>
      </c>
      <c r="K3817" s="45" t="str">
        <f>IF(Table2[[#This Row],[Description]]="","",DATE(Table2[[#This Row],[Year]],Table2[[#This Row],[Month]],1))</f>
        <v/>
      </c>
    </row>
    <row r="3818" spans="7:11" x14ac:dyDescent="0.25">
      <c r="G3818" s="1" t="str">
        <f>IF(Table2[[#This Row],[Description]]="","",VLOOKUP(Table2[[#This Row],[Description]],$Q$1:$S$101,2,FALSE))</f>
        <v/>
      </c>
      <c r="H3818" s="1" t="str">
        <f>IF(Table2[[#This Row],[Description]]="","",VLOOKUP(Table2[[#This Row],[Description]],$Q$1:$S$101,3,FALSE))</f>
        <v/>
      </c>
      <c r="I3818" s="1" t="str">
        <f>IF(Table2[[#This Row],[Description]]="","",IF(Table2[[#This Row],[Currency]]=$O$2,$P$2,HLOOKUP(Table2[[#This Row],[Date]],Funds!$C$10:$GV$11,2,FALSE)))</f>
        <v/>
      </c>
      <c r="J3818" s="215" t="str">
        <f>IF(Table2[[#This Row],[Description]]="","",Table2[[#This Row],[Value]]/Table2[[#This Row],[Conversion]])</f>
        <v/>
      </c>
      <c r="K3818" s="45" t="str">
        <f>IF(Table2[[#This Row],[Description]]="","",DATE(Table2[[#This Row],[Year]],Table2[[#This Row],[Month]],1))</f>
        <v/>
      </c>
    </row>
    <row r="3819" spans="7:11" x14ac:dyDescent="0.25">
      <c r="G3819" s="1" t="str">
        <f>IF(Table2[[#This Row],[Description]]="","",VLOOKUP(Table2[[#This Row],[Description]],$Q$1:$S$101,2,FALSE))</f>
        <v/>
      </c>
      <c r="H3819" s="1" t="str">
        <f>IF(Table2[[#This Row],[Description]]="","",VLOOKUP(Table2[[#This Row],[Description]],$Q$1:$S$101,3,FALSE))</f>
        <v/>
      </c>
      <c r="I3819" s="1" t="str">
        <f>IF(Table2[[#This Row],[Description]]="","",IF(Table2[[#This Row],[Currency]]=$O$2,$P$2,HLOOKUP(Table2[[#This Row],[Date]],Funds!$C$10:$GV$11,2,FALSE)))</f>
        <v/>
      </c>
      <c r="J3819" s="215" t="str">
        <f>IF(Table2[[#This Row],[Description]]="","",Table2[[#This Row],[Value]]/Table2[[#This Row],[Conversion]])</f>
        <v/>
      </c>
      <c r="K3819" s="45" t="str">
        <f>IF(Table2[[#This Row],[Description]]="","",DATE(Table2[[#This Row],[Year]],Table2[[#This Row],[Month]],1))</f>
        <v/>
      </c>
    </row>
    <row r="3820" spans="7:11" x14ac:dyDescent="0.25">
      <c r="G3820" s="1" t="str">
        <f>IF(Table2[[#This Row],[Description]]="","",VLOOKUP(Table2[[#This Row],[Description]],$Q$1:$S$101,2,FALSE))</f>
        <v/>
      </c>
      <c r="H3820" s="1" t="str">
        <f>IF(Table2[[#This Row],[Description]]="","",VLOOKUP(Table2[[#This Row],[Description]],$Q$1:$S$101,3,FALSE))</f>
        <v/>
      </c>
      <c r="I3820" s="1" t="str">
        <f>IF(Table2[[#This Row],[Description]]="","",IF(Table2[[#This Row],[Currency]]=$O$2,$P$2,HLOOKUP(Table2[[#This Row],[Date]],Funds!$C$10:$GV$11,2,FALSE)))</f>
        <v/>
      </c>
      <c r="J3820" s="215" t="str">
        <f>IF(Table2[[#This Row],[Description]]="","",Table2[[#This Row],[Value]]/Table2[[#This Row],[Conversion]])</f>
        <v/>
      </c>
      <c r="K3820" s="45" t="str">
        <f>IF(Table2[[#This Row],[Description]]="","",DATE(Table2[[#This Row],[Year]],Table2[[#This Row],[Month]],1))</f>
        <v/>
      </c>
    </row>
    <row r="3821" spans="7:11" x14ac:dyDescent="0.25">
      <c r="G3821" s="1" t="str">
        <f>IF(Table2[[#This Row],[Description]]="","",VLOOKUP(Table2[[#This Row],[Description]],$Q$1:$S$101,2,FALSE))</f>
        <v/>
      </c>
      <c r="H3821" s="1" t="str">
        <f>IF(Table2[[#This Row],[Description]]="","",VLOOKUP(Table2[[#This Row],[Description]],$Q$1:$S$101,3,FALSE))</f>
        <v/>
      </c>
      <c r="I3821" s="1" t="str">
        <f>IF(Table2[[#This Row],[Description]]="","",IF(Table2[[#This Row],[Currency]]=$O$2,$P$2,HLOOKUP(Table2[[#This Row],[Date]],Funds!$C$10:$GV$11,2,FALSE)))</f>
        <v/>
      </c>
      <c r="J3821" s="215" t="str">
        <f>IF(Table2[[#This Row],[Description]]="","",Table2[[#This Row],[Value]]/Table2[[#This Row],[Conversion]])</f>
        <v/>
      </c>
      <c r="K3821" s="45" t="str">
        <f>IF(Table2[[#This Row],[Description]]="","",DATE(Table2[[#This Row],[Year]],Table2[[#This Row],[Month]],1))</f>
        <v/>
      </c>
    </row>
    <row r="3822" spans="7:11" x14ac:dyDescent="0.25">
      <c r="G3822" s="1" t="str">
        <f>IF(Table2[[#This Row],[Description]]="","",VLOOKUP(Table2[[#This Row],[Description]],$Q$1:$S$101,2,FALSE))</f>
        <v/>
      </c>
      <c r="H3822" s="1" t="str">
        <f>IF(Table2[[#This Row],[Description]]="","",VLOOKUP(Table2[[#This Row],[Description]],$Q$1:$S$101,3,FALSE))</f>
        <v/>
      </c>
      <c r="I3822" s="1" t="str">
        <f>IF(Table2[[#This Row],[Description]]="","",IF(Table2[[#This Row],[Currency]]=$O$2,$P$2,HLOOKUP(Table2[[#This Row],[Date]],Funds!$C$10:$GV$11,2,FALSE)))</f>
        <v/>
      </c>
      <c r="J3822" s="215" t="str">
        <f>IF(Table2[[#This Row],[Description]]="","",Table2[[#This Row],[Value]]/Table2[[#This Row],[Conversion]])</f>
        <v/>
      </c>
      <c r="K3822" s="45" t="str">
        <f>IF(Table2[[#This Row],[Description]]="","",DATE(Table2[[#This Row],[Year]],Table2[[#This Row],[Month]],1))</f>
        <v/>
      </c>
    </row>
    <row r="3823" spans="7:11" x14ac:dyDescent="0.25">
      <c r="G3823" s="1" t="str">
        <f>IF(Table2[[#This Row],[Description]]="","",VLOOKUP(Table2[[#This Row],[Description]],$Q$1:$S$101,2,FALSE))</f>
        <v/>
      </c>
      <c r="H3823" s="1" t="str">
        <f>IF(Table2[[#This Row],[Description]]="","",VLOOKUP(Table2[[#This Row],[Description]],$Q$1:$S$101,3,FALSE))</f>
        <v/>
      </c>
      <c r="I3823" s="1" t="str">
        <f>IF(Table2[[#This Row],[Description]]="","",IF(Table2[[#This Row],[Currency]]=$O$2,$P$2,HLOOKUP(Table2[[#This Row],[Date]],Funds!$C$10:$GV$11,2,FALSE)))</f>
        <v/>
      </c>
      <c r="J3823" s="215" t="str">
        <f>IF(Table2[[#This Row],[Description]]="","",Table2[[#This Row],[Value]]/Table2[[#This Row],[Conversion]])</f>
        <v/>
      </c>
      <c r="K3823" s="45" t="str">
        <f>IF(Table2[[#This Row],[Description]]="","",DATE(Table2[[#This Row],[Year]],Table2[[#This Row],[Month]],1))</f>
        <v/>
      </c>
    </row>
    <row r="3824" spans="7:11" x14ac:dyDescent="0.25">
      <c r="G3824" s="1" t="str">
        <f>IF(Table2[[#This Row],[Description]]="","",VLOOKUP(Table2[[#This Row],[Description]],$Q$1:$S$101,2,FALSE))</f>
        <v/>
      </c>
      <c r="H3824" s="1" t="str">
        <f>IF(Table2[[#This Row],[Description]]="","",VLOOKUP(Table2[[#This Row],[Description]],$Q$1:$S$101,3,FALSE))</f>
        <v/>
      </c>
      <c r="I3824" s="1" t="str">
        <f>IF(Table2[[#This Row],[Description]]="","",IF(Table2[[#This Row],[Currency]]=$O$2,$P$2,HLOOKUP(Table2[[#This Row],[Date]],Funds!$C$10:$GV$11,2,FALSE)))</f>
        <v/>
      </c>
      <c r="J3824" s="215" t="str">
        <f>IF(Table2[[#This Row],[Description]]="","",Table2[[#This Row],[Value]]/Table2[[#This Row],[Conversion]])</f>
        <v/>
      </c>
      <c r="K3824" s="45" t="str">
        <f>IF(Table2[[#This Row],[Description]]="","",DATE(Table2[[#This Row],[Year]],Table2[[#This Row],[Month]],1))</f>
        <v/>
      </c>
    </row>
    <row r="3825" spans="7:11" x14ac:dyDescent="0.25">
      <c r="G3825" s="1" t="str">
        <f>IF(Table2[[#This Row],[Description]]="","",VLOOKUP(Table2[[#This Row],[Description]],$Q$1:$S$101,2,FALSE))</f>
        <v/>
      </c>
      <c r="H3825" s="1" t="str">
        <f>IF(Table2[[#This Row],[Description]]="","",VLOOKUP(Table2[[#This Row],[Description]],$Q$1:$S$101,3,FALSE))</f>
        <v/>
      </c>
      <c r="I3825" s="1" t="str">
        <f>IF(Table2[[#This Row],[Description]]="","",IF(Table2[[#This Row],[Currency]]=$O$2,$P$2,HLOOKUP(Table2[[#This Row],[Date]],Funds!$C$10:$GV$11,2,FALSE)))</f>
        <v/>
      </c>
      <c r="J3825" s="215" t="str">
        <f>IF(Table2[[#This Row],[Description]]="","",Table2[[#This Row],[Value]]/Table2[[#This Row],[Conversion]])</f>
        <v/>
      </c>
      <c r="K3825" s="45" t="str">
        <f>IF(Table2[[#This Row],[Description]]="","",DATE(Table2[[#This Row],[Year]],Table2[[#This Row],[Month]],1))</f>
        <v/>
      </c>
    </row>
    <row r="3826" spans="7:11" x14ac:dyDescent="0.25">
      <c r="G3826" s="1" t="str">
        <f>IF(Table2[[#This Row],[Description]]="","",VLOOKUP(Table2[[#This Row],[Description]],$Q$1:$S$101,2,FALSE))</f>
        <v/>
      </c>
      <c r="H3826" s="1" t="str">
        <f>IF(Table2[[#This Row],[Description]]="","",VLOOKUP(Table2[[#This Row],[Description]],$Q$1:$S$101,3,FALSE))</f>
        <v/>
      </c>
      <c r="I3826" s="1" t="str">
        <f>IF(Table2[[#This Row],[Description]]="","",IF(Table2[[#This Row],[Currency]]=$O$2,$P$2,HLOOKUP(Table2[[#This Row],[Date]],Funds!$C$10:$GV$11,2,FALSE)))</f>
        <v/>
      </c>
      <c r="J3826" s="215" t="str">
        <f>IF(Table2[[#This Row],[Description]]="","",Table2[[#This Row],[Value]]/Table2[[#This Row],[Conversion]])</f>
        <v/>
      </c>
      <c r="K3826" s="45" t="str">
        <f>IF(Table2[[#This Row],[Description]]="","",DATE(Table2[[#This Row],[Year]],Table2[[#This Row],[Month]],1))</f>
        <v/>
      </c>
    </row>
    <row r="3827" spans="7:11" x14ac:dyDescent="0.25">
      <c r="G3827" s="1" t="str">
        <f>IF(Table2[[#This Row],[Description]]="","",VLOOKUP(Table2[[#This Row],[Description]],$Q$1:$S$101,2,FALSE))</f>
        <v/>
      </c>
      <c r="H3827" s="1" t="str">
        <f>IF(Table2[[#This Row],[Description]]="","",VLOOKUP(Table2[[#This Row],[Description]],$Q$1:$S$101,3,FALSE))</f>
        <v/>
      </c>
      <c r="I3827" s="1" t="str">
        <f>IF(Table2[[#This Row],[Description]]="","",IF(Table2[[#This Row],[Currency]]=$O$2,$P$2,HLOOKUP(Table2[[#This Row],[Date]],Funds!$C$10:$GV$11,2,FALSE)))</f>
        <v/>
      </c>
      <c r="J3827" s="215" t="str">
        <f>IF(Table2[[#This Row],[Description]]="","",Table2[[#This Row],[Value]]/Table2[[#This Row],[Conversion]])</f>
        <v/>
      </c>
      <c r="K3827" s="45" t="str">
        <f>IF(Table2[[#This Row],[Description]]="","",DATE(Table2[[#This Row],[Year]],Table2[[#This Row],[Month]],1))</f>
        <v/>
      </c>
    </row>
    <row r="3828" spans="7:11" x14ac:dyDescent="0.25">
      <c r="G3828" s="1" t="str">
        <f>IF(Table2[[#This Row],[Description]]="","",VLOOKUP(Table2[[#This Row],[Description]],$Q$1:$S$101,2,FALSE))</f>
        <v/>
      </c>
      <c r="H3828" s="1" t="str">
        <f>IF(Table2[[#This Row],[Description]]="","",VLOOKUP(Table2[[#This Row],[Description]],$Q$1:$S$101,3,FALSE))</f>
        <v/>
      </c>
      <c r="I3828" s="1" t="str">
        <f>IF(Table2[[#This Row],[Description]]="","",IF(Table2[[#This Row],[Currency]]=$O$2,$P$2,HLOOKUP(Table2[[#This Row],[Date]],Funds!$C$10:$GV$11,2,FALSE)))</f>
        <v/>
      </c>
      <c r="J3828" s="215" t="str">
        <f>IF(Table2[[#This Row],[Description]]="","",Table2[[#This Row],[Value]]/Table2[[#This Row],[Conversion]])</f>
        <v/>
      </c>
      <c r="K3828" s="45" t="str">
        <f>IF(Table2[[#This Row],[Description]]="","",DATE(Table2[[#This Row],[Year]],Table2[[#This Row],[Month]],1))</f>
        <v/>
      </c>
    </row>
    <row r="3829" spans="7:11" x14ac:dyDescent="0.25">
      <c r="G3829" s="1" t="str">
        <f>IF(Table2[[#This Row],[Description]]="","",VLOOKUP(Table2[[#This Row],[Description]],$Q$1:$S$101,2,FALSE))</f>
        <v/>
      </c>
      <c r="H3829" s="1" t="str">
        <f>IF(Table2[[#This Row],[Description]]="","",VLOOKUP(Table2[[#This Row],[Description]],$Q$1:$S$101,3,FALSE))</f>
        <v/>
      </c>
      <c r="I3829" s="1" t="str">
        <f>IF(Table2[[#This Row],[Description]]="","",IF(Table2[[#This Row],[Currency]]=$O$2,$P$2,HLOOKUP(Table2[[#This Row],[Date]],Funds!$C$10:$GV$11,2,FALSE)))</f>
        <v/>
      </c>
      <c r="J3829" s="215" t="str">
        <f>IF(Table2[[#This Row],[Description]]="","",Table2[[#This Row],[Value]]/Table2[[#This Row],[Conversion]])</f>
        <v/>
      </c>
      <c r="K3829" s="45" t="str">
        <f>IF(Table2[[#This Row],[Description]]="","",DATE(Table2[[#This Row],[Year]],Table2[[#This Row],[Month]],1))</f>
        <v/>
      </c>
    </row>
    <row r="3830" spans="7:11" x14ac:dyDescent="0.25">
      <c r="G3830" s="1" t="str">
        <f>IF(Table2[[#This Row],[Description]]="","",VLOOKUP(Table2[[#This Row],[Description]],$Q$1:$S$101,2,FALSE))</f>
        <v/>
      </c>
      <c r="H3830" s="1" t="str">
        <f>IF(Table2[[#This Row],[Description]]="","",VLOOKUP(Table2[[#This Row],[Description]],$Q$1:$S$101,3,FALSE))</f>
        <v/>
      </c>
      <c r="I3830" s="1" t="str">
        <f>IF(Table2[[#This Row],[Description]]="","",IF(Table2[[#This Row],[Currency]]=$O$2,$P$2,HLOOKUP(Table2[[#This Row],[Date]],Funds!$C$10:$GV$11,2,FALSE)))</f>
        <v/>
      </c>
      <c r="J3830" s="215" t="str">
        <f>IF(Table2[[#This Row],[Description]]="","",Table2[[#This Row],[Value]]/Table2[[#This Row],[Conversion]])</f>
        <v/>
      </c>
      <c r="K3830" s="45" t="str">
        <f>IF(Table2[[#This Row],[Description]]="","",DATE(Table2[[#This Row],[Year]],Table2[[#This Row],[Month]],1))</f>
        <v/>
      </c>
    </row>
    <row r="3831" spans="7:11" x14ac:dyDescent="0.25">
      <c r="G3831" s="1" t="str">
        <f>IF(Table2[[#This Row],[Description]]="","",VLOOKUP(Table2[[#This Row],[Description]],$Q$1:$S$101,2,FALSE))</f>
        <v/>
      </c>
      <c r="H3831" s="1" t="str">
        <f>IF(Table2[[#This Row],[Description]]="","",VLOOKUP(Table2[[#This Row],[Description]],$Q$1:$S$101,3,FALSE))</f>
        <v/>
      </c>
      <c r="I3831" s="1" t="str">
        <f>IF(Table2[[#This Row],[Description]]="","",IF(Table2[[#This Row],[Currency]]=$O$2,$P$2,HLOOKUP(Table2[[#This Row],[Date]],Funds!$C$10:$GV$11,2,FALSE)))</f>
        <v/>
      </c>
      <c r="J3831" s="215" t="str">
        <f>IF(Table2[[#This Row],[Description]]="","",Table2[[#This Row],[Value]]/Table2[[#This Row],[Conversion]])</f>
        <v/>
      </c>
      <c r="K3831" s="45" t="str">
        <f>IF(Table2[[#This Row],[Description]]="","",DATE(Table2[[#This Row],[Year]],Table2[[#This Row],[Month]],1))</f>
        <v/>
      </c>
    </row>
    <row r="3832" spans="7:11" x14ac:dyDescent="0.25">
      <c r="G3832" s="1" t="str">
        <f>IF(Table2[[#This Row],[Description]]="","",VLOOKUP(Table2[[#This Row],[Description]],$Q$1:$S$101,2,FALSE))</f>
        <v/>
      </c>
      <c r="H3832" s="1" t="str">
        <f>IF(Table2[[#This Row],[Description]]="","",VLOOKUP(Table2[[#This Row],[Description]],$Q$1:$S$101,3,FALSE))</f>
        <v/>
      </c>
      <c r="I3832" s="1" t="str">
        <f>IF(Table2[[#This Row],[Description]]="","",IF(Table2[[#This Row],[Currency]]=$O$2,$P$2,HLOOKUP(Table2[[#This Row],[Date]],Funds!$C$10:$GV$11,2,FALSE)))</f>
        <v/>
      </c>
      <c r="J3832" s="215" t="str">
        <f>IF(Table2[[#This Row],[Description]]="","",Table2[[#This Row],[Value]]/Table2[[#This Row],[Conversion]])</f>
        <v/>
      </c>
      <c r="K3832" s="45" t="str">
        <f>IF(Table2[[#This Row],[Description]]="","",DATE(Table2[[#This Row],[Year]],Table2[[#This Row],[Month]],1))</f>
        <v/>
      </c>
    </row>
    <row r="3833" spans="7:11" x14ac:dyDescent="0.25">
      <c r="G3833" s="1" t="str">
        <f>IF(Table2[[#This Row],[Description]]="","",VLOOKUP(Table2[[#This Row],[Description]],$Q$1:$S$101,2,FALSE))</f>
        <v/>
      </c>
      <c r="H3833" s="1" t="str">
        <f>IF(Table2[[#This Row],[Description]]="","",VLOOKUP(Table2[[#This Row],[Description]],$Q$1:$S$101,3,FALSE))</f>
        <v/>
      </c>
      <c r="I3833" s="1" t="str">
        <f>IF(Table2[[#This Row],[Description]]="","",IF(Table2[[#This Row],[Currency]]=$O$2,$P$2,HLOOKUP(Table2[[#This Row],[Date]],Funds!$C$10:$GV$11,2,FALSE)))</f>
        <v/>
      </c>
      <c r="J3833" s="215" t="str">
        <f>IF(Table2[[#This Row],[Description]]="","",Table2[[#This Row],[Value]]/Table2[[#This Row],[Conversion]])</f>
        <v/>
      </c>
      <c r="K3833" s="45" t="str">
        <f>IF(Table2[[#This Row],[Description]]="","",DATE(Table2[[#This Row],[Year]],Table2[[#This Row],[Month]],1))</f>
        <v/>
      </c>
    </row>
    <row r="3834" spans="7:11" x14ac:dyDescent="0.25">
      <c r="G3834" s="1" t="str">
        <f>IF(Table2[[#This Row],[Description]]="","",VLOOKUP(Table2[[#This Row],[Description]],$Q$1:$S$101,2,FALSE))</f>
        <v/>
      </c>
      <c r="H3834" s="1" t="str">
        <f>IF(Table2[[#This Row],[Description]]="","",VLOOKUP(Table2[[#This Row],[Description]],$Q$1:$S$101,3,FALSE))</f>
        <v/>
      </c>
      <c r="I3834" s="1" t="str">
        <f>IF(Table2[[#This Row],[Description]]="","",IF(Table2[[#This Row],[Currency]]=$O$2,$P$2,HLOOKUP(Table2[[#This Row],[Date]],Funds!$C$10:$GV$11,2,FALSE)))</f>
        <v/>
      </c>
      <c r="J3834" s="215" t="str">
        <f>IF(Table2[[#This Row],[Description]]="","",Table2[[#This Row],[Value]]/Table2[[#This Row],[Conversion]])</f>
        <v/>
      </c>
      <c r="K3834" s="45" t="str">
        <f>IF(Table2[[#This Row],[Description]]="","",DATE(Table2[[#This Row],[Year]],Table2[[#This Row],[Month]],1))</f>
        <v/>
      </c>
    </row>
    <row r="3835" spans="7:11" x14ac:dyDescent="0.25">
      <c r="G3835" s="1" t="str">
        <f>IF(Table2[[#This Row],[Description]]="","",VLOOKUP(Table2[[#This Row],[Description]],$Q$1:$S$101,2,FALSE))</f>
        <v/>
      </c>
      <c r="H3835" s="1" t="str">
        <f>IF(Table2[[#This Row],[Description]]="","",VLOOKUP(Table2[[#This Row],[Description]],$Q$1:$S$101,3,FALSE))</f>
        <v/>
      </c>
      <c r="I3835" s="1" t="str">
        <f>IF(Table2[[#This Row],[Description]]="","",IF(Table2[[#This Row],[Currency]]=$O$2,$P$2,HLOOKUP(Table2[[#This Row],[Date]],Funds!$C$10:$GV$11,2,FALSE)))</f>
        <v/>
      </c>
      <c r="J3835" s="215" t="str">
        <f>IF(Table2[[#This Row],[Description]]="","",Table2[[#This Row],[Value]]/Table2[[#This Row],[Conversion]])</f>
        <v/>
      </c>
      <c r="K3835" s="45" t="str">
        <f>IF(Table2[[#This Row],[Description]]="","",DATE(Table2[[#This Row],[Year]],Table2[[#This Row],[Month]],1))</f>
        <v/>
      </c>
    </row>
    <row r="3836" spans="7:11" x14ac:dyDescent="0.25">
      <c r="G3836" s="1" t="str">
        <f>IF(Table2[[#This Row],[Description]]="","",VLOOKUP(Table2[[#This Row],[Description]],$Q$1:$S$101,2,FALSE))</f>
        <v/>
      </c>
      <c r="H3836" s="1" t="str">
        <f>IF(Table2[[#This Row],[Description]]="","",VLOOKUP(Table2[[#This Row],[Description]],$Q$1:$S$101,3,FALSE))</f>
        <v/>
      </c>
      <c r="I3836" s="1" t="str">
        <f>IF(Table2[[#This Row],[Description]]="","",IF(Table2[[#This Row],[Currency]]=$O$2,$P$2,HLOOKUP(Table2[[#This Row],[Date]],Funds!$C$10:$GV$11,2,FALSE)))</f>
        <v/>
      </c>
      <c r="J3836" s="215" t="str">
        <f>IF(Table2[[#This Row],[Description]]="","",Table2[[#This Row],[Value]]/Table2[[#This Row],[Conversion]])</f>
        <v/>
      </c>
      <c r="K3836" s="45" t="str">
        <f>IF(Table2[[#This Row],[Description]]="","",DATE(Table2[[#This Row],[Year]],Table2[[#This Row],[Month]],1))</f>
        <v/>
      </c>
    </row>
    <row r="3837" spans="7:11" x14ac:dyDescent="0.25">
      <c r="G3837" s="1" t="str">
        <f>IF(Table2[[#This Row],[Description]]="","",VLOOKUP(Table2[[#This Row],[Description]],$Q$1:$S$101,2,FALSE))</f>
        <v/>
      </c>
      <c r="H3837" s="1" t="str">
        <f>IF(Table2[[#This Row],[Description]]="","",VLOOKUP(Table2[[#This Row],[Description]],$Q$1:$S$101,3,FALSE))</f>
        <v/>
      </c>
      <c r="I3837" s="1" t="str">
        <f>IF(Table2[[#This Row],[Description]]="","",IF(Table2[[#This Row],[Currency]]=$O$2,$P$2,HLOOKUP(Table2[[#This Row],[Date]],Funds!$C$10:$GV$11,2,FALSE)))</f>
        <v/>
      </c>
      <c r="J3837" s="215" t="str">
        <f>IF(Table2[[#This Row],[Description]]="","",Table2[[#This Row],[Value]]/Table2[[#This Row],[Conversion]])</f>
        <v/>
      </c>
      <c r="K3837" s="45" t="str">
        <f>IF(Table2[[#This Row],[Description]]="","",DATE(Table2[[#This Row],[Year]],Table2[[#This Row],[Month]],1))</f>
        <v/>
      </c>
    </row>
    <row r="3838" spans="7:11" x14ac:dyDescent="0.25">
      <c r="G3838" s="1" t="str">
        <f>IF(Table2[[#This Row],[Description]]="","",VLOOKUP(Table2[[#This Row],[Description]],$Q$1:$S$101,2,FALSE))</f>
        <v/>
      </c>
      <c r="H3838" s="1" t="str">
        <f>IF(Table2[[#This Row],[Description]]="","",VLOOKUP(Table2[[#This Row],[Description]],$Q$1:$S$101,3,FALSE))</f>
        <v/>
      </c>
      <c r="I3838" s="1" t="str">
        <f>IF(Table2[[#This Row],[Description]]="","",IF(Table2[[#This Row],[Currency]]=$O$2,$P$2,HLOOKUP(Table2[[#This Row],[Date]],Funds!$C$10:$GV$11,2,FALSE)))</f>
        <v/>
      </c>
      <c r="J3838" s="215" t="str">
        <f>IF(Table2[[#This Row],[Description]]="","",Table2[[#This Row],[Value]]/Table2[[#This Row],[Conversion]])</f>
        <v/>
      </c>
      <c r="K3838" s="45" t="str">
        <f>IF(Table2[[#This Row],[Description]]="","",DATE(Table2[[#This Row],[Year]],Table2[[#This Row],[Month]],1))</f>
        <v/>
      </c>
    </row>
    <row r="3839" spans="7:11" x14ac:dyDescent="0.25">
      <c r="G3839" s="1" t="str">
        <f>IF(Table2[[#This Row],[Description]]="","",VLOOKUP(Table2[[#This Row],[Description]],$Q$1:$S$101,2,FALSE))</f>
        <v/>
      </c>
      <c r="H3839" s="1" t="str">
        <f>IF(Table2[[#This Row],[Description]]="","",VLOOKUP(Table2[[#This Row],[Description]],$Q$1:$S$101,3,FALSE))</f>
        <v/>
      </c>
      <c r="I3839" s="1" t="str">
        <f>IF(Table2[[#This Row],[Description]]="","",IF(Table2[[#This Row],[Currency]]=$O$2,$P$2,HLOOKUP(Table2[[#This Row],[Date]],Funds!$C$10:$GV$11,2,FALSE)))</f>
        <v/>
      </c>
      <c r="J3839" s="215" t="str">
        <f>IF(Table2[[#This Row],[Description]]="","",Table2[[#This Row],[Value]]/Table2[[#This Row],[Conversion]])</f>
        <v/>
      </c>
      <c r="K3839" s="45" t="str">
        <f>IF(Table2[[#This Row],[Description]]="","",DATE(Table2[[#This Row],[Year]],Table2[[#This Row],[Month]],1))</f>
        <v/>
      </c>
    </row>
    <row r="3840" spans="7:11" x14ac:dyDescent="0.25">
      <c r="G3840" s="1" t="str">
        <f>IF(Table2[[#This Row],[Description]]="","",VLOOKUP(Table2[[#This Row],[Description]],$Q$1:$S$101,2,FALSE))</f>
        <v/>
      </c>
      <c r="H3840" s="1" t="str">
        <f>IF(Table2[[#This Row],[Description]]="","",VLOOKUP(Table2[[#This Row],[Description]],$Q$1:$S$101,3,FALSE))</f>
        <v/>
      </c>
      <c r="I3840" s="1" t="str">
        <f>IF(Table2[[#This Row],[Description]]="","",IF(Table2[[#This Row],[Currency]]=$O$2,$P$2,HLOOKUP(Table2[[#This Row],[Date]],Funds!$C$10:$GV$11,2,FALSE)))</f>
        <v/>
      </c>
      <c r="J3840" s="215" t="str">
        <f>IF(Table2[[#This Row],[Description]]="","",Table2[[#This Row],[Value]]/Table2[[#This Row],[Conversion]])</f>
        <v/>
      </c>
      <c r="K3840" s="45" t="str">
        <f>IF(Table2[[#This Row],[Description]]="","",DATE(Table2[[#This Row],[Year]],Table2[[#This Row],[Month]],1))</f>
        <v/>
      </c>
    </row>
    <row r="3841" spans="7:11" x14ac:dyDescent="0.25">
      <c r="G3841" s="1" t="str">
        <f>IF(Table2[[#This Row],[Description]]="","",VLOOKUP(Table2[[#This Row],[Description]],$Q$1:$S$101,2,FALSE))</f>
        <v/>
      </c>
      <c r="H3841" s="1" t="str">
        <f>IF(Table2[[#This Row],[Description]]="","",VLOOKUP(Table2[[#This Row],[Description]],$Q$1:$S$101,3,FALSE))</f>
        <v/>
      </c>
      <c r="I3841" s="1" t="str">
        <f>IF(Table2[[#This Row],[Description]]="","",IF(Table2[[#This Row],[Currency]]=$O$2,$P$2,HLOOKUP(Table2[[#This Row],[Date]],Funds!$C$10:$GV$11,2,FALSE)))</f>
        <v/>
      </c>
      <c r="J3841" s="215" t="str">
        <f>IF(Table2[[#This Row],[Description]]="","",Table2[[#This Row],[Value]]/Table2[[#This Row],[Conversion]])</f>
        <v/>
      </c>
      <c r="K3841" s="45" t="str">
        <f>IF(Table2[[#This Row],[Description]]="","",DATE(Table2[[#This Row],[Year]],Table2[[#This Row],[Month]],1))</f>
        <v/>
      </c>
    </row>
    <row r="3842" spans="7:11" x14ac:dyDescent="0.25">
      <c r="G3842" s="1" t="str">
        <f>IF(Table2[[#This Row],[Description]]="","",VLOOKUP(Table2[[#This Row],[Description]],$Q$1:$S$101,2,FALSE))</f>
        <v/>
      </c>
      <c r="H3842" s="1" t="str">
        <f>IF(Table2[[#This Row],[Description]]="","",VLOOKUP(Table2[[#This Row],[Description]],$Q$1:$S$101,3,FALSE))</f>
        <v/>
      </c>
      <c r="I3842" s="1" t="str">
        <f>IF(Table2[[#This Row],[Description]]="","",IF(Table2[[#This Row],[Currency]]=$O$2,$P$2,HLOOKUP(Table2[[#This Row],[Date]],Funds!$C$10:$GV$11,2,FALSE)))</f>
        <v/>
      </c>
      <c r="J3842" s="215" t="str">
        <f>IF(Table2[[#This Row],[Description]]="","",Table2[[#This Row],[Value]]/Table2[[#This Row],[Conversion]])</f>
        <v/>
      </c>
      <c r="K3842" s="45" t="str">
        <f>IF(Table2[[#This Row],[Description]]="","",DATE(Table2[[#This Row],[Year]],Table2[[#This Row],[Month]],1))</f>
        <v/>
      </c>
    </row>
    <row r="3843" spans="7:11" x14ac:dyDescent="0.25">
      <c r="G3843" s="1" t="str">
        <f>IF(Table2[[#This Row],[Description]]="","",VLOOKUP(Table2[[#This Row],[Description]],$Q$1:$S$101,2,FALSE))</f>
        <v/>
      </c>
      <c r="H3843" s="1" t="str">
        <f>IF(Table2[[#This Row],[Description]]="","",VLOOKUP(Table2[[#This Row],[Description]],$Q$1:$S$101,3,FALSE))</f>
        <v/>
      </c>
      <c r="I3843" s="1" t="str">
        <f>IF(Table2[[#This Row],[Description]]="","",IF(Table2[[#This Row],[Currency]]=$O$2,$P$2,HLOOKUP(Table2[[#This Row],[Date]],Funds!$C$10:$GV$11,2,FALSE)))</f>
        <v/>
      </c>
      <c r="J3843" s="215" t="str">
        <f>IF(Table2[[#This Row],[Description]]="","",Table2[[#This Row],[Value]]/Table2[[#This Row],[Conversion]])</f>
        <v/>
      </c>
      <c r="K3843" s="45" t="str">
        <f>IF(Table2[[#This Row],[Description]]="","",DATE(Table2[[#This Row],[Year]],Table2[[#This Row],[Month]],1))</f>
        <v/>
      </c>
    </row>
    <row r="3844" spans="7:11" x14ac:dyDescent="0.25">
      <c r="G3844" s="1" t="str">
        <f>IF(Table2[[#This Row],[Description]]="","",VLOOKUP(Table2[[#This Row],[Description]],$Q$1:$S$101,2,FALSE))</f>
        <v/>
      </c>
      <c r="H3844" s="1" t="str">
        <f>IF(Table2[[#This Row],[Description]]="","",VLOOKUP(Table2[[#This Row],[Description]],$Q$1:$S$101,3,FALSE))</f>
        <v/>
      </c>
      <c r="I3844" s="1" t="str">
        <f>IF(Table2[[#This Row],[Description]]="","",IF(Table2[[#This Row],[Currency]]=$O$2,$P$2,HLOOKUP(Table2[[#This Row],[Date]],Funds!$C$10:$GV$11,2,FALSE)))</f>
        <v/>
      </c>
      <c r="J3844" s="215" t="str">
        <f>IF(Table2[[#This Row],[Description]]="","",Table2[[#This Row],[Value]]/Table2[[#This Row],[Conversion]])</f>
        <v/>
      </c>
      <c r="K3844" s="45" t="str">
        <f>IF(Table2[[#This Row],[Description]]="","",DATE(Table2[[#This Row],[Year]],Table2[[#This Row],[Month]],1))</f>
        <v/>
      </c>
    </row>
    <row r="3845" spans="7:11" x14ac:dyDescent="0.25">
      <c r="G3845" s="1" t="str">
        <f>IF(Table2[[#This Row],[Description]]="","",VLOOKUP(Table2[[#This Row],[Description]],$Q$1:$S$101,2,FALSE))</f>
        <v/>
      </c>
      <c r="H3845" s="1" t="str">
        <f>IF(Table2[[#This Row],[Description]]="","",VLOOKUP(Table2[[#This Row],[Description]],$Q$1:$S$101,3,FALSE))</f>
        <v/>
      </c>
      <c r="I3845" s="1" t="str">
        <f>IF(Table2[[#This Row],[Description]]="","",IF(Table2[[#This Row],[Currency]]=$O$2,$P$2,HLOOKUP(Table2[[#This Row],[Date]],Funds!$C$10:$GV$11,2,FALSE)))</f>
        <v/>
      </c>
      <c r="J3845" s="215" t="str">
        <f>IF(Table2[[#This Row],[Description]]="","",Table2[[#This Row],[Value]]/Table2[[#This Row],[Conversion]])</f>
        <v/>
      </c>
      <c r="K3845" s="45" t="str">
        <f>IF(Table2[[#This Row],[Description]]="","",DATE(Table2[[#This Row],[Year]],Table2[[#This Row],[Month]],1))</f>
        <v/>
      </c>
    </row>
    <row r="3846" spans="7:11" x14ac:dyDescent="0.25">
      <c r="G3846" s="1" t="str">
        <f>IF(Table2[[#This Row],[Description]]="","",VLOOKUP(Table2[[#This Row],[Description]],$Q$1:$S$101,2,FALSE))</f>
        <v/>
      </c>
      <c r="H3846" s="1" t="str">
        <f>IF(Table2[[#This Row],[Description]]="","",VLOOKUP(Table2[[#This Row],[Description]],$Q$1:$S$101,3,FALSE))</f>
        <v/>
      </c>
      <c r="I3846" s="1" t="str">
        <f>IF(Table2[[#This Row],[Description]]="","",IF(Table2[[#This Row],[Currency]]=$O$2,$P$2,HLOOKUP(Table2[[#This Row],[Date]],Funds!$C$10:$GV$11,2,FALSE)))</f>
        <v/>
      </c>
      <c r="J3846" s="215" t="str">
        <f>IF(Table2[[#This Row],[Description]]="","",Table2[[#This Row],[Value]]/Table2[[#This Row],[Conversion]])</f>
        <v/>
      </c>
      <c r="K3846" s="45" t="str">
        <f>IF(Table2[[#This Row],[Description]]="","",DATE(Table2[[#This Row],[Year]],Table2[[#This Row],[Month]],1))</f>
        <v/>
      </c>
    </row>
    <row r="3847" spans="7:11" x14ac:dyDescent="0.25">
      <c r="G3847" s="1" t="str">
        <f>IF(Table2[[#This Row],[Description]]="","",VLOOKUP(Table2[[#This Row],[Description]],$Q$1:$S$101,2,FALSE))</f>
        <v/>
      </c>
      <c r="H3847" s="1" t="str">
        <f>IF(Table2[[#This Row],[Description]]="","",VLOOKUP(Table2[[#This Row],[Description]],$Q$1:$S$101,3,FALSE))</f>
        <v/>
      </c>
      <c r="I3847" s="1" t="str">
        <f>IF(Table2[[#This Row],[Description]]="","",IF(Table2[[#This Row],[Currency]]=$O$2,$P$2,HLOOKUP(Table2[[#This Row],[Date]],Funds!$C$10:$GV$11,2,FALSE)))</f>
        <v/>
      </c>
      <c r="J3847" s="215" t="str">
        <f>IF(Table2[[#This Row],[Description]]="","",Table2[[#This Row],[Value]]/Table2[[#This Row],[Conversion]])</f>
        <v/>
      </c>
      <c r="K3847" s="45" t="str">
        <f>IF(Table2[[#This Row],[Description]]="","",DATE(Table2[[#This Row],[Year]],Table2[[#This Row],[Month]],1))</f>
        <v/>
      </c>
    </row>
    <row r="3848" spans="7:11" x14ac:dyDescent="0.25">
      <c r="G3848" s="1" t="str">
        <f>IF(Table2[[#This Row],[Description]]="","",VLOOKUP(Table2[[#This Row],[Description]],$Q$1:$S$101,2,FALSE))</f>
        <v/>
      </c>
      <c r="H3848" s="1" t="str">
        <f>IF(Table2[[#This Row],[Description]]="","",VLOOKUP(Table2[[#This Row],[Description]],$Q$1:$S$101,3,FALSE))</f>
        <v/>
      </c>
      <c r="I3848" s="1" t="str">
        <f>IF(Table2[[#This Row],[Description]]="","",IF(Table2[[#This Row],[Currency]]=$O$2,$P$2,HLOOKUP(Table2[[#This Row],[Date]],Funds!$C$10:$GV$11,2,FALSE)))</f>
        <v/>
      </c>
      <c r="J3848" s="215" t="str">
        <f>IF(Table2[[#This Row],[Description]]="","",Table2[[#This Row],[Value]]/Table2[[#This Row],[Conversion]])</f>
        <v/>
      </c>
      <c r="K3848" s="45" t="str">
        <f>IF(Table2[[#This Row],[Description]]="","",DATE(Table2[[#This Row],[Year]],Table2[[#This Row],[Month]],1))</f>
        <v/>
      </c>
    </row>
    <row r="3849" spans="7:11" x14ac:dyDescent="0.25">
      <c r="G3849" s="1" t="str">
        <f>IF(Table2[[#This Row],[Description]]="","",VLOOKUP(Table2[[#This Row],[Description]],$Q$1:$S$101,2,FALSE))</f>
        <v/>
      </c>
      <c r="H3849" s="1" t="str">
        <f>IF(Table2[[#This Row],[Description]]="","",VLOOKUP(Table2[[#This Row],[Description]],$Q$1:$S$101,3,FALSE))</f>
        <v/>
      </c>
      <c r="I3849" s="1" t="str">
        <f>IF(Table2[[#This Row],[Description]]="","",IF(Table2[[#This Row],[Currency]]=$O$2,$P$2,HLOOKUP(Table2[[#This Row],[Date]],Funds!$C$10:$GV$11,2,FALSE)))</f>
        <v/>
      </c>
      <c r="J3849" s="215" t="str">
        <f>IF(Table2[[#This Row],[Description]]="","",Table2[[#This Row],[Value]]/Table2[[#This Row],[Conversion]])</f>
        <v/>
      </c>
      <c r="K3849" s="45" t="str">
        <f>IF(Table2[[#This Row],[Description]]="","",DATE(Table2[[#This Row],[Year]],Table2[[#This Row],[Month]],1))</f>
        <v/>
      </c>
    </row>
    <row r="3850" spans="7:11" x14ac:dyDescent="0.25">
      <c r="G3850" s="1" t="str">
        <f>IF(Table2[[#This Row],[Description]]="","",VLOOKUP(Table2[[#This Row],[Description]],$Q$1:$S$101,2,FALSE))</f>
        <v/>
      </c>
      <c r="H3850" s="1" t="str">
        <f>IF(Table2[[#This Row],[Description]]="","",VLOOKUP(Table2[[#This Row],[Description]],$Q$1:$S$101,3,FALSE))</f>
        <v/>
      </c>
      <c r="I3850" s="1" t="str">
        <f>IF(Table2[[#This Row],[Description]]="","",IF(Table2[[#This Row],[Currency]]=$O$2,$P$2,HLOOKUP(Table2[[#This Row],[Date]],Funds!$C$10:$GV$11,2,FALSE)))</f>
        <v/>
      </c>
      <c r="J3850" s="215" t="str">
        <f>IF(Table2[[#This Row],[Description]]="","",Table2[[#This Row],[Value]]/Table2[[#This Row],[Conversion]])</f>
        <v/>
      </c>
      <c r="K3850" s="45" t="str">
        <f>IF(Table2[[#This Row],[Description]]="","",DATE(Table2[[#This Row],[Year]],Table2[[#This Row],[Month]],1))</f>
        <v/>
      </c>
    </row>
    <row r="3851" spans="7:11" x14ac:dyDescent="0.25">
      <c r="G3851" s="1" t="str">
        <f>IF(Table2[[#This Row],[Description]]="","",VLOOKUP(Table2[[#This Row],[Description]],$Q$1:$S$101,2,FALSE))</f>
        <v/>
      </c>
      <c r="H3851" s="1" t="str">
        <f>IF(Table2[[#This Row],[Description]]="","",VLOOKUP(Table2[[#This Row],[Description]],$Q$1:$S$101,3,FALSE))</f>
        <v/>
      </c>
      <c r="I3851" s="1" t="str">
        <f>IF(Table2[[#This Row],[Description]]="","",IF(Table2[[#This Row],[Currency]]=$O$2,$P$2,HLOOKUP(Table2[[#This Row],[Date]],Funds!$C$10:$GV$11,2,FALSE)))</f>
        <v/>
      </c>
      <c r="J3851" s="215" t="str">
        <f>IF(Table2[[#This Row],[Description]]="","",Table2[[#This Row],[Value]]/Table2[[#This Row],[Conversion]])</f>
        <v/>
      </c>
      <c r="K3851" s="45" t="str">
        <f>IF(Table2[[#This Row],[Description]]="","",DATE(Table2[[#This Row],[Year]],Table2[[#This Row],[Month]],1))</f>
        <v/>
      </c>
    </row>
    <row r="3852" spans="7:11" x14ac:dyDescent="0.25">
      <c r="G3852" s="1" t="str">
        <f>IF(Table2[[#This Row],[Description]]="","",VLOOKUP(Table2[[#This Row],[Description]],$Q$1:$S$101,2,FALSE))</f>
        <v/>
      </c>
      <c r="H3852" s="1" t="str">
        <f>IF(Table2[[#This Row],[Description]]="","",VLOOKUP(Table2[[#This Row],[Description]],$Q$1:$S$101,3,FALSE))</f>
        <v/>
      </c>
      <c r="I3852" s="1" t="str">
        <f>IF(Table2[[#This Row],[Description]]="","",IF(Table2[[#This Row],[Currency]]=$O$2,$P$2,HLOOKUP(Table2[[#This Row],[Date]],Funds!$C$10:$GV$11,2,FALSE)))</f>
        <v/>
      </c>
      <c r="J3852" s="215" t="str">
        <f>IF(Table2[[#This Row],[Description]]="","",Table2[[#This Row],[Value]]/Table2[[#This Row],[Conversion]])</f>
        <v/>
      </c>
      <c r="K3852" s="45" t="str">
        <f>IF(Table2[[#This Row],[Description]]="","",DATE(Table2[[#This Row],[Year]],Table2[[#This Row],[Month]],1))</f>
        <v/>
      </c>
    </row>
    <row r="3853" spans="7:11" x14ac:dyDescent="0.25">
      <c r="G3853" s="1" t="str">
        <f>IF(Table2[[#This Row],[Description]]="","",VLOOKUP(Table2[[#This Row],[Description]],$Q$1:$S$101,2,FALSE))</f>
        <v/>
      </c>
      <c r="H3853" s="1" t="str">
        <f>IF(Table2[[#This Row],[Description]]="","",VLOOKUP(Table2[[#This Row],[Description]],$Q$1:$S$101,3,FALSE))</f>
        <v/>
      </c>
      <c r="I3853" s="1" t="str">
        <f>IF(Table2[[#This Row],[Description]]="","",IF(Table2[[#This Row],[Currency]]=$O$2,$P$2,HLOOKUP(Table2[[#This Row],[Date]],Funds!$C$10:$GV$11,2,FALSE)))</f>
        <v/>
      </c>
      <c r="J3853" s="215" t="str">
        <f>IF(Table2[[#This Row],[Description]]="","",Table2[[#This Row],[Value]]/Table2[[#This Row],[Conversion]])</f>
        <v/>
      </c>
      <c r="K3853" s="45" t="str">
        <f>IF(Table2[[#This Row],[Description]]="","",DATE(Table2[[#This Row],[Year]],Table2[[#This Row],[Month]],1))</f>
        <v/>
      </c>
    </row>
    <row r="3854" spans="7:11" x14ac:dyDescent="0.25">
      <c r="G3854" s="1" t="str">
        <f>IF(Table2[[#This Row],[Description]]="","",VLOOKUP(Table2[[#This Row],[Description]],$Q$1:$S$101,2,FALSE))</f>
        <v/>
      </c>
      <c r="H3854" s="1" t="str">
        <f>IF(Table2[[#This Row],[Description]]="","",VLOOKUP(Table2[[#This Row],[Description]],$Q$1:$S$101,3,FALSE))</f>
        <v/>
      </c>
      <c r="I3854" s="1" t="str">
        <f>IF(Table2[[#This Row],[Description]]="","",IF(Table2[[#This Row],[Currency]]=$O$2,$P$2,HLOOKUP(Table2[[#This Row],[Date]],Funds!$C$10:$GV$11,2,FALSE)))</f>
        <v/>
      </c>
      <c r="J3854" s="215" t="str">
        <f>IF(Table2[[#This Row],[Description]]="","",Table2[[#This Row],[Value]]/Table2[[#This Row],[Conversion]])</f>
        <v/>
      </c>
      <c r="K3854" s="45" t="str">
        <f>IF(Table2[[#This Row],[Description]]="","",DATE(Table2[[#This Row],[Year]],Table2[[#This Row],[Month]],1))</f>
        <v/>
      </c>
    </row>
    <row r="3855" spans="7:11" x14ac:dyDescent="0.25">
      <c r="G3855" s="1" t="str">
        <f>IF(Table2[[#This Row],[Description]]="","",VLOOKUP(Table2[[#This Row],[Description]],$Q$1:$S$101,2,FALSE))</f>
        <v/>
      </c>
      <c r="H3855" s="1" t="str">
        <f>IF(Table2[[#This Row],[Description]]="","",VLOOKUP(Table2[[#This Row],[Description]],$Q$1:$S$101,3,FALSE))</f>
        <v/>
      </c>
      <c r="I3855" s="1" t="str">
        <f>IF(Table2[[#This Row],[Description]]="","",IF(Table2[[#This Row],[Currency]]=$O$2,$P$2,HLOOKUP(Table2[[#This Row],[Date]],Funds!$C$10:$GV$11,2,FALSE)))</f>
        <v/>
      </c>
      <c r="J3855" s="215" t="str">
        <f>IF(Table2[[#This Row],[Description]]="","",Table2[[#This Row],[Value]]/Table2[[#This Row],[Conversion]])</f>
        <v/>
      </c>
      <c r="K3855" s="45" t="str">
        <f>IF(Table2[[#This Row],[Description]]="","",DATE(Table2[[#This Row],[Year]],Table2[[#This Row],[Month]],1))</f>
        <v/>
      </c>
    </row>
    <row r="3856" spans="7:11" x14ac:dyDescent="0.25">
      <c r="G3856" s="1" t="str">
        <f>IF(Table2[[#This Row],[Description]]="","",VLOOKUP(Table2[[#This Row],[Description]],$Q$1:$S$101,2,FALSE))</f>
        <v/>
      </c>
      <c r="H3856" s="1" t="str">
        <f>IF(Table2[[#This Row],[Description]]="","",VLOOKUP(Table2[[#This Row],[Description]],$Q$1:$S$101,3,FALSE))</f>
        <v/>
      </c>
      <c r="I3856" s="1" t="str">
        <f>IF(Table2[[#This Row],[Description]]="","",IF(Table2[[#This Row],[Currency]]=$O$2,$P$2,HLOOKUP(Table2[[#This Row],[Date]],Funds!$C$10:$GV$11,2,FALSE)))</f>
        <v/>
      </c>
      <c r="J3856" s="215" t="str">
        <f>IF(Table2[[#This Row],[Description]]="","",Table2[[#This Row],[Value]]/Table2[[#This Row],[Conversion]])</f>
        <v/>
      </c>
      <c r="K3856" s="45" t="str">
        <f>IF(Table2[[#This Row],[Description]]="","",DATE(Table2[[#This Row],[Year]],Table2[[#This Row],[Month]],1))</f>
        <v/>
      </c>
    </row>
    <row r="3857" spans="7:11" x14ac:dyDescent="0.25">
      <c r="G3857" s="1" t="str">
        <f>IF(Table2[[#This Row],[Description]]="","",VLOOKUP(Table2[[#This Row],[Description]],$Q$1:$S$101,2,FALSE))</f>
        <v/>
      </c>
      <c r="H3857" s="1" t="str">
        <f>IF(Table2[[#This Row],[Description]]="","",VLOOKUP(Table2[[#This Row],[Description]],$Q$1:$S$101,3,FALSE))</f>
        <v/>
      </c>
      <c r="I3857" s="1" t="str">
        <f>IF(Table2[[#This Row],[Description]]="","",IF(Table2[[#This Row],[Currency]]=$O$2,$P$2,HLOOKUP(Table2[[#This Row],[Date]],Funds!$C$10:$GV$11,2,FALSE)))</f>
        <v/>
      </c>
      <c r="J3857" s="215" t="str">
        <f>IF(Table2[[#This Row],[Description]]="","",Table2[[#This Row],[Value]]/Table2[[#This Row],[Conversion]])</f>
        <v/>
      </c>
      <c r="K3857" s="45" t="str">
        <f>IF(Table2[[#This Row],[Description]]="","",DATE(Table2[[#This Row],[Year]],Table2[[#This Row],[Month]],1))</f>
        <v/>
      </c>
    </row>
    <row r="3858" spans="7:11" x14ac:dyDescent="0.25">
      <c r="G3858" s="1" t="str">
        <f>IF(Table2[[#This Row],[Description]]="","",VLOOKUP(Table2[[#This Row],[Description]],$Q$1:$S$101,2,FALSE))</f>
        <v/>
      </c>
      <c r="H3858" s="1" t="str">
        <f>IF(Table2[[#This Row],[Description]]="","",VLOOKUP(Table2[[#This Row],[Description]],$Q$1:$S$101,3,FALSE))</f>
        <v/>
      </c>
      <c r="I3858" s="1" t="str">
        <f>IF(Table2[[#This Row],[Description]]="","",IF(Table2[[#This Row],[Currency]]=$O$2,$P$2,HLOOKUP(Table2[[#This Row],[Date]],Funds!$C$10:$GV$11,2,FALSE)))</f>
        <v/>
      </c>
      <c r="J3858" s="215" t="str">
        <f>IF(Table2[[#This Row],[Description]]="","",Table2[[#This Row],[Value]]/Table2[[#This Row],[Conversion]])</f>
        <v/>
      </c>
      <c r="K3858" s="45" t="str">
        <f>IF(Table2[[#This Row],[Description]]="","",DATE(Table2[[#This Row],[Year]],Table2[[#This Row],[Month]],1))</f>
        <v/>
      </c>
    </row>
    <row r="3859" spans="7:11" x14ac:dyDescent="0.25">
      <c r="G3859" s="1" t="str">
        <f>IF(Table2[[#This Row],[Description]]="","",VLOOKUP(Table2[[#This Row],[Description]],$Q$1:$S$101,2,FALSE))</f>
        <v/>
      </c>
      <c r="H3859" s="1" t="str">
        <f>IF(Table2[[#This Row],[Description]]="","",VLOOKUP(Table2[[#This Row],[Description]],$Q$1:$S$101,3,FALSE))</f>
        <v/>
      </c>
      <c r="I3859" s="1" t="str">
        <f>IF(Table2[[#This Row],[Description]]="","",IF(Table2[[#This Row],[Currency]]=$O$2,$P$2,HLOOKUP(Table2[[#This Row],[Date]],Funds!$C$10:$GV$11,2,FALSE)))</f>
        <v/>
      </c>
      <c r="J3859" s="215" t="str">
        <f>IF(Table2[[#This Row],[Description]]="","",Table2[[#This Row],[Value]]/Table2[[#This Row],[Conversion]])</f>
        <v/>
      </c>
      <c r="K3859" s="45" t="str">
        <f>IF(Table2[[#This Row],[Description]]="","",DATE(Table2[[#This Row],[Year]],Table2[[#This Row],[Month]],1))</f>
        <v/>
      </c>
    </row>
    <row r="3860" spans="7:11" x14ac:dyDescent="0.25">
      <c r="G3860" s="1" t="str">
        <f>IF(Table2[[#This Row],[Description]]="","",VLOOKUP(Table2[[#This Row],[Description]],$Q$1:$S$101,2,FALSE))</f>
        <v/>
      </c>
      <c r="H3860" s="1" t="str">
        <f>IF(Table2[[#This Row],[Description]]="","",VLOOKUP(Table2[[#This Row],[Description]],$Q$1:$S$101,3,FALSE))</f>
        <v/>
      </c>
      <c r="I3860" s="1" t="str">
        <f>IF(Table2[[#This Row],[Description]]="","",IF(Table2[[#This Row],[Currency]]=$O$2,$P$2,HLOOKUP(Table2[[#This Row],[Date]],Funds!$C$10:$GV$11,2,FALSE)))</f>
        <v/>
      </c>
      <c r="J3860" s="215" t="str">
        <f>IF(Table2[[#This Row],[Description]]="","",Table2[[#This Row],[Value]]/Table2[[#This Row],[Conversion]])</f>
        <v/>
      </c>
      <c r="K3860" s="45" t="str">
        <f>IF(Table2[[#This Row],[Description]]="","",DATE(Table2[[#This Row],[Year]],Table2[[#This Row],[Month]],1))</f>
        <v/>
      </c>
    </row>
    <row r="3861" spans="7:11" x14ac:dyDescent="0.25">
      <c r="G3861" s="1" t="str">
        <f>IF(Table2[[#This Row],[Description]]="","",VLOOKUP(Table2[[#This Row],[Description]],$Q$1:$S$101,2,FALSE))</f>
        <v/>
      </c>
      <c r="H3861" s="1" t="str">
        <f>IF(Table2[[#This Row],[Description]]="","",VLOOKUP(Table2[[#This Row],[Description]],$Q$1:$S$101,3,FALSE))</f>
        <v/>
      </c>
      <c r="I3861" s="1" t="str">
        <f>IF(Table2[[#This Row],[Description]]="","",IF(Table2[[#This Row],[Currency]]=$O$2,$P$2,HLOOKUP(Table2[[#This Row],[Date]],Funds!$C$10:$GV$11,2,FALSE)))</f>
        <v/>
      </c>
      <c r="J3861" s="215" t="str">
        <f>IF(Table2[[#This Row],[Description]]="","",Table2[[#This Row],[Value]]/Table2[[#This Row],[Conversion]])</f>
        <v/>
      </c>
      <c r="K3861" s="45" t="str">
        <f>IF(Table2[[#This Row],[Description]]="","",DATE(Table2[[#This Row],[Year]],Table2[[#This Row],[Month]],1))</f>
        <v/>
      </c>
    </row>
    <row r="3862" spans="7:11" x14ac:dyDescent="0.25">
      <c r="G3862" s="1" t="str">
        <f>IF(Table2[[#This Row],[Description]]="","",VLOOKUP(Table2[[#This Row],[Description]],$Q$1:$S$101,2,FALSE))</f>
        <v/>
      </c>
      <c r="H3862" s="1" t="str">
        <f>IF(Table2[[#This Row],[Description]]="","",VLOOKUP(Table2[[#This Row],[Description]],$Q$1:$S$101,3,FALSE))</f>
        <v/>
      </c>
      <c r="I3862" s="1" t="str">
        <f>IF(Table2[[#This Row],[Description]]="","",IF(Table2[[#This Row],[Currency]]=$O$2,$P$2,HLOOKUP(Table2[[#This Row],[Date]],Funds!$C$10:$GV$11,2,FALSE)))</f>
        <v/>
      </c>
      <c r="J3862" s="215" t="str">
        <f>IF(Table2[[#This Row],[Description]]="","",Table2[[#This Row],[Value]]/Table2[[#This Row],[Conversion]])</f>
        <v/>
      </c>
      <c r="K3862" s="45" t="str">
        <f>IF(Table2[[#This Row],[Description]]="","",DATE(Table2[[#This Row],[Year]],Table2[[#This Row],[Month]],1))</f>
        <v/>
      </c>
    </row>
    <row r="3863" spans="7:11" x14ac:dyDescent="0.25">
      <c r="G3863" s="1" t="str">
        <f>IF(Table2[[#This Row],[Description]]="","",VLOOKUP(Table2[[#This Row],[Description]],$Q$1:$S$101,2,FALSE))</f>
        <v/>
      </c>
      <c r="H3863" s="1" t="str">
        <f>IF(Table2[[#This Row],[Description]]="","",VLOOKUP(Table2[[#This Row],[Description]],$Q$1:$S$101,3,FALSE))</f>
        <v/>
      </c>
      <c r="I3863" s="1" t="str">
        <f>IF(Table2[[#This Row],[Description]]="","",IF(Table2[[#This Row],[Currency]]=$O$2,$P$2,HLOOKUP(Table2[[#This Row],[Date]],Funds!$C$10:$GV$11,2,FALSE)))</f>
        <v/>
      </c>
      <c r="J3863" s="215" t="str">
        <f>IF(Table2[[#This Row],[Description]]="","",Table2[[#This Row],[Value]]/Table2[[#This Row],[Conversion]])</f>
        <v/>
      </c>
      <c r="K3863" s="45" t="str">
        <f>IF(Table2[[#This Row],[Description]]="","",DATE(Table2[[#This Row],[Year]],Table2[[#This Row],[Month]],1))</f>
        <v/>
      </c>
    </row>
    <row r="3864" spans="7:11" x14ac:dyDescent="0.25">
      <c r="G3864" s="1" t="str">
        <f>IF(Table2[[#This Row],[Description]]="","",VLOOKUP(Table2[[#This Row],[Description]],$Q$1:$S$101,2,FALSE))</f>
        <v/>
      </c>
      <c r="H3864" s="1" t="str">
        <f>IF(Table2[[#This Row],[Description]]="","",VLOOKUP(Table2[[#This Row],[Description]],$Q$1:$S$101,3,FALSE))</f>
        <v/>
      </c>
      <c r="I3864" s="1" t="str">
        <f>IF(Table2[[#This Row],[Description]]="","",IF(Table2[[#This Row],[Currency]]=$O$2,$P$2,HLOOKUP(Table2[[#This Row],[Date]],Funds!$C$10:$GV$11,2,FALSE)))</f>
        <v/>
      </c>
      <c r="J3864" s="215" t="str">
        <f>IF(Table2[[#This Row],[Description]]="","",Table2[[#This Row],[Value]]/Table2[[#This Row],[Conversion]])</f>
        <v/>
      </c>
      <c r="K3864" s="45" t="str">
        <f>IF(Table2[[#This Row],[Description]]="","",DATE(Table2[[#This Row],[Year]],Table2[[#This Row],[Month]],1))</f>
        <v/>
      </c>
    </row>
    <row r="3865" spans="7:11" x14ac:dyDescent="0.25">
      <c r="G3865" s="1" t="str">
        <f>IF(Table2[[#This Row],[Description]]="","",VLOOKUP(Table2[[#This Row],[Description]],$Q$1:$S$101,2,FALSE))</f>
        <v/>
      </c>
      <c r="H3865" s="1" t="str">
        <f>IF(Table2[[#This Row],[Description]]="","",VLOOKUP(Table2[[#This Row],[Description]],$Q$1:$S$101,3,FALSE))</f>
        <v/>
      </c>
      <c r="I3865" s="1" t="str">
        <f>IF(Table2[[#This Row],[Description]]="","",IF(Table2[[#This Row],[Currency]]=$O$2,$P$2,HLOOKUP(Table2[[#This Row],[Date]],Funds!$C$10:$GV$11,2,FALSE)))</f>
        <v/>
      </c>
      <c r="J3865" s="215" t="str">
        <f>IF(Table2[[#This Row],[Description]]="","",Table2[[#This Row],[Value]]/Table2[[#This Row],[Conversion]])</f>
        <v/>
      </c>
      <c r="K3865" s="45" t="str">
        <f>IF(Table2[[#This Row],[Description]]="","",DATE(Table2[[#This Row],[Year]],Table2[[#This Row],[Month]],1))</f>
        <v/>
      </c>
    </row>
    <row r="3866" spans="7:11" x14ac:dyDescent="0.25">
      <c r="G3866" s="1" t="str">
        <f>IF(Table2[[#This Row],[Description]]="","",VLOOKUP(Table2[[#This Row],[Description]],$Q$1:$S$101,2,FALSE))</f>
        <v/>
      </c>
      <c r="H3866" s="1" t="str">
        <f>IF(Table2[[#This Row],[Description]]="","",VLOOKUP(Table2[[#This Row],[Description]],$Q$1:$S$101,3,FALSE))</f>
        <v/>
      </c>
      <c r="I3866" s="1" t="str">
        <f>IF(Table2[[#This Row],[Description]]="","",IF(Table2[[#This Row],[Currency]]=$O$2,$P$2,HLOOKUP(Table2[[#This Row],[Date]],Funds!$C$10:$GV$11,2,FALSE)))</f>
        <v/>
      </c>
      <c r="J3866" s="215" t="str">
        <f>IF(Table2[[#This Row],[Description]]="","",Table2[[#This Row],[Value]]/Table2[[#This Row],[Conversion]])</f>
        <v/>
      </c>
      <c r="K3866" s="45" t="str">
        <f>IF(Table2[[#This Row],[Description]]="","",DATE(Table2[[#This Row],[Year]],Table2[[#This Row],[Month]],1))</f>
        <v/>
      </c>
    </row>
    <row r="3867" spans="7:11" x14ac:dyDescent="0.25">
      <c r="G3867" s="1" t="str">
        <f>IF(Table2[[#This Row],[Description]]="","",VLOOKUP(Table2[[#This Row],[Description]],$Q$1:$S$101,2,FALSE))</f>
        <v/>
      </c>
      <c r="H3867" s="1" t="str">
        <f>IF(Table2[[#This Row],[Description]]="","",VLOOKUP(Table2[[#This Row],[Description]],$Q$1:$S$101,3,FALSE))</f>
        <v/>
      </c>
      <c r="I3867" s="1" t="str">
        <f>IF(Table2[[#This Row],[Description]]="","",IF(Table2[[#This Row],[Currency]]=$O$2,$P$2,HLOOKUP(Table2[[#This Row],[Date]],Funds!$C$10:$GV$11,2,FALSE)))</f>
        <v/>
      </c>
      <c r="J3867" s="215" t="str">
        <f>IF(Table2[[#This Row],[Description]]="","",Table2[[#This Row],[Value]]/Table2[[#This Row],[Conversion]])</f>
        <v/>
      </c>
      <c r="K3867" s="45" t="str">
        <f>IF(Table2[[#This Row],[Description]]="","",DATE(Table2[[#This Row],[Year]],Table2[[#This Row],[Month]],1))</f>
        <v/>
      </c>
    </row>
    <row r="3868" spans="7:11" x14ac:dyDescent="0.25">
      <c r="G3868" s="1" t="str">
        <f>IF(Table2[[#This Row],[Description]]="","",VLOOKUP(Table2[[#This Row],[Description]],$Q$1:$S$101,2,FALSE))</f>
        <v/>
      </c>
      <c r="H3868" s="1" t="str">
        <f>IF(Table2[[#This Row],[Description]]="","",VLOOKUP(Table2[[#This Row],[Description]],$Q$1:$S$101,3,FALSE))</f>
        <v/>
      </c>
      <c r="I3868" s="1" t="str">
        <f>IF(Table2[[#This Row],[Description]]="","",IF(Table2[[#This Row],[Currency]]=$O$2,$P$2,HLOOKUP(Table2[[#This Row],[Date]],Funds!$C$10:$GV$11,2,FALSE)))</f>
        <v/>
      </c>
      <c r="J3868" s="215" t="str">
        <f>IF(Table2[[#This Row],[Description]]="","",Table2[[#This Row],[Value]]/Table2[[#This Row],[Conversion]])</f>
        <v/>
      </c>
      <c r="K3868" s="45" t="str">
        <f>IF(Table2[[#This Row],[Description]]="","",DATE(Table2[[#This Row],[Year]],Table2[[#This Row],[Month]],1))</f>
        <v/>
      </c>
    </row>
    <row r="3869" spans="7:11" x14ac:dyDescent="0.25">
      <c r="G3869" s="1" t="str">
        <f>IF(Table2[[#This Row],[Description]]="","",VLOOKUP(Table2[[#This Row],[Description]],$Q$1:$S$101,2,FALSE))</f>
        <v/>
      </c>
      <c r="H3869" s="1" t="str">
        <f>IF(Table2[[#This Row],[Description]]="","",VLOOKUP(Table2[[#This Row],[Description]],$Q$1:$S$101,3,FALSE))</f>
        <v/>
      </c>
      <c r="I3869" s="1" t="str">
        <f>IF(Table2[[#This Row],[Description]]="","",IF(Table2[[#This Row],[Currency]]=$O$2,$P$2,HLOOKUP(Table2[[#This Row],[Date]],Funds!$C$10:$GV$11,2,FALSE)))</f>
        <v/>
      </c>
      <c r="J3869" s="215" t="str">
        <f>IF(Table2[[#This Row],[Description]]="","",Table2[[#This Row],[Value]]/Table2[[#This Row],[Conversion]])</f>
        <v/>
      </c>
      <c r="K3869" s="45" t="str">
        <f>IF(Table2[[#This Row],[Description]]="","",DATE(Table2[[#This Row],[Year]],Table2[[#This Row],[Month]],1))</f>
        <v/>
      </c>
    </row>
    <row r="3870" spans="7:11" x14ac:dyDescent="0.25">
      <c r="G3870" s="1" t="str">
        <f>IF(Table2[[#This Row],[Description]]="","",VLOOKUP(Table2[[#This Row],[Description]],$Q$1:$S$101,2,FALSE))</f>
        <v/>
      </c>
      <c r="H3870" s="1" t="str">
        <f>IF(Table2[[#This Row],[Description]]="","",VLOOKUP(Table2[[#This Row],[Description]],$Q$1:$S$101,3,FALSE))</f>
        <v/>
      </c>
      <c r="I3870" s="1" t="str">
        <f>IF(Table2[[#This Row],[Description]]="","",IF(Table2[[#This Row],[Currency]]=$O$2,$P$2,HLOOKUP(Table2[[#This Row],[Date]],Funds!$C$10:$GV$11,2,FALSE)))</f>
        <v/>
      </c>
      <c r="J3870" s="215" t="str">
        <f>IF(Table2[[#This Row],[Description]]="","",Table2[[#This Row],[Value]]/Table2[[#This Row],[Conversion]])</f>
        <v/>
      </c>
      <c r="K3870" s="45" t="str">
        <f>IF(Table2[[#This Row],[Description]]="","",DATE(Table2[[#This Row],[Year]],Table2[[#This Row],[Month]],1))</f>
        <v/>
      </c>
    </row>
    <row r="3871" spans="7:11" x14ac:dyDescent="0.25">
      <c r="G3871" s="1" t="str">
        <f>IF(Table2[[#This Row],[Description]]="","",VLOOKUP(Table2[[#This Row],[Description]],$Q$1:$S$101,2,FALSE))</f>
        <v/>
      </c>
      <c r="H3871" s="1" t="str">
        <f>IF(Table2[[#This Row],[Description]]="","",VLOOKUP(Table2[[#This Row],[Description]],$Q$1:$S$101,3,FALSE))</f>
        <v/>
      </c>
      <c r="I3871" s="1" t="str">
        <f>IF(Table2[[#This Row],[Description]]="","",IF(Table2[[#This Row],[Currency]]=$O$2,$P$2,HLOOKUP(Table2[[#This Row],[Date]],Funds!$C$10:$GV$11,2,FALSE)))</f>
        <v/>
      </c>
      <c r="J3871" s="215" t="str">
        <f>IF(Table2[[#This Row],[Description]]="","",Table2[[#This Row],[Value]]/Table2[[#This Row],[Conversion]])</f>
        <v/>
      </c>
      <c r="K3871" s="45" t="str">
        <f>IF(Table2[[#This Row],[Description]]="","",DATE(Table2[[#This Row],[Year]],Table2[[#This Row],[Month]],1))</f>
        <v/>
      </c>
    </row>
    <row r="3872" spans="7:11" x14ac:dyDescent="0.25">
      <c r="G3872" s="1" t="str">
        <f>IF(Table2[[#This Row],[Description]]="","",VLOOKUP(Table2[[#This Row],[Description]],$Q$1:$S$101,2,FALSE))</f>
        <v/>
      </c>
      <c r="H3872" s="1" t="str">
        <f>IF(Table2[[#This Row],[Description]]="","",VLOOKUP(Table2[[#This Row],[Description]],$Q$1:$S$101,3,FALSE))</f>
        <v/>
      </c>
      <c r="I3872" s="1" t="str">
        <f>IF(Table2[[#This Row],[Description]]="","",IF(Table2[[#This Row],[Currency]]=$O$2,$P$2,HLOOKUP(Table2[[#This Row],[Date]],Funds!$C$10:$GV$11,2,FALSE)))</f>
        <v/>
      </c>
      <c r="J3872" s="215" t="str">
        <f>IF(Table2[[#This Row],[Description]]="","",Table2[[#This Row],[Value]]/Table2[[#This Row],[Conversion]])</f>
        <v/>
      </c>
      <c r="K3872" s="45" t="str">
        <f>IF(Table2[[#This Row],[Description]]="","",DATE(Table2[[#This Row],[Year]],Table2[[#This Row],[Month]],1))</f>
        <v/>
      </c>
    </row>
    <row r="3873" spans="7:11" x14ac:dyDescent="0.25">
      <c r="G3873" s="1" t="str">
        <f>IF(Table2[[#This Row],[Description]]="","",VLOOKUP(Table2[[#This Row],[Description]],$Q$1:$S$101,2,FALSE))</f>
        <v/>
      </c>
      <c r="H3873" s="1" t="str">
        <f>IF(Table2[[#This Row],[Description]]="","",VLOOKUP(Table2[[#This Row],[Description]],$Q$1:$S$101,3,FALSE))</f>
        <v/>
      </c>
      <c r="I3873" s="1" t="str">
        <f>IF(Table2[[#This Row],[Description]]="","",IF(Table2[[#This Row],[Currency]]=$O$2,$P$2,HLOOKUP(Table2[[#This Row],[Date]],Funds!$C$10:$GV$11,2,FALSE)))</f>
        <v/>
      </c>
      <c r="J3873" s="215" t="str">
        <f>IF(Table2[[#This Row],[Description]]="","",Table2[[#This Row],[Value]]/Table2[[#This Row],[Conversion]])</f>
        <v/>
      </c>
      <c r="K3873" s="45" t="str">
        <f>IF(Table2[[#This Row],[Description]]="","",DATE(Table2[[#This Row],[Year]],Table2[[#This Row],[Month]],1))</f>
        <v/>
      </c>
    </row>
    <row r="3874" spans="7:11" x14ac:dyDescent="0.25">
      <c r="G3874" s="1" t="str">
        <f>IF(Table2[[#This Row],[Description]]="","",VLOOKUP(Table2[[#This Row],[Description]],$Q$1:$S$101,2,FALSE))</f>
        <v/>
      </c>
      <c r="H3874" s="1" t="str">
        <f>IF(Table2[[#This Row],[Description]]="","",VLOOKUP(Table2[[#This Row],[Description]],$Q$1:$S$101,3,FALSE))</f>
        <v/>
      </c>
      <c r="I3874" s="1" t="str">
        <f>IF(Table2[[#This Row],[Description]]="","",IF(Table2[[#This Row],[Currency]]=$O$2,$P$2,HLOOKUP(Table2[[#This Row],[Date]],Funds!$C$10:$GV$11,2,FALSE)))</f>
        <v/>
      </c>
      <c r="J3874" s="215" t="str">
        <f>IF(Table2[[#This Row],[Description]]="","",Table2[[#This Row],[Value]]/Table2[[#This Row],[Conversion]])</f>
        <v/>
      </c>
      <c r="K3874" s="45" t="str">
        <f>IF(Table2[[#This Row],[Description]]="","",DATE(Table2[[#This Row],[Year]],Table2[[#This Row],[Month]],1))</f>
        <v/>
      </c>
    </row>
    <row r="3875" spans="7:11" x14ac:dyDescent="0.25">
      <c r="G3875" s="1" t="str">
        <f>IF(Table2[[#This Row],[Description]]="","",VLOOKUP(Table2[[#This Row],[Description]],$Q$1:$S$101,2,FALSE))</f>
        <v/>
      </c>
      <c r="H3875" s="1" t="str">
        <f>IF(Table2[[#This Row],[Description]]="","",VLOOKUP(Table2[[#This Row],[Description]],$Q$1:$S$101,3,FALSE))</f>
        <v/>
      </c>
      <c r="I3875" s="1" t="str">
        <f>IF(Table2[[#This Row],[Description]]="","",IF(Table2[[#This Row],[Currency]]=$O$2,$P$2,HLOOKUP(Table2[[#This Row],[Date]],Funds!$C$10:$GV$11,2,FALSE)))</f>
        <v/>
      </c>
      <c r="J3875" s="215" t="str">
        <f>IF(Table2[[#This Row],[Description]]="","",Table2[[#This Row],[Value]]/Table2[[#This Row],[Conversion]])</f>
        <v/>
      </c>
      <c r="K3875" s="45" t="str">
        <f>IF(Table2[[#This Row],[Description]]="","",DATE(Table2[[#This Row],[Year]],Table2[[#This Row],[Month]],1))</f>
        <v/>
      </c>
    </row>
    <row r="3876" spans="7:11" x14ac:dyDescent="0.25">
      <c r="G3876" s="1" t="str">
        <f>IF(Table2[[#This Row],[Description]]="","",VLOOKUP(Table2[[#This Row],[Description]],$Q$1:$S$101,2,FALSE))</f>
        <v/>
      </c>
      <c r="H3876" s="1" t="str">
        <f>IF(Table2[[#This Row],[Description]]="","",VLOOKUP(Table2[[#This Row],[Description]],$Q$1:$S$101,3,FALSE))</f>
        <v/>
      </c>
      <c r="I3876" s="1" t="str">
        <f>IF(Table2[[#This Row],[Description]]="","",IF(Table2[[#This Row],[Currency]]=$O$2,$P$2,HLOOKUP(Table2[[#This Row],[Date]],Funds!$C$10:$GV$11,2,FALSE)))</f>
        <v/>
      </c>
      <c r="J3876" s="215" t="str">
        <f>IF(Table2[[#This Row],[Description]]="","",Table2[[#This Row],[Value]]/Table2[[#This Row],[Conversion]])</f>
        <v/>
      </c>
      <c r="K3876" s="45" t="str">
        <f>IF(Table2[[#This Row],[Description]]="","",DATE(Table2[[#This Row],[Year]],Table2[[#This Row],[Month]],1))</f>
        <v/>
      </c>
    </row>
    <row r="3877" spans="7:11" x14ac:dyDescent="0.25">
      <c r="G3877" s="1" t="str">
        <f>IF(Table2[[#This Row],[Description]]="","",VLOOKUP(Table2[[#This Row],[Description]],$Q$1:$S$101,2,FALSE))</f>
        <v/>
      </c>
      <c r="H3877" s="1" t="str">
        <f>IF(Table2[[#This Row],[Description]]="","",VLOOKUP(Table2[[#This Row],[Description]],$Q$1:$S$101,3,FALSE))</f>
        <v/>
      </c>
      <c r="I3877" s="1" t="str">
        <f>IF(Table2[[#This Row],[Description]]="","",IF(Table2[[#This Row],[Currency]]=$O$2,$P$2,HLOOKUP(Table2[[#This Row],[Date]],Funds!$C$10:$GV$11,2,FALSE)))</f>
        <v/>
      </c>
      <c r="J3877" s="215" t="str">
        <f>IF(Table2[[#This Row],[Description]]="","",Table2[[#This Row],[Value]]/Table2[[#This Row],[Conversion]])</f>
        <v/>
      </c>
      <c r="K3877" s="45" t="str">
        <f>IF(Table2[[#This Row],[Description]]="","",DATE(Table2[[#This Row],[Year]],Table2[[#This Row],[Month]],1))</f>
        <v/>
      </c>
    </row>
    <row r="3878" spans="7:11" x14ac:dyDescent="0.25">
      <c r="G3878" s="1" t="str">
        <f>IF(Table2[[#This Row],[Description]]="","",VLOOKUP(Table2[[#This Row],[Description]],$Q$1:$S$101,2,FALSE))</f>
        <v/>
      </c>
      <c r="H3878" s="1" t="str">
        <f>IF(Table2[[#This Row],[Description]]="","",VLOOKUP(Table2[[#This Row],[Description]],$Q$1:$S$101,3,FALSE))</f>
        <v/>
      </c>
      <c r="I3878" s="1" t="str">
        <f>IF(Table2[[#This Row],[Description]]="","",IF(Table2[[#This Row],[Currency]]=$O$2,$P$2,HLOOKUP(Table2[[#This Row],[Date]],Funds!$C$10:$GV$11,2,FALSE)))</f>
        <v/>
      </c>
      <c r="J3878" s="215" t="str">
        <f>IF(Table2[[#This Row],[Description]]="","",Table2[[#This Row],[Value]]/Table2[[#This Row],[Conversion]])</f>
        <v/>
      </c>
      <c r="K3878" s="45" t="str">
        <f>IF(Table2[[#This Row],[Description]]="","",DATE(Table2[[#This Row],[Year]],Table2[[#This Row],[Month]],1))</f>
        <v/>
      </c>
    </row>
    <row r="3879" spans="7:11" x14ac:dyDescent="0.25">
      <c r="G3879" s="1" t="str">
        <f>IF(Table2[[#This Row],[Description]]="","",VLOOKUP(Table2[[#This Row],[Description]],$Q$1:$S$101,2,FALSE))</f>
        <v/>
      </c>
      <c r="H3879" s="1" t="str">
        <f>IF(Table2[[#This Row],[Description]]="","",VLOOKUP(Table2[[#This Row],[Description]],$Q$1:$S$101,3,FALSE))</f>
        <v/>
      </c>
      <c r="I3879" s="1" t="str">
        <f>IF(Table2[[#This Row],[Description]]="","",IF(Table2[[#This Row],[Currency]]=$O$2,$P$2,HLOOKUP(Table2[[#This Row],[Date]],Funds!$C$10:$GV$11,2,FALSE)))</f>
        <v/>
      </c>
      <c r="J3879" s="215" t="str">
        <f>IF(Table2[[#This Row],[Description]]="","",Table2[[#This Row],[Value]]/Table2[[#This Row],[Conversion]])</f>
        <v/>
      </c>
      <c r="K3879" s="45" t="str">
        <f>IF(Table2[[#This Row],[Description]]="","",DATE(Table2[[#This Row],[Year]],Table2[[#This Row],[Month]],1))</f>
        <v/>
      </c>
    </row>
    <row r="3880" spans="7:11" x14ac:dyDescent="0.25">
      <c r="G3880" s="1" t="str">
        <f>IF(Table2[[#This Row],[Description]]="","",VLOOKUP(Table2[[#This Row],[Description]],$Q$1:$S$101,2,FALSE))</f>
        <v/>
      </c>
      <c r="H3880" s="1" t="str">
        <f>IF(Table2[[#This Row],[Description]]="","",VLOOKUP(Table2[[#This Row],[Description]],$Q$1:$S$101,3,FALSE))</f>
        <v/>
      </c>
      <c r="I3880" s="1" t="str">
        <f>IF(Table2[[#This Row],[Description]]="","",IF(Table2[[#This Row],[Currency]]=$O$2,$P$2,HLOOKUP(Table2[[#This Row],[Date]],Funds!$C$10:$GV$11,2,FALSE)))</f>
        <v/>
      </c>
      <c r="J3880" s="215" t="str">
        <f>IF(Table2[[#This Row],[Description]]="","",Table2[[#This Row],[Value]]/Table2[[#This Row],[Conversion]])</f>
        <v/>
      </c>
      <c r="K3880" s="45" t="str">
        <f>IF(Table2[[#This Row],[Description]]="","",DATE(Table2[[#This Row],[Year]],Table2[[#This Row],[Month]],1))</f>
        <v/>
      </c>
    </row>
    <row r="3881" spans="7:11" x14ac:dyDescent="0.25">
      <c r="G3881" s="1" t="str">
        <f>IF(Table2[[#This Row],[Description]]="","",VLOOKUP(Table2[[#This Row],[Description]],$Q$1:$S$101,2,FALSE))</f>
        <v/>
      </c>
      <c r="H3881" s="1" t="str">
        <f>IF(Table2[[#This Row],[Description]]="","",VLOOKUP(Table2[[#This Row],[Description]],$Q$1:$S$101,3,FALSE))</f>
        <v/>
      </c>
      <c r="I3881" s="1" t="str">
        <f>IF(Table2[[#This Row],[Description]]="","",IF(Table2[[#This Row],[Currency]]=$O$2,$P$2,HLOOKUP(Table2[[#This Row],[Date]],Funds!$C$10:$GV$11,2,FALSE)))</f>
        <v/>
      </c>
      <c r="J3881" s="215" t="str">
        <f>IF(Table2[[#This Row],[Description]]="","",Table2[[#This Row],[Value]]/Table2[[#This Row],[Conversion]])</f>
        <v/>
      </c>
      <c r="K3881" s="45" t="str">
        <f>IF(Table2[[#This Row],[Description]]="","",DATE(Table2[[#This Row],[Year]],Table2[[#This Row],[Month]],1))</f>
        <v/>
      </c>
    </row>
    <row r="3882" spans="7:11" x14ac:dyDescent="0.25">
      <c r="G3882" s="1" t="str">
        <f>IF(Table2[[#This Row],[Description]]="","",VLOOKUP(Table2[[#This Row],[Description]],$Q$1:$S$101,2,FALSE))</f>
        <v/>
      </c>
      <c r="H3882" s="1" t="str">
        <f>IF(Table2[[#This Row],[Description]]="","",VLOOKUP(Table2[[#This Row],[Description]],$Q$1:$S$101,3,FALSE))</f>
        <v/>
      </c>
      <c r="I3882" s="1" t="str">
        <f>IF(Table2[[#This Row],[Description]]="","",IF(Table2[[#This Row],[Currency]]=$O$2,$P$2,HLOOKUP(Table2[[#This Row],[Date]],Funds!$C$10:$GV$11,2,FALSE)))</f>
        <v/>
      </c>
      <c r="J3882" s="215" t="str">
        <f>IF(Table2[[#This Row],[Description]]="","",Table2[[#This Row],[Value]]/Table2[[#This Row],[Conversion]])</f>
        <v/>
      </c>
      <c r="K3882" s="45" t="str">
        <f>IF(Table2[[#This Row],[Description]]="","",DATE(Table2[[#This Row],[Year]],Table2[[#This Row],[Month]],1))</f>
        <v/>
      </c>
    </row>
    <row r="3883" spans="7:11" x14ac:dyDescent="0.25">
      <c r="G3883" s="1" t="str">
        <f>IF(Table2[[#This Row],[Description]]="","",VLOOKUP(Table2[[#This Row],[Description]],$Q$1:$S$101,2,FALSE))</f>
        <v/>
      </c>
      <c r="H3883" s="1" t="str">
        <f>IF(Table2[[#This Row],[Description]]="","",VLOOKUP(Table2[[#This Row],[Description]],$Q$1:$S$101,3,FALSE))</f>
        <v/>
      </c>
      <c r="I3883" s="1" t="str">
        <f>IF(Table2[[#This Row],[Description]]="","",IF(Table2[[#This Row],[Currency]]=$O$2,$P$2,HLOOKUP(Table2[[#This Row],[Date]],Funds!$C$10:$GV$11,2,FALSE)))</f>
        <v/>
      </c>
      <c r="J3883" s="215" t="str">
        <f>IF(Table2[[#This Row],[Description]]="","",Table2[[#This Row],[Value]]/Table2[[#This Row],[Conversion]])</f>
        <v/>
      </c>
      <c r="K3883" s="45" t="str">
        <f>IF(Table2[[#This Row],[Description]]="","",DATE(Table2[[#This Row],[Year]],Table2[[#This Row],[Month]],1))</f>
        <v/>
      </c>
    </row>
    <row r="3884" spans="7:11" x14ac:dyDescent="0.25">
      <c r="G3884" s="1" t="str">
        <f>IF(Table2[[#This Row],[Description]]="","",VLOOKUP(Table2[[#This Row],[Description]],$Q$1:$S$101,2,FALSE))</f>
        <v/>
      </c>
      <c r="H3884" s="1" t="str">
        <f>IF(Table2[[#This Row],[Description]]="","",VLOOKUP(Table2[[#This Row],[Description]],$Q$1:$S$101,3,FALSE))</f>
        <v/>
      </c>
      <c r="I3884" s="1" t="str">
        <f>IF(Table2[[#This Row],[Description]]="","",IF(Table2[[#This Row],[Currency]]=$O$2,$P$2,HLOOKUP(Table2[[#This Row],[Date]],Funds!$C$10:$GV$11,2,FALSE)))</f>
        <v/>
      </c>
      <c r="J3884" s="215" t="str">
        <f>IF(Table2[[#This Row],[Description]]="","",Table2[[#This Row],[Value]]/Table2[[#This Row],[Conversion]])</f>
        <v/>
      </c>
      <c r="K3884" s="45" t="str">
        <f>IF(Table2[[#This Row],[Description]]="","",DATE(Table2[[#This Row],[Year]],Table2[[#This Row],[Month]],1))</f>
        <v/>
      </c>
    </row>
    <row r="3885" spans="7:11" x14ac:dyDescent="0.25">
      <c r="G3885" s="1" t="str">
        <f>IF(Table2[[#This Row],[Description]]="","",VLOOKUP(Table2[[#This Row],[Description]],$Q$1:$S$101,2,FALSE))</f>
        <v/>
      </c>
      <c r="H3885" s="1" t="str">
        <f>IF(Table2[[#This Row],[Description]]="","",VLOOKUP(Table2[[#This Row],[Description]],$Q$1:$S$101,3,FALSE))</f>
        <v/>
      </c>
      <c r="I3885" s="1" t="str">
        <f>IF(Table2[[#This Row],[Description]]="","",IF(Table2[[#This Row],[Currency]]=$O$2,$P$2,HLOOKUP(Table2[[#This Row],[Date]],Funds!$C$10:$GV$11,2,FALSE)))</f>
        <v/>
      </c>
      <c r="J3885" s="215" t="str">
        <f>IF(Table2[[#This Row],[Description]]="","",Table2[[#This Row],[Value]]/Table2[[#This Row],[Conversion]])</f>
        <v/>
      </c>
      <c r="K3885" s="45" t="str">
        <f>IF(Table2[[#This Row],[Description]]="","",DATE(Table2[[#This Row],[Year]],Table2[[#This Row],[Month]],1))</f>
        <v/>
      </c>
    </row>
    <row r="3886" spans="7:11" x14ac:dyDescent="0.25">
      <c r="G3886" s="1" t="str">
        <f>IF(Table2[[#This Row],[Description]]="","",VLOOKUP(Table2[[#This Row],[Description]],$Q$1:$S$101,2,FALSE))</f>
        <v/>
      </c>
      <c r="H3886" s="1" t="str">
        <f>IF(Table2[[#This Row],[Description]]="","",VLOOKUP(Table2[[#This Row],[Description]],$Q$1:$S$101,3,FALSE))</f>
        <v/>
      </c>
      <c r="I3886" s="1" t="str">
        <f>IF(Table2[[#This Row],[Description]]="","",IF(Table2[[#This Row],[Currency]]=$O$2,$P$2,HLOOKUP(Table2[[#This Row],[Date]],Funds!$C$10:$GV$11,2,FALSE)))</f>
        <v/>
      </c>
      <c r="J3886" s="215" t="str">
        <f>IF(Table2[[#This Row],[Description]]="","",Table2[[#This Row],[Value]]/Table2[[#This Row],[Conversion]])</f>
        <v/>
      </c>
      <c r="K3886" s="45" t="str">
        <f>IF(Table2[[#This Row],[Description]]="","",DATE(Table2[[#This Row],[Year]],Table2[[#This Row],[Month]],1))</f>
        <v/>
      </c>
    </row>
    <row r="3887" spans="7:11" x14ac:dyDescent="0.25">
      <c r="G3887" s="1" t="str">
        <f>IF(Table2[[#This Row],[Description]]="","",VLOOKUP(Table2[[#This Row],[Description]],$Q$1:$S$101,2,FALSE))</f>
        <v/>
      </c>
      <c r="H3887" s="1" t="str">
        <f>IF(Table2[[#This Row],[Description]]="","",VLOOKUP(Table2[[#This Row],[Description]],$Q$1:$S$101,3,FALSE))</f>
        <v/>
      </c>
      <c r="I3887" s="1" t="str">
        <f>IF(Table2[[#This Row],[Description]]="","",IF(Table2[[#This Row],[Currency]]=$O$2,$P$2,HLOOKUP(Table2[[#This Row],[Date]],Funds!$C$10:$GV$11,2,FALSE)))</f>
        <v/>
      </c>
      <c r="J3887" s="215" t="str">
        <f>IF(Table2[[#This Row],[Description]]="","",Table2[[#This Row],[Value]]/Table2[[#This Row],[Conversion]])</f>
        <v/>
      </c>
      <c r="K3887" s="45" t="str">
        <f>IF(Table2[[#This Row],[Description]]="","",DATE(Table2[[#This Row],[Year]],Table2[[#This Row],[Month]],1))</f>
        <v/>
      </c>
    </row>
    <row r="3888" spans="7:11" x14ac:dyDescent="0.25">
      <c r="G3888" s="1" t="str">
        <f>IF(Table2[[#This Row],[Description]]="","",VLOOKUP(Table2[[#This Row],[Description]],$Q$1:$S$101,2,FALSE))</f>
        <v/>
      </c>
      <c r="H3888" s="1" t="str">
        <f>IF(Table2[[#This Row],[Description]]="","",VLOOKUP(Table2[[#This Row],[Description]],$Q$1:$S$101,3,FALSE))</f>
        <v/>
      </c>
      <c r="I3888" s="1" t="str">
        <f>IF(Table2[[#This Row],[Description]]="","",IF(Table2[[#This Row],[Currency]]=$O$2,$P$2,HLOOKUP(Table2[[#This Row],[Date]],Funds!$C$10:$GV$11,2,FALSE)))</f>
        <v/>
      </c>
      <c r="J3888" s="215" t="str">
        <f>IF(Table2[[#This Row],[Description]]="","",Table2[[#This Row],[Value]]/Table2[[#This Row],[Conversion]])</f>
        <v/>
      </c>
      <c r="K3888" s="45" t="str">
        <f>IF(Table2[[#This Row],[Description]]="","",DATE(Table2[[#This Row],[Year]],Table2[[#This Row],[Month]],1))</f>
        <v/>
      </c>
    </row>
    <row r="3889" spans="7:11" x14ac:dyDescent="0.25">
      <c r="G3889" s="1" t="str">
        <f>IF(Table2[[#This Row],[Description]]="","",VLOOKUP(Table2[[#This Row],[Description]],$Q$1:$S$101,2,FALSE))</f>
        <v/>
      </c>
      <c r="H3889" s="1" t="str">
        <f>IF(Table2[[#This Row],[Description]]="","",VLOOKUP(Table2[[#This Row],[Description]],$Q$1:$S$101,3,FALSE))</f>
        <v/>
      </c>
      <c r="I3889" s="1" t="str">
        <f>IF(Table2[[#This Row],[Description]]="","",IF(Table2[[#This Row],[Currency]]=$O$2,$P$2,HLOOKUP(Table2[[#This Row],[Date]],Funds!$C$10:$GV$11,2,FALSE)))</f>
        <v/>
      </c>
      <c r="J3889" s="215" t="str">
        <f>IF(Table2[[#This Row],[Description]]="","",Table2[[#This Row],[Value]]/Table2[[#This Row],[Conversion]])</f>
        <v/>
      </c>
      <c r="K3889" s="45" t="str">
        <f>IF(Table2[[#This Row],[Description]]="","",DATE(Table2[[#This Row],[Year]],Table2[[#This Row],[Month]],1))</f>
        <v/>
      </c>
    </row>
    <row r="3890" spans="7:11" x14ac:dyDescent="0.25">
      <c r="G3890" s="1" t="str">
        <f>IF(Table2[[#This Row],[Description]]="","",VLOOKUP(Table2[[#This Row],[Description]],$Q$1:$S$101,2,FALSE))</f>
        <v/>
      </c>
      <c r="H3890" s="1" t="str">
        <f>IF(Table2[[#This Row],[Description]]="","",VLOOKUP(Table2[[#This Row],[Description]],$Q$1:$S$101,3,FALSE))</f>
        <v/>
      </c>
      <c r="I3890" s="1" t="str">
        <f>IF(Table2[[#This Row],[Description]]="","",IF(Table2[[#This Row],[Currency]]=$O$2,$P$2,HLOOKUP(Table2[[#This Row],[Date]],Funds!$C$10:$GV$11,2,FALSE)))</f>
        <v/>
      </c>
      <c r="J3890" s="215" t="str">
        <f>IF(Table2[[#This Row],[Description]]="","",Table2[[#This Row],[Value]]/Table2[[#This Row],[Conversion]])</f>
        <v/>
      </c>
      <c r="K3890" s="45" t="str">
        <f>IF(Table2[[#This Row],[Description]]="","",DATE(Table2[[#This Row],[Year]],Table2[[#This Row],[Month]],1))</f>
        <v/>
      </c>
    </row>
    <row r="3891" spans="7:11" x14ac:dyDescent="0.25">
      <c r="G3891" s="1" t="str">
        <f>IF(Table2[[#This Row],[Description]]="","",VLOOKUP(Table2[[#This Row],[Description]],$Q$1:$S$101,2,FALSE))</f>
        <v/>
      </c>
      <c r="H3891" s="1" t="str">
        <f>IF(Table2[[#This Row],[Description]]="","",VLOOKUP(Table2[[#This Row],[Description]],$Q$1:$S$101,3,FALSE))</f>
        <v/>
      </c>
      <c r="I3891" s="1" t="str">
        <f>IF(Table2[[#This Row],[Description]]="","",IF(Table2[[#This Row],[Currency]]=$O$2,$P$2,HLOOKUP(Table2[[#This Row],[Date]],Funds!$C$10:$GV$11,2,FALSE)))</f>
        <v/>
      </c>
      <c r="J3891" s="215" t="str">
        <f>IF(Table2[[#This Row],[Description]]="","",Table2[[#This Row],[Value]]/Table2[[#This Row],[Conversion]])</f>
        <v/>
      </c>
      <c r="K3891" s="45" t="str">
        <f>IF(Table2[[#This Row],[Description]]="","",DATE(Table2[[#This Row],[Year]],Table2[[#This Row],[Month]],1))</f>
        <v/>
      </c>
    </row>
    <row r="3892" spans="7:11" x14ac:dyDescent="0.25">
      <c r="G3892" s="1" t="str">
        <f>IF(Table2[[#This Row],[Description]]="","",VLOOKUP(Table2[[#This Row],[Description]],$Q$1:$S$101,2,FALSE))</f>
        <v/>
      </c>
      <c r="H3892" s="1" t="str">
        <f>IF(Table2[[#This Row],[Description]]="","",VLOOKUP(Table2[[#This Row],[Description]],$Q$1:$S$101,3,FALSE))</f>
        <v/>
      </c>
      <c r="I3892" s="1" t="str">
        <f>IF(Table2[[#This Row],[Description]]="","",IF(Table2[[#This Row],[Currency]]=$O$2,$P$2,HLOOKUP(Table2[[#This Row],[Date]],Funds!$C$10:$GV$11,2,FALSE)))</f>
        <v/>
      </c>
      <c r="J3892" s="215" t="str">
        <f>IF(Table2[[#This Row],[Description]]="","",Table2[[#This Row],[Value]]/Table2[[#This Row],[Conversion]])</f>
        <v/>
      </c>
      <c r="K3892" s="45" t="str">
        <f>IF(Table2[[#This Row],[Description]]="","",DATE(Table2[[#This Row],[Year]],Table2[[#This Row],[Month]],1))</f>
        <v/>
      </c>
    </row>
    <row r="3893" spans="7:11" x14ac:dyDescent="0.25">
      <c r="G3893" s="1" t="str">
        <f>IF(Table2[[#This Row],[Description]]="","",VLOOKUP(Table2[[#This Row],[Description]],$Q$1:$S$101,2,FALSE))</f>
        <v/>
      </c>
      <c r="H3893" s="1" t="str">
        <f>IF(Table2[[#This Row],[Description]]="","",VLOOKUP(Table2[[#This Row],[Description]],$Q$1:$S$101,3,FALSE))</f>
        <v/>
      </c>
      <c r="I3893" s="1" t="str">
        <f>IF(Table2[[#This Row],[Description]]="","",IF(Table2[[#This Row],[Currency]]=$O$2,$P$2,HLOOKUP(Table2[[#This Row],[Date]],Funds!$C$10:$GV$11,2,FALSE)))</f>
        <v/>
      </c>
      <c r="J3893" s="215" t="str">
        <f>IF(Table2[[#This Row],[Description]]="","",Table2[[#This Row],[Value]]/Table2[[#This Row],[Conversion]])</f>
        <v/>
      </c>
      <c r="K3893" s="45" t="str">
        <f>IF(Table2[[#This Row],[Description]]="","",DATE(Table2[[#This Row],[Year]],Table2[[#This Row],[Month]],1))</f>
        <v/>
      </c>
    </row>
    <row r="3894" spans="7:11" x14ac:dyDescent="0.25">
      <c r="G3894" s="1" t="str">
        <f>IF(Table2[[#This Row],[Description]]="","",VLOOKUP(Table2[[#This Row],[Description]],$Q$1:$S$101,2,FALSE))</f>
        <v/>
      </c>
      <c r="H3894" s="1" t="str">
        <f>IF(Table2[[#This Row],[Description]]="","",VLOOKUP(Table2[[#This Row],[Description]],$Q$1:$S$101,3,FALSE))</f>
        <v/>
      </c>
      <c r="I3894" s="1" t="str">
        <f>IF(Table2[[#This Row],[Description]]="","",IF(Table2[[#This Row],[Currency]]=$O$2,$P$2,HLOOKUP(Table2[[#This Row],[Date]],Funds!$C$10:$GV$11,2,FALSE)))</f>
        <v/>
      </c>
      <c r="J3894" s="215" t="str">
        <f>IF(Table2[[#This Row],[Description]]="","",Table2[[#This Row],[Value]]/Table2[[#This Row],[Conversion]])</f>
        <v/>
      </c>
      <c r="K3894" s="45" t="str">
        <f>IF(Table2[[#This Row],[Description]]="","",DATE(Table2[[#This Row],[Year]],Table2[[#This Row],[Month]],1))</f>
        <v/>
      </c>
    </row>
    <row r="3895" spans="7:11" x14ac:dyDescent="0.25">
      <c r="G3895" s="1" t="str">
        <f>IF(Table2[[#This Row],[Description]]="","",VLOOKUP(Table2[[#This Row],[Description]],$Q$1:$S$101,2,FALSE))</f>
        <v/>
      </c>
      <c r="H3895" s="1" t="str">
        <f>IF(Table2[[#This Row],[Description]]="","",VLOOKUP(Table2[[#This Row],[Description]],$Q$1:$S$101,3,FALSE))</f>
        <v/>
      </c>
      <c r="I3895" s="1" t="str">
        <f>IF(Table2[[#This Row],[Description]]="","",IF(Table2[[#This Row],[Currency]]=$O$2,$P$2,HLOOKUP(Table2[[#This Row],[Date]],Funds!$C$10:$GV$11,2,FALSE)))</f>
        <v/>
      </c>
      <c r="J3895" s="215" t="str">
        <f>IF(Table2[[#This Row],[Description]]="","",Table2[[#This Row],[Value]]/Table2[[#This Row],[Conversion]])</f>
        <v/>
      </c>
      <c r="K3895" s="45" t="str">
        <f>IF(Table2[[#This Row],[Description]]="","",DATE(Table2[[#This Row],[Year]],Table2[[#This Row],[Month]],1))</f>
        <v/>
      </c>
    </row>
    <row r="3896" spans="7:11" x14ac:dyDescent="0.25">
      <c r="G3896" s="1" t="str">
        <f>IF(Table2[[#This Row],[Description]]="","",VLOOKUP(Table2[[#This Row],[Description]],$Q$1:$S$101,2,FALSE))</f>
        <v/>
      </c>
      <c r="H3896" s="1" t="str">
        <f>IF(Table2[[#This Row],[Description]]="","",VLOOKUP(Table2[[#This Row],[Description]],$Q$1:$S$101,3,FALSE))</f>
        <v/>
      </c>
      <c r="I3896" s="1" t="str">
        <f>IF(Table2[[#This Row],[Description]]="","",IF(Table2[[#This Row],[Currency]]=$O$2,$P$2,HLOOKUP(Table2[[#This Row],[Date]],Funds!$C$10:$GV$11,2,FALSE)))</f>
        <v/>
      </c>
      <c r="J3896" s="215" t="str">
        <f>IF(Table2[[#This Row],[Description]]="","",Table2[[#This Row],[Value]]/Table2[[#This Row],[Conversion]])</f>
        <v/>
      </c>
      <c r="K3896" s="45" t="str">
        <f>IF(Table2[[#This Row],[Description]]="","",DATE(Table2[[#This Row],[Year]],Table2[[#This Row],[Month]],1))</f>
        <v/>
      </c>
    </row>
    <row r="3897" spans="7:11" x14ac:dyDescent="0.25">
      <c r="G3897" s="1" t="str">
        <f>IF(Table2[[#This Row],[Description]]="","",VLOOKUP(Table2[[#This Row],[Description]],$Q$1:$S$101,2,FALSE))</f>
        <v/>
      </c>
      <c r="H3897" s="1" t="str">
        <f>IF(Table2[[#This Row],[Description]]="","",VLOOKUP(Table2[[#This Row],[Description]],$Q$1:$S$101,3,FALSE))</f>
        <v/>
      </c>
      <c r="I3897" s="1" t="str">
        <f>IF(Table2[[#This Row],[Description]]="","",IF(Table2[[#This Row],[Currency]]=$O$2,$P$2,HLOOKUP(Table2[[#This Row],[Date]],Funds!$C$10:$GV$11,2,FALSE)))</f>
        <v/>
      </c>
      <c r="J3897" s="215" t="str">
        <f>IF(Table2[[#This Row],[Description]]="","",Table2[[#This Row],[Value]]/Table2[[#This Row],[Conversion]])</f>
        <v/>
      </c>
      <c r="K3897" s="45" t="str">
        <f>IF(Table2[[#This Row],[Description]]="","",DATE(Table2[[#This Row],[Year]],Table2[[#This Row],[Month]],1))</f>
        <v/>
      </c>
    </row>
    <row r="3898" spans="7:11" x14ac:dyDescent="0.25">
      <c r="G3898" s="1" t="str">
        <f>IF(Table2[[#This Row],[Description]]="","",VLOOKUP(Table2[[#This Row],[Description]],$Q$1:$S$101,2,FALSE))</f>
        <v/>
      </c>
      <c r="H3898" s="1" t="str">
        <f>IF(Table2[[#This Row],[Description]]="","",VLOOKUP(Table2[[#This Row],[Description]],$Q$1:$S$101,3,FALSE))</f>
        <v/>
      </c>
      <c r="I3898" s="1" t="str">
        <f>IF(Table2[[#This Row],[Description]]="","",IF(Table2[[#This Row],[Currency]]=$O$2,$P$2,HLOOKUP(Table2[[#This Row],[Date]],Funds!$C$10:$GV$11,2,FALSE)))</f>
        <v/>
      </c>
      <c r="J3898" s="215" t="str">
        <f>IF(Table2[[#This Row],[Description]]="","",Table2[[#This Row],[Value]]/Table2[[#This Row],[Conversion]])</f>
        <v/>
      </c>
      <c r="K3898" s="45" t="str">
        <f>IF(Table2[[#This Row],[Description]]="","",DATE(Table2[[#This Row],[Year]],Table2[[#This Row],[Month]],1))</f>
        <v/>
      </c>
    </row>
    <row r="3899" spans="7:11" x14ac:dyDescent="0.25">
      <c r="G3899" s="1" t="str">
        <f>IF(Table2[[#This Row],[Description]]="","",VLOOKUP(Table2[[#This Row],[Description]],$Q$1:$S$101,2,FALSE))</f>
        <v/>
      </c>
      <c r="H3899" s="1" t="str">
        <f>IF(Table2[[#This Row],[Description]]="","",VLOOKUP(Table2[[#This Row],[Description]],$Q$1:$S$101,3,FALSE))</f>
        <v/>
      </c>
      <c r="I3899" s="1" t="str">
        <f>IF(Table2[[#This Row],[Description]]="","",IF(Table2[[#This Row],[Currency]]=$O$2,$P$2,HLOOKUP(Table2[[#This Row],[Date]],Funds!$C$10:$GV$11,2,FALSE)))</f>
        <v/>
      </c>
      <c r="J3899" s="215" t="str">
        <f>IF(Table2[[#This Row],[Description]]="","",Table2[[#This Row],[Value]]/Table2[[#This Row],[Conversion]])</f>
        <v/>
      </c>
      <c r="K3899" s="45" t="str">
        <f>IF(Table2[[#This Row],[Description]]="","",DATE(Table2[[#This Row],[Year]],Table2[[#This Row],[Month]],1))</f>
        <v/>
      </c>
    </row>
    <row r="3900" spans="7:11" x14ac:dyDescent="0.25">
      <c r="G3900" s="1" t="str">
        <f>IF(Table2[[#This Row],[Description]]="","",VLOOKUP(Table2[[#This Row],[Description]],$Q$1:$S$101,2,FALSE))</f>
        <v/>
      </c>
      <c r="H3900" s="1" t="str">
        <f>IF(Table2[[#This Row],[Description]]="","",VLOOKUP(Table2[[#This Row],[Description]],$Q$1:$S$101,3,FALSE))</f>
        <v/>
      </c>
      <c r="I3900" s="1" t="str">
        <f>IF(Table2[[#This Row],[Description]]="","",IF(Table2[[#This Row],[Currency]]=$O$2,$P$2,HLOOKUP(Table2[[#This Row],[Date]],Funds!$C$10:$GV$11,2,FALSE)))</f>
        <v/>
      </c>
      <c r="J3900" s="215" t="str">
        <f>IF(Table2[[#This Row],[Description]]="","",Table2[[#This Row],[Value]]/Table2[[#This Row],[Conversion]])</f>
        <v/>
      </c>
      <c r="K3900" s="45" t="str">
        <f>IF(Table2[[#This Row],[Description]]="","",DATE(Table2[[#This Row],[Year]],Table2[[#This Row],[Month]],1))</f>
        <v/>
      </c>
    </row>
    <row r="3901" spans="7:11" x14ac:dyDescent="0.25">
      <c r="G3901" s="1" t="str">
        <f>IF(Table2[[#This Row],[Description]]="","",VLOOKUP(Table2[[#This Row],[Description]],$Q$1:$S$101,2,FALSE))</f>
        <v/>
      </c>
      <c r="H3901" s="1" t="str">
        <f>IF(Table2[[#This Row],[Description]]="","",VLOOKUP(Table2[[#This Row],[Description]],$Q$1:$S$101,3,FALSE))</f>
        <v/>
      </c>
      <c r="I3901" s="1" t="str">
        <f>IF(Table2[[#This Row],[Description]]="","",IF(Table2[[#This Row],[Currency]]=$O$2,$P$2,HLOOKUP(Table2[[#This Row],[Date]],Funds!$C$10:$GV$11,2,FALSE)))</f>
        <v/>
      </c>
      <c r="J3901" s="215" t="str">
        <f>IF(Table2[[#This Row],[Description]]="","",Table2[[#This Row],[Value]]/Table2[[#This Row],[Conversion]])</f>
        <v/>
      </c>
      <c r="K3901" s="45" t="str">
        <f>IF(Table2[[#This Row],[Description]]="","",DATE(Table2[[#This Row],[Year]],Table2[[#This Row],[Month]],1))</f>
        <v/>
      </c>
    </row>
    <row r="3902" spans="7:11" x14ac:dyDescent="0.25">
      <c r="G3902" s="1" t="str">
        <f>IF(Table2[[#This Row],[Description]]="","",VLOOKUP(Table2[[#This Row],[Description]],$Q$1:$S$101,2,FALSE))</f>
        <v/>
      </c>
      <c r="H3902" s="1" t="str">
        <f>IF(Table2[[#This Row],[Description]]="","",VLOOKUP(Table2[[#This Row],[Description]],$Q$1:$S$101,3,FALSE))</f>
        <v/>
      </c>
      <c r="I3902" s="1" t="str">
        <f>IF(Table2[[#This Row],[Description]]="","",IF(Table2[[#This Row],[Currency]]=$O$2,$P$2,HLOOKUP(Table2[[#This Row],[Date]],Funds!$C$10:$GV$11,2,FALSE)))</f>
        <v/>
      </c>
      <c r="J3902" s="215" t="str">
        <f>IF(Table2[[#This Row],[Description]]="","",Table2[[#This Row],[Value]]/Table2[[#This Row],[Conversion]])</f>
        <v/>
      </c>
      <c r="K3902" s="45" t="str">
        <f>IF(Table2[[#This Row],[Description]]="","",DATE(Table2[[#This Row],[Year]],Table2[[#This Row],[Month]],1))</f>
        <v/>
      </c>
    </row>
    <row r="3903" spans="7:11" x14ac:dyDescent="0.25">
      <c r="G3903" s="1" t="str">
        <f>IF(Table2[[#This Row],[Description]]="","",VLOOKUP(Table2[[#This Row],[Description]],$Q$1:$S$101,2,FALSE))</f>
        <v/>
      </c>
      <c r="H3903" s="1" t="str">
        <f>IF(Table2[[#This Row],[Description]]="","",VLOOKUP(Table2[[#This Row],[Description]],$Q$1:$S$101,3,FALSE))</f>
        <v/>
      </c>
      <c r="I3903" s="1" t="str">
        <f>IF(Table2[[#This Row],[Description]]="","",IF(Table2[[#This Row],[Currency]]=$O$2,$P$2,HLOOKUP(Table2[[#This Row],[Date]],Funds!$C$10:$GV$11,2,FALSE)))</f>
        <v/>
      </c>
      <c r="J3903" s="215" t="str">
        <f>IF(Table2[[#This Row],[Description]]="","",Table2[[#This Row],[Value]]/Table2[[#This Row],[Conversion]])</f>
        <v/>
      </c>
      <c r="K3903" s="45" t="str">
        <f>IF(Table2[[#This Row],[Description]]="","",DATE(Table2[[#This Row],[Year]],Table2[[#This Row],[Month]],1))</f>
        <v/>
      </c>
    </row>
    <row r="3904" spans="7:11" x14ac:dyDescent="0.25">
      <c r="G3904" s="1" t="str">
        <f>IF(Table2[[#This Row],[Description]]="","",VLOOKUP(Table2[[#This Row],[Description]],$Q$1:$S$101,2,FALSE))</f>
        <v/>
      </c>
      <c r="H3904" s="1" t="str">
        <f>IF(Table2[[#This Row],[Description]]="","",VLOOKUP(Table2[[#This Row],[Description]],$Q$1:$S$101,3,FALSE))</f>
        <v/>
      </c>
      <c r="I3904" s="1" t="str">
        <f>IF(Table2[[#This Row],[Description]]="","",IF(Table2[[#This Row],[Currency]]=$O$2,$P$2,HLOOKUP(Table2[[#This Row],[Date]],Funds!$C$10:$GV$11,2,FALSE)))</f>
        <v/>
      </c>
      <c r="J3904" s="215" t="str">
        <f>IF(Table2[[#This Row],[Description]]="","",Table2[[#This Row],[Value]]/Table2[[#This Row],[Conversion]])</f>
        <v/>
      </c>
      <c r="K3904" s="45" t="str">
        <f>IF(Table2[[#This Row],[Description]]="","",DATE(Table2[[#This Row],[Year]],Table2[[#This Row],[Month]],1))</f>
        <v/>
      </c>
    </row>
    <row r="3905" spans="7:11" x14ac:dyDescent="0.25">
      <c r="G3905" s="1" t="str">
        <f>IF(Table2[[#This Row],[Description]]="","",VLOOKUP(Table2[[#This Row],[Description]],$Q$1:$S$101,2,FALSE))</f>
        <v/>
      </c>
      <c r="H3905" s="1" t="str">
        <f>IF(Table2[[#This Row],[Description]]="","",VLOOKUP(Table2[[#This Row],[Description]],$Q$1:$S$101,3,FALSE))</f>
        <v/>
      </c>
      <c r="I3905" s="1" t="str">
        <f>IF(Table2[[#This Row],[Description]]="","",IF(Table2[[#This Row],[Currency]]=$O$2,$P$2,HLOOKUP(Table2[[#This Row],[Date]],Funds!$C$10:$GV$11,2,FALSE)))</f>
        <v/>
      </c>
      <c r="J3905" s="215" t="str">
        <f>IF(Table2[[#This Row],[Description]]="","",Table2[[#This Row],[Value]]/Table2[[#This Row],[Conversion]])</f>
        <v/>
      </c>
      <c r="K3905" s="45" t="str">
        <f>IF(Table2[[#This Row],[Description]]="","",DATE(Table2[[#This Row],[Year]],Table2[[#This Row],[Month]],1))</f>
        <v/>
      </c>
    </row>
    <row r="3906" spans="7:11" x14ac:dyDescent="0.25">
      <c r="G3906" s="1" t="str">
        <f>IF(Table2[[#This Row],[Description]]="","",VLOOKUP(Table2[[#This Row],[Description]],$Q$1:$S$101,2,FALSE))</f>
        <v/>
      </c>
      <c r="H3906" s="1" t="str">
        <f>IF(Table2[[#This Row],[Description]]="","",VLOOKUP(Table2[[#This Row],[Description]],$Q$1:$S$101,3,FALSE))</f>
        <v/>
      </c>
      <c r="I3906" s="1" t="str">
        <f>IF(Table2[[#This Row],[Description]]="","",IF(Table2[[#This Row],[Currency]]=$O$2,$P$2,HLOOKUP(Table2[[#This Row],[Date]],Funds!$C$10:$GV$11,2,FALSE)))</f>
        <v/>
      </c>
      <c r="J3906" s="215" t="str">
        <f>IF(Table2[[#This Row],[Description]]="","",Table2[[#This Row],[Value]]/Table2[[#This Row],[Conversion]])</f>
        <v/>
      </c>
      <c r="K3906" s="45" t="str">
        <f>IF(Table2[[#This Row],[Description]]="","",DATE(Table2[[#This Row],[Year]],Table2[[#This Row],[Month]],1))</f>
        <v/>
      </c>
    </row>
    <row r="3907" spans="7:11" x14ac:dyDescent="0.25">
      <c r="G3907" s="1" t="str">
        <f>IF(Table2[[#This Row],[Description]]="","",VLOOKUP(Table2[[#This Row],[Description]],$Q$1:$S$101,2,FALSE))</f>
        <v/>
      </c>
      <c r="H3907" s="1" t="str">
        <f>IF(Table2[[#This Row],[Description]]="","",VLOOKUP(Table2[[#This Row],[Description]],$Q$1:$S$101,3,FALSE))</f>
        <v/>
      </c>
      <c r="I3907" s="1" t="str">
        <f>IF(Table2[[#This Row],[Description]]="","",IF(Table2[[#This Row],[Currency]]=$O$2,$P$2,HLOOKUP(Table2[[#This Row],[Date]],Funds!$C$10:$GV$11,2,FALSE)))</f>
        <v/>
      </c>
      <c r="J3907" s="215" t="str">
        <f>IF(Table2[[#This Row],[Description]]="","",Table2[[#This Row],[Value]]/Table2[[#This Row],[Conversion]])</f>
        <v/>
      </c>
      <c r="K3907" s="45" t="str">
        <f>IF(Table2[[#This Row],[Description]]="","",DATE(Table2[[#This Row],[Year]],Table2[[#This Row],[Month]],1))</f>
        <v/>
      </c>
    </row>
    <row r="3908" spans="7:11" x14ac:dyDescent="0.25">
      <c r="G3908" s="1" t="str">
        <f>IF(Table2[[#This Row],[Description]]="","",VLOOKUP(Table2[[#This Row],[Description]],$Q$1:$S$101,2,FALSE))</f>
        <v/>
      </c>
      <c r="H3908" s="1" t="str">
        <f>IF(Table2[[#This Row],[Description]]="","",VLOOKUP(Table2[[#This Row],[Description]],$Q$1:$S$101,3,FALSE))</f>
        <v/>
      </c>
      <c r="I3908" s="1" t="str">
        <f>IF(Table2[[#This Row],[Description]]="","",IF(Table2[[#This Row],[Currency]]=$O$2,$P$2,HLOOKUP(Table2[[#This Row],[Date]],Funds!$C$10:$GV$11,2,FALSE)))</f>
        <v/>
      </c>
      <c r="J3908" s="215" t="str">
        <f>IF(Table2[[#This Row],[Description]]="","",Table2[[#This Row],[Value]]/Table2[[#This Row],[Conversion]])</f>
        <v/>
      </c>
      <c r="K3908" s="45" t="str">
        <f>IF(Table2[[#This Row],[Description]]="","",DATE(Table2[[#This Row],[Year]],Table2[[#This Row],[Month]],1))</f>
        <v/>
      </c>
    </row>
    <row r="3909" spans="7:11" x14ac:dyDescent="0.25">
      <c r="G3909" s="1" t="str">
        <f>IF(Table2[[#This Row],[Description]]="","",VLOOKUP(Table2[[#This Row],[Description]],$Q$1:$S$101,2,FALSE))</f>
        <v/>
      </c>
      <c r="H3909" s="1" t="str">
        <f>IF(Table2[[#This Row],[Description]]="","",VLOOKUP(Table2[[#This Row],[Description]],$Q$1:$S$101,3,FALSE))</f>
        <v/>
      </c>
      <c r="I3909" s="1" t="str">
        <f>IF(Table2[[#This Row],[Description]]="","",IF(Table2[[#This Row],[Currency]]=$O$2,$P$2,HLOOKUP(Table2[[#This Row],[Date]],Funds!$C$10:$GV$11,2,FALSE)))</f>
        <v/>
      </c>
      <c r="J3909" s="215" t="str">
        <f>IF(Table2[[#This Row],[Description]]="","",Table2[[#This Row],[Value]]/Table2[[#This Row],[Conversion]])</f>
        <v/>
      </c>
      <c r="K3909" s="45" t="str">
        <f>IF(Table2[[#This Row],[Description]]="","",DATE(Table2[[#This Row],[Year]],Table2[[#This Row],[Month]],1))</f>
        <v/>
      </c>
    </row>
    <row r="3910" spans="7:11" x14ac:dyDescent="0.25">
      <c r="G3910" s="1" t="str">
        <f>IF(Table2[[#This Row],[Description]]="","",VLOOKUP(Table2[[#This Row],[Description]],$Q$1:$S$101,2,FALSE))</f>
        <v/>
      </c>
      <c r="H3910" s="1" t="str">
        <f>IF(Table2[[#This Row],[Description]]="","",VLOOKUP(Table2[[#This Row],[Description]],$Q$1:$S$101,3,FALSE))</f>
        <v/>
      </c>
      <c r="I3910" s="1" t="str">
        <f>IF(Table2[[#This Row],[Description]]="","",IF(Table2[[#This Row],[Currency]]=$O$2,$P$2,HLOOKUP(Table2[[#This Row],[Date]],Funds!$C$10:$GV$11,2,FALSE)))</f>
        <v/>
      </c>
      <c r="J3910" s="215" t="str">
        <f>IF(Table2[[#This Row],[Description]]="","",Table2[[#This Row],[Value]]/Table2[[#This Row],[Conversion]])</f>
        <v/>
      </c>
      <c r="K3910" s="45" t="str">
        <f>IF(Table2[[#This Row],[Description]]="","",DATE(Table2[[#This Row],[Year]],Table2[[#This Row],[Month]],1))</f>
        <v/>
      </c>
    </row>
    <row r="3911" spans="7:11" x14ac:dyDescent="0.25">
      <c r="G3911" s="1" t="str">
        <f>IF(Table2[[#This Row],[Description]]="","",VLOOKUP(Table2[[#This Row],[Description]],$Q$1:$S$101,2,FALSE))</f>
        <v/>
      </c>
      <c r="H3911" s="1" t="str">
        <f>IF(Table2[[#This Row],[Description]]="","",VLOOKUP(Table2[[#This Row],[Description]],$Q$1:$S$101,3,FALSE))</f>
        <v/>
      </c>
      <c r="I3911" s="1" t="str">
        <f>IF(Table2[[#This Row],[Description]]="","",IF(Table2[[#This Row],[Currency]]=$O$2,$P$2,HLOOKUP(Table2[[#This Row],[Date]],Funds!$C$10:$GV$11,2,FALSE)))</f>
        <v/>
      </c>
      <c r="J3911" s="215" t="str">
        <f>IF(Table2[[#This Row],[Description]]="","",Table2[[#This Row],[Value]]/Table2[[#This Row],[Conversion]])</f>
        <v/>
      </c>
      <c r="K3911" s="45" t="str">
        <f>IF(Table2[[#This Row],[Description]]="","",DATE(Table2[[#This Row],[Year]],Table2[[#This Row],[Month]],1))</f>
        <v/>
      </c>
    </row>
    <row r="3912" spans="7:11" x14ac:dyDescent="0.25">
      <c r="G3912" s="1" t="str">
        <f>IF(Table2[[#This Row],[Description]]="","",VLOOKUP(Table2[[#This Row],[Description]],$Q$1:$S$101,2,FALSE))</f>
        <v/>
      </c>
      <c r="H3912" s="1" t="str">
        <f>IF(Table2[[#This Row],[Description]]="","",VLOOKUP(Table2[[#This Row],[Description]],$Q$1:$S$101,3,FALSE))</f>
        <v/>
      </c>
      <c r="I3912" s="1" t="str">
        <f>IF(Table2[[#This Row],[Description]]="","",IF(Table2[[#This Row],[Currency]]=$O$2,$P$2,HLOOKUP(Table2[[#This Row],[Date]],Funds!$C$10:$GV$11,2,FALSE)))</f>
        <v/>
      </c>
      <c r="J3912" s="215" t="str">
        <f>IF(Table2[[#This Row],[Description]]="","",Table2[[#This Row],[Value]]/Table2[[#This Row],[Conversion]])</f>
        <v/>
      </c>
      <c r="K3912" s="45" t="str">
        <f>IF(Table2[[#This Row],[Description]]="","",DATE(Table2[[#This Row],[Year]],Table2[[#This Row],[Month]],1))</f>
        <v/>
      </c>
    </row>
    <row r="3913" spans="7:11" x14ac:dyDescent="0.25">
      <c r="G3913" s="1" t="str">
        <f>IF(Table2[[#This Row],[Description]]="","",VLOOKUP(Table2[[#This Row],[Description]],$Q$1:$S$101,2,FALSE))</f>
        <v/>
      </c>
      <c r="H3913" s="1" t="str">
        <f>IF(Table2[[#This Row],[Description]]="","",VLOOKUP(Table2[[#This Row],[Description]],$Q$1:$S$101,3,FALSE))</f>
        <v/>
      </c>
      <c r="I3913" s="1" t="str">
        <f>IF(Table2[[#This Row],[Description]]="","",IF(Table2[[#This Row],[Currency]]=$O$2,$P$2,HLOOKUP(Table2[[#This Row],[Date]],Funds!$C$10:$GV$11,2,FALSE)))</f>
        <v/>
      </c>
      <c r="J3913" s="215" t="str">
        <f>IF(Table2[[#This Row],[Description]]="","",Table2[[#This Row],[Value]]/Table2[[#This Row],[Conversion]])</f>
        <v/>
      </c>
      <c r="K3913" s="45" t="str">
        <f>IF(Table2[[#This Row],[Description]]="","",DATE(Table2[[#This Row],[Year]],Table2[[#This Row],[Month]],1))</f>
        <v/>
      </c>
    </row>
    <row r="3914" spans="7:11" x14ac:dyDescent="0.25">
      <c r="G3914" s="1" t="str">
        <f>IF(Table2[[#This Row],[Description]]="","",VLOOKUP(Table2[[#This Row],[Description]],$Q$1:$S$101,2,FALSE))</f>
        <v/>
      </c>
      <c r="H3914" s="1" t="str">
        <f>IF(Table2[[#This Row],[Description]]="","",VLOOKUP(Table2[[#This Row],[Description]],$Q$1:$S$101,3,FALSE))</f>
        <v/>
      </c>
      <c r="I3914" s="1" t="str">
        <f>IF(Table2[[#This Row],[Description]]="","",IF(Table2[[#This Row],[Currency]]=$O$2,$P$2,HLOOKUP(Table2[[#This Row],[Date]],Funds!$C$10:$GV$11,2,FALSE)))</f>
        <v/>
      </c>
      <c r="J3914" s="215" t="str">
        <f>IF(Table2[[#This Row],[Description]]="","",Table2[[#This Row],[Value]]/Table2[[#This Row],[Conversion]])</f>
        <v/>
      </c>
      <c r="K3914" s="45" t="str">
        <f>IF(Table2[[#This Row],[Description]]="","",DATE(Table2[[#This Row],[Year]],Table2[[#This Row],[Month]],1))</f>
        <v/>
      </c>
    </row>
    <row r="3915" spans="7:11" x14ac:dyDescent="0.25">
      <c r="G3915" s="1" t="str">
        <f>IF(Table2[[#This Row],[Description]]="","",VLOOKUP(Table2[[#This Row],[Description]],$Q$1:$S$101,2,FALSE))</f>
        <v/>
      </c>
      <c r="H3915" s="1" t="str">
        <f>IF(Table2[[#This Row],[Description]]="","",VLOOKUP(Table2[[#This Row],[Description]],$Q$1:$S$101,3,FALSE))</f>
        <v/>
      </c>
      <c r="I3915" s="1" t="str">
        <f>IF(Table2[[#This Row],[Description]]="","",IF(Table2[[#This Row],[Currency]]=$O$2,$P$2,HLOOKUP(Table2[[#This Row],[Date]],Funds!$C$10:$GV$11,2,FALSE)))</f>
        <v/>
      </c>
      <c r="J3915" s="215" t="str">
        <f>IF(Table2[[#This Row],[Description]]="","",Table2[[#This Row],[Value]]/Table2[[#This Row],[Conversion]])</f>
        <v/>
      </c>
      <c r="K3915" s="45" t="str">
        <f>IF(Table2[[#This Row],[Description]]="","",DATE(Table2[[#This Row],[Year]],Table2[[#This Row],[Month]],1))</f>
        <v/>
      </c>
    </row>
    <row r="3916" spans="7:11" x14ac:dyDescent="0.25">
      <c r="G3916" s="1" t="str">
        <f>IF(Table2[[#This Row],[Description]]="","",VLOOKUP(Table2[[#This Row],[Description]],$Q$1:$S$101,2,FALSE))</f>
        <v/>
      </c>
      <c r="H3916" s="1" t="str">
        <f>IF(Table2[[#This Row],[Description]]="","",VLOOKUP(Table2[[#This Row],[Description]],$Q$1:$S$101,3,FALSE))</f>
        <v/>
      </c>
      <c r="I3916" s="1" t="str">
        <f>IF(Table2[[#This Row],[Description]]="","",IF(Table2[[#This Row],[Currency]]=$O$2,$P$2,HLOOKUP(Table2[[#This Row],[Date]],Funds!$C$10:$GV$11,2,FALSE)))</f>
        <v/>
      </c>
      <c r="J3916" s="215" t="str">
        <f>IF(Table2[[#This Row],[Description]]="","",Table2[[#This Row],[Value]]/Table2[[#This Row],[Conversion]])</f>
        <v/>
      </c>
      <c r="K3916" s="45" t="str">
        <f>IF(Table2[[#This Row],[Description]]="","",DATE(Table2[[#This Row],[Year]],Table2[[#This Row],[Month]],1))</f>
        <v/>
      </c>
    </row>
    <row r="3917" spans="7:11" x14ac:dyDescent="0.25">
      <c r="G3917" s="1" t="str">
        <f>IF(Table2[[#This Row],[Description]]="","",VLOOKUP(Table2[[#This Row],[Description]],$Q$1:$S$101,2,FALSE))</f>
        <v/>
      </c>
      <c r="H3917" s="1" t="str">
        <f>IF(Table2[[#This Row],[Description]]="","",VLOOKUP(Table2[[#This Row],[Description]],$Q$1:$S$101,3,FALSE))</f>
        <v/>
      </c>
      <c r="I3917" s="1" t="str">
        <f>IF(Table2[[#This Row],[Description]]="","",IF(Table2[[#This Row],[Currency]]=$O$2,$P$2,HLOOKUP(Table2[[#This Row],[Date]],Funds!$C$10:$GV$11,2,FALSE)))</f>
        <v/>
      </c>
      <c r="J3917" s="215" t="str">
        <f>IF(Table2[[#This Row],[Description]]="","",Table2[[#This Row],[Value]]/Table2[[#This Row],[Conversion]])</f>
        <v/>
      </c>
      <c r="K3917" s="45" t="str">
        <f>IF(Table2[[#This Row],[Description]]="","",DATE(Table2[[#This Row],[Year]],Table2[[#This Row],[Month]],1))</f>
        <v/>
      </c>
    </row>
    <row r="3918" spans="7:11" x14ac:dyDescent="0.25">
      <c r="G3918" s="1" t="str">
        <f>IF(Table2[[#This Row],[Description]]="","",VLOOKUP(Table2[[#This Row],[Description]],$Q$1:$S$101,2,FALSE))</f>
        <v/>
      </c>
      <c r="H3918" s="1" t="str">
        <f>IF(Table2[[#This Row],[Description]]="","",VLOOKUP(Table2[[#This Row],[Description]],$Q$1:$S$101,3,FALSE))</f>
        <v/>
      </c>
      <c r="I3918" s="1" t="str">
        <f>IF(Table2[[#This Row],[Description]]="","",IF(Table2[[#This Row],[Currency]]=$O$2,$P$2,HLOOKUP(Table2[[#This Row],[Date]],Funds!$C$10:$GV$11,2,FALSE)))</f>
        <v/>
      </c>
      <c r="J3918" s="215" t="str">
        <f>IF(Table2[[#This Row],[Description]]="","",Table2[[#This Row],[Value]]/Table2[[#This Row],[Conversion]])</f>
        <v/>
      </c>
      <c r="K3918" s="45" t="str">
        <f>IF(Table2[[#This Row],[Description]]="","",DATE(Table2[[#This Row],[Year]],Table2[[#This Row],[Month]],1))</f>
        <v/>
      </c>
    </row>
    <row r="3919" spans="7:11" x14ac:dyDescent="0.25">
      <c r="G3919" s="1" t="str">
        <f>IF(Table2[[#This Row],[Description]]="","",VLOOKUP(Table2[[#This Row],[Description]],$Q$1:$S$101,2,FALSE))</f>
        <v/>
      </c>
      <c r="H3919" s="1" t="str">
        <f>IF(Table2[[#This Row],[Description]]="","",VLOOKUP(Table2[[#This Row],[Description]],$Q$1:$S$101,3,FALSE))</f>
        <v/>
      </c>
      <c r="I3919" s="1" t="str">
        <f>IF(Table2[[#This Row],[Description]]="","",IF(Table2[[#This Row],[Currency]]=$O$2,$P$2,HLOOKUP(Table2[[#This Row],[Date]],Funds!$C$10:$GV$11,2,FALSE)))</f>
        <v/>
      </c>
      <c r="J3919" s="215" t="str">
        <f>IF(Table2[[#This Row],[Description]]="","",Table2[[#This Row],[Value]]/Table2[[#This Row],[Conversion]])</f>
        <v/>
      </c>
      <c r="K3919" s="45" t="str">
        <f>IF(Table2[[#This Row],[Description]]="","",DATE(Table2[[#This Row],[Year]],Table2[[#This Row],[Month]],1))</f>
        <v/>
      </c>
    </row>
    <row r="3920" spans="7:11" x14ac:dyDescent="0.25">
      <c r="G3920" s="1" t="str">
        <f>IF(Table2[[#This Row],[Description]]="","",VLOOKUP(Table2[[#This Row],[Description]],$Q$1:$S$101,2,FALSE))</f>
        <v/>
      </c>
      <c r="H3920" s="1" t="str">
        <f>IF(Table2[[#This Row],[Description]]="","",VLOOKUP(Table2[[#This Row],[Description]],$Q$1:$S$101,3,FALSE))</f>
        <v/>
      </c>
      <c r="I3920" s="1" t="str">
        <f>IF(Table2[[#This Row],[Description]]="","",IF(Table2[[#This Row],[Currency]]=$O$2,$P$2,HLOOKUP(Table2[[#This Row],[Date]],Funds!$C$10:$GV$11,2,FALSE)))</f>
        <v/>
      </c>
      <c r="J3920" s="215" t="str">
        <f>IF(Table2[[#This Row],[Description]]="","",Table2[[#This Row],[Value]]/Table2[[#This Row],[Conversion]])</f>
        <v/>
      </c>
      <c r="K3920" s="45" t="str">
        <f>IF(Table2[[#This Row],[Description]]="","",DATE(Table2[[#This Row],[Year]],Table2[[#This Row],[Month]],1))</f>
        <v/>
      </c>
    </row>
    <row r="3921" spans="7:11" x14ac:dyDescent="0.25">
      <c r="G3921" s="1" t="str">
        <f>IF(Table2[[#This Row],[Description]]="","",VLOOKUP(Table2[[#This Row],[Description]],$Q$1:$S$101,2,FALSE))</f>
        <v/>
      </c>
      <c r="H3921" s="1" t="str">
        <f>IF(Table2[[#This Row],[Description]]="","",VLOOKUP(Table2[[#This Row],[Description]],$Q$1:$S$101,3,FALSE))</f>
        <v/>
      </c>
      <c r="I3921" s="1" t="str">
        <f>IF(Table2[[#This Row],[Description]]="","",IF(Table2[[#This Row],[Currency]]=$O$2,$P$2,HLOOKUP(Table2[[#This Row],[Date]],Funds!$C$10:$GV$11,2,FALSE)))</f>
        <v/>
      </c>
      <c r="J3921" s="215" t="str">
        <f>IF(Table2[[#This Row],[Description]]="","",Table2[[#This Row],[Value]]/Table2[[#This Row],[Conversion]])</f>
        <v/>
      </c>
      <c r="K3921" s="45" t="str">
        <f>IF(Table2[[#This Row],[Description]]="","",DATE(Table2[[#This Row],[Year]],Table2[[#This Row],[Month]],1))</f>
        <v/>
      </c>
    </row>
    <row r="3922" spans="7:11" x14ac:dyDescent="0.25">
      <c r="G3922" s="1" t="str">
        <f>IF(Table2[[#This Row],[Description]]="","",VLOOKUP(Table2[[#This Row],[Description]],$Q$1:$S$101,2,FALSE))</f>
        <v/>
      </c>
      <c r="H3922" s="1" t="str">
        <f>IF(Table2[[#This Row],[Description]]="","",VLOOKUP(Table2[[#This Row],[Description]],$Q$1:$S$101,3,FALSE))</f>
        <v/>
      </c>
      <c r="I3922" s="1" t="str">
        <f>IF(Table2[[#This Row],[Description]]="","",IF(Table2[[#This Row],[Currency]]=$O$2,$P$2,HLOOKUP(Table2[[#This Row],[Date]],Funds!$C$10:$GV$11,2,FALSE)))</f>
        <v/>
      </c>
      <c r="J3922" s="215" t="str">
        <f>IF(Table2[[#This Row],[Description]]="","",Table2[[#This Row],[Value]]/Table2[[#This Row],[Conversion]])</f>
        <v/>
      </c>
      <c r="K3922" s="45" t="str">
        <f>IF(Table2[[#This Row],[Description]]="","",DATE(Table2[[#This Row],[Year]],Table2[[#This Row],[Month]],1))</f>
        <v/>
      </c>
    </row>
    <row r="3923" spans="7:11" x14ac:dyDescent="0.25">
      <c r="G3923" s="1" t="str">
        <f>IF(Table2[[#This Row],[Description]]="","",VLOOKUP(Table2[[#This Row],[Description]],$Q$1:$S$101,2,FALSE))</f>
        <v/>
      </c>
      <c r="H3923" s="1" t="str">
        <f>IF(Table2[[#This Row],[Description]]="","",VLOOKUP(Table2[[#This Row],[Description]],$Q$1:$S$101,3,FALSE))</f>
        <v/>
      </c>
      <c r="I3923" s="1" t="str">
        <f>IF(Table2[[#This Row],[Description]]="","",IF(Table2[[#This Row],[Currency]]=$O$2,$P$2,HLOOKUP(Table2[[#This Row],[Date]],Funds!$C$10:$GV$11,2,FALSE)))</f>
        <v/>
      </c>
      <c r="J3923" s="215" t="str">
        <f>IF(Table2[[#This Row],[Description]]="","",Table2[[#This Row],[Value]]/Table2[[#This Row],[Conversion]])</f>
        <v/>
      </c>
      <c r="K3923" s="45" t="str">
        <f>IF(Table2[[#This Row],[Description]]="","",DATE(Table2[[#This Row],[Year]],Table2[[#This Row],[Month]],1))</f>
        <v/>
      </c>
    </row>
    <row r="3924" spans="7:11" x14ac:dyDescent="0.25">
      <c r="G3924" s="1" t="str">
        <f>IF(Table2[[#This Row],[Description]]="","",VLOOKUP(Table2[[#This Row],[Description]],$Q$1:$S$101,2,FALSE))</f>
        <v/>
      </c>
      <c r="H3924" s="1" t="str">
        <f>IF(Table2[[#This Row],[Description]]="","",VLOOKUP(Table2[[#This Row],[Description]],$Q$1:$S$101,3,FALSE))</f>
        <v/>
      </c>
      <c r="I3924" s="1" t="str">
        <f>IF(Table2[[#This Row],[Description]]="","",IF(Table2[[#This Row],[Currency]]=$O$2,$P$2,HLOOKUP(Table2[[#This Row],[Date]],Funds!$C$10:$GV$11,2,FALSE)))</f>
        <v/>
      </c>
      <c r="J3924" s="215" t="str">
        <f>IF(Table2[[#This Row],[Description]]="","",Table2[[#This Row],[Value]]/Table2[[#This Row],[Conversion]])</f>
        <v/>
      </c>
      <c r="K3924" s="45" t="str">
        <f>IF(Table2[[#This Row],[Description]]="","",DATE(Table2[[#This Row],[Year]],Table2[[#This Row],[Month]],1))</f>
        <v/>
      </c>
    </row>
    <row r="3925" spans="7:11" x14ac:dyDescent="0.25">
      <c r="G3925" s="1" t="str">
        <f>IF(Table2[[#This Row],[Description]]="","",VLOOKUP(Table2[[#This Row],[Description]],$Q$1:$S$101,2,FALSE))</f>
        <v/>
      </c>
      <c r="H3925" s="1" t="str">
        <f>IF(Table2[[#This Row],[Description]]="","",VLOOKUP(Table2[[#This Row],[Description]],$Q$1:$S$101,3,FALSE))</f>
        <v/>
      </c>
      <c r="I3925" s="1" t="str">
        <f>IF(Table2[[#This Row],[Description]]="","",IF(Table2[[#This Row],[Currency]]=$O$2,$P$2,HLOOKUP(Table2[[#This Row],[Date]],Funds!$C$10:$GV$11,2,FALSE)))</f>
        <v/>
      </c>
      <c r="J3925" s="215" t="str">
        <f>IF(Table2[[#This Row],[Description]]="","",Table2[[#This Row],[Value]]/Table2[[#This Row],[Conversion]])</f>
        <v/>
      </c>
      <c r="K3925" s="45" t="str">
        <f>IF(Table2[[#This Row],[Description]]="","",DATE(Table2[[#This Row],[Year]],Table2[[#This Row],[Month]],1))</f>
        <v/>
      </c>
    </row>
    <row r="3926" spans="7:11" x14ac:dyDescent="0.25">
      <c r="G3926" s="1" t="str">
        <f>IF(Table2[[#This Row],[Description]]="","",VLOOKUP(Table2[[#This Row],[Description]],$Q$1:$S$101,2,FALSE))</f>
        <v/>
      </c>
      <c r="H3926" s="1" t="str">
        <f>IF(Table2[[#This Row],[Description]]="","",VLOOKUP(Table2[[#This Row],[Description]],$Q$1:$S$101,3,FALSE))</f>
        <v/>
      </c>
      <c r="I3926" s="1" t="str">
        <f>IF(Table2[[#This Row],[Description]]="","",IF(Table2[[#This Row],[Currency]]=$O$2,$P$2,HLOOKUP(Table2[[#This Row],[Date]],Funds!$C$10:$GV$11,2,FALSE)))</f>
        <v/>
      </c>
      <c r="J3926" s="215" t="str">
        <f>IF(Table2[[#This Row],[Description]]="","",Table2[[#This Row],[Value]]/Table2[[#This Row],[Conversion]])</f>
        <v/>
      </c>
      <c r="K3926" s="45" t="str">
        <f>IF(Table2[[#This Row],[Description]]="","",DATE(Table2[[#This Row],[Year]],Table2[[#This Row],[Month]],1))</f>
        <v/>
      </c>
    </row>
    <row r="3927" spans="7:11" x14ac:dyDescent="0.25">
      <c r="G3927" s="1" t="str">
        <f>IF(Table2[[#This Row],[Description]]="","",VLOOKUP(Table2[[#This Row],[Description]],$Q$1:$S$101,2,FALSE))</f>
        <v/>
      </c>
      <c r="H3927" s="1" t="str">
        <f>IF(Table2[[#This Row],[Description]]="","",VLOOKUP(Table2[[#This Row],[Description]],$Q$1:$S$101,3,FALSE))</f>
        <v/>
      </c>
      <c r="I3927" s="1" t="str">
        <f>IF(Table2[[#This Row],[Description]]="","",IF(Table2[[#This Row],[Currency]]=$O$2,$P$2,HLOOKUP(Table2[[#This Row],[Date]],Funds!$C$10:$GV$11,2,FALSE)))</f>
        <v/>
      </c>
      <c r="J3927" s="215" t="str">
        <f>IF(Table2[[#This Row],[Description]]="","",Table2[[#This Row],[Value]]/Table2[[#This Row],[Conversion]])</f>
        <v/>
      </c>
      <c r="K3927" s="45" t="str">
        <f>IF(Table2[[#This Row],[Description]]="","",DATE(Table2[[#This Row],[Year]],Table2[[#This Row],[Month]],1))</f>
        <v/>
      </c>
    </row>
    <row r="3928" spans="7:11" x14ac:dyDescent="0.25">
      <c r="G3928" s="1" t="str">
        <f>IF(Table2[[#This Row],[Description]]="","",VLOOKUP(Table2[[#This Row],[Description]],$Q$1:$S$101,2,FALSE))</f>
        <v/>
      </c>
      <c r="H3928" s="1" t="str">
        <f>IF(Table2[[#This Row],[Description]]="","",VLOOKUP(Table2[[#This Row],[Description]],$Q$1:$S$101,3,FALSE))</f>
        <v/>
      </c>
      <c r="I3928" s="1" t="str">
        <f>IF(Table2[[#This Row],[Description]]="","",IF(Table2[[#This Row],[Currency]]=$O$2,$P$2,HLOOKUP(Table2[[#This Row],[Date]],Funds!$C$10:$GV$11,2,FALSE)))</f>
        <v/>
      </c>
      <c r="J3928" s="215" t="str">
        <f>IF(Table2[[#This Row],[Description]]="","",Table2[[#This Row],[Value]]/Table2[[#This Row],[Conversion]])</f>
        <v/>
      </c>
      <c r="K3928" s="45" t="str">
        <f>IF(Table2[[#This Row],[Description]]="","",DATE(Table2[[#This Row],[Year]],Table2[[#This Row],[Month]],1))</f>
        <v/>
      </c>
    </row>
    <row r="3929" spans="7:11" x14ac:dyDescent="0.25">
      <c r="G3929" s="1" t="str">
        <f>IF(Table2[[#This Row],[Description]]="","",VLOOKUP(Table2[[#This Row],[Description]],$Q$1:$S$101,2,FALSE))</f>
        <v/>
      </c>
      <c r="H3929" s="1" t="str">
        <f>IF(Table2[[#This Row],[Description]]="","",VLOOKUP(Table2[[#This Row],[Description]],$Q$1:$S$101,3,FALSE))</f>
        <v/>
      </c>
      <c r="I3929" s="1" t="str">
        <f>IF(Table2[[#This Row],[Description]]="","",IF(Table2[[#This Row],[Currency]]=$O$2,$P$2,HLOOKUP(Table2[[#This Row],[Date]],Funds!$C$10:$GV$11,2,FALSE)))</f>
        <v/>
      </c>
      <c r="J3929" s="215" t="str">
        <f>IF(Table2[[#This Row],[Description]]="","",Table2[[#This Row],[Value]]/Table2[[#This Row],[Conversion]])</f>
        <v/>
      </c>
      <c r="K3929" s="45" t="str">
        <f>IF(Table2[[#This Row],[Description]]="","",DATE(Table2[[#This Row],[Year]],Table2[[#This Row],[Month]],1))</f>
        <v/>
      </c>
    </row>
    <row r="3930" spans="7:11" x14ac:dyDescent="0.25">
      <c r="G3930" s="1" t="str">
        <f>IF(Table2[[#This Row],[Description]]="","",VLOOKUP(Table2[[#This Row],[Description]],$Q$1:$S$101,2,FALSE))</f>
        <v/>
      </c>
      <c r="H3930" s="1" t="str">
        <f>IF(Table2[[#This Row],[Description]]="","",VLOOKUP(Table2[[#This Row],[Description]],$Q$1:$S$101,3,FALSE))</f>
        <v/>
      </c>
      <c r="I3930" s="1" t="str">
        <f>IF(Table2[[#This Row],[Description]]="","",IF(Table2[[#This Row],[Currency]]=$O$2,$P$2,HLOOKUP(Table2[[#This Row],[Date]],Funds!$C$10:$GV$11,2,FALSE)))</f>
        <v/>
      </c>
      <c r="J3930" s="215" t="str">
        <f>IF(Table2[[#This Row],[Description]]="","",Table2[[#This Row],[Value]]/Table2[[#This Row],[Conversion]])</f>
        <v/>
      </c>
      <c r="K3930" s="45" t="str">
        <f>IF(Table2[[#This Row],[Description]]="","",DATE(Table2[[#This Row],[Year]],Table2[[#This Row],[Month]],1))</f>
        <v/>
      </c>
    </row>
    <row r="3931" spans="7:11" x14ac:dyDescent="0.25">
      <c r="G3931" s="1" t="str">
        <f>IF(Table2[[#This Row],[Description]]="","",VLOOKUP(Table2[[#This Row],[Description]],$Q$1:$S$101,2,FALSE))</f>
        <v/>
      </c>
      <c r="H3931" s="1" t="str">
        <f>IF(Table2[[#This Row],[Description]]="","",VLOOKUP(Table2[[#This Row],[Description]],$Q$1:$S$101,3,FALSE))</f>
        <v/>
      </c>
      <c r="I3931" s="1" t="str">
        <f>IF(Table2[[#This Row],[Description]]="","",IF(Table2[[#This Row],[Currency]]=$O$2,$P$2,HLOOKUP(Table2[[#This Row],[Date]],Funds!$C$10:$GV$11,2,FALSE)))</f>
        <v/>
      </c>
      <c r="J3931" s="215" t="str">
        <f>IF(Table2[[#This Row],[Description]]="","",Table2[[#This Row],[Value]]/Table2[[#This Row],[Conversion]])</f>
        <v/>
      </c>
      <c r="K3931" s="45" t="str">
        <f>IF(Table2[[#This Row],[Description]]="","",DATE(Table2[[#This Row],[Year]],Table2[[#This Row],[Month]],1))</f>
        <v/>
      </c>
    </row>
    <row r="3932" spans="7:11" x14ac:dyDescent="0.25">
      <c r="G3932" s="1" t="str">
        <f>IF(Table2[[#This Row],[Description]]="","",VLOOKUP(Table2[[#This Row],[Description]],$Q$1:$S$101,2,FALSE))</f>
        <v/>
      </c>
      <c r="H3932" s="1" t="str">
        <f>IF(Table2[[#This Row],[Description]]="","",VLOOKUP(Table2[[#This Row],[Description]],$Q$1:$S$101,3,FALSE))</f>
        <v/>
      </c>
      <c r="I3932" s="1" t="str">
        <f>IF(Table2[[#This Row],[Description]]="","",IF(Table2[[#This Row],[Currency]]=$O$2,$P$2,HLOOKUP(Table2[[#This Row],[Date]],Funds!$C$10:$GV$11,2,FALSE)))</f>
        <v/>
      </c>
      <c r="J3932" s="215" t="str">
        <f>IF(Table2[[#This Row],[Description]]="","",Table2[[#This Row],[Value]]/Table2[[#This Row],[Conversion]])</f>
        <v/>
      </c>
      <c r="K3932" s="45" t="str">
        <f>IF(Table2[[#This Row],[Description]]="","",DATE(Table2[[#This Row],[Year]],Table2[[#This Row],[Month]],1))</f>
        <v/>
      </c>
    </row>
    <row r="3933" spans="7:11" x14ac:dyDescent="0.25">
      <c r="G3933" s="1" t="str">
        <f>IF(Table2[[#This Row],[Description]]="","",VLOOKUP(Table2[[#This Row],[Description]],$Q$1:$S$101,2,FALSE))</f>
        <v/>
      </c>
      <c r="H3933" s="1" t="str">
        <f>IF(Table2[[#This Row],[Description]]="","",VLOOKUP(Table2[[#This Row],[Description]],$Q$1:$S$101,3,FALSE))</f>
        <v/>
      </c>
      <c r="I3933" s="1" t="str">
        <f>IF(Table2[[#This Row],[Description]]="","",IF(Table2[[#This Row],[Currency]]=$O$2,$P$2,HLOOKUP(Table2[[#This Row],[Date]],Funds!$C$10:$GV$11,2,FALSE)))</f>
        <v/>
      </c>
      <c r="J3933" s="215" t="str">
        <f>IF(Table2[[#This Row],[Description]]="","",Table2[[#This Row],[Value]]/Table2[[#This Row],[Conversion]])</f>
        <v/>
      </c>
      <c r="K3933" s="45" t="str">
        <f>IF(Table2[[#This Row],[Description]]="","",DATE(Table2[[#This Row],[Year]],Table2[[#This Row],[Month]],1))</f>
        <v/>
      </c>
    </row>
    <row r="3934" spans="7:11" x14ac:dyDescent="0.25">
      <c r="G3934" s="1" t="str">
        <f>IF(Table2[[#This Row],[Description]]="","",VLOOKUP(Table2[[#This Row],[Description]],$Q$1:$S$101,2,FALSE))</f>
        <v/>
      </c>
      <c r="H3934" s="1" t="str">
        <f>IF(Table2[[#This Row],[Description]]="","",VLOOKUP(Table2[[#This Row],[Description]],$Q$1:$S$101,3,FALSE))</f>
        <v/>
      </c>
      <c r="I3934" s="1" t="str">
        <f>IF(Table2[[#This Row],[Description]]="","",IF(Table2[[#This Row],[Currency]]=$O$2,$P$2,HLOOKUP(Table2[[#This Row],[Date]],Funds!$C$10:$GV$11,2,FALSE)))</f>
        <v/>
      </c>
      <c r="J3934" s="215" t="str">
        <f>IF(Table2[[#This Row],[Description]]="","",Table2[[#This Row],[Value]]/Table2[[#This Row],[Conversion]])</f>
        <v/>
      </c>
      <c r="K3934" s="45" t="str">
        <f>IF(Table2[[#This Row],[Description]]="","",DATE(Table2[[#This Row],[Year]],Table2[[#This Row],[Month]],1))</f>
        <v/>
      </c>
    </row>
    <row r="3935" spans="7:11" x14ac:dyDescent="0.25">
      <c r="G3935" s="1" t="str">
        <f>IF(Table2[[#This Row],[Description]]="","",VLOOKUP(Table2[[#This Row],[Description]],$Q$1:$S$101,2,FALSE))</f>
        <v/>
      </c>
      <c r="H3935" s="1" t="str">
        <f>IF(Table2[[#This Row],[Description]]="","",VLOOKUP(Table2[[#This Row],[Description]],$Q$1:$S$101,3,FALSE))</f>
        <v/>
      </c>
      <c r="I3935" s="1" t="str">
        <f>IF(Table2[[#This Row],[Description]]="","",IF(Table2[[#This Row],[Currency]]=$O$2,$P$2,HLOOKUP(Table2[[#This Row],[Date]],Funds!$C$10:$GV$11,2,FALSE)))</f>
        <v/>
      </c>
      <c r="J3935" s="215" t="str">
        <f>IF(Table2[[#This Row],[Description]]="","",Table2[[#This Row],[Value]]/Table2[[#This Row],[Conversion]])</f>
        <v/>
      </c>
      <c r="K3935" s="45" t="str">
        <f>IF(Table2[[#This Row],[Description]]="","",DATE(Table2[[#This Row],[Year]],Table2[[#This Row],[Month]],1))</f>
        <v/>
      </c>
    </row>
    <row r="3936" spans="7:11" x14ac:dyDescent="0.25">
      <c r="G3936" s="1" t="str">
        <f>IF(Table2[[#This Row],[Description]]="","",VLOOKUP(Table2[[#This Row],[Description]],$Q$1:$S$101,2,FALSE))</f>
        <v/>
      </c>
      <c r="H3936" s="1" t="str">
        <f>IF(Table2[[#This Row],[Description]]="","",VLOOKUP(Table2[[#This Row],[Description]],$Q$1:$S$101,3,FALSE))</f>
        <v/>
      </c>
      <c r="I3936" s="1" t="str">
        <f>IF(Table2[[#This Row],[Description]]="","",IF(Table2[[#This Row],[Currency]]=$O$2,$P$2,HLOOKUP(Table2[[#This Row],[Date]],Funds!$C$10:$GV$11,2,FALSE)))</f>
        <v/>
      </c>
      <c r="J3936" s="215" t="str">
        <f>IF(Table2[[#This Row],[Description]]="","",Table2[[#This Row],[Value]]/Table2[[#This Row],[Conversion]])</f>
        <v/>
      </c>
      <c r="K3936" s="45" t="str">
        <f>IF(Table2[[#This Row],[Description]]="","",DATE(Table2[[#This Row],[Year]],Table2[[#This Row],[Month]],1))</f>
        <v/>
      </c>
    </row>
    <row r="3937" spans="7:11" x14ac:dyDescent="0.25">
      <c r="G3937" s="1" t="str">
        <f>IF(Table2[[#This Row],[Description]]="","",VLOOKUP(Table2[[#This Row],[Description]],$Q$1:$S$101,2,FALSE))</f>
        <v/>
      </c>
      <c r="H3937" s="1" t="str">
        <f>IF(Table2[[#This Row],[Description]]="","",VLOOKUP(Table2[[#This Row],[Description]],$Q$1:$S$101,3,FALSE))</f>
        <v/>
      </c>
      <c r="I3937" s="1" t="str">
        <f>IF(Table2[[#This Row],[Description]]="","",IF(Table2[[#This Row],[Currency]]=$O$2,$P$2,HLOOKUP(Table2[[#This Row],[Date]],Funds!$C$10:$GV$11,2,FALSE)))</f>
        <v/>
      </c>
      <c r="J3937" s="215" t="str">
        <f>IF(Table2[[#This Row],[Description]]="","",Table2[[#This Row],[Value]]/Table2[[#This Row],[Conversion]])</f>
        <v/>
      </c>
      <c r="K3937" s="45" t="str">
        <f>IF(Table2[[#This Row],[Description]]="","",DATE(Table2[[#This Row],[Year]],Table2[[#This Row],[Month]],1))</f>
        <v/>
      </c>
    </row>
    <row r="3938" spans="7:11" x14ac:dyDescent="0.25">
      <c r="G3938" s="1" t="str">
        <f>IF(Table2[[#This Row],[Description]]="","",VLOOKUP(Table2[[#This Row],[Description]],$Q$1:$S$101,2,FALSE))</f>
        <v/>
      </c>
      <c r="H3938" s="1" t="str">
        <f>IF(Table2[[#This Row],[Description]]="","",VLOOKUP(Table2[[#This Row],[Description]],$Q$1:$S$101,3,FALSE))</f>
        <v/>
      </c>
      <c r="I3938" s="1" t="str">
        <f>IF(Table2[[#This Row],[Description]]="","",IF(Table2[[#This Row],[Currency]]=$O$2,$P$2,HLOOKUP(Table2[[#This Row],[Date]],Funds!$C$10:$GV$11,2,FALSE)))</f>
        <v/>
      </c>
      <c r="J3938" s="215" t="str">
        <f>IF(Table2[[#This Row],[Description]]="","",Table2[[#This Row],[Value]]/Table2[[#This Row],[Conversion]])</f>
        <v/>
      </c>
      <c r="K3938" s="45" t="str">
        <f>IF(Table2[[#This Row],[Description]]="","",DATE(Table2[[#This Row],[Year]],Table2[[#This Row],[Month]],1))</f>
        <v/>
      </c>
    </row>
    <row r="3939" spans="7:11" x14ac:dyDescent="0.25">
      <c r="G3939" s="1" t="str">
        <f>IF(Table2[[#This Row],[Description]]="","",VLOOKUP(Table2[[#This Row],[Description]],$Q$1:$S$101,2,FALSE))</f>
        <v/>
      </c>
      <c r="H3939" s="1" t="str">
        <f>IF(Table2[[#This Row],[Description]]="","",VLOOKUP(Table2[[#This Row],[Description]],$Q$1:$S$101,3,FALSE))</f>
        <v/>
      </c>
      <c r="I3939" s="1" t="str">
        <f>IF(Table2[[#This Row],[Description]]="","",IF(Table2[[#This Row],[Currency]]=$O$2,$P$2,HLOOKUP(Table2[[#This Row],[Date]],Funds!$C$10:$GV$11,2,FALSE)))</f>
        <v/>
      </c>
      <c r="J3939" s="215" t="str">
        <f>IF(Table2[[#This Row],[Description]]="","",Table2[[#This Row],[Value]]/Table2[[#This Row],[Conversion]])</f>
        <v/>
      </c>
      <c r="K3939" s="45" t="str">
        <f>IF(Table2[[#This Row],[Description]]="","",DATE(Table2[[#This Row],[Year]],Table2[[#This Row],[Month]],1))</f>
        <v/>
      </c>
    </row>
    <row r="3940" spans="7:11" x14ac:dyDescent="0.25">
      <c r="G3940" s="1" t="str">
        <f>IF(Table2[[#This Row],[Description]]="","",VLOOKUP(Table2[[#This Row],[Description]],$Q$1:$S$101,2,FALSE))</f>
        <v/>
      </c>
      <c r="H3940" s="1" t="str">
        <f>IF(Table2[[#This Row],[Description]]="","",VLOOKUP(Table2[[#This Row],[Description]],$Q$1:$S$101,3,FALSE))</f>
        <v/>
      </c>
      <c r="I3940" s="1" t="str">
        <f>IF(Table2[[#This Row],[Description]]="","",IF(Table2[[#This Row],[Currency]]=$O$2,$P$2,HLOOKUP(Table2[[#This Row],[Date]],Funds!$C$10:$GV$11,2,FALSE)))</f>
        <v/>
      </c>
      <c r="J3940" s="215" t="str">
        <f>IF(Table2[[#This Row],[Description]]="","",Table2[[#This Row],[Value]]/Table2[[#This Row],[Conversion]])</f>
        <v/>
      </c>
      <c r="K3940" s="45" t="str">
        <f>IF(Table2[[#This Row],[Description]]="","",DATE(Table2[[#This Row],[Year]],Table2[[#This Row],[Month]],1))</f>
        <v/>
      </c>
    </row>
    <row r="3941" spans="7:11" x14ac:dyDescent="0.25">
      <c r="G3941" s="1" t="str">
        <f>IF(Table2[[#This Row],[Description]]="","",VLOOKUP(Table2[[#This Row],[Description]],$Q$1:$S$101,2,FALSE))</f>
        <v/>
      </c>
      <c r="H3941" s="1" t="str">
        <f>IF(Table2[[#This Row],[Description]]="","",VLOOKUP(Table2[[#This Row],[Description]],$Q$1:$S$101,3,FALSE))</f>
        <v/>
      </c>
      <c r="I3941" s="1" t="str">
        <f>IF(Table2[[#This Row],[Description]]="","",IF(Table2[[#This Row],[Currency]]=$O$2,$P$2,HLOOKUP(Table2[[#This Row],[Date]],Funds!$C$10:$GV$11,2,FALSE)))</f>
        <v/>
      </c>
      <c r="J3941" s="215" t="str">
        <f>IF(Table2[[#This Row],[Description]]="","",Table2[[#This Row],[Value]]/Table2[[#This Row],[Conversion]])</f>
        <v/>
      </c>
      <c r="K3941" s="45" t="str">
        <f>IF(Table2[[#This Row],[Description]]="","",DATE(Table2[[#This Row],[Year]],Table2[[#This Row],[Month]],1))</f>
        <v/>
      </c>
    </row>
    <row r="3942" spans="7:11" x14ac:dyDescent="0.25">
      <c r="G3942" s="1" t="str">
        <f>IF(Table2[[#This Row],[Description]]="","",VLOOKUP(Table2[[#This Row],[Description]],$Q$1:$S$101,2,FALSE))</f>
        <v/>
      </c>
      <c r="H3942" s="1" t="str">
        <f>IF(Table2[[#This Row],[Description]]="","",VLOOKUP(Table2[[#This Row],[Description]],$Q$1:$S$101,3,FALSE))</f>
        <v/>
      </c>
      <c r="I3942" s="1" t="str">
        <f>IF(Table2[[#This Row],[Description]]="","",IF(Table2[[#This Row],[Currency]]=$O$2,$P$2,HLOOKUP(Table2[[#This Row],[Date]],Funds!$C$10:$GV$11,2,FALSE)))</f>
        <v/>
      </c>
      <c r="J3942" s="215" t="str">
        <f>IF(Table2[[#This Row],[Description]]="","",Table2[[#This Row],[Value]]/Table2[[#This Row],[Conversion]])</f>
        <v/>
      </c>
      <c r="K3942" s="45" t="str">
        <f>IF(Table2[[#This Row],[Description]]="","",DATE(Table2[[#This Row],[Year]],Table2[[#This Row],[Month]],1))</f>
        <v/>
      </c>
    </row>
    <row r="3943" spans="7:11" x14ac:dyDescent="0.25">
      <c r="G3943" s="1" t="str">
        <f>IF(Table2[[#This Row],[Description]]="","",VLOOKUP(Table2[[#This Row],[Description]],$Q$1:$S$101,2,FALSE))</f>
        <v/>
      </c>
      <c r="H3943" s="1" t="str">
        <f>IF(Table2[[#This Row],[Description]]="","",VLOOKUP(Table2[[#This Row],[Description]],$Q$1:$S$101,3,FALSE))</f>
        <v/>
      </c>
      <c r="I3943" s="1" t="str">
        <f>IF(Table2[[#This Row],[Description]]="","",IF(Table2[[#This Row],[Currency]]=$O$2,$P$2,HLOOKUP(Table2[[#This Row],[Date]],Funds!$C$10:$GV$11,2,FALSE)))</f>
        <v/>
      </c>
      <c r="J3943" s="215" t="str">
        <f>IF(Table2[[#This Row],[Description]]="","",Table2[[#This Row],[Value]]/Table2[[#This Row],[Conversion]])</f>
        <v/>
      </c>
      <c r="K3943" s="45" t="str">
        <f>IF(Table2[[#This Row],[Description]]="","",DATE(Table2[[#This Row],[Year]],Table2[[#This Row],[Month]],1))</f>
        <v/>
      </c>
    </row>
    <row r="3944" spans="7:11" x14ac:dyDescent="0.25">
      <c r="G3944" s="1" t="str">
        <f>IF(Table2[[#This Row],[Description]]="","",VLOOKUP(Table2[[#This Row],[Description]],$Q$1:$S$101,2,FALSE))</f>
        <v/>
      </c>
      <c r="H3944" s="1" t="str">
        <f>IF(Table2[[#This Row],[Description]]="","",VLOOKUP(Table2[[#This Row],[Description]],$Q$1:$S$101,3,FALSE))</f>
        <v/>
      </c>
      <c r="I3944" s="1" t="str">
        <f>IF(Table2[[#This Row],[Description]]="","",IF(Table2[[#This Row],[Currency]]=$O$2,$P$2,HLOOKUP(Table2[[#This Row],[Date]],Funds!$C$10:$GV$11,2,FALSE)))</f>
        <v/>
      </c>
      <c r="J3944" s="215" t="str">
        <f>IF(Table2[[#This Row],[Description]]="","",Table2[[#This Row],[Value]]/Table2[[#This Row],[Conversion]])</f>
        <v/>
      </c>
      <c r="K3944" s="45" t="str">
        <f>IF(Table2[[#This Row],[Description]]="","",DATE(Table2[[#This Row],[Year]],Table2[[#This Row],[Month]],1))</f>
        <v/>
      </c>
    </row>
    <row r="3945" spans="7:11" x14ac:dyDescent="0.25">
      <c r="G3945" s="1" t="str">
        <f>IF(Table2[[#This Row],[Description]]="","",VLOOKUP(Table2[[#This Row],[Description]],$Q$1:$S$101,2,FALSE))</f>
        <v/>
      </c>
      <c r="H3945" s="1" t="str">
        <f>IF(Table2[[#This Row],[Description]]="","",VLOOKUP(Table2[[#This Row],[Description]],$Q$1:$S$101,3,FALSE))</f>
        <v/>
      </c>
      <c r="I3945" s="1" t="str">
        <f>IF(Table2[[#This Row],[Description]]="","",IF(Table2[[#This Row],[Currency]]=$O$2,$P$2,HLOOKUP(Table2[[#This Row],[Date]],Funds!$C$10:$GV$11,2,FALSE)))</f>
        <v/>
      </c>
      <c r="J3945" s="215" t="str">
        <f>IF(Table2[[#This Row],[Description]]="","",Table2[[#This Row],[Value]]/Table2[[#This Row],[Conversion]])</f>
        <v/>
      </c>
      <c r="K3945" s="45" t="str">
        <f>IF(Table2[[#This Row],[Description]]="","",DATE(Table2[[#This Row],[Year]],Table2[[#This Row],[Month]],1))</f>
        <v/>
      </c>
    </row>
    <row r="3946" spans="7:11" x14ac:dyDescent="0.25">
      <c r="G3946" s="1" t="str">
        <f>IF(Table2[[#This Row],[Description]]="","",VLOOKUP(Table2[[#This Row],[Description]],$Q$1:$S$101,2,FALSE))</f>
        <v/>
      </c>
      <c r="H3946" s="1" t="str">
        <f>IF(Table2[[#This Row],[Description]]="","",VLOOKUP(Table2[[#This Row],[Description]],$Q$1:$S$101,3,FALSE))</f>
        <v/>
      </c>
      <c r="I3946" s="1" t="str">
        <f>IF(Table2[[#This Row],[Description]]="","",IF(Table2[[#This Row],[Currency]]=$O$2,$P$2,HLOOKUP(Table2[[#This Row],[Date]],Funds!$C$10:$GV$11,2,FALSE)))</f>
        <v/>
      </c>
      <c r="J3946" s="215" t="str">
        <f>IF(Table2[[#This Row],[Description]]="","",Table2[[#This Row],[Value]]/Table2[[#This Row],[Conversion]])</f>
        <v/>
      </c>
      <c r="K3946" s="45" t="str">
        <f>IF(Table2[[#This Row],[Description]]="","",DATE(Table2[[#This Row],[Year]],Table2[[#This Row],[Month]],1))</f>
        <v/>
      </c>
    </row>
    <row r="3947" spans="7:11" x14ac:dyDescent="0.25">
      <c r="G3947" s="1" t="str">
        <f>IF(Table2[[#This Row],[Description]]="","",VLOOKUP(Table2[[#This Row],[Description]],$Q$1:$S$101,2,FALSE))</f>
        <v/>
      </c>
      <c r="H3947" s="1" t="str">
        <f>IF(Table2[[#This Row],[Description]]="","",VLOOKUP(Table2[[#This Row],[Description]],$Q$1:$S$101,3,FALSE))</f>
        <v/>
      </c>
      <c r="I3947" s="1" t="str">
        <f>IF(Table2[[#This Row],[Description]]="","",IF(Table2[[#This Row],[Currency]]=$O$2,$P$2,HLOOKUP(Table2[[#This Row],[Date]],Funds!$C$10:$GV$11,2,FALSE)))</f>
        <v/>
      </c>
      <c r="J3947" s="215" t="str">
        <f>IF(Table2[[#This Row],[Description]]="","",Table2[[#This Row],[Value]]/Table2[[#This Row],[Conversion]])</f>
        <v/>
      </c>
      <c r="K3947" s="45" t="str">
        <f>IF(Table2[[#This Row],[Description]]="","",DATE(Table2[[#This Row],[Year]],Table2[[#This Row],[Month]],1))</f>
        <v/>
      </c>
    </row>
    <row r="3948" spans="7:11" x14ac:dyDescent="0.25">
      <c r="G3948" s="1" t="str">
        <f>IF(Table2[[#This Row],[Description]]="","",VLOOKUP(Table2[[#This Row],[Description]],$Q$1:$S$101,2,FALSE))</f>
        <v/>
      </c>
      <c r="H3948" s="1" t="str">
        <f>IF(Table2[[#This Row],[Description]]="","",VLOOKUP(Table2[[#This Row],[Description]],$Q$1:$S$101,3,FALSE))</f>
        <v/>
      </c>
      <c r="I3948" s="1" t="str">
        <f>IF(Table2[[#This Row],[Description]]="","",IF(Table2[[#This Row],[Currency]]=$O$2,$P$2,HLOOKUP(Table2[[#This Row],[Date]],Funds!$C$10:$GV$11,2,FALSE)))</f>
        <v/>
      </c>
      <c r="J3948" s="215" t="str">
        <f>IF(Table2[[#This Row],[Description]]="","",Table2[[#This Row],[Value]]/Table2[[#This Row],[Conversion]])</f>
        <v/>
      </c>
      <c r="K3948" s="45" t="str">
        <f>IF(Table2[[#This Row],[Description]]="","",DATE(Table2[[#This Row],[Year]],Table2[[#This Row],[Month]],1))</f>
        <v/>
      </c>
    </row>
    <row r="3949" spans="7:11" x14ac:dyDescent="0.25">
      <c r="G3949" s="1" t="str">
        <f>IF(Table2[[#This Row],[Description]]="","",VLOOKUP(Table2[[#This Row],[Description]],$Q$1:$S$101,2,FALSE))</f>
        <v/>
      </c>
      <c r="H3949" s="1" t="str">
        <f>IF(Table2[[#This Row],[Description]]="","",VLOOKUP(Table2[[#This Row],[Description]],$Q$1:$S$101,3,FALSE))</f>
        <v/>
      </c>
      <c r="I3949" s="1" t="str">
        <f>IF(Table2[[#This Row],[Description]]="","",IF(Table2[[#This Row],[Currency]]=$O$2,$P$2,HLOOKUP(Table2[[#This Row],[Date]],Funds!$C$10:$GV$11,2,FALSE)))</f>
        <v/>
      </c>
      <c r="J3949" s="215" t="str">
        <f>IF(Table2[[#This Row],[Description]]="","",Table2[[#This Row],[Value]]/Table2[[#This Row],[Conversion]])</f>
        <v/>
      </c>
      <c r="K3949" s="45" t="str">
        <f>IF(Table2[[#This Row],[Description]]="","",DATE(Table2[[#This Row],[Year]],Table2[[#This Row],[Month]],1))</f>
        <v/>
      </c>
    </row>
    <row r="3950" spans="7:11" x14ac:dyDescent="0.25">
      <c r="G3950" s="1" t="str">
        <f>IF(Table2[[#This Row],[Description]]="","",VLOOKUP(Table2[[#This Row],[Description]],$Q$1:$S$101,2,FALSE))</f>
        <v/>
      </c>
      <c r="H3950" s="1" t="str">
        <f>IF(Table2[[#This Row],[Description]]="","",VLOOKUP(Table2[[#This Row],[Description]],$Q$1:$S$101,3,FALSE))</f>
        <v/>
      </c>
      <c r="I3950" s="1" t="str">
        <f>IF(Table2[[#This Row],[Description]]="","",IF(Table2[[#This Row],[Currency]]=$O$2,$P$2,HLOOKUP(Table2[[#This Row],[Date]],Funds!$C$10:$GV$11,2,FALSE)))</f>
        <v/>
      </c>
      <c r="J3950" s="215" t="str">
        <f>IF(Table2[[#This Row],[Description]]="","",Table2[[#This Row],[Value]]/Table2[[#This Row],[Conversion]])</f>
        <v/>
      </c>
      <c r="K3950" s="45" t="str">
        <f>IF(Table2[[#This Row],[Description]]="","",DATE(Table2[[#This Row],[Year]],Table2[[#This Row],[Month]],1))</f>
        <v/>
      </c>
    </row>
    <row r="3951" spans="7:11" x14ac:dyDescent="0.25">
      <c r="G3951" s="1" t="str">
        <f>IF(Table2[[#This Row],[Description]]="","",VLOOKUP(Table2[[#This Row],[Description]],$Q$1:$S$101,2,FALSE))</f>
        <v/>
      </c>
      <c r="H3951" s="1" t="str">
        <f>IF(Table2[[#This Row],[Description]]="","",VLOOKUP(Table2[[#This Row],[Description]],$Q$1:$S$101,3,FALSE))</f>
        <v/>
      </c>
      <c r="I3951" s="1" t="str">
        <f>IF(Table2[[#This Row],[Description]]="","",IF(Table2[[#This Row],[Currency]]=$O$2,$P$2,HLOOKUP(Table2[[#This Row],[Date]],Funds!$C$10:$GV$11,2,FALSE)))</f>
        <v/>
      </c>
      <c r="J3951" s="215" t="str">
        <f>IF(Table2[[#This Row],[Description]]="","",Table2[[#This Row],[Value]]/Table2[[#This Row],[Conversion]])</f>
        <v/>
      </c>
      <c r="K3951" s="45" t="str">
        <f>IF(Table2[[#This Row],[Description]]="","",DATE(Table2[[#This Row],[Year]],Table2[[#This Row],[Month]],1))</f>
        <v/>
      </c>
    </row>
    <row r="3952" spans="7:11" x14ac:dyDescent="0.25">
      <c r="G3952" s="1" t="str">
        <f>IF(Table2[[#This Row],[Description]]="","",VLOOKUP(Table2[[#This Row],[Description]],$Q$1:$S$101,2,FALSE))</f>
        <v/>
      </c>
      <c r="H3952" s="1" t="str">
        <f>IF(Table2[[#This Row],[Description]]="","",VLOOKUP(Table2[[#This Row],[Description]],$Q$1:$S$101,3,FALSE))</f>
        <v/>
      </c>
      <c r="I3952" s="1" t="str">
        <f>IF(Table2[[#This Row],[Description]]="","",IF(Table2[[#This Row],[Currency]]=$O$2,$P$2,HLOOKUP(Table2[[#This Row],[Date]],Funds!$C$10:$GV$11,2,FALSE)))</f>
        <v/>
      </c>
      <c r="J3952" s="215" t="str">
        <f>IF(Table2[[#This Row],[Description]]="","",Table2[[#This Row],[Value]]/Table2[[#This Row],[Conversion]])</f>
        <v/>
      </c>
      <c r="K3952" s="45" t="str">
        <f>IF(Table2[[#This Row],[Description]]="","",DATE(Table2[[#This Row],[Year]],Table2[[#This Row],[Month]],1))</f>
        <v/>
      </c>
    </row>
    <row r="3953" spans="7:11" x14ac:dyDescent="0.25">
      <c r="G3953" s="1" t="str">
        <f>IF(Table2[[#This Row],[Description]]="","",VLOOKUP(Table2[[#This Row],[Description]],$Q$1:$S$101,2,FALSE))</f>
        <v/>
      </c>
      <c r="H3953" s="1" t="str">
        <f>IF(Table2[[#This Row],[Description]]="","",VLOOKUP(Table2[[#This Row],[Description]],$Q$1:$S$101,3,FALSE))</f>
        <v/>
      </c>
      <c r="I3953" s="1" t="str">
        <f>IF(Table2[[#This Row],[Description]]="","",IF(Table2[[#This Row],[Currency]]=$O$2,$P$2,HLOOKUP(Table2[[#This Row],[Date]],Funds!$C$10:$GV$11,2,FALSE)))</f>
        <v/>
      </c>
      <c r="J3953" s="215" t="str">
        <f>IF(Table2[[#This Row],[Description]]="","",Table2[[#This Row],[Value]]/Table2[[#This Row],[Conversion]])</f>
        <v/>
      </c>
      <c r="K3953" s="45" t="str">
        <f>IF(Table2[[#This Row],[Description]]="","",DATE(Table2[[#This Row],[Year]],Table2[[#This Row],[Month]],1))</f>
        <v/>
      </c>
    </row>
    <row r="3954" spans="7:11" x14ac:dyDescent="0.25">
      <c r="G3954" s="1" t="str">
        <f>IF(Table2[[#This Row],[Description]]="","",VLOOKUP(Table2[[#This Row],[Description]],$Q$1:$S$101,2,FALSE))</f>
        <v/>
      </c>
      <c r="H3954" s="1" t="str">
        <f>IF(Table2[[#This Row],[Description]]="","",VLOOKUP(Table2[[#This Row],[Description]],$Q$1:$S$101,3,FALSE))</f>
        <v/>
      </c>
      <c r="I3954" s="1" t="str">
        <f>IF(Table2[[#This Row],[Description]]="","",IF(Table2[[#This Row],[Currency]]=$O$2,$P$2,HLOOKUP(Table2[[#This Row],[Date]],Funds!$C$10:$GV$11,2,FALSE)))</f>
        <v/>
      </c>
      <c r="J3954" s="215" t="str">
        <f>IF(Table2[[#This Row],[Description]]="","",Table2[[#This Row],[Value]]/Table2[[#This Row],[Conversion]])</f>
        <v/>
      </c>
      <c r="K3954" s="45" t="str">
        <f>IF(Table2[[#This Row],[Description]]="","",DATE(Table2[[#This Row],[Year]],Table2[[#This Row],[Month]],1))</f>
        <v/>
      </c>
    </row>
    <row r="3955" spans="7:11" x14ac:dyDescent="0.25">
      <c r="G3955" s="1" t="str">
        <f>IF(Table2[[#This Row],[Description]]="","",VLOOKUP(Table2[[#This Row],[Description]],$Q$1:$S$101,2,FALSE))</f>
        <v/>
      </c>
      <c r="H3955" s="1" t="str">
        <f>IF(Table2[[#This Row],[Description]]="","",VLOOKUP(Table2[[#This Row],[Description]],$Q$1:$S$101,3,FALSE))</f>
        <v/>
      </c>
      <c r="I3955" s="1" t="str">
        <f>IF(Table2[[#This Row],[Description]]="","",IF(Table2[[#This Row],[Currency]]=$O$2,$P$2,HLOOKUP(Table2[[#This Row],[Date]],Funds!$C$10:$GV$11,2,FALSE)))</f>
        <v/>
      </c>
      <c r="J3955" s="215" t="str">
        <f>IF(Table2[[#This Row],[Description]]="","",Table2[[#This Row],[Value]]/Table2[[#This Row],[Conversion]])</f>
        <v/>
      </c>
      <c r="K3955" s="45" t="str">
        <f>IF(Table2[[#This Row],[Description]]="","",DATE(Table2[[#This Row],[Year]],Table2[[#This Row],[Month]],1))</f>
        <v/>
      </c>
    </row>
    <row r="3956" spans="7:11" x14ac:dyDescent="0.25">
      <c r="G3956" s="1" t="str">
        <f>IF(Table2[[#This Row],[Description]]="","",VLOOKUP(Table2[[#This Row],[Description]],$Q$1:$S$101,2,FALSE))</f>
        <v/>
      </c>
      <c r="H3956" s="1" t="str">
        <f>IF(Table2[[#This Row],[Description]]="","",VLOOKUP(Table2[[#This Row],[Description]],$Q$1:$S$101,3,FALSE))</f>
        <v/>
      </c>
      <c r="I3956" s="1" t="str">
        <f>IF(Table2[[#This Row],[Description]]="","",IF(Table2[[#This Row],[Currency]]=$O$2,$P$2,HLOOKUP(Table2[[#This Row],[Date]],Funds!$C$10:$GV$11,2,FALSE)))</f>
        <v/>
      </c>
      <c r="J3956" s="215" t="str">
        <f>IF(Table2[[#This Row],[Description]]="","",Table2[[#This Row],[Value]]/Table2[[#This Row],[Conversion]])</f>
        <v/>
      </c>
      <c r="K3956" s="45" t="str">
        <f>IF(Table2[[#This Row],[Description]]="","",DATE(Table2[[#This Row],[Year]],Table2[[#This Row],[Month]],1))</f>
        <v/>
      </c>
    </row>
    <row r="3957" spans="7:11" x14ac:dyDescent="0.25">
      <c r="G3957" s="1" t="str">
        <f>IF(Table2[[#This Row],[Description]]="","",VLOOKUP(Table2[[#This Row],[Description]],$Q$1:$S$101,2,FALSE))</f>
        <v/>
      </c>
      <c r="H3957" s="1" t="str">
        <f>IF(Table2[[#This Row],[Description]]="","",VLOOKUP(Table2[[#This Row],[Description]],$Q$1:$S$101,3,FALSE))</f>
        <v/>
      </c>
      <c r="I3957" s="1" t="str">
        <f>IF(Table2[[#This Row],[Description]]="","",IF(Table2[[#This Row],[Currency]]=$O$2,$P$2,HLOOKUP(Table2[[#This Row],[Date]],Funds!$C$10:$GV$11,2,FALSE)))</f>
        <v/>
      </c>
      <c r="J3957" s="215" t="str">
        <f>IF(Table2[[#This Row],[Description]]="","",Table2[[#This Row],[Value]]/Table2[[#This Row],[Conversion]])</f>
        <v/>
      </c>
      <c r="K3957" s="45" t="str">
        <f>IF(Table2[[#This Row],[Description]]="","",DATE(Table2[[#This Row],[Year]],Table2[[#This Row],[Month]],1))</f>
        <v/>
      </c>
    </row>
    <row r="3958" spans="7:11" x14ac:dyDescent="0.25">
      <c r="G3958" s="1" t="str">
        <f>IF(Table2[[#This Row],[Description]]="","",VLOOKUP(Table2[[#This Row],[Description]],$Q$1:$S$101,2,FALSE))</f>
        <v/>
      </c>
      <c r="H3958" s="1" t="str">
        <f>IF(Table2[[#This Row],[Description]]="","",VLOOKUP(Table2[[#This Row],[Description]],$Q$1:$S$101,3,FALSE))</f>
        <v/>
      </c>
      <c r="I3958" s="1" t="str">
        <f>IF(Table2[[#This Row],[Description]]="","",IF(Table2[[#This Row],[Currency]]=$O$2,$P$2,HLOOKUP(Table2[[#This Row],[Date]],Funds!$C$10:$GV$11,2,FALSE)))</f>
        <v/>
      </c>
      <c r="J3958" s="215" t="str">
        <f>IF(Table2[[#This Row],[Description]]="","",Table2[[#This Row],[Value]]/Table2[[#This Row],[Conversion]])</f>
        <v/>
      </c>
      <c r="K3958" s="45" t="str">
        <f>IF(Table2[[#This Row],[Description]]="","",DATE(Table2[[#This Row],[Year]],Table2[[#This Row],[Month]],1))</f>
        <v/>
      </c>
    </row>
    <row r="3959" spans="7:11" x14ac:dyDescent="0.25">
      <c r="G3959" s="1" t="str">
        <f>IF(Table2[[#This Row],[Description]]="","",VLOOKUP(Table2[[#This Row],[Description]],$Q$1:$S$101,2,FALSE))</f>
        <v/>
      </c>
      <c r="H3959" s="1" t="str">
        <f>IF(Table2[[#This Row],[Description]]="","",VLOOKUP(Table2[[#This Row],[Description]],$Q$1:$S$101,3,FALSE))</f>
        <v/>
      </c>
      <c r="I3959" s="1" t="str">
        <f>IF(Table2[[#This Row],[Description]]="","",IF(Table2[[#This Row],[Currency]]=$O$2,$P$2,HLOOKUP(Table2[[#This Row],[Date]],Funds!$C$10:$GV$11,2,FALSE)))</f>
        <v/>
      </c>
      <c r="J3959" s="215" t="str">
        <f>IF(Table2[[#This Row],[Description]]="","",Table2[[#This Row],[Value]]/Table2[[#This Row],[Conversion]])</f>
        <v/>
      </c>
      <c r="K3959" s="45" t="str">
        <f>IF(Table2[[#This Row],[Description]]="","",DATE(Table2[[#This Row],[Year]],Table2[[#This Row],[Month]],1))</f>
        <v/>
      </c>
    </row>
    <row r="3960" spans="7:11" x14ac:dyDescent="0.25">
      <c r="G3960" s="1" t="str">
        <f>IF(Table2[[#This Row],[Description]]="","",VLOOKUP(Table2[[#This Row],[Description]],$Q$1:$S$101,2,FALSE))</f>
        <v/>
      </c>
      <c r="H3960" s="1" t="str">
        <f>IF(Table2[[#This Row],[Description]]="","",VLOOKUP(Table2[[#This Row],[Description]],$Q$1:$S$101,3,FALSE))</f>
        <v/>
      </c>
      <c r="I3960" s="1" t="str">
        <f>IF(Table2[[#This Row],[Description]]="","",IF(Table2[[#This Row],[Currency]]=$O$2,$P$2,HLOOKUP(Table2[[#This Row],[Date]],Funds!$C$10:$GV$11,2,FALSE)))</f>
        <v/>
      </c>
      <c r="J3960" s="215" t="str">
        <f>IF(Table2[[#This Row],[Description]]="","",Table2[[#This Row],[Value]]/Table2[[#This Row],[Conversion]])</f>
        <v/>
      </c>
      <c r="K3960" s="45" t="str">
        <f>IF(Table2[[#This Row],[Description]]="","",DATE(Table2[[#This Row],[Year]],Table2[[#This Row],[Month]],1))</f>
        <v/>
      </c>
    </row>
    <row r="3961" spans="7:11" x14ac:dyDescent="0.25">
      <c r="G3961" s="1" t="str">
        <f>IF(Table2[[#This Row],[Description]]="","",VLOOKUP(Table2[[#This Row],[Description]],$Q$1:$S$101,2,FALSE))</f>
        <v/>
      </c>
      <c r="H3961" s="1" t="str">
        <f>IF(Table2[[#This Row],[Description]]="","",VLOOKUP(Table2[[#This Row],[Description]],$Q$1:$S$101,3,FALSE))</f>
        <v/>
      </c>
      <c r="I3961" s="1" t="str">
        <f>IF(Table2[[#This Row],[Description]]="","",IF(Table2[[#This Row],[Currency]]=$O$2,$P$2,HLOOKUP(Table2[[#This Row],[Date]],Funds!$C$10:$GV$11,2,FALSE)))</f>
        <v/>
      </c>
      <c r="J3961" s="215" t="str">
        <f>IF(Table2[[#This Row],[Description]]="","",Table2[[#This Row],[Value]]/Table2[[#This Row],[Conversion]])</f>
        <v/>
      </c>
      <c r="K3961" s="45" t="str">
        <f>IF(Table2[[#This Row],[Description]]="","",DATE(Table2[[#This Row],[Year]],Table2[[#This Row],[Month]],1))</f>
        <v/>
      </c>
    </row>
    <row r="3962" spans="7:11" x14ac:dyDescent="0.25">
      <c r="G3962" s="1" t="str">
        <f>IF(Table2[[#This Row],[Description]]="","",VLOOKUP(Table2[[#This Row],[Description]],$Q$1:$S$101,2,FALSE))</f>
        <v/>
      </c>
      <c r="H3962" s="1" t="str">
        <f>IF(Table2[[#This Row],[Description]]="","",VLOOKUP(Table2[[#This Row],[Description]],$Q$1:$S$101,3,FALSE))</f>
        <v/>
      </c>
      <c r="I3962" s="1" t="str">
        <f>IF(Table2[[#This Row],[Description]]="","",IF(Table2[[#This Row],[Currency]]=$O$2,$P$2,HLOOKUP(Table2[[#This Row],[Date]],Funds!$C$10:$GV$11,2,FALSE)))</f>
        <v/>
      </c>
      <c r="J3962" s="215" t="str">
        <f>IF(Table2[[#This Row],[Description]]="","",Table2[[#This Row],[Value]]/Table2[[#This Row],[Conversion]])</f>
        <v/>
      </c>
      <c r="K3962" s="45" t="str">
        <f>IF(Table2[[#This Row],[Description]]="","",DATE(Table2[[#This Row],[Year]],Table2[[#This Row],[Month]],1))</f>
        <v/>
      </c>
    </row>
    <row r="3963" spans="7:11" x14ac:dyDescent="0.25">
      <c r="G3963" s="1" t="str">
        <f>IF(Table2[[#This Row],[Description]]="","",VLOOKUP(Table2[[#This Row],[Description]],$Q$1:$S$101,2,FALSE))</f>
        <v/>
      </c>
      <c r="H3963" s="1" t="str">
        <f>IF(Table2[[#This Row],[Description]]="","",VLOOKUP(Table2[[#This Row],[Description]],$Q$1:$S$101,3,FALSE))</f>
        <v/>
      </c>
      <c r="I3963" s="1" t="str">
        <f>IF(Table2[[#This Row],[Description]]="","",IF(Table2[[#This Row],[Currency]]=$O$2,$P$2,HLOOKUP(Table2[[#This Row],[Date]],Funds!$C$10:$GV$11,2,FALSE)))</f>
        <v/>
      </c>
      <c r="J3963" s="215" t="str">
        <f>IF(Table2[[#This Row],[Description]]="","",Table2[[#This Row],[Value]]/Table2[[#This Row],[Conversion]])</f>
        <v/>
      </c>
      <c r="K3963" s="45" t="str">
        <f>IF(Table2[[#This Row],[Description]]="","",DATE(Table2[[#This Row],[Year]],Table2[[#This Row],[Month]],1))</f>
        <v/>
      </c>
    </row>
    <row r="3964" spans="7:11" x14ac:dyDescent="0.25">
      <c r="G3964" s="1" t="str">
        <f>IF(Table2[[#This Row],[Description]]="","",VLOOKUP(Table2[[#This Row],[Description]],$Q$1:$S$101,2,FALSE))</f>
        <v/>
      </c>
      <c r="H3964" s="1" t="str">
        <f>IF(Table2[[#This Row],[Description]]="","",VLOOKUP(Table2[[#This Row],[Description]],$Q$1:$S$101,3,FALSE))</f>
        <v/>
      </c>
      <c r="I3964" s="1" t="str">
        <f>IF(Table2[[#This Row],[Description]]="","",IF(Table2[[#This Row],[Currency]]=$O$2,$P$2,HLOOKUP(Table2[[#This Row],[Date]],Funds!$C$10:$GV$11,2,FALSE)))</f>
        <v/>
      </c>
      <c r="J3964" s="215" t="str">
        <f>IF(Table2[[#This Row],[Description]]="","",Table2[[#This Row],[Value]]/Table2[[#This Row],[Conversion]])</f>
        <v/>
      </c>
      <c r="K3964" s="45" t="str">
        <f>IF(Table2[[#This Row],[Description]]="","",DATE(Table2[[#This Row],[Year]],Table2[[#This Row],[Month]],1))</f>
        <v/>
      </c>
    </row>
    <row r="3965" spans="7:11" x14ac:dyDescent="0.25">
      <c r="G3965" s="1" t="str">
        <f>IF(Table2[[#This Row],[Description]]="","",VLOOKUP(Table2[[#This Row],[Description]],$Q$1:$S$101,2,FALSE))</f>
        <v/>
      </c>
      <c r="H3965" s="1" t="str">
        <f>IF(Table2[[#This Row],[Description]]="","",VLOOKUP(Table2[[#This Row],[Description]],$Q$1:$S$101,3,FALSE))</f>
        <v/>
      </c>
      <c r="I3965" s="1" t="str">
        <f>IF(Table2[[#This Row],[Description]]="","",IF(Table2[[#This Row],[Currency]]=$O$2,$P$2,HLOOKUP(Table2[[#This Row],[Date]],Funds!$C$10:$GV$11,2,FALSE)))</f>
        <v/>
      </c>
      <c r="J3965" s="215" t="str">
        <f>IF(Table2[[#This Row],[Description]]="","",Table2[[#This Row],[Value]]/Table2[[#This Row],[Conversion]])</f>
        <v/>
      </c>
      <c r="K3965" s="45" t="str">
        <f>IF(Table2[[#This Row],[Description]]="","",DATE(Table2[[#This Row],[Year]],Table2[[#This Row],[Month]],1))</f>
        <v/>
      </c>
    </row>
    <row r="3966" spans="7:11" x14ac:dyDescent="0.25">
      <c r="G3966" s="1" t="str">
        <f>IF(Table2[[#This Row],[Description]]="","",VLOOKUP(Table2[[#This Row],[Description]],$Q$1:$S$101,2,FALSE))</f>
        <v/>
      </c>
      <c r="H3966" s="1" t="str">
        <f>IF(Table2[[#This Row],[Description]]="","",VLOOKUP(Table2[[#This Row],[Description]],$Q$1:$S$101,3,FALSE))</f>
        <v/>
      </c>
      <c r="I3966" s="1" t="str">
        <f>IF(Table2[[#This Row],[Description]]="","",IF(Table2[[#This Row],[Currency]]=$O$2,$P$2,HLOOKUP(Table2[[#This Row],[Date]],Funds!$C$10:$GV$11,2,FALSE)))</f>
        <v/>
      </c>
      <c r="J3966" s="215" t="str">
        <f>IF(Table2[[#This Row],[Description]]="","",Table2[[#This Row],[Value]]/Table2[[#This Row],[Conversion]])</f>
        <v/>
      </c>
      <c r="K3966" s="45" t="str">
        <f>IF(Table2[[#This Row],[Description]]="","",DATE(Table2[[#This Row],[Year]],Table2[[#This Row],[Month]],1))</f>
        <v/>
      </c>
    </row>
    <row r="3967" spans="7:11" x14ac:dyDescent="0.25">
      <c r="G3967" s="1" t="str">
        <f>IF(Table2[[#This Row],[Description]]="","",VLOOKUP(Table2[[#This Row],[Description]],$Q$1:$S$101,2,FALSE))</f>
        <v/>
      </c>
      <c r="H3967" s="1" t="str">
        <f>IF(Table2[[#This Row],[Description]]="","",VLOOKUP(Table2[[#This Row],[Description]],$Q$1:$S$101,3,FALSE))</f>
        <v/>
      </c>
      <c r="I3967" s="1" t="str">
        <f>IF(Table2[[#This Row],[Description]]="","",IF(Table2[[#This Row],[Currency]]=$O$2,$P$2,HLOOKUP(Table2[[#This Row],[Date]],Funds!$C$10:$GV$11,2,FALSE)))</f>
        <v/>
      </c>
      <c r="J3967" s="215" t="str">
        <f>IF(Table2[[#This Row],[Description]]="","",Table2[[#This Row],[Value]]/Table2[[#This Row],[Conversion]])</f>
        <v/>
      </c>
      <c r="K3967" s="45" t="str">
        <f>IF(Table2[[#This Row],[Description]]="","",DATE(Table2[[#This Row],[Year]],Table2[[#This Row],[Month]],1))</f>
        <v/>
      </c>
    </row>
    <row r="3968" spans="7:11" x14ac:dyDescent="0.25">
      <c r="G3968" s="1" t="str">
        <f>IF(Table2[[#This Row],[Description]]="","",VLOOKUP(Table2[[#This Row],[Description]],$Q$1:$S$101,2,FALSE))</f>
        <v/>
      </c>
      <c r="H3968" s="1" t="str">
        <f>IF(Table2[[#This Row],[Description]]="","",VLOOKUP(Table2[[#This Row],[Description]],$Q$1:$S$101,3,FALSE))</f>
        <v/>
      </c>
      <c r="I3968" s="1" t="str">
        <f>IF(Table2[[#This Row],[Description]]="","",IF(Table2[[#This Row],[Currency]]=$O$2,$P$2,HLOOKUP(Table2[[#This Row],[Date]],Funds!$C$10:$GV$11,2,FALSE)))</f>
        <v/>
      </c>
      <c r="J3968" s="215" t="str">
        <f>IF(Table2[[#This Row],[Description]]="","",Table2[[#This Row],[Value]]/Table2[[#This Row],[Conversion]])</f>
        <v/>
      </c>
      <c r="K3968" s="45" t="str">
        <f>IF(Table2[[#This Row],[Description]]="","",DATE(Table2[[#This Row],[Year]],Table2[[#This Row],[Month]],1))</f>
        <v/>
      </c>
    </row>
    <row r="3969" spans="7:11" x14ac:dyDescent="0.25">
      <c r="G3969" s="1" t="str">
        <f>IF(Table2[[#This Row],[Description]]="","",VLOOKUP(Table2[[#This Row],[Description]],$Q$1:$S$101,2,FALSE))</f>
        <v/>
      </c>
      <c r="H3969" s="1" t="str">
        <f>IF(Table2[[#This Row],[Description]]="","",VLOOKUP(Table2[[#This Row],[Description]],$Q$1:$S$101,3,FALSE))</f>
        <v/>
      </c>
      <c r="I3969" s="1" t="str">
        <f>IF(Table2[[#This Row],[Description]]="","",IF(Table2[[#This Row],[Currency]]=$O$2,$P$2,HLOOKUP(Table2[[#This Row],[Date]],Funds!$C$10:$GV$11,2,FALSE)))</f>
        <v/>
      </c>
      <c r="J3969" s="215" t="str">
        <f>IF(Table2[[#This Row],[Description]]="","",Table2[[#This Row],[Value]]/Table2[[#This Row],[Conversion]])</f>
        <v/>
      </c>
      <c r="K3969" s="45" t="str">
        <f>IF(Table2[[#This Row],[Description]]="","",DATE(Table2[[#This Row],[Year]],Table2[[#This Row],[Month]],1))</f>
        <v/>
      </c>
    </row>
    <row r="3970" spans="7:11" x14ac:dyDescent="0.25">
      <c r="G3970" s="1" t="str">
        <f>IF(Table2[[#This Row],[Description]]="","",VLOOKUP(Table2[[#This Row],[Description]],$Q$1:$S$101,2,FALSE))</f>
        <v/>
      </c>
      <c r="H3970" s="1" t="str">
        <f>IF(Table2[[#This Row],[Description]]="","",VLOOKUP(Table2[[#This Row],[Description]],$Q$1:$S$101,3,FALSE))</f>
        <v/>
      </c>
      <c r="I3970" s="1" t="str">
        <f>IF(Table2[[#This Row],[Description]]="","",IF(Table2[[#This Row],[Currency]]=$O$2,$P$2,HLOOKUP(Table2[[#This Row],[Date]],Funds!$C$10:$GV$11,2,FALSE)))</f>
        <v/>
      </c>
      <c r="J3970" s="215" t="str">
        <f>IF(Table2[[#This Row],[Description]]="","",Table2[[#This Row],[Value]]/Table2[[#This Row],[Conversion]])</f>
        <v/>
      </c>
      <c r="K3970" s="45" t="str">
        <f>IF(Table2[[#This Row],[Description]]="","",DATE(Table2[[#This Row],[Year]],Table2[[#This Row],[Month]],1))</f>
        <v/>
      </c>
    </row>
    <row r="3971" spans="7:11" x14ac:dyDescent="0.25">
      <c r="G3971" s="1" t="str">
        <f>IF(Table2[[#This Row],[Description]]="","",VLOOKUP(Table2[[#This Row],[Description]],$Q$1:$S$101,2,FALSE))</f>
        <v/>
      </c>
      <c r="H3971" s="1" t="str">
        <f>IF(Table2[[#This Row],[Description]]="","",VLOOKUP(Table2[[#This Row],[Description]],$Q$1:$S$101,3,FALSE))</f>
        <v/>
      </c>
      <c r="I3971" s="1" t="str">
        <f>IF(Table2[[#This Row],[Description]]="","",IF(Table2[[#This Row],[Currency]]=$O$2,$P$2,HLOOKUP(Table2[[#This Row],[Date]],Funds!$C$10:$GV$11,2,FALSE)))</f>
        <v/>
      </c>
      <c r="J3971" s="215" t="str">
        <f>IF(Table2[[#This Row],[Description]]="","",Table2[[#This Row],[Value]]/Table2[[#This Row],[Conversion]])</f>
        <v/>
      </c>
      <c r="K3971" s="45" t="str">
        <f>IF(Table2[[#This Row],[Description]]="","",DATE(Table2[[#This Row],[Year]],Table2[[#This Row],[Month]],1))</f>
        <v/>
      </c>
    </row>
    <row r="3972" spans="7:11" x14ac:dyDescent="0.25">
      <c r="G3972" s="1" t="str">
        <f>IF(Table2[[#This Row],[Description]]="","",VLOOKUP(Table2[[#This Row],[Description]],$Q$1:$S$101,2,FALSE))</f>
        <v/>
      </c>
      <c r="H3972" s="1" t="str">
        <f>IF(Table2[[#This Row],[Description]]="","",VLOOKUP(Table2[[#This Row],[Description]],$Q$1:$S$101,3,FALSE))</f>
        <v/>
      </c>
      <c r="I3972" s="1" t="str">
        <f>IF(Table2[[#This Row],[Description]]="","",IF(Table2[[#This Row],[Currency]]=$O$2,$P$2,HLOOKUP(Table2[[#This Row],[Date]],Funds!$C$10:$GV$11,2,FALSE)))</f>
        <v/>
      </c>
      <c r="J3972" s="215" t="str">
        <f>IF(Table2[[#This Row],[Description]]="","",Table2[[#This Row],[Value]]/Table2[[#This Row],[Conversion]])</f>
        <v/>
      </c>
      <c r="K3972" s="45" t="str">
        <f>IF(Table2[[#This Row],[Description]]="","",DATE(Table2[[#This Row],[Year]],Table2[[#This Row],[Month]],1))</f>
        <v/>
      </c>
    </row>
    <row r="3973" spans="7:11" x14ac:dyDescent="0.25">
      <c r="G3973" s="1" t="str">
        <f>IF(Table2[[#This Row],[Description]]="","",VLOOKUP(Table2[[#This Row],[Description]],$Q$1:$S$101,2,FALSE))</f>
        <v/>
      </c>
      <c r="H3973" s="1" t="str">
        <f>IF(Table2[[#This Row],[Description]]="","",VLOOKUP(Table2[[#This Row],[Description]],$Q$1:$S$101,3,FALSE))</f>
        <v/>
      </c>
      <c r="I3973" s="1" t="str">
        <f>IF(Table2[[#This Row],[Description]]="","",IF(Table2[[#This Row],[Currency]]=$O$2,$P$2,HLOOKUP(Table2[[#This Row],[Date]],Funds!$C$10:$GV$11,2,FALSE)))</f>
        <v/>
      </c>
      <c r="J3973" s="215" t="str">
        <f>IF(Table2[[#This Row],[Description]]="","",Table2[[#This Row],[Value]]/Table2[[#This Row],[Conversion]])</f>
        <v/>
      </c>
      <c r="K3973" s="45" t="str">
        <f>IF(Table2[[#This Row],[Description]]="","",DATE(Table2[[#This Row],[Year]],Table2[[#This Row],[Month]],1))</f>
        <v/>
      </c>
    </row>
    <row r="3974" spans="7:11" x14ac:dyDescent="0.25">
      <c r="G3974" s="1" t="str">
        <f>IF(Table2[[#This Row],[Description]]="","",VLOOKUP(Table2[[#This Row],[Description]],$Q$1:$S$101,2,FALSE))</f>
        <v/>
      </c>
      <c r="H3974" s="1" t="str">
        <f>IF(Table2[[#This Row],[Description]]="","",VLOOKUP(Table2[[#This Row],[Description]],$Q$1:$S$101,3,FALSE))</f>
        <v/>
      </c>
      <c r="I3974" s="1" t="str">
        <f>IF(Table2[[#This Row],[Description]]="","",IF(Table2[[#This Row],[Currency]]=$O$2,$P$2,HLOOKUP(Table2[[#This Row],[Date]],Funds!$C$10:$GV$11,2,FALSE)))</f>
        <v/>
      </c>
      <c r="J3974" s="215" t="str">
        <f>IF(Table2[[#This Row],[Description]]="","",Table2[[#This Row],[Value]]/Table2[[#This Row],[Conversion]])</f>
        <v/>
      </c>
      <c r="K3974" s="45" t="str">
        <f>IF(Table2[[#This Row],[Description]]="","",DATE(Table2[[#This Row],[Year]],Table2[[#This Row],[Month]],1))</f>
        <v/>
      </c>
    </row>
    <row r="3975" spans="7:11" x14ac:dyDescent="0.25">
      <c r="G3975" s="1" t="str">
        <f>IF(Table2[[#This Row],[Description]]="","",VLOOKUP(Table2[[#This Row],[Description]],$Q$1:$S$101,2,FALSE))</f>
        <v/>
      </c>
      <c r="H3975" s="1" t="str">
        <f>IF(Table2[[#This Row],[Description]]="","",VLOOKUP(Table2[[#This Row],[Description]],$Q$1:$S$101,3,FALSE))</f>
        <v/>
      </c>
      <c r="I3975" s="1" t="str">
        <f>IF(Table2[[#This Row],[Description]]="","",IF(Table2[[#This Row],[Currency]]=$O$2,$P$2,HLOOKUP(Table2[[#This Row],[Date]],Funds!$C$10:$GV$11,2,FALSE)))</f>
        <v/>
      </c>
      <c r="J3975" s="215" t="str">
        <f>IF(Table2[[#This Row],[Description]]="","",Table2[[#This Row],[Value]]/Table2[[#This Row],[Conversion]])</f>
        <v/>
      </c>
      <c r="K3975" s="45" t="str">
        <f>IF(Table2[[#This Row],[Description]]="","",DATE(Table2[[#This Row],[Year]],Table2[[#This Row],[Month]],1))</f>
        <v/>
      </c>
    </row>
    <row r="3976" spans="7:11" x14ac:dyDescent="0.25">
      <c r="G3976" s="1" t="str">
        <f>IF(Table2[[#This Row],[Description]]="","",VLOOKUP(Table2[[#This Row],[Description]],$Q$1:$S$101,2,FALSE))</f>
        <v/>
      </c>
      <c r="H3976" s="1" t="str">
        <f>IF(Table2[[#This Row],[Description]]="","",VLOOKUP(Table2[[#This Row],[Description]],$Q$1:$S$101,3,FALSE))</f>
        <v/>
      </c>
      <c r="I3976" s="1" t="str">
        <f>IF(Table2[[#This Row],[Description]]="","",IF(Table2[[#This Row],[Currency]]=$O$2,$P$2,HLOOKUP(Table2[[#This Row],[Date]],Funds!$C$10:$GV$11,2,FALSE)))</f>
        <v/>
      </c>
      <c r="J3976" s="215" t="str">
        <f>IF(Table2[[#This Row],[Description]]="","",Table2[[#This Row],[Value]]/Table2[[#This Row],[Conversion]])</f>
        <v/>
      </c>
      <c r="K3976" s="45" t="str">
        <f>IF(Table2[[#This Row],[Description]]="","",DATE(Table2[[#This Row],[Year]],Table2[[#This Row],[Month]],1))</f>
        <v/>
      </c>
    </row>
    <row r="3977" spans="7:11" x14ac:dyDescent="0.25">
      <c r="G3977" s="1" t="str">
        <f>IF(Table2[[#This Row],[Description]]="","",VLOOKUP(Table2[[#This Row],[Description]],$Q$1:$S$101,2,FALSE))</f>
        <v/>
      </c>
      <c r="H3977" s="1" t="str">
        <f>IF(Table2[[#This Row],[Description]]="","",VLOOKUP(Table2[[#This Row],[Description]],$Q$1:$S$101,3,FALSE))</f>
        <v/>
      </c>
      <c r="I3977" s="1" t="str">
        <f>IF(Table2[[#This Row],[Description]]="","",IF(Table2[[#This Row],[Currency]]=$O$2,$P$2,HLOOKUP(Table2[[#This Row],[Date]],Funds!$C$10:$GV$11,2,FALSE)))</f>
        <v/>
      </c>
      <c r="J3977" s="215" t="str">
        <f>IF(Table2[[#This Row],[Description]]="","",Table2[[#This Row],[Value]]/Table2[[#This Row],[Conversion]])</f>
        <v/>
      </c>
      <c r="K3977" s="45" t="str">
        <f>IF(Table2[[#This Row],[Description]]="","",DATE(Table2[[#This Row],[Year]],Table2[[#This Row],[Month]],1))</f>
        <v/>
      </c>
    </row>
    <row r="3978" spans="7:11" x14ac:dyDescent="0.25">
      <c r="G3978" s="1" t="str">
        <f>IF(Table2[[#This Row],[Description]]="","",VLOOKUP(Table2[[#This Row],[Description]],$Q$1:$S$101,2,FALSE))</f>
        <v/>
      </c>
      <c r="H3978" s="1" t="str">
        <f>IF(Table2[[#This Row],[Description]]="","",VLOOKUP(Table2[[#This Row],[Description]],$Q$1:$S$101,3,FALSE))</f>
        <v/>
      </c>
      <c r="I3978" s="1" t="str">
        <f>IF(Table2[[#This Row],[Description]]="","",IF(Table2[[#This Row],[Currency]]=$O$2,$P$2,HLOOKUP(Table2[[#This Row],[Date]],Funds!$C$10:$GV$11,2,FALSE)))</f>
        <v/>
      </c>
      <c r="J3978" s="215" t="str">
        <f>IF(Table2[[#This Row],[Description]]="","",Table2[[#This Row],[Value]]/Table2[[#This Row],[Conversion]])</f>
        <v/>
      </c>
      <c r="K3978" s="45" t="str">
        <f>IF(Table2[[#This Row],[Description]]="","",DATE(Table2[[#This Row],[Year]],Table2[[#This Row],[Month]],1))</f>
        <v/>
      </c>
    </row>
    <row r="3979" spans="7:11" x14ac:dyDescent="0.25">
      <c r="G3979" s="1" t="str">
        <f>IF(Table2[[#This Row],[Description]]="","",VLOOKUP(Table2[[#This Row],[Description]],$Q$1:$S$101,2,FALSE))</f>
        <v/>
      </c>
      <c r="H3979" s="1" t="str">
        <f>IF(Table2[[#This Row],[Description]]="","",VLOOKUP(Table2[[#This Row],[Description]],$Q$1:$S$101,3,FALSE))</f>
        <v/>
      </c>
      <c r="I3979" s="1" t="str">
        <f>IF(Table2[[#This Row],[Description]]="","",IF(Table2[[#This Row],[Currency]]=$O$2,$P$2,HLOOKUP(Table2[[#This Row],[Date]],Funds!$C$10:$GV$11,2,FALSE)))</f>
        <v/>
      </c>
      <c r="J3979" s="215" t="str">
        <f>IF(Table2[[#This Row],[Description]]="","",Table2[[#This Row],[Value]]/Table2[[#This Row],[Conversion]])</f>
        <v/>
      </c>
      <c r="K3979" s="45" t="str">
        <f>IF(Table2[[#This Row],[Description]]="","",DATE(Table2[[#This Row],[Year]],Table2[[#This Row],[Month]],1))</f>
        <v/>
      </c>
    </row>
    <row r="3980" spans="7:11" x14ac:dyDescent="0.25">
      <c r="G3980" s="1" t="str">
        <f>IF(Table2[[#This Row],[Description]]="","",VLOOKUP(Table2[[#This Row],[Description]],$Q$1:$S$101,2,FALSE))</f>
        <v/>
      </c>
      <c r="H3980" s="1" t="str">
        <f>IF(Table2[[#This Row],[Description]]="","",VLOOKUP(Table2[[#This Row],[Description]],$Q$1:$S$101,3,FALSE))</f>
        <v/>
      </c>
      <c r="I3980" s="1" t="str">
        <f>IF(Table2[[#This Row],[Description]]="","",IF(Table2[[#This Row],[Currency]]=$O$2,$P$2,HLOOKUP(Table2[[#This Row],[Date]],Funds!$C$10:$GV$11,2,FALSE)))</f>
        <v/>
      </c>
      <c r="J3980" s="215" t="str">
        <f>IF(Table2[[#This Row],[Description]]="","",Table2[[#This Row],[Value]]/Table2[[#This Row],[Conversion]])</f>
        <v/>
      </c>
      <c r="K3980" s="45" t="str">
        <f>IF(Table2[[#This Row],[Description]]="","",DATE(Table2[[#This Row],[Year]],Table2[[#This Row],[Month]],1))</f>
        <v/>
      </c>
    </row>
    <row r="3981" spans="7:11" x14ac:dyDescent="0.25">
      <c r="G3981" s="1" t="str">
        <f>IF(Table2[[#This Row],[Description]]="","",VLOOKUP(Table2[[#This Row],[Description]],$Q$1:$S$101,2,FALSE))</f>
        <v/>
      </c>
      <c r="H3981" s="1" t="str">
        <f>IF(Table2[[#This Row],[Description]]="","",VLOOKUP(Table2[[#This Row],[Description]],$Q$1:$S$101,3,FALSE))</f>
        <v/>
      </c>
      <c r="I3981" s="1" t="str">
        <f>IF(Table2[[#This Row],[Description]]="","",IF(Table2[[#This Row],[Currency]]=$O$2,$P$2,HLOOKUP(Table2[[#This Row],[Date]],Funds!$C$10:$GV$11,2,FALSE)))</f>
        <v/>
      </c>
      <c r="J3981" s="215" t="str">
        <f>IF(Table2[[#This Row],[Description]]="","",Table2[[#This Row],[Value]]/Table2[[#This Row],[Conversion]])</f>
        <v/>
      </c>
      <c r="K3981" s="45" t="str">
        <f>IF(Table2[[#This Row],[Description]]="","",DATE(Table2[[#This Row],[Year]],Table2[[#This Row],[Month]],1))</f>
        <v/>
      </c>
    </row>
    <row r="3982" spans="7:11" x14ac:dyDescent="0.25">
      <c r="G3982" s="1" t="str">
        <f>IF(Table2[[#This Row],[Description]]="","",VLOOKUP(Table2[[#This Row],[Description]],$Q$1:$S$101,2,FALSE))</f>
        <v/>
      </c>
      <c r="H3982" s="1" t="str">
        <f>IF(Table2[[#This Row],[Description]]="","",VLOOKUP(Table2[[#This Row],[Description]],$Q$1:$S$101,3,FALSE))</f>
        <v/>
      </c>
      <c r="I3982" s="1" t="str">
        <f>IF(Table2[[#This Row],[Description]]="","",IF(Table2[[#This Row],[Currency]]=$O$2,$P$2,HLOOKUP(Table2[[#This Row],[Date]],Funds!$C$10:$GV$11,2,FALSE)))</f>
        <v/>
      </c>
      <c r="J3982" s="215" t="str">
        <f>IF(Table2[[#This Row],[Description]]="","",Table2[[#This Row],[Value]]/Table2[[#This Row],[Conversion]])</f>
        <v/>
      </c>
      <c r="K3982" s="45" t="str">
        <f>IF(Table2[[#This Row],[Description]]="","",DATE(Table2[[#This Row],[Year]],Table2[[#This Row],[Month]],1))</f>
        <v/>
      </c>
    </row>
    <row r="3983" spans="7:11" x14ac:dyDescent="0.25">
      <c r="G3983" s="1" t="str">
        <f>IF(Table2[[#This Row],[Description]]="","",VLOOKUP(Table2[[#This Row],[Description]],$Q$1:$S$101,2,FALSE))</f>
        <v/>
      </c>
      <c r="H3983" s="1" t="str">
        <f>IF(Table2[[#This Row],[Description]]="","",VLOOKUP(Table2[[#This Row],[Description]],$Q$1:$S$101,3,FALSE))</f>
        <v/>
      </c>
      <c r="I3983" s="1" t="str">
        <f>IF(Table2[[#This Row],[Description]]="","",IF(Table2[[#This Row],[Currency]]=$O$2,$P$2,HLOOKUP(Table2[[#This Row],[Date]],Funds!$C$10:$GV$11,2,FALSE)))</f>
        <v/>
      </c>
      <c r="J3983" s="215" t="str">
        <f>IF(Table2[[#This Row],[Description]]="","",Table2[[#This Row],[Value]]/Table2[[#This Row],[Conversion]])</f>
        <v/>
      </c>
      <c r="K3983" s="45" t="str">
        <f>IF(Table2[[#This Row],[Description]]="","",DATE(Table2[[#This Row],[Year]],Table2[[#This Row],[Month]],1))</f>
        <v/>
      </c>
    </row>
    <row r="3984" spans="7:11" x14ac:dyDescent="0.25">
      <c r="G3984" s="1" t="str">
        <f>IF(Table2[[#This Row],[Description]]="","",VLOOKUP(Table2[[#This Row],[Description]],$Q$1:$S$101,2,FALSE))</f>
        <v/>
      </c>
      <c r="H3984" s="1" t="str">
        <f>IF(Table2[[#This Row],[Description]]="","",VLOOKUP(Table2[[#This Row],[Description]],$Q$1:$S$101,3,FALSE))</f>
        <v/>
      </c>
      <c r="I3984" s="1" t="str">
        <f>IF(Table2[[#This Row],[Description]]="","",IF(Table2[[#This Row],[Currency]]=$O$2,$P$2,HLOOKUP(Table2[[#This Row],[Date]],Funds!$C$10:$GV$11,2,FALSE)))</f>
        <v/>
      </c>
      <c r="J3984" s="215" t="str">
        <f>IF(Table2[[#This Row],[Description]]="","",Table2[[#This Row],[Value]]/Table2[[#This Row],[Conversion]])</f>
        <v/>
      </c>
      <c r="K3984" s="45" t="str">
        <f>IF(Table2[[#This Row],[Description]]="","",DATE(Table2[[#This Row],[Year]],Table2[[#This Row],[Month]],1))</f>
        <v/>
      </c>
    </row>
    <row r="3985" spans="7:11" x14ac:dyDescent="0.25">
      <c r="G3985" s="1" t="str">
        <f>IF(Table2[[#This Row],[Description]]="","",VLOOKUP(Table2[[#This Row],[Description]],$Q$1:$S$101,2,FALSE))</f>
        <v/>
      </c>
      <c r="H3985" s="1" t="str">
        <f>IF(Table2[[#This Row],[Description]]="","",VLOOKUP(Table2[[#This Row],[Description]],$Q$1:$S$101,3,FALSE))</f>
        <v/>
      </c>
      <c r="I3985" s="1" t="str">
        <f>IF(Table2[[#This Row],[Description]]="","",IF(Table2[[#This Row],[Currency]]=$O$2,$P$2,HLOOKUP(Table2[[#This Row],[Date]],Funds!$C$10:$GV$11,2,FALSE)))</f>
        <v/>
      </c>
      <c r="J3985" s="215" t="str">
        <f>IF(Table2[[#This Row],[Description]]="","",Table2[[#This Row],[Value]]/Table2[[#This Row],[Conversion]])</f>
        <v/>
      </c>
      <c r="K3985" s="45" t="str">
        <f>IF(Table2[[#This Row],[Description]]="","",DATE(Table2[[#This Row],[Year]],Table2[[#This Row],[Month]],1))</f>
        <v/>
      </c>
    </row>
    <row r="3986" spans="7:11" x14ac:dyDescent="0.25">
      <c r="G3986" s="1" t="str">
        <f>IF(Table2[[#This Row],[Description]]="","",VLOOKUP(Table2[[#This Row],[Description]],$Q$1:$S$101,2,FALSE))</f>
        <v/>
      </c>
      <c r="H3986" s="1" t="str">
        <f>IF(Table2[[#This Row],[Description]]="","",VLOOKUP(Table2[[#This Row],[Description]],$Q$1:$S$101,3,FALSE))</f>
        <v/>
      </c>
      <c r="I3986" s="1" t="str">
        <f>IF(Table2[[#This Row],[Description]]="","",IF(Table2[[#This Row],[Currency]]=$O$2,$P$2,HLOOKUP(Table2[[#This Row],[Date]],Funds!$C$10:$GV$11,2,FALSE)))</f>
        <v/>
      </c>
      <c r="J3986" s="215" t="str">
        <f>IF(Table2[[#This Row],[Description]]="","",Table2[[#This Row],[Value]]/Table2[[#This Row],[Conversion]])</f>
        <v/>
      </c>
      <c r="K3986" s="45" t="str">
        <f>IF(Table2[[#This Row],[Description]]="","",DATE(Table2[[#This Row],[Year]],Table2[[#This Row],[Month]],1))</f>
        <v/>
      </c>
    </row>
    <row r="3987" spans="7:11" x14ac:dyDescent="0.25">
      <c r="G3987" s="1" t="str">
        <f>IF(Table2[[#This Row],[Description]]="","",VLOOKUP(Table2[[#This Row],[Description]],$Q$1:$S$101,2,FALSE))</f>
        <v/>
      </c>
      <c r="H3987" s="1" t="str">
        <f>IF(Table2[[#This Row],[Description]]="","",VLOOKUP(Table2[[#This Row],[Description]],$Q$1:$S$101,3,FALSE))</f>
        <v/>
      </c>
      <c r="I3987" s="1" t="str">
        <f>IF(Table2[[#This Row],[Description]]="","",IF(Table2[[#This Row],[Currency]]=$O$2,$P$2,HLOOKUP(Table2[[#This Row],[Date]],Funds!$C$10:$GV$11,2,FALSE)))</f>
        <v/>
      </c>
      <c r="J3987" s="215" t="str">
        <f>IF(Table2[[#This Row],[Description]]="","",Table2[[#This Row],[Value]]/Table2[[#This Row],[Conversion]])</f>
        <v/>
      </c>
      <c r="K3987" s="45" t="str">
        <f>IF(Table2[[#This Row],[Description]]="","",DATE(Table2[[#This Row],[Year]],Table2[[#This Row],[Month]],1))</f>
        <v/>
      </c>
    </row>
    <row r="3988" spans="7:11" x14ac:dyDescent="0.25">
      <c r="G3988" s="1" t="str">
        <f>IF(Table2[[#This Row],[Description]]="","",VLOOKUP(Table2[[#This Row],[Description]],$Q$1:$S$101,2,FALSE))</f>
        <v/>
      </c>
      <c r="H3988" s="1" t="str">
        <f>IF(Table2[[#This Row],[Description]]="","",VLOOKUP(Table2[[#This Row],[Description]],$Q$1:$S$101,3,FALSE))</f>
        <v/>
      </c>
      <c r="I3988" s="1" t="str">
        <f>IF(Table2[[#This Row],[Description]]="","",IF(Table2[[#This Row],[Currency]]=$O$2,$P$2,HLOOKUP(Table2[[#This Row],[Date]],Funds!$C$10:$GV$11,2,FALSE)))</f>
        <v/>
      </c>
      <c r="J3988" s="215" t="str">
        <f>IF(Table2[[#This Row],[Description]]="","",Table2[[#This Row],[Value]]/Table2[[#This Row],[Conversion]])</f>
        <v/>
      </c>
      <c r="K3988" s="45" t="str">
        <f>IF(Table2[[#This Row],[Description]]="","",DATE(Table2[[#This Row],[Year]],Table2[[#This Row],[Month]],1))</f>
        <v/>
      </c>
    </row>
    <row r="3989" spans="7:11" x14ac:dyDescent="0.25">
      <c r="G3989" s="1" t="str">
        <f>IF(Table2[[#This Row],[Description]]="","",VLOOKUP(Table2[[#This Row],[Description]],$Q$1:$S$101,2,FALSE))</f>
        <v/>
      </c>
      <c r="H3989" s="1" t="str">
        <f>IF(Table2[[#This Row],[Description]]="","",VLOOKUP(Table2[[#This Row],[Description]],$Q$1:$S$101,3,FALSE))</f>
        <v/>
      </c>
      <c r="I3989" s="1" t="str">
        <f>IF(Table2[[#This Row],[Description]]="","",IF(Table2[[#This Row],[Currency]]=$O$2,$P$2,HLOOKUP(Table2[[#This Row],[Date]],Funds!$C$10:$GV$11,2,FALSE)))</f>
        <v/>
      </c>
      <c r="J3989" s="215" t="str">
        <f>IF(Table2[[#This Row],[Description]]="","",Table2[[#This Row],[Value]]/Table2[[#This Row],[Conversion]])</f>
        <v/>
      </c>
      <c r="K3989" s="45" t="str">
        <f>IF(Table2[[#This Row],[Description]]="","",DATE(Table2[[#This Row],[Year]],Table2[[#This Row],[Month]],1))</f>
        <v/>
      </c>
    </row>
    <row r="3990" spans="7:11" x14ac:dyDescent="0.25">
      <c r="G3990" s="1" t="str">
        <f>IF(Table2[[#This Row],[Description]]="","",VLOOKUP(Table2[[#This Row],[Description]],$Q$1:$S$101,2,FALSE))</f>
        <v/>
      </c>
      <c r="H3990" s="1" t="str">
        <f>IF(Table2[[#This Row],[Description]]="","",VLOOKUP(Table2[[#This Row],[Description]],$Q$1:$S$101,3,FALSE))</f>
        <v/>
      </c>
      <c r="I3990" s="1" t="str">
        <f>IF(Table2[[#This Row],[Description]]="","",IF(Table2[[#This Row],[Currency]]=$O$2,$P$2,HLOOKUP(Table2[[#This Row],[Date]],Funds!$C$10:$GV$11,2,FALSE)))</f>
        <v/>
      </c>
      <c r="J3990" s="215" t="str">
        <f>IF(Table2[[#This Row],[Description]]="","",Table2[[#This Row],[Value]]/Table2[[#This Row],[Conversion]])</f>
        <v/>
      </c>
      <c r="K3990" s="45" t="str">
        <f>IF(Table2[[#This Row],[Description]]="","",DATE(Table2[[#This Row],[Year]],Table2[[#This Row],[Month]],1))</f>
        <v/>
      </c>
    </row>
    <row r="3991" spans="7:11" x14ac:dyDescent="0.25">
      <c r="G3991" s="1" t="str">
        <f>IF(Table2[[#This Row],[Description]]="","",VLOOKUP(Table2[[#This Row],[Description]],$Q$1:$S$101,2,FALSE))</f>
        <v/>
      </c>
      <c r="H3991" s="1" t="str">
        <f>IF(Table2[[#This Row],[Description]]="","",VLOOKUP(Table2[[#This Row],[Description]],$Q$1:$S$101,3,FALSE))</f>
        <v/>
      </c>
      <c r="I3991" s="1" t="str">
        <f>IF(Table2[[#This Row],[Description]]="","",IF(Table2[[#This Row],[Currency]]=$O$2,$P$2,HLOOKUP(Table2[[#This Row],[Date]],Funds!$C$10:$GV$11,2,FALSE)))</f>
        <v/>
      </c>
      <c r="J3991" s="215" t="str">
        <f>IF(Table2[[#This Row],[Description]]="","",Table2[[#This Row],[Value]]/Table2[[#This Row],[Conversion]])</f>
        <v/>
      </c>
      <c r="K3991" s="45" t="str">
        <f>IF(Table2[[#This Row],[Description]]="","",DATE(Table2[[#This Row],[Year]],Table2[[#This Row],[Month]],1))</f>
        <v/>
      </c>
    </row>
    <row r="3992" spans="7:11" x14ac:dyDescent="0.25">
      <c r="G3992" s="1" t="str">
        <f>IF(Table2[[#This Row],[Description]]="","",VLOOKUP(Table2[[#This Row],[Description]],$Q$1:$S$101,2,FALSE))</f>
        <v/>
      </c>
      <c r="H3992" s="1" t="str">
        <f>IF(Table2[[#This Row],[Description]]="","",VLOOKUP(Table2[[#This Row],[Description]],$Q$1:$S$101,3,FALSE))</f>
        <v/>
      </c>
      <c r="I3992" s="1" t="str">
        <f>IF(Table2[[#This Row],[Description]]="","",IF(Table2[[#This Row],[Currency]]=$O$2,$P$2,HLOOKUP(Table2[[#This Row],[Date]],Funds!$C$10:$GV$11,2,FALSE)))</f>
        <v/>
      </c>
      <c r="J3992" s="215" t="str">
        <f>IF(Table2[[#This Row],[Description]]="","",Table2[[#This Row],[Value]]/Table2[[#This Row],[Conversion]])</f>
        <v/>
      </c>
      <c r="K3992" s="45" t="str">
        <f>IF(Table2[[#This Row],[Description]]="","",DATE(Table2[[#This Row],[Year]],Table2[[#This Row],[Month]],1))</f>
        <v/>
      </c>
    </row>
    <row r="3993" spans="7:11" x14ac:dyDescent="0.25">
      <c r="G3993" s="1" t="str">
        <f>IF(Table2[[#This Row],[Description]]="","",VLOOKUP(Table2[[#This Row],[Description]],$Q$1:$S$101,2,FALSE))</f>
        <v/>
      </c>
      <c r="H3993" s="1" t="str">
        <f>IF(Table2[[#This Row],[Description]]="","",VLOOKUP(Table2[[#This Row],[Description]],$Q$1:$S$101,3,FALSE))</f>
        <v/>
      </c>
      <c r="I3993" s="1" t="str">
        <f>IF(Table2[[#This Row],[Description]]="","",IF(Table2[[#This Row],[Currency]]=$O$2,$P$2,HLOOKUP(Table2[[#This Row],[Date]],Funds!$C$10:$GV$11,2,FALSE)))</f>
        <v/>
      </c>
      <c r="J3993" s="215" t="str">
        <f>IF(Table2[[#This Row],[Description]]="","",Table2[[#This Row],[Value]]/Table2[[#This Row],[Conversion]])</f>
        <v/>
      </c>
      <c r="K3993" s="45" t="str">
        <f>IF(Table2[[#This Row],[Description]]="","",DATE(Table2[[#This Row],[Year]],Table2[[#This Row],[Month]],1))</f>
        <v/>
      </c>
    </row>
    <row r="3994" spans="7:11" x14ac:dyDescent="0.25">
      <c r="G3994" s="1" t="str">
        <f>IF(Table2[[#This Row],[Description]]="","",VLOOKUP(Table2[[#This Row],[Description]],$Q$1:$S$101,2,FALSE))</f>
        <v/>
      </c>
      <c r="H3994" s="1" t="str">
        <f>IF(Table2[[#This Row],[Description]]="","",VLOOKUP(Table2[[#This Row],[Description]],$Q$1:$S$101,3,FALSE))</f>
        <v/>
      </c>
      <c r="I3994" s="1" t="str">
        <f>IF(Table2[[#This Row],[Description]]="","",IF(Table2[[#This Row],[Currency]]=$O$2,$P$2,HLOOKUP(Table2[[#This Row],[Date]],Funds!$C$10:$GV$11,2,FALSE)))</f>
        <v/>
      </c>
      <c r="J3994" s="215" t="str">
        <f>IF(Table2[[#This Row],[Description]]="","",Table2[[#This Row],[Value]]/Table2[[#This Row],[Conversion]])</f>
        <v/>
      </c>
      <c r="K3994" s="45" t="str">
        <f>IF(Table2[[#This Row],[Description]]="","",DATE(Table2[[#This Row],[Year]],Table2[[#This Row],[Month]],1))</f>
        <v/>
      </c>
    </row>
    <row r="3995" spans="7:11" x14ac:dyDescent="0.25">
      <c r="G3995" s="1" t="str">
        <f>IF(Table2[[#This Row],[Description]]="","",VLOOKUP(Table2[[#This Row],[Description]],$Q$1:$S$101,2,FALSE))</f>
        <v/>
      </c>
      <c r="H3995" s="1" t="str">
        <f>IF(Table2[[#This Row],[Description]]="","",VLOOKUP(Table2[[#This Row],[Description]],$Q$1:$S$101,3,FALSE))</f>
        <v/>
      </c>
      <c r="I3995" s="1" t="str">
        <f>IF(Table2[[#This Row],[Description]]="","",IF(Table2[[#This Row],[Currency]]=$O$2,$P$2,HLOOKUP(Table2[[#This Row],[Date]],Funds!$C$10:$GV$11,2,FALSE)))</f>
        <v/>
      </c>
      <c r="J3995" s="215" t="str">
        <f>IF(Table2[[#This Row],[Description]]="","",Table2[[#This Row],[Value]]/Table2[[#This Row],[Conversion]])</f>
        <v/>
      </c>
      <c r="K3995" s="45" t="str">
        <f>IF(Table2[[#This Row],[Description]]="","",DATE(Table2[[#This Row],[Year]],Table2[[#This Row],[Month]],1))</f>
        <v/>
      </c>
    </row>
    <row r="3996" spans="7:11" x14ac:dyDescent="0.25">
      <c r="G3996" s="1" t="str">
        <f>IF(Table2[[#This Row],[Description]]="","",VLOOKUP(Table2[[#This Row],[Description]],$Q$1:$S$101,2,FALSE))</f>
        <v/>
      </c>
      <c r="H3996" s="1" t="str">
        <f>IF(Table2[[#This Row],[Description]]="","",VLOOKUP(Table2[[#This Row],[Description]],$Q$1:$S$101,3,FALSE))</f>
        <v/>
      </c>
      <c r="I3996" s="1" t="str">
        <f>IF(Table2[[#This Row],[Description]]="","",IF(Table2[[#This Row],[Currency]]=$O$2,$P$2,HLOOKUP(Table2[[#This Row],[Date]],Funds!$C$10:$GV$11,2,FALSE)))</f>
        <v/>
      </c>
      <c r="J3996" s="215" t="str">
        <f>IF(Table2[[#This Row],[Description]]="","",Table2[[#This Row],[Value]]/Table2[[#This Row],[Conversion]])</f>
        <v/>
      </c>
      <c r="K3996" s="45" t="str">
        <f>IF(Table2[[#This Row],[Description]]="","",DATE(Table2[[#This Row],[Year]],Table2[[#This Row],[Month]],1))</f>
        <v/>
      </c>
    </row>
    <row r="3997" spans="7:11" x14ac:dyDescent="0.25">
      <c r="G3997" s="1" t="str">
        <f>IF(Table2[[#This Row],[Description]]="","",VLOOKUP(Table2[[#This Row],[Description]],$Q$1:$S$101,2,FALSE))</f>
        <v/>
      </c>
      <c r="H3997" s="1" t="str">
        <f>IF(Table2[[#This Row],[Description]]="","",VLOOKUP(Table2[[#This Row],[Description]],$Q$1:$S$101,3,FALSE))</f>
        <v/>
      </c>
      <c r="I3997" s="1" t="str">
        <f>IF(Table2[[#This Row],[Description]]="","",IF(Table2[[#This Row],[Currency]]=$O$2,$P$2,HLOOKUP(Table2[[#This Row],[Date]],Funds!$C$10:$GV$11,2,FALSE)))</f>
        <v/>
      </c>
      <c r="J3997" s="215" t="str">
        <f>IF(Table2[[#This Row],[Description]]="","",Table2[[#This Row],[Value]]/Table2[[#This Row],[Conversion]])</f>
        <v/>
      </c>
      <c r="K3997" s="45" t="str">
        <f>IF(Table2[[#This Row],[Description]]="","",DATE(Table2[[#This Row],[Year]],Table2[[#This Row],[Month]],1))</f>
        <v/>
      </c>
    </row>
    <row r="3998" spans="7:11" x14ac:dyDescent="0.25">
      <c r="G3998" s="1" t="str">
        <f>IF(Table2[[#This Row],[Description]]="","",VLOOKUP(Table2[[#This Row],[Description]],$Q$1:$S$101,2,FALSE))</f>
        <v/>
      </c>
      <c r="H3998" s="1" t="str">
        <f>IF(Table2[[#This Row],[Description]]="","",VLOOKUP(Table2[[#This Row],[Description]],$Q$1:$S$101,3,FALSE))</f>
        <v/>
      </c>
      <c r="I3998" s="1" t="str">
        <f>IF(Table2[[#This Row],[Description]]="","",IF(Table2[[#This Row],[Currency]]=$O$2,$P$2,HLOOKUP(Table2[[#This Row],[Date]],Funds!$C$10:$GV$11,2,FALSE)))</f>
        <v/>
      </c>
      <c r="J3998" s="215" t="str">
        <f>IF(Table2[[#This Row],[Description]]="","",Table2[[#This Row],[Value]]/Table2[[#This Row],[Conversion]])</f>
        <v/>
      </c>
      <c r="K3998" s="45" t="str">
        <f>IF(Table2[[#This Row],[Description]]="","",DATE(Table2[[#This Row],[Year]],Table2[[#This Row],[Month]],1))</f>
        <v/>
      </c>
    </row>
    <row r="3999" spans="7:11" x14ac:dyDescent="0.25">
      <c r="G3999" s="1" t="str">
        <f>IF(Table2[[#This Row],[Description]]="","",VLOOKUP(Table2[[#This Row],[Description]],$Q$1:$S$101,2,FALSE))</f>
        <v/>
      </c>
      <c r="H3999" s="1" t="str">
        <f>IF(Table2[[#This Row],[Description]]="","",VLOOKUP(Table2[[#This Row],[Description]],$Q$1:$S$101,3,FALSE))</f>
        <v/>
      </c>
      <c r="I3999" s="1" t="str">
        <f>IF(Table2[[#This Row],[Description]]="","",IF(Table2[[#This Row],[Currency]]=$O$2,$P$2,HLOOKUP(Table2[[#This Row],[Date]],Funds!$C$10:$GV$11,2,FALSE)))</f>
        <v/>
      </c>
      <c r="J3999" s="215" t="str">
        <f>IF(Table2[[#This Row],[Description]]="","",Table2[[#This Row],[Value]]/Table2[[#This Row],[Conversion]])</f>
        <v/>
      </c>
      <c r="K3999" s="45" t="str">
        <f>IF(Table2[[#This Row],[Description]]="","",DATE(Table2[[#This Row],[Year]],Table2[[#This Row],[Month]],1))</f>
        <v/>
      </c>
    </row>
    <row r="4000" spans="7:11" x14ac:dyDescent="0.25">
      <c r="G4000" s="1" t="str">
        <f>IF(Table2[[#This Row],[Description]]="","",VLOOKUP(Table2[[#This Row],[Description]],$Q$1:$S$101,2,FALSE))</f>
        <v/>
      </c>
      <c r="H4000" s="1" t="str">
        <f>IF(Table2[[#This Row],[Description]]="","",VLOOKUP(Table2[[#This Row],[Description]],$Q$1:$S$101,3,FALSE))</f>
        <v/>
      </c>
      <c r="I4000" s="1" t="str">
        <f>IF(Table2[[#This Row],[Description]]="","",IF(Table2[[#This Row],[Currency]]=$O$2,$P$2,HLOOKUP(Table2[[#This Row],[Date]],Funds!$C$10:$GV$11,2,FALSE)))</f>
        <v/>
      </c>
      <c r="J4000" s="215" t="str">
        <f>IF(Table2[[#This Row],[Description]]="","",Table2[[#This Row],[Value]]/Table2[[#This Row],[Conversion]])</f>
        <v/>
      </c>
      <c r="K4000" s="45" t="str">
        <f>IF(Table2[[#This Row],[Description]]="","",DATE(Table2[[#This Row],[Year]],Table2[[#This Row],[Month]],1))</f>
        <v/>
      </c>
    </row>
    <row r="4001" spans="7:11" x14ac:dyDescent="0.25">
      <c r="G4001" s="1" t="str">
        <f>IF(Table2[[#This Row],[Description]]="","",VLOOKUP(Table2[[#This Row],[Description]],$Q$1:$S$101,2,FALSE))</f>
        <v/>
      </c>
      <c r="H4001" s="1" t="str">
        <f>IF(Table2[[#This Row],[Description]]="","",VLOOKUP(Table2[[#This Row],[Description]],$Q$1:$S$101,3,FALSE))</f>
        <v/>
      </c>
      <c r="I4001" s="1" t="str">
        <f>IF(Table2[[#This Row],[Description]]="","",IF(Table2[[#This Row],[Currency]]=$O$2,$P$2,HLOOKUP(Table2[[#This Row],[Date]],Funds!$C$10:$GV$11,2,FALSE)))</f>
        <v/>
      </c>
      <c r="J4001" s="215" t="str">
        <f>IF(Table2[[#This Row],[Description]]="","",Table2[[#This Row],[Value]]/Table2[[#This Row],[Conversion]])</f>
        <v/>
      </c>
      <c r="K4001" s="45" t="str">
        <f>IF(Table2[[#This Row],[Description]]="","",DATE(Table2[[#This Row],[Year]],Table2[[#This Row],[Month]],1))</f>
        <v/>
      </c>
    </row>
    <row r="4002" spans="7:11" x14ac:dyDescent="0.25">
      <c r="G4002" s="1" t="str">
        <f>IF(Table2[[#This Row],[Description]]="","",VLOOKUP(Table2[[#This Row],[Description]],$Q$1:$S$101,2,FALSE))</f>
        <v/>
      </c>
      <c r="H4002" s="1" t="str">
        <f>IF(Table2[[#This Row],[Description]]="","",VLOOKUP(Table2[[#This Row],[Description]],$Q$1:$S$101,3,FALSE))</f>
        <v/>
      </c>
      <c r="I4002" s="1" t="str">
        <f>IF(Table2[[#This Row],[Description]]="","",IF(Table2[[#This Row],[Currency]]=$O$2,$P$2,HLOOKUP(Table2[[#This Row],[Date]],Funds!$C$10:$GV$11,2,FALSE)))</f>
        <v/>
      </c>
      <c r="J4002" s="215" t="str">
        <f>IF(Table2[[#This Row],[Description]]="","",Table2[[#This Row],[Value]]/Table2[[#This Row],[Conversion]])</f>
        <v/>
      </c>
      <c r="K4002" s="45" t="str">
        <f>IF(Table2[[#This Row],[Description]]="","",DATE(Table2[[#This Row],[Year]],Table2[[#This Row],[Month]],1))</f>
        <v/>
      </c>
    </row>
    <row r="4003" spans="7:11" x14ac:dyDescent="0.25">
      <c r="G4003" s="1" t="str">
        <f>IF(Table2[[#This Row],[Description]]="","",VLOOKUP(Table2[[#This Row],[Description]],$Q$1:$S$101,2,FALSE))</f>
        <v/>
      </c>
      <c r="H4003" s="1" t="str">
        <f>IF(Table2[[#This Row],[Description]]="","",VLOOKUP(Table2[[#This Row],[Description]],$Q$1:$S$101,3,FALSE))</f>
        <v/>
      </c>
      <c r="I4003" s="1" t="str">
        <f>IF(Table2[[#This Row],[Description]]="","",IF(Table2[[#This Row],[Currency]]=$O$2,$P$2,HLOOKUP(Table2[[#This Row],[Date]],Funds!$C$10:$GV$11,2,FALSE)))</f>
        <v/>
      </c>
      <c r="J4003" s="215" t="str">
        <f>IF(Table2[[#This Row],[Description]]="","",Table2[[#This Row],[Value]]/Table2[[#This Row],[Conversion]])</f>
        <v/>
      </c>
      <c r="K4003" s="45" t="str">
        <f>IF(Table2[[#This Row],[Description]]="","",DATE(Table2[[#This Row],[Year]],Table2[[#This Row],[Month]],1))</f>
        <v/>
      </c>
    </row>
    <row r="4004" spans="7:11" x14ac:dyDescent="0.25">
      <c r="G4004" s="1" t="str">
        <f>IF(Table2[[#This Row],[Description]]="","",VLOOKUP(Table2[[#This Row],[Description]],$Q$1:$S$101,2,FALSE))</f>
        <v/>
      </c>
      <c r="H4004" s="1" t="str">
        <f>IF(Table2[[#This Row],[Description]]="","",VLOOKUP(Table2[[#This Row],[Description]],$Q$1:$S$101,3,FALSE))</f>
        <v/>
      </c>
      <c r="I4004" s="1" t="str">
        <f>IF(Table2[[#This Row],[Description]]="","",IF(Table2[[#This Row],[Currency]]=$O$2,$P$2,HLOOKUP(Table2[[#This Row],[Date]],Funds!$C$10:$GV$11,2,FALSE)))</f>
        <v/>
      </c>
      <c r="J4004" s="215" t="str">
        <f>IF(Table2[[#This Row],[Description]]="","",Table2[[#This Row],[Value]]/Table2[[#This Row],[Conversion]])</f>
        <v/>
      </c>
      <c r="K4004" s="45" t="str">
        <f>IF(Table2[[#This Row],[Description]]="","",DATE(Table2[[#This Row],[Year]],Table2[[#This Row],[Month]],1))</f>
        <v/>
      </c>
    </row>
    <row r="4005" spans="7:11" x14ac:dyDescent="0.25">
      <c r="G4005" s="1" t="str">
        <f>IF(Table2[[#This Row],[Description]]="","",VLOOKUP(Table2[[#This Row],[Description]],$Q$1:$S$101,2,FALSE))</f>
        <v/>
      </c>
      <c r="H4005" s="1" t="str">
        <f>IF(Table2[[#This Row],[Description]]="","",VLOOKUP(Table2[[#This Row],[Description]],$Q$1:$S$101,3,FALSE))</f>
        <v/>
      </c>
      <c r="I4005" s="1" t="str">
        <f>IF(Table2[[#This Row],[Description]]="","",IF(Table2[[#This Row],[Currency]]=$O$2,$P$2,HLOOKUP(Table2[[#This Row],[Date]],Funds!$C$10:$GV$11,2,FALSE)))</f>
        <v/>
      </c>
      <c r="J4005" s="215" t="str">
        <f>IF(Table2[[#This Row],[Description]]="","",Table2[[#This Row],[Value]]/Table2[[#This Row],[Conversion]])</f>
        <v/>
      </c>
      <c r="K4005" s="45" t="str">
        <f>IF(Table2[[#This Row],[Description]]="","",DATE(Table2[[#This Row],[Year]],Table2[[#This Row],[Month]],1))</f>
        <v/>
      </c>
    </row>
    <row r="4006" spans="7:11" x14ac:dyDescent="0.25">
      <c r="G4006" s="1" t="str">
        <f>IF(Table2[[#This Row],[Description]]="","",VLOOKUP(Table2[[#This Row],[Description]],$Q$1:$S$101,2,FALSE))</f>
        <v/>
      </c>
      <c r="H4006" s="1" t="str">
        <f>IF(Table2[[#This Row],[Description]]="","",VLOOKUP(Table2[[#This Row],[Description]],$Q$1:$S$101,3,FALSE))</f>
        <v/>
      </c>
      <c r="I4006" s="1" t="str">
        <f>IF(Table2[[#This Row],[Description]]="","",IF(Table2[[#This Row],[Currency]]=$O$2,$P$2,HLOOKUP(Table2[[#This Row],[Date]],Funds!$C$10:$GV$11,2,FALSE)))</f>
        <v/>
      </c>
      <c r="J4006" s="215" t="str">
        <f>IF(Table2[[#This Row],[Description]]="","",Table2[[#This Row],[Value]]/Table2[[#This Row],[Conversion]])</f>
        <v/>
      </c>
      <c r="K4006" s="45" t="str">
        <f>IF(Table2[[#This Row],[Description]]="","",DATE(Table2[[#This Row],[Year]],Table2[[#This Row],[Month]],1))</f>
        <v/>
      </c>
    </row>
    <row r="4007" spans="7:11" x14ac:dyDescent="0.25">
      <c r="G4007" s="1" t="str">
        <f>IF(Table2[[#This Row],[Description]]="","",VLOOKUP(Table2[[#This Row],[Description]],$Q$1:$S$101,2,FALSE))</f>
        <v/>
      </c>
      <c r="H4007" s="1" t="str">
        <f>IF(Table2[[#This Row],[Description]]="","",VLOOKUP(Table2[[#This Row],[Description]],$Q$1:$S$101,3,FALSE))</f>
        <v/>
      </c>
      <c r="I4007" s="1" t="str">
        <f>IF(Table2[[#This Row],[Description]]="","",IF(Table2[[#This Row],[Currency]]=$O$2,$P$2,HLOOKUP(Table2[[#This Row],[Date]],Funds!$C$10:$GV$11,2,FALSE)))</f>
        <v/>
      </c>
      <c r="J4007" s="215" t="str">
        <f>IF(Table2[[#This Row],[Description]]="","",Table2[[#This Row],[Value]]/Table2[[#This Row],[Conversion]])</f>
        <v/>
      </c>
      <c r="K4007" s="45" t="str">
        <f>IF(Table2[[#This Row],[Description]]="","",DATE(Table2[[#This Row],[Year]],Table2[[#This Row],[Month]],1))</f>
        <v/>
      </c>
    </row>
    <row r="4008" spans="7:11" x14ac:dyDescent="0.25">
      <c r="G4008" s="1" t="str">
        <f>IF(Table2[[#This Row],[Description]]="","",VLOOKUP(Table2[[#This Row],[Description]],$Q$1:$S$101,2,FALSE))</f>
        <v/>
      </c>
      <c r="H4008" s="1" t="str">
        <f>IF(Table2[[#This Row],[Description]]="","",VLOOKUP(Table2[[#This Row],[Description]],$Q$1:$S$101,3,FALSE))</f>
        <v/>
      </c>
      <c r="I4008" s="1" t="str">
        <f>IF(Table2[[#This Row],[Description]]="","",IF(Table2[[#This Row],[Currency]]=$O$2,$P$2,HLOOKUP(Table2[[#This Row],[Date]],Funds!$C$10:$GV$11,2,FALSE)))</f>
        <v/>
      </c>
      <c r="J4008" s="215" t="str">
        <f>IF(Table2[[#This Row],[Description]]="","",Table2[[#This Row],[Value]]/Table2[[#This Row],[Conversion]])</f>
        <v/>
      </c>
      <c r="K4008" s="45" t="str">
        <f>IF(Table2[[#This Row],[Description]]="","",DATE(Table2[[#This Row],[Year]],Table2[[#This Row],[Month]],1))</f>
        <v/>
      </c>
    </row>
    <row r="4009" spans="7:11" x14ac:dyDescent="0.25">
      <c r="G4009" s="1" t="str">
        <f>IF(Table2[[#This Row],[Description]]="","",VLOOKUP(Table2[[#This Row],[Description]],$Q$1:$S$101,2,FALSE))</f>
        <v/>
      </c>
      <c r="H4009" s="1" t="str">
        <f>IF(Table2[[#This Row],[Description]]="","",VLOOKUP(Table2[[#This Row],[Description]],$Q$1:$S$101,3,FALSE))</f>
        <v/>
      </c>
      <c r="I4009" s="1" t="str">
        <f>IF(Table2[[#This Row],[Description]]="","",IF(Table2[[#This Row],[Currency]]=$O$2,$P$2,HLOOKUP(Table2[[#This Row],[Date]],Funds!$C$10:$GV$11,2,FALSE)))</f>
        <v/>
      </c>
      <c r="J4009" s="215" t="str">
        <f>IF(Table2[[#This Row],[Description]]="","",Table2[[#This Row],[Value]]/Table2[[#This Row],[Conversion]])</f>
        <v/>
      </c>
      <c r="K4009" s="45" t="str">
        <f>IF(Table2[[#This Row],[Description]]="","",DATE(Table2[[#This Row],[Year]],Table2[[#This Row],[Month]],1))</f>
        <v/>
      </c>
    </row>
    <row r="4010" spans="7:11" x14ac:dyDescent="0.25">
      <c r="G4010" s="1" t="str">
        <f>IF(Table2[[#This Row],[Description]]="","",VLOOKUP(Table2[[#This Row],[Description]],$Q$1:$S$101,2,FALSE))</f>
        <v/>
      </c>
      <c r="H4010" s="1" t="str">
        <f>IF(Table2[[#This Row],[Description]]="","",VLOOKUP(Table2[[#This Row],[Description]],$Q$1:$S$101,3,FALSE))</f>
        <v/>
      </c>
      <c r="I4010" s="1" t="str">
        <f>IF(Table2[[#This Row],[Description]]="","",IF(Table2[[#This Row],[Currency]]=$O$2,$P$2,HLOOKUP(Table2[[#This Row],[Date]],Funds!$C$10:$GV$11,2,FALSE)))</f>
        <v/>
      </c>
      <c r="J4010" s="215" t="str">
        <f>IF(Table2[[#This Row],[Description]]="","",Table2[[#This Row],[Value]]/Table2[[#This Row],[Conversion]])</f>
        <v/>
      </c>
      <c r="K4010" s="45" t="str">
        <f>IF(Table2[[#This Row],[Description]]="","",DATE(Table2[[#This Row],[Year]],Table2[[#This Row],[Month]],1))</f>
        <v/>
      </c>
    </row>
    <row r="4011" spans="7:11" x14ac:dyDescent="0.25">
      <c r="G4011" s="1" t="str">
        <f>IF(Table2[[#This Row],[Description]]="","",VLOOKUP(Table2[[#This Row],[Description]],$Q$1:$S$101,2,FALSE))</f>
        <v/>
      </c>
      <c r="H4011" s="1" t="str">
        <f>IF(Table2[[#This Row],[Description]]="","",VLOOKUP(Table2[[#This Row],[Description]],$Q$1:$S$101,3,FALSE))</f>
        <v/>
      </c>
      <c r="I4011" s="1" t="str">
        <f>IF(Table2[[#This Row],[Description]]="","",IF(Table2[[#This Row],[Currency]]=$O$2,$P$2,HLOOKUP(Table2[[#This Row],[Date]],Funds!$C$10:$GV$11,2,FALSE)))</f>
        <v/>
      </c>
      <c r="J4011" s="215" t="str">
        <f>IF(Table2[[#This Row],[Description]]="","",Table2[[#This Row],[Value]]/Table2[[#This Row],[Conversion]])</f>
        <v/>
      </c>
      <c r="K4011" s="45" t="str">
        <f>IF(Table2[[#This Row],[Description]]="","",DATE(Table2[[#This Row],[Year]],Table2[[#This Row],[Month]],1))</f>
        <v/>
      </c>
    </row>
    <row r="4012" spans="7:11" x14ac:dyDescent="0.25">
      <c r="G4012" s="1" t="str">
        <f>IF(Table2[[#This Row],[Description]]="","",VLOOKUP(Table2[[#This Row],[Description]],$Q$1:$S$101,2,FALSE))</f>
        <v/>
      </c>
      <c r="H4012" s="1" t="str">
        <f>IF(Table2[[#This Row],[Description]]="","",VLOOKUP(Table2[[#This Row],[Description]],$Q$1:$S$101,3,FALSE))</f>
        <v/>
      </c>
      <c r="I4012" s="1" t="str">
        <f>IF(Table2[[#This Row],[Description]]="","",IF(Table2[[#This Row],[Currency]]=$O$2,$P$2,HLOOKUP(Table2[[#This Row],[Date]],Funds!$C$10:$GV$11,2,FALSE)))</f>
        <v/>
      </c>
      <c r="J4012" s="215" t="str">
        <f>IF(Table2[[#This Row],[Description]]="","",Table2[[#This Row],[Value]]/Table2[[#This Row],[Conversion]])</f>
        <v/>
      </c>
      <c r="K4012" s="45" t="str">
        <f>IF(Table2[[#This Row],[Description]]="","",DATE(Table2[[#This Row],[Year]],Table2[[#This Row],[Month]],1))</f>
        <v/>
      </c>
    </row>
    <row r="4013" spans="7:11" x14ac:dyDescent="0.25">
      <c r="G4013" s="1" t="str">
        <f>IF(Table2[[#This Row],[Description]]="","",VLOOKUP(Table2[[#This Row],[Description]],$Q$1:$S$101,2,FALSE))</f>
        <v/>
      </c>
      <c r="H4013" s="1" t="str">
        <f>IF(Table2[[#This Row],[Description]]="","",VLOOKUP(Table2[[#This Row],[Description]],$Q$1:$S$101,3,FALSE))</f>
        <v/>
      </c>
      <c r="I4013" s="1" t="str">
        <f>IF(Table2[[#This Row],[Description]]="","",IF(Table2[[#This Row],[Currency]]=$O$2,$P$2,HLOOKUP(Table2[[#This Row],[Date]],Funds!$C$10:$GV$11,2,FALSE)))</f>
        <v/>
      </c>
      <c r="J4013" s="215" t="str">
        <f>IF(Table2[[#This Row],[Description]]="","",Table2[[#This Row],[Value]]/Table2[[#This Row],[Conversion]])</f>
        <v/>
      </c>
      <c r="K4013" s="45" t="str">
        <f>IF(Table2[[#This Row],[Description]]="","",DATE(Table2[[#This Row],[Year]],Table2[[#This Row],[Month]],1))</f>
        <v/>
      </c>
    </row>
    <row r="4014" spans="7:11" x14ac:dyDescent="0.25">
      <c r="G4014" s="1" t="str">
        <f>IF(Table2[[#This Row],[Description]]="","",VLOOKUP(Table2[[#This Row],[Description]],$Q$1:$S$101,2,FALSE))</f>
        <v/>
      </c>
      <c r="H4014" s="1" t="str">
        <f>IF(Table2[[#This Row],[Description]]="","",VLOOKUP(Table2[[#This Row],[Description]],$Q$1:$S$101,3,FALSE))</f>
        <v/>
      </c>
      <c r="I4014" s="1" t="str">
        <f>IF(Table2[[#This Row],[Description]]="","",IF(Table2[[#This Row],[Currency]]=$O$2,$P$2,HLOOKUP(Table2[[#This Row],[Date]],Funds!$C$10:$GV$11,2,FALSE)))</f>
        <v/>
      </c>
      <c r="J4014" s="215" t="str">
        <f>IF(Table2[[#This Row],[Description]]="","",Table2[[#This Row],[Value]]/Table2[[#This Row],[Conversion]])</f>
        <v/>
      </c>
      <c r="K4014" s="45" t="str">
        <f>IF(Table2[[#This Row],[Description]]="","",DATE(Table2[[#This Row],[Year]],Table2[[#This Row],[Month]],1))</f>
        <v/>
      </c>
    </row>
    <row r="4015" spans="7:11" x14ac:dyDescent="0.25">
      <c r="G4015" s="1" t="str">
        <f>IF(Table2[[#This Row],[Description]]="","",VLOOKUP(Table2[[#This Row],[Description]],$Q$1:$S$101,2,FALSE))</f>
        <v/>
      </c>
      <c r="H4015" s="1" t="str">
        <f>IF(Table2[[#This Row],[Description]]="","",VLOOKUP(Table2[[#This Row],[Description]],$Q$1:$S$101,3,FALSE))</f>
        <v/>
      </c>
      <c r="I4015" s="1" t="str">
        <f>IF(Table2[[#This Row],[Description]]="","",IF(Table2[[#This Row],[Currency]]=$O$2,$P$2,HLOOKUP(Table2[[#This Row],[Date]],Funds!$C$10:$GV$11,2,FALSE)))</f>
        <v/>
      </c>
      <c r="J4015" s="215" t="str">
        <f>IF(Table2[[#This Row],[Description]]="","",Table2[[#This Row],[Value]]/Table2[[#This Row],[Conversion]])</f>
        <v/>
      </c>
      <c r="K4015" s="45" t="str">
        <f>IF(Table2[[#This Row],[Description]]="","",DATE(Table2[[#This Row],[Year]],Table2[[#This Row],[Month]],1))</f>
        <v/>
      </c>
    </row>
    <row r="4016" spans="7:11" x14ac:dyDescent="0.25">
      <c r="G4016" s="1" t="str">
        <f>IF(Table2[[#This Row],[Description]]="","",VLOOKUP(Table2[[#This Row],[Description]],$Q$1:$S$101,2,FALSE))</f>
        <v/>
      </c>
      <c r="H4016" s="1" t="str">
        <f>IF(Table2[[#This Row],[Description]]="","",VLOOKUP(Table2[[#This Row],[Description]],$Q$1:$S$101,3,FALSE))</f>
        <v/>
      </c>
      <c r="I4016" s="1" t="str">
        <f>IF(Table2[[#This Row],[Description]]="","",IF(Table2[[#This Row],[Currency]]=$O$2,$P$2,HLOOKUP(Table2[[#This Row],[Date]],Funds!$C$10:$GV$11,2,FALSE)))</f>
        <v/>
      </c>
      <c r="J4016" s="215" t="str">
        <f>IF(Table2[[#This Row],[Description]]="","",Table2[[#This Row],[Value]]/Table2[[#This Row],[Conversion]])</f>
        <v/>
      </c>
      <c r="K4016" s="45" t="str">
        <f>IF(Table2[[#This Row],[Description]]="","",DATE(Table2[[#This Row],[Year]],Table2[[#This Row],[Month]],1))</f>
        <v/>
      </c>
    </row>
    <row r="4017" spans="7:11" x14ac:dyDescent="0.25">
      <c r="G4017" s="1" t="str">
        <f>IF(Table2[[#This Row],[Description]]="","",VLOOKUP(Table2[[#This Row],[Description]],$Q$1:$S$101,2,FALSE))</f>
        <v/>
      </c>
      <c r="H4017" s="1" t="str">
        <f>IF(Table2[[#This Row],[Description]]="","",VLOOKUP(Table2[[#This Row],[Description]],$Q$1:$S$101,3,FALSE))</f>
        <v/>
      </c>
      <c r="I4017" s="1" t="str">
        <f>IF(Table2[[#This Row],[Description]]="","",IF(Table2[[#This Row],[Currency]]=$O$2,$P$2,HLOOKUP(Table2[[#This Row],[Date]],Funds!$C$10:$GV$11,2,FALSE)))</f>
        <v/>
      </c>
      <c r="J4017" s="215" t="str">
        <f>IF(Table2[[#This Row],[Description]]="","",Table2[[#This Row],[Value]]/Table2[[#This Row],[Conversion]])</f>
        <v/>
      </c>
      <c r="K4017" s="45" t="str">
        <f>IF(Table2[[#This Row],[Description]]="","",DATE(Table2[[#This Row],[Year]],Table2[[#This Row],[Month]],1))</f>
        <v/>
      </c>
    </row>
    <row r="4018" spans="7:11" x14ac:dyDescent="0.25">
      <c r="G4018" s="1" t="str">
        <f>IF(Table2[[#This Row],[Description]]="","",VLOOKUP(Table2[[#This Row],[Description]],$Q$1:$S$101,2,FALSE))</f>
        <v/>
      </c>
      <c r="H4018" s="1" t="str">
        <f>IF(Table2[[#This Row],[Description]]="","",VLOOKUP(Table2[[#This Row],[Description]],$Q$1:$S$101,3,FALSE))</f>
        <v/>
      </c>
      <c r="I4018" s="1" t="str">
        <f>IF(Table2[[#This Row],[Description]]="","",IF(Table2[[#This Row],[Currency]]=$O$2,$P$2,HLOOKUP(Table2[[#This Row],[Date]],Funds!$C$10:$GV$11,2,FALSE)))</f>
        <v/>
      </c>
      <c r="J4018" s="215" t="str">
        <f>IF(Table2[[#This Row],[Description]]="","",Table2[[#This Row],[Value]]/Table2[[#This Row],[Conversion]])</f>
        <v/>
      </c>
      <c r="K4018" s="45" t="str">
        <f>IF(Table2[[#This Row],[Description]]="","",DATE(Table2[[#This Row],[Year]],Table2[[#This Row],[Month]],1))</f>
        <v/>
      </c>
    </row>
    <row r="4019" spans="7:11" x14ac:dyDescent="0.25">
      <c r="G4019" s="1" t="str">
        <f>IF(Table2[[#This Row],[Description]]="","",VLOOKUP(Table2[[#This Row],[Description]],$Q$1:$S$101,2,FALSE))</f>
        <v/>
      </c>
      <c r="H4019" s="1" t="str">
        <f>IF(Table2[[#This Row],[Description]]="","",VLOOKUP(Table2[[#This Row],[Description]],$Q$1:$S$101,3,FALSE))</f>
        <v/>
      </c>
      <c r="I4019" s="1" t="str">
        <f>IF(Table2[[#This Row],[Description]]="","",IF(Table2[[#This Row],[Currency]]=$O$2,$P$2,HLOOKUP(Table2[[#This Row],[Date]],Funds!$C$10:$GV$11,2,FALSE)))</f>
        <v/>
      </c>
      <c r="J4019" s="215" t="str">
        <f>IF(Table2[[#This Row],[Description]]="","",Table2[[#This Row],[Value]]/Table2[[#This Row],[Conversion]])</f>
        <v/>
      </c>
      <c r="K4019" s="45" t="str">
        <f>IF(Table2[[#This Row],[Description]]="","",DATE(Table2[[#This Row],[Year]],Table2[[#This Row],[Month]],1))</f>
        <v/>
      </c>
    </row>
    <row r="4020" spans="7:11" x14ac:dyDescent="0.25">
      <c r="G4020" s="1" t="str">
        <f>IF(Table2[[#This Row],[Description]]="","",VLOOKUP(Table2[[#This Row],[Description]],$Q$1:$S$101,2,FALSE))</f>
        <v/>
      </c>
      <c r="H4020" s="1" t="str">
        <f>IF(Table2[[#This Row],[Description]]="","",VLOOKUP(Table2[[#This Row],[Description]],$Q$1:$S$101,3,FALSE))</f>
        <v/>
      </c>
      <c r="I4020" s="1" t="str">
        <f>IF(Table2[[#This Row],[Description]]="","",IF(Table2[[#This Row],[Currency]]=$O$2,$P$2,HLOOKUP(Table2[[#This Row],[Date]],Funds!$C$10:$GV$11,2,FALSE)))</f>
        <v/>
      </c>
      <c r="J4020" s="215" t="str">
        <f>IF(Table2[[#This Row],[Description]]="","",Table2[[#This Row],[Value]]/Table2[[#This Row],[Conversion]])</f>
        <v/>
      </c>
      <c r="K4020" s="45" t="str">
        <f>IF(Table2[[#This Row],[Description]]="","",DATE(Table2[[#This Row],[Year]],Table2[[#This Row],[Month]],1))</f>
        <v/>
      </c>
    </row>
    <row r="4021" spans="7:11" x14ac:dyDescent="0.25">
      <c r="G4021" s="1" t="str">
        <f>IF(Table2[[#This Row],[Description]]="","",VLOOKUP(Table2[[#This Row],[Description]],$Q$1:$S$101,2,FALSE))</f>
        <v/>
      </c>
      <c r="H4021" s="1" t="str">
        <f>IF(Table2[[#This Row],[Description]]="","",VLOOKUP(Table2[[#This Row],[Description]],$Q$1:$S$101,3,FALSE))</f>
        <v/>
      </c>
      <c r="I4021" s="1" t="str">
        <f>IF(Table2[[#This Row],[Description]]="","",IF(Table2[[#This Row],[Currency]]=$O$2,$P$2,HLOOKUP(Table2[[#This Row],[Date]],Funds!$C$10:$GV$11,2,FALSE)))</f>
        <v/>
      </c>
      <c r="J4021" s="215" t="str">
        <f>IF(Table2[[#This Row],[Description]]="","",Table2[[#This Row],[Value]]/Table2[[#This Row],[Conversion]])</f>
        <v/>
      </c>
      <c r="K4021" s="45" t="str">
        <f>IF(Table2[[#This Row],[Description]]="","",DATE(Table2[[#This Row],[Year]],Table2[[#This Row],[Month]],1))</f>
        <v/>
      </c>
    </row>
    <row r="4022" spans="7:11" x14ac:dyDescent="0.25">
      <c r="G4022" s="1" t="str">
        <f>IF(Table2[[#This Row],[Description]]="","",VLOOKUP(Table2[[#This Row],[Description]],$Q$1:$S$101,2,FALSE))</f>
        <v/>
      </c>
      <c r="H4022" s="1" t="str">
        <f>IF(Table2[[#This Row],[Description]]="","",VLOOKUP(Table2[[#This Row],[Description]],$Q$1:$S$101,3,FALSE))</f>
        <v/>
      </c>
      <c r="I4022" s="1" t="str">
        <f>IF(Table2[[#This Row],[Description]]="","",IF(Table2[[#This Row],[Currency]]=$O$2,$P$2,HLOOKUP(Table2[[#This Row],[Date]],Funds!$C$10:$GV$11,2,FALSE)))</f>
        <v/>
      </c>
      <c r="J4022" s="215" t="str">
        <f>IF(Table2[[#This Row],[Description]]="","",Table2[[#This Row],[Value]]/Table2[[#This Row],[Conversion]])</f>
        <v/>
      </c>
      <c r="K4022" s="45" t="str">
        <f>IF(Table2[[#This Row],[Description]]="","",DATE(Table2[[#This Row],[Year]],Table2[[#This Row],[Month]],1))</f>
        <v/>
      </c>
    </row>
    <row r="4023" spans="7:11" x14ac:dyDescent="0.25">
      <c r="G4023" s="1" t="str">
        <f>IF(Table2[[#This Row],[Description]]="","",VLOOKUP(Table2[[#This Row],[Description]],$Q$1:$S$101,2,FALSE))</f>
        <v/>
      </c>
      <c r="H4023" s="1" t="str">
        <f>IF(Table2[[#This Row],[Description]]="","",VLOOKUP(Table2[[#This Row],[Description]],$Q$1:$S$101,3,FALSE))</f>
        <v/>
      </c>
      <c r="I4023" s="1" t="str">
        <f>IF(Table2[[#This Row],[Description]]="","",IF(Table2[[#This Row],[Currency]]=$O$2,$P$2,HLOOKUP(Table2[[#This Row],[Date]],Funds!$C$10:$GV$11,2,FALSE)))</f>
        <v/>
      </c>
      <c r="J4023" s="215" t="str">
        <f>IF(Table2[[#This Row],[Description]]="","",Table2[[#This Row],[Value]]/Table2[[#This Row],[Conversion]])</f>
        <v/>
      </c>
      <c r="K4023" s="45" t="str">
        <f>IF(Table2[[#This Row],[Description]]="","",DATE(Table2[[#This Row],[Year]],Table2[[#This Row],[Month]],1))</f>
        <v/>
      </c>
    </row>
    <row r="4024" spans="7:11" x14ac:dyDescent="0.25">
      <c r="G4024" s="1" t="str">
        <f>IF(Table2[[#This Row],[Description]]="","",VLOOKUP(Table2[[#This Row],[Description]],$Q$1:$S$101,2,FALSE))</f>
        <v/>
      </c>
      <c r="H4024" s="1" t="str">
        <f>IF(Table2[[#This Row],[Description]]="","",VLOOKUP(Table2[[#This Row],[Description]],$Q$1:$S$101,3,FALSE))</f>
        <v/>
      </c>
      <c r="I4024" s="1" t="str">
        <f>IF(Table2[[#This Row],[Description]]="","",IF(Table2[[#This Row],[Currency]]=$O$2,$P$2,HLOOKUP(Table2[[#This Row],[Date]],Funds!$C$10:$GV$11,2,FALSE)))</f>
        <v/>
      </c>
      <c r="J4024" s="215" t="str">
        <f>IF(Table2[[#This Row],[Description]]="","",Table2[[#This Row],[Value]]/Table2[[#This Row],[Conversion]])</f>
        <v/>
      </c>
      <c r="K4024" s="45" t="str">
        <f>IF(Table2[[#This Row],[Description]]="","",DATE(Table2[[#This Row],[Year]],Table2[[#This Row],[Month]],1))</f>
        <v/>
      </c>
    </row>
    <row r="4025" spans="7:11" x14ac:dyDescent="0.25">
      <c r="G4025" s="1" t="str">
        <f>IF(Table2[[#This Row],[Description]]="","",VLOOKUP(Table2[[#This Row],[Description]],$Q$1:$S$101,2,FALSE))</f>
        <v/>
      </c>
      <c r="H4025" s="1" t="str">
        <f>IF(Table2[[#This Row],[Description]]="","",VLOOKUP(Table2[[#This Row],[Description]],$Q$1:$S$101,3,FALSE))</f>
        <v/>
      </c>
      <c r="I4025" s="1" t="str">
        <f>IF(Table2[[#This Row],[Description]]="","",IF(Table2[[#This Row],[Currency]]=$O$2,$P$2,HLOOKUP(Table2[[#This Row],[Date]],Funds!$C$10:$GV$11,2,FALSE)))</f>
        <v/>
      </c>
      <c r="J4025" s="215" t="str">
        <f>IF(Table2[[#This Row],[Description]]="","",Table2[[#This Row],[Value]]/Table2[[#This Row],[Conversion]])</f>
        <v/>
      </c>
      <c r="K4025" s="45" t="str">
        <f>IF(Table2[[#This Row],[Description]]="","",DATE(Table2[[#This Row],[Year]],Table2[[#This Row],[Month]],1))</f>
        <v/>
      </c>
    </row>
    <row r="4026" spans="7:11" x14ac:dyDescent="0.25">
      <c r="G4026" s="1" t="str">
        <f>IF(Table2[[#This Row],[Description]]="","",VLOOKUP(Table2[[#This Row],[Description]],$Q$1:$S$101,2,FALSE))</f>
        <v/>
      </c>
      <c r="H4026" s="1" t="str">
        <f>IF(Table2[[#This Row],[Description]]="","",VLOOKUP(Table2[[#This Row],[Description]],$Q$1:$S$101,3,FALSE))</f>
        <v/>
      </c>
      <c r="I4026" s="1" t="str">
        <f>IF(Table2[[#This Row],[Description]]="","",IF(Table2[[#This Row],[Currency]]=$O$2,$P$2,HLOOKUP(Table2[[#This Row],[Date]],Funds!$C$10:$GV$11,2,FALSE)))</f>
        <v/>
      </c>
      <c r="J4026" s="215" t="str">
        <f>IF(Table2[[#This Row],[Description]]="","",Table2[[#This Row],[Value]]/Table2[[#This Row],[Conversion]])</f>
        <v/>
      </c>
      <c r="K4026" s="45" t="str">
        <f>IF(Table2[[#This Row],[Description]]="","",DATE(Table2[[#This Row],[Year]],Table2[[#This Row],[Month]],1))</f>
        <v/>
      </c>
    </row>
    <row r="4027" spans="7:11" x14ac:dyDescent="0.25">
      <c r="G4027" s="1" t="str">
        <f>IF(Table2[[#This Row],[Description]]="","",VLOOKUP(Table2[[#This Row],[Description]],$Q$1:$S$101,2,FALSE))</f>
        <v/>
      </c>
      <c r="H4027" s="1" t="str">
        <f>IF(Table2[[#This Row],[Description]]="","",VLOOKUP(Table2[[#This Row],[Description]],$Q$1:$S$101,3,FALSE))</f>
        <v/>
      </c>
      <c r="I4027" s="1" t="str">
        <f>IF(Table2[[#This Row],[Description]]="","",IF(Table2[[#This Row],[Currency]]=$O$2,$P$2,HLOOKUP(Table2[[#This Row],[Date]],Funds!$C$10:$GV$11,2,FALSE)))</f>
        <v/>
      </c>
      <c r="J4027" s="215" t="str">
        <f>IF(Table2[[#This Row],[Description]]="","",Table2[[#This Row],[Value]]/Table2[[#This Row],[Conversion]])</f>
        <v/>
      </c>
      <c r="K4027" s="45" t="str">
        <f>IF(Table2[[#This Row],[Description]]="","",DATE(Table2[[#This Row],[Year]],Table2[[#This Row],[Month]],1))</f>
        <v/>
      </c>
    </row>
    <row r="4028" spans="7:11" x14ac:dyDescent="0.25">
      <c r="G4028" s="1" t="str">
        <f>IF(Table2[[#This Row],[Description]]="","",VLOOKUP(Table2[[#This Row],[Description]],$Q$1:$S$101,2,FALSE))</f>
        <v/>
      </c>
      <c r="H4028" s="1" t="str">
        <f>IF(Table2[[#This Row],[Description]]="","",VLOOKUP(Table2[[#This Row],[Description]],$Q$1:$S$101,3,FALSE))</f>
        <v/>
      </c>
      <c r="I4028" s="1" t="str">
        <f>IF(Table2[[#This Row],[Description]]="","",IF(Table2[[#This Row],[Currency]]=$O$2,$P$2,HLOOKUP(Table2[[#This Row],[Date]],Funds!$C$10:$GV$11,2,FALSE)))</f>
        <v/>
      </c>
      <c r="J4028" s="215" t="str">
        <f>IF(Table2[[#This Row],[Description]]="","",Table2[[#This Row],[Value]]/Table2[[#This Row],[Conversion]])</f>
        <v/>
      </c>
      <c r="K4028" s="45" t="str">
        <f>IF(Table2[[#This Row],[Description]]="","",DATE(Table2[[#This Row],[Year]],Table2[[#This Row],[Month]],1))</f>
        <v/>
      </c>
    </row>
    <row r="4029" spans="7:11" x14ac:dyDescent="0.25">
      <c r="G4029" s="1" t="str">
        <f>IF(Table2[[#This Row],[Description]]="","",VLOOKUP(Table2[[#This Row],[Description]],$Q$1:$S$101,2,FALSE))</f>
        <v/>
      </c>
      <c r="H4029" s="1" t="str">
        <f>IF(Table2[[#This Row],[Description]]="","",VLOOKUP(Table2[[#This Row],[Description]],$Q$1:$S$101,3,FALSE))</f>
        <v/>
      </c>
      <c r="I4029" s="1" t="str">
        <f>IF(Table2[[#This Row],[Description]]="","",IF(Table2[[#This Row],[Currency]]=$O$2,$P$2,HLOOKUP(Table2[[#This Row],[Date]],Funds!$C$10:$GV$11,2,FALSE)))</f>
        <v/>
      </c>
      <c r="J4029" s="215" t="str">
        <f>IF(Table2[[#This Row],[Description]]="","",Table2[[#This Row],[Value]]/Table2[[#This Row],[Conversion]])</f>
        <v/>
      </c>
      <c r="K4029" s="45" t="str">
        <f>IF(Table2[[#This Row],[Description]]="","",DATE(Table2[[#This Row],[Year]],Table2[[#This Row],[Month]],1))</f>
        <v/>
      </c>
    </row>
    <row r="4030" spans="7:11" x14ac:dyDescent="0.25">
      <c r="G4030" s="1" t="str">
        <f>IF(Table2[[#This Row],[Description]]="","",VLOOKUP(Table2[[#This Row],[Description]],$Q$1:$S$101,2,FALSE))</f>
        <v/>
      </c>
      <c r="H4030" s="1" t="str">
        <f>IF(Table2[[#This Row],[Description]]="","",VLOOKUP(Table2[[#This Row],[Description]],$Q$1:$S$101,3,FALSE))</f>
        <v/>
      </c>
      <c r="I4030" s="1" t="str">
        <f>IF(Table2[[#This Row],[Description]]="","",IF(Table2[[#This Row],[Currency]]=$O$2,$P$2,HLOOKUP(Table2[[#This Row],[Date]],Funds!$C$10:$GV$11,2,FALSE)))</f>
        <v/>
      </c>
      <c r="J4030" s="215" t="str">
        <f>IF(Table2[[#This Row],[Description]]="","",Table2[[#This Row],[Value]]/Table2[[#This Row],[Conversion]])</f>
        <v/>
      </c>
      <c r="K4030" s="45" t="str">
        <f>IF(Table2[[#This Row],[Description]]="","",DATE(Table2[[#This Row],[Year]],Table2[[#This Row],[Month]],1))</f>
        <v/>
      </c>
    </row>
    <row r="4031" spans="7:11" x14ac:dyDescent="0.25">
      <c r="G4031" s="1" t="str">
        <f>IF(Table2[[#This Row],[Description]]="","",VLOOKUP(Table2[[#This Row],[Description]],$Q$1:$S$101,2,FALSE))</f>
        <v/>
      </c>
      <c r="H4031" s="1" t="str">
        <f>IF(Table2[[#This Row],[Description]]="","",VLOOKUP(Table2[[#This Row],[Description]],$Q$1:$S$101,3,FALSE))</f>
        <v/>
      </c>
      <c r="I4031" s="1" t="str">
        <f>IF(Table2[[#This Row],[Description]]="","",IF(Table2[[#This Row],[Currency]]=$O$2,$P$2,HLOOKUP(Table2[[#This Row],[Date]],Funds!$C$10:$GV$11,2,FALSE)))</f>
        <v/>
      </c>
      <c r="J4031" s="215" t="str">
        <f>IF(Table2[[#This Row],[Description]]="","",Table2[[#This Row],[Value]]/Table2[[#This Row],[Conversion]])</f>
        <v/>
      </c>
      <c r="K4031" s="45" t="str">
        <f>IF(Table2[[#This Row],[Description]]="","",DATE(Table2[[#This Row],[Year]],Table2[[#This Row],[Month]],1))</f>
        <v/>
      </c>
    </row>
    <row r="4032" spans="7:11" x14ac:dyDescent="0.25">
      <c r="G4032" s="1" t="str">
        <f>IF(Table2[[#This Row],[Description]]="","",VLOOKUP(Table2[[#This Row],[Description]],$Q$1:$S$101,2,FALSE))</f>
        <v/>
      </c>
      <c r="H4032" s="1" t="str">
        <f>IF(Table2[[#This Row],[Description]]="","",VLOOKUP(Table2[[#This Row],[Description]],$Q$1:$S$101,3,FALSE))</f>
        <v/>
      </c>
      <c r="I4032" s="1" t="str">
        <f>IF(Table2[[#This Row],[Description]]="","",IF(Table2[[#This Row],[Currency]]=$O$2,$P$2,HLOOKUP(Table2[[#This Row],[Date]],Funds!$C$10:$GV$11,2,FALSE)))</f>
        <v/>
      </c>
      <c r="J4032" s="215" t="str">
        <f>IF(Table2[[#This Row],[Description]]="","",Table2[[#This Row],[Value]]/Table2[[#This Row],[Conversion]])</f>
        <v/>
      </c>
      <c r="K4032" s="45" t="str">
        <f>IF(Table2[[#This Row],[Description]]="","",DATE(Table2[[#This Row],[Year]],Table2[[#This Row],[Month]],1))</f>
        <v/>
      </c>
    </row>
    <row r="4033" spans="7:11" x14ac:dyDescent="0.25">
      <c r="G4033" s="1" t="str">
        <f>IF(Table2[[#This Row],[Description]]="","",VLOOKUP(Table2[[#This Row],[Description]],$Q$1:$S$101,2,FALSE))</f>
        <v/>
      </c>
      <c r="H4033" s="1" t="str">
        <f>IF(Table2[[#This Row],[Description]]="","",VLOOKUP(Table2[[#This Row],[Description]],$Q$1:$S$101,3,FALSE))</f>
        <v/>
      </c>
      <c r="I4033" s="1" t="str">
        <f>IF(Table2[[#This Row],[Description]]="","",IF(Table2[[#This Row],[Currency]]=$O$2,$P$2,HLOOKUP(Table2[[#This Row],[Date]],Funds!$C$10:$GV$11,2,FALSE)))</f>
        <v/>
      </c>
      <c r="J4033" s="215" t="str">
        <f>IF(Table2[[#This Row],[Description]]="","",Table2[[#This Row],[Value]]/Table2[[#This Row],[Conversion]])</f>
        <v/>
      </c>
      <c r="K4033" s="45" t="str">
        <f>IF(Table2[[#This Row],[Description]]="","",DATE(Table2[[#This Row],[Year]],Table2[[#This Row],[Month]],1))</f>
        <v/>
      </c>
    </row>
    <row r="4034" spans="7:11" x14ac:dyDescent="0.25">
      <c r="G4034" s="1" t="str">
        <f>IF(Table2[[#This Row],[Description]]="","",VLOOKUP(Table2[[#This Row],[Description]],$Q$1:$S$101,2,FALSE))</f>
        <v/>
      </c>
      <c r="H4034" s="1" t="str">
        <f>IF(Table2[[#This Row],[Description]]="","",VLOOKUP(Table2[[#This Row],[Description]],$Q$1:$S$101,3,FALSE))</f>
        <v/>
      </c>
      <c r="I4034" s="1" t="str">
        <f>IF(Table2[[#This Row],[Description]]="","",IF(Table2[[#This Row],[Currency]]=$O$2,$P$2,HLOOKUP(Table2[[#This Row],[Date]],Funds!$C$10:$GV$11,2,FALSE)))</f>
        <v/>
      </c>
      <c r="J4034" s="215" t="str">
        <f>IF(Table2[[#This Row],[Description]]="","",Table2[[#This Row],[Value]]/Table2[[#This Row],[Conversion]])</f>
        <v/>
      </c>
      <c r="K4034" s="45" t="str">
        <f>IF(Table2[[#This Row],[Description]]="","",DATE(Table2[[#This Row],[Year]],Table2[[#This Row],[Month]],1))</f>
        <v/>
      </c>
    </row>
    <row r="4035" spans="7:11" x14ac:dyDescent="0.25">
      <c r="G4035" s="1" t="str">
        <f>IF(Table2[[#This Row],[Description]]="","",VLOOKUP(Table2[[#This Row],[Description]],$Q$1:$S$101,2,FALSE))</f>
        <v/>
      </c>
      <c r="H4035" s="1" t="str">
        <f>IF(Table2[[#This Row],[Description]]="","",VLOOKUP(Table2[[#This Row],[Description]],$Q$1:$S$101,3,FALSE))</f>
        <v/>
      </c>
      <c r="I4035" s="1" t="str">
        <f>IF(Table2[[#This Row],[Description]]="","",IF(Table2[[#This Row],[Currency]]=$O$2,$P$2,HLOOKUP(Table2[[#This Row],[Date]],Funds!$C$10:$GV$11,2,FALSE)))</f>
        <v/>
      </c>
      <c r="J4035" s="215" t="str">
        <f>IF(Table2[[#This Row],[Description]]="","",Table2[[#This Row],[Value]]/Table2[[#This Row],[Conversion]])</f>
        <v/>
      </c>
      <c r="K4035" s="45" t="str">
        <f>IF(Table2[[#This Row],[Description]]="","",DATE(Table2[[#This Row],[Year]],Table2[[#This Row],[Month]],1))</f>
        <v/>
      </c>
    </row>
    <row r="4036" spans="7:11" x14ac:dyDescent="0.25">
      <c r="G4036" s="1" t="str">
        <f>IF(Table2[[#This Row],[Description]]="","",VLOOKUP(Table2[[#This Row],[Description]],$Q$1:$S$101,2,FALSE))</f>
        <v/>
      </c>
      <c r="H4036" s="1" t="str">
        <f>IF(Table2[[#This Row],[Description]]="","",VLOOKUP(Table2[[#This Row],[Description]],$Q$1:$S$101,3,FALSE))</f>
        <v/>
      </c>
      <c r="I4036" s="1" t="str">
        <f>IF(Table2[[#This Row],[Description]]="","",IF(Table2[[#This Row],[Currency]]=$O$2,$P$2,HLOOKUP(Table2[[#This Row],[Date]],Funds!$C$10:$GV$11,2,FALSE)))</f>
        <v/>
      </c>
      <c r="J4036" s="215" t="str">
        <f>IF(Table2[[#This Row],[Description]]="","",Table2[[#This Row],[Value]]/Table2[[#This Row],[Conversion]])</f>
        <v/>
      </c>
      <c r="K4036" s="45" t="str">
        <f>IF(Table2[[#This Row],[Description]]="","",DATE(Table2[[#This Row],[Year]],Table2[[#This Row],[Month]],1))</f>
        <v/>
      </c>
    </row>
    <row r="4037" spans="7:11" x14ac:dyDescent="0.25">
      <c r="G4037" s="1" t="str">
        <f>IF(Table2[[#This Row],[Description]]="","",VLOOKUP(Table2[[#This Row],[Description]],$Q$1:$S$101,2,FALSE))</f>
        <v/>
      </c>
      <c r="H4037" s="1" t="str">
        <f>IF(Table2[[#This Row],[Description]]="","",VLOOKUP(Table2[[#This Row],[Description]],$Q$1:$S$101,3,FALSE))</f>
        <v/>
      </c>
      <c r="I4037" s="1" t="str">
        <f>IF(Table2[[#This Row],[Description]]="","",IF(Table2[[#This Row],[Currency]]=$O$2,$P$2,HLOOKUP(Table2[[#This Row],[Date]],Funds!$C$10:$GV$11,2,FALSE)))</f>
        <v/>
      </c>
      <c r="J4037" s="215" t="str">
        <f>IF(Table2[[#This Row],[Description]]="","",Table2[[#This Row],[Value]]/Table2[[#This Row],[Conversion]])</f>
        <v/>
      </c>
      <c r="K4037" s="45" t="str">
        <f>IF(Table2[[#This Row],[Description]]="","",DATE(Table2[[#This Row],[Year]],Table2[[#This Row],[Month]],1))</f>
        <v/>
      </c>
    </row>
    <row r="4038" spans="7:11" x14ac:dyDescent="0.25">
      <c r="G4038" s="1" t="str">
        <f>IF(Table2[[#This Row],[Description]]="","",VLOOKUP(Table2[[#This Row],[Description]],$Q$1:$S$101,2,FALSE))</f>
        <v/>
      </c>
      <c r="H4038" s="1" t="str">
        <f>IF(Table2[[#This Row],[Description]]="","",VLOOKUP(Table2[[#This Row],[Description]],$Q$1:$S$101,3,FALSE))</f>
        <v/>
      </c>
      <c r="I4038" s="1" t="str">
        <f>IF(Table2[[#This Row],[Description]]="","",IF(Table2[[#This Row],[Currency]]=$O$2,$P$2,HLOOKUP(Table2[[#This Row],[Date]],Funds!$C$10:$GV$11,2,FALSE)))</f>
        <v/>
      </c>
      <c r="J4038" s="215" t="str">
        <f>IF(Table2[[#This Row],[Description]]="","",Table2[[#This Row],[Value]]/Table2[[#This Row],[Conversion]])</f>
        <v/>
      </c>
      <c r="K4038" s="45" t="str">
        <f>IF(Table2[[#This Row],[Description]]="","",DATE(Table2[[#This Row],[Year]],Table2[[#This Row],[Month]],1))</f>
        <v/>
      </c>
    </row>
    <row r="4039" spans="7:11" x14ac:dyDescent="0.25">
      <c r="G4039" s="1" t="str">
        <f>IF(Table2[[#This Row],[Description]]="","",VLOOKUP(Table2[[#This Row],[Description]],$Q$1:$S$101,2,FALSE))</f>
        <v/>
      </c>
      <c r="H4039" s="1" t="str">
        <f>IF(Table2[[#This Row],[Description]]="","",VLOOKUP(Table2[[#This Row],[Description]],$Q$1:$S$101,3,FALSE))</f>
        <v/>
      </c>
      <c r="I4039" s="1" t="str">
        <f>IF(Table2[[#This Row],[Description]]="","",IF(Table2[[#This Row],[Currency]]=$O$2,$P$2,HLOOKUP(Table2[[#This Row],[Date]],Funds!$C$10:$GV$11,2,FALSE)))</f>
        <v/>
      </c>
      <c r="J4039" s="215" t="str">
        <f>IF(Table2[[#This Row],[Description]]="","",Table2[[#This Row],[Value]]/Table2[[#This Row],[Conversion]])</f>
        <v/>
      </c>
      <c r="K4039" s="45" t="str">
        <f>IF(Table2[[#This Row],[Description]]="","",DATE(Table2[[#This Row],[Year]],Table2[[#This Row],[Month]],1))</f>
        <v/>
      </c>
    </row>
    <row r="4040" spans="7:11" x14ac:dyDescent="0.25">
      <c r="G4040" s="1" t="str">
        <f>IF(Table2[[#This Row],[Description]]="","",VLOOKUP(Table2[[#This Row],[Description]],$Q$1:$S$101,2,FALSE))</f>
        <v/>
      </c>
      <c r="H4040" s="1" t="str">
        <f>IF(Table2[[#This Row],[Description]]="","",VLOOKUP(Table2[[#This Row],[Description]],$Q$1:$S$101,3,FALSE))</f>
        <v/>
      </c>
      <c r="I4040" s="1" t="str">
        <f>IF(Table2[[#This Row],[Description]]="","",IF(Table2[[#This Row],[Currency]]=$O$2,$P$2,HLOOKUP(Table2[[#This Row],[Date]],Funds!$C$10:$GV$11,2,FALSE)))</f>
        <v/>
      </c>
      <c r="J4040" s="215" t="str">
        <f>IF(Table2[[#This Row],[Description]]="","",Table2[[#This Row],[Value]]/Table2[[#This Row],[Conversion]])</f>
        <v/>
      </c>
      <c r="K4040" s="45" t="str">
        <f>IF(Table2[[#This Row],[Description]]="","",DATE(Table2[[#This Row],[Year]],Table2[[#This Row],[Month]],1))</f>
        <v/>
      </c>
    </row>
    <row r="4041" spans="7:11" x14ac:dyDescent="0.25">
      <c r="G4041" s="1" t="str">
        <f>IF(Table2[[#This Row],[Description]]="","",VLOOKUP(Table2[[#This Row],[Description]],$Q$1:$S$101,2,FALSE))</f>
        <v/>
      </c>
      <c r="H4041" s="1" t="str">
        <f>IF(Table2[[#This Row],[Description]]="","",VLOOKUP(Table2[[#This Row],[Description]],$Q$1:$S$101,3,FALSE))</f>
        <v/>
      </c>
      <c r="I4041" s="1" t="str">
        <f>IF(Table2[[#This Row],[Description]]="","",IF(Table2[[#This Row],[Currency]]=$O$2,$P$2,HLOOKUP(Table2[[#This Row],[Date]],Funds!$C$10:$GV$11,2,FALSE)))</f>
        <v/>
      </c>
      <c r="J4041" s="215" t="str">
        <f>IF(Table2[[#This Row],[Description]]="","",Table2[[#This Row],[Value]]/Table2[[#This Row],[Conversion]])</f>
        <v/>
      </c>
      <c r="K4041" s="45" t="str">
        <f>IF(Table2[[#This Row],[Description]]="","",DATE(Table2[[#This Row],[Year]],Table2[[#This Row],[Month]],1))</f>
        <v/>
      </c>
    </row>
    <row r="4042" spans="7:11" x14ac:dyDescent="0.25">
      <c r="G4042" s="1" t="str">
        <f>IF(Table2[[#This Row],[Description]]="","",VLOOKUP(Table2[[#This Row],[Description]],$Q$1:$S$101,2,FALSE))</f>
        <v/>
      </c>
      <c r="H4042" s="1" t="str">
        <f>IF(Table2[[#This Row],[Description]]="","",VLOOKUP(Table2[[#This Row],[Description]],$Q$1:$S$101,3,FALSE))</f>
        <v/>
      </c>
      <c r="I4042" s="1" t="str">
        <f>IF(Table2[[#This Row],[Description]]="","",IF(Table2[[#This Row],[Currency]]=$O$2,$P$2,HLOOKUP(Table2[[#This Row],[Date]],Funds!$C$10:$GV$11,2,FALSE)))</f>
        <v/>
      </c>
      <c r="J4042" s="215" t="str">
        <f>IF(Table2[[#This Row],[Description]]="","",Table2[[#This Row],[Value]]/Table2[[#This Row],[Conversion]])</f>
        <v/>
      </c>
      <c r="K4042" s="45" t="str">
        <f>IF(Table2[[#This Row],[Description]]="","",DATE(Table2[[#This Row],[Year]],Table2[[#This Row],[Month]],1))</f>
        <v/>
      </c>
    </row>
    <row r="4043" spans="7:11" x14ac:dyDescent="0.25">
      <c r="G4043" s="1" t="str">
        <f>IF(Table2[[#This Row],[Description]]="","",VLOOKUP(Table2[[#This Row],[Description]],$Q$1:$S$101,2,FALSE))</f>
        <v/>
      </c>
      <c r="H4043" s="1" t="str">
        <f>IF(Table2[[#This Row],[Description]]="","",VLOOKUP(Table2[[#This Row],[Description]],$Q$1:$S$101,3,FALSE))</f>
        <v/>
      </c>
      <c r="I4043" s="1" t="str">
        <f>IF(Table2[[#This Row],[Description]]="","",IF(Table2[[#This Row],[Currency]]=$O$2,$P$2,HLOOKUP(Table2[[#This Row],[Date]],Funds!$C$10:$GV$11,2,FALSE)))</f>
        <v/>
      </c>
      <c r="J4043" s="215" t="str">
        <f>IF(Table2[[#This Row],[Description]]="","",Table2[[#This Row],[Value]]/Table2[[#This Row],[Conversion]])</f>
        <v/>
      </c>
      <c r="K4043" s="45" t="str">
        <f>IF(Table2[[#This Row],[Description]]="","",DATE(Table2[[#This Row],[Year]],Table2[[#This Row],[Month]],1))</f>
        <v/>
      </c>
    </row>
    <row r="4044" spans="7:11" x14ac:dyDescent="0.25">
      <c r="G4044" s="1" t="str">
        <f>IF(Table2[[#This Row],[Description]]="","",VLOOKUP(Table2[[#This Row],[Description]],$Q$1:$S$101,2,FALSE))</f>
        <v/>
      </c>
      <c r="H4044" s="1" t="str">
        <f>IF(Table2[[#This Row],[Description]]="","",VLOOKUP(Table2[[#This Row],[Description]],$Q$1:$S$101,3,FALSE))</f>
        <v/>
      </c>
      <c r="I4044" s="1" t="str">
        <f>IF(Table2[[#This Row],[Description]]="","",IF(Table2[[#This Row],[Currency]]=$O$2,$P$2,HLOOKUP(Table2[[#This Row],[Date]],Funds!$C$10:$GV$11,2,FALSE)))</f>
        <v/>
      </c>
      <c r="J4044" s="215" t="str">
        <f>IF(Table2[[#This Row],[Description]]="","",Table2[[#This Row],[Value]]/Table2[[#This Row],[Conversion]])</f>
        <v/>
      </c>
      <c r="K4044" s="45" t="str">
        <f>IF(Table2[[#This Row],[Description]]="","",DATE(Table2[[#This Row],[Year]],Table2[[#This Row],[Month]],1))</f>
        <v/>
      </c>
    </row>
    <row r="4045" spans="7:11" x14ac:dyDescent="0.25">
      <c r="G4045" s="1" t="str">
        <f>IF(Table2[[#This Row],[Description]]="","",VLOOKUP(Table2[[#This Row],[Description]],$Q$1:$S$101,2,FALSE))</f>
        <v/>
      </c>
      <c r="H4045" s="1" t="str">
        <f>IF(Table2[[#This Row],[Description]]="","",VLOOKUP(Table2[[#This Row],[Description]],$Q$1:$S$101,3,FALSE))</f>
        <v/>
      </c>
      <c r="I4045" s="1" t="str">
        <f>IF(Table2[[#This Row],[Description]]="","",IF(Table2[[#This Row],[Currency]]=$O$2,$P$2,HLOOKUP(Table2[[#This Row],[Date]],Funds!$C$10:$GV$11,2,FALSE)))</f>
        <v/>
      </c>
      <c r="J4045" s="215" t="str">
        <f>IF(Table2[[#This Row],[Description]]="","",Table2[[#This Row],[Value]]/Table2[[#This Row],[Conversion]])</f>
        <v/>
      </c>
      <c r="K4045" s="45" t="str">
        <f>IF(Table2[[#This Row],[Description]]="","",DATE(Table2[[#This Row],[Year]],Table2[[#This Row],[Month]],1))</f>
        <v/>
      </c>
    </row>
    <row r="4046" spans="7:11" x14ac:dyDescent="0.25">
      <c r="G4046" s="1" t="str">
        <f>IF(Table2[[#This Row],[Description]]="","",VLOOKUP(Table2[[#This Row],[Description]],$Q$1:$S$101,2,FALSE))</f>
        <v/>
      </c>
      <c r="H4046" s="1" t="str">
        <f>IF(Table2[[#This Row],[Description]]="","",VLOOKUP(Table2[[#This Row],[Description]],$Q$1:$S$101,3,FALSE))</f>
        <v/>
      </c>
      <c r="I4046" s="1" t="str">
        <f>IF(Table2[[#This Row],[Description]]="","",IF(Table2[[#This Row],[Currency]]=$O$2,$P$2,HLOOKUP(Table2[[#This Row],[Date]],Funds!$C$10:$GV$11,2,FALSE)))</f>
        <v/>
      </c>
      <c r="J4046" s="215" t="str">
        <f>IF(Table2[[#This Row],[Description]]="","",Table2[[#This Row],[Value]]/Table2[[#This Row],[Conversion]])</f>
        <v/>
      </c>
      <c r="K4046" s="45" t="str">
        <f>IF(Table2[[#This Row],[Description]]="","",DATE(Table2[[#This Row],[Year]],Table2[[#This Row],[Month]],1))</f>
        <v/>
      </c>
    </row>
    <row r="4047" spans="7:11" x14ac:dyDescent="0.25">
      <c r="G4047" s="1" t="str">
        <f>IF(Table2[[#This Row],[Description]]="","",VLOOKUP(Table2[[#This Row],[Description]],$Q$1:$S$101,2,FALSE))</f>
        <v/>
      </c>
      <c r="H4047" s="1" t="str">
        <f>IF(Table2[[#This Row],[Description]]="","",VLOOKUP(Table2[[#This Row],[Description]],$Q$1:$S$101,3,FALSE))</f>
        <v/>
      </c>
      <c r="I4047" s="1" t="str">
        <f>IF(Table2[[#This Row],[Description]]="","",IF(Table2[[#This Row],[Currency]]=$O$2,$P$2,HLOOKUP(Table2[[#This Row],[Date]],Funds!$C$10:$GV$11,2,FALSE)))</f>
        <v/>
      </c>
      <c r="J4047" s="215" t="str">
        <f>IF(Table2[[#This Row],[Description]]="","",Table2[[#This Row],[Value]]/Table2[[#This Row],[Conversion]])</f>
        <v/>
      </c>
      <c r="K4047" s="45" t="str">
        <f>IF(Table2[[#This Row],[Description]]="","",DATE(Table2[[#This Row],[Year]],Table2[[#This Row],[Month]],1))</f>
        <v/>
      </c>
    </row>
    <row r="4048" spans="7:11" x14ac:dyDescent="0.25">
      <c r="G4048" s="1" t="str">
        <f>IF(Table2[[#This Row],[Description]]="","",VLOOKUP(Table2[[#This Row],[Description]],$Q$1:$S$101,2,FALSE))</f>
        <v/>
      </c>
      <c r="H4048" s="1" t="str">
        <f>IF(Table2[[#This Row],[Description]]="","",VLOOKUP(Table2[[#This Row],[Description]],$Q$1:$S$101,3,FALSE))</f>
        <v/>
      </c>
      <c r="I4048" s="1" t="str">
        <f>IF(Table2[[#This Row],[Description]]="","",IF(Table2[[#This Row],[Currency]]=$O$2,$P$2,HLOOKUP(Table2[[#This Row],[Date]],Funds!$C$10:$GV$11,2,FALSE)))</f>
        <v/>
      </c>
      <c r="J4048" s="215" t="str">
        <f>IF(Table2[[#This Row],[Description]]="","",Table2[[#This Row],[Value]]/Table2[[#This Row],[Conversion]])</f>
        <v/>
      </c>
      <c r="K4048" s="45" t="str">
        <f>IF(Table2[[#This Row],[Description]]="","",DATE(Table2[[#This Row],[Year]],Table2[[#This Row],[Month]],1))</f>
        <v/>
      </c>
    </row>
    <row r="4049" spans="7:11" x14ac:dyDescent="0.25">
      <c r="G4049" s="1" t="str">
        <f>IF(Table2[[#This Row],[Description]]="","",VLOOKUP(Table2[[#This Row],[Description]],$Q$1:$S$101,2,FALSE))</f>
        <v/>
      </c>
      <c r="H4049" s="1" t="str">
        <f>IF(Table2[[#This Row],[Description]]="","",VLOOKUP(Table2[[#This Row],[Description]],$Q$1:$S$101,3,FALSE))</f>
        <v/>
      </c>
      <c r="I4049" s="1" t="str">
        <f>IF(Table2[[#This Row],[Description]]="","",IF(Table2[[#This Row],[Currency]]=$O$2,$P$2,HLOOKUP(Table2[[#This Row],[Date]],Funds!$C$10:$GV$11,2,FALSE)))</f>
        <v/>
      </c>
      <c r="J4049" s="215" t="str">
        <f>IF(Table2[[#This Row],[Description]]="","",Table2[[#This Row],[Value]]/Table2[[#This Row],[Conversion]])</f>
        <v/>
      </c>
      <c r="K4049" s="45" t="str">
        <f>IF(Table2[[#This Row],[Description]]="","",DATE(Table2[[#This Row],[Year]],Table2[[#This Row],[Month]],1))</f>
        <v/>
      </c>
    </row>
    <row r="4050" spans="7:11" x14ac:dyDescent="0.25">
      <c r="G4050" s="1" t="str">
        <f>IF(Table2[[#This Row],[Description]]="","",VLOOKUP(Table2[[#This Row],[Description]],$Q$1:$S$101,2,FALSE))</f>
        <v/>
      </c>
      <c r="H4050" s="1" t="str">
        <f>IF(Table2[[#This Row],[Description]]="","",VLOOKUP(Table2[[#This Row],[Description]],$Q$1:$S$101,3,FALSE))</f>
        <v/>
      </c>
      <c r="I4050" s="1" t="str">
        <f>IF(Table2[[#This Row],[Description]]="","",IF(Table2[[#This Row],[Currency]]=$O$2,$P$2,HLOOKUP(Table2[[#This Row],[Date]],Funds!$C$10:$GV$11,2,FALSE)))</f>
        <v/>
      </c>
      <c r="J4050" s="215" t="str">
        <f>IF(Table2[[#This Row],[Description]]="","",Table2[[#This Row],[Value]]/Table2[[#This Row],[Conversion]])</f>
        <v/>
      </c>
      <c r="K4050" s="45" t="str">
        <f>IF(Table2[[#This Row],[Description]]="","",DATE(Table2[[#This Row],[Year]],Table2[[#This Row],[Month]],1))</f>
        <v/>
      </c>
    </row>
    <row r="4051" spans="7:11" x14ac:dyDescent="0.25">
      <c r="G4051" s="1" t="str">
        <f>IF(Table2[[#This Row],[Description]]="","",VLOOKUP(Table2[[#This Row],[Description]],$Q$1:$S$101,2,FALSE))</f>
        <v/>
      </c>
      <c r="H4051" s="1" t="str">
        <f>IF(Table2[[#This Row],[Description]]="","",VLOOKUP(Table2[[#This Row],[Description]],$Q$1:$S$101,3,FALSE))</f>
        <v/>
      </c>
      <c r="I4051" s="1" t="str">
        <f>IF(Table2[[#This Row],[Description]]="","",IF(Table2[[#This Row],[Currency]]=$O$2,$P$2,HLOOKUP(Table2[[#This Row],[Date]],Funds!$C$10:$GV$11,2,FALSE)))</f>
        <v/>
      </c>
      <c r="J4051" s="215" t="str">
        <f>IF(Table2[[#This Row],[Description]]="","",Table2[[#This Row],[Value]]/Table2[[#This Row],[Conversion]])</f>
        <v/>
      </c>
      <c r="K4051" s="45" t="str">
        <f>IF(Table2[[#This Row],[Description]]="","",DATE(Table2[[#This Row],[Year]],Table2[[#This Row],[Month]],1))</f>
        <v/>
      </c>
    </row>
    <row r="4052" spans="7:11" x14ac:dyDescent="0.25">
      <c r="G4052" s="1" t="str">
        <f>IF(Table2[[#This Row],[Description]]="","",VLOOKUP(Table2[[#This Row],[Description]],$Q$1:$S$101,2,FALSE))</f>
        <v/>
      </c>
      <c r="H4052" s="1" t="str">
        <f>IF(Table2[[#This Row],[Description]]="","",VLOOKUP(Table2[[#This Row],[Description]],$Q$1:$S$101,3,FALSE))</f>
        <v/>
      </c>
      <c r="I4052" s="1" t="str">
        <f>IF(Table2[[#This Row],[Description]]="","",IF(Table2[[#This Row],[Currency]]=$O$2,$P$2,HLOOKUP(Table2[[#This Row],[Date]],Funds!$C$10:$GV$11,2,FALSE)))</f>
        <v/>
      </c>
      <c r="J4052" s="215" t="str">
        <f>IF(Table2[[#This Row],[Description]]="","",Table2[[#This Row],[Value]]/Table2[[#This Row],[Conversion]])</f>
        <v/>
      </c>
      <c r="K4052" s="45" t="str">
        <f>IF(Table2[[#This Row],[Description]]="","",DATE(Table2[[#This Row],[Year]],Table2[[#This Row],[Month]],1))</f>
        <v/>
      </c>
    </row>
    <row r="4053" spans="7:11" x14ac:dyDescent="0.25">
      <c r="G4053" s="1" t="str">
        <f>IF(Table2[[#This Row],[Description]]="","",VLOOKUP(Table2[[#This Row],[Description]],$Q$1:$S$101,2,FALSE))</f>
        <v/>
      </c>
      <c r="H4053" s="1" t="str">
        <f>IF(Table2[[#This Row],[Description]]="","",VLOOKUP(Table2[[#This Row],[Description]],$Q$1:$S$101,3,FALSE))</f>
        <v/>
      </c>
      <c r="I4053" s="1" t="str">
        <f>IF(Table2[[#This Row],[Description]]="","",IF(Table2[[#This Row],[Currency]]=$O$2,$P$2,HLOOKUP(Table2[[#This Row],[Date]],Funds!$C$10:$GV$11,2,FALSE)))</f>
        <v/>
      </c>
      <c r="J4053" s="215" t="str">
        <f>IF(Table2[[#This Row],[Description]]="","",Table2[[#This Row],[Value]]/Table2[[#This Row],[Conversion]])</f>
        <v/>
      </c>
      <c r="K4053" s="45" t="str">
        <f>IF(Table2[[#This Row],[Description]]="","",DATE(Table2[[#This Row],[Year]],Table2[[#This Row],[Month]],1))</f>
        <v/>
      </c>
    </row>
    <row r="4054" spans="7:11" x14ac:dyDescent="0.25">
      <c r="G4054" s="1" t="str">
        <f>IF(Table2[[#This Row],[Description]]="","",VLOOKUP(Table2[[#This Row],[Description]],$Q$1:$S$101,2,FALSE))</f>
        <v/>
      </c>
      <c r="H4054" s="1" t="str">
        <f>IF(Table2[[#This Row],[Description]]="","",VLOOKUP(Table2[[#This Row],[Description]],$Q$1:$S$101,3,FALSE))</f>
        <v/>
      </c>
      <c r="I4054" s="1" t="str">
        <f>IF(Table2[[#This Row],[Description]]="","",IF(Table2[[#This Row],[Currency]]=$O$2,$P$2,HLOOKUP(Table2[[#This Row],[Date]],Funds!$C$10:$GV$11,2,FALSE)))</f>
        <v/>
      </c>
      <c r="J4054" s="215" t="str">
        <f>IF(Table2[[#This Row],[Description]]="","",Table2[[#This Row],[Value]]/Table2[[#This Row],[Conversion]])</f>
        <v/>
      </c>
      <c r="K4054" s="45" t="str">
        <f>IF(Table2[[#This Row],[Description]]="","",DATE(Table2[[#This Row],[Year]],Table2[[#This Row],[Month]],1))</f>
        <v/>
      </c>
    </row>
    <row r="4055" spans="7:11" x14ac:dyDescent="0.25">
      <c r="G4055" s="1" t="str">
        <f>IF(Table2[[#This Row],[Description]]="","",VLOOKUP(Table2[[#This Row],[Description]],$Q$1:$S$101,2,FALSE))</f>
        <v/>
      </c>
      <c r="H4055" s="1" t="str">
        <f>IF(Table2[[#This Row],[Description]]="","",VLOOKUP(Table2[[#This Row],[Description]],$Q$1:$S$101,3,FALSE))</f>
        <v/>
      </c>
      <c r="I4055" s="1" t="str">
        <f>IF(Table2[[#This Row],[Description]]="","",IF(Table2[[#This Row],[Currency]]=$O$2,$P$2,HLOOKUP(Table2[[#This Row],[Date]],Funds!$C$10:$GV$11,2,FALSE)))</f>
        <v/>
      </c>
      <c r="J4055" s="215" t="str">
        <f>IF(Table2[[#This Row],[Description]]="","",Table2[[#This Row],[Value]]/Table2[[#This Row],[Conversion]])</f>
        <v/>
      </c>
      <c r="K4055" s="45" t="str">
        <f>IF(Table2[[#This Row],[Description]]="","",DATE(Table2[[#This Row],[Year]],Table2[[#This Row],[Month]],1))</f>
        <v/>
      </c>
    </row>
    <row r="4056" spans="7:11" x14ac:dyDescent="0.25">
      <c r="G4056" s="1" t="str">
        <f>IF(Table2[[#This Row],[Description]]="","",VLOOKUP(Table2[[#This Row],[Description]],$Q$1:$S$101,2,FALSE))</f>
        <v/>
      </c>
      <c r="H4056" s="1" t="str">
        <f>IF(Table2[[#This Row],[Description]]="","",VLOOKUP(Table2[[#This Row],[Description]],$Q$1:$S$101,3,FALSE))</f>
        <v/>
      </c>
      <c r="I4056" s="1" t="str">
        <f>IF(Table2[[#This Row],[Description]]="","",IF(Table2[[#This Row],[Currency]]=$O$2,$P$2,HLOOKUP(Table2[[#This Row],[Date]],Funds!$C$10:$GV$11,2,FALSE)))</f>
        <v/>
      </c>
      <c r="J4056" s="215" t="str">
        <f>IF(Table2[[#This Row],[Description]]="","",Table2[[#This Row],[Value]]/Table2[[#This Row],[Conversion]])</f>
        <v/>
      </c>
      <c r="K4056" s="45" t="str">
        <f>IF(Table2[[#This Row],[Description]]="","",DATE(Table2[[#This Row],[Year]],Table2[[#This Row],[Month]],1))</f>
        <v/>
      </c>
    </row>
    <row r="4057" spans="7:11" x14ac:dyDescent="0.25">
      <c r="G4057" s="1" t="str">
        <f>IF(Table2[[#This Row],[Description]]="","",VLOOKUP(Table2[[#This Row],[Description]],$Q$1:$S$101,2,FALSE))</f>
        <v/>
      </c>
      <c r="H4057" s="1" t="str">
        <f>IF(Table2[[#This Row],[Description]]="","",VLOOKUP(Table2[[#This Row],[Description]],$Q$1:$S$101,3,FALSE))</f>
        <v/>
      </c>
      <c r="I4057" s="1" t="str">
        <f>IF(Table2[[#This Row],[Description]]="","",IF(Table2[[#This Row],[Currency]]=$O$2,$P$2,HLOOKUP(Table2[[#This Row],[Date]],Funds!$C$10:$GV$11,2,FALSE)))</f>
        <v/>
      </c>
      <c r="J4057" s="215" t="str">
        <f>IF(Table2[[#This Row],[Description]]="","",Table2[[#This Row],[Value]]/Table2[[#This Row],[Conversion]])</f>
        <v/>
      </c>
      <c r="K4057" s="45" t="str">
        <f>IF(Table2[[#This Row],[Description]]="","",DATE(Table2[[#This Row],[Year]],Table2[[#This Row],[Month]],1))</f>
        <v/>
      </c>
    </row>
    <row r="4058" spans="7:11" x14ac:dyDescent="0.25">
      <c r="G4058" s="1" t="str">
        <f>IF(Table2[[#This Row],[Description]]="","",VLOOKUP(Table2[[#This Row],[Description]],$Q$1:$S$101,2,FALSE))</f>
        <v/>
      </c>
      <c r="H4058" s="1" t="str">
        <f>IF(Table2[[#This Row],[Description]]="","",VLOOKUP(Table2[[#This Row],[Description]],$Q$1:$S$101,3,FALSE))</f>
        <v/>
      </c>
      <c r="I4058" s="1" t="str">
        <f>IF(Table2[[#This Row],[Description]]="","",IF(Table2[[#This Row],[Currency]]=$O$2,$P$2,HLOOKUP(Table2[[#This Row],[Date]],Funds!$C$10:$GV$11,2,FALSE)))</f>
        <v/>
      </c>
      <c r="J4058" s="215" t="str">
        <f>IF(Table2[[#This Row],[Description]]="","",Table2[[#This Row],[Value]]/Table2[[#This Row],[Conversion]])</f>
        <v/>
      </c>
      <c r="K4058" s="45" t="str">
        <f>IF(Table2[[#This Row],[Description]]="","",DATE(Table2[[#This Row],[Year]],Table2[[#This Row],[Month]],1))</f>
        <v/>
      </c>
    </row>
    <row r="4059" spans="7:11" x14ac:dyDescent="0.25">
      <c r="G4059" s="1" t="str">
        <f>IF(Table2[[#This Row],[Description]]="","",VLOOKUP(Table2[[#This Row],[Description]],$Q$1:$S$101,2,FALSE))</f>
        <v/>
      </c>
      <c r="H4059" s="1" t="str">
        <f>IF(Table2[[#This Row],[Description]]="","",VLOOKUP(Table2[[#This Row],[Description]],$Q$1:$S$101,3,FALSE))</f>
        <v/>
      </c>
      <c r="I4059" s="1" t="str">
        <f>IF(Table2[[#This Row],[Description]]="","",IF(Table2[[#This Row],[Currency]]=$O$2,$P$2,HLOOKUP(Table2[[#This Row],[Date]],Funds!$C$10:$GV$11,2,FALSE)))</f>
        <v/>
      </c>
      <c r="J4059" s="215" t="str">
        <f>IF(Table2[[#This Row],[Description]]="","",Table2[[#This Row],[Value]]/Table2[[#This Row],[Conversion]])</f>
        <v/>
      </c>
      <c r="K4059" s="45" t="str">
        <f>IF(Table2[[#This Row],[Description]]="","",DATE(Table2[[#This Row],[Year]],Table2[[#This Row],[Month]],1))</f>
        <v/>
      </c>
    </row>
    <row r="4060" spans="7:11" x14ac:dyDescent="0.25">
      <c r="G4060" s="1" t="str">
        <f>IF(Table2[[#This Row],[Description]]="","",VLOOKUP(Table2[[#This Row],[Description]],$Q$1:$S$101,2,FALSE))</f>
        <v/>
      </c>
      <c r="H4060" s="1" t="str">
        <f>IF(Table2[[#This Row],[Description]]="","",VLOOKUP(Table2[[#This Row],[Description]],$Q$1:$S$101,3,FALSE))</f>
        <v/>
      </c>
      <c r="I4060" s="1" t="str">
        <f>IF(Table2[[#This Row],[Description]]="","",IF(Table2[[#This Row],[Currency]]=$O$2,$P$2,HLOOKUP(Table2[[#This Row],[Date]],Funds!$C$10:$GV$11,2,FALSE)))</f>
        <v/>
      </c>
      <c r="J4060" s="215" t="str">
        <f>IF(Table2[[#This Row],[Description]]="","",Table2[[#This Row],[Value]]/Table2[[#This Row],[Conversion]])</f>
        <v/>
      </c>
      <c r="K4060" s="45" t="str">
        <f>IF(Table2[[#This Row],[Description]]="","",DATE(Table2[[#This Row],[Year]],Table2[[#This Row],[Month]],1))</f>
        <v/>
      </c>
    </row>
    <row r="4061" spans="7:11" x14ac:dyDescent="0.25">
      <c r="G4061" s="1" t="str">
        <f>IF(Table2[[#This Row],[Description]]="","",VLOOKUP(Table2[[#This Row],[Description]],$Q$1:$S$101,2,FALSE))</f>
        <v/>
      </c>
      <c r="H4061" s="1" t="str">
        <f>IF(Table2[[#This Row],[Description]]="","",VLOOKUP(Table2[[#This Row],[Description]],$Q$1:$S$101,3,FALSE))</f>
        <v/>
      </c>
      <c r="I4061" s="1" t="str">
        <f>IF(Table2[[#This Row],[Description]]="","",IF(Table2[[#This Row],[Currency]]=$O$2,$P$2,HLOOKUP(Table2[[#This Row],[Date]],Funds!$C$10:$GV$11,2,FALSE)))</f>
        <v/>
      </c>
      <c r="J4061" s="215" t="str">
        <f>IF(Table2[[#This Row],[Description]]="","",Table2[[#This Row],[Value]]/Table2[[#This Row],[Conversion]])</f>
        <v/>
      </c>
      <c r="K4061" s="45" t="str">
        <f>IF(Table2[[#This Row],[Description]]="","",DATE(Table2[[#This Row],[Year]],Table2[[#This Row],[Month]],1))</f>
        <v/>
      </c>
    </row>
    <row r="4062" spans="7:11" x14ac:dyDescent="0.25">
      <c r="G4062" s="1" t="str">
        <f>IF(Table2[[#This Row],[Description]]="","",VLOOKUP(Table2[[#This Row],[Description]],$Q$1:$S$101,2,FALSE))</f>
        <v/>
      </c>
      <c r="H4062" s="1" t="str">
        <f>IF(Table2[[#This Row],[Description]]="","",VLOOKUP(Table2[[#This Row],[Description]],$Q$1:$S$101,3,FALSE))</f>
        <v/>
      </c>
      <c r="I4062" s="1" t="str">
        <f>IF(Table2[[#This Row],[Description]]="","",IF(Table2[[#This Row],[Currency]]=$O$2,$P$2,HLOOKUP(Table2[[#This Row],[Date]],Funds!$C$10:$GV$11,2,FALSE)))</f>
        <v/>
      </c>
      <c r="J4062" s="215" t="str">
        <f>IF(Table2[[#This Row],[Description]]="","",Table2[[#This Row],[Value]]/Table2[[#This Row],[Conversion]])</f>
        <v/>
      </c>
      <c r="K4062" s="45" t="str">
        <f>IF(Table2[[#This Row],[Description]]="","",DATE(Table2[[#This Row],[Year]],Table2[[#This Row],[Month]],1))</f>
        <v/>
      </c>
    </row>
    <row r="4063" spans="7:11" x14ac:dyDescent="0.25">
      <c r="G4063" s="1" t="str">
        <f>IF(Table2[[#This Row],[Description]]="","",VLOOKUP(Table2[[#This Row],[Description]],$Q$1:$S$101,2,FALSE))</f>
        <v/>
      </c>
      <c r="H4063" s="1" t="str">
        <f>IF(Table2[[#This Row],[Description]]="","",VLOOKUP(Table2[[#This Row],[Description]],$Q$1:$S$101,3,FALSE))</f>
        <v/>
      </c>
      <c r="I4063" s="1" t="str">
        <f>IF(Table2[[#This Row],[Description]]="","",IF(Table2[[#This Row],[Currency]]=$O$2,$P$2,HLOOKUP(Table2[[#This Row],[Date]],Funds!$C$10:$GV$11,2,FALSE)))</f>
        <v/>
      </c>
      <c r="J4063" s="215" t="str">
        <f>IF(Table2[[#This Row],[Description]]="","",Table2[[#This Row],[Value]]/Table2[[#This Row],[Conversion]])</f>
        <v/>
      </c>
      <c r="K4063" s="45" t="str">
        <f>IF(Table2[[#This Row],[Description]]="","",DATE(Table2[[#This Row],[Year]],Table2[[#This Row],[Month]],1))</f>
        <v/>
      </c>
    </row>
    <row r="4064" spans="7:11" x14ac:dyDescent="0.25">
      <c r="G4064" s="1" t="str">
        <f>IF(Table2[[#This Row],[Description]]="","",VLOOKUP(Table2[[#This Row],[Description]],$Q$1:$S$101,2,FALSE))</f>
        <v/>
      </c>
      <c r="H4064" s="1" t="str">
        <f>IF(Table2[[#This Row],[Description]]="","",VLOOKUP(Table2[[#This Row],[Description]],$Q$1:$S$101,3,FALSE))</f>
        <v/>
      </c>
      <c r="I4064" s="1" t="str">
        <f>IF(Table2[[#This Row],[Description]]="","",IF(Table2[[#This Row],[Currency]]=$O$2,$P$2,HLOOKUP(Table2[[#This Row],[Date]],Funds!$C$10:$GV$11,2,FALSE)))</f>
        <v/>
      </c>
      <c r="J4064" s="215" t="str">
        <f>IF(Table2[[#This Row],[Description]]="","",Table2[[#This Row],[Value]]/Table2[[#This Row],[Conversion]])</f>
        <v/>
      </c>
      <c r="K4064" s="45" t="str">
        <f>IF(Table2[[#This Row],[Description]]="","",DATE(Table2[[#This Row],[Year]],Table2[[#This Row],[Month]],1))</f>
        <v/>
      </c>
    </row>
    <row r="4065" spans="7:11" x14ac:dyDescent="0.25">
      <c r="G4065" s="1" t="str">
        <f>IF(Table2[[#This Row],[Description]]="","",VLOOKUP(Table2[[#This Row],[Description]],$Q$1:$S$101,2,FALSE))</f>
        <v/>
      </c>
      <c r="H4065" s="1" t="str">
        <f>IF(Table2[[#This Row],[Description]]="","",VLOOKUP(Table2[[#This Row],[Description]],$Q$1:$S$101,3,FALSE))</f>
        <v/>
      </c>
      <c r="I4065" s="1" t="str">
        <f>IF(Table2[[#This Row],[Description]]="","",IF(Table2[[#This Row],[Currency]]=$O$2,$P$2,HLOOKUP(Table2[[#This Row],[Date]],Funds!$C$10:$GV$11,2,FALSE)))</f>
        <v/>
      </c>
      <c r="J4065" s="215" t="str">
        <f>IF(Table2[[#This Row],[Description]]="","",Table2[[#This Row],[Value]]/Table2[[#This Row],[Conversion]])</f>
        <v/>
      </c>
      <c r="K4065" s="45" t="str">
        <f>IF(Table2[[#This Row],[Description]]="","",DATE(Table2[[#This Row],[Year]],Table2[[#This Row],[Month]],1))</f>
        <v/>
      </c>
    </row>
    <row r="4066" spans="7:11" x14ac:dyDescent="0.25">
      <c r="G4066" s="1" t="str">
        <f>IF(Table2[[#This Row],[Description]]="","",VLOOKUP(Table2[[#This Row],[Description]],$Q$1:$S$101,2,FALSE))</f>
        <v/>
      </c>
      <c r="H4066" s="1" t="str">
        <f>IF(Table2[[#This Row],[Description]]="","",VLOOKUP(Table2[[#This Row],[Description]],$Q$1:$S$101,3,FALSE))</f>
        <v/>
      </c>
      <c r="I4066" s="1" t="str">
        <f>IF(Table2[[#This Row],[Description]]="","",IF(Table2[[#This Row],[Currency]]=$O$2,$P$2,HLOOKUP(Table2[[#This Row],[Date]],Funds!$C$10:$GV$11,2,FALSE)))</f>
        <v/>
      </c>
      <c r="J4066" s="215" t="str">
        <f>IF(Table2[[#This Row],[Description]]="","",Table2[[#This Row],[Value]]/Table2[[#This Row],[Conversion]])</f>
        <v/>
      </c>
      <c r="K4066" s="45" t="str">
        <f>IF(Table2[[#This Row],[Description]]="","",DATE(Table2[[#This Row],[Year]],Table2[[#This Row],[Month]],1))</f>
        <v/>
      </c>
    </row>
    <row r="4067" spans="7:11" x14ac:dyDescent="0.25">
      <c r="G4067" s="1" t="str">
        <f>IF(Table2[[#This Row],[Description]]="","",VLOOKUP(Table2[[#This Row],[Description]],$Q$1:$S$101,2,FALSE))</f>
        <v/>
      </c>
      <c r="H4067" s="1" t="str">
        <f>IF(Table2[[#This Row],[Description]]="","",VLOOKUP(Table2[[#This Row],[Description]],$Q$1:$S$101,3,FALSE))</f>
        <v/>
      </c>
      <c r="I4067" s="1" t="str">
        <f>IF(Table2[[#This Row],[Description]]="","",IF(Table2[[#This Row],[Currency]]=$O$2,$P$2,HLOOKUP(Table2[[#This Row],[Date]],Funds!$C$10:$GV$11,2,FALSE)))</f>
        <v/>
      </c>
      <c r="J4067" s="215" t="str">
        <f>IF(Table2[[#This Row],[Description]]="","",Table2[[#This Row],[Value]]/Table2[[#This Row],[Conversion]])</f>
        <v/>
      </c>
      <c r="K4067" s="45" t="str">
        <f>IF(Table2[[#This Row],[Description]]="","",DATE(Table2[[#This Row],[Year]],Table2[[#This Row],[Month]],1))</f>
        <v/>
      </c>
    </row>
    <row r="4068" spans="7:11" x14ac:dyDescent="0.25">
      <c r="G4068" s="1" t="str">
        <f>IF(Table2[[#This Row],[Description]]="","",VLOOKUP(Table2[[#This Row],[Description]],$Q$1:$S$101,2,FALSE))</f>
        <v/>
      </c>
      <c r="H4068" s="1" t="str">
        <f>IF(Table2[[#This Row],[Description]]="","",VLOOKUP(Table2[[#This Row],[Description]],$Q$1:$S$101,3,FALSE))</f>
        <v/>
      </c>
      <c r="I4068" s="1" t="str">
        <f>IF(Table2[[#This Row],[Description]]="","",IF(Table2[[#This Row],[Currency]]=$O$2,$P$2,HLOOKUP(Table2[[#This Row],[Date]],Funds!$C$10:$GV$11,2,FALSE)))</f>
        <v/>
      </c>
      <c r="J4068" s="215" t="str">
        <f>IF(Table2[[#This Row],[Description]]="","",Table2[[#This Row],[Value]]/Table2[[#This Row],[Conversion]])</f>
        <v/>
      </c>
      <c r="K4068" s="45" t="str">
        <f>IF(Table2[[#This Row],[Description]]="","",DATE(Table2[[#This Row],[Year]],Table2[[#This Row],[Month]],1))</f>
        <v/>
      </c>
    </row>
    <row r="4069" spans="7:11" x14ac:dyDescent="0.25">
      <c r="G4069" s="1" t="str">
        <f>IF(Table2[[#This Row],[Description]]="","",VLOOKUP(Table2[[#This Row],[Description]],$Q$1:$S$101,2,FALSE))</f>
        <v/>
      </c>
      <c r="H4069" s="1" t="str">
        <f>IF(Table2[[#This Row],[Description]]="","",VLOOKUP(Table2[[#This Row],[Description]],$Q$1:$S$101,3,FALSE))</f>
        <v/>
      </c>
      <c r="I4069" s="1" t="str">
        <f>IF(Table2[[#This Row],[Description]]="","",IF(Table2[[#This Row],[Currency]]=$O$2,$P$2,HLOOKUP(Table2[[#This Row],[Date]],Funds!$C$10:$GV$11,2,FALSE)))</f>
        <v/>
      </c>
      <c r="J4069" s="215" t="str">
        <f>IF(Table2[[#This Row],[Description]]="","",Table2[[#This Row],[Value]]/Table2[[#This Row],[Conversion]])</f>
        <v/>
      </c>
      <c r="K4069" s="45" t="str">
        <f>IF(Table2[[#This Row],[Description]]="","",DATE(Table2[[#This Row],[Year]],Table2[[#This Row],[Month]],1))</f>
        <v/>
      </c>
    </row>
    <row r="4070" spans="7:11" x14ac:dyDescent="0.25">
      <c r="G4070" s="1" t="str">
        <f>IF(Table2[[#This Row],[Description]]="","",VLOOKUP(Table2[[#This Row],[Description]],$Q$1:$S$101,2,FALSE))</f>
        <v/>
      </c>
      <c r="H4070" s="1" t="str">
        <f>IF(Table2[[#This Row],[Description]]="","",VLOOKUP(Table2[[#This Row],[Description]],$Q$1:$S$101,3,FALSE))</f>
        <v/>
      </c>
      <c r="I4070" s="1" t="str">
        <f>IF(Table2[[#This Row],[Description]]="","",IF(Table2[[#This Row],[Currency]]=$O$2,$P$2,HLOOKUP(Table2[[#This Row],[Date]],Funds!$C$10:$GV$11,2,FALSE)))</f>
        <v/>
      </c>
      <c r="J4070" s="215" t="str">
        <f>IF(Table2[[#This Row],[Description]]="","",Table2[[#This Row],[Value]]/Table2[[#This Row],[Conversion]])</f>
        <v/>
      </c>
      <c r="K4070" s="45" t="str">
        <f>IF(Table2[[#This Row],[Description]]="","",DATE(Table2[[#This Row],[Year]],Table2[[#This Row],[Month]],1))</f>
        <v/>
      </c>
    </row>
    <row r="4071" spans="7:11" x14ac:dyDescent="0.25">
      <c r="G4071" s="1" t="str">
        <f>IF(Table2[[#This Row],[Description]]="","",VLOOKUP(Table2[[#This Row],[Description]],$Q$1:$S$101,2,FALSE))</f>
        <v/>
      </c>
      <c r="H4071" s="1" t="str">
        <f>IF(Table2[[#This Row],[Description]]="","",VLOOKUP(Table2[[#This Row],[Description]],$Q$1:$S$101,3,FALSE))</f>
        <v/>
      </c>
      <c r="I4071" s="1" t="str">
        <f>IF(Table2[[#This Row],[Description]]="","",IF(Table2[[#This Row],[Currency]]=$O$2,$P$2,HLOOKUP(Table2[[#This Row],[Date]],Funds!$C$10:$GV$11,2,FALSE)))</f>
        <v/>
      </c>
      <c r="J4071" s="215" t="str">
        <f>IF(Table2[[#This Row],[Description]]="","",Table2[[#This Row],[Value]]/Table2[[#This Row],[Conversion]])</f>
        <v/>
      </c>
      <c r="K4071" s="45" t="str">
        <f>IF(Table2[[#This Row],[Description]]="","",DATE(Table2[[#This Row],[Year]],Table2[[#This Row],[Month]],1))</f>
        <v/>
      </c>
    </row>
    <row r="4072" spans="7:11" x14ac:dyDescent="0.25">
      <c r="G4072" s="1" t="str">
        <f>IF(Table2[[#This Row],[Description]]="","",VLOOKUP(Table2[[#This Row],[Description]],$Q$1:$S$101,2,FALSE))</f>
        <v/>
      </c>
      <c r="H4072" s="1" t="str">
        <f>IF(Table2[[#This Row],[Description]]="","",VLOOKUP(Table2[[#This Row],[Description]],$Q$1:$S$101,3,FALSE))</f>
        <v/>
      </c>
      <c r="I4072" s="1" t="str">
        <f>IF(Table2[[#This Row],[Description]]="","",IF(Table2[[#This Row],[Currency]]=$O$2,$P$2,HLOOKUP(Table2[[#This Row],[Date]],Funds!$C$10:$GV$11,2,FALSE)))</f>
        <v/>
      </c>
      <c r="J4072" s="215" t="str">
        <f>IF(Table2[[#This Row],[Description]]="","",Table2[[#This Row],[Value]]/Table2[[#This Row],[Conversion]])</f>
        <v/>
      </c>
      <c r="K4072" s="45" t="str">
        <f>IF(Table2[[#This Row],[Description]]="","",DATE(Table2[[#This Row],[Year]],Table2[[#This Row],[Month]],1))</f>
        <v/>
      </c>
    </row>
    <row r="4073" spans="7:11" x14ac:dyDescent="0.25">
      <c r="G4073" s="1" t="str">
        <f>IF(Table2[[#This Row],[Description]]="","",VLOOKUP(Table2[[#This Row],[Description]],$Q$1:$S$101,2,FALSE))</f>
        <v/>
      </c>
      <c r="H4073" s="1" t="str">
        <f>IF(Table2[[#This Row],[Description]]="","",VLOOKUP(Table2[[#This Row],[Description]],$Q$1:$S$101,3,FALSE))</f>
        <v/>
      </c>
      <c r="I4073" s="1" t="str">
        <f>IF(Table2[[#This Row],[Description]]="","",IF(Table2[[#This Row],[Currency]]=$O$2,$P$2,HLOOKUP(Table2[[#This Row],[Date]],Funds!$C$10:$GV$11,2,FALSE)))</f>
        <v/>
      </c>
      <c r="J4073" s="215" t="str">
        <f>IF(Table2[[#This Row],[Description]]="","",Table2[[#This Row],[Value]]/Table2[[#This Row],[Conversion]])</f>
        <v/>
      </c>
      <c r="K4073" s="45" t="str">
        <f>IF(Table2[[#This Row],[Description]]="","",DATE(Table2[[#This Row],[Year]],Table2[[#This Row],[Month]],1))</f>
        <v/>
      </c>
    </row>
    <row r="4074" spans="7:11" x14ac:dyDescent="0.25">
      <c r="G4074" s="1" t="str">
        <f>IF(Table2[[#This Row],[Description]]="","",VLOOKUP(Table2[[#This Row],[Description]],$Q$1:$S$101,2,FALSE))</f>
        <v/>
      </c>
      <c r="H4074" s="1" t="str">
        <f>IF(Table2[[#This Row],[Description]]="","",VLOOKUP(Table2[[#This Row],[Description]],$Q$1:$S$101,3,FALSE))</f>
        <v/>
      </c>
      <c r="I4074" s="1" t="str">
        <f>IF(Table2[[#This Row],[Description]]="","",IF(Table2[[#This Row],[Currency]]=$O$2,$P$2,HLOOKUP(Table2[[#This Row],[Date]],Funds!$C$10:$GV$11,2,FALSE)))</f>
        <v/>
      </c>
      <c r="J4074" s="215" t="str">
        <f>IF(Table2[[#This Row],[Description]]="","",Table2[[#This Row],[Value]]/Table2[[#This Row],[Conversion]])</f>
        <v/>
      </c>
      <c r="K4074" s="45" t="str">
        <f>IF(Table2[[#This Row],[Description]]="","",DATE(Table2[[#This Row],[Year]],Table2[[#This Row],[Month]],1))</f>
        <v/>
      </c>
    </row>
    <row r="4075" spans="7:11" x14ac:dyDescent="0.25">
      <c r="G4075" s="1" t="str">
        <f>IF(Table2[[#This Row],[Description]]="","",VLOOKUP(Table2[[#This Row],[Description]],$Q$1:$S$101,2,FALSE))</f>
        <v/>
      </c>
      <c r="H4075" s="1" t="str">
        <f>IF(Table2[[#This Row],[Description]]="","",VLOOKUP(Table2[[#This Row],[Description]],$Q$1:$S$101,3,FALSE))</f>
        <v/>
      </c>
      <c r="I4075" s="1" t="str">
        <f>IF(Table2[[#This Row],[Description]]="","",IF(Table2[[#This Row],[Currency]]=$O$2,$P$2,HLOOKUP(Table2[[#This Row],[Date]],Funds!$C$10:$GV$11,2,FALSE)))</f>
        <v/>
      </c>
      <c r="J4075" s="215" t="str">
        <f>IF(Table2[[#This Row],[Description]]="","",Table2[[#This Row],[Value]]/Table2[[#This Row],[Conversion]])</f>
        <v/>
      </c>
      <c r="K4075" s="45" t="str">
        <f>IF(Table2[[#This Row],[Description]]="","",DATE(Table2[[#This Row],[Year]],Table2[[#This Row],[Month]],1))</f>
        <v/>
      </c>
    </row>
    <row r="4076" spans="7:11" x14ac:dyDescent="0.25">
      <c r="G4076" s="1" t="str">
        <f>IF(Table2[[#This Row],[Description]]="","",VLOOKUP(Table2[[#This Row],[Description]],$Q$1:$S$101,2,FALSE))</f>
        <v/>
      </c>
      <c r="H4076" s="1" t="str">
        <f>IF(Table2[[#This Row],[Description]]="","",VLOOKUP(Table2[[#This Row],[Description]],$Q$1:$S$101,3,FALSE))</f>
        <v/>
      </c>
      <c r="I4076" s="1" t="str">
        <f>IF(Table2[[#This Row],[Description]]="","",IF(Table2[[#This Row],[Currency]]=$O$2,$P$2,HLOOKUP(Table2[[#This Row],[Date]],Funds!$C$10:$GV$11,2,FALSE)))</f>
        <v/>
      </c>
      <c r="J4076" s="215" t="str">
        <f>IF(Table2[[#This Row],[Description]]="","",Table2[[#This Row],[Value]]/Table2[[#This Row],[Conversion]])</f>
        <v/>
      </c>
      <c r="K4076" s="45" t="str">
        <f>IF(Table2[[#This Row],[Description]]="","",DATE(Table2[[#This Row],[Year]],Table2[[#This Row],[Month]],1))</f>
        <v/>
      </c>
    </row>
    <row r="4077" spans="7:11" x14ac:dyDescent="0.25">
      <c r="G4077" s="1" t="str">
        <f>IF(Table2[[#This Row],[Description]]="","",VLOOKUP(Table2[[#This Row],[Description]],$Q$1:$S$101,2,FALSE))</f>
        <v/>
      </c>
      <c r="H4077" s="1" t="str">
        <f>IF(Table2[[#This Row],[Description]]="","",VLOOKUP(Table2[[#This Row],[Description]],$Q$1:$S$101,3,FALSE))</f>
        <v/>
      </c>
      <c r="I4077" s="1" t="str">
        <f>IF(Table2[[#This Row],[Description]]="","",IF(Table2[[#This Row],[Currency]]=$O$2,$P$2,HLOOKUP(Table2[[#This Row],[Date]],Funds!$C$10:$GV$11,2,FALSE)))</f>
        <v/>
      </c>
      <c r="J4077" s="215" t="str">
        <f>IF(Table2[[#This Row],[Description]]="","",Table2[[#This Row],[Value]]/Table2[[#This Row],[Conversion]])</f>
        <v/>
      </c>
      <c r="K4077" s="45" t="str">
        <f>IF(Table2[[#This Row],[Description]]="","",DATE(Table2[[#This Row],[Year]],Table2[[#This Row],[Month]],1))</f>
        <v/>
      </c>
    </row>
    <row r="4078" spans="7:11" x14ac:dyDescent="0.25">
      <c r="G4078" s="1" t="str">
        <f>IF(Table2[[#This Row],[Description]]="","",VLOOKUP(Table2[[#This Row],[Description]],$Q$1:$S$101,2,FALSE))</f>
        <v/>
      </c>
      <c r="H4078" s="1" t="str">
        <f>IF(Table2[[#This Row],[Description]]="","",VLOOKUP(Table2[[#This Row],[Description]],$Q$1:$S$101,3,FALSE))</f>
        <v/>
      </c>
      <c r="I4078" s="1" t="str">
        <f>IF(Table2[[#This Row],[Description]]="","",IF(Table2[[#This Row],[Currency]]=$O$2,$P$2,HLOOKUP(Table2[[#This Row],[Date]],Funds!$C$10:$GV$11,2,FALSE)))</f>
        <v/>
      </c>
      <c r="J4078" s="215" t="str">
        <f>IF(Table2[[#This Row],[Description]]="","",Table2[[#This Row],[Value]]/Table2[[#This Row],[Conversion]])</f>
        <v/>
      </c>
      <c r="K4078" s="45" t="str">
        <f>IF(Table2[[#This Row],[Description]]="","",DATE(Table2[[#This Row],[Year]],Table2[[#This Row],[Month]],1))</f>
        <v/>
      </c>
    </row>
    <row r="4079" spans="7:11" x14ac:dyDescent="0.25">
      <c r="G4079" s="1" t="str">
        <f>IF(Table2[[#This Row],[Description]]="","",VLOOKUP(Table2[[#This Row],[Description]],$Q$1:$S$101,2,FALSE))</f>
        <v/>
      </c>
      <c r="H4079" s="1" t="str">
        <f>IF(Table2[[#This Row],[Description]]="","",VLOOKUP(Table2[[#This Row],[Description]],$Q$1:$S$101,3,FALSE))</f>
        <v/>
      </c>
      <c r="I4079" s="1" t="str">
        <f>IF(Table2[[#This Row],[Description]]="","",IF(Table2[[#This Row],[Currency]]=$O$2,$P$2,HLOOKUP(Table2[[#This Row],[Date]],Funds!$C$10:$GV$11,2,FALSE)))</f>
        <v/>
      </c>
      <c r="J4079" s="215" t="str">
        <f>IF(Table2[[#This Row],[Description]]="","",Table2[[#This Row],[Value]]/Table2[[#This Row],[Conversion]])</f>
        <v/>
      </c>
      <c r="K4079" s="45" t="str">
        <f>IF(Table2[[#This Row],[Description]]="","",DATE(Table2[[#This Row],[Year]],Table2[[#This Row],[Month]],1))</f>
        <v/>
      </c>
    </row>
    <row r="4080" spans="7:11" x14ac:dyDescent="0.25">
      <c r="G4080" s="1" t="str">
        <f>IF(Table2[[#This Row],[Description]]="","",VLOOKUP(Table2[[#This Row],[Description]],$Q$1:$S$101,2,FALSE))</f>
        <v/>
      </c>
      <c r="H4080" s="1" t="str">
        <f>IF(Table2[[#This Row],[Description]]="","",VLOOKUP(Table2[[#This Row],[Description]],$Q$1:$S$101,3,FALSE))</f>
        <v/>
      </c>
      <c r="I4080" s="1" t="str">
        <f>IF(Table2[[#This Row],[Description]]="","",IF(Table2[[#This Row],[Currency]]=$O$2,$P$2,HLOOKUP(Table2[[#This Row],[Date]],Funds!$C$10:$GV$11,2,FALSE)))</f>
        <v/>
      </c>
      <c r="J4080" s="215" t="str">
        <f>IF(Table2[[#This Row],[Description]]="","",Table2[[#This Row],[Value]]/Table2[[#This Row],[Conversion]])</f>
        <v/>
      </c>
      <c r="K4080" s="45" t="str">
        <f>IF(Table2[[#This Row],[Description]]="","",DATE(Table2[[#This Row],[Year]],Table2[[#This Row],[Month]],1))</f>
        <v/>
      </c>
    </row>
    <row r="4081" spans="7:11" x14ac:dyDescent="0.25">
      <c r="G4081" s="1" t="str">
        <f>IF(Table2[[#This Row],[Description]]="","",VLOOKUP(Table2[[#This Row],[Description]],$Q$1:$S$101,2,FALSE))</f>
        <v/>
      </c>
      <c r="H4081" s="1" t="str">
        <f>IF(Table2[[#This Row],[Description]]="","",VLOOKUP(Table2[[#This Row],[Description]],$Q$1:$S$101,3,FALSE))</f>
        <v/>
      </c>
      <c r="I4081" s="1" t="str">
        <f>IF(Table2[[#This Row],[Description]]="","",IF(Table2[[#This Row],[Currency]]=$O$2,$P$2,HLOOKUP(Table2[[#This Row],[Date]],Funds!$C$10:$GV$11,2,FALSE)))</f>
        <v/>
      </c>
      <c r="J4081" s="215" t="str">
        <f>IF(Table2[[#This Row],[Description]]="","",Table2[[#This Row],[Value]]/Table2[[#This Row],[Conversion]])</f>
        <v/>
      </c>
      <c r="K4081" s="45" t="str">
        <f>IF(Table2[[#This Row],[Description]]="","",DATE(Table2[[#This Row],[Year]],Table2[[#This Row],[Month]],1))</f>
        <v/>
      </c>
    </row>
    <row r="4082" spans="7:11" x14ac:dyDescent="0.25">
      <c r="G4082" s="1" t="str">
        <f>IF(Table2[[#This Row],[Description]]="","",VLOOKUP(Table2[[#This Row],[Description]],$Q$1:$S$101,2,FALSE))</f>
        <v/>
      </c>
      <c r="H4082" s="1" t="str">
        <f>IF(Table2[[#This Row],[Description]]="","",VLOOKUP(Table2[[#This Row],[Description]],$Q$1:$S$101,3,FALSE))</f>
        <v/>
      </c>
      <c r="I4082" s="1" t="str">
        <f>IF(Table2[[#This Row],[Description]]="","",IF(Table2[[#This Row],[Currency]]=$O$2,$P$2,HLOOKUP(Table2[[#This Row],[Date]],Funds!$C$10:$GV$11,2,FALSE)))</f>
        <v/>
      </c>
      <c r="J4082" s="215" t="str">
        <f>IF(Table2[[#This Row],[Description]]="","",Table2[[#This Row],[Value]]/Table2[[#This Row],[Conversion]])</f>
        <v/>
      </c>
      <c r="K4082" s="45" t="str">
        <f>IF(Table2[[#This Row],[Description]]="","",DATE(Table2[[#This Row],[Year]],Table2[[#This Row],[Month]],1))</f>
        <v/>
      </c>
    </row>
    <row r="4083" spans="7:11" x14ac:dyDescent="0.25">
      <c r="G4083" s="1" t="str">
        <f>IF(Table2[[#This Row],[Description]]="","",VLOOKUP(Table2[[#This Row],[Description]],$Q$1:$S$101,2,FALSE))</f>
        <v/>
      </c>
      <c r="H4083" s="1" t="str">
        <f>IF(Table2[[#This Row],[Description]]="","",VLOOKUP(Table2[[#This Row],[Description]],$Q$1:$S$101,3,FALSE))</f>
        <v/>
      </c>
      <c r="I4083" s="1" t="str">
        <f>IF(Table2[[#This Row],[Description]]="","",IF(Table2[[#This Row],[Currency]]=$O$2,$P$2,HLOOKUP(Table2[[#This Row],[Date]],Funds!$C$10:$GV$11,2,FALSE)))</f>
        <v/>
      </c>
      <c r="J4083" s="215" t="str">
        <f>IF(Table2[[#This Row],[Description]]="","",Table2[[#This Row],[Value]]/Table2[[#This Row],[Conversion]])</f>
        <v/>
      </c>
      <c r="K4083" s="45" t="str">
        <f>IF(Table2[[#This Row],[Description]]="","",DATE(Table2[[#This Row],[Year]],Table2[[#This Row],[Month]],1))</f>
        <v/>
      </c>
    </row>
    <row r="4084" spans="7:11" x14ac:dyDescent="0.25">
      <c r="G4084" s="1" t="str">
        <f>IF(Table2[[#This Row],[Description]]="","",VLOOKUP(Table2[[#This Row],[Description]],$Q$1:$S$101,2,FALSE))</f>
        <v/>
      </c>
      <c r="H4084" s="1" t="str">
        <f>IF(Table2[[#This Row],[Description]]="","",VLOOKUP(Table2[[#This Row],[Description]],$Q$1:$S$101,3,FALSE))</f>
        <v/>
      </c>
      <c r="I4084" s="1" t="str">
        <f>IF(Table2[[#This Row],[Description]]="","",IF(Table2[[#This Row],[Currency]]=$O$2,$P$2,HLOOKUP(Table2[[#This Row],[Date]],Funds!$C$10:$GV$11,2,FALSE)))</f>
        <v/>
      </c>
      <c r="J4084" s="215" t="str">
        <f>IF(Table2[[#This Row],[Description]]="","",Table2[[#This Row],[Value]]/Table2[[#This Row],[Conversion]])</f>
        <v/>
      </c>
      <c r="K4084" s="45" t="str">
        <f>IF(Table2[[#This Row],[Description]]="","",DATE(Table2[[#This Row],[Year]],Table2[[#This Row],[Month]],1))</f>
        <v/>
      </c>
    </row>
    <row r="4085" spans="7:11" x14ac:dyDescent="0.25">
      <c r="G4085" s="1" t="str">
        <f>IF(Table2[[#This Row],[Description]]="","",VLOOKUP(Table2[[#This Row],[Description]],$Q$1:$S$101,2,FALSE))</f>
        <v/>
      </c>
      <c r="H4085" s="1" t="str">
        <f>IF(Table2[[#This Row],[Description]]="","",VLOOKUP(Table2[[#This Row],[Description]],$Q$1:$S$101,3,FALSE))</f>
        <v/>
      </c>
      <c r="I4085" s="1" t="str">
        <f>IF(Table2[[#This Row],[Description]]="","",IF(Table2[[#This Row],[Currency]]=$O$2,$P$2,HLOOKUP(Table2[[#This Row],[Date]],Funds!$C$10:$GV$11,2,FALSE)))</f>
        <v/>
      </c>
      <c r="J4085" s="215" t="str">
        <f>IF(Table2[[#This Row],[Description]]="","",Table2[[#This Row],[Value]]/Table2[[#This Row],[Conversion]])</f>
        <v/>
      </c>
      <c r="K4085" s="45" t="str">
        <f>IF(Table2[[#This Row],[Description]]="","",DATE(Table2[[#This Row],[Year]],Table2[[#This Row],[Month]],1))</f>
        <v/>
      </c>
    </row>
    <row r="4086" spans="7:11" x14ac:dyDescent="0.25">
      <c r="G4086" s="1" t="str">
        <f>IF(Table2[[#This Row],[Description]]="","",VLOOKUP(Table2[[#This Row],[Description]],$Q$1:$S$101,2,FALSE))</f>
        <v/>
      </c>
      <c r="H4086" s="1" t="str">
        <f>IF(Table2[[#This Row],[Description]]="","",VLOOKUP(Table2[[#This Row],[Description]],$Q$1:$S$101,3,FALSE))</f>
        <v/>
      </c>
      <c r="I4086" s="1" t="str">
        <f>IF(Table2[[#This Row],[Description]]="","",IF(Table2[[#This Row],[Currency]]=$O$2,$P$2,HLOOKUP(Table2[[#This Row],[Date]],Funds!$C$10:$GV$11,2,FALSE)))</f>
        <v/>
      </c>
      <c r="J4086" s="215" t="str">
        <f>IF(Table2[[#This Row],[Description]]="","",Table2[[#This Row],[Value]]/Table2[[#This Row],[Conversion]])</f>
        <v/>
      </c>
      <c r="K4086" s="45" t="str">
        <f>IF(Table2[[#This Row],[Description]]="","",DATE(Table2[[#This Row],[Year]],Table2[[#This Row],[Month]],1))</f>
        <v/>
      </c>
    </row>
    <row r="4087" spans="7:11" x14ac:dyDescent="0.25">
      <c r="G4087" s="1" t="str">
        <f>IF(Table2[[#This Row],[Description]]="","",VLOOKUP(Table2[[#This Row],[Description]],$Q$1:$S$101,2,FALSE))</f>
        <v/>
      </c>
      <c r="H4087" s="1" t="str">
        <f>IF(Table2[[#This Row],[Description]]="","",VLOOKUP(Table2[[#This Row],[Description]],$Q$1:$S$101,3,FALSE))</f>
        <v/>
      </c>
      <c r="I4087" s="1" t="str">
        <f>IF(Table2[[#This Row],[Description]]="","",IF(Table2[[#This Row],[Currency]]=$O$2,$P$2,HLOOKUP(Table2[[#This Row],[Date]],Funds!$C$10:$GV$11,2,FALSE)))</f>
        <v/>
      </c>
      <c r="J4087" s="215" t="str">
        <f>IF(Table2[[#This Row],[Description]]="","",Table2[[#This Row],[Value]]/Table2[[#This Row],[Conversion]])</f>
        <v/>
      </c>
      <c r="K4087" s="45" t="str">
        <f>IF(Table2[[#This Row],[Description]]="","",DATE(Table2[[#This Row],[Year]],Table2[[#This Row],[Month]],1))</f>
        <v/>
      </c>
    </row>
    <row r="4088" spans="7:11" x14ac:dyDescent="0.25">
      <c r="G4088" s="1" t="str">
        <f>IF(Table2[[#This Row],[Description]]="","",VLOOKUP(Table2[[#This Row],[Description]],$Q$1:$S$101,2,FALSE))</f>
        <v/>
      </c>
      <c r="H4088" s="1" t="str">
        <f>IF(Table2[[#This Row],[Description]]="","",VLOOKUP(Table2[[#This Row],[Description]],$Q$1:$S$101,3,FALSE))</f>
        <v/>
      </c>
      <c r="I4088" s="1" t="str">
        <f>IF(Table2[[#This Row],[Description]]="","",IF(Table2[[#This Row],[Currency]]=$O$2,$P$2,HLOOKUP(Table2[[#This Row],[Date]],Funds!$C$10:$GV$11,2,FALSE)))</f>
        <v/>
      </c>
      <c r="J4088" s="215" t="str">
        <f>IF(Table2[[#This Row],[Description]]="","",Table2[[#This Row],[Value]]/Table2[[#This Row],[Conversion]])</f>
        <v/>
      </c>
      <c r="K4088" s="45" t="str">
        <f>IF(Table2[[#This Row],[Description]]="","",DATE(Table2[[#This Row],[Year]],Table2[[#This Row],[Month]],1))</f>
        <v/>
      </c>
    </row>
    <row r="4089" spans="7:11" x14ac:dyDescent="0.25">
      <c r="G4089" s="1" t="str">
        <f>IF(Table2[[#This Row],[Description]]="","",VLOOKUP(Table2[[#This Row],[Description]],$Q$1:$S$101,2,FALSE))</f>
        <v/>
      </c>
      <c r="H4089" s="1" t="str">
        <f>IF(Table2[[#This Row],[Description]]="","",VLOOKUP(Table2[[#This Row],[Description]],$Q$1:$S$101,3,FALSE))</f>
        <v/>
      </c>
      <c r="I4089" s="1" t="str">
        <f>IF(Table2[[#This Row],[Description]]="","",IF(Table2[[#This Row],[Currency]]=$O$2,$P$2,HLOOKUP(Table2[[#This Row],[Date]],Funds!$C$10:$GV$11,2,FALSE)))</f>
        <v/>
      </c>
      <c r="J4089" s="215" t="str">
        <f>IF(Table2[[#This Row],[Description]]="","",Table2[[#This Row],[Value]]/Table2[[#This Row],[Conversion]])</f>
        <v/>
      </c>
      <c r="K4089" s="45" t="str">
        <f>IF(Table2[[#This Row],[Description]]="","",DATE(Table2[[#This Row],[Year]],Table2[[#This Row],[Month]],1))</f>
        <v/>
      </c>
    </row>
    <row r="4090" spans="7:11" x14ac:dyDescent="0.25">
      <c r="G4090" s="1" t="str">
        <f>IF(Table2[[#This Row],[Description]]="","",VLOOKUP(Table2[[#This Row],[Description]],$Q$1:$S$101,2,FALSE))</f>
        <v/>
      </c>
      <c r="H4090" s="1" t="str">
        <f>IF(Table2[[#This Row],[Description]]="","",VLOOKUP(Table2[[#This Row],[Description]],$Q$1:$S$101,3,FALSE))</f>
        <v/>
      </c>
      <c r="I4090" s="1" t="str">
        <f>IF(Table2[[#This Row],[Description]]="","",IF(Table2[[#This Row],[Currency]]=$O$2,$P$2,HLOOKUP(Table2[[#This Row],[Date]],Funds!$C$10:$GV$11,2,FALSE)))</f>
        <v/>
      </c>
      <c r="J4090" s="215" t="str">
        <f>IF(Table2[[#This Row],[Description]]="","",Table2[[#This Row],[Value]]/Table2[[#This Row],[Conversion]])</f>
        <v/>
      </c>
      <c r="K4090" s="45" t="str">
        <f>IF(Table2[[#This Row],[Description]]="","",DATE(Table2[[#This Row],[Year]],Table2[[#This Row],[Month]],1))</f>
        <v/>
      </c>
    </row>
    <row r="4091" spans="7:11" x14ac:dyDescent="0.25">
      <c r="G4091" s="1" t="str">
        <f>IF(Table2[[#This Row],[Description]]="","",VLOOKUP(Table2[[#This Row],[Description]],$Q$1:$S$101,2,FALSE))</f>
        <v/>
      </c>
      <c r="H4091" s="1" t="str">
        <f>IF(Table2[[#This Row],[Description]]="","",VLOOKUP(Table2[[#This Row],[Description]],$Q$1:$S$101,3,FALSE))</f>
        <v/>
      </c>
      <c r="I4091" s="1" t="str">
        <f>IF(Table2[[#This Row],[Description]]="","",IF(Table2[[#This Row],[Currency]]=$O$2,$P$2,HLOOKUP(Table2[[#This Row],[Date]],Funds!$C$10:$GV$11,2,FALSE)))</f>
        <v/>
      </c>
      <c r="J4091" s="215" t="str">
        <f>IF(Table2[[#This Row],[Description]]="","",Table2[[#This Row],[Value]]/Table2[[#This Row],[Conversion]])</f>
        <v/>
      </c>
      <c r="K4091" s="45" t="str">
        <f>IF(Table2[[#This Row],[Description]]="","",DATE(Table2[[#This Row],[Year]],Table2[[#This Row],[Month]],1))</f>
        <v/>
      </c>
    </row>
    <row r="4092" spans="7:11" x14ac:dyDescent="0.25">
      <c r="G4092" s="1" t="str">
        <f>IF(Table2[[#This Row],[Description]]="","",VLOOKUP(Table2[[#This Row],[Description]],$Q$1:$S$101,2,FALSE))</f>
        <v/>
      </c>
      <c r="H4092" s="1" t="str">
        <f>IF(Table2[[#This Row],[Description]]="","",VLOOKUP(Table2[[#This Row],[Description]],$Q$1:$S$101,3,FALSE))</f>
        <v/>
      </c>
      <c r="I4092" s="1" t="str">
        <f>IF(Table2[[#This Row],[Description]]="","",IF(Table2[[#This Row],[Currency]]=$O$2,$P$2,HLOOKUP(Table2[[#This Row],[Date]],Funds!$C$10:$GV$11,2,FALSE)))</f>
        <v/>
      </c>
      <c r="J4092" s="215" t="str">
        <f>IF(Table2[[#This Row],[Description]]="","",Table2[[#This Row],[Value]]/Table2[[#This Row],[Conversion]])</f>
        <v/>
      </c>
      <c r="K4092" s="45" t="str">
        <f>IF(Table2[[#This Row],[Description]]="","",DATE(Table2[[#This Row],[Year]],Table2[[#This Row],[Month]],1))</f>
        <v/>
      </c>
    </row>
    <row r="4093" spans="7:11" x14ac:dyDescent="0.25">
      <c r="G4093" s="1" t="str">
        <f>IF(Table2[[#This Row],[Description]]="","",VLOOKUP(Table2[[#This Row],[Description]],$Q$1:$S$101,2,FALSE))</f>
        <v/>
      </c>
      <c r="H4093" s="1" t="str">
        <f>IF(Table2[[#This Row],[Description]]="","",VLOOKUP(Table2[[#This Row],[Description]],$Q$1:$S$101,3,FALSE))</f>
        <v/>
      </c>
      <c r="I4093" s="1" t="str">
        <f>IF(Table2[[#This Row],[Description]]="","",IF(Table2[[#This Row],[Currency]]=$O$2,$P$2,HLOOKUP(Table2[[#This Row],[Date]],Funds!$C$10:$GV$11,2,FALSE)))</f>
        <v/>
      </c>
      <c r="J4093" s="215" t="str">
        <f>IF(Table2[[#This Row],[Description]]="","",Table2[[#This Row],[Value]]/Table2[[#This Row],[Conversion]])</f>
        <v/>
      </c>
      <c r="K4093" s="45" t="str">
        <f>IF(Table2[[#This Row],[Description]]="","",DATE(Table2[[#This Row],[Year]],Table2[[#This Row],[Month]],1))</f>
        <v/>
      </c>
    </row>
    <row r="4094" spans="7:11" x14ac:dyDescent="0.25">
      <c r="G4094" s="1" t="str">
        <f>IF(Table2[[#This Row],[Description]]="","",VLOOKUP(Table2[[#This Row],[Description]],$Q$1:$S$101,2,FALSE))</f>
        <v/>
      </c>
      <c r="H4094" s="1" t="str">
        <f>IF(Table2[[#This Row],[Description]]="","",VLOOKUP(Table2[[#This Row],[Description]],$Q$1:$S$101,3,FALSE))</f>
        <v/>
      </c>
      <c r="I4094" s="1" t="str">
        <f>IF(Table2[[#This Row],[Description]]="","",IF(Table2[[#This Row],[Currency]]=$O$2,$P$2,HLOOKUP(Table2[[#This Row],[Date]],Funds!$C$10:$GV$11,2,FALSE)))</f>
        <v/>
      </c>
      <c r="J4094" s="215" t="str">
        <f>IF(Table2[[#This Row],[Description]]="","",Table2[[#This Row],[Value]]/Table2[[#This Row],[Conversion]])</f>
        <v/>
      </c>
      <c r="K4094" s="45" t="str">
        <f>IF(Table2[[#This Row],[Description]]="","",DATE(Table2[[#This Row],[Year]],Table2[[#This Row],[Month]],1))</f>
        <v/>
      </c>
    </row>
    <row r="4095" spans="7:11" x14ac:dyDescent="0.25">
      <c r="G4095" s="1" t="str">
        <f>IF(Table2[[#This Row],[Description]]="","",VLOOKUP(Table2[[#This Row],[Description]],$Q$1:$S$101,2,FALSE))</f>
        <v/>
      </c>
      <c r="H4095" s="1" t="str">
        <f>IF(Table2[[#This Row],[Description]]="","",VLOOKUP(Table2[[#This Row],[Description]],$Q$1:$S$101,3,FALSE))</f>
        <v/>
      </c>
      <c r="I4095" s="1" t="str">
        <f>IF(Table2[[#This Row],[Description]]="","",IF(Table2[[#This Row],[Currency]]=$O$2,$P$2,HLOOKUP(Table2[[#This Row],[Date]],Funds!$C$10:$GV$11,2,FALSE)))</f>
        <v/>
      </c>
      <c r="J4095" s="215" t="str">
        <f>IF(Table2[[#This Row],[Description]]="","",Table2[[#This Row],[Value]]/Table2[[#This Row],[Conversion]])</f>
        <v/>
      </c>
      <c r="K4095" s="45" t="str">
        <f>IF(Table2[[#This Row],[Description]]="","",DATE(Table2[[#This Row],[Year]],Table2[[#This Row],[Month]],1))</f>
        <v/>
      </c>
    </row>
    <row r="4096" spans="7:11" x14ac:dyDescent="0.25">
      <c r="G4096" s="1" t="str">
        <f>IF(Table2[[#This Row],[Description]]="","",VLOOKUP(Table2[[#This Row],[Description]],$Q$1:$S$101,2,FALSE))</f>
        <v/>
      </c>
      <c r="H4096" s="1" t="str">
        <f>IF(Table2[[#This Row],[Description]]="","",VLOOKUP(Table2[[#This Row],[Description]],$Q$1:$S$101,3,FALSE))</f>
        <v/>
      </c>
      <c r="I4096" s="1" t="str">
        <f>IF(Table2[[#This Row],[Description]]="","",IF(Table2[[#This Row],[Currency]]=$O$2,$P$2,HLOOKUP(Table2[[#This Row],[Date]],Funds!$C$10:$GV$11,2,FALSE)))</f>
        <v/>
      </c>
      <c r="J4096" s="215" t="str">
        <f>IF(Table2[[#This Row],[Description]]="","",Table2[[#This Row],[Value]]/Table2[[#This Row],[Conversion]])</f>
        <v/>
      </c>
      <c r="K4096" s="45" t="str">
        <f>IF(Table2[[#This Row],[Description]]="","",DATE(Table2[[#This Row],[Year]],Table2[[#This Row],[Month]],1))</f>
        <v/>
      </c>
    </row>
    <row r="4097" spans="7:11" x14ac:dyDescent="0.25">
      <c r="G4097" s="1" t="str">
        <f>IF(Table2[[#This Row],[Description]]="","",VLOOKUP(Table2[[#This Row],[Description]],$Q$1:$S$101,2,FALSE))</f>
        <v/>
      </c>
      <c r="H4097" s="1" t="str">
        <f>IF(Table2[[#This Row],[Description]]="","",VLOOKUP(Table2[[#This Row],[Description]],$Q$1:$S$101,3,FALSE))</f>
        <v/>
      </c>
      <c r="I4097" s="1" t="str">
        <f>IF(Table2[[#This Row],[Description]]="","",IF(Table2[[#This Row],[Currency]]=$O$2,$P$2,HLOOKUP(Table2[[#This Row],[Date]],Funds!$C$10:$GV$11,2,FALSE)))</f>
        <v/>
      </c>
      <c r="J4097" s="215" t="str">
        <f>IF(Table2[[#This Row],[Description]]="","",Table2[[#This Row],[Value]]/Table2[[#This Row],[Conversion]])</f>
        <v/>
      </c>
      <c r="K4097" s="45" t="str">
        <f>IF(Table2[[#This Row],[Description]]="","",DATE(Table2[[#This Row],[Year]],Table2[[#This Row],[Month]],1))</f>
        <v/>
      </c>
    </row>
    <row r="4098" spans="7:11" x14ac:dyDescent="0.25">
      <c r="G4098" s="1" t="str">
        <f>IF(Table2[[#This Row],[Description]]="","",VLOOKUP(Table2[[#This Row],[Description]],$Q$1:$S$101,2,FALSE))</f>
        <v/>
      </c>
      <c r="H4098" s="1" t="str">
        <f>IF(Table2[[#This Row],[Description]]="","",VLOOKUP(Table2[[#This Row],[Description]],$Q$1:$S$101,3,FALSE))</f>
        <v/>
      </c>
      <c r="I4098" s="1" t="str">
        <f>IF(Table2[[#This Row],[Description]]="","",IF(Table2[[#This Row],[Currency]]=$O$2,$P$2,HLOOKUP(Table2[[#This Row],[Date]],Funds!$C$10:$GV$11,2,FALSE)))</f>
        <v/>
      </c>
      <c r="J4098" s="215" t="str">
        <f>IF(Table2[[#This Row],[Description]]="","",Table2[[#This Row],[Value]]/Table2[[#This Row],[Conversion]])</f>
        <v/>
      </c>
      <c r="K4098" s="45" t="str">
        <f>IF(Table2[[#This Row],[Description]]="","",DATE(Table2[[#This Row],[Year]],Table2[[#This Row],[Month]],1))</f>
        <v/>
      </c>
    </row>
    <row r="4099" spans="7:11" x14ac:dyDescent="0.25">
      <c r="G4099" s="1" t="str">
        <f>IF(Table2[[#This Row],[Description]]="","",VLOOKUP(Table2[[#This Row],[Description]],$Q$1:$S$101,2,FALSE))</f>
        <v/>
      </c>
      <c r="H4099" s="1" t="str">
        <f>IF(Table2[[#This Row],[Description]]="","",VLOOKUP(Table2[[#This Row],[Description]],$Q$1:$S$101,3,FALSE))</f>
        <v/>
      </c>
      <c r="I4099" s="1" t="str">
        <f>IF(Table2[[#This Row],[Description]]="","",IF(Table2[[#This Row],[Currency]]=$O$2,$P$2,HLOOKUP(Table2[[#This Row],[Date]],Funds!$C$10:$GV$11,2,FALSE)))</f>
        <v/>
      </c>
      <c r="J4099" s="215" t="str">
        <f>IF(Table2[[#This Row],[Description]]="","",Table2[[#This Row],[Value]]/Table2[[#This Row],[Conversion]])</f>
        <v/>
      </c>
      <c r="K4099" s="45" t="str">
        <f>IF(Table2[[#This Row],[Description]]="","",DATE(Table2[[#This Row],[Year]],Table2[[#This Row],[Month]],1))</f>
        <v/>
      </c>
    </row>
    <row r="4100" spans="7:11" x14ac:dyDescent="0.25">
      <c r="G4100" s="1" t="str">
        <f>IF(Table2[[#This Row],[Description]]="","",VLOOKUP(Table2[[#This Row],[Description]],$Q$1:$S$101,2,FALSE))</f>
        <v/>
      </c>
      <c r="H4100" s="1" t="str">
        <f>IF(Table2[[#This Row],[Description]]="","",VLOOKUP(Table2[[#This Row],[Description]],$Q$1:$S$101,3,FALSE))</f>
        <v/>
      </c>
      <c r="I4100" s="1" t="str">
        <f>IF(Table2[[#This Row],[Description]]="","",IF(Table2[[#This Row],[Currency]]=$O$2,$P$2,HLOOKUP(Table2[[#This Row],[Date]],Funds!$C$10:$GV$11,2,FALSE)))</f>
        <v/>
      </c>
      <c r="J4100" s="215" t="str">
        <f>IF(Table2[[#This Row],[Description]]="","",Table2[[#This Row],[Value]]/Table2[[#This Row],[Conversion]])</f>
        <v/>
      </c>
      <c r="K4100" s="45" t="str">
        <f>IF(Table2[[#This Row],[Description]]="","",DATE(Table2[[#This Row],[Year]],Table2[[#This Row],[Month]],1))</f>
        <v/>
      </c>
    </row>
    <row r="4101" spans="7:11" x14ac:dyDescent="0.25">
      <c r="G4101" s="1" t="str">
        <f>IF(Table2[[#This Row],[Description]]="","",VLOOKUP(Table2[[#This Row],[Description]],$Q$1:$S$101,2,FALSE))</f>
        <v/>
      </c>
      <c r="H4101" s="1" t="str">
        <f>IF(Table2[[#This Row],[Description]]="","",VLOOKUP(Table2[[#This Row],[Description]],$Q$1:$S$101,3,FALSE))</f>
        <v/>
      </c>
      <c r="I4101" s="1" t="str">
        <f>IF(Table2[[#This Row],[Description]]="","",IF(Table2[[#This Row],[Currency]]=$O$2,$P$2,HLOOKUP(Table2[[#This Row],[Date]],Funds!$C$10:$GV$11,2,FALSE)))</f>
        <v/>
      </c>
      <c r="J4101" s="215" t="str">
        <f>IF(Table2[[#This Row],[Description]]="","",Table2[[#This Row],[Value]]/Table2[[#This Row],[Conversion]])</f>
        <v/>
      </c>
      <c r="K4101" s="45" t="str">
        <f>IF(Table2[[#This Row],[Description]]="","",DATE(Table2[[#This Row],[Year]],Table2[[#This Row],[Month]],1))</f>
        <v/>
      </c>
    </row>
    <row r="4102" spans="7:11" x14ac:dyDescent="0.25">
      <c r="G4102" s="1" t="str">
        <f>IF(Table2[[#This Row],[Description]]="","",VLOOKUP(Table2[[#This Row],[Description]],$Q$1:$S$101,2,FALSE))</f>
        <v/>
      </c>
      <c r="H4102" s="1" t="str">
        <f>IF(Table2[[#This Row],[Description]]="","",VLOOKUP(Table2[[#This Row],[Description]],$Q$1:$S$101,3,FALSE))</f>
        <v/>
      </c>
      <c r="I4102" s="1" t="str">
        <f>IF(Table2[[#This Row],[Description]]="","",IF(Table2[[#This Row],[Currency]]=$O$2,$P$2,HLOOKUP(Table2[[#This Row],[Date]],Funds!$C$10:$GV$11,2,FALSE)))</f>
        <v/>
      </c>
      <c r="J4102" s="215" t="str">
        <f>IF(Table2[[#This Row],[Description]]="","",Table2[[#This Row],[Value]]/Table2[[#This Row],[Conversion]])</f>
        <v/>
      </c>
      <c r="K4102" s="45" t="str">
        <f>IF(Table2[[#This Row],[Description]]="","",DATE(Table2[[#This Row],[Year]],Table2[[#This Row],[Month]],1))</f>
        <v/>
      </c>
    </row>
    <row r="4103" spans="7:11" x14ac:dyDescent="0.25">
      <c r="G4103" s="1" t="str">
        <f>IF(Table2[[#This Row],[Description]]="","",VLOOKUP(Table2[[#This Row],[Description]],$Q$1:$S$101,2,FALSE))</f>
        <v/>
      </c>
      <c r="H4103" s="1" t="str">
        <f>IF(Table2[[#This Row],[Description]]="","",VLOOKUP(Table2[[#This Row],[Description]],$Q$1:$S$101,3,FALSE))</f>
        <v/>
      </c>
      <c r="I4103" s="1" t="str">
        <f>IF(Table2[[#This Row],[Description]]="","",IF(Table2[[#This Row],[Currency]]=$O$2,$P$2,HLOOKUP(Table2[[#This Row],[Date]],Funds!$C$10:$GV$11,2,FALSE)))</f>
        <v/>
      </c>
      <c r="J4103" s="215" t="str">
        <f>IF(Table2[[#This Row],[Description]]="","",Table2[[#This Row],[Value]]/Table2[[#This Row],[Conversion]])</f>
        <v/>
      </c>
      <c r="K4103" s="45" t="str">
        <f>IF(Table2[[#This Row],[Description]]="","",DATE(Table2[[#This Row],[Year]],Table2[[#This Row],[Month]],1))</f>
        <v/>
      </c>
    </row>
    <row r="4104" spans="7:11" x14ac:dyDescent="0.25">
      <c r="G4104" s="1" t="str">
        <f>IF(Table2[[#This Row],[Description]]="","",VLOOKUP(Table2[[#This Row],[Description]],$Q$1:$S$101,2,FALSE))</f>
        <v/>
      </c>
      <c r="H4104" s="1" t="str">
        <f>IF(Table2[[#This Row],[Description]]="","",VLOOKUP(Table2[[#This Row],[Description]],$Q$1:$S$101,3,FALSE))</f>
        <v/>
      </c>
      <c r="I4104" s="1" t="str">
        <f>IF(Table2[[#This Row],[Description]]="","",IF(Table2[[#This Row],[Currency]]=$O$2,$P$2,HLOOKUP(Table2[[#This Row],[Date]],Funds!$C$10:$GV$11,2,FALSE)))</f>
        <v/>
      </c>
      <c r="J4104" s="215" t="str">
        <f>IF(Table2[[#This Row],[Description]]="","",Table2[[#This Row],[Value]]/Table2[[#This Row],[Conversion]])</f>
        <v/>
      </c>
      <c r="K4104" s="45" t="str">
        <f>IF(Table2[[#This Row],[Description]]="","",DATE(Table2[[#This Row],[Year]],Table2[[#This Row],[Month]],1))</f>
        <v/>
      </c>
    </row>
    <row r="4105" spans="7:11" x14ac:dyDescent="0.25">
      <c r="G4105" s="1" t="str">
        <f>IF(Table2[[#This Row],[Description]]="","",VLOOKUP(Table2[[#This Row],[Description]],$Q$1:$S$101,2,FALSE))</f>
        <v/>
      </c>
      <c r="H4105" s="1" t="str">
        <f>IF(Table2[[#This Row],[Description]]="","",VLOOKUP(Table2[[#This Row],[Description]],$Q$1:$S$101,3,FALSE))</f>
        <v/>
      </c>
      <c r="I4105" s="1" t="str">
        <f>IF(Table2[[#This Row],[Description]]="","",IF(Table2[[#This Row],[Currency]]=$O$2,$P$2,HLOOKUP(Table2[[#This Row],[Date]],Funds!$C$10:$GV$11,2,FALSE)))</f>
        <v/>
      </c>
      <c r="J4105" s="215" t="str">
        <f>IF(Table2[[#This Row],[Description]]="","",Table2[[#This Row],[Value]]/Table2[[#This Row],[Conversion]])</f>
        <v/>
      </c>
      <c r="K4105" s="45" t="str">
        <f>IF(Table2[[#This Row],[Description]]="","",DATE(Table2[[#This Row],[Year]],Table2[[#This Row],[Month]],1))</f>
        <v/>
      </c>
    </row>
    <row r="4106" spans="7:11" x14ac:dyDescent="0.25">
      <c r="G4106" s="1" t="str">
        <f>IF(Table2[[#This Row],[Description]]="","",VLOOKUP(Table2[[#This Row],[Description]],$Q$1:$S$101,2,FALSE))</f>
        <v/>
      </c>
      <c r="H4106" s="1" t="str">
        <f>IF(Table2[[#This Row],[Description]]="","",VLOOKUP(Table2[[#This Row],[Description]],$Q$1:$S$101,3,FALSE))</f>
        <v/>
      </c>
      <c r="I4106" s="1" t="str">
        <f>IF(Table2[[#This Row],[Description]]="","",IF(Table2[[#This Row],[Currency]]=$O$2,$P$2,HLOOKUP(Table2[[#This Row],[Date]],Funds!$C$10:$GV$11,2,FALSE)))</f>
        <v/>
      </c>
      <c r="J4106" s="215" t="str">
        <f>IF(Table2[[#This Row],[Description]]="","",Table2[[#This Row],[Value]]/Table2[[#This Row],[Conversion]])</f>
        <v/>
      </c>
      <c r="K4106" s="45" t="str">
        <f>IF(Table2[[#This Row],[Description]]="","",DATE(Table2[[#This Row],[Year]],Table2[[#This Row],[Month]],1))</f>
        <v/>
      </c>
    </row>
    <row r="4107" spans="7:11" x14ac:dyDescent="0.25">
      <c r="G4107" s="1" t="str">
        <f>IF(Table2[[#This Row],[Description]]="","",VLOOKUP(Table2[[#This Row],[Description]],$Q$1:$S$101,2,FALSE))</f>
        <v/>
      </c>
      <c r="H4107" s="1" t="str">
        <f>IF(Table2[[#This Row],[Description]]="","",VLOOKUP(Table2[[#This Row],[Description]],$Q$1:$S$101,3,FALSE))</f>
        <v/>
      </c>
      <c r="I4107" s="1" t="str">
        <f>IF(Table2[[#This Row],[Description]]="","",IF(Table2[[#This Row],[Currency]]=$O$2,$P$2,HLOOKUP(Table2[[#This Row],[Date]],Funds!$C$10:$GV$11,2,FALSE)))</f>
        <v/>
      </c>
      <c r="J4107" s="215" t="str">
        <f>IF(Table2[[#This Row],[Description]]="","",Table2[[#This Row],[Value]]/Table2[[#This Row],[Conversion]])</f>
        <v/>
      </c>
      <c r="K4107" s="45" t="str">
        <f>IF(Table2[[#This Row],[Description]]="","",DATE(Table2[[#This Row],[Year]],Table2[[#This Row],[Month]],1))</f>
        <v/>
      </c>
    </row>
    <row r="4108" spans="7:11" x14ac:dyDescent="0.25">
      <c r="G4108" s="1" t="str">
        <f>IF(Table2[[#This Row],[Description]]="","",VLOOKUP(Table2[[#This Row],[Description]],$Q$1:$S$101,2,FALSE))</f>
        <v/>
      </c>
      <c r="H4108" s="1" t="str">
        <f>IF(Table2[[#This Row],[Description]]="","",VLOOKUP(Table2[[#This Row],[Description]],$Q$1:$S$101,3,FALSE))</f>
        <v/>
      </c>
      <c r="I4108" s="1" t="str">
        <f>IF(Table2[[#This Row],[Description]]="","",IF(Table2[[#This Row],[Currency]]=$O$2,$P$2,HLOOKUP(Table2[[#This Row],[Date]],Funds!$C$10:$GV$11,2,FALSE)))</f>
        <v/>
      </c>
      <c r="J4108" s="215" t="str">
        <f>IF(Table2[[#This Row],[Description]]="","",Table2[[#This Row],[Value]]/Table2[[#This Row],[Conversion]])</f>
        <v/>
      </c>
      <c r="K4108" s="45" t="str">
        <f>IF(Table2[[#This Row],[Description]]="","",DATE(Table2[[#This Row],[Year]],Table2[[#This Row],[Month]],1))</f>
        <v/>
      </c>
    </row>
    <row r="4109" spans="7:11" x14ac:dyDescent="0.25">
      <c r="G4109" s="1" t="str">
        <f>IF(Table2[[#This Row],[Description]]="","",VLOOKUP(Table2[[#This Row],[Description]],$Q$1:$S$101,2,FALSE))</f>
        <v/>
      </c>
      <c r="H4109" s="1" t="str">
        <f>IF(Table2[[#This Row],[Description]]="","",VLOOKUP(Table2[[#This Row],[Description]],$Q$1:$S$101,3,FALSE))</f>
        <v/>
      </c>
      <c r="I4109" s="1" t="str">
        <f>IF(Table2[[#This Row],[Description]]="","",IF(Table2[[#This Row],[Currency]]=$O$2,$P$2,HLOOKUP(Table2[[#This Row],[Date]],Funds!$C$10:$GV$11,2,FALSE)))</f>
        <v/>
      </c>
      <c r="J4109" s="215" t="str">
        <f>IF(Table2[[#This Row],[Description]]="","",Table2[[#This Row],[Value]]/Table2[[#This Row],[Conversion]])</f>
        <v/>
      </c>
      <c r="K4109" s="45" t="str">
        <f>IF(Table2[[#This Row],[Description]]="","",DATE(Table2[[#This Row],[Year]],Table2[[#This Row],[Month]],1))</f>
        <v/>
      </c>
    </row>
    <row r="4110" spans="7:11" x14ac:dyDescent="0.25">
      <c r="G4110" s="1" t="str">
        <f>IF(Table2[[#This Row],[Description]]="","",VLOOKUP(Table2[[#This Row],[Description]],$Q$1:$S$101,2,FALSE))</f>
        <v/>
      </c>
      <c r="H4110" s="1" t="str">
        <f>IF(Table2[[#This Row],[Description]]="","",VLOOKUP(Table2[[#This Row],[Description]],$Q$1:$S$101,3,FALSE))</f>
        <v/>
      </c>
      <c r="I4110" s="1" t="str">
        <f>IF(Table2[[#This Row],[Description]]="","",IF(Table2[[#This Row],[Currency]]=$O$2,$P$2,HLOOKUP(Table2[[#This Row],[Date]],Funds!$C$10:$GV$11,2,FALSE)))</f>
        <v/>
      </c>
      <c r="J4110" s="215" t="str">
        <f>IF(Table2[[#This Row],[Description]]="","",Table2[[#This Row],[Value]]/Table2[[#This Row],[Conversion]])</f>
        <v/>
      </c>
      <c r="K4110" s="45" t="str">
        <f>IF(Table2[[#This Row],[Description]]="","",DATE(Table2[[#This Row],[Year]],Table2[[#This Row],[Month]],1))</f>
        <v/>
      </c>
    </row>
    <row r="4111" spans="7:11" x14ac:dyDescent="0.25">
      <c r="G4111" s="1" t="str">
        <f>IF(Table2[[#This Row],[Description]]="","",VLOOKUP(Table2[[#This Row],[Description]],$Q$1:$S$101,2,FALSE))</f>
        <v/>
      </c>
      <c r="H4111" s="1" t="str">
        <f>IF(Table2[[#This Row],[Description]]="","",VLOOKUP(Table2[[#This Row],[Description]],$Q$1:$S$101,3,FALSE))</f>
        <v/>
      </c>
      <c r="I4111" s="1" t="str">
        <f>IF(Table2[[#This Row],[Description]]="","",IF(Table2[[#This Row],[Currency]]=$O$2,$P$2,HLOOKUP(Table2[[#This Row],[Date]],Funds!$C$10:$GV$11,2,FALSE)))</f>
        <v/>
      </c>
      <c r="J4111" s="215" t="str">
        <f>IF(Table2[[#This Row],[Description]]="","",Table2[[#This Row],[Value]]/Table2[[#This Row],[Conversion]])</f>
        <v/>
      </c>
      <c r="K4111" s="45" t="str">
        <f>IF(Table2[[#This Row],[Description]]="","",DATE(Table2[[#This Row],[Year]],Table2[[#This Row],[Month]],1))</f>
        <v/>
      </c>
    </row>
    <row r="4112" spans="7:11" x14ac:dyDescent="0.25">
      <c r="G4112" s="1" t="str">
        <f>IF(Table2[[#This Row],[Description]]="","",VLOOKUP(Table2[[#This Row],[Description]],$Q$1:$S$101,2,FALSE))</f>
        <v/>
      </c>
      <c r="H4112" s="1" t="str">
        <f>IF(Table2[[#This Row],[Description]]="","",VLOOKUP(Table2[[#This Row],[Description]],$Q$1:$S$101,3,FALSE))</f>
        <v/>
      </c>
      <c r="I4112" s="1" t="str">
        <f>IF(Table2[[#This Row],[Description]]="","",IF(Table2[[#This Row],[Currency]]=$O$2,$P$2,HLOOKUP(Table2[[#This Row],[Date]],Funds!$C$10:$GV$11,2,FALSE)))</f>
        <v/>
      </c>
      <c r="J4112" s="215" t="str">
        <f>IF(Table2[[#This Row],[Description]]="","",Table2[[#This Row],[Value]]/Table2[[#This Row],[Conversion]])</f>
        <v/>
      </c>
      <c r="K4112" s="45" t="str">
        <f>IF(Table2[[#This Row],[Description]]="","",DATE(Table2[[#This Row],[Year]],Table2[[#This Row],[Month]],1))</f>
        <v/>
      </c>
    </row>
    <row r="4113" spans="7:11" x14ac:dyDescent="0.25">
      <c r="G4113" s="1" t="str">
        <f>IF(Table2[[#This Row],[Description]]="","",VLOOKUP(Table2[[#This Row],[Description]],$Q$1:$S$101,2,FALSE))</f>
        <v/>
      </c>
      <c r="H4113" s="1" t="str">
        <f>IF(Table2[[#This Row],[Description]]="","",VLOOKUP(Table2[[#This Row],[Description]],$Q$1:$S$101,3,FALSE))</f>
        <v/>
      </c>
      <c r="I4113" s="1" t="str">
        <f>IF(Table2[[#This Row],[Description]]="","",IF(Table2[[#This Row],[Currency]]=$O$2,$P$2,HLOOKUP(Table2[[#This Row],[Date]],Funds!$C$10:$GV$11,2,FALSE)))</f>
        <v/>
      </c>
      <c r="J4113" s="215" t="str">
        <f>IF(Table2[[#This Row],[Description]]="","",Table2[[#This Row],[Value]]/Table2[[#This Row],[Conversion]])</f>
        <v/>
      </c>
      <c r="K4113" s="45" t="str">
        <f>IF(Table2[[#This Row],[Description]]="","",DATE(Table2[[#This Row],[Year]],Table2[[#This Row],[Month]],1))</f>
        <v/>
      </c>
    </row>
    <row r="4114" spans="7:11" x14ac:dyDescent="0.25">
      <c r="G4114" s="1" t="str">
        <f>IF(Table2[[#This Row],[Description]]="","",VLOOKUP(Table2[[#This Row],[Description]],$Q$1:$S$101,2,FALSE))</f>
        <v/>
      </c>
      <c r="H4114" s="1" t="str">
        <f>IF(Table2[[#This Row],[Description]]="","",VLOOKUP(Table2[[#This Row],[Description]],$Q$1:$S$101,3,FALSE))</f>
        <v/>
      </c>
      <c r="I4114" s="1" t="str">
        <f>IF(Table2[[#This Row],[Description]]="","",IF(Table2[[#This Row],[Currency]]=$O$2,$P$2,HLOOKUP(Table2[[#This Row],[Date]],Funds!$C$10:$GV$11,2,FALSE)))</f>
        <v/>
      </c>
      <c r="J4114" s="215" t="str">
        <f>IF(Table2[[#This Row],[Description]]="","",Table2[[#This Row],[Value]]/Table2[[#This Row],[Conversion]])</f>
        <v/>
      </c>
      <c r="K4114" s="45" t="str">
        <f>IF(Table2[[#This Row],[Description]]="","",DATE(Table2[[#This Row],[Year]],Table2[[#This Row],[Month]],1))</f>
        <v/>
      </c>
    </row>
    <row r="4115" spans="7:11" x14ac:dyDescent="0.25">
      <c r="G4115" s="1" t="str">
        <f>IF(Table2[[#This Row],[Description]]="","",VLOOKUP(Table2[[#This Row],[Description]],$Q$1:$S$101,2,FALSE))</f>
        <v/>
      </c>
      <c r="H4115" s="1" t="str">
        <f>IF(Table2[[#This Row],[Description]]="","",VLOOKUP(Table2[[#This Row],[Description]],$Q$1:$S$101,3,FALSE))</f>
        <v/>
      </c>
      <c r="I4115" s="1" t="str">
        <f>IF(Table2[[#This Row],[Description]]="","",IF(Table2[[#This Row],[Currency]]=$O$2,$P$2,HLOOKUP(Table2[[#This Row],[Date]],Funds!$C$10:$GV$11,2,FALSE)))</f>
        <v/>
      </c>
      <c r="J4115" s="215" t="str">
        <f>IF(Table2[[#This Row],[Description]]="","",Table2[[#This Row],[Value]]/Table2[[#This Row],[Conversion]])</f>
        <v/>
      </c>
      <c r="K4115" s="45" t="str">
        <f>IF(Table2[[#This Row],[Description]]="","",DATE(Table2[[#This Row],[Year]],Table2[[#This Row],[Month]],1))</f>
        <v/>
      </c>
    </row>
    <row r="4116" spans="7:11" x14ac:dyDescent="0.25">
      <c r="G4116" s="1" t="str">
        <f>IF(Table2[[#This Row],[Description]]="","",VLOOKUP(Table2[[#This Row],[Description]],$Q$1:$S$101,2,FALSE))</f>
        <v/>
      </c>
      <c r="H4116" s="1" t="str">
        <f>IF(Table2[[#This Row],[Description]]="","",VLOOKUP(Table2[[#This Row],[Description]],$Q$1:$S$101,3,FALSE))</f>
        <v/>
      </c>
      <c r="I4116" s="1" t="str">
        <f>IF(Table2[[#This Row],[Description]]="","",IF(Table2[[#This Row],[Currency]]=$O$2,$P$2,HLOOKUP(Table2[[#This Row],[Date]],Funds!$C$10:$GV$11,2,FALSE)))</f>
        <v/>
      </c>
      <c r="J4116" s="215" t="str">
        <f>IF(Table2[[#This Row],[Description]]="","",Table2[[#This Row],[Value]]/Table2[[#This Row],[Conversion]])</f>
        <v/>
      </c>
      <c r="K4116" s="45" t="str">
        <f>IF(Table2[[#This Row],[Description]]="","",DATE(Table2[[#This Row],[Year]],Table2[[#This Row],[Month]],1))</f>
        <v/>
      </c>
    </row>
    <row r="4117" spans="7:11" x14ac:dyDescent="0.25">
      <c r="G4117" s="1" t="str">
        <f>IF(Table2[[#This Row],[Description]]="","",VLOOKUP(Table2[[#This Row],[Description]],$Q$1:$S$101,2,FALSE))</f>
        <v/>
      </c>
      <c r="H4117" s="1" t="str">
        <f>IF(Table2[[#This Row],[Description]]="","",VLOOKUP(Table2[[#This Row],[Description]],$Q$1:$S$101,3,FALSE))</f>
        <v/>
      </c>
      <c r="I4117" s="1" t="str">
        <f>IF(Table2[[#This Row],[Description]]="","",IF(Table2[[#This Row],[Currency]]=$O$2,$P$2,HLOOKUP(Table2[[#This Row],[Date]],Funds!$C$10:$GV$11,2,FALSE)))</f>
        <v/>
      </c>
      <c r="J4117" s="215" t="str">
        <f>IF(Table2[[#This Row],[Description]]="","",Table2[[#This Row],[Value]]/Table2[[#This Row],[Conversion]])</f>
        <v/>
      </c>
      <c r="K4117" s="45" t="str">
        <f>IF(Table2[[#This Row],[Description]]="","",DATE(Table2[[#This Row],[Year]],Table2[[#This Row],[Month]],1))</f>
        <v/>
      </c>
    </row>
    <row r="4118" spans="7:11" x14ac:dyDescent="0.25">
      <c r="G4118" s="1" t="str">
        <f>IF(Table2[[#This Row],[Description]]="","",VLOOKUP(Table2[[#This Row],[Description]],$Q$1:$S$101,2,FALSE))</f>
        <v/>
      </c>
      <c r="H4118" s="1" t="str">
        <f>IF(Table2[[#This Row],[Description]]="","",VLOOKUP(Table2[[#This Row],[Description]],$Q$1:$S$101,3,FALSE))</f>
        <v/>
      </c>
      <c r="I4118" s="1" t="str">
        <f>IF(Table2[[#This Row],[Description]]="","",IF(Table2[[#This Row],[Currency]]=$O$2,$P$2,HLOOKUP(Table2[[#This Row],[Date]],Funds!$C$10:$GV$11,2,FALSE)))</f>
        <v/>
      </c>
      <c r="J4118" s="215" t="str">
        <f>IF(Table2[[#This Row],[Description]]="","",Table2[[#This Row],[Value]]/Table2[[#This Row],[Conversion]])</f>
        <v/>
      </c>
      <c r="K4118" s="45" t="str">
        <f>IF(Table2[[#This Row],[Description]]="","",DATE(Table2[[#This Row],[Year]],Table2[[#This Row],[Month]],1))</f>
        <v/>
      </c>
    </row>
    <row r="4119" spans="7:11" x14ac:dyDescent="0.25">
      <c r="G4119" s="1" t="str">
        <f>IF(Table2[[#This Row],[Description]]="","",VLOOKUP(Table2[[#This Row],[Description]],$Q$1:$S$101,2,FALSE))</f>
        <v/>
      </c>
      <c r="H4119" s="1" t="str">
        <f>IF(Table2[[#This Row],[Description]]="","",VLOOKUP(Table2[[#This Row],[Description]],$Q$1:$S$101,3,FALSE))</f>
        <v/>
      </c>
      <c r="I4119" s="1" t="str">
        <f>IF(Table2[[#This Row],[Description]]="","",IF(Table2[[#This Row],[Currency]]=$O$2,$P$2,HLOOKUP(Table2[[#This Row],[Date]],Funds!$C$10:$GV$11,2,FALSE)))</f>
        <v/>
      </c>
      <c r="J4119" s="215" t="str">
        <f>IF(Table2[[#This Row],[Description]]="","",Table2[[#This Row],[Value]]/Table2[[#This Row],[Conversion]])</f>
        <v/>
      </c>
      <c r="K4119" s="45" t="str">
        <f>IF(Table2[[#This Row],[Description]]="","",DATE(Table2[[#This Row],[Year]],Table2[[#This Row],[Month]],1))</f>
        <v/>
      </c>
    </row>
    <row r="4120" spans="7:11" x14ac:dyDescent="0.25">
      <c r="G4120" s="1" t="str">
        <f>IF(Table2[[#This Row],[Description]]="","",VLOOKUP(Table2[[#This Row],[Description]],$Q$1:$S$101,2,FALSE))</f>
        <v/>
      </c>
      <c r="H4120" s="1" t="str">
        <f>IF(Table2[[#This Row],[Description]]="","",VLOOKUP(Table2[[#This Row],[Description]],$Q$1:$S$101,3,FALSE))</f>
        <v/>
      </c>
      <c r="I4120" s="1" t="str">
        <f>IF(Table2[[#This Row],[Description]]="","",IF(Table2[[#This Row],[Currency]]=$O$2,$P$2,HLOOKUP(Table2[[#This Row],[Date]],Funds!$C$10:$GV$11,2,FALSE)))</f>
        <v/>
      </c>
      <c r="J4120" s="215" t="str">
        <f>IF(Table2[[#This Row],[Description]]="","",Table2[[#This Row],[Value]]/Table2[[#This Row],[Conversion]])</f>
        <v/>
      </c>
      <c r="K4120" s="45" t="str">
        <f>IF(Table2[[#This Row],[Description]]="","",DATE(Table2[[#This Row],[Year]],Table2[[#This Row],[Month]],1))</f>
        <v/>
      </c>
    </row>
    <row r="4121" spans="7:11" x14ac:dyDescent="0.25">
      <c r="G4121" s="1" t="str">
        <f>IF(Table2[[#This Row],[Description]]="","",VLOOKUP(Table2[[#This Row],[Description]],$Q$1:$S$101,2,FALSE))</f>
        <v/>
      </c>
      <c r="H4121" s="1" t="str">
        <f>IF(Table2[[#This Row],[Description]]="","",VLOOKUP(Table2[[#This Row],[Description]],$Q$1:$S$101,3,FALSE))</f>
        <v/>
      </c>
      <c r="I4121" s="1" t="str">
        <f>IF(Table2[[#This Row],[Description]]="","",IF(Table2[[#This Row],[Currency]]=$O$2,$P$2,HLOOKUP(Table2[[#This Row],[Date]],Funds!$C$10:$GV$11,2,FALSE)))</f>
        <v/>
      </c>
      <c r="J4121" s="215" t="str">
        <f>IF(Table2[[#This Row],[Description]]="","",Table2[[#This Row],[Value]]/Table2[[#This Row],[Conversion]])</f>
        <v/>
      </c>
      <c r="K4121" s="45" t="str">
        <f>IF(Table2[[#This Row],[Description]]="","",DATE(Table2[[#This Row],[Year]],Table2[[#This Row],[Month]],1))</f>
        <v/>
      </c>
    </row>
    <row r="4122" spans="7:11" x14ac:dyDescent="0.25">
      <c r="G4122" s="1" t="str">
        <f>IF(Table2[[#This Row],[Description]]="","",VLOOKUP(Table2[[#This Row],[Description]],$Q$1:$S$101,2,FALSE))</f>
        <v/>
      </c>
      <c r="H4122" s="1" t="str">
        <f>IF(Table2[[#This Row],[Description]]="","",VLOOKUP(Table2[[#This Row],[Description]],$Q$1:$S$101,3,FALSE))</f>
        <v/>
      </c>
      <c r="I4122" s="1" t="str">
        <f>IF(Table2[[#This Row],[Description]]="","",IF(Table2[[#This Row],[Currency]]=$O$2,$P$2,HLOOKUP(Table2[[#This Row],[Date]],Funds!$C$10:$GV$11,2,FALSE)))</f>
        <v/>
      </c>
      <c r="J4122" s="215" t="str">
        <f>IF(Table2[[#This Row],[Description]]="","",Table2[[#This Row],[Value]]/Table2[[#This Row],[Conversion]])</f>
        <v/>
      </c>
      <c r="K4122" s="45" t="str">
        <f>IF(Table2[[#This Row],[Description]]="","",DATE(Table2[[#This Row],[Year]],Table2[[#This Row],[Month]],1))</f>
        <v/>
      </c>
    </row>
    <row r="4123" spans="7:11" x14ac:dyDescent="0.25">
      <c r="G4123" s="1" t="str">
        <f>IF(Table2[[#This Row],[Description]]="","",VLOOKUP(Table2[[#This Row],[Description]],$Q$1:$S$101,2,FALSE))</f>
        <v/>
      </c>
      <c r="H4123" s="1" t="str">
        <f>IF(Table2[[#This Row],[Description]]="","",VLOOKUP(Table2[[#This Row],[Description]],$Q$1:$S$101,3,FALSE))</f>
        <v/>
      </c>
      <c r="I4123" s="1" t="str">
        <f>IF(Table2[[#This Row],[Description]]="","",IF(Table2[[#This Row],[Currency]]=$O$2,$P$2,HLOOKUP(Table2[[#This Row],[Date]],Funds!$C$10:$GV$11,2,FALSE)))</f>
        <v/>
      </c>
      <c r="J4123" s="215" t="str">
        <f>IF(Table2[[#This Row],[Description]]="","",Table2[[#This Row],[Value]]/Table2[[#This Row],[Conversion]])</f>
        <v/>
      </c>
      <c r="K4123" s="45" t="str">
        <f>IF(Table2[[#This Row],[Description]]="","",DATE(Table2[[#This Row],[Year]],Table2[[#This Row],[Month]],1))</f>
        <v/>
      </c>
    </row>
    <row r="4124" spans="7:11" x14ac:dyDescent="0.25">
      <c r="G4124" s="1" t="str">
        <f>IF(Table2[[#This Row],[Description]]="","",VLOOKUP(Table2[[#This Row],[Description]],$Q$1:$S$101,2,FALSE))</f>
        <v/>
      </c>
      <c r="H4124" s="1" t="str">
        <f>IF(Table2[[#This Row],[Description]]="","",VLOOKUP(Table2[[#This Row],[Description]],$Q$1:$S$101,3,FALSE))</f>
        <v/>
      </c>
      <c r="I4124" s="1" t="str">
        <f>IF(Table2[[#This Row],[Description]]="","",IF(Table2[[#This Row],[Currency]]=$O$2,$P$2,HLOOKUP(Table2[[#This Row],[Date]],Funds!$C$10:$GV$11,2,FALSE)))</f>
        <v/>
      </c>
      <c r="J4124" s="215" t="str">
        <f>IF(Table2[[#This Row],[Description]]="","",Table2[[#This Row],[Value]]/Table2[[#This Row],[Conversion]])</f>
        <v/>
      </c>
      <c r="K4124" s="45" t="str">
        <f>IF(Table2[[#This Row],[Description]]="","",DATE(Table2[[#This Row],[Year]],Table2[[#This Row],[Month]],1))</f>
        <v/>
      </c>
    </row>
    <row r="4125" spans="7:11" x14ac:dyDescent="0.25">
      <c r="G4125" s="1" t="str">
        <f>IF(Table2[[#This Row],[Description]]="","",VLOOKUP(Table2[[#This Row],[Description]],$Q$1:$S$101,2,FALSE))</f>
        <v/>
      </c>
      <c r="H4125" s="1" t="str">
        <f>IF(Table2[[#This Row],[Description]]="","",VLOOKUP(Table2[[#This Row],[Description]],$Q$1:$S$101,3,FALSE))</f>
        <v/>
      </c>
      <c r="I4125" s="1" t="str">
        <f>IF(Table2[[#This Row],[Description]]="","",IF(Table2[[#This Row],[Currency]]=$O$2,$P$2,HLOOKUP(Table2[[#This Row],[Date]],Funds!$C$10:$GV$11,2,FALSE)))</f>
        <v/>
      </c>
      <c r="J4125" s="215" t="str">
        <f>IF(Table2[[#This Row],[Description]]="","",Table2[[#This Row],[Value]]/Table2[[#This Row],[Conversion]])</f>
        <v/>
      </c>
      <c r="K4125" s="45" t="str">
        <f>IF(Table2[[#This Row],[Description]]="","",DATE(Table2[[#This Row],[Year]],Table2[[#This Row],[Month]],1))</f>
        <v/>
      </c>
    </row>
    <row r="4126" spans="7:11" x14ac:dyDescent="0.25">
      <c r="G4126" s="1" t="str">
        <f>IF(Table2[[#This Row],[Description]]="","",VLOOKUP(Table2[[#This Row],[Description]],$Q$1:$S$101,2,FALSE))</f>
        <v/>
      </c>
      <c r="H4126" s="1" t="str">
        <f>IF(Table2[[#This Row],[Description]]="","",VLOOKUP(Table2[[#This Row],[Description]],$Q$1:$S$101,3,FALSE))</f>
        <v/>
      </c>
      <c r="I4126" s="1" t="str">
        <f>IF(Table2[[#This Row],[Description]]="","",IF(Table2[[#This Row],[Currency]]=$O$2,$P$2,HLOOKUP(Table2[[#This Row],[Date]],Funds!$C$10:$GV$11,2,FALSE)))</f>
        <v/>
      </c>
      <c r="J4126" s="215" t="str">
        <f>IF(Table2[[#This Row],[Description]]="","",Table2[[#This Row],[Value]]/Table2[[#This Row],[Conversion]])</f>
        <v/>
      </c>
      <c r="K4126" s="45" t="str">
        <f>IF(Table2[[#This Row],[Description]]="","",DATE(Table2[[#This Row],[Year]],Table2[[#This Row],[Month]],1))</f>
        <v/>
      </c>
    </row>
    <row r="4127" spans="7:11" x14ac:dyDescent="0.25">
      <c r="G4127" s="1" t="str">
        <f>IF(Table2[[#This Row],[Description]]="","",VLOOKUP(Table2[[#This Row],[Description]],$Q$1:$S$101,2,FALSE))</f>
        <v/>
      </c>
      <c r="H4127" s="1" t="str">
        <f>IF(Table2[[#This Row],[Description]]="","",VLOOKUP(Table2[[#This Row],[Description]],$Q$1:$S$101,3,FALSE))</f>
        <v/>
      </c>
      <c r="I4127" s="1" t="str">
        <f>IF(Table2[[#This Row],[Description]]="","",IF(Table2[[#This Row],[Currency]]=$O$2,$P$2,HLOOKUP(Table2[[#This Row],[Date]],Funds!$C$10:$GV$11,2,FALSE)))</f>
        <v/>
      </c>
      <c r="J4127" s="215" t="str">
        <f>IF(Table2[[#This Row],[Description]]="","",Table2[[#This Row],[Value]]/Table2[[#This Row],[Conversion]])</f>
        <v/>
      </c>
      <c r="K4127" s="45" t="str">
        <f>IF(Table2[[#This Row],[Description]]="","",DATE(Table2[[#This Row],[Year]],Table2[[#This Row],[Month]],1))</f>
        <v/>
      </c>
    </row>
    <row r="4128" spans="7:11" x14ac:dyDescent="0.25">
      <c r="G4128" s="1" t="str">
        <f>IF(Table2[[#This Row],[Description]]="","",VLOOKUP(Table2[[#This Row],[Description]],$Q$1:$S$101,2,FALSE))</f>
        <v/>
      </c>
      <c r="H4128" s="1" t="str">
        <f>IF(Table2[[#This Row],[Description]]="","",VLOOKUP(Table2[[#This Row],[Description]],$Q$1:$S$101,3,FALSE))</f>
        <v/>
      </c>
      <c r="I4128" s="1" t="str">
        <f>IF(Table2[[#This Row],[Description]]="","",IF(Table2[[#This Row],[Currency]]=$O$2,$P$2,HLOOKUP(Table2[[#This Row],[Date]],Funds!$C$10:$GV$11,2,FALSE)))</f>
        <v/>
      </c>
      <c r="J4128" s="215" t="str">
        <f>IF(Table2[[#This Row],[Description]]="","",Table2[[#This Row],[Value]]/Table2[[#This Row],[Conversion]])</f>
        <v/>
      </c>
      <c r="K4128" s="45" t="str">
        <f>IF(Table2[[#This Row],[Description]]="","",DATE(Table2[[#This Row],[Year]],Table2[[#This Row],[Month]],1))</f>
        <v/>
      </c>
    </row>
    <row r="4129" spans="7:11" x14ac:dyDescent="0.25">
      <c r="G4129" s="1" t="str">
        <f>IF(Table2[[#This Row],[Description]]="","",VLOOKUP(Table2[[#This Row],[Description]],$Q$1:$S$101,2,FALSE))</f>
        <v/>
      </c>
      <c r="H4129" s="1" t="str">
        <f>IF(Table2[[#This Row],[Description]]="","",VLOOKUP(Table2[[#This Row],[Description]],$Q$1:$S$101,3,FALSE))</f>
        <v/>
      </c>
      <c r="I4129" s="1" t="str">
        <f>IF(Table2[[#This Row],[Description]]="","",IF(Table2[[#This Row],[Currency]]=$O$2,$P$2,HLOOKUP(Table2[[#This Row],[Date]],Funds!$C$10:$GV$11,2,FALSE)))</f>
        <v/>
      </c>
      <c r="J4129" s="215" t="str">
        <f>IF(Table2[[#This Row],[Description]]="","",Table2[[#This Row],[Value]]/Table2[[#This Row],[Conversion]])</f>
        <v/>
      </c>
      <c r="K4129" s="45" t="str">
        <f>IF(Table2[[#This Row],[Description]]="","",DATE(Table2[[#This Row],[Year]],Table2[[#This Row],[Month]],1))</f>
        <v/>
      </c>
    </row>
    <row r="4130" spans="7:11" x14ac:dyDescent="0.25">
      <c r="G4130" s="1" t="str">
        <f>IF(Table2[[#This Row],[Description]]="","",VLOOKUP(Table2[[#This Row],[Description]],$Q$1:$S$101,2,FALSE))</f>
        <v/>
      </c>
      <c r="H4130" s="1" t="str">
        <f>IF(Table2[[#This Row],[Description]]="","",VLOOKUP(Table2[[#This Row],[Description]],$Q$1:$S$101,3,FALSE))</f>
        <v/>
      </c>
      <c r="I4130" s="1" t="str">
        <f>IF(Table2[[#This Row],[Description]]="","",IF(Table2[[#This Row],[Currency]]=$O$2,$P$2,HLOOKUP(Table2[[#This Row],[Date]],Funds!$C$10:$GV$11,2,FALSE)))</f>
        <v/>
      </c>
      <c r="J4130" s="215" t="str">
        <f>IF(Table2[[#This Row],[Description]]="","",Table2[[#This Row],[Value]]/Table2[[#This Row],[Conversion]])</f>
        <v/>
      </c>
      <c r="K4130" s="45" t="str">
        <f>IF(Table2[[#This Row],[Description]]="","",DATE(Table2[[#This Row],[Year]],Table2[[#This Row],[Month]],1))</f>
        <v/>
      </c>
    </row>
    <row r="4131" spans="7:11" x14ac:dyDescent="0.25">
      <c r="G4131" s="1" t="str">
        <f>IF(Table2[[#This Row],[Description]]="","",VLOOKUP(Table2[[#This Row],[Description]],$Q$1:$S$101,2,FALSE))</f>
        <v/>
      </c>
      <c r="H4131" s="1" t="str">
        <f>IF(Table2[[#This Row],[Description]]="","",VLOOKUP(Table2[[#This Row],[Description]],$Q$1:$S$101,3,FALSE))</f>
        <v/>
      </c>
      <c r="I4131" s="1" t="str">
        <f>IF(Table2[[#This Row],[Description]]="","",IF(Table2[[#This Row],[Currency]]=$O$2,$P$2,HLOOKUP(Table2[[#This Row],[Date]],Funds!$C$10:$GV$11,2,FALSE)))</f>
        <v/>
      </c>
      <c r="J4131" s="215" t="str">
        <f>IF(Table2[[#This Row],[Description]]="","",Table2[[#This Row],[Value]]/Table2[[#This Row],[Conversion]])</f>
        <v/>
      </c>
      <c r="K4131" s="45" t="str">
        <f>IF(Table2[[#This Row],[Description]]="","",DATE(Table2[[#This Row],[Year]],Table2[[#This Row],[Month]],1))</f>
        <v/>
      </c>
    </row>
    <row r="4132" spans="7:11" x14ac:dyDescent="0.25">
      <c r="G4132" s="1" t="str">
        <f>IF(Table2[[#This Row],[Description]]="","",VLOOKUP(Table2[[#This Row],[Description]],$Q$1:$S$101,2,FALSE))</f>
        <v/>
      </c>
      <c r="H4132" s="1" t="str">
        <f>IF(Table2[[#This Row],[Description]]="","",VLOOKUP(Table2[[#This Row],[Description]],$Q$1:$S$101,3,FALSE))</f>
        <v/>
      </c>
      <c r="I4132" s="1" t="str">
        <f>IF(Table2[[#This Row],[Description]]="","",IF(Table2[[#This Row],[Currency]]=$O$2,$P$2,HLOOKUP(Table2[[#This Row],[Date]],Funds!$C$10:$GV$11,2,FALSE)))</f>
        <v/>
      </c>
      <c r="J4132" s="215" t="str">
        <f>IF(Table2[[#This Row],[Description]]="","",Table2[[#This Row],[Value]]/Table2[[#This Row],[Conversion]])</f>
        <v/>
      </c>
      <c r="K4132" s="45" t="str">
        <f>IF(Table2[[#This Row],[Description]]="","",DATE(Table2[[#This Row],[Year]],Table2[[#This Row],[Month]],1))</f>
        <v/>
      </c>
    </row>
    <row r="4133" spans="7:11" x14ac:dyDescent="0.25">
      <c r="G4133" s="1" t="str">
        <f>IF(Table2[[#This Row],[Description]]="","",VLOOKUP(Table2[[#This Row],[Description]],$Q$1:$S$101,2,FALSE))</f>
        <v/>
      </c>
      <c r="H4133" s="1" t="str">
        <f>IF(Table2[[#This Row],[Description]]="","",VLOOKUP(Table2[[#This Row],[Description]],$Q$1:$S$101,3,FALSE))</f>
        <v/>
      </c>
      <c r="I4133" s="1" t="str">
        <f>IF(Table2[[#This Row],[Description]]="","",IF(Table2[[#This Row],[Currency]]=$O$2,$P$2,HLOOKUP(Table2[[#This Row],[Date]],Funds!$C$10:$GV$11,2,FALSE)))</f>
        <v/>
      </c>
      <c r="J4133" s="215" t="str">
        <f>IF(Table2[[#This Row],[Description]]="","",Table2[[#This Row],[Value]]/Table2[[#This Row],[Conversion]])</f>
        <v/>
      </c>
      <c r="K4133" s="45" t="str">
        <f>IF(Table2[[#This Row],[Description]]="","",DATE(Table2[[#This Row],[Year]],Table2[[#This Row],[Month]],1))</f>
        <v/>
      </c>
    </row>
    <row r="4134" spans="7:11" x14ac:dyDescent="0.25">
      <c r="G4134" s="1" t="str">
        <f>IF(Table2[[#This Row],[Description]]="","",VLOOKUP(Table2[[#This Row],[Description]],$Q$1:$S$101,2,FALSE))</f>
        <v/>
      </c>
      <c r="H4134" s="1" t="str">
        <f>IF(Table2[[#This Row],[Description]]="","",VLOOKUP(Table2[[#This Row],[Description]],$Q$1:$S$101,3,FALSE))</f>
        <v/>
      </c>
      <c r="I4134" s="1" t="str">
        <f>IF(Table2[[#This Row],[Description]]="","",IF(Table2[[#This Row],[Currency]]=$O$2,$P$2,HLOOKUP(Table2[[#This Row],[Date]],Funds!$C$10:$GV$11,2,FALSE)))</f>
        <v/>
      </c>
      <c r="J4134" s="215" t="str">
        <f>IF(Table2[[#This Row],[Description]]="","",Table2[[#This Row],[Value]]/Table2[[#This Row],[Conversion]])</f>
        <v/>
      </c>
      <c r="K4134" s="45" t="str">
        <f>IF(Table2[[#This Row],[Description]]="","",DATE(Table2[[#This Row],[Year]],Table2[[#This Row],[Month]],1))</f>
        <v/>
      </c>
    </row>
    <row r="4135" spans="7:11" x14ac:dyDescent="0.25">
      <c r="G4135" s="1" t="str">
        <f>IF(Table2[[#This Row],[Description]]="","",VLOOKUP(Table2[[#This Row],[Description]],$Q$1:$S$101,2,FALSE))</f>
        <v/>
      </c>
      <c r="H4135" s="1" t="str">
        <f>IF(Table2[[#This Row],[Description]]="","",VLOOKUP(Table2[[#This Row],[Description]],$Q$1:$S$101,3,FALSE))</f>
        <v/>
      </c>
      <c r="I4135" s="1" t="str">
        <f>IF(Table2[[#This Row],[Description]]="","",IF(Table2[[#This Row],[Currency]]=$O$2,$P$2,HLOOKUP(Table2[[#This Row],[Date]],Funds!$C$10:$GV$11,2,FALSE)))</f>
        <v/>
      </c>
      <c r="J4135" s="215" t="str">
        <f>IF(Table2[[#This Row],[Description]]="","",Table2[[#This Row],[Value]]/Table2[[#This Row],[Conversion]])</f>
        <v/>
      </c>
      <c r="K4135" s="45" t="str">
        <f>IF(Table2[[#This Row],[Description]]="","",DATE(Table2[[#This Row],[Year]],Table2[[#This Row],[Month]],1))</f>
        <v/>
      </c>
    </row>
    <row r="4136" spans="7:11" x14ac:dyDescent="0.25">
      <c r="G4136" s="1" t="str">
        <f>IF(Table2[[#This Row],[Description]]="","",VLOOKUP(Table2[[#This Row],[Description]],$Q$1:$S$101,2,FALSE))</f>
        <v/>
      </c>
      <c r="H4136" s="1" t="str">
        <f>IF(Table2[[#This Row],[Description]]="","",VLOOKUP(Table2[[#This Row],[Description]],$Q$1:$S$101,3,FALSE))</f>
        <v/>
      </c>
      <c r="I4136" s="1" t="str">
        <f>IF(Table2[[#This Row],[Description]]="","",IF(Table2[[#This Row],[Currency]]=$O$2,$P$2,HLOOKUP(Table2[[#This Row],[Date]],Funds!$C$10:$GV$11,2,FALSE)))</f>
        <v/>
      </c>
      <c r="J4136" s="215" t="str">
        <f>IF(Table2[[#This Row],[Description]]="","",Table2[[#This Row],[Value]]/Table2[[#This Row],[Conversion]])</f>
        <v/>
      </c>
      <c r="K4136" s="45" t="str">
        <f>IF(Table2[[#This Row],[Description]]="","",DATE(Table2[[#This Row],[Year]],Table2[[#This Row],[Month]],1))</f>
        <v/>
      </c>
    </row>
    <row r="4137" spans="7:11" x14ac:dyDescent="0.25">
      <c r="G4137" s="1" t="str">
        <f>IF(Table2[[#This Row],[Description]]="","",VLOOKUP(Table2[[#This Row],[Description]],$Q$1:$S$101,2,FALSE))</f>
        <v/>
      </c>
      <c r="H4137" s="1" t="str">
        <f>IF(Table2[[#This Row],[Description]]="","",VLOOKUP(Table2[[#This Row],[Description]],$Q$1:$S$101,3,FALSE))</f>
        <v/>
      </c>
      <c r="I4137" s="1" t="str">
        <f>IF(Table2[[#This Row],[Description]]="","",IF(Table2[[#This Row],[Currency]]=$O$2,$P$2,HLOOKUP(Table2[[#This Row],[Date]],Funds!$C$10:$GV$11,2,FALSE)))</f>
        <v/>
      </c>
      <c r="J4137" s="215" t="str">
        <f>IF(Table2[[#This Row],[Description]]="","",Table2[[#This Row],[Value]]/Table2[[#This Row],[Conversion]])</f>
        <v/>
      </c>
      <c r="K4137" s="45" t="str">
        <f>IF(Table2[[#This Row],[Description]]="","",DATE(Table2[[#This Row],[Year]],Table2[[#This Row],[Month]],1))</f>
        <v/>
      </c>
    </row>
    <row r="4138" spans="7:11" x14ac:dyDescent="0.25">
      <c r="G4138" s="1" t="str">
        <f>IF(Table2[[#This Row],[Description]]="","",VLOOKUP(Table2[[#This Row],[Description]],$Q$1:$S$101,2,FALSE))</f>
        <v/>
      </c>
      <c r="H4138" s="1" t="str">
        <f>IF(Table2[[#This Row],[Description]]="","",VLOOKUP(Table2[[#This Row],[Description]],$Q$1:$S$101,3,FALSE))</f>
        <v/>
      </c>
      <c r="I4138" s="1" t="str">
        <f>IF(Table2[[#This Row],[Description]]="","",IF(Table2[[#This Row],[Currency]]=$O$2,$P$2,HLOOKUP(Table2[[#This Row],[Date]],Funds!$C$10:$GV$11,2,FALSE)))</f>
        <v/>
      </c>
      <c r="J4138" s="215" t="str">
        <f>IF(Table2[[#This Row],[Description]]="","",Table2[[#This Row],[Value]]/Table2[[#This Row],[Conversion]])</f>
        <v/>
      </c>
      <c r="K4138" s="45" t="str">
        <f>IF(Table2[[#This Row],[Description]]="","",DATE(Table2[[#This Row],[Year]],Table2[[#This Row],[Month]],1))</f>
        <v/>
      </c>
    </row>
    <row r="4139" spans="7:11" x14ac:dyDescent="0.25">
      <c r="G4139" s="1" t="str">
        <f>IF(Table2[[#This Row],[Description]]="","",VLOOKUP(Table2[[#This Row],[Description]],$Q$1:$S$101,2,FALSE))</f>
        <v/>
      </c>
      <c r="H4139" s="1" t="str">
        <f>IF(Table2[[#This Row],[Description]]="","",VLOOKUP(Table2[[#This Row],[Description]],$Q$1:$S$101,3,FALSE))</f>
        <v/>
      </c>
      <c r="I4139" s="1" t="str">
        <f>IF(Table2[[#This Row],[Description]]="","",IF(Table2[[#This Row],[Currency]]=$O$2,$P$2,HLOOKUP(Table2[[#This Row],[Date]],Funds!$C$10:$GV$11,2,FALSE)))</f>
        <v/>
      </c>
      <c r="J4139" s="215" t="str">
        <f>IF(Table2[[#This Row],[Description]]="","",Table2[[#This Row],[Value]]/Table2[[#This Row],[Conversion]])</f>
        <v/>
      </c>
      <c r="K4139" s="45" t="str">
        <f>IF(Table2[[#This Row],[Description]]="","",DATE(Table2[[#This Row],[Year]],Table2[[#This Row],[Month]],1))</f>
        <v/>
      </c>
    </row>
    <row r="4140" spans="7:11" x14ac:dyDescent="0.25">
      <c r="G4140" s="1" t="str">
        <f>IF(Table2[[#This Row],[Description]]="","",VLOOKUP(Table2[[#This Row],[Description]],$Q$1:$S$101,2,FALSE))</f>
        <v/>
      </c>
      <c r="H4140" s="1" t="str">
        <f>IF(Table2[[#This Row],[Description]]="","",VLOOKUP(Table2[[#This Row],[Description]],$Q$1:$S$101,3,FALSE))</f>
        <v/>
      </c>
      <c r="I4140" s="1" t="str">
        <f>IF(Table2[[#This Row],[Description]]="","",IF(Table2[[#This Row],[Currency]]=$O$2,$P$2,HLOOKUP(Table2[[#This Row],[Date]],Funds!$C$10:$GV$11,2,FALSE)))</f>
        <v/>
      </c>
      <c r="J4140" s="215" t="str">
        <f>IF(Table2[[#This Row],[Description]]="","",Table2[[#This Row],[Value]]/Table2[[#This Row],[Conversion]])</f>
        <v/>
      </c>
      <c r="K4140" s="45" t="str">
        <f>IF(Table2[[#This Row],[Description]]="","",DATE(Table2[[#This Row],[Year]],Table2[[#This Row],[Month]],1))</f>
        <v/>
      </c>
    </row>
    <row r="4141" spans="7:11" x14ac:dyDescent="0.25">
      <c r="G4141" s="1" t="str">
        <f>IF(Table2[[#This Row],[Description]]="","",VLOOKUP(Table2[[#This Row],[Description]],$Q$1:$S$101,2,FALSE))</f>
        <v/>
      </c>
      <c r="H4141" s="1" t="str">
        <f>IF(Table2[[#This Row],[Description]]="","",VLOOKUP(Table2[[#This Row],[Description]],$Q$1:$S$101,3,FALSE))</f>
        <v/>
      </c>
      <c r="I4141" s="1" t="str">
        <f>IF(Table2[[#This Row],[Description]]="","",IF(Table2[[#This Row],[Currency]]=$O$2,$P$2,HLOOKUP(Table2[[#This Row],[Date]],Funds!$C$10:$GV$11,2,FALSE)))</f>
        <v/>
      </c>
      <c r="J4141" s="215" t="str">
        <f>IF(Table2[[#This Row],[Description]]="","",Table2[[#This Row],[Value]]/Table2[[#This Row],[Conversion]])</f>
        <v/>
      </c>
      <c r="K4141" s="45" t="str">
        <f>IF(Table2[[#This Row],[Description]]="","",DATE(Table2[[#This Row],[Year]],Table2[[#This Row],[Month]],1))</f>
        <v/>
      </c>
    </row>
    <row r="4142" spans="7:11" x14ac:dyDescent="0.25">
      <c r="G4142" s="1" t="str">
        <f>IF(Table2[[#This Row],[Description]]="","",VLOOKUP(Table2[[#This Row],[Description]],$Q$1:$S$101,2,FALSE))</f>
        <v/>
      </c>
      <c r="H4142" s="1" t="str">
        <f>IF(Table2[[#This Row],[Description]]="","",VLOOKUP(Table2[[#This Row],[Description]],$Q$1:$S$101,3,FALSE))</f>
        <v/>
      </c>
      <c r="I4142" s="1" t="str">
        <f>IF(Table2[[#This Row],[Description]]="","",IF(Table2[[#This Row],[Currency]]=$O$2,$P$2,HLOOKUP(Table2[[#This Row],[Date]],Funds!$C$10:$GV$11,2,FALSE)))</f>
        <v/>
      </c>
      <c r="J4142" s="215" t="str">
        <f>IF(Table2[[#This Row],[Description]]="","",Table2[[#This Row],[Value]]/Table2[[#This Row],[Conversion]])</f>
        <v/>
      </c>
      <c r="K4142" s="45" t="str">
        <f>IF(Table2[[#This Row],[Description]]="","",DATE(Table2[[#This Row],[Year]],Table2[[#This Row],[Month]],1))</f>
        <v/>
      </c>
    </row>
    <row r="4143" spans="7:11" x14ac:dyDescent="0.25">
      <c r="G4143" s="1" t="str">
        <f>IF(Table2[[#This Row],[Description]]="","",VLOOKUP(Table2[[#This Row],[Description]],$Q$1:$S$101,2,FALSE))</f>
        <v/>
      </c>
      <c r="H4143" s="1" t="str">
        <f>IF(Table2[[#This Row],[Description]]="","",VLOOKUP(Table2[[#This Row],[Description]],$Q$1:$S$101,3,FALSE))</f>
        <v/>
      </c>
      <c r="I4143" s="1" t="str">
        <f>IF(Table2[[#This Row],[Description]]="","",IF(Table2[[#This Row],[Currency]]=$O$2,$P$2,HLOOKUP(Table2[[#This Row],[Date]],Funds!$C$10:$GV$11,2,FALSE)))</f>
        <v/>
      </c>
      <c r="J4143" s="215" t="str">
        <f>IF(Table2[[#This Row],[Description]]="","",Table2[[#This Row],[Value]]/Table2[[#This Row],[Conversion]])</f>
        <v/>
      </c>
      <c r="K4143" s="45" t="str">
        <f>IF(Table2[[#This Row],[Description]]="","",DATE(Table2[[#This Row],[Year]],Table2[[#This Row],[Month]],1))</f>
        <v/>
      </c>
    </row>
    <row r="4144" spans="7:11" x14ac:dyDescent="0.25">
      <c r="G4144" s="1" t="str">
        <f>IF(Table2[[#This Row],[Description]]="","",VLOOKUP(Table2[[#This Row],[Description]],$Q$1:$S$101,2,FALSE))</f>
        <v/>
      </c>
      <c r="H4144" s="1" t="str">
        <f>IF(Table2[[#This Row],[Description]]="","",VLOOKUP(Table2[[#This Row],[Description]],$Q$1:$S$101,3,FALSE))</f>
        <v/>
      </c>
      <c r="I4144" s="1" t="str">
        <f>IF(Table2[[#This Row],[Description]]="","",IF(Table2[[#This Row],[Currency]]=$O$2,$P$2,HLOOKUP(Table2[[#This Row],[Date]],Funds!$C$10:$GV$11,2,FALSE)))</f>
        <v/>
      </c>
      <c r="J4144" s="215" t="str">
        <f>IF(Table2[[#This Row],[Description]]="","",Table2[[#This Row],[Value]]/Table2[[#This Row],[Conversion]])</f>
        <v/>
      </c>
      <c r="K4144" s="45" t="str">
        <f>IF(Table2[[#This Row],[Description]]="","",DATE(Table2[[#This Row],[Year]],Table2[[#This Row],[Month]],1))</f>
        <v/>
      </c>
    </row>
    <row r="4145" spans="7:11" x14ac:dyDescent="0.25">
      <c r="G4145" s="1" t="str">
        <f>IF(Table2[[#This Row],[Description]]="","",VLOOKUP(Table2[[#This Row],[Description]],$Q$1:$S$101,2,FALSE))</f>
        <v/>
      </c>
      <c r="H4145" s="1" t="str">
        <f>IF(Table2[[#This Row],[Description]]="","",VLOOKUP(Table2[[#This Row],[Description]],$Q$1:$S$101,3,FALSE))</f>
        <v/>
      </c>
      <c r="I4145" s="1" t="str">
        <f>IF(Table2[[#This Row],[Description]]="","",IF(Table2[[#This Row],[Currency]]=$O$2,$P$2,HLOOKUP(Table2[[#This Row],[Date]],Funds!$C$10:$GV$11,2,FALSE)))</f>
        <v/>
      </c>
      <c r="J4145" s="215" t="str">
        <f>IF(Table2[[#This Row],[Description]]="","",Table2[[#This Row],[Value]]/Table2[[#This Row],[Conversion]])</f>
        <v/>
      </c>
      <c r="K4145" s="45" t="str">
        <f>IF(Table2[[#This Row],[Description]]="","",DATE(Table2[[#This Row],[Year]],Table2[[#This Row],[Month]],1))</f>
        <v/>
      </c>
    </row>
    <row r="4146" spans="7:11" x14ac:dyDescent="0.25">
      <c r="G4146" s="1" t="str">
        <f>IF(Table2[[#This Row],[Description]]="","",VLOOKUP(Table2[[#This Row],[Description]],$Q$1:$S$101,2,FALSE))</f>
        <v/>
      </c>
      <c r="H4146" s="1" t="str">
        <f>IF(Table2[[#This Row],[Description]]="","",VLOOKUP(Table2[[#This Row],[Description]],$Q$1:$S$101,3,FALSE))</f>
        <v/>
      </c>
      <c r="I4146" s="1" t="str">
        <f>IF(Table2[[#This Row],[Description]]="","",IF(Table2[[#This Row],[Currency]]=$O$2,$P$2,HLOOKUP(Table2[[#This Row],[Date]],Funds!$C$10:$GV$11,2,FALSE)))</f>
        <v/>
      </c>
      <c r="J4146" s="215" t="str">
        <f>IF(Table2[[#This Row],[Description]]="","",Table2[[#This Row],[Value]]/Table2[[#This Row],[Conversion]])</f>
        <v/>
      </c>
      <c r="K4146" s="45" t="str">
        <f>IF(Table2[[#This Row],[Description]]="","",DATE(Table2[[#This Row],[Year]],Table2[[#This Row],[Month]],1))</f>
        <v/>
      </c>
    </row>
    <row r="4147" spans="7:11" x14ac:dyDescent="0.25">
      <c r="G4147" s="1" t="str">
        <f>IF(Table2[[#This Row],[Description]]="","",VLOOKUP(Table2[[#This Row],[Description]],$Q$1:$S$101,2,FALSE))</f>
        <v/>
      </c>
      <c r="H4147" s="1" t="str">
        <f>IF(Table2[[#This Row],[Description]]="","",VLOOKUP(Table2[[#This Row],[Description]],$Q$1:$S$101,3,FALSE))</f>
        <v/>
      </c>
      <c r="I4147" s="1" t="str">
        <f>IF(Table2[[#This Row],[Description]]="","",IF(Table2[[#This Row],[Currency]]=$O$2,$P$2,HLOOKUP(Table2[[#This Row],[Date]],Funds!$C$10:$GV$11,2,FALSE)))</f>
        <v/>
      </c>
      <c r="J4147" s="215" t="str">
        <f>IF(Table2[[#This Row],[Description]]="","",Table2[[#This Row],[Value]]/Table2[[#This Row],[Conversion]])</f>
        <v/>
      </c>
      <c r="K4147" s="45" t="str">
        <f>IF(Table2[[#This Row],[Description]]="","",DATE(Table2[[#This Row],[Year]],Table2[[#This Row],[Month]],1))</f>
        <v/>
      </c>
    </row>
    <row r="4148" spans="7:11" x14ac:dyDescent="0.25">
      <c r="G4148" s="1" t="str">
        <f>IF(Table2[[#This Row],[Description]]="","",VLOOKUP(Table2[[#This Row],[Description]],$Q$1:$S$101,2,FALSE))</f>
        <v/>
      </c>
      <c r="H4148" s="1" t="str">
        <f>IF(Table2[[#This Row],[Description]]="","",VLOOKUP(Table2[[#This Row],[Description]],$Q$1:$S$101,3,FALSE))</f>
        <v/>
      </c>
      <c r="I4148" s="1" t="str">
        <f>IF(Table2[[#This Row],[Description]]="","",IF(Table2[[#This Row],[Currency]]=$O$2,$P$2,HLOOKUP(Table2[[#This Row],[Date]],Funds!$C$10:$GV$11,2,FALSE)))</f>
        <v/>
      </c>
      <c r="J4148" s="215" t="str">
        <f>IF(Table2[[#This Row],[Description]]="","",Table2[[#This Row],[Value]]/Table2[[#This Row],[Conversion]])</f>
        <v/>
      </c>
      <c r="K4148" s="45" t="str">
        <f>IF(Table2[[#This Row],[Description]]="","",DATE(Table2[[#This Row],[Year]],Table2[[#This Row],[Month]],1))</f>
        <v/>
      </c>
    </row>
    <row r="4149" spans="7:11" x14ac:dyDescent="0.25">
      <c r="G4149" s="1" t="str">
        <f>IF(Table2[[#This Row],[Description]]="","",VLOOKUP(Table2[[#This Row],[Description]],$Q$1:$S$101,2,FALSE))</f>
        <v/>
      </c>
      <c r="H4149" s="1" t="str">
        <f>IF(Table2[[#This Row],[Description]]="","",VLOOKUP(Table2[[#This Row],[Description]],$Q$1:$S$101,3,FALSE))</f>
        <v/>
      </c>
      <c r="I4149" s="1" t="str">
        <f>IF(Table2[[#This Row],[Description]]="","",IF(Table2[[#This Row],[Currency]]=$O$2,$P$2,HLOOKUP(Table2[[#This Row],[Date]],Funds!$C$10:$GV$11,2,FALSE)))</f>
        <v/>
      </c>
      <c r="J4149" s="215" t="str">
        <f>IF(Table2[[#This Row],[Description]]="","",Table2[[#This Row],[Value]]/Table2[[#This Row],[Conversion]])</f>
        <v/>
      </c>
      <c r="K4149" s="45" t="str">
        <f>IF(Table2[[#This Row],[Description]]="","",DATE(Table2[[#This Row],[Year]],Table2[[#This Row],[Month]],1))</f>
        <v/>
      </c>
    </row>
    <row r="4150" spans="7:11" x14ac:dyDescent="0.25">
      <c r="G4150" s="1" t="str">
        <f>IF(Table2[[#This Row],[Description]]="","",VLOOKUP(Table2[[#This Row],[Description]],$Q$1:$S$101,2,FALSE))</f>
        <v/>
      </c>
      <c r="H4150" s="1" t="str">
        <f>IF(Table2[[#This Row],[Description]]="","",VLOOKUP(Table2[[#This Row],[Description]],$Q$1:$S$101,3,FALSE))</f>
        <v/>
      </c>
      <c r="I4150" s="1" t="str">
        <f>IF(Table2[[#This Row],[Description]]="","",IF(Table2[[#This Row],[Currency]]=$O$2,$P$2,HLOOKUP(Table2[[#This Row],[Date]],Funds!$C$10:$GV$11,2,FALSE)))</f>
        <v/>
      </c>
      <c r="J4150" s="215" t="str">
        <f>IF(Table2[[#This Row],[Description]]="","",Table2[[#This Row],[Value]]/Table2[[#This Row],[Conversion]])</f>
        <v/>
      </c>
      <c r="K4150" s="45" t="str">
        <f>IF(Table2[[#This Row],[Description]]="","",DATE(Table2[[#This Row],[Year]],Table2[[#This Row],[Month]],1))</f>
        <v/>
      </c>
    </row>
    <row r="4151" spans="7:11" x14ac:dyDescent="0.25">
      <c r="G4151" s="1" t="str">
        <f>IF(Table2[[#This Row],[Description]]="","",VLOOKUP(Table2[[#This Row],[Description]],$Q$1:$S$101,2,FALSE))</f>
        <v/>
      </c>
      <c r="H4151" s="1" t="str">
        <f>IF(Table2[[#This Row],[Description]]="","",VLOOKUP(Table2[[#This Row],[Description]],$Q$1:$S$101,3,FALSE))</f>
        <v/>
      </c>
      <c r="I4151" s="1" t="str">
        <f>IF(Table2[[#This Row],[Description]]="","",IF(Table2[[#This Row],[Currency]]=$O$2,$P$2,HLOOKUP(Table2[[#This Row],[Date]],Funds!$C$10:$GV$11,2,FALSE)))</f>
        <v/>
      </c>
      <c r="J4151" s="215" t="str">
        <f>IF(Table2[[#This Row],[Description]]="","",Table2[[#This Row],[Value]]/Table2[[#This Row],[Conversion]])</f>
        <v/>
      </c>
      <c r="K4151" s="45" t="str">
        <f>IF(Table2[[#This Row],[Description]]="","",DATE(Table2[[#This Row],[Year]],Table2[[#This Row],[Month]],1))</f>
        <v/>
      </c>
    </row>
    <row r="4152" spans="7:11" x14ac:dyDescent="0.25">
      <c r="G4152" s="1" t="str">
        <f>IF(Table2[[#This Row],[Description]]="","",VLOOKUP(Table2[[#This Row],[Description]],$Q$1:$S$101,2,FALSE))</f>
        <v/>
      </c>
      <c r="H4152" s="1" t="str">
        <f>IF(Table2[[#This Row],[Description]]="","",VLOOKUP(Table2[[#This Row],[Description]],$Q$1:$S$101,3,FALSE))</f>
        <v/>
      </c>
      <c r="I4152" s="1" t="str">
        <f>IF(Table2[[#This Row],[Description]]="","",IF(Table2[[#This Row],[Currency]]=$O$2,$P$2,HLOOKUP(Table2[[#This Row],[Date]],Funds!$C$10:$GV$11,2,FALSE)))</f>
        <v/>
      </c>
      <c r="J4152" s="215" t="str">
        <f>IF(Table2[[#This Row],[Description]]="","",Table2[[#This Row],[Value]]/Table2[[#This Row],[Conversion]])</f>
        <v/>
      </c>
      <c r="K4152" s="45" t="str">
        <f>IF(Table2[[#This Row],[Description]]="","",DATE(Table2[[#This Row],[Year]],Table2[[#This Row],[Month]],1))</f>
        <v/>
      </c>
    </row>
    <row r="4153" spans="7:11" x14ac:dyDescent="0.25">
      <c r="G4153" s="1" t="str">
        <f>IF(Table2[[#This Row],[Description]]="","",VLOOKUP(Table2[[#This Row],[Description]],$Q$1:$S$101,2,FALSE))</f>
        <v/>
      </c>
      <c r="H4153" s="1" t="str">
        <f>IF(Table2[[#This Row],[Description]]="","",VLOOKUP(Table2[[#This Row],[Description]],$Q$1:$S$101,3,FALSE))</f>
        <v/>
      </c>
      <c r="I4153" s="1" t="str">
        <f>IF(Table2[[#This Row],[Description]]="","",IF(Table2[[#This Row],[Currency]]=$O$2,$P$2,HLOOKUP(Table2[[#This Row],[Date]],Funds!$C$10:$GV$11,2,FALSE)))</f>
        <v/>
      </c>
      <c r="J4153" s="215" t="str">
        <f>IF(Table2[[#This Row],[Description]]="","",Table2[[#This Row],[Value]]/Table2[[#This Row],[Conversion]])</f>
        <v/>
      </c>
      <c r="K4153" s="45" t="str">
        <f>IF(Table2[[#This Row],[Description]]="","",DATE(Table2[[#This Row],[Year]],Table2[[#This Row],[Month]],1))</f>
        <v/>
      </c>
    </row>
    <row r="4154" spans="7:11" x14ac:dyDescent="0.25">
      <c r="G4154" s="1" t="str">
        <f>IF(Table2[[#This Row],[Description]]="","",VLOOKUP(Table2[[#This Row],[Description]],$Q$1:$S$101,2,FALSE))</f>
        <v/>
      </c>
      <c r="H4154" s="1" t="str">
        <f>IF(Table2[[#This Row],[Description]]="","",VLOOKUP(Table2[[#This Row],[Description]],$Q$1:$S$101,3,FALSE))</f>
        <v/>
      </c>
      <c r="I4154" s="1" t="str">
        <f>IF(Table2[[#This Row],[Description]]="","",IF(Table2[[#This Row],[Currency]]=$O$2,$P$2,HLOOKUP(Table2[[#This Row],[Date]],Funds!$C$10:$GV$11,2,FALSE)))</f>
        <v/>
      </c>
      <c r="J4154" s="215" t="str">
        <f>IF(Table2[[#This Row],[Description]]="","",Table2[[#This Row],[Value]]/Table2[[#This Row],[Conversion]])</f>
        <v/>
      </c>
      <c r="K4154" s="45" t="str">
        <f>IF(Table2[[#This Row],[Description]]="","",DATE(Table2[[#This Row],[Year]],Table2[[#This Row],[Month]],1))</f>
        <v/>
      </c>
    </row>
    <row r="4155" spans="7:11" x14ac:dyDescent="0.25">
      <c r="G4155" s="1" t="str">
        <f>IF(Table2[[#This Row],[Description]]="","",VLOOKUP(Table2[[#This Row],[Description]],$Q$1:$S$101,2,FALSE))</f>
        <v/>
      </c>
      <c r="H4155" s="1" t="str">
        <f>IF(Table2[[#This Row],[Description]]="","",VLOOKUP(Table2[[#This Row],[Description]],$Q$1:$S$101,3,FALSE))</f>
        <v/>
      </c>
      <c r="I4155" s="1" t="str">
        <f>IF(Table2[[#This Row],[Description]]="","",IF(Table2[[#This Row],[Currency]]=$O$2,$P$2,HLOOKUP(Table2[[#This Row],[Date]],Funds!$C$10:$GV$11,2,FALSE)))</f>
        <v/>
      </c>
      <c r="J4155" s="215" t="str">
        <f>IF(Table2[[#This Row],[Description]]="","",Table2[[#This Row],[Value]]/Table2[[#This Row],[Conversion]])</f>
        <v/>
      </c>
      <c r="K4155" s="45" t="str">
        <f>IF(Table2[[#This Row],[Description]]="","",DATE(Table2[[#This Row],[Year]],Table2[[#This Row],[Month]],1))</f>
        <v/>
      </c>
    </row>
    <row r="4156" spans="7:11" x14ac:dyDescent="0.25">
      <c r="G4156" s="1" t="str">
        <f>IF(Table2[[#This Row],[Description]]="","",VLOOKUP(Table2[[#This Row],[Description]],$Q$1:$S$101,2,FALSE))</f>
        <v/>
      </c>
      <c r="H4156" s="1" t="str">
        <f>IF(Table2[[#This Row],[Description]]="","",VLOOKUP(Table2[[#This Row],[Description]],$Q$1:$S$101,3,FALSE))</f>
        <v/>
      </c>
      <c r="I4156" s="1" t="str">
        <f>IF(Table2[[#This Row],[Description]]="","",IF(Table2[[#This Row],[Currency]]=$O$2,$P$2,HLOOKUP(Table2[[#This Row],[Date]],Funds!$C$10:$GV$11,2,FALSE)))</f>
        <v/>
      </c>
      <c r="J4156" s="215" t="str">
        <f>IF(Table2[[#This Row],[Description]]="","",Table2[[#This Row],[Value]]/Table2[[#This Row],[Conversion]])</f>
        <v/>
      </c>
      <c r="K4156" s="45" t="str">
        <f>IF(Table2[[#This Row],[Description]]="","",DATE(Table2[[#This Row],[Year]],Table2[[#This Row],[Month]],1))</f>
        <v/>
      </c>
    </row>
    <row r="4157" spans="7:11" x14ac:dyDescent="0.25">
      <c r="G4157" s="1" t="str">
        <f>IF(Table2[[#This Row],[Description]]="","",VLOOKUP(Table2[[#This Row],[Description]],$Q$1:$S$101,2,FALSE))</f>
        <v/>
      </c>
      <c r="H4157" s="1" t="str">
        <f>IF(Table2[[#This Row],[Description]]="","",VLOOKUP(Table2[[#This Row],[Description]],$Q$1:$S$101,3,FALSE))</f>
        <v/>
      </c>
      <c r="I4157" s="1" t="str">
        <f>IF(Table2[[#This Row],[Description]]="","",IF(Table2[[#This Row],[Currency]]=$O$2,$P$2,HLOOKUP(Table2[[#This Row],[Date]],Funds!$C$10:$GV$11,2,FALSE)))</f>
        <v/>
      </c>
      <c r="J4157" s="215" t="str">
        <f>IF(Table2[[#This Row],[Description]]="","",Table2[[#This Row],[Value]]/Table2[[#This Row],[Conversion]])</f>
        <v/>
      </c>
      <c r="K4157" s="45" t="str">
        <f>IF(Table2[[#This Row],[Description]]="","",DATE(Table2[[#This Row],[Year]],Table2[[#This Row],[Month]],1))</f>
        <v/>
      </c>
    </row>
    <row r="4158" spans="7:11" x14ac:dyDescent="0.25">
      <c r="G4158" s="1" t="str">
        <f>IF(Table2[[#This Row],[Description]]="","",VLOOKUP(Table2[[#This Row],[Description]],$Q$1:$S$101,2,FALSE))</f>
        <v/>
      </c>
      <c r="H4158" s="1" t="str">
        <f>IF(Table2[[#This Row],[Description]]="","",VLOOKUP(Table2[[#This Row],[Description]],$Q$1:$S$101,3,FALSE))</f>
        <v/>
      </c>
      <c r="I4158" s="1" t="str">
        <f>IF(Table2[[#This Row],[Description]]="","",IF(Table2[[#This Row],[Currency]]=$O$2,$P$2,HLOOKUP(Table2[[#This Row],[Date]],Funds!$C$10:$GV$11,2,FALSE)))</f>
        <v/>
      </c>
      <c r="J4158" s="215" t="str">
        <f>IF(Table2[[#This Row],[Description]]="","",Table2[[#This Row],[Value]]/Table2[[#This Row],[Conversion]])</f>
        <v/>
      </c>
      <c r="K4158" s="45" t="str">
        <f>IF(Table2[[#This Row],[Description]]="","",DATE(Table2[[#This Row],[Year]],Table2[[#This Row],[Month]],1))</f>
        <v/>
      </c>
    </row>
    <row r="4159" spans="7:11" x14ac:dyDescent="0.25">
      <c r="G4159" s="1" t="str">
        <f>IF(Table2[[#This Row],[Description]]="","",VLOOKUP(Table2[[#This Row],[Description]],$Q$1:$S$101,2,FALSE))</f>
        <v/>
      </c>
      <c r="H4159" s="1" t="str">
        <f>IF(Table2[[#This Row],[Description]]="","",VLOOKUP(Table2[[#This Row],[Description]],$Q$1:$S$101,3,FALSE))</f>
        <v/>
      </c>
      <c r="I4159" s="1" t="str">
        <f>IF(Table2[[#This Row],[Description]]="","",IF(Table2[[#This Row],[Currency]]=$O$2,$P$2,HLOOKUP(Table2[[#This Row],[Date]],Funds!$C$10:$GV$11,2,FALSE)))</f>
        <v/>
      </c>
      <c r="J4159" s="215" t="str">
        <f>IF(Table2[[#This Row],[Description]]="","",Table2[[#This Row],[Value]]/Table2[[#This Row],[Conversion]])</f>
        <v/>
      </c>
      <c r="K4159" s="45" t="str">
        <f>IF(Table2[[#This Row],[Description]]="","",DATE(Table2[[#This Row],[Year]],Table2[[#This Row],[Month]],1))</f>
        <v/>
      </c>
    </row>
    <row r="4160" spans="7:11" x14ac:dyDescent="0.25">
      <c r="G4160" s="1" t="str">
        <f>IF(Table2[[#This Row],[Description]]="","",VLOOKUP(Table2[[#This Row],[Description]],$Q$1:$S$101,2,FALSE))</f>
        <v/>
      </c>
      <c r="H4160" s="1" t="str">
        <f>IF(Table2[[#This Row],[Description]]="","",VLOOKUP(Table2[[#This Row],[Description]],$Q$1:$S$101,3,FALSE))</f>
        <v/>
      </c>
      <c r="I4160" s="1" t="str">
        <f>IF(Table2[[#This Row],[Description]]="","",IF(Table2[[#This Row],[Currency]]=$O$2,$P$2,HLOOKUP(Table2[[#This Row],[Date]],Funds!$C$10:$GV$11,2,FALSE)))</f>
        <v/>
      </c>
      <c r="J4160" s="215" t="str">
        <f>IF(Table2[[#This Row],[Description]]="","",Table2[[#This Row],[Value]]/Table2[[#This Row],[Conversion]])</f>
        <v/>
      </c>
      <c r="K4160" s="45" t="str">
        <f>IF(Table2[[#This Row],[Description]]="","",DATE(Table2[[#This Row],[Year]],Table2[[#This Row],[Month]],1))</f>
        <v/>
      </c>
    </row>
    <row r="4161" spans="7:11" x14ac:dyDescent="0.25">
      <c r="G4161" s="1" t="str">
        <f>IF(Table2[[#This Row],[Description]]="","",VLOOKUP(Table2[[#This Row],[Description]],$Q$1:$S$101,2,FALSE))</f>
        <v/>
      </c>
      <c r="H4161" s="1" t="str">
        <f>IF(Table2[[#This Row],[Description]]="","",VLOOKUP(Table2[[#This Row],[Description]],$Q$1:$S$101,3,FALSE))</f>
        <v/>
      </c>
      <c r="I4161" s="1" t="str">
        <f>IF(Table2[[#This Row],[Description]]="","",IF(Table2[[#This Row],[Currency]]=$O$2,$P$2,HLOOKUP(Table2[[#This Row],[Date]],Funds!$C$10:$GV$11,2,FALSE)))</f>
        <v/>
      </c>
      <c r="J4161" s="215" t="str">
        <f>IF(Table2[[#This Row],[Description]]="","",Table2[[#This Row],[Value]]/Table2[[#This Row],[Conversion]])</f>
        <v/>
      </c>
      <c r="K4161" s="45" t="str">
        <f>IF(Table2[[#This Row],[Description]]="","",DATE(Table2[[#This Row],[Year]],Table2[[#This Row],[Month]],1))</f>
        <v/>
      </c>
    </row>
    <row r="4162" spans="7:11" x14ac:dyDescent="0.25">
      <c r="G4162" s="1" t="str">
        <f>IF(Table2[[#This Row],[Description]]="","",VLOOKUP(Table2[[#This Row],[Description]],$Q$1:$S$101,2,FALSE))</f>
        <v/>
      </c>
      <c r="H4162" s="1" t="str">
        <f>IF(Table2[[#This Row],[Description]]="","",VLOOKUP(Table2[[#This Row],[Description]],$Q$1:$S$101,3,FALSE))</f>
        <v/>
      </c>
      <c r="I4162" s="1" t="str">
        <f>IF(Table2[[#This Row],[Description]]="","",IF(Table2[[#This Row],[Currency]]=$O$2,$P$2,HLOOKUP(Table2[[#This Row],[Date]],Funds!$C$10:$GV$11,2,FALSE)))</f>
        <v/>
      </c>
      <c r="J4162" s="215" t="str">
        <f>IF(Table2[[#This Row],[Description]]="","",Table2[[#This Row],[Value]]/Table2[[#This Row],[Conversion]])</f>
        <v/>
      </c>
      <c r="K4162" s="45" t="str">
        <f>IF(Table2[[#This Row],[Description]]="","",DATE(Table2[[#This Row],[Year]],Table2[[#This Row],[Month]],1))</f>
        <v/>
      </c>
    </row>
    <row r="4163" spans="7:11" x14ac:dyDescent="0.25">
      <c r="G4163" s="1" t="str">
        <f>IF(Table2[[#This Row],[Description]]="","",VLOOKUP(Table2[[#This Row],[Description]],$Q$1:$S$101,2,FALSE))</f>
        <v/>
      </c>
      <c r="H4163" s="1" t="str">
        <f>IF(Table2[[#This Row],[Description]]="","",VLOOKUP(Table2[[#This Row],[Description]],$Q$1:$S$101,3,FALSE))</f>
        <v/>
      </c>
      <c r="I4163" s="1" t="str">
        <f>IF(Table2[[#This Row],[Description]]="","",IF(Table2[[#This Row],[Currency]]=$O$2,$P$2,HLOOKUP(Table2[[#This Row],[Date]],Funds!$C$10:$GV$11,2,FALSE)))</f>
        <v/>
      </c>
      <c r="J4163" s="215" t="str">
        <f>IF(Table2[[#This Row],[Description]]="","",Table2[[#This Row],[Value]]/Table2[[#This Row],[Conversion]])</f>
        <v/>
      </c>
      <c r="K4163" s="45" t="str">
        <f>IF(Table2[[#This Row],[Description]]="","",DATE(Table2[[#This Row],[Year]],Table2[[#This Row],[Month]],1))</f>
        <v/>
      </c>
    </row>
    <row r="4164" spans="7:11" x14ac:dyDescent="0.25">
      <c r="G4164" s="1" t="str">
        <f>IF(Table2[[#This Row],[Description]]="","",VLOOKUP(Table2[[#This Row],[Description]],$Q$1:$S$101,2,FALSE))</f>
        <v/>
      </c>
      <c r="H4164" s="1" t="str">
        <f>IF(Table2[[#This Row],[Description]]="","",VLOOKUP(Table2[[#This Row],[Description]],$Q$1:$S$101,3,FALSE))</f>
        <v/>
      </c>
      <c r="I4164" s="1" t="str">
        <f>IF(Table2[[#This Row],[Description]]="","",IF(Table2[[#This Row],[Currency]]=$O$2,$P$2,HLOOKUP(Table2[[#This Row],[Date]],Funds!$C$10:$GV$11,2,FALSE)))</f>
        <v/>
      </c>
      <c r="J4164" s="215" t="str">
        <f>IF(Table2[[#This Row],[Description]]="","",Table2[[#This Row],[Value]]/Table2[[#This Row],[Conversion]])</f>
        <v/>
      </c>
      <c r="K4164" s="45" t="str">
        <f>IF(Table2[[#This Row],[Description]]="","",DATE(Table2[[#This Row],[Year]],Table2[[#This Row],[Month]],1))</f>
        <v/>
      </c>
    </row>
    <row r="4165" spans="7:11" x14ac:dyDescent="0.25">
      <c r="G4165" s="1" t="str">
        <f>IF(Table2[[#This Row],[Description]]="","",VLOOKUP(Table2[[#This Row],[Description]],$Q$1:$S$101,2,FALSE))</f>
        <v/>
      </c>
      <c r="H4165" s="1" t="str">
        <f>IF(Table2[[#This Row],[Description]]="","",VLOOKUP(Table2[[#This Row],[Description]],$Q$1:$S$101,3,FALSE))</f>
        <v/>
      </c>
      <c r="I4165" s="1" t="str">
        <f>IF(Table2[[#This Row],[Description]]="","",IF(Table2[[#This Row],[Currency]]=$O$2,$P$2,HLOOKUP(Table2[[#This Row],[Date]],Funds!$C$10:$GV$11,2,FALSE)))</f>
        <v/>
      </c>
      <c r="J4165" s="215" t="str">
        <f>IF(Table2[[#This Row],[Description]]="","",Table2[[#This Row],[Value]]/Table2[[#This Row],[Conversion]])</f>
        <v/>
      </c>
      <c r="K4165" s="45" t="str">
        <f>IF(Table2[[#This Row],[Description]]="","",DATE(Table2[[#This Row],[Year]],Table2[[#This Row],[Month]],1))</f>
        <v/>
      </c>
    </row>
    <row r="4166" spans="7:11" x14ac:dyDescent="0.25">
      <c r="G4166" s="1" t="str">
        <f>IF(Table2[[#This Row],[Description]]="","",VLOOKUP(Table2[[#This Row],[Description]],$Q$1:$S$101,2,FALSE))</f>
        <v/>
      </c>
      <c r="H4166" s="1" t="str">
        <f>IF(Table2[[#This Row],[Description]]="","",VLOOKUP(Table2[[#This Row],[Description]],$Q$1:$S$101,3,FALSE))</f>
        <v/>
      </c>
      <c r="I4166" s="1" t="str">
        <f>IF(Table2[[#This Row],[Description]]="","",IF(Table2[[#This Row],[Currency]]=$O$2,$P$2,HLOOKUP(Table2[[#This Row],[Date]],Funds!$C$10:$GV$11,2,FALSE)))</f>
        <v/>
      </c>
      <c r="J4166" s="215" t="str">
        <f>IF(Table2[[#This Row],[Description]]="","",Table2[[#This Row],[Value]]/Table2[[#This Row],[Conversion]])</f>
        <v/>
      </c>
      <c r="K4166" s="45" t="str">
        <f>IF(Table2[[#This Row],[Description]]="","",DATE(Table2[[#This Row],[Year]],Table2[[#This Row],[Month]],1))</f>
        <v/>
      </c>
    </row>
    <row r="4167" spans="7:11" x14ac:dyDescent="0.25">
      <c r="G4167" s="1" t="str">
        <f>IF(Table2[[#This Row],[Description]]="","",VLOOKUP(Table2[[#This Row],[Description]],$Q$1:$S$101,2,FALSE))</f>
        <v/>
      </c>
      <c r="H4167" s="1" t="str">
        <f>IF(Table2[[#This Row],[Description]]="","",VLOOKUP(Table2[[#This Row],[Description]],$Q$1:$S$101,3,FALSE))</f>
        <v/>
      </c>
      <c r="I4167" s="1" t="str">
        <f>IF(Table2[[#This Row],[Description]]="","",IF(Table2[[#This Row],[Currency]]=$O$2,$P$2,HLOOKUP(Table2[[#This Row],[Date]],Funds!$C$10:$GV$11,2,FALSE)))</f>
        <v/>
      </c>
      <c r="J4167" s="215" t="str">
        <f>IF(Table2[[#This Row],[Description]]="","",Table2[[#This Row],[Value]]/Table2[[#This Row],[Conversion]])</f>
        <v/>
      </c>
      <c r="K4167" s="45" t="str">
        <f>IF(Table2[[#This Row],[Description]]="","",DATE(Table2[[#This Row],[Year]],Table2[[#This Row],[Month]],1))</f>
        <v/>
      </c>
    </row>
    <row r="4168" spans="7:11" x14ac:dyDescent="0.25">
      <c r="G4168" s="1" t="str">
        <f>IF(Table2[[#This Row],[Description]]="","",VLOOKUP(Table2[[#This Row],[Description]],$Q$1:$S$101,2,FALSE))</f>
        <v/>
      </c>
      <c r="H4168" s="1" t="str">
        <f>IF(Table2[[#This Row],[Description]]="","",VLOOKUP(Table2[[#This Row],[Description]],$Q$1:$S$101,3,FALSE))</f>
        <v/>
      </c>
      <c r="I4168" s="1" t="str">
        <f>IF(Table2[[#This Row],[Description]]="","",IF(Table2[[#This Row],[Currency]]=$O$2,$P$2,HLOOKUP(Table2[[#This Row],[Date]],Funds!$C$10:$GV$11,2,FALSE)))</f>
        <v/>
      </c>
      <c r="J4168" s="215" t="str">
        <f>IF(Table2[[#This Row],[Description]]="","",Table2[[#This Row],[Value]]/Table2[[#This Row],[Conversion]])</f>
        <v/>
      </c>
      <c r="K4168" s="45" t="str">
        <f>IF(Table2[[#This Row],[Description]]="","",DATE(Table2[[#This Row],[Year]],Table2[[#This Row],[Month]],1))</f>
        <v/>
      </c>
    </row>
    <row r="4169" spans="7:11" x14ac:dyDescent="0.25">
      <c r="G4169" s="1" t="str">
        <f>IF(Table2[[#This Row],[Description]]="","",VLOOKUP(Table2[[#This Row],[Description]],$Q$1:$S$101,2,FALSE))</f>
        <v/>
      </c>
      <c r="H4169" s="1" t="str">
        <f>IF(Table2[[#This Row],[Description]]="","",VLOOKUP(Table2[[#This Row],[Description]],$Q$1:$S$101,3,FALSE))</f>
        <v/>
      </c>
      <c r="I4169" s="1" t="str">
        <f>IF(Table2[[#This Row],[Description]]="","",IF(Table2[[#This Row],[Currency]]=$O$2,$P$2,HLOOKUP(Table2[[#This Row],[Date]],Funds!$C$10:$GV$11,2,FALSE)))</f>
        <v/>
      </c>
      <c r="J4169" s="215" t="str">
        <f>IF(Table2[[#This Row],[Description]]="","",Table2[[#This Row],[Value]]/Table2[[#This Row],[Conversion]])</f>
        <v/>
      </c>
      <c r="K4169" s="45" t="str">
        <f>IF(Table2[[#This Row],[Description]]="","",DATE(Table2[[#This Row],[Year]],Table2[[#This Row],[Month]],1))</f>
        <v/>
      </c>
    </row>
    <row r="4170" spans="7:11" x14ac:dyDescent="0.25">
      <c r="G4170" s="1" t="str">
        <f>IF(Table2[[#This Row],[Description]]="","",VLOOKUP(Table2[[#This Row],[Description]],$Q$1:$S$101,2,FALSE))</f>
        <v/>
      </c>
      <c r="H4170" s="1" t="str">
        <f>IF(Table2[[#This Row],[Description]]="","",VLOOKUP(Table2[[#This Row],[Description]],$Q$1:$S$101,3,FALSE))</f>
        <v/>
      </c>
      <c r="I4170" s="1" t="str">
        <f>IF(Table2[[#This Row],[Description]]="","",IF(Table2[[#This Row],[Currency]]=$O$2,$P$2,HLOOKUP(Table2[[#This Row],[Date]],Funds!$C$10:$GV$11,2,FALSE)))</f>
        <v/>
      </c>
      <c r="J4170" s="215" t="str">
        <f>IF(Table2[[#This Row],[Description]]="","",Table2[[#This Row],[Value]]/Table2[[#This Row],[Conversion]])</f>
        <v/>
      </c>
      <c r="K4170" s="45" t="str">
        <f>IF(Table2[[#This Row],[Description]]="","",DATE(Table2[[#This Row],[Year]],Table2[[#This Row],[Month]],1))</f>
        <v/>
      </c>
    </row>
    <row r="4171" spans="7:11" x14ac:dyDescent="0.25">
      <c r="G4171" s="1" t="str">
        <f>IF(Table2[[#This Row],[Description]]="","",VLOOKUP(Table2[[#This Row],[Description]],$Q$1:$S$101,2,FALSE))</f>
        <v/>
      </c>
      <c r="H4171" s="1" t="str">
        <f>IF(Table2[[#This Row],[Description]]="","",VLOOKUP(Table2[[#This Row],[Description]],$Q$1:$S$101,3,FALSE))</f>
        <v/>
      </c>
      <c r="I4171" s="1" t="str">
        <f>IF(Table2[[#This Row],[Description]]="","",IF(Table2[[#This Row],[Currency]]=$O$2,$P$2,HLOOKUP(Table2[[#This Row],[Date]],Funds!$C$10:$GV$11,2,FALSE)))</f>
        <v/>
      </c>
      <c r="J4171" s="215" t="str">
        <f>IF(Table2[[#This Row],[Description]]="","",Table2[[#This Row],[Value]]/Table2[[#This Row],[Conversion]])</f>
        <v/>
      </c>
      <c r="K4171" s="45" t="str">
        <f>IF(Table2[[#This Row],[Description]]="","",DATE(Table2[[#This Row],[Year]],Table2[[#This Row],[Month]],1))</f>
        <v/>
      </c>
    </row>
    <row r="4172" spans="7:11" x14ac:dyDescent="0.25">
      <c r="G4172" s="1" t="str">
        <f>IF(Table2[[#This Row],[Description]]="","",VLOOKUP(Table2[[#This Row],[Description]],$Q$1:$S$101,2,FALSE))</f>
        <v/>
      </c>
      <c r="H4172" s="1" t="str">
        <f>IF(Table2[[#This Row],[Description]]="","",VLOOKUP(Table2[[#This Row],[Description]],$Q$1:$S$101,3,FALSE))</f>
        <v/>
      </c>
      <c r="I4172" s="1" t="str">
        <f>IF(Table2[[#This Row],[Description]]="","",IF(Table2[[#This Row],[Currency]]=$O$2,$P$2,HLOOKUP(Table2[[#This Row],[Date]],Funds!$C$10:$GV$11,2,FALSE)))</f>
        <v/>
      </c>
      <c r="J4172" s="215" t="str">
        <f>IF(Table2[[#This Row],[Description]]="","",Table2[[#This Row],[Value]]/Table2[[#This Row],[Conversion]])</f>
        <v/>
      </c>
      <c r="K4172" s="45" t="str">
        <f>IF(Table2[[#This Row],[Description]]="","",DATE(Table2[[#This Row],[Year]],Table2[[#This Row],[Month]],1))</f>
        <v/>
      </c>
    </row>
    <row r="4173" spans="7:11" x14ac:dyDescent="0.25">
      <c r="G4173" s="1" t="str">
        <f>IF(Table2[[#This Row],[Description]]="","",VLOOKUP(Table2[[#This Row],[Description]],$Q$1:$S$101,2,FALSE))</f>
        <v/>
      </c>
      <c r="H4173" s="1" t="str">
        <f>IF(Table2[[#This Row],[Description]]="","",VLOOKUP(Table2[[#This Row],[Description]],$Q$1:$S$101,3,FALSE))</f>
        <v/>
      </c>
      <c r="I4173" s="1" t="str">
        <f>IF(Table2[[#This Row],[Description]]="","",IF(Table2[[#This Row],[Currency]]=$O$2,$P$2,HLOOKUP(Table2[[#This Row],[Date]],Funds!$C$10:$GV$11,2,FALSE)))</f>
        <v/>
      </c>
      <c r="J4173" s="215" t="str">
        <f>IF(Table2[[#This Row],[Description]]="","",Table2[[#This Row],[Value]]/Table2[[#This Row],[Conversion]])</f>
        <v/>
      </c>
      <c r="K4173" s="45" t="str">
        <f>IF(Table2[[#This Row],[Description]]="","",DATE(Table2[[#This Row],[Year]],Table2[[#This Row],[Month]],1))</f>
        <v/>
      </c>
    </row>
    <row r="4174" spans="7:11" x14ac:dyDescent="0.25">
      <c r="G4174" s="1" t="str">
        <f>IF(Table2[[#This Row],[Description]]="","",VLOOKUP(Table2[[#This Row],[Description]],$Q$1:$S$101,2,FALSE))</f>
        <v/>
      </c>
      <c r="H4174" s="1" t="str">
        <f>IF(Table2[[#This Row],[Description]]="","",VLOOKUP(Table2[[#This Row],[Description]],$Q$1:$S$101,3,FALSE))</f>
        <v/>
      </c>
      <c r="I4174" s="1" t="str">
        <f>IF(Table2[[#This Row],[Description]]="","",IF(Table2[[#This Row],[Currency]]=$O$2,$P$2,HLOOKUP(Table2[[#This Row],[Date]],Funds!$C$10:$GV$11,2,FALSE)))</f>
        <v/>
      </c>
      <c r="J4174" s="215" t="str">
        <f>IF(Table2[[#This Row],[Description]]="","",Table2[[#This Row],[Value]]/Table2[[#This Row],[Conversion]])</f>
        <v/>
      </c>
      <c r="K4174" s="45" t="str">
        <f>IF(Table2[[#This Row],[Description]]="","",DATE(Table2[[#This Row],[Year]],Table2[[#This Row],[Month]],1))</f>
        <v/>
      </c>
    </row>
    <row r="4175" spans="7:11" x14ac:dyDescent="0.25">
      <c r="G4175" s="1" t="str">
        <f>IF(Table2[[#This Row],[Description]]="","",VLOOKUP(Table2[[#This Row],[Description]],$Q$1:$S$101,2,FALSE))</f>
        <v/>
      </c>
      <c r="H4175" s="1" t="str">
        <f>IF(Table2[[#This Row],[Description]]="","",VLOOKUP(Table2[[#This Row],[Description]],$Q$1:$S$101,3,FALSE))</f>
        <v/>
      </c>
      <c r="I4175" s="1" t="str">
        <f>IF(Table2[[#This Row],[Description]]="","",IF(Table2[[#This Row],[Currency]]=$O$2,$P$2,HLOOKUP(Table2[[#This Row],[Date]],Funds!$C$10:$GV$11,2,FALSE)))</f>
        <v/>
      </c>
      <c r="J4175" s="215" t="str">
        <f>IF(Table2[[#This Row],[Description]]="","",Table2[[#This Row],[Value]]/Table2[[#This Row],[Conversion]])</f>
        <v/>
      </c>
      <c r="K4175" s="45" t="str">
        <f>IF(Table2[[#This Row],[Description]]="","",DATE(Table2[[#This Row],[Year]],Table2[[#This Row],[Month]],1))</f>
        <v/>
      </c>
    </row>
    <row r="4176" spans="7:11" x14ac:dyDescent="0.25">
      <c r="G4176" s="1" t="str">
        <f>IF(Table2[[#This Row],[Description]]="","",VLOOKUP(Table2[[#This Row],[Description]],$Q$1:$S$101,2,FALSE))</f>
        <v/>
      </c>
      <c r="H4176" s="1" t="str">
        <f>IF(Table2[[#This Row],[Description]]="","",VLOOKUP(Table2[[#This Row],[Description]],$Q$1:$S$101,3,FALSE))</f>
        <v/>
      </c>
      <c r="I4176" s="1" t="str">
        <f>IF(Table2[[#This Row],[Description]]="","",IF(Table2[[#This Row],[Currency]]=$O$2,$P$2,HLOOKUP(Table2[[#This Row],[Date]],Funds!$C$10:$GV$11,2,FALSE)))</f>
        <v/>
      </c>
      <c r="J4176" s="215" t="str">
        <f>IF(Table2[[#This Row],[Description]]="","",Table2[[#This Row],[Value]]/Table2[[#This Row],[Conversion]])</f>
        <v/>
      </c>
      <c r="K4176" s="45" t="str">
        <f>IF(Table2[[#This Row],[Description]]="","",DATE(Table2[[#This Row],[Year]],Table2[[#This Row],[Month]],1))</f>
        <v/>
      </c>
    </row>
    <row r="4177" spans="7:11" x14ac:dyDescent="0.25">
      <c r="G4177" s="1" t="str">
        <f>IF(Table2[[#This Row],[Description]]="","",VLOOKUP(Table2[[#This Row],[Description]],$Q$1:$S$101,2,FALSE))</f>
        <v/>
      </c>
      <c r="H4177" s="1" t="str">
        <f>IF(Table2[[#This Row],[Description]]="","",VLOOKUP(Table2[[#This Row],[Description]],$Q$1:$S$101,3,FALSE))</f>
        <v/>
      </c>
      <c r="I4177" s="1" t="str">
        <f>IF(Table2[[#This Row],[Description]]="","",IF(Table2[[#This Row],[Currency]]=$O$2,$P$2,HLOOKUP(Table2[[#This Row],[Date]],Funds!$C$10:$GV$11,2,FALSE)))</f>
        <v/>
      </c>
      <c r="J4177" s="215" t="str">
        <f>IF(Table2[[#This Row],[Description]]="","",Table2[[#This Row],[Value]]/Table2[[#This Row],[Conversion]])</f>
        <v/>
      </c>
      <c r="K4177" s="45" t="str">
        <f>IF(Table2[[#This Row],[Description]]="","",DATE(Table2[[#This Row],[Year]],Table2[[#This Row],[Month]],1))</f>
        <v/>
      </c>
    </row>
    <row r="4178" spans="7:11" x14ac:dyDescent="0.25">
      <c r="G4178" s="1" t="str">
        <f>IF(Table2[[#This Row],[Description]]="","",VLOOKUP(Table2[[#This Row],[Description]],$Q$1:$S$101,2,FALSE))</f>
        <v/>
      </c>
      <c r="H4178" s="1" t="str">
        <f>IF(Table2[[#This Row],[Description]]="","",VLOOKUP(Table2[[#This Row],[Description]],$Q$1:$S$101,3,FALSE))</f>
        <v/>
      </c>
      <c r="I4178" s="1" t="str">
        <f>IF(Table2[[#This Row],[Description]]="","",IF(Table2[[#This Row],[Currency]]=$O$2,$P$2,HLOOKUP(Table2[[#This Row],[Date]],Funds!$C$10:$GV$11,2,FALSE)))</f>
        <v/>
      </c>
      <c r="J4178" s="215" t="str">
        <f>IF(Table2[[#This Row],[Description]]="","",Table2[[#This Row],[Value]]/Table2[[#This Row],[Conversion]])</f>
        <v/>
      </c>
      <c r="K4178" s="45" t="str">
        <f>IF(Table2[[#This Row],[Description]]="","",DATE(Table2[[#This Row],[Year]],Table2[[#This Row],[Month]],1))</f>
        <v/>
      </c>
    </row>
    <row r="4179" spans="7:11" x14ac:dyDescent="0.25">
      <c r="G4179" s="1" t="str">
        <f>IF(Table2[[#This Row],[Description]]="","",VLOOKUP(Table2[[#This Row],[Description]],$Q$1:$S$101,2,FALSE))</f>
        <v/>
      </c>
      <c r="H4179" s="1" t="str">
        <f>IF(Table2[[#This Row],[Description]]="","",VLOOKUP(Table2[[#This Row],[Description]],$Q$1:$S$101,3,FALSE))</f>
        <v/>
      </c>
      <c r="I4179" s="1" t="str">
        <f>IF(Table2[[#This Row],[Description]]="","",IF(Table2[[#This Row],[Currency]]=$O$2,$P$2,HLOOKUP(Table2[[#This Row],[Date]],Funds!$C$10:$GV$11,2,FALSE)))</f>
        <v/>
      </c>
      <c r="J4179" s="215" t="str">
        <f>IF(Table2[[#This Row],[Description]]="","",Table2[[#This Row],[Value]]/Table2[[#This Row],[Conversion]])</f>
        <v/>
      </c>
      <c r="K4179" s="45" t="str">
        <f>IF(Table2[[#This Row],[Description]]="","",DATE(Table2[[#This Row],[Year]],Table2[[#This Row],[Month]],1))</f>
        <v/>
      </c>
    </row>
    <row r="4180" spans="7:11" x14ac:dyDescent="0.25">
      <c r="G4180" s="1" t="str">
        <f>IF(Table2[[#This Row],[Description]]="","",VLOOKUP(Table2[[#This Row],[Description]],$Q$1:$S$101,2,FALSE))</f>
        <v/>
      </c>
      <c r="H4180" s="1" t="str">
        <f>IF(Table2[[#This Row],[Description]]="","",VLOOKUP(Table2[[#This Row],[Description]],$Q$1:$S$101,3,FALSE))</f>
        <v/>
      </c>
      <c r="I4180" s="1" t="str">
        <f>IF(Table2[[#This Row],[Description]]="","",IF(Table2[[#This Row],[Currency]]=$O$2,$P$2,HLOOKUP(Table2[[#This Row],[Date]],Funds!$C$10:$GV$11,2,FALSE)))</f>
        <v/>
      </c>
      <c r="J4180" s="215" t="str">
        <f>IF(Table2[[#This Row],[Description]]="","",Table2[[#This Row],[Value]]/Table2[[#This Row],[Conversion]])</f>
        <v/>
      </c>
      <c r="K4180" s="45" t="str">
        <f>IF(Table2[[#This Row],[Description]]="","",DATE(Table2[[#This Row],[Year]],Table2[[#This Row],[Month]],1))</f>
        <v/>
      </c>
    </row>
    <row r="4181" spans="7:11" x14ac:dyDescent="0.25">
      <c r="G4181" s="1" t="str">
        <f>IF(Table2[[#This Row],[Description]]="","",VLOOKUP(Table2[[#This Row],[Description]],$Q$1:$S$101,2,FALSE))</f>
        <v/>
      </c>
      <c r="H4181" s="1" t="str">
        <f>IF(Table2[[#This Row],[Description]]="","",VLOOKUP(Table2[[#This Row],[Description]],$Q$1:$S$101,3,FALSE))</f>
        <v/>
      </c>
      <c r="I4181" s="1" t="str">
        <f>IF(Table2[[#This Row],[Description]]="","",IF(Table2[[#This Row],[Currency]]=$O$2,$P$2,HLOOKUP(Table2[[#This Row],[Date]],Funds!$C$10:$GV$11,2,FALSE)))</f>
        <v/>
      </c>
      <c r="J4181" s="215" t="str">
        <f>IF(Table2[[#This Row],[Description]]="","",Table2[[#This Row],[Value]]/Table2[[#This Row],[Conversion]])</f>
        <v/>
      </c>
      <c r="K4181" s="45" t="str">
        <f>IF(Table2[[#This Row],[Description]]="","",DATE(Table2[[#This Row],[Year]],Table2[[#This Row],[Month]],1))</f>
        <v/>
      </c>
    </row>
    <row r="4182" spans="7:11" x14ac:dyDescent="0.25">
      <c r="G4182" s="1" t="str">
        <f>IF(Table2[[#This Row],[Description]]="","",VLOOKUP(Table2[[#This Row],[Description]],$Q$1:$S$101,2,FALSE))</f>
        <v/>
      </c>
      <c r="H4182" s="1" t="str">
        <f>IF(Table2[[#This Row],[Description]]="","",VLOOKUP(Table2[[#This Row],[Description]],$Q$1:$S$101,3,FALSE))</f>
        <v/>
      </c>
      <c r="I4182" s="1" t="str">
        <f>IF(Table2[[#This Row],[Description]]="","",IF(Table2[[#This Row],[Currency]]=$O$2,$P$2,HLOOKUP(Table2[[#This Row],[Date]],Funds!$C$10:$GV$11,2,FALSE)))</f>
        <v/>
      </c>
      <c r="J4182" s="215" t="str">
        <f>IF(Table2[[#This Row],[Description]]="","",Table2[[#This Row],[Value]]/Table2[[#This Row],[Conversion]])</f>
        <v/>
      </c>
      <c r="K4182" s="45" t="str">
        <f>IF(Table2[[#This Row],[Description]]="","",DATE(Table2[[#This Row],[Year]],Table2[[#This Row],[Month]],1))</f>
        <v/>
      </c>
    </row>
    <row r="4183" spans="7:11" x14ac:dyDescent="0.25">
      <c r="G4183" s="1" t="str">
        <f>IF(Table2[[#This Row],[Description]]="","",VLOOKUP(Table2[[#This Row],[Description]],$Q$1:$S$101,2,FALSE))</f>
        <v/>
      </c>
      <c r="H4183" s="1" t="str">
        <f>IF(Table2[[#This Row],[Description]]="","",VLOOKUP(Table2[[#This Row],[Description]],$Q$1:$S$101,3,FALSE))</f>
        <v/>
      </c>
      <c r="I4183" s="1" t="str">
        <f>IF(Table2[[#This Row],[Description]]="","",IF(Table2[[#This Row],[Currency]]=$O$2,$P$2,HLOOKUP(Table2[[#This Row],[Date]],Funds!$C$10:$GV$11,2,FALSE)))</f>
        <v/>
      </c>
      <c r="J4183" s="215" t="str">
        <f>IF(Table2[[#This Row],[Description]]="","",Table2[[#This Row],[Value]]/Table2[[#This Row],[Conversion]])</f>
        <v/>
      </c>
      <c r="K4183" s="45" t="str">
        <f>IF(Table2[[#This Row],[Description]]="","",DATE(Table2[[#This Row],[Year]],Table2[[#This Row],[Month]],1))</f>
        <v/>
      </c>
    </row>
    <row r="4184" spans="7:11" x14ac:dyDescent="0.25">
      <c r="G4184" s="1" t="str">
        <f>IF(Table2[[#This Row],[Description]]="","",VLOOKUP(Table2[[#This Row],[Description]],$Q$1:$S$101,2,FALSE))</f>
        <v/>
      </c>
      <c r="H4184" s="1" t="str">
        <f>IF(Table2[[#This Row],[Description]]="","",VLOOKUP(Table2[[#This Row],[Description]],$Q$1:$S$101,3,FALSE))</f>
        <v/>
      </c>
      <c r="I4184" s="1" t="str">
        <f>IF(Table2[[#This Row],[Description]]="","",IF(Table2[[#This Row],[Currency]]=$O$2,$P$2,HLOOKUP(Table2[[#This Row],[Date]],Funds!$C$10:$GV$11,2,FALSE)))</f>
        <v/>
      </c>
      <c r="J4184" s="215" t="str">
        <f>IF(Table2[[#This Row],[Description]]="","",Table2[[#This Row],[Value]]/Table2[[#This Row],[Conversion]])</f>
        <v/>
      </c>
      <c r="K4184" s="45" t="str">
        <f>IF(Table2[[#This Row],[Description]]="","",DATE(Table2[[#This Row],[Year]],Table2[[#This Row],[Month]],1))</f>
        <v/>
      </c>
    </row>
    <row r="4185" spans="7:11" x14ac:dyDescent="0.25">
      <c r="G4185" s="1" t="str">
        <f>IF(Table2[[#This Row],[Description]]="","",VLOOKUP(Table2[[#This Row],[Description]],$Q$1:$S$101,2,FALSE))</f>
        <v/>
      </c>
      <c r="H4185" s="1" t="str">
        <f>IF(Table2[[#This Row],[Description]]="","",VLOOKUP(Table2[[#This Row],[Description]],$Q$1:$S$101,3,FALSE))</f>
        <v/>
      </c>
      <c r="I4185" s="1" t="str">
        <f>IF(Table2[[#This Row],[Description]]="","",IF(Table2[[#This Row],[Currency]]=$O$2,$P$2,HLOOKUP(Table2[[#This Row],[Date]],Funds!$C$10:$GV$11,2,FALSE)))</f>
        <v/>
      </c>
      <c r="J4185" s="215" t="str">
        <f>IF(Table2[[#This Row],[Description]]="","",Table2[[#This Row],[Value]]/Table2[[#This Row],[Conversion]])</f>
        <v/>
      </c>
      <c r="K4185" s="45" t="str">
        <f>IF(Table2[[#This Row],[Description]]="","",DATE(Table2[[#This Row],[Year]],Table2[[#This Row],[Month]],1))</f>
        <v/>
      </c>
    </row>
    <row r="4186" spans="7:11" x14ac:dyDescent="0.25">
      <c r="G4186" s="1" t="str">
        <f>IF(Table2[[#This Row],[Description]]="","",VLOOKUP(Table2[[#This Row],[Description]],$Q$1:$S$101,2,FALSE))</f>
        <v/>
      </c>
      <c r="H4186" s="1" t="str">
        <f>IF(Table2[[#This Row],[Description]]="","",VLOOKUP(Table2[[#This Row],[Description]],$Q$1:$S$101,3,FALSE))</f>
        <v/>
      </c>
      <c r="I4186" s="1" t="str">
        <f>IF(Table2[[#This Row],[Description]]="","",IF(Table2[[#This Row],[Currency]]=$O$2,$P$2,HLOOKUP(Table2[[#This Row],[Date]],Funds!$C$10:$GV$11,2,FALSE)))</f>
        <v/>
      </c>
      <c r="J4186" s="215" t="str">
        <f>IF(Table2[[#This Row],[Description]]="","",Table2[[#This Row],[Value]]/Table2[[#This Row],[Conversion]])</f>
        <v/>
      </c>
      <c r="K4186" s="45" t="str">
        <f>IF(Table2[[#This Row],[Description]]="","",DATE(Table2[[#This Row],[Year]],Table2[[#This Row],[Month]],1))</f>
        <v/>
      </c>
    </row>
    <row r="4187" spans="7:11" x14ac:dyDescent="0.25">
      <c r="G4187" s="1" t="str">
        <f>IF(Table2[[#This Row],[Description]]="","",VLOOKUP(Table2[[#This Row],[Description]],$Q$1:$S$101,2,FALSE))</f>
        <v/>
      </c>
      <c r="H4187" s="1" t="str">
        <f>IF(Table2[[#This Row],[Description]]="","",VLOOKUP(Table2[[#This Row],[Description]],$Q$1:$S$101,3,FALSE))</f>
        <v/>
      </c>
      <c r="I4187" s="1" t="str">
        <f>IF(Table2[[#This Row],[Description]]="","",IF(Table2[[#This Row],[Currency]]=$O$2,$P$2,HLOOKUP(Table2[[#This Row],[Date]],Funds!$C$10:$GV$11,2,FALSE)))</f>
        <v/>
      </c>
      <c r="J4187" s="215" t="str">
        <f>IF(Table2[[#This Row],[Description]]="","",Table2[[#This Row],[Value]]/Table2[[#This Row],[Conversion]])</f>
        <v/>
      </c>
      <c r="K4187" s="45" t="str">
        <f>IF(Table2[[#This Row],[Description]]="","",DATE(Table2[[#This Row],[Year]],Table2[[#This Row],[Month]],1))</f>
        <v/>
      </c>
    </row>
    <row r="4188" spans="7:11" x14ac:dyDescent="0.25">
      <c r="G4188" s="1" t="str">
        <f>IF(Table2[[#This Row],[Description]]="","",VLOOKUP(Table2[[#This Row],[Description]],$Q$1:$S$101,2,FALSE))</f>
        <v/>
      </c>
      <c r="H4188" s="1" t="str">
        <f>IF(Table2[[#This Row],[Description]]="","",VLOOKUP(Table2[[#This Row],[Description]],$Q$1:$S$101,3,FALSE))</f>
        <v/>
      </c>
      <c r="I4188" s="1" t="str">
        <f>IF(Table2[[#This Row],[Description]]="","",IF(Table2[[#This Row],[Currency]]=$O$2,$P$2,HLOOKUP(Table2[[#This Row],[Date]],Funds!$C$10:$GV$11,2,FALSE)))</f>
        <v/>
      </c>
      <c r="J4188" s="215" t="str">
        <f>IF(Table2[[#This Row],[Description]]="","",Table2[[#This Row],[Value]]/Table2[[#This Row],[Conversion]])</f>
        <v/>
      </c>
      <c r="K4188" s="45" t="str">
        <f>IF(Table2[[#This Row],[Description]]="","",DATE(Table2[[#This Row],[Year]],Table2[[#This Row],[Month]],1))</f>
        <v/>
      </c>
    </row>
    <row r="4189" spans="7:11" x14ac:dyDescent="0.25">
      <c r="G4189" s="1" t="str">
        <f>IF(Table2[[#This Row],[Description]]="","",VLOOKUP(Table2[[#This Row],[Description]],$Q$1:$S$101,2,FALSE))</f>
        <v/>
      </c>
      <c r="H4189" s="1" t="str">
        <f>IF(Table2[[#This Row],[Description]]="","",VLOOKUP(Table2[[#This Row],[Description]],$Q$1:$S$101,3,FALSE))</f>
        <v/>
      </c>
      <c r="I4189" s="1" t="str">
        <f>IF(Table2[[#This Row],[Description]]="","",IF(Table2[[#This Row],[Currency]]=$O$2,$P$2,HLOOKUP(Table2[[#This Row],[Date]],Funds!$C$10:$GV$11,2,FALSE)))</f>
        <v/>
      </c>
      <c r="J4189" s="215" t="str">
        <f>IF(Table2[[#This Row],[Description]]="","",Table2[[#This Row],[Value]]/Table2[[#This Row],[Conversion]])</f>
        <v/>
      </c>
      <c r="K4189" s="45" t="str">
        <f>IF(Table2[[#This Row],[Description]]="","",DATE(Table2[[#This Row],[Year]],Table2[[#This Row],[Month]],1))</f>
        <v/>
      </c>
    </row>
    <row r="4190" spans="7:11" x14ac:dyDescent="0.25">
      <c r="G4190" s="1" t="str">
        <f>IF(Table2[[#This Row],[Description]]="","",VLOOKUP(Table2[[#This Row],[Description]],$Q$1:$S$101,2,FALSE))</f>
        <v/>
      </c>
      <c r="H4190" s="1" t="str">
        <f>IF(Table2[[#This Row],[Description]]="","",VLOOKUP(Table2[[#This Row],[Description]],$Q$1:$S$101,3,FALSE))</f>
        <v/>
      </c>
      <c r="I4190" s="1" t="str">
        <f>IF(Table2[[#This Row],[Description]]="","",IF(Table2[[#This Row],[Currency]]=$O$2,$P$2,HLOOKUP(Table2[[#This Row],[Date]],Funds!$C$10:$GV$11,2,FALSE)))</f>
        <v/>
      </c>
      <c r="J4190" s="215" t="str">
        <f>IF(Table2[[#This Row],[Description]]="","",Table2[[#This Row],[Value]]/Table2[[#This Row],[Conversion]])</f>
        <v/>
      </c>
      <c r="K4190" s="45" t="str">
        <f>IF(Table2[[#This Row],[Description]]="","",DATE(Table2[[#This Row],[Year]],Table2[[#This Row],[Month]],1))</f>
        <v/>
      </c>
    </row>
    <row r="4191" spans="7:11" x14ac:dyDescent="0.25">
      <c r="G4191" s="1" t="str">
        <f>IF(Table2[[#This Row],[Description]]="","",VLOOKUP(Table2[[#This Row],[Description]],$Q$1:$S$101,2,FALSE))</f>
        <v/>
      </c>
      <c r="H4191" s="1" t="str">
        <f>IF(Table2[[#This Row],[Description]]="","",VLOOKUP(Table2[[#This Row],[Description]],$Q$1:$S$101,3,FALSE))</f>
        <v/>
      </c>
      <c r="I4191" s="1" t="str">
        <f>IF(Table2[[#This Row],[Description]]="","",IF(Table2[[#This Row],[Currency]]=$O$2,$P$2,HLOOKUP(Table2[[#This Row],[Date]],Funds!$C$10:$GV$11,2,FALSE)))</f>
        <v/>
      </c>
      <c r="J4191" s="215" t="str">
        <f>IF(Table2[[#This Row],[Description]]="","",Table2[[#This Row],[Value]]/Table2[[#This Row],[Conversion]])</f>
        <v/>
      </c>
      <c r="K4191" s="45" t="str">
        <f>IF(Table2[[#This Row],[Description]]="","",DATE(Table2[[#This Row],[Year]],Table2[[#This Row],[Month]],1))</f>
        <v/>
      </c>
    </row>
    <row r="4192" spans="7:11" x14ac:dyDescent="0.25">
      <c r="G4192" s="1" t="str">
        <f>IF(Table2[[#This Row],[Description]]="","",VLOOKUP(Table2[[#This Row],[Description]],$Q$1:$S$101,2,FALSE))</f>
        <v/>
      </c>
      <c r="H4192" s="1" t="str">
        <f>IF(Table2[[#This Row],[Description]]="","",VLOOKUP(Table2[[#This Row],[Description]],$Q$1:$S$101,3,FALSE))</f>
        <v/>
      </c>
      <c r="I4192" s="1" t="str">
        <f>IF(Table2[[#This Row],[Description]]="","",IF(Table2[[#This Row],[Currency]]=$O$2,$P$2,HLOOKUP(Table2[[#This Row],[Date]],Funds!$C$10:$GV$11,2,FALSE)))</f>
        <v/>
      </c>
      <c r="J4192" s="215" t="str">
        <f>IF(Table2[[#This Row],[Description]]="","",Table2[[#This Row],[Value]]/Table2[[#This Row],[Conversion]])</f>
        <v/>
      </c>
      <c r="K4192" s="45" t="str">
        <f>IF(Table2[[#This Row],[Description]]="","",DATE(Table2[[#This Row],[Year]],Table2[[#This Row],[Month]],1))</f>
        <v/>
      </c>
    </row>
    <row r="4193" spans="7:11" x14ac:dyDescent="0.25">
      <c r="G4193" s="1" t="str">
        <f>IF(Table2[[#This Row],[Description]]="","",VLOOKUP(Table2[[#This Row],[Description]],$Q$1:$S$101,2,FALSE))</f>
        <v/>
      </c>
      <c r="H4193" s="1" t="str">
        <f>IF(Table2[[#This Row],[Description]]="","",VLOOKUP(Table2[[#This Row],[Description]],$Q$1:$S$101,3,FALSE))</f>
        <v/>
      </c>
      <c r="I4193" s="1" t="str">
        <f>IF(Table2[[#This Row],[Description]]="","",IF(Table2[[#This Row],[Currency]]=$O$2,$P$2,HLOOKUP(Table2[[#This Row],[Date]],Funds!$C$10:$GV$11,2,FALSE)))</f>
        <v/>
      </c>
      <c r="J4193" s="215" t="str">
        <f>IF(Table2[[#This Row],[Description]]="","",Table2[[#This Row],[Value]]/Table2[[#This Row],[Conversion]])</f>
        <v/>
      </c>
      <c r="K4193" s="45" t="str">
        <f>IF(Table2[[#This Row],[Description]]="","",DATE(Table2[[#This Row],[Year]],Table2[[#This Row],[Month]],1))</f>
        <v/>
      </c>
    </row>
    <row r="4194" spans="7:11" x14ac:dyDescent="0.25">
      <c r="G4194" s="1" t="str">
        <f>IF(Table2[[#This Row],[Description]]="","",VLOOKUP(Table2[[#This Row],[Description]],$Q$1:$S$101,2,FALSE))</f>
        <v/>
      </c>
      <c r="H4194" s="1" t="str">
        <f>IF(Table2[[#This Row],[Description]]="","",VLOOKUP(Table2[[#This Row],[Description]],$Q$1:$S$101,3,FALSE))</f>
        <v/>
      </c>
      <c r="I4194" s="1" t="str">
        <f>IF(Table2[[#This Row],[Description]]="","",IF(Table2[[#This Row],[Currency]]=$O$2,$P$2,HLOOKUP(Table2[[#This Row],[Date]],Funds!$C$10:$GV$11,2,FALSE)))</f>
        <v/>
      </c>
      <c r="J4194" s="215" t="str">
        <f>IF(Table2[[#This Row],[Description]]="","",Table2[[#This Row],[Value]]/Table2[[#This Row],[Conversion]])</f>
        <v/>
      </c>
      <c r="K4194" s="45" t="str">
        <f>IF(Table2[[#This Row],[Description]]="","",DATE(Table2[[#This Row],[Year]],Table2[[#This Row],[Month]],1))</f>
        <v/>
      </c>
    </row>
    <row r="4195" spans="7:11" x14ac:dyDescent="0.25">
      <c r="G4195" s="1" t="str">
        <f>IF(Table2[[#This Row],[Description]]="","",VLOOKUP(Table2[[#This Row],[Description]],$Q$1:$S$101,2,FALSE))</f>
        <v/>
      </c>
      <c r="H4195" s="1" t="str">
        <f>IF(Table2[[#This Row],[Description]]="","",VLOOKUP(Table2[[#This Row],[Description]],$Q$1:$S$101,3,FALSE))</f>
        <v/>
      </c>
      <c r="I4195" s="1" t="str">
        <f>IF(Table2[[#This Row],[Description]]="","",IF(Table2[[#This Row],[Currency]]=$O$2,$P$2,HLOOKUP(Table2[[#This Row],[Date]],Funds!$C$10:$GV$11,2,FALSE)))</f>
        <v/>
      </c>
      <c r="J4195" s="215" t="str">
        <f>IF(Table2[[#This Row],[Description]]="","",Table2[[#This Row],[Value]]/Table2[[#This Row],[Conversion]])</f>
        <v/>
      </c>
      <c r="K4195" s="45" t="str">
        <f>IF(Table2[[#This Row],[Description]]="","",DATE(Table2[[#This Row],[Year]],Table2[[#This Row],[Month]],1))</f>
        <v/>
      </c>
    </row>
    <row r="4196" spans="7:11" x14ac:dyDescent="0.25">
      <c r="G4196" s="1" t="str">
        <f>IF(Table2[[#This Row],[Description]]="","",VLOOKUP(Table2[[#This Row],[Description]],$Q$1:$S$101,2,FALSE))</f>
        <v/>
      </c>
      <c r="H4196" s="1" t="str">
        <f>IF(Table2[[#This Row],[Description]]="","",VLOOKUP(Table2[[#This Row],[Description]],$Q$1:$S$101,3,FALSE))</f>
        <v/>
      </c>
      <c r="I4196" s="1" t="str">
        <f>IF(Table2[[#This Row],[Description]]="","",IF(Table2[[#This Row],[Currency]]=$O$2,$P$2,HLOOKUP(Table2[[#This Row],[Date]],Funds!$C$10:$GV$11,2,FALSE)))</f>
        <v/>
      </c>
      <c r="J4196" s="215" t="str">
        <f>IF(Table2[[#This Row],[Description]]="","",Table2[[#This Row],[Value]]/Table2[[#This Row],[Conversion]])</f>
        <v/>
      </c>
      <c r="K4196" s="45" t="str">
        <f>IF(Table2[[#This Row],[Description]]="","",DATE(Table2[[#This Row],[Year]],Table2[[#This Row],[Month]],1))</f>
        <v/>
      </c>
    </row>
    <row r="4197" spans="7:11" x14ac:dyDescent="0.25">
      <c r="G4197" s="1" t="str">
        <f>IF(Table2[[#This Row],[Description]]="","",VLOOKUP(Table2[[#This Row],[Description]],$Q$1:$S$101,2,FALSE))</f>
        <v/>
      </c>
      <c r="H4197" s="1" t="str">
        <f>IF(Table2[[#This Row],[Description]]="","",VLOOKUP(Table2[[#This Row],[Description]],$Q$1:$S$101,3,FALSE))</f>
        <v/>
      </c>
      <c r="I4197" s="1" t="str">
        <f>IF(Table2[[#This Row],[Description]]="","",IF(Table2[[#This Row],[Currency]]=$O$2,$P$2,HLOOKUP(Table2[[#This Row],[Date]],Funds!$C$10:$GV$11,2,FALSE)))</f>
        <v/>
      </c>
      <c r="J4197" s="215" t="str">
        <f>IF(Table2[[#This Row],[Description]]="","",Table2[[#This Row],[Value]]/Table2[[#This Row],[Conversion]])</f>
        <v/>
      </c>
      <c r="K4197" s="45" t="str">
        <f>IF(Table2[[#This Row],[Description]]="","",DATE(Table2[[#This Row],[Year]],Table2[[#This Row],[Month]],1))</f>
        <v/>
      </c>
    </row>
    <row r="4198" spans="7:11" x14ac:dyDescent="0.25">
      <c r="G4198" s="1" t="str">
        <f>IF(Table2[[#This Row],[Description]]="","",VLOOKUP(Table2[[#This Row],[Description]],$Q$1:$S$101,2,FALSE))</f>
        <v/>
      </c>
      <c r="H4198" s="1" t="str">
        <f>IF(Table2[[#This Row],[Description]]="","",VLOOKUP(Table2[[#This Row],[Description]],$Q$1:$S$101,3,FALSE))</f>
        <v/>
      </c>
      <c r="I4198" s="1" t="str">
        <f>IF(Table2[[#This Row],[Description]]="","",IF(Table2[[#This Row],[Currency]]=$O$2,$P$2,HLOOKUP(Table2[[#This Row],[Date]],Funds!$C$10:$GV$11,2,FALSE)))</f>
        <v/>
      </c>
      <c r="J4198" s="215" t="str">
        <f>IF(Table2[[#This Row],[Description]]="","",Table2[[#This Row],[Value]]/Table2[[#This Row],[Conversion]])</f>
        <v/>
      </c>
      <c r="K4198" s="45" t="str">
        <f>IF(Table2[[#This Row],[Description]]="","",DATE(Table2[[#This Row],[Year]],Table2[[#This Row],[Month]],1))</f>
        <v/>
      </c>
    </row>
    <row r="4199" spans="7:11" x14ac:dyDescent="0.25">
      <c r="G4199" s="1" t="str">
        <f>IF(Table2[[#This Row],[Description]]="","",VLOOKUP(Table2[[#This Row],[Description]],$Q$1:$S$101,2,FALSE))</f>
        <v/>
      </c>
      <c r="H4199" s="1" t="str">
        <f>IF(Table2[[#This Row],[Description]]="","",VLOOKUP(Table2[[#This Row],[Description]],$Q$1:$S$101,3,FALSE))</f>
        <v/>
      </c>
      <c r="I4199" s="1" t="str">
        <f>IF(Table2[[#This Row],[Description]]="","",IF(Table2[[#This Row],[Currency]]=$O$2,$P$2,HLOOKUP(Table2[[#This Row],[Date]],Funds!$C$10:$GV$11,2,FALSE)))</f>
        <v/>
      </c>
      <c r="J4199" s="215" t="str">
        <f>IF(Table2[[#This Row],[Description]]="","",Table2[[#This Row],[Value]]/Table2[[#This Row],[Conversion]])</f>
        <v/>
      </c>
      <c r="K4199" s="45" t="str">
        <f>IF(Table2[[#This Row],[Description]]="","",DATE(Table2[[#This Row],[Year]],Table2[[#This Row],[Month]],1))</f>
        <v/>
      </c>
    </row>
    <row r="4200" spans="7:11" x14ac:dyDescent="0.25">
      <c r="G4200" s="1" t="str">
        <f>IF(Table2[[#This Row],[Description]]="","",VLOOKUP(Table2[[#This Row],[Description]],$Q$1:$S$101,2,FALSE))</f>
        <v/>
      </c>
      <c r="H4200" s="1" t="str">
        <f>IF(Table2[[#This Row],[Description]]="","",VLOOKUP(Table2[[#This Row],[Description]],$Q$1:$S$101,3,FALSE))</f>
        <v/>
      </c>
      <c r="I4200" s="1" t="str">
        <f>IF(Table2[[#This Row],[Description]]="","",IF(Table2[[#This Row],[Currency]]=$O$2,$P$2,HLOOKUP(Table2[[#This Row],[Date]],Funds!$C$10:$GV$11,2,FALSE)))</f>
        <v/>
      </c>
      <c r="J4200" s="215" t="str">
        <f>IF(Table2[[#This Row],[Description]]="","",Table2[[#This Row],[Value]]/Table2[[#This Row],[Conversion]])</f>
        <v/>
      </c>
      <c r="K4200" s="45" t="str">
        <f>IF(Table2[[#This Row],[Description]]="","",DATE(Table2[[#This Row],[Year]],Table2[[#This Row],[Month]],1))</f>
        <v/>
      </c>
    </row>
    <row r="4201" spans="7:11" x14ac:dyDescent="0.25">
      <c r="G4201" s="1" t="str">
        <f>IF(Table2[[#This Row],[Description]]="","",VLOOKUP(Table2[[#This Row],[Description]],$Q$1:$S$101,2,FALSE))</f>
        <v/>
      </c>
      <c r="H4201" s="1" t="str">
        <f>IF(Table2[[#This Row],[Description]]="","",VLOOKUP(Table2[[#This Row],[Description]],$Q$1:$S$101,3,FALSE))</f>
        <v/>
      </c>
      <c r="I4201" s="1" t="str">
        <f>IF(Table2[[#This Row],[Description]]="","",IF(Table2[[#This Row],[Currency]]=$O$2,$P$2,HLOOKUP(Table2[[#This Row],[Date]],Funds!$C$10:$GV$11,2,FALSE)))</f>
        <v/>
      </c>
      <c r="J4201" s="215" t="str">
        <f>IF(Table2[[#This Row],[Description]]="","",Table2[[#This Row],[Value]]/Table2[[#This Row],[Conversion]])</f>
        <v/>
      </c>
      <c r="K4201" s="45" t="str">
        <f>IF(Table2[[#This Row],[Description]]="","",DATE(Table2[[#This Row],[Year]],Table2[[#This Row],[Month]],1))</f>
        <v/>
      </c>
    </row>
    <row r="4202" spans="7:11" x14ac:dyDescent="0.25">
      <c r="G4202" s="1" t="str">
        <f>IF(Table2[[#This Row],[Description]]="","",VLOOKUP(Table2[[#This Row],[Description]],$Q$1:$S$101,2,FALSE))</f>
        <v/>
      </c>
      <c r="H4202" s="1" t="str">
        <f>IF(Table2[[#This Row],[Description]]="","",VLOOKUP(Table2[[#This Row],[Description]],$Q$1:$S$101,3,FALSE))</f>
        <v/>
      </c>
      <c r="I4202" s="1" t="str">
        <f>IF(Table2[[#This Row],[Description]]="","",IF(Table2[[#This Row],[Currency]]=$O$2,$P$2,HLOOKUP(Table2[[#This Row],[Date]],Funds!$C$10:$GV$11,2,FALSE)))</f>
        <v/>
      </c>
      <c r="J4202" s="215" t="str">
        <f>IF(Table2[[#This Row],[Description]]="","",Table2[[#This Row],[Value]]/Table2[[#This Row],[Conversion]])</f>
        <v/>
      </c>
      <c r="K4202" s="45" t="str">
        <f>IF(Table2[[#This Row],[Description]]="","",DATE(Table2[[#This Row],[Year]],Table2[[#This Row],[Month]],1))</f>
        <v/>
      </c>
    </row>
    <row r="4203" spans="7:11" x14ac:dyDescent="0.25">
      <c r="G4203" s="1" t="str">
        <f>IF(Table2[[#This Row],[Description]]="","",VLOOKUP(Table2[[#This Row],[Description]],$Q$1:$S$101,2,FALSE))</f>
        <v/>
      </c>
      <c r="H4203" s="1" t="str">
        <f>IF(Table2[[#This Row],[Description]]="","",VLOOKUP(Table2[[#This Row],[Description]],$Q$1:$S$101,3,FALSE))</f>
        <v/>
      </c>
      <c r="I4203" s="1" t="str">
        <f>IF(Table2[[#This Row],[Description]]="","",IF(Table2[[#This Row],[Currency]]=$O$2,$P$2,HLOOKUP(Table2[[#This Row],[Date]],Funds!$C$10:$GV$11,2,FALSE)))</f>
        <v/>
      </c>
      <c r="J4203" s="215" t="str">
        <f>IF(Table2[[#This Row],[Description]]="","",Table2[[#This Row],[Value]]/Table2[[#This Row],[Conversion]])</f>
        <v/>
      </c>
      <c r="K4203" s="45" t="str">
        <f>IF(Table2[[#This Row],[Description]]="","",DATE(Table2[[#This Row],[Year]],Table2[[#This Row],[Month]],1))</f>
        <v/>
      </c>
    </row>
    <row r="4204" spans="7:11" x14ac:dyDescent="0.25">
      <c r="G4204" s="1" t="str">
        <f>IF(Table2[[#This Row],[Description]]="","",VLOOKUP(Table2[[#This Row],[Description]],$Q$1:$S$101,2,FALSE))</f>
        <v/>
      </c>
      <c r="H4204" s="1" t="str">
        <f>IF(Table2[[#This Row],[Description]]="","",VLOOKUP(Table2[[#This Row],[Description]],$Q$1:$S$101,3,FALSE))</f>
        <v/>
      </c>
      <c r="I4204" s="1" t="str">
        <f>IF(Table2[[#This Row],[Description]]="","",IF(Table2[[#This Row],[Currency]]=$O$2,$P$2,HLOOKUP(Table2[[#This Row],[Date]],Funds!$C$10:$GV$11,2,FALSE)))</f>
        <v/>
      </c>
      <c r="J4204" s="215" t="str">
        <f>IF(Table2[[#This Row],[Description]]="","",Table2[[#This Row],[Value]]/Table2[[#This Row],[Conversion]])</f>
        <v/>
      </c>
      <c r="K4204" s="45" t="str">
        <f>IF(Table2[[#This Row],[Description]]="","",DATE(Table2[[#This Row],[Year]],Table2[[#This Row],[Month]],1))</f>
        <v/>
      </c>
    </row>
    <row r="4205" spans="7:11" x14ac:dyDescent="0.25">
      <c r="G4205" s="1" t="str">
        <f>IF(Table2[[#This Row],[Description]]="","",VLOOKUP(Table2[[#This Row],[Description]],$Q$1:$S$101,2,FALSE))</f>
        <v/>
      </c>
      <c r="H4205" s="1" t="str">
        <f>IF(Table2[[#This Row],[Description]]="","",VLOOKUP(Table2[[#This Row],[Description]],$Q$1:$S$101,3,FALSE))</f>
        <v/>
      </c>
      <c r="I4205" s="1" t="str">
        <f>IF(Table2[[#This Row],[Description]]="","",IF(Table2[[#This Row],[Currency]]=$O$2,$P$2,HLOOKUP(Table2[[#This Row],[Date]],Funds!$C$10:$GV$11,2,FALSE)))</f>
        <v/>
      </c>
      <c r="J4205" s="215" t="str">
        <f>IF(Table2[[#This Row],[Description]]="","",Table2[[#This Row],[Value]]/Table2[[#This Row],[Conversion]])</f>
        <v/>
      </c>
      <c r="K4205" s="45" t="str">
        <f>IF(Table2[[#This Row],[Description]]="","",DATE(Table2[[#This Row],[Year]],Table2[[#This Row],[Month]],1))</f>
        <v/>
      </c>
    </row>
    <row r="4206" spans="7:11" x14ac:dyDescent="0.25">
      <c r="G4206" s="1" t="str">
        <f>IF(Table2[[#This Row],[Description]]="","",VLOOKUP(Table2[[#This Row],[Description]],$Q$1:$S$101,2,FALSE))</f>
        <v/>
      </c>
      <c r="H4206" s="1" t="str">
        <f>IF(Table2[[#This Row],[Description]]="","",VLOOKUP(Table2[[#This Row],[Description]],$Q$1:$S$101,3,FALSE))</f>
        <v/>
      </c>
      <c r="I4206" s="1" t="str">
        <f>IF(Table2[[#This Row],[Description]]="","",IF(Table2[[#This Row],[Currency]]=$O$2,$P$2,HLOOKUP(Table2[[#This Row],[Date]],Funds!$C$10:$GV$11,2,FALSE)))</f>
        <v/>
      </c>
      <c r="J4206" s="215" t="str">
        <f>IF(Table2[[#This Row],[Description]]="","",Table2[[#This Row],[Value]]/Table2[[#This Row],[Conversion]])</f>
        <v/>
      </c>
      <c r="K4206" s="45" t="str">
        <f>IF(Table2[[#This Row],[Description]]="","",DATE(Table2[[#This Row],[Year]],Table2[[#This Row],[Month]],1))</f>
        <v/>
      </c>
    </row>
    <row r="4207" spans="7:11" x14ac:dyDescent="0.25">
      <c r="G4207" s="1" t="str">
        <f>IF(Table2[[#This Row],[Description]]="","",VLOOKUP(Table2[[#This Row],[Description]],$Q$1:$S$101,2,FALSE))</f>
        <v/>
      </c>
      <c r="H4207" s="1" t="str">
        <f>IF(Table2[[#This Row],[Description]]="","",VLOOKUP(Table2[[#This Row],[Description]],$Q$1:$S$101,3,FALSE))</f>
        <v/>
      </c>
      <c r="I4207" s="1" t="str">
        <f>IF(Table2[[#This Row],[Description]]="","",IF(Table2[[#This Row],[Currency]]=$O$2,$P$2,HLOOKUP(Table2[[#This Row],[Date]],Funds!$C$10:$GV$11,2,FALSE)))</f>
        <v/>
      </c>
      <c r="J4207" s="215" t="str">
        <f>IF(Table2[[#This Row],[Description]]="","",Table2[[#This Row],[Value]]/Table2[[#This Row],[Conversion]])</f>
        <v/>
      </c>
      <c r="K4207" s="45" t="str">
        <f>IF(Table2[[#This Row],[Description]]="","",DATE(Table2[[#This Row],[Year]],Table2[[#This Row],[Month]],1))</f>
        <v/>
      </c>
    </row>
    <row r="4208" spans="7:11" x14ac:dyDescent="0.25">
      <c r="G4208" s="1" t="str">
        <f>IF(Table2[[#This Row],[Description]]="","",VLOOKUP(Table2[[#This Row],[Description]],$Q$1:$S$101,2,FALSE))</f>
        <v/>
      </c>
      <c r="H4208" s="1" t="str">
        <f>IF(Table2[[#This Row],[Description]]="","",VLOOKUP(Table2[[#This Row],[Description]],$Q$1:$S$101,3,FALSE))</f>
        <v/>
      </c>
      <c r="I4208" s="1" t="str">
        <f>IF(Table2[[#This Row],[Description]]="","",IF(Table2[[#This Row],[Currency]]=$O$2,$P$2,HLOOKUP(Table2[[#This Row],[Date]],Funds!$C$10:$GV$11,2,FALSE)))</f>
        <v/>
      </c>
      <c r="J4208" s="215" t="str">
        <f>IF(Table2[[#This Row],[Description]]="","",Table2[[#This Row],[Value]]/Table2[[#This Row],[Conversion]])</f>
        <v/>
      </c>
      <c r="K4208" s="45" t="str">
        <f>IF(Table2[[#This Row],[Description]]="","",DATE(Table2[[#This Row],[Year]],Table2[[#This Row],[Month]],1))</f>
        <v/>
      </c>
    </row>
    <row r="4209" spans="7:11" x14ac:dyDescent="0.25">
      <c r="G4209" s="1" t="str">
        <f>IF(Table2[[#This Row],[Description]]="","",VLOOKUP(Table2[[#This Row],[Description]],$Q$1:$S$101,2,FALSE))</f>
        <v/>
      </c>
      <c r="H4209" s="1" t="str">
        <f>IF(Table2[[#This Row],[Description]]="","",VLOOKUP(Table2[[#This Row],[Description]],$Q$1:$S$101,3,FALSE))</f>
        <v/>
      </c>
      <c r="I4209" s="1" t="str">
        <f>IF(Table2[[#This Row],[Description]]="","",IF(Table2[[#This Row],[Currency]]=$O$2,$P$2,HLOOKUP(Table2[[#This Row],[Date]],Funds!$C$10:$GV$11,2,FALSE)))</f>
        <v/>
      </c>
      <c r="J4209" s="215" t="str">
        <f>IF(Table2[[#This Row],[Description]]="","",Table2[[#This Row],[Value]]/Table2[[#This Row],[Conversion]])</f>
        <v/>
      </c>
      <c r="K4209" s="45" t="str">
        <f>IF(Table2[[#This Row],[Description]]="","",DATE(Table2[[#This Row],[Year]],Table2[[#This Row],[Month]],1))</f>
        <v/>
      </c>
    </row>
    <row r="4210" spans="7:11" x14ac:dyDescent="0.25">
      <c r="G4210" s="1" t="str">
        <f>IF(Table2[[#This Row],[Description]]="","",VLOOKUP(Table2[[#This Row],[Description]],$Q$1:$S$101,2,FALSE))</f>
        <v/>
      </c>
      <c r="H4210" s="1" t="str">
        <f>IF(Table2[[#This Row],[Description]]="","",VLOOKUP(Table2[[#This Row],[Description]],$Q$1:$S$101,3,FALSE))</f>
        <v/>
      </c>
      <c r="I4210" s="1" t="str">
        <f>IF(Table2[[#This Row],[Description]]="","",IF(Table2[[#This Row],[Currency]]=$O$2,$P$2,HLOOKUP(Table2[[#This Row],[Date]],Funds!$C$10:$GV$11,2,FALSE)))</f>
        <v/>
      </c>
      <c r="J4210" s="215" t="str">
        <f>IF(Table2[[#This Row],[Description]]="","",Table2[[#This Row],[Value]]/Table2[[#This Row],[Conversion]])</f>
        <v/>
      </c>
      <c r="K4210" s="45" t="str">
        <f>IF(Table2[[#This Row],[Description]]="","",DATE(Table2[[#This Row],[Year]],Table2[[#This Row],[Month]],1))</f>
        <v/>
      </c>
    </row>
    <row r="4211" spans="7:11" x14ac:dyDescent="0.25">
      <c r="G4211" s="1" t="str">
        <f>IF(Table2[[#This Row],[Description]]="","",VLOOKUP(Table2[[#This Row],[Description]],$Q$1:$S$101,2,FALSE))</f>
        <v/>
      </c>
      <c r="H4211" s="1" t="str">
        <f>IF(Table2[[#This Row],[Description]]="","",VLOOKUP(Table2[[#This Row],[Description]],$Q$1:$S$101,3,FALSE))</f>
        <v/>
      </c>
      <c r="I4211" s="1" t="str">
        <f>IF(Table2[[#This Row],[Description]]="","",IF(Table2[[#This Row],[Currency]]=$O$2,$P$2,HLOOKUP(Table2[[#This Row],[Date]],Funds!$C$10:$GV$11,2,FALSE)))</f>
        <v/>
      </c>
      <c r="J4211" s="215" t="str">
        <f>IF(Table2[[#This Row],[Description]]="","",Table2[[#This Row],[Value]]/Table2[[#This Row],[Conversion]])</f>
        <v/>
      </c>
      <c r="K4211" s="45" t="str">
        <f>IF(Table2[[#This Row],[Description]]="","",DATE(Table2[[#This Row],[Year]],Table2[[#This Row],[Month]],1))</f>
        <v/>
      </c>
    </row>
    <row r="4212" spans="7:11" x14ac:dyDescent="0.25">
      <c r="G4212" s="1" t="str">
        <f>IF(Table2[[#This Row],[Description]]="","",VLOOKUP(Table2[[#This Row],[Description]],$Q$1:$S$101,2,FALSE))</f>
        <v/>
      </c>
      <c r="H4212" s="1" t="str">
        <f>IF(Table2[[#This Row],[Description]]="","",VLOOKUP(Table2[[#This Row],[Description]],$Q$1:$S$101,3,FALSE))</f>
        <v/>
      </c>
      <c r="I4212" s="1" t="str">
        <f>IF(Table2[[#This Row],[Description]]="","",IF(Table2[[#This Row],[Currency]]=$O$2,$P$2,HLOOKUP(Table2[[#This Row],[Date]],Funds!$C$10:$GV$11,2,FALSE)))</f>
        <v/>
      </c>
      <c r="J4212" s="215" t="str">
        <f>IF(Table2[[#This Row],[Description]]="","",Table2[[#This Row],[Value]]/Table2[[#This Row],[Conversion]])</f>
        <v/>
      </c>
      <c r="K4212" s="45" t="str">
        <f>IF(Table2[[#This Row],[Description]]="","",DATE(Table2[[#This Row],[Year]],Table2[[#This Row],[Month]],1))</f>
        <v/>
      </c>
    </row>
    <row r="4213" spans="7:11" x14ac:dyDescent="0.25">
      <c r="G4213" s="1" t="str">
        <f>IF(Table2[[#This Row],[Description]]="","",VLOOKUP(Table2[[#This Row],[Description]],$Q$1:$S$101,2,FALSE))</f>
        <v/>
      </c>
      <c r="H4213" s="1" t="str">
        <f>IF(Table2[[#This Row],[Description]]="","",VLOOKUP(Table2[[#This Row],[Description]],$Q$1:$S$101,3,FALSE))</f>
        <v/>
      </c>
      <c r="I4213" s="1" t="str">
        <f>IF(Table2[[#This Row],[Description]]="","",IF(Table2[[#This Row],[Currency]]=$O$2,$P$2,HLOOKUP(Table2[[#This Row],[Date]],Funds!$C$10:$GV$11,2,FALSE)))</f>
        <v/>
      </c>
      <c r="J4213" s="215" t="str">
        <f>IF(Table2[[#This Row],[Description]]="","",Table2[[#This Row],[Value]]/Table2[[#This Row],[Conversion]])</f>
        <v/>
      </c>
      <c r="K4213" s="45" t="str">
        <f>IF(Table2[[#This Row],[Description]]="","",DATE(Table2[[#This Row],[Year]],Table2[[#This Row],[Month]],1))</f>
        <v/>
      </c>
    </row>
    <row r="4214" spans="7:11" x14ac:dyDescent="0.25">
      <c r="G4214" s="1" t="str">
        <f>IF(Table2[[#This Row],[Description]]="","",VLOOKUP(Table2[[#This Row],[Description]],$Q$1:$S$101,2,FALSE))</f>
        <v/>
      </c>
      <c r="H4214" s="1" t="str">
        <f>IF(Table2[[#This Row],[Description]]="","",VLOOKUP(Table2[[#This Row],[Description]],$Q$1:$S$101,3,FALSE))</f>
        <v/>
      </c>
      <c r="I4214" s="1" t="str">
        <f>IF(Table2[[#This Row],[Description]]="","",IF(Table2[[#This Row],[Currency]]=$O$2,$P$2,HLOOKUP(Table2[[#This Row],[Date]],Funds!$C$10:$GV$11,2,FALSE)))</f>
        <v/>
      </c>
      <c r="J4214" s="215" t="str">
        <f>IF(Table2[[#This Row],[Description]]="","",Table2[[#This Row],[Value]]/Table2[[#This Row],[Conversion]])</f>
        <v/>
      </c>
      <c r="K4214" s="45" t="str">
        <f>IF(Table2[[#This Row],[Description]]="","",DATE(Table2[[#This Row],[Year]],Table2[[#This Row],[Month]],1))</f>
        <v/>
      </c>
    </row>
    <row r="4215" spans="7:11" x14ac:dyDescent="0.25">
      <c r="G4215" s="1" t="str">
        <f>IF(Table2[[#This Row],[Description]]="","",VLOOKUP(Table2[[#This Row],[Description]],$Q$1:$S$101,2,FALSE))</f>
        <v/>
      </c>
      <c r="H4215" s="1" t="str">
        <f>IF(Table2[[#This Row],[Description]]="","",VLOOKUP(Table2[[#This Row],[Description]],$Q$1:$S$101,3,FALSE))</f>
        <v/>
      </c>
      <c r="I4215" s="1" t="str">
        <f>IF(Table2[[#This Row],[Description]]="","",IF(Table2[[#This Row],[Currency]]=$O$2,$P$2,HLOOKUP(Table2[[#This Row],[Date]],Funds!$C$10:$GV$11,2,FALSE)))</f>
        <v/>
      </c>
      <c r="J4215" s="215" t="str">
        <f>IF(Table2[[#This Row],[Description]]="","",Table2[[#This Row],[Value]]/Table2[[#This Row],[Conversion]])</f>
        <v/>
      </c>
      <c r="K4215" s="45" t="str">
        <f>IF(Table2[[#This Row],[Description]]="","",DATE(Table2[[#This Row],[Year]],Table2[[#This Row],[Month]],1))</f>
        <v/>
      </c>
    </row>
    <row r="4216" spans="7:11" x14ac:dyDescent="0.25">
      <c r="G4216" s="1" t="str">
        <f>IF(Table2[[#This Row],[Description]]="","",VLOOKUP(Table2[[#This Row],[Description]],$Q$1:$S$101,2,FALSE))</f>
        <v/>
      </c>
      <c r="H4216" s="1" t="str">
        <f>IF(Table2[[#This Row],[Description]]="","",VLOOKUP(Table2[[#This Row],[Description]],$Q$1:$S$101,3,FALSE))</f>
        <v/>
      </c>
      <c r="I4216" s="1" t="str">
        <f>IF(Table2[[#This Row],[Description]]="","",IF(Table2[[#This Row],[Currency]]=$O$2,$P$2,HLOOKUP(Table2[[#This Row],[Date]],Funds!$C$10:$GV$11,2,FALSE)))</f>
        <v/>
      </c>
      <c r="J4216" s="215" t="str">
        <f>IF(Table2[[#This Row],[Description]]="","",Table2[[#This Row],[Value]]/Table2[[#This Row],[Conversion]])</f>
        <v/>
      </c>
      <c r="K4216" s="45" t="str">
        <f>IF(Table2[[#This Row],[Description]]="","",DATE(Table2[[#This Row],[Year]],Table2[[#This Row],[Month]],1))</f>
        <v/>
      </c>
    </row>
    <row r="4217" spans="7:11" x14ac:dyDescent="0.25">
      <c r="G4217" s="1" t="str">
        <f>IF(Table2[[#This Row],[Description]]="","",VLOOKUP(Table2[[#This Row],[Description]],$Q$1:$S$101,2,FALSE))</f>
        <v/>
      </c>
      <c r="H4217" s="1" t="str">
        <f>IF(Table2[[#This Row],[Description]]="","",VLOOKUP(Table2[[#This Row],[Description]],$Q$1:$S$101,3,FALSE))</f>
        <v/>
      </c>
      <c r="I4217" s="1" t="str">
        <f>IF(Table2[[#This Row],[Description]]="","",IF(Table2[[#This Row],[Currency]]=$O$2,$P$2,HLOOKUP(Table2[[#This Row],[Date]],Funds!$C$10:$GV$11,2,FALSE)))</f>
        <v/>
      </c>
      <c r="J4217" s="215" t="str">
        <f>IF(Table2[[#This Row],[Description]]="","",Table2[[#This Row],[Value]]/Table2[[#This Row],[Conversion]])</f>
        <v/>
      </c>
      <c r="K4217" s="45" t="str">
        <f>IF(Table2[[#This Row],[Description]]="","",DATE(Table2[[#This Row],[Year]],Table2[[#This Row],[Month]],1))</f>
        <v/>
      </c>
    </row>
    <row r="4218" spans="7:11" x14ac:dyDescent="0.25">
      <c r="G4218" s="1" t="str">
        <f>IF(Table2[[#This Row],[Description]]="","",VLOOKUP(Table2[[#This Row],[Description]],$Q$1:$S$101,2,FALSE))</f>
        <v/>
      </c>
      <c r="H4218" s="1" t="str">
        <f>IF(Table2[[#This Row],[Description]]="","",VLOOKUP(Table2[[#This Row],[Description]],$Q$1:$S$101,3,FALSE))</f>
        <v/>
      </c>
      <c r="I4218" s="1" t="str">
        <f>IF(Table2[[#This Row],[Description]]="","",IF(Table2[[#This Row],[Currency]]=$O$2,$P$2,HLOOKUP(Table2[[#This Row],[Date]],Funds!$C$10:$GV$11,2,FALSE)))</f>
        <v/>
      </c>
      <c r="J4218" s="215" t="str">
        <f>IF(Table2[[#This Row],[Description]]="","",Table2[[#This Row],[Value]]/Table2[[#This Row],[Conversion]])</f>
        <v/>
      </c>
      <c r="K4218" s="45" t="str">
        <f>IF(Table2[[#This Row],[Description]]="","",DATE(Table2[[#This Row],[Year]],Table2[[#This Row],[Month]],1))</f>
        <v/>
      </c>
    </row>
    <row r="4219" spans="7:11" x14ac:dyDescent="0.25">
      <c r="G4219" s="1" t="str">
        <f>IF(Table2[[#This Row],[Description]]="","",VLOOKUP(Table2[[#This Row],[Description]],$Q$1:$S$101,2,FALSE))</f>
        <v/>
      </c>
      <c r="H4219" s="1" t="str">
        <f>IF(Table2[[#This Row],[Description]]="","",VLOOKUP(Table2[[#This Row],[Description]],$Q$1:$S$101,3,FALSE))</f>
        <v/>
      </c>
      <c r="I4219" s="1" t="str">
        <f>IF(Table2[[#This Row],[Description]]="","",IF(Table2[[#This Row],[Currency]]=$O$2,$P$2,HLOOKUP(Table2[[#This Row],[Date]],Funds!$C$10:$GV$11,2,FALSE)))</f>
        <v/>
      </c>
      <c r="J4219" s="215" t="str">
        <f>IF(Table2[[#This Row],[Description]]="","",Table2[[#This Row],[Value]]/Table2[[#This Row],[Conversion]])</f>
        <v/>
      </c>
      <c r="K4219" s="45" t="str">
        <f>IF(Table2[[#This Row],[Description]]="","",DATE(Table2[[#This Row],[Year]],Table2[[#This Row],[Month]],1))</f>
        <v/>
      </c>
    </row>
    <row r="4220" spans="7:11" x14ac:dyDescent="0.25">
      <c r="G4220" s="1" t="str">
        <f>IF(Table2[[#This Row],[Description]]="","",VLOOKUP(Table2[[#This Row],[Description]],$Q$1:$S$101,2,FALSE))</f>
        <v/>
      </c>
      <c r="H4220" s="1" t="str">
        <f>IF(Table2[[#This Row],[Description]]="","",VLOOKUP(Table2[[#This Row],[Description]],$Q$1:$S$101,3,FALSE))</f>
        <v/>
      </c>
      <c r="I4220" s="1" t="str">
        <f>IF(Table2[[#This Row],[Description]]="","",IF(Table2[[#This Row],[Currency]]=$O$2,$P$2,HLOOKUP(Table2[[#This Row],[Date]],Funds!$C$10:$GV$11,2,FALSE)))</f>
        <v/>
      </c>
      <c r="J4220" s="215" t="str">
        <f>IF(Table2[[#This Row],[Description]]="","",Table2[[#This Row],[Value]]/Table2[[#This Row],[Conversion]])</f>
        <v/>
      </c>
      <c r="K4220" s="45" t="str">
        <f>IF(Table2[[#This Row],[Description]]="","",DATE(Table2[[#This Row],[Year]],Table2[[#This Row],[Month]],1))</f>
        <v/>
      </c>
    </row>
    <row r="4221" spans="7:11" x14ac:dyDescent="0.25">
      <c r="G4221" s="1" t="str">
        <f>IF(Table2[[#This Row],[Description]]="","",VLOOKUP(Table2[[#This Row],[Description]],$Q$1:$S$101,2,FALSE))</f>
        <v/>
      </c>
      <c r="H4221" s="1" t="str">
        <f>IF(Table2[[#This Row],[Description]]="","",VLOOKUP(Table2[[#This Row],[Description]],$Q$1:$S$101,3,FALSE))</f>
        <v/>
      </c>
      <c r="I4221" s="1" t="str">
        <f>IF(Table2[[#This Row],[Description]]="","",IF(Table2[[#This Row],[Currency]]=$O$2,$P$2,HLOOKUP(Table2[[#This Row],[Date]],Funds!$C$10:$GV$11,2,FALSE)))</f>
        <v/>
      </c>
      <c r="J4221" s="215" t="str">
        <f>IF(Table2[[#This Row],[Description]]="","",Table2[[#This Row],[Value]]/Table2[[#This Row],[Conversion]])</f>
        <v/>
      </c>
      <c r="K4221" s="45" t="str">
        <f>IF(Table2[[#This Row],[Description]]="","",DATE(Table2[[#This Row],[Year]],Table2[[#This Row],[Month]],1))</f>
        <v/>
      </c>
    </row>
    <row r="4222" spans="7:11" x14ac:dyDescent="0.25">
      <c r="G4222" s="1" t="str">
        <f>IF(Table2[[#This Row],[Description]]="","",VLOOKUP(Table2[[#This Row],[Description]],$Q$1:$S$101,2,FALSE))</f>
        <v/>
      </c>
      <c r="H4222" s="1" t="str">
        <f>IF(Table2[[#This Row],[Description]]="","",VLOOKUP(Table2[[#This Row],[Description]],$Q$1:$S$101,3,FALSE))</f>
        <v/>
      </c>
      <c r="I4222" s="1" t="str">
        <f>IF(Table2[[#This Row],[Description]]="","",IF(Table2[[#This Row],[Currency]]=$O$2,$P$2,HLOOKUP(Table2[[#This Row],[Date]],Funds!$C$10:$GV$11,2,FALSE)))</f>
        <v/>
      </c>
      <c r="J4222" s="215" t="str">
        <f>IF(Table2[[#This Row],[Description]]="","",Table2[[#This Row],[Value]]/Table2[[#This Row],[Conversion]])</f>
        <v/>
      </c>
      <c r="K4222" s="45" t="str">
        <f>IF(Table2[[#This Row],[Description]]="","",DATE(Table2[[#This Row],[Year]],Table2[[#This Row],[Month]],1))</f>
        <v/>
      </c>
    </row>
    <row r="4223" spans="7:11" x14ac:dyDescent="0.25">
      <c r="G4223" s="1" t="str">
        <f>IF(Table2[[#This Row],[Description]]="","",VLOOKUP(Table2[[#This Row],[Description]],$Q$1:$S$101,2,FALSE))</f>
        <v/>
      </c>
      <c r="H4223" s="1" t="str">
        <f>IF(Table2[[#This Row],[Description]]="","",VLOOKUP(Table2[[#This Row],[Description]],$Q$1:$S$101,3,FALSE))</f>
        <v/>
      </c>
      <c r="I4223" s="1" t="str">
        <f>IF(Table2[[#This Row],[Description]]="","",IF(Table2[[#This Row],[Currency]]=$O$2,$P$2,HLOOKUP(Table2[[#This Row],[Date]],Funds!$C$10:$GV$11,2,FALSE)))</f>
        <v/>
      </c>
      <c r="J4223" s="215" t="str">
        <f>IF(Table2[[#This Row],[Description]]="","",Table2[[#This Row],[Value]]/Table2[[#This Row],[Conversion]])</f>
        <v/>
      </c>
      <c r="K4223" s="45" t="str">
        <f>IF(Table2[[#This Row],[Description]]="","",DATE(Table2[[#This Row],[Year]],Table2[[#This Row],[Month]],1))</f>
        <v/>
      </c>
    </row>
    <row r="4224" spans="7:11" x14ac:dyDescent="0.25">
      <c r="G4224" s="1" t="str">
        <f>IF(Table2[[#This Row],[Description]]="","",VLOOKUP(Table2[[#This Row],[Description]],$Q$1:$S$101,2,FALSE))</f>
        <v/>
      </c>
      <c r="H4224" s="1" t="str">
        <f>IF(Table2[[#This Row],[Description]]="","",VLOOKUP(Table2[[#This Row],[Description]],$Q$1:$S$101,3,FALSE))</f>
        <v/>
      </c>
      <c r="I4224" s="1" t="str">
        <f>IF(Table2[[#This Row],[Description]]="","",IF(Table2[[#This Row],[Currency]]=$O$2,$P$2,HLOOKUP(Table2[[#This Row],[Date]],Funds!$C$10:$GV$11,2,FALSE)))</f>
        <v/>
      </c>
      <c r="J4224" s="215" t="str">
        <f>IF(Table2[[#This Row],[Description]]="","",Table2[[#This Row],[Value]]/Table2[[#This Row],[Conversion]])</f>
        <v/>
      </c>
      <c r="K4224" s="45" t="str">
        <f>IF(Table2[[#This Row],[Description]]="","",DATE(Table2[[#This Row],[Year]],Table2[[#This Row],[Month]],1))</f>
        <v/>
      </c>
    </row>
    <row r="4225" spans="7:11" x14ac:dyDescent="0.25">
      <c r="G4225" s="1" t="str">
        <f>IF(Table2[[#This Row],[Description]]="","",VLOOKUP(Table2[[#This Row],[Description]],$Q$1:$S$101,2,FALSE))</f>
        <v/>
      </c>
      <c r="H4225" s="1" t="str">
        <f>IF(Table2[[#This Row],[Description]]="","",VLOOKUP(Table2[[#This Row],[Description]],$Q$1:$S$101,3,FALSE))</f>
        <v/>
      </c>
      <c r="I4225" s="1" t="str">
        <f>IF(Table2[[#This Row],[Description]]="","",IF(Table2[[#This Row],[Currency]]=$O$2,$P$2,HLOOKUP(Table2[[#This Row],[Date]],Funds!$C$10:$GV$11,2,FALSE)))</f>
        <v/>
      </c>
      <c r="J4225" s="215" t="str">
        <f>IF(Table2[[#This Row],[Description]]="","",Table2[[#This Row],[Value]]/Table2[[#This Row],[Conversion]])</f>
        <v/>
      </c>
      <c r="K4225" s="45" t="str">
        <f>IF(Table2[[#This Row],[Description]]="","",DATE(Table2[[#This Row],[Year]],Table2[[#This Row],[Month]],1))</f>
        <v/>
      </c>
    </row>
    <row r="4226" spans="7:11" x14ac:dyDescent="0.25">
      <c r="G4226" s="1" t="str">
        <f>IF(Table2[[#This Row],[Description]]="","",VLOOKUP(Table2[[#This Row],[Description]],$Q$1:$S$101,2,FALSE))</f>
        <v/>
      </c>
      <c r="H4226" s="1" t="str">
        <f>IF(Table2[[#This Row],[Description]]="","",VLOOKUP(Table2[[#This Row],[Description]],$Q$1:$S$101,3,FALSE))</f>
        <v/>
      </c>
      <c r="I4226" s="1" t="str">
        <f>IF(Table2[[#This Row],[Description]]="","",IF(Table2[[#This Row],[Currency]]=$O$2,$P$2,HLOOKUP(Table2[[#This Row],[Date]],Funds!$C$10:$GV$11,2,FALSE)))</f>
        <v/>
      </c>
      <c r="J4226" s="215" t="str">
        <f>IF(Table2[[#This Row],[Description]]="","",Table2[[#This Row],[Value]]/Table2[[#This Row],[Conversion]])</f>
        <v/>
      </c>
      <c r="K4226" s="45" t="str">
        <f>IF(Table2[[#This Row],[Description]]="","",DATE(Table2[[#This Row],[Year]],Table2[[#This Row],[Month]],1))</f>
        <v/>
      </c>
    </row>
    <row r="4227" spans="7:11" x14ac:dyDescent="0.25">
      <c r="G4227" s="1" t="str">
        <f>IF(Table2[[#This Row],[Description]]="","",VLOOKUP(Table2[[#This Row],[Description]],$Q$1:$S$101,2,FALSE))</f>
        <v/>
      </c>
      <c r="H4227" s="1" t="str">
        <f>IF(Table2[[#This Row],[Description]]="","",VLOOKUP(Table2[[#This Row],[Description]],$Q$1:$S$101,3,FALSE))</f>
        <v/>
      </c>
      <c r="I4227" s="1" t="str">
        <f>IF(Table2[[#This Row],[Description]]="","",IF(Table2[[#This Row],[Currency]]=$O$2,$P$2,HLOOKUP(Table2[[#This Row],[Date]],Funds!$C$10:$GV$11,2,FALSE)))</f>
        <v/>
      </c>
      <c r="J4227" s="215" t="str">
        <f>IF(Table2[[#This Row],[Description]]="","",Table2[[#This Row],[Value]]/Table2[[#This Row],[Conversion]])</f>
        <v/>
      </c>
      <c r="K4227" s="45" t="str">
        <f>IF(Table2[[#This Row],[Description]]="","",DATE(Table2[[#This Row],[Year]],Table2[[#This Row],[Month]],1))</f>
        <v/>
      </c>
    </row>
    <row r="4228" spans="7:11" x14ac:dyDescent="0.25">
      <c r="G4228" s="1" t="str">
        <f>IF(Table2[[#This Row],[Description]]="","",VLOOKUP(Table2[[#This Row],[Description]],$Q$1:$S$101,2,FALSE))</f>
        <v/>
      </c>
      <c r="H4228" s="1" t="str">
        <f>IF(Table2[[#This Row],[Description]]="","",VLOOKUP(Table2[[#This Row],[Description]],$Q$1:$S$101,3,FALSE))</f>
        <v/>
      </c>
      <c r="I4228" s="1" t="str">
        <f>IF(Table2[[#This Row],[Description]]="","",IF(Table2[[#This Row],[Currency]]=$O$2,$P$2,HLOOKUP(Table2[[#This Row],[Date]],Funds!$C$10:$GV$11,2,FALSE)))</f>
        <v/>
      </c>
      <c r="J4228" s="215" t="str">
        <f>IF(Table2[[#This Row],[Description]]="","",Table2[[#This Row],[Value]]/Table2[[#This Row],[Conversion]])</f>
        <v/>
      </c>
      <c r="K4228" s="45" t="str">
        <f>IF(Table2[[#This Row],[Description]]="","",DATE(Table2[[#This Row],[Year]],Table2[[#This Row],[Month]],1))</f>
        <v/>
      </c>
    </row>
    <row r="4229" spans="7:11" x14ac:dyDescent="0.25">
      <c r="G4229" s="1" t="str">
        <f>IF(Table2[[#This Row],[Description]]="","",VLOOKUP(Table2[[#This Row],[Description]],$Q$1:$S$101,2,FALSE))</f>
        <v/>
      </c>
      <c r="H4229" s="1" t="str">
        <f>IF(Table2[[#This Row],[Description]]="","",VLOOKUP(Table2[[#This Row],[Description]],$Q$1:$S$101,3,FALSE))</f>
        <v/>
      </c>
      <c r="I4229" s="1" t="str">
        <f>IF(Table2[[#This Row],[Description]]="","",IF(Table2[[#This Row],[Currency]]=$O$2,$P$2,HLOOKUP(Table2[[#This Row],[Date]],Funds!$C$10:$GV$11,2,FALSE)))</f>
        <v/>
      </c>
      <c r="J4229" s="215" t="str">
        <f>IF(Table2[[#This Row],[Description]]="","",Table2[[#This Row],[Value]]/Table2[[#This Row],[Conversion]])</f>
        <v/>
      </c>
      <c r="K4229" s="45" t="str">
        <f>IF(Table2[[#This Row],[Description]]="","",DATE(Table2[[#This Row],[Year]],Table2[[#This Row],[Month]],1))</f>
        <v/>
      </c>
    </row>
    <row r="4230" spans="7:11" x14ac:dyDescent="0.25">
      <c r="G4230" s="1" t="str">
        <f>IF(Table2[[#This Row],[Description]]="","",VLOOKUP(Table2[[#This Row],[Description]],$Q$1:$S$101,2,FALSE))</f>
        <v/>
      </c>
      <c r="H4230" s="1" t="str">
        <f>IF(Table2[[#This Row],[Description]]="","",VLOOKUP(Table2[[#This Row],[Description]],$Q$1:$S$101,3,FALSE))</f>
        <v/>
      </c>
      <c r="I4230" s="1" t="str">
        <f>IF(Table2[[#This Row],[Description]]="","",IF(Table2[[#This Row],[Currency]]=$O$2,$P$2,HLOOKUP(Table2[[#This Row],[Date]],Funds!$C$10:$GV$11,2,FALSE)))</f>
        <v/>
      </c>
      <c r="J4230" s="215" t="str">
        <f>IF(Table2[[#This Row],[Description]]="","",Table2[[#This Row],[Value]]/Table2[[#This Row],[Conversion]])</f>
        <v/>
      </c>
      <c r="K4230" s="45" t="str">
        <f>IF(Table2[[#This Row],[Description]]="","",DATE(Table2[[#This Row],[Year]],Table2[[#This Row],[Month]],1))</f>
        <v/>
      </c>
    </row>
    <row r="4231" spans="7:11" x14ac:dyDescent="0.25">
      <c r="G4231" s="1" t="str">
        <f>IF(Table2[[#This Row],[Description]]="","",VLOOKUP(Table2[[#This Row],[Description]],$Q$1:$S$101,2,FALSE))</f>
        <v/>
      </c>
      <c r="H4231" s="1" t="str">
        <f>IF(Table2[[#This Row],[Description]]="","",VLOOKUP(Table2[[#This Row],[Description]],$Q$1:$S$101,3,FALSE))</f>
        <v/>
      </c>
      <c r="I4231" s="1" t="str">
        <f>IF(Table2[[#This Row],[Description]]="","",IF(Table2[[#This Row],[Currency]]=$O$2,$P$2,HLOOKUP(Table2[[#This Row],[Date]],Funds!$C$10:$GV$11,2,FALSE)))</f>
        <v/>
      </c>
      <c r="J4231" s="215" t="str">
        <f>IF(Table2[[#This Row],[Description]]="","",Table2[[#This Row],[Value]]/Table2[[#This Row],[Conversion]])</f>
        <v/>
      </c>
      <c r="K4231" s="45" t="str">
        <f>IF(Table2[[#This Row],[Description]]="","",DATE(Table2[[#This Row],[Year]],Table2[[#This Row],[Month]],1))</f>
        <v/>
      </c>
    </row>
    <row r="4232" spans="7:11" x14ac:dyDescent="0.25">
      <c r="G4232" s="1" t="str">
        <f>IF(Table2[[#This Row],[Description]]="","",VLOOKUP(Table2[[#This Row],[Description]],$Q$1:$S$101,2,FALSE))</f>
        <v/>
      </c>
      <c r="H4232" s="1" t="str">
        <f>IF(Table2[[#This Row],[Description]]="","",VLOOKUP(Table2[[#This Row],[Description]],$Q$1:$S$101,3,FALSE))</f>
        <v/>
      </c>
      <c r="I4232" s="1" t="str">
        <f>IF(Table2[[#This Row],[Description]]="","",IF(Table2[[#This Row],[Currency]]=$O$2,$P$2,HLOOKUP(Table2[[#This Row],[Date]],Funds!$C$10:$GV$11,2,FALSE)))</f>
        <v/>
      </c>
      <c r="J4232" s="215" t="str">
        <f>IF(Table2[[#This Row],[Description]]="","",Table2[[#This Row],[Value]]/Table2[[#This Row],[Conversion]])</f>
        <v/>
      </c>
      <c r="K4232" s="45" t="str">
        <f>IF(Table2[[#This Row],[Description]]="","",DATE(Table2[[#This Row],[Year]],Table2[[#This Row],[Month]],1))</f>
        <v/>
      </c>
    </row>
    <row r="4233" spans="7:11" x14ac:dyDescent="0.25">
      <c r="G4233" s="1" t="str">
        <f>IF(Table2[[#This Row],[Description]]="","",VLOOKUP(Table2[[#This Row],[Description]],$Q$1:$S$101,2,FALSE))</f>
        <v/>
      </c>
      <c r="H4233" s="1" t="str">
        <f>IF(Table2[[#This Row],[Description]]="","",VLOOKUP(Table2[[#This Row],[Description]],$Q$1:$S$101,3,FALSE))</f>
        <v/>
      </c>
      <c r="I4233" s="1" t="str">
        <f>IF(Table2[[#This Row],[Description]]="","",IF(Table2[[#This Row],[Currency]]=$O$2,$P$2,HLOOKUP(Table2[[#This Row],[Date]],Funds!$C$10:$GV$11,2,FALSE)))</f>
        <v/>
      </c>
      <c r="J4233" s="215" t="str">
        <f>IF(Table2[[#This Row],[Description]]="","",Table2[[#This Row],[Value]]/Table2[[#This Row],[Conversion]])</f>
        <v/>
      </c>
      <c r="K4233" s="45" t="str">
        <f>IF(Table2[[#This Row],[Description]]="","",DATE(Table2[[#This Row],[Year]],Table2[[#This Row],[Month]],1))</f>
        <v/>
      </c>
    </row>
    <row r="4234" spans="7:11" x14ac:dyDescent="0.25">
      <c r="G4234" s="1" t="str">
        <f>IF(Table2[[#This Row],[Description]]="","",VLOOKUP(Table2[[#This Row],[Description]],$Q$1:$S$101,2,FALSE))</f>
        <v/>
      </c>
      <c r="H4234" s="1" t="str">
        <f>IF(Table2[[#This Row],[Description]]="","",VLOOKUP(Table2[[#This Row],[Description]],$Q$1:$S$101,3,FALSE))</f>
        <v/>
      </c>
      <c r="I4234" s="1" t="str">
        <f>IF(Table2[[#This Row],[Description]]="","",IF(Table2[[#This Row],[Currency]]=$O$2,$P$2,HLOOKUP(Table2[[#This Row],[Date]],Funds!$C$10:$GV$11,2,FALSE)))</f>
        <v/>
      </c>
      <c r="J4234" s="215" t="str">
        <f>IF(Table2[[#This Row],[Description]]="","",Table2[[#This Row],[Value]]/Table2[[#This Row],[Conversion]])</f>
        <v/>
      </c>
      <c r="K4234" s="45" t="str">
        <f>IF(Table2[[#This Row],[Description]]="","",DATE(Table2[[#This Row],[Year]],Table2[[#This Row],[Month]],1))</f>
        <v/>
      </c>
    </row>
    <row r="4235" spans="7:11" x14ac:dyDescent="0.25">
      <c r="G4235" s="1" t="str">
        <f>IF(Table2[[#This Row],[Description]]="","",VLOOKUP(Table2[[#This Row],[Description]],$Q$1:$S$101,2,FALSE))</f>
        <v/>
      </c>
      <c r="H4235" s="1" t="str">
        <f>IF(Table2[[#This Row],[Description]]="","",VLOOKUP(Table2[[#This Row],[Description]],$Q$1:$S$101,3,FALSE))</f>
        <v/>
      </c>
      <c r="I4235" s="1" t="str">
        <f>IF(Table2[[#This Row],[Description]]="","",IF(Table2[[#This Row],[Currency]]=$O$2,$P$2,HLOOKUP(Table2[[#This Row],[Date]],Funds!$C$10:$GV$11,2,FALSE)))</f>
        <v/>
      </c>
      <c r="J4235" s="215" t="str">
        <f>IF(Table2[[#This Row],[Description]]="","",Table2[[#This Row],[Value]]/Table2[[#This Row],[Conversion]])</f>
        <v/>
      </c>
      <c r="K4235" s="45" t="str">
        <f>IF(Table2[[#This Row],[Description]]="","",DATE(Table2[[#This Row],[Year]],Table2[[#This Row],[Month]],1))</f>
        <v/>
      </c>
    </row>
    <row r="4236" spans="7:11" x14ac:dyDescent="0.25">
      <c r="G4236" s="1" t="str">
        <f>IF(Table2[[#This Row],[Description]]="","",VLOOKUP(Table2[[#This Row],[Description]],$Q$1:$S$101,2,FALSE))</f>
        <v/>
      </c>
      <c r="H4236" s="1" t="str">
        <f>IF(Table2[[#This Row],[Description]]="","",VLOOKUP(Table2[[#This Row],[Description]],$Q$1:$S$101,3,FALSE))</f>
        <v/>
      </c>
      <c r="I4236" s="1" t="str">
        <f>IF(Table2[[#This Row],[Description]]="","",IF(Table2[[#This Row],[Currency]]=$O$2,$P$2,HLOOKUP(Table2[[#This Row],[Date]],Funds!$C$10:$GV$11,2,FALSE)))</f>
        <v/>
      </c>
      <c r="J4236" s="215" t="str">
        <f>IF(Table2[[#This Row],[Description]]="","",Table2[[#This Row],[Value]]/Table2[[#This Row],[Conversion]])</f>
        <v/>
      </c>
      <c r="K4236" s="45" t="str">
        <f>IF(Table2[[#This Row],[Description]]="","",DATE(Table2[[#This Row],[Year]],Table2[[#This Row],[Month]],1))</f>
        <v/>
      </c>
    </row>
    <row r="4237" spans="7:11" x14ac:dyDescent="0.25">
      <c r="G4237" s="1" t="str">
        <f>IF(Table2[[#This Row],[Description]]="","",VLOOKUP(Table2[[#This Row],[Description]],$Q$1:$S$101,2,FALSE))</f>
        <v/>
      </c>
      <c r="H4237" s="1" t="str">
        <f>IF(Table2[[#This Row],[Description]]="","",VLOOKUP(Table2[[#This Row],[Description]],$Q$1:$S$101,3,FALSE))</f>
        <v/>
      </c>
      <c r="I4237" s="1" t="str">
        <f>IF(Table2[[#This Row],[Description]]="","",IF(Table2[[#This Row],[Currency]]=$O$2,$P$2,HLOOKUP(Table2[[#This Row],[Date]],Funds!$C$10:$GV$11,2,FALSE)))</f>
        <v/>
      </c>
      <c r="J4237" s="215" t="str">
        <f>IF(Table2[[#This Row],[Description]]="","",Table2[[#This Row],[Value]]/Table2[[#This Row],[Conversion]])</f>
        <v/>
      </c>
      <c r="K4237" s="45" t="str">
        <f>IF(Table2[[#This Row],[Description]]="","",DATE(Table2[[#This Row],[Year]],Table2[[#This Row],[Month]],1))</f>
        <v/>
      </c>
    </row>
    <row r="4238" spans="7:11" x14ac:dyDescent="0.25">
      <c r="G4238" s="1" t="str">
        <f>IF(Table2[[#This Row],[Description]]="","",VLOOKUP(Table2[[#This Row],[Description]],$Q$1:$S$101,2,FALSE))</f>
        <v/>
      </c>
      <c r="H4238" s="1" t="str">
        <f>IF(Table2[[#This Row],[Description]]="","",VLOOKUP(Table2[[#This Row],[Description]],$Q$1:$S$101,3,FALSE))</f>
        <v/>
      </c>
      <c r="I4238" s="1" t="str">
        <f>IF(Table2[[#This Row],[Description]]="","",IF(Table2[[#This Row],[Currency]]=$O$2,$P$2,HLOOKUP(Table2[[#This Row],[Date]],Funds!$C$10:$GV$11,2,FALSE)))</f>
        <v/>
      </c>
      <c r="J4238" s="215" t="str">
        <f>IF(Table2[[#This Row],[Description]]="","",Table2[[#This Row],[Value]]/Table2[[#This Row],[Conversion]])</f>
        <v/>
      </c>
      <c r="K4238" s="45" t="str">
        <f>IF(Table2[[#This Row],[Description]]="","",DATE(Table2[[#This Row],[Year]],Table2[[#This Row],[Month]],1))</f>
        <v/>
      </c>
    </row>
    <row r="4239" spans="7:11" x14ac:dyDescent="0.25">
      <c r="G4239" s="1" t="str">
        <f>IF(Table2[[#This Row],[Description]]="","",VLOOKUP(Table2[[#This Row],[Description]],$Q$1:$S$101,2,FALSE))</f>
        <v/>
      </c>
      <c r="H4239" s="1" t="str">
        <f>IF(Table2[[#This Row],[Description]]="","",VLOOKUP(Table2[[#This Row],[Description]],$Q$1:$S$101,3,FALSE))</f>
        <v/>
      </c>
      <c r="I4239" s="1" t="str">
        <f>IF(Table2[[#This Row],[Description]]="","",IF(Table2[[#This Row],[Currency]]=$O$2,$P$2,HLOOKUP(Table2[[#This Row],[Date]],Funds!$C$10:$GV$11,2,FALSE)))</f>
        <v/>
      </c>
      <c r="J4239" s="215" t="str">
        <f>IF(Table2[[#This Row],[Description]]="","",Table2[[#This Row],[Value]]/Table2[[#This Row],[Conversion]])</f>
        <v/>
      </c>
      <c r="K4239" s="45" t="str">
        <f>IF(Table2[[#This Row],[Description]]="","",DATE(Table2[[#This Row],[Year]],Table2[[#This Row],[Month]],1))</f>
        <v/>
      </c>
    </row>
    <row r="4240" spans="7:11" x14ac:dyDescent="0.25">
      <c r="G4240" s="1" t="str">
        <f>IF(Table2[[#This Row],[Description]]="","",VLOOKUP(Table2[[#This Row],[Description]],$Q$1:$S$101,2,FALSE))</f>
        <v/>
      </c>
      <c r="H4240" s="1" t="str">
        <f>IF(Table2[[#This Row],[Description]]="","",VLOOKUP(Table2[[#This Row],[Description]],$Q$1:$S$101,3,FALSE))</f>
        <v/>
      </c>
      <c r="I4240" s="1" t="str">
        <f>IF(Table2[[#This Row],[Description]]="","",IF(Table2[[#This Row],[Currency]]=$O$2,$P$2,HLOOKUP(Table2[[#This Row],[Date]],Funds!$C$10:$GV$11,2,FALSE)))</f>
        <v/>
      </c>
      <c r="J4240" s="215" t="str">
        <f>IF(Table2[[#This Row],[Description]]="","",Table2[[#This Row],[Value]]/Table2[[#This Row],[Conversion]])</f>
        <v/>
      </c>
      <c r="K4240" s="45" t="str">
        <f>IF(Table2[[#This Row],[Description]]="","",DATE(Table2[[#This Row],[Year]],Table2[[#This Row],[Month]],1))</f>
        <v/>
      </c>
    </row>
    <row r="4241" spans="7:11" x14ac:dyDescent="0.25">
      <c r="G4241" s="1" t="str">
        <f>IF(Table2[[#This Row],[Description]]="","",VLOOKUP(Table2[[#This Row],[Description]],$Q$1:$S$101,2,FALSE))</f>
        <v/>
      </c>
      <c r="H4241" s="1" t="str">
        <f>IF(Table2[[#This Row],[Description]]="","",VLOOKUP(Table2[[#This Row],[Description]],$Q$1:$S$101,3,FALSE))</f>
        <v/>
      </c>
      <c r="I4241" s="1" t="str">
        <f>IF(Table2[[#This Row],[Description]]="","",IF(Table2[[#This Row],[Currency]]=$O$2,$P$2,HLOOKUP(Table2[[#This Row],[Date]],Funds!$C$10:$GV$11,2,FALSE)))</f>
        <v/>
      </c>
      <c r="J4241" s="215" t="str">
        <f>IF(Table2[[#This Row],[Description]]="","",Table2[[#This Row],[Value]]/Table2[[#This Row],[Conversion]])</f>
        <v/>
      </c>
      <c r="K4241" s="45" t="str">
        <f>IF(Table2[[#This Row],[Description]]="","",DATE(Table2[[#This Row],[Year]],Table2[[#This Row],[Month]],1))</f>
        <v/>
      </c>
    </row>
    <row r="4242" spans="7:11" x14ac:dyDescent="0.25">
      <c r="G4242" s="1" t="str">
        <f>IF(Table2[[#This Row],[Description]]="","",VLOOKUP(Table2[[#This Row],[Description]],$Q$1:$S$101,2,FALSE))</f>
        <v/>
      </c>
      <c r="H4242" s="1" t="str">
        <f>IF(Table2[[#This Row],[Description]]="","",VLOOKUP(Table2[[#This Row],[Description]],$Q$1:$S$101,3,FALSE))</f>
        <v/>
      </c>
      <c r="I4242" s="1" t="str">
        <f>IF(Table2[[#This Row],[Description]]="","",IF(Table2[[#This Row],[Currency]]=$O$2,$P$2,HLOOKUP(Table2[[#This Row],[Date]],Funds!$C$10:$GV$11,2,FALSE)))</f>
        <v/>
      </c>
      <c r="J4242" s="215" t="str">
        <f>IF(Table2[[#This Row],[Description]]="","",Table2[[#This Row],[Value]]/Table2[[#This Row],[Conversion]])</f>
        <v/>
      </c>
      <c r="K4242" s="45" t="str">
        <f>IF(Table2[[#This Row],[Description]]="","",DATE(Table2[[#This Row],[Year]],Table2[[#This Row],[Month]],1))</f>
        <v/>
      </c>
    </row>
    <row r="4243" spans="7:11" x14ac:dyDescent="0.25">
      <c r="G4243" s="1" t="str">
        <f>IF(Table2[[#This Row],[Description]]="","",VLOOKUP(Table2[[#This Row],[Description]],$Q$1:$S$101,2,FALSE))</f>
        <v/>
      </c>
      <c r="H4243" s="1" t="str">
        <f>IF(Table2[[#This Row],[Description]]="","",VLOOKUP(Table2[[#This Row],[Description]],$Q$1:$S$101,3,FALSE))</f>
        <v/>
      </c>
      <c r="I4243" s="1" t="str">
        <f>IF(Table2[[#This Row],[Description]]="","",IF(Table2[[#This Row],[Currency]]=$O$2,$P$2,HLOOKUP(Table2[[#This Row],[Date]],Funds!$C$10:$GV$11,2,FALSE)))</f>
        <v/>
      </c>
      <c r="J4243" s="215" t="str">
        <f>IF(Table2[[#This Row],[Description]]="","",Table2[[#This Row],[Value]]/Table2[[#This Row],[Conversion]])</f>
        <v/>
      </c>
      <c r="K4243" s="45" t="str">
        <f>IF(Table2[[#This Row],[Description]]="","",DATE(Table2[[#This Row],[Year]],Table2[[#This Row],[Month]],1))</f>
        <v/>
      </c>
    </row>
    <row r="4244" spans="7:11" x14ac:dyDescent="0.25">
      <c r="G4244" s="1" t="str">
        <f>IF(Table2[[#This Row],[Description]]="","",VLOOKUP(Table2[[#This Row],[Description]],$Q$1:$S$101,2,FALSE))</f>
        <v/>
      </c>
      <c r="H4244" s="1" t="str">
        <f>IF(Table2[[#This Row],[Description]]="","",VLOOKUP(Table2[[#This Row],[Description]],$Q$1:$S$101,3,FALSE))</f>
        <v/>
      </c>
      <c r="I4244" s="1" t="str">
        <f>IF(Table2[[#This Row],[Description]]="","",IF(Table2[[#This Row],[Currency]]=$O$2,$P$2,HLOOKUP(Table2[[#This Row],[Date]],Funds!$C$10:$GV$11,2,FALSE)))</f>
        <v/>
      </c>
      <c r="J4244" s="215" t="str">
        <f>IF(Table2[[#This Row],[Description]]="","",Table2[[#This Row],[Value]]/Table2[[#This Row],[Conversion]])</f>
        <v/>
      </c>
      <c r="K4244" s="45" t="str">
        <f>IF(Table2[[#This Row],[Description]]="","",DATE(Table2[[#This Row],[Year]],Table2[[#This Row],[Month]],1))</f>
        <v/>
      </c>
    </row>
    <row r="4245" spans="7:11" x14ac:dyDescent="0.25">
      <c r="G4245" s="1" t="str">
        <f>IF(Table2[[#This Row],[Description]]="","",VLOOKUP(Table2[[#This Row],[Description]],$Q$1:$S$101,2,FALSE))</f>
        <v/>
      </c>
      <c r="H4245" s="1" t="str">
        <f>IF(Table2[[#This Row],[Description]]="","",VLOOKUP(Table2[[#This Row],[Description]],$Q$1:$S$101,3,FALSE))</f>
        <v/>
      </c>
      <c r="I4245" s="1" t="str">
        <f>IF(Table2[[#This Row],[Description]]="","",IF(Table2[[#This Row],[Currency]]=$O$2,$P$2,HLOOKUP(Table2[[#This Row],[Date]],Funds!$C$10:$GV$11,2,FALSE)))</f>
        <v/>
      </c>
      <c r="J4245" s="215" t="str">
        <f>IF(Table2[[#This Row],[Description]]="","",Table2[[#This Row],[Value]]/Table2[[#This Row],[Conversion]])</f>
        <v/>
      </c>
      <c r="K4245" s="45" t="str">
        <f>IF(Table2[[#This Row],[Description]]="","",DATE(Table2[[#This Row],[Year]],Table2[[#This Row],[Month]],1))</f>
        <v/>
      </c>
    </row>
    <row r="4246" spans="7:11" x14ac:dyDescent="0.25">
      <c r="G4246" s="1" t="str">
        <f>IF(Table2[[#This Row],[Description]]="","",VLOOKUP(Table2[[#This Row],[Description]],$Q$1:$S$101,2,FALSE))</f>
        <v/>
      </c>
      <c r="H4246" s="1" t="str">
        <f>IF(Table2[[#This Row],[Description]]="","",VLOOKUP(Table2[[#This Row],[Description]],$Q$1:$S$101,3,FALSE))</f>
        <v/>
      </c>
      <c r="I4246" s="1" t="str">
        <f>IF(Table2[[#This Row],[Description]]="","",IF(Table2[[#This Row],[Currency]]=$O$2,$P$2,HLOOKUP(Table2[[#This Row],[Date]],Funds!$C$10:$GV$11,2,FALSE)))</f>
        <v/>
      </c>
      <c r="J4246" s="215" t="str">
        <f>IF(Table2[[#This Row],[Description]]="","",Table2[[#This Row],[Value]]/Table2[[#This Row],[Conversion]])</f>
        <v/>
      </c>
      <c r="K4246" s="45" t="str">
        <f>IF(Table2[[#This Row],[Description]]="","",DATE(Table2[[#This Row],[Year]],Table2[[#This Row],[Month]],1))</f>
        <v/>
      </c>
    </row>
    <row r="4247" spans="7:11" x14ac:dyDescent="0.25">
      <c r="G4247" s="1" t="str">
        <f>IF(Table2[[#This Row],[Description]]="","",VLOOKUP(Table2[[#This Row],[Description]],$Q$1:$S$101,2,FALSE))</f>
        <v/>
      </c>
      <c r="H4247" s="1" t="str">
        <f>IF(Table2[[#This Row],[Description]]="","",VLOOKUP(Table2[[#This Row],[Description]],$Q$1:$S$101,3,FALSE))</f>
        <v/>
      </c>
      <c r="I4247" s="1" t="str">
        <f>IF(Table2[[#This Row],[Description]]="","",IF(Table2[[#This Row],[Currency]]=$O$2,$P$2,HLOOKUP(Table2[[#This Row],[Date]],Funds!$C$10:$GV$11,2,FALSE)))</f>
        <v/>
      </c>
      <c r="J4247" s="215" t="str">
        <f>IF(Table2[[#This Row],[Description]]="","",Table2[[#This Row],[Value]]/Table2[[#This Row],[Conversion]])</f>
        <v/>
      </c>
      <c r="K4247" s="45" t="str">
        <f>IF(Table2[[#This Row],[Description]]="","",DATE(Table2[[#This Row],[Year]],Table2[[#This Row],[Month]],1))</f>
        <v/>
      </c>
    </row>
    <row r="4248" spans="7:11" x14ac:dyDescent="0.25">
      <c r="G4248" s="1" t="str">
        <f>IF(Table2[[#This Row],[Description]]="","",VLOOKUP(Table2[[#This Row],[Description]],$Q$1:$S$101,2,FALSE))</f>
        <v/>
      </c>
      <c r="H4248" s="1" t="str">
        <f>IF(Table2[[#This Row],[Description]]="","",VLOOKUP(Table2[[#This Row],[Description]],$Q$1:$S$101,3,FALSE))</f>
        <v/>
      </c>
      <c r="I4248" s="1" t="str">
        <f>IF(Table2[[#This Row],[Description]]="","",IF(Table2[[#This Row],[Currency]]=$O$2,$P$2,HLOOKUP(Table2[[#This Row],[Date]],Funds!$C$10:$GV$11,2,FALSE)))</f>
        <v/>
      </c>
      <c r="J4248" s="215" t="str">
        <f>IF(Table2[[#This Row],[Description]]="","",Table2[[#This Row],[Value]]/Table2[[#This Row],[Conversion]])</f>
        <v/>
      </c>
      <c r="K4248" s="45" t="str">
        <f>IF(Table2[[#This Row],[Description]]="","",DATE(Table2[[#This Row],[Year]],Table2[[#This Row],[Month]],1))</f>
        <v/>
      </c>
    </row>
    <row r="4249" spans="7:11" x14ac:dyDescent="0.25">
      <c r="G4249" s="1" t="str">
        <f>IF(Table2[[#This Row],[Description]]="","",VLOOKUP(Table2[[#This Row],[Description]],$Q$1:$S$101,2,FALSE))</f>
        <v/>
      </c>
      <c r="H4249" s="1" t="str">
        <f>IF(Table2[[#This Row],[Description]]="","",VLOOKUP(Table2[[#This Row],[Description]],$Q$1:$S$101,3,FALSE))</f>
        <v/>
      </c>
      <c r="I4249" s="1" t="str">
        <f>IF(Table2[[#This Row],[Description]]="","",IF(Table2[[#This Row],[Currency]]=$O$2,$P$2,HLOOKUP(Table2[[#This Row],[Date]],Funds!$C$10:$GV$11,2,FALSE)))</f>
        <v/>
      </c>
      <c r="J4249" s="215" t="str">
        <f>IF(Table2[[#This Row],[Description]]="","",Table2[[#This Row],[Value]]/Table2[[#This Row],[Conversion]])</f>
        <v/>
      </c>
      <c r="K4249" s="45" t="str">
        <f>IF(Table2[[#This Row],[Description]]="","",DATE(Table2[[#This Row],[Year]],Table2[[#This Row],[Month]],1))</f>
        <v/>
      </c>
    </row>
    <row r="4250" spans="7:11" x14ac:dyDescent="0.25">
      <c r="G4250" s="1" t="str">
        <f>IF(Table2[[#This Row],[Description]]="","",VLOOKUP(Table2[[#This Row],[Description]],$Q$1:$S$101,2,FALSE))</f>
        <v/>
      </c>
      <c r="H4250" s="1" t="str">
        <f>IF(Table2[[#This Row],[Description]]="","",VLOOKUP(Table2[[#This Row],[Description]],$Q$1:$S$101,3,FALSE))</f>
        <v/>
      </c>
      <c r="I4250" s="1" t="str">
        <f>IF(Table2[[#This Row],[Description]]="","",IF(Table2[[#This Row],[Currency]]=$O$2,$P$2,HLOOKUP(Table2[[#This Row],[Date]],Funds!$C$10:$GV$11,2,FALSE)))</f>
        <v/>
      </c>
      <c r="J4250" s="215" t="str">
        <f>IF(Table2[[#This Row],[Description]]="","",Table2[[#This Row],[Value]]/Table2[[#This Row],[Conversion]])</f>
        <v/>
      </c>
      <c r="K4250" s="45" t="str">
        <f>IF(Table2[[#This Row],[Description]]="","",DATE(Table2[[#This Row],[Year]],Table2[[#This Row],[Month]],1))</f>
        <v/>
      </c>
    </row>
    <row r="4251" spans="7:11" x14ac:dyDescent="0.25">
      <c r="G4251" s="1" t="str">
        <f>IF(Table2[[#This Row],[Description]]="","",VLOOKUP(Table2[[#This Row],[Description]],$Q$1:$S$101,2,FALSE))</f>
        <v/>
      </c>
      <c r="H4251" s="1" t="str">
        <f>IF(Table2[[#This Row],[Description]]="","",VLOOKUP(Table2[[#This Row],[Description]],$Q$1:$S$101,3,FALSE))</f>
        <v/>
      </c>
      <c r="I4251" s="1" t="str">
        <f>IF(Table2[[#This Row],[Description]]="","",IF(Table2[[#This Row],[Currency]]=$O$2,$P$2,HLOOKUP(Table2[[#This Row],[Date]],Funds!$C$10:$GV$11,2,FALSE)))</f>
        <v/>
      </c>
      <c r="J4251" s="215" t="str">
        <f>IF(Table2[[#This Row],[Description]]="","",Table2[[#This Row],[Value]]/Table2[[#This Row],[Conversion]])</f>
        <v/>
      </c>
      <c r="K4251" s="45" t="str">
        <f>IF(Table2[[#This Row],[Description]]="","",DATE(Table2[[#This Row],[Year]],Table2[[#This Row],[Month]],1))</f>
        <v/>
      </c>
    </row>
    <row r="4252" spans="7:11" x14ac:dyDescent="0.25">
      <c r="G4252" s="1" t="str">
        <f>IF(Table2[[#This Row],[Description]]="","",VLOOKUP(Table2[[#This Row],[Description]],$Q$1:$S$101,2,FALSE))</f>
        <v/>
      </c>
      <c r="H4252" s="1" t="str">
        <f>IF(Table2[[#This Row],[Description]]="","",VLOOKUP(Table2[[#This Row],[Description]],$Q$1:$S$101,3,FALSE))</f>
        <v/>
      </c>
      <c r="I4252" s="1" t="str">
        <f>IF(Table2[[#This Row],[Description]]="","",IF(Table2[[#This Row],[Currency]]=$O$2,$P$2,HLOOKUP(Table2[[#This Row],[Date]],Funds!$C$10:$GV$11,2,FALSE)))</f>
        <v/>
      </c>
      <c r="J4252" s="215" t="str">
        <f>IF(Table2[[#This Row],[Description]]="","",Table2[[#This Row],[Value]]/Table2[[#This Row],[Conversion]])</f>
        <v/>
      </c>
      <c r="K4252" s="45" t="str">
        <f>IF(Table2[[#This Row],[Description]]="","",DATE(Table2[[#This Row],[Year]],Table2[[#This Row],[Month]],1))</f>
        <v/>
      </c>
    </row>
    <row r="4253" spans="7:11" x14ac:dyDescent="0.25">
      <c r="G4253" s="1" t="str">
        <f>IF(Table2[[#This Row],[Description]]="","",VLOOKUP(Table2[[#This Row],[Description]],$Q$1:$S$101,2,FALSE))</f>
        <v/>
      </c>
      <c r="H4253" s="1" t="str">
        <f>IF(Table2[[#This Row],[Description]]="","",VLOOKUP(Table2[[#This Row],[Description]],$Q$1:$S$101,3,FALSE))</f>
        <v/>
      </c>
      <c r="I4253" s="1" t="str">
        <f>IF(Table2[[#This Row],[Description]]="","",IF(Table2[[#This Row],[Currency]]=$O$2,$P$2,HLOOKUP(Table2[[#This Row],[Date]],Funds!$C$10:$GV$11,2,FALSE)))</f>
        <v/>
      </c>
      <c r="J4253" s="215" t="str">
        <f>IF(Table2[[#This Row],[Description]]="","",Table2[[#This Row],[Value]]/Table2[[#This Row],[Conversion]])</f>
        <v/>
      </c>
      <c r="K4253" s="45" t="str">
        <f>IF(Table2[[#This Row],[Description]]="","",DATE(Table2[[#This Row],[Year]],Table2[[#This Row],[Month]],1))</f>
        <v/>
      </c>
    </row>
    <row r="4254" spans="7:11" x14ac:dyDescent="0.25">
      <c r="G4254" s="1" t="str">
        <f>IF(Table2[[#This Row],[Description]]="","",VLOOKUP(Table2[[#This Row],[Description]],$Q$1:$S$101,2,FALSE))</f>
        <v/>
      </c>
      <c r="H4254" s="1" t="str">
        <f>IF(Table2[[#This Row],[Description]]="","",VLOOKUP(Table2[[#This Row],[Description]],$Q$1:$S$101,3,FALSE))</f>
        <v/>
      </c>
      <c r="I4254" s="1" t="str">
        <f>IF(Table2[[#This Row],[Description]]="","",IF(Table2[[#This Row],[Currency]]=$O$2,$P$2,HLOOKUP(Table2[[#This Row],[Date]],Funds!$C$10:$GV$11,2,FALSE)))</f>
        <v/>
      </c>
      <c r="J4254" s="215" t="str">
        <f>IF(Table2[[#This Row],[Description]]="","",Table2[[#This Row],[Value]]/Table2[[#This Row],[Conversion]])</f>
        <v/>
      </c>
      <c r="K4254" s="45" t="str">
        <f>IF(Table2[[#This Row],[Description]]="","",DATE(Table2[[#This Row],[Year]],Table2[[#This Row],[Month]],1))</f>
        <v/>
      </c>
    </row>
    <row r="4255" spans="7:11" x14ac:dyDescent="0.25">
      <c r="G4255" s="1" t="str">
        <f>IF(Table2[[#This Row],[Description]]="","",VLOOKUP(Table2[[#This Row],[Description]],$Q$1:$S$101,2,FALSE))</f>
        <v/>
      </c>
      <c r="H4255" s="1" t="str">
        <f>IF(Table2[[#This Row],[Description]]="","",VLOOKUP(Table2[[#This Row],[Description]],$Q$1:$S$101,3,FALSE))</f>
        <v/>
      </c>
      <c r="I4255" s="1" t="str">
        <f>IF(Table2[[#This Row],[Description]]="","",IF(Table2[[#This Row],[Currency]]=$O$2,$P$2,HLOOKUP(Table2[[#This Row],[Date]],Funds!$C$10:$GV$11,2,FALSE)))</f>
        <v/>
      </c>
      <c r="J4255" s="215" t="str">
        <f>IF(Table2[[#This Row],[Description]]="","",Table2[[#This Row],[Value]]/Table2[[#This Row],[Conversion]])</f>
        <v/>
      </c>
      <c r="K4255" s="45" t="str">
        <f>IF(Table2[[#This Row],[Description]]="","",DATE(Table2[[#This Row],[Year]],Table2[[#This Row],[Month]],1))</f>
        <v/>
      </c>
    </row>
    <row r="4256" spans="7:11" x14ac:dyDescent="0.25">
      <c r="G4256" s="1" t="str">
        <f>IF(Table2[[#This Row],[Description]]="","",VLOOKUP(Table2[[#This Row],[Description]],$Q$1:$S$101,2,FALSE))</f>
        <v/>
      </c>
      <c r="H4256" s="1" t="str">
        <f>IF(Table2[[#This Row],[Description]]="","",VLOOKUP(Table2[[#This Row],[Description]],$Q$1:$S$101,3,FALSE))</f>
        <v/>
      </c>
      <c r="I4256" s="1" t="str">
        <f>IF(Table2[[#This Row],[Description]]="","",IF(Table2[[#This Row],[Currency]]=$O$2,$P$2,HLOOKUP(Table2[[#This Row],[Date]],Funds!$C$10:$GV$11,2,FALSE)))</f>
        <v/>
      </c>
      <c r="J4256" s="215" t="str">
        <f>IF(Table2[[#This Row],[Description]]="","",Table2[[#This Row],[Value]]/Table2[[#This Row],[Conversion]])</f>
        <v/>
      </c>
      <c r="K4256" s="45" t="str">
        <f>IF(Table2[[#This Row],[Description]]="","",DATE(Table2[[#This Row],[Year]],Table2[[#This Row],[Month]],1))</f>
        <v/>
      </c>
    </row>
    <row r="4257" spans="7:11" x14ac:dyDescent="0.25">
      <c r="G4257" s="1" t="str">
        <f>IF(Table2[[#This Row],[Description]]="","",VLOOKUP(Table2[[#This Row],[Description]],$Q$1:$S$101,2,FALSE))</f>
        <v/>
      </c>
      <c r="H4257" s="1" t="str">
        <f>IF(Table2[[#This Row],[Description]]="","",VLOOKUP(Table2[[#This Row],[Description]],$Q$1:$S$101,3,FALSE))</f>
        <v/>
      </c>
      <c r="I4257" s="1" t="str">
        <f>IF(Table2[[#This Row],[Description]]="","",IF(Table2[[#This Row],[Currency]]=$O$2,$P$2,HLOOKUP(Table2[[#This Row],[Date]],Funds!$C$10:$GV$11,2,FALSE)))</f>
        <v/>
      </c>
      <c r="J4257" s="215" t="str">
        <f>IF(Table2[[#This Row],[Description]]="","",Table2[[#This Row],[Value]]/Table2[[#This Row],[Conversion]])</f>
        <v/>
      </c>
      <c r="K4257" s="45" t="str">
        <f>IF(Table2[[#This Row],[Description]]="","",DATE(Table2[[#This Row],[Year]],Table2[[#This Row],[Month]],1))</f>
        <v/>
      </c>
    </row>
    <row r="4258" spans="7:11" x14ac:dyDescent="0.25">
      <c r="G4258" s="1" t="str">
        <f>IF(Table2[[#This Row],[Description]]="","",VLOOKUP(Table2[[#This Row],[Description]],$Q$1:$S$101,2,FALSE))</f>
        <v/>
      </c>
      <c r="H4258" s="1" t="str">
        <f>IF(Table2[[#This Row],[Description]]="","",VLOOKUP(Table2[[#This Row],[Description]],$Q$1:$S$101,3,FALSE))</f>
        <v/>
      </c>
      <c r="I4258" s="1" t="str">
        <f>IF(Table2[[#This Row],[Description]]="","",IF(Table2[[#This Row],[Currency]]=$O$2,$P$2,HLOOKUP(Table2[[#This Row],[Date]],Funds!$C$10:$GV$11,2,FALSE)))</f>
        <v/>
      </c>
      <c r="J4258" s="215" t="str">
        <f>IF(Table2[[#This Row],[Description]]="","",Table2[[#This Row],[Value]]/Table2[[#This Row],[Conversion]])</f>
        <v/>
      </c>
      <c r="K4258" s="45" t="str">
        <f>IF(Table2[[#This Row],[Description]]="","",DATE(Table2[[#This Row],[Year]],Table2[[#This Row],[Month]],1))</f>
        <v/>
      </c>
    </row>
    <row r="4259" spans="7:11" x14ac:dyDescent="0.25">
      <c r="G4259" s="1" t="str">
        <f>IF(Table2[[#This Row],[Description]]="","",VLOOKUP(Table2[[#This Row],[Description]],$Q$1:$S$101,2,FALSE))</f>
        <v/>
      </c>
      <c r="H4259" s="1" t="str">
        <f>IF(Table2[[#This Row],[Description]]="","",VLOOKUP(Table2[[#This Row],[Description]],$Q$1:$S$101,3,FALSE))</f>
        <v/>
      </c>
      <c r="I4259" s="1" t="str">
        <f>IF(Table2[[#This Row],[Description]]="","",IF(Table2[[#This Row],[Currency]]=$O$2,$P$2,HLOOKUP(Table2[[#This Row],[Date]],Funds!$C$10:$GV$11,2,FALSE)))</f>
        <v/>
      </c>
      <c r="J4259" s="215" t="str">
        <f>IF(Table2[[#This Row],[Description]]="","",Table2[[#This Row],[Value]]/Table2[[#This Row],[Conversion]])</f>
        <v/>
      </c>
      <c r="K4259" s="45" t="str">
        <f>IF(Table2[[#This Row],[Description]]="","",DATE(Table2[[#This Row],[Year]],Table2[[#This Row],[Month]],1))</f>
        <v/>
      </c>
    </row>
    <row r="4260" spans="7:11" x14ac:dyDescent="0.25">
      <c r="G4260" s="1" t="str">
        <f>IF(Table2[[#This Row],[Description]]="","",VLOOKUP(Table2[[#This Row],[Description]],$Q$1:$S$101,2,FALSE))</f>
        <v/>
      </c>
      <c r="H4260" s="1" t="str">
        <f>IF(Table2[[#This Row],[Description]]="","",VLOOKUP(Table2[[#This Row],[Description]],$Q$1:$S$101,3,FALSE))</f>
        <v/>
      </c>
      <c r="I4260" s="1" t="str">
        <f>IF(Table2[[#This Row],[Description]]="","",IF(Table2[[#This Row],[Currency]]=$O$2,$P$2,HLOOKUP(Table2[[#This Row],[Date]],Funds!$C$10:$GV$11,2,FALSE)))</f>
        <v/>
      </c>
      <c r="J4260" s="215" t="str">
        <f>IF(Table2[[#This Row],[Description]]="","",Table2[[#This Row],[Value]]/Table2[[#This Row],[Conversion]])</f>
        <v/>
      </c>
      <c r="K4260" s="45" t="str">
        <f>IF(Table2[[#This Row],[Description]]="","",DATE(Table2[[#This Row],[Year]],Table2[[#This Row],[Month]],1))</f>
        <v/>
      </c>
    </row>
    <row r="4261" spans="7:11" x14ac:dyDescent="0.25">
      <c r="G4261" s="1" t="str">
        <f>IF(Table2[[#This Row],[Description]]="","",VLOOKUP(Table2[[#This Row],[Description]],$Q$1:$S$101,2,FALSE))</f>
        <v/>
      </c>
      <c r="H4261" s="1" t="str">
        <f>IF(Table2[[#This Row],[Description]]="","",VLOOKUP(Table2[[#This Row],[Description]],$Q$1:$S$101,3,FALSE))</f>
        <v/>
      </c>
      <c r="I4261" s="1" t="str">
        <f>IF(Table2[[#This Row],[Description]]="","",IF(Table2[[#This Row],[Currency]]=$O$2,$P$2,HLOOKUP(Table2[[#This Row],[Date]],Funds!$C$10:$GV$11,2,FALSE)))</f>
        <v/>
      </c>
      <c r="J4261" s="215" t="str">
        <f>IF(Table2[[#This Row],[Description]]="","",Table2[[#This Row],[Value]]/Table2[[#This Row],[Conversion]])</f>
        <v/>
      </c>
      <c r="K4261" s="45" t="str">
        <f>IF(Table2[[#This Row],[Description]]="","",DATE(Table2[[#This Row],[Year]],Table2[[#This Row],[Month]],1))</f>
        <v/>
      </c>
    </row>
    <row r="4262" spans="7:11" x14ac:dyDescent="0.25">
      <c r="G4262" s="1" t="str">
        <f>IF(Table2[[#This Row],[Description]]="","",VLOOKUP(Table2[[#This Row],[Description]],$Q$1:$S$101,2,FALSE))</f>
        <v/>
      </c>
      <c r="H4262" s="1" t="str">
        <f>IF(Table2[[#This Row],[Description]]="","",VLOOKUP(Table2[[#This Row],[Description]],$Q$1:$S$101,3,FALSE))</f>
        <v/>
      </c>
      <c r="I4262" s="1" t="str">
        <f>IF(Table2[[#This Row],[Description]]="","",IF(Table2[[#This Row],[Currency]]=$O$2,$P$2,HLOOKUP(Table2[[#This Row],[Date]],Funds!$C$10:$GV$11,2,FALSE)))</f>
        <v/>
      </c>
      <c r="J4262" s="215" t="str">
        <f>IF(Table2[[#This Row],[Description]]="","",Table2[[#This Row],[Value]]/Table2[[#This Row],[Conversion]])</f>
        <v/>
      </c>
      <c r="K4262" s="45" t="str">
        <f>IF(Table2[[#This Row],[Description]]="","",DATE(Table2[[#This Row],[Year]],Table2[[#This Row],[Month]],1))</f>
        <v/>
      </c>
    </row>
    <row r="4263" spans="7:11" x14ac:dyDescent="0.25">
      <c r="G4263" s="1" t="str">
        <f>IF(Table2[[#This Row],[Description]]="","",VLOOKUP(Table2[[#This Row],[Description]],$Q$1:$S$101,2,FALSE))</f>
        <v/>
      </c>
      <c r="H4263" s="1" t="str">
        <f>IF(Table2[[#This Row],[Description]]="","",VLOOKUP(Table2[[#This Row],[Description]],$Q$1:$S$101,3,FALSE))</f>
        <v/>
      </c>
      <c r="I4263" s="1" t="str">
        <f>IF(Table2[[#This Row],[Description]]="","",IF(Table2[[#This Row],[Currency]]=$O$2,$P$2,HLOOKUP(Table2[[#This Row],[Date]],Funds!$C$10:$GV$11,2,FALSE)))</f>
        <v/>
      </c>
      <c r="J4263" s="215" t="str">
        <f>IF(Table2[[#This Row],[Description]]="","",Table2[[#This Row],[Value]]/Table2[[#This Row],[Conversion]])</f>
        <v/>
      </c>
      <c r="K4263" s="45" t="str">
        <f>IF(Table2[[#This Row],[Description]]="","",DATE(Table2[[#This Row],[Year]],Table2[[#This Row],[Month]],1))</f>
        <v/>
      </c>
    </row>
    <row r="4264" spans="7:11" x14ac:dyDescent="0.25">
      <c r="G4264" s="1" t="str">
        <f>IF(Table2[[#This Row],[Description]]="","",VLOOKUP(Table2[[#This Row],[Description]],$Q$1:$S$101,2,FALSE))</f>
        <v/>
      </c>
      <c r="H4264" s="1" t="str">
        <f>IF(Table2[[#This Row],[Description]]="","",VLOOKUP(Table2[[#This Row],[Description]],$Q$1:$S$101,3,FALSE))</f>
        <v/>
      </c>
      <c r="I4264" s="1" t="str">
        <f>IF(Table2[[#This Row],[Description]]="","",IF(Table2[[#This Row],[Currency]]=$O$2,$P$2,HLOOKUP(Table2[[#This Row],[Date]],Funds!$C$10:$GV$11,2,FALSE)))</f>
        <v/>
      </c>
      <c r="J4264" s="215" t="str">
        <f>IF(Table2[[#This Row],[Description]]="","",Table2[[#This Row],[Value]]/Table2[[#This Row],[Conversion]])</f>
        <v/>
      </c>
      <c r="K4264" s="45" t="str">
        <f>IF(Table2[[#This Row],[Description]]="","",DATE(Table2[[#This Row],[Year]],Table2[[#This Row],[Month]],1))</f>
        <v/>
      </c>
    </row>
    <row r="4265" spans="7:11" x14ac:dyDescent="0.25">
      <c r="G4265" s="1" t="str">
        <f>IF(Table2[[#This Row],[Description]]="","",VLOOKUP(Table2[[#This Row],[Description]],$Q$1:$S$101,2,FALSE))</f>
        <v/>
      </c>
      <c r="H4265" s="1" t="str">
        <f>IF(Table2[[#This Row],[Description]]="","",VLOOKUP(Table2[[#This Row],[Description]],$Q$1:$S$101,3,FALSE))</f>
        <v/>
      </c>
      <c r="I4265" s="1" t="str">
        <f>IF(Table2[[#This Row],[Description]]="","",IF(Table2[[#This Row],[Currency]]=$O$2,$P$2,HLOOKUP(Table2[[#This Row],[Date]],Funds!$C$10:$GV$11,2,FALSE)))</f>
        <v/>
      </c>
      <c r="J4265" s="215" t="str">
        <f>IF(Table2[[#This Row],[Description]]="","",Table2[[#This Row],[Value]]/Table2[[#This Row],[Conversion]])</f>
        <v/>
      </c>
      <c r="K4265" s="45" t="str">
        <f>IF(Table2[[#This Row],[Description]]="","",DATE(Table2[[#This Row],[Year]],Table2[[#This Row],[Month]],1))</f>
        <v/>
      </c>
    </row>
    <row r="4266" spans="7:11" x14ac:dyDescent="0.25">
      <c r="G4266" s="1" t="str">
        <f>IF(Table2[[#This Row],[Description]]="","",VLOOKUP(Table2[[#This Row],[Description]],$Q$1:$S$101,2,FALSE))</f>
        <v/>
      </c>
      <c r="H4266" s="1" t="str">
        <f>IF(Table2[[#This Row],[Description]]="","",VLOOKUP(Table2[[#This Row],[Description]],$Q$1:$S$101,3,FALSE))</f>
        <v/>
      </c>
      <c r="I4266" s="1" t="str">
        <f>IF(Table2[[#This Row],[Description]]="","",IF(Table2[[#This Row],[Currency]]=$O$2,$P$2,HLOOKUP(Table2[[#This Row],[Date]],Funds!$C$10:$GV$11,2,FALSE)))</f>
        <v/>
      </c>
      <c r="J4266" s="215" t="str">
        <f>IF(Table2[[#This Row],[Description]]="","",Table2[[#This Row],[Value]]/Table2[[#This Row],[Conversion]])</f>
        <v/>
      </c>
      <c r="K4266" s="45" t="str">
        <f>IF(Table2[[#This Row],[Description]]="","",DATE(Table2[[#This Row],[Year]],Table2[[#This Row],[Month]],1))</f>
        <v/>
      </c>
    </row>
    <row r="4267" spans="7:11" x14ac:dyDescent="0.25">
      <c r="G4267" s="1" t="str">
        <f>IF(Table2[[#This Row],[Description]]="","",VLOOKUP(Table2[[#This Row],[Description]],$Q$1:$S$101,2,FALSE))</f>
        <v/>
      </c>
      <c r="H4267" s="1" t="str">
        <f>IF(Table2[[#This Row],[Description]]="","",VLOOKUP(Table2[[#This Row],[Description]],$Q$1:$S$101,3,FALSE))</f>
        <v/>
      </c>
      <c r="I4267" s="1" t="str">
        <f>IF(Table2[[#This Row],[Description]]="","",IF(Table2[[#This Row],[Currency]]=$O$2,$P$2,HLOOKUP(Table2[[#This Row],[Date]],Funds!$C$10:$GV$11,2,FALSE)))</f>
        <v/>
      </c>
      <c r="J4267" s="215" t="str">
        <f>IF(Table2[[#This Row],[Description]]="","",Table2[[#This Row],[Value]]/Table2[[#This Row],[Conversion]])</f>
        <v/>
      </c>
      <c r="K4267" s="45" t="str">
        <f>IF(Table2[[#This Row],[Description]]="","",DATE(Table2[[#This Row],[Year]],Table2[[#This Row],[Month]],1))</f>
        <v/>
      </c>
    </row>
    <row r="4268" spans="7:11" x14ac:dyDescent="0.25">
      <c r="G4268" s="1" t="str">
        <f>IF(Table2[[#This Row],[Description]]="","",VLOOKUP(Table2[[#This Row],[Description]],$Q$1:$S$101,2,FALSE))</f>
        <v/>
      </c>
      <c r="H4268" s="1" t="str">
        <f>IF(Table2[[#This Row],[Description]]="","",VLOOKUP(Table2[[#This Row],[Description]],$Q$1:$S$101,3,FALSE))</f>
        <v/>
      </c>
      <c r="I4268" s="1" t="str">
        <f>IF(Table2[[#This Row],[Description]]="","",IF(Table2[[#This Row],[Currency]]=$O$2,$P$2,HLOOKUP(Table2[[#This Row],[Date]],Funds!$C$10:$GV$11,2,FALSE)))</f>
        <v/>
      </c>
      <c r="J4268" s="215" t="str">
        <f>IF(Table2[[#This Row],[Description]]="","",Table2[[#This Row],[Value]]/Table2[[#This Row],[Conversion]])</f>
        <v/>
      </c>
      <c r="K4268" s="45" t="str">
        <f>IF(Table2[[#This Row],[Description]]="","",DATE(Table2[[#This Row],[Year]],Table2[[#This Row],[Month]],1))</f>
        <v/>
      </c>
    </row>
    <row r="4269" spans="7:11" x14ac:dyDescent="0.25">
      <c r="G4269" s="1" t="str">
        <f>IF(Table2[[#This Row],[Description]]="","",VLOOKUP(Table2[[#This Row],[Description]],$Q$1:$S$101,2,FALSE))</f>
        <v/>
      </c>
      <c r="H4269" s="1" t="str">
        <f>IF(Table2[[#This Row],[Description]]="","",VLOOKUP(Table2[[#This Row],[Description]],$Q$1:$S$101,3,FALSE))</f>
        <v/>
      </c>
      <c r="I4269" s="1" t="str">
        <f>IF(Table2[[#This Row],[Description]]="","",IF(Table2[[#This Row],[Currency]]=$O$2,$P$2,HLOOKUP(Table2[[#This Row],[Date]],Funds!$C$10:$GV$11,2,FALSE)))</f>
        <v/>
      </c>
      <c r="J4269" s="215" t="str">
        <f>IF(Table2[[#This Row],[Description]]="","",Table2[[#This Row],[Value]]/Table2[[#This Row],[Conversion]])</f>
        <v/>
      </c>
      <c r="K4269" s="45" t="str">
        <f>IF(Table2[[#This Row],[Description]]="","",DATE(Table2[[#This Row],[Year]],Table2[[#This Row],[Month]],1))</f>
        <v/>
      </c>
    </row>
    <row r="4270" spans="7:11" x14ac:dyDescent="0.25">
      <c r="G4270" s="1" t="str">
        <f>IF(Table2[[#This Row],[Description]]="","",VLOOKUP(Table2[[#This Row],[Description]],$Q$1:$S$101,2,FALSE))</f>
        <v/>
      </c>
      <c r="H4270" s="1" t="str">
        <f>IF(Table2[[#This Row],[Description]]="","",VLOOKUP(Table2[[#This Row],[Description]],$Q$1:$S$101,3,FALSE))</f>
        <v/>
      </c>
      <c r="I4270" s="1" t="str">
        <f>IF(Table2[[#This Row],[Description]]="","",IF(Table2[[#This Row],[Currency]]=$O$2,$P$2,HLOOKUP(Table2[[#This Row],[Date]],Funds!$C$10:$GV$11,2,FALSE)))</f>
        <v/>
      </c>
      <c r="J4270" s="215" t="str">
        <f>IF(Table2[[#This Row],[Description]]="","",Table2[[#This Row],[Value]]/Table2[[#This Row],[Conversion]])</f>
        <v/>
      </c>
      <c r="K4270" s="45" t="str">
        <f>IF(Table2[[#This Row],[Description]]="","",DATE(Table2[[#This Row],[Year]],Table2[[#This Row],[Month]],1))</f>
        <v/>
      </c>
    </row>
    <row r="4271" spans="7:11" x14ac:dyDescent="0.25">
      <c r="G4271" s="1" t="str">
        <f>IF(Table2[[#This Row],[Description]]="","",VLOOKUP(Table2[[#This Row],[Description]],$Q$1:$S$101,2,FALSE))</f>
        <v/>
      </c>
      <c r="H4271" s="1" t="str">
        <f>IF(Table2[[#This Row],[Description]]="","",VLOOKUP(Table2[[#This Row],[Description]],$Q$1:$S$101,3,FALSE))</f>
        <v/>
      </c>
      <c r="I4271" s="1" t="str">
        <f>IF(Table2[[#This Row],[Description]]="","",IF(Table2[[#This Row],[Currency]]=$O$2,$P$2,HLOOKUP(Table2[[#This Row],[Date]],Funds!$C$10:$GV$11,2,FALSE)))</f>
        <v/>
      </c>
      <c r="J4271" s="215" t="str">
        <f>IF(Table2[[#This Row],[Description]]="","",Table2[[#This Row],[Value]]/Table2[[#This Row],[Conversion]])</f>
        <v/>
      </c>
      <c r="K4271" s="45" t="str">
        <f>IF(Table2[[#This Row],[Description]]="","",DATE(Table2[[#This Row],[Year]],Table2[[#This Row],[Month]],1))</f>
        <v/>
      </c>
    </row>
    <row r="4272" spans="7:11" x14ac:dyDescent="0.25">
      <c r="G4272" s="1" t="str">
        <f>IF(Table2[[#This Row],[Description]]="","",VLOOKUP(Table2[[#This Row],[Description]],$Q$1:$S$101,2,FALSE))</f>
        <v/>
      </c>
      <c r="H4272" s="1" t="str">
        <f>IF(Table2[[#This Row],[Description]]="","",VLOOKUP(Table2[[#This Row],[Description]],$Q$1:$S$101,3,FALSE))</f>
        <v/>
      </c>
      <c r="I4272" s="1" t="str">
        <f>IF(Table2[[#This Row],[Description]]="","",IF(Table2[[#This Row],[Currency]]=$O$2,$P$2,HLOOKUP(Table2[[#This Row],[Date]],Funds!$C$10:$GV$11,2,FALSE)))</f>
        <v/>
      </c>
      <c r="J4272" s="215" t="str">
        <f>IF(Table2[[#This Row],[Description]]="","",Table2[[#This Row],[Value]]/Table2[[#This Row],[Conversion]])</f>
        <v/>
      </c>
      <c r="K4272" s="45" t="str">
        <f>IF(Table2[[#This Row],[Description]]="","",DATE(Table2[[#This Row],[Year]],Table2[[#This Row],[Month]],1))</f>
        <v/>
      </c>
    </row>
    <row r="4273" spans="7:11" x14ac:dyDescent="0.25">
      <c r="G4273" s="1" t="str">
        <f>IF(Table2[[#This Row],[Description]]="","",VLOOKUP(Table2[[#This Row],[Description]],$Q$1:$S$101,2,FALSE))</f>
        <v/>
      </c>
      <c r="H4273" s="1" t="str">
        <f>IF(Table2[[#This Row],[Description]]="","",VLOOKUP(Table2[[#This Row],[Description]],$Q$1:$S$101,3,FALSE))</f>
        <v/>
      </c>
      <c r="I4273" s="1" t="str">
        <f>IF(Table2[[#This Row],[Description]]="","",IF(Table2[[#This Row],[Currency]]=$O$2,$P$2,HLOOKUP(Table2[[#This Row],[Date]],Funds!$C$10:$GV$11,2,FALSE)))</f>
        <v/>
      </c>
      <c r="J4273" s="215" t="str">
        <f>IF(Table2[[#This Row],[Description]]="","",Table2[[#This Row],[Value]]/Table2[[#This Row],[Conversion]])</f>
        <v/>
      </c>
      <c r="K4273" s="45" t="str">
        <f>IF(Table2[[#This Row],[Description]]="","",DATE(Table2[[#This Row],[Year]],Table2[[#This Row],[Month]],1))</f>
        <v/>
      </c>
    </row>
    <row r="4274" spans="7:11" x14ac:dyDescent="0.25">
      <c r="G4274" s="1" t="str">
        <f>IF(Table2[[#This Row],[Description]]="","",VLOOKUP(Table2[[#This Row],[Description]],$Q$1:$S$101,2,FALSE))</f>
        <v/>
      </c>
      <c r="H4274" s="1" t="str">
        <f>IF(Table2[[#This Row],[Description]]="","",VLOOKUP(Table2[[#This Row],[Description]],$Q$1:$S$101,3,FALSE))</f>
        <v/>
      </c>
      <c r="I4274" s="1" t="str">
        <f>IF(Table2[[#This Row],[Description]]="","",IF(Table2[[#This Row],[Currency]]=$O$2,$P$2,HLOOKUP(Table2[[#This Row],[Date]],Funds!$C$10:$GV$11,2,FALSE)))</f>
        <v/>
      </c>
      <c r="J4274" s="215" t="str">
        <f>IF(Table2[[#This Row],[Description]]="","",Table2[[#This Row],[Value]]/Table2[[#This Row],[Conversion]])</f>
        <v/>
      </c>
      <c r="K4274" s="45" t="str">
        <f>IF(Table2[[#This Row],[Description]]="","",DATE(Table2[[#This Row],[Year]],Table2[[#This Row],[Month]],1))</f>
        <v/>
      </c>
    </row>
    <row r="4275" spans="7:11" x14ac:dyDescent="0.25">
      <c r="G4275" s="1" t="str">
        <f>IF(Table2[[#This Row],[Description]]="","",VLOOKUP(Table2[[#This Row],[Description]],$Q$1:$S$101,2,FALSE))</f>
        <v/>
      </c>
      <c r="H4275" s="1" t="str">
        <f>IF(Table2[[#This Row],[Description]]="","",VLOOKUP(Table2[[#This Row],[Description]],$Q$1:$S$101,3,FALSE))</f>
        <v/>
      </c>
      <c r="I4275" s="1" t="str">
        <f>IF(Table2[[#This Row],[Description]]="","",IF(Table2[[#This Row],[Currency]]=$O$2,$P$2,HLOOKUP(Table2[[#This Row],[Date]],Funds!$C$10:$GV$11,2,FALSE)))</f>
        <v/>
      </c>
      <c r="J4275" s="215" t="str">
        <f>IF(Table2[[#This Row],[Description]]="","",Table2[[#This Row],[Value]]/Table2[[#This Row],[Conversion]])</f>
        <v/>
      </c>
      <c r="K4275" s="45" t="str">
        <f>IF(Table2[[#This Row],[Description]]="","",DATE(Table2[[#This Row],[Year]],Table2[[#This Row],[Month]],1))</f>
        <v/>
      </c>
    </row>
    <row r="4276" spans="7:11" x14ac:dyDescent="0.25">
      <c r="G4276" s="1" t="str">
        <f>IF(Table2[[#This Row],[Description]]="","",VLOOKUP(Table2[[#This Row],[Description]],$Q$1:$S$101,2,FALSE))</f>
        <v/>
      </c>
      <c r="H4276" s="1" t="str">
        <f>IF(Table2[[#This Row],[Description]]="","",VLOOKUP(Table2[[#This Row],[Description]],$Q$1:$S$101,3,FALSE))</f>
        <v/>
      </c>
      <c r="I4276" s="1" t="str">
        <f>IF(Table2[[#This Row],[Description]]="","",IF(Table2[[#This Row],[Currency]]=$O$2,$P$2,HLOOKUP(Table2[[#This Row],[Date]],Funds!$C$10:$GV$11,2,FALSE)))</f>
        <v/>
      </c>
      <c r="J4276" s="215" t="str">
        <f>IF(Table2[[#This Row],[Description]]="","",Table2[[#This Row],[Value]]/Table2[[#This Row],[Conversion]])</f>
        <v/>
      </c>
      <c r="K4276" s="45" t="str">
        <f>IF(Table2[[#This Row],[Description]]="","",DATE(Table2[[#This Row],[Year]],Table2[[#This Row],[Month]],1))</f>
        <v/>
      </c>
    </row>
    <row r="4277" spans="7:11" x14ac:dyDescent="0.25">
      <c r="G4277" s="1" t="str">
        <f>IF(Table2[[#This Row],[Description]]="","",VLOOKUP(Table2[[#This Row],[Description]],$Q$1:$S$101,2,FALSE))</f>
        <v/>
      </c>
      <c r="H4277" s="1" t="str">
        <f>IF(Table2[[#This Row],[Description]]="","",VLOOKUP(Table2[[#This Row],[Description]],$Q$1:$S$101,3,FALSE))</f>
        <v/>
      </c>
      <c r="I4277" s="1" t="str">
        <f>IF(Table2[[#This Row],[Description]]="","",IF(Table2[[#This Row],[Currency]]=$O$2,$P$2,HLOOKUP(Table2[[#This Row],[Date]],Funds!$C$10:$GV$11,2,FALSE)))</f>
        <v/>
      </c>
      <c r="J4277" s="215" t="str">
        <f>IF(Table2[[#This Row],[Description]]="","",Table2[[#This Row],[Value]]/Table2[[#This Row],[Conversion]])</f>
        <v/>
      </c>
      <c r="K4277" s="45" t="str">
        <f>IF(Table2[[#This Row],[Description]]="","",DATE(Table2[[#This Row],[Year]],Table2[[#This Row],[Month]],1))</f>
        <v/>
      </c>
    </row>
    <row r="4278" spans="7:11" x14ac:dyDescent="0.25">
      <c r="G4278" s="1" t="str">
        <f>IF(Table2[[#This Row],[Description]]="","",VLOOKUP(Table2[[#This Row],[Description]],$Q$1:$S$101,2,FALSE))</f>
        <v/>
      </c>
      <c r="H4278" s="1" t="str">
        <f>IF(Table2[[#This Row],[Description]]="","",VLOOKUP(Table2[[#This Row],[Description]],$Q$1:$S$101,3,FALSE))</f>
        <v/>
      </c>
      <c r="I4278" s="1" t="str">
        <f>IF(Table2[[#This Row],[Description]]="","",IF(Table2[[#This Row],[Currency]]=$O$2,$P$2,HLOOKUP(Table2[[#This Row],[Date]],Funds!$C$10:$GV$11,2,FALSE)))</f>
        <v/>
      </c>
      <c r="J4278" s="215" t="str">
        <f>IF(Table2[[#This Row],[Description]]="","",Table2[[#This Row],[Value]]/Table2[[#This Row],[Conversion]])</f>
        <v/>
      </c>
      <c r="K4278" s="45" t="str">
        <f>IF(Table2[[#This Row],[Description]]="","",DATE(Table2[[#This Row],[Year]],Table2[[#This Row],[Month]],1))</f>
        <v/>
      </c>
    </row>
    <row r="4279" spans="7:11" x14ac:dyDescent="0.25">
      <c r="G4279" s="1" t="str">
        <f>IF(Table2[[#This Row],[Description]]="","",VLOOKUP(Table2[[#This Row],[Description]],$Q$1:$S$101,2,FALSE))</f>
        <v/>
      </c>
      <c r="H4279" s="1" t="str">
        <f>IF(Table2[[#This Row],[Description]]="","",VLOOKUP(Table2[[#This Row],[Description]],$Q$1:$S$101,3,FALSE))</f>
        <v/>
      </c>
      <c r="I4279" s="1" t="str">
        <f>IF(Table2[[#This Row],[Description]]="","",IF(Table2[[#This Row],[Currency]]=$O$2,$P$2,HLOOKUP(Table2[[#This Row],[Date]],Funds!$C$10:$GV$11,2,FALSE)))</f>
        <v/>
      </c>
      <c r="J4279" s="215" t="str">
        <f>IF(Table2[[#This Row],[Description]]="","",Table2[[#This Row],[Value]]/Table2[[#This Row],[Conversion]])</f>
        <v/>
      </c>
      <c r="K4279" s="45" t="str">
        <f>IF(Table2[[#This Row],[Description]]="","",DATE(Table2[[#This Row],[Year]],Table2[[#This Row],[Month]],1))</f>
        <v/>
      </c>
    </row>
    <row r="4280" spans="7:11" x14ac:dyDescent="0.25">
      <c r="G4280" s="1" t="str">
        <f>IF(Table2[[#This Row],[Description]]="","",VLOOKUP(Table2[[#This Row],[Description]],$Q$1:$S$101,2,FALSE))</f>
        <v/>
      </c>
      <c r="H4280" s="1" t="str">
        <f>IF(Table2[[#This Row],[Description]]="","",VLOOKUP(Table2[[#This Row],[Description]],$Q$1:$S$101,3,FALSE))</f>
        <v/>
      </c>
      <c r="I4280" s="1" t="str">
        <f>IF(Table2[[#This Row],[Description]]="","",IF(Table2[[#This Row],[Currency]]=$O$2,$P$2,HLOOKUP(Table2[[#This Row],[Date]],Funds!$C$10:$GV$11,2,FALSE)))</f>
        <v/>
      </c>
      <c r="J4280" s="215" t="str">
        <f>IF(Table2[[#This Row],[Description]]="","",Table2[[#This Row],[Value]]/Table2[[#This Row],[Conversion]])</f>
        <v/>
      </c>
      <c r="K4280" s="45" t="str">
        <f>IF(Table2[[#This Row],[Description]]="","",DATE(Table2[[#This Row],[Year]],Table2[[#This Row],[Month]],1))</f>
        <v/>
      </c>
    </row>
    <row r="4281" spans="7:11" x14ac:dyDescent="0.25">
      <c r="G4281" s="1" t="str">
        <f>IF(Table2[[#This Row],[Description]]="","",VLOOKUP(Table2[[#This Row],[Description]],$Q$1:$S$101,2,FALSE))</f>
        <v/>
      </c>
      <c r="H4281" s="1" t="str">
        <f>IF(Table2[[#This Row],[Description]]="","",VLOOKUP(Table2[[#This Row],[Description]],$Q$1:$S$101,3,FALSE))</f>
        <v/>
      </c>
      <c r="I4281" s="1" t="str">
        <f>IF(Table2[[#This Row],[Description]]="","",IF(Table2[[#This Row],[Currency]]=$O$2,$P$2,HLOOKUP(Table2[[#This Row],[Date]],Funds!$C$10:$GV$11,2,FALSE)))</f>
        <v/>
      </c>
      <c r="J4281" s="215" t="str">
        <f>IF(Table2[[#This Row],[Description]]="","",Table2[[#This Row],[Value]]/Table2[[#This Row],[Conversion]])</f>
        <v/>
      </c>
      <c r="K4281" s="45" t="str">
        <f>IF(Table2[[#This Row],[Description]]="","",DATE(Table2[[#This Row],[Year]],Table2[[#This Row],[Month]],1))</f>
        <v/>
      </c>
    </row>
    <row r="4282" spans="7:11" x14ac:dyDescent="0.25">
      <c r="G4282" s="1" t="str">
        <f>IF(Table2[[#This Row],[Description]]="","",VLOOKUP(Table2[[#This Row],[Description]],$Q$1:$S$101,2,FALSE))</f>
        <v/>
      </c>
      <c r="H4282" s="1" t="str">
        <f>IF(Table2[[#This Row],[Description]]="","",VLOOKUP(Table2[[#This Row],[Description]],$Q$1:$S$101,3,FALSE))</f>
        <v/>
      </c>
      <c r="I4282" s="1" t="str">
        <f>IF(Table2[[#This Row],[Description]]="","",IF(Table2[[#This Row],[Currency]]=$O$2,$P$2,HLOOKUP(Table2[[#This Row],[Date]],Funds!$C$10:$GV$11,2,FALSE)))</f>
        <v/>
      </c>
      <c r="J4282" s="215" t="str">
        <f>IF(Table2[[#This Row],[Description]]="","",Table2[[#This Row],[Value]]/Table2[[#This Row],[Conversion]])</f>
        <v/>
      </c>
      <c r="K4282" s="45" t="str">
        <f>IF(Table2[[#This Row],[Description]]="","",DATE(Table2[[#This Row],[Year]],Table2[[#This Row],[Month]],1))</f>
        <v/>
      </c>
    </row>
    <row r="4283" spans="7:11" x14ac:dyDescent="0.25">
      <c r="G4283" s="1" t="str">
        <f>IF(Table2[[#This Row],[Description]]="","",VLOOKUP(Table2[[#This Row],[Description]],$Q$1:$S$101,2,FALSE))</f>
        <v/>
      </c>
      <c r="H4283" s="1" t="str">
        <f>IF(Table2[[#This Row],[Description]]="","",VLOOKUP(Table2[[#This Row],[Description]],$Q$1:$S$101,3,FALSE))</f>
        <v/>
      </c>
      <c r="I4283" s="1" t="str">
        <f>IF(Table2[[#This Row],[Description]]="","",IF(Table2[[#This Row],[Currency]]=$O$2,$P$2,HLOOKUP(Table2[[#This Row],[Date]],Funds!$C$10:$GV$11,2,FALSE)))</f>
        <v/>
      </c>
      <c r="J4283" s="215" t="str">
        <f>IF(Table2[[#This Row],[Description]]="","",Table2[[#This Row],[Value]]/Table2[[#This Row],[Conversion]])</f>
        <v/>
      </c>
      <c r="K4283" s="45" t="str">
        <f>IF(Table2[[#This Row],[Description]]="","",DATE(Table2[[#This Row],[Year]],Table2[[#This Row],[Month]],1))</f>
        <v/>
      </c>
    </row>
    <row r="4284" spans="7:11" x14ac:dyDescent="0.25">
      <c r="G4284" s="1" t="str">
        <f>IF(Table2[[#This Row],[Description]]="","",VLOOKUP(Table2[[#This Row],[Description]],$Q$1:$S$101,2,FALSE))</f>
        <v/>
      </c>
      <c r="H4284" s="1" t="str">
        <f>IF(Table2[[#This Row],[Description]]="","",VLOOKUP(Table2[[#This Row],[Description]],$Q$1:$S$101,3,FALSE))</f>
        <v/>
      </c>
      <c r="I4284" s="1" t="str">
        <f>IF(Table2[[#This Row],[Description]]="","",IF(Table2[[#This Row],[Currency]]=$O$2,$P$2,HLOOKUP(Table2[[#This Row],[Date]],Funds!$C$10:$GV$11,2,FALSE)))</f>
        <v/>
      </c>
      <c r="J4284" s="215" t="str">
        <f>IF(Table2[[#This Row],[Description]]="","",Table2[[#This Row],[Value]]/Table2[[#This Row],[Conversion]])</f>
        <v/>
      </c>
      <c r="K4284" s="45" t="str">
        <f>IF(Table2[[#This Row],[Description]]="","",DATE(Table2[[#This Row],[Year]],Table2[[#This Row],[Month]],1))</f>
        <v/>
      </c>
    </row>
    <row r="4285" spans="7:11" x14ac:dyDescent="0.25">
      <c r="G4285" s="1" t="str">
        <f>IF(Table2[[#This Row],[Description]]="","",VLOOKUP(Table2[[#This Row],[Description]],$Q$1:$S$101,2,FALSE))</f>
        <v/>
      </c>
      <c r="H4285" s="1" t="str">
        <f>IF(Table2[[#This Row],[Description]]="","",VLOOKUP(Table2[[#This Row],[Description]],$Q$1:$S$101,3,FALSE))</f>
        <v/>
      </c>
      <c r="I4285" s="1" t="str">
        <f>IF(Table2[[#This Row],[Description]]="","",IF(Table2[[#This Row],[Currency]]=$O$2,$P$2,HLOOKUP(Table2[[#This Row],[Date]],Funds!$C$10:$GV$11,2,FALSE)))</f>
        <v/>
      </c>
      <c r="J4285" s="215" t="str">
        <f>IF(Table2[[#This Row],[Description]]="","",Table2[[#This Row],[Value]]/Table2[[#This Row],[Conversion]])</f>
        <v/>
      </c>
      <c r="K4285" s="45" t="str">
        <f>IF(Table2[[#This Row],[Description]]="","",DATE(Table2[[#This Row],[Year]],Table2[[#This Row],[Month]],1))</f>
        <v/>
      </c>
    </row>
    <row r="4286" spans="7:11" x14ac:dyDescent="0.25">
      <c r="G4286" s="1" t="str">
        <f>IF(Table2[[#This Row],[Description]]="","",VLOOKUP(Table2[[#This Row],[Description]],$Q$1:$S$101,2,FALSE))</f>
        <v/>
      </c>
      <c r="H4286" s="1" t="str">
        <f>IF(Table2[[#This Row],[Description]]="","",VLOOKUP(Table2[[#This Row],[Description]],$Q$1:$S$101,3,FALSE))</f>
        <v/>
      </c>
      <c r="I4286" s="1" t="str">
        <f>IF(Table2[[#This Row],[Description]]="","",IF(Table2[[#This Row],[Currency]]=$O$2,$P$2,HLOOKUP(Table2[[#This Row],[Date]],Funds!$C$10:$GV$11,2,FALSE)))</f>
        <v/>
      </c>
      <c r="J4286" s="215" t="str">
        <f>IF(Table2[[#This Row],[Description]]="","",Table2[[#This Row],[Value]]/Table2[[#This Row],[Conversion]])</f>
        <v/>
      </c>
      <c r="K4286" s="45" t="str">
        <f>IF(Table2[[#This Row],[Description]]="","",DATE(Table2[[#This Row],[Year]],Table2[[#This Row],[Month]],1))</f>
        <v/>
      </c>
    </row>
    <row r="4287" spans="7:11" x14ac:dyDescent="0.25">
      <c r="G4287" s="1" t="str">
        <f>IF(Table2[[#This Row],[Description]]="","",VLOOKUP(Table2[[#This Row],[Description]],$Q$1:$S$101,2,FALSE))</f>
        <v/>
      </c>
      <c r="H4287" s="1" t="str">
        <f>IF(Table2[[#This Row],[Description]]="","",VLOOKUP(Table2[[#This Row],[Description]],$Q$1:$S$101,3,FALSE))</f>
        <v/>
      </c>
      <c r="I4287" s="1" t="str">
        <f>IF(Table2[[#This Row],[Description]]="","",IF(Table2[[#This Row],[Currency]]=$O$2,$P$2,HLOOKUP(Table2[[#This Row],[Date]],Funds!$C$10:$GV$11,2,FALSE)))</f>
        <v/>
      </c>
      <c r="J4287" s="215" t="str">
        <f>IF(Table2[[#This Row],[Description]]="","",Table2[[#This Row],[Value]]/Table2[[#This Row],[Conversion]])</f>
        <v/>
      </c>
      <c r="K4287" s="45" t="str">
        <f>IF(Table2[[#This Row],[Description]]="","",DATE(Table2[[#This Row],[Year]],Table2[[#This Row],[Month]],1))</f>
        <v/>
      </c>
    </row>
    <row r="4288" spans="7:11" x14ac:dyDescent="0.25">
      <c r="G4288" s="1" t="str">
        <f>IF(Table2[[#This Row],[Description]]="","",VLOOKUP(Table2[[#This Row],[Description]],$Q$1:$S$101,2,FALSE))</f>
        <v/>
      </c>
      <c r="H4288" s="1" t="str">
        <f>IF(Table2[[#This Row],[Description]]="","",VLOOKUP(Table2[[#This Row],[Description]],$Q$1:$S$101,3,FALSE))</f>
        <v/>
      </c>
      <c r="I4288" s="1" t="str">
        <f>IF(Table2[[#This Row],[Description]]="","",IF(Table2[[#This Row],[Currency]]=$O$2,$P$2,HLOOKUP(Table2[[#This Row],[Date]],Funds!$C$10:$GV$11,2,FALSE)))</f>
        <v/>
      </c>
      <c r="J4288" s="215" t="str">
        <f>IF(Table2[[#This Row],[Description]]="","",Table2[[#This Row],[Value]]/Table2[[#This Row],[Conversion]])</f>
        <v/>
      </c>
      <c r="K4288" s="45" t="str">
        <f>IF(Table2[[#This Row],[Description]]="","",DATE(Table2[[#This Row],[Year]],Table2[[#This Row],[Month]],1))</f>
        <v/>
      </c>
    </row>
    <row r="4289" spans="7:11" x14ac:dyDescent="0.25">
      <c r="G4289" s="1" t="str">
        <f>IF(Table2[[#This Row],[Description]]="","",VLOOKUP(Table2[[#This Row],[Description]],$Q$1:$S$101,2,FALSE))</f>
        <v/>
      </c>
      <c r="H4289" s="1" t="str">
        <f>IF(Table2[[#This Row],[Description]]="","",VLOOKUP(Table2[[#This Row],[Description]],$Q$1:$S$101,3,FALSE))</f>
        <v/>
      </c>
      <c r="I4289" s="1" t="str">
        <f>IF(Table2[[#This Row],[Description]]="","",IF(Table2[[#This Row],[Currency]]=$O$2,$P$2,HLOOKUP(Table2[[#This Row],[Date]],Funds!$C$10:$GV$11,2,FALSE)))</f>
        <v/>
      </c>
      <c r="J4289" s="215" t="str">
        <f>IF(Table2[[#This Row],[Description]]="","",Table2[[#This Row],[Value]]/Table2[[#This Row],[Conversion]])</f>
        <v/>
      </c>
      <c r="K4289" s="45" t="str">
        <f>IF(Table2[[#This Row],[Description]]="","",DATE(Table2[[#This Row],[Year]],Table2[[#This Row],[Month]],1))</f>
        <v/>
      </c>
    </row>
    <row r="4290" spans="7:11" x14ac:dyDescent="0.25">
      <c r="G4290" s="1" t="str">
        <f>IF(Table2[[#This Row],[Description]]="","",VLOOKUP(Table2[[#This Row],[Description]],$Q$1:$S$101,2,FALSE))</f>
        <v/>
      </c>
      <c r="H4290" s="1" t="str">
        <f>IF(Table2[[#This Row],[Description]]="","",VLOOKUP(Table2[[#This Row],[Description]],$Q$1:$S$101,3,FALSE))</f>
        <v/>
      </c>
      <c r="I4290" s="1" t="str">
        <f>IF(Table2[[#This Row],[Description]]="","",IF(Table2[[#This Row],[Currency]]=$O$2,$P$2,HLOOKUP(Table2[[#This Row],[Date]],Funds!$C$10:$GV$11,2,FALSE)))</f>
        <v/>
      </c>
      <c r="J4290" s="215" t="str">
        <f>IF(Table2[[#This Row],[Description]]="","",Table2[[#This Row],[Value]]/Table2[[#This Row],[Conversion]])</f>
        <v/>
      </c>
      <c r="K4290" s="45" t="str">
        <f>IF(Table2[[#This Row],[Description]]="","",DATE(Table2[[#This Row],[Year]],Table2[[#This Row],[Month]],1))</f>
        <v/>
      </c>
    </row>
    <row r="4291" spans="7:11" x14ac:dyDescent="0.25">
      <c r="G4291" s="1" t="str">
        <f>IF(Table2[[#This Row],[Description]]="","",VLOOKUP(Table2[[#This Row],[Description]],$Q$1:$S$101,2,FALSE))</f>
        <v/>
      </c>
      <c r="H4291" s="1" t="str">
        <f>IF(Table2[[#This Row],[Description]]="","",VLOOKUP(Table2[[#This Row],[Description]],$Q$1:$S$101,3,FALSE))</f>
        <v/>
      </c>
      <c r="I4291" s="1" t="str">
        <f>IF(Table2[[#This Row],[Description]]="","",IF(Table2[[#This Row],[Currency]]=$O$2,$P$2,HLOOKUP(Table2[[#This Row],[Date]],Funds!$C$10:$GV$11,2,FALSE)))</f>
        <v/>
      </c>
      <c r="J4291" s="215" t="str">
        <f>IF(Table2[[#This Row],[Description]]="","",Table2[[#This Row],[Value]]/Table2[[#This Row],[Conversion]])</f>
        <v/>
      </c>
      <c r="K4291" s="45" t="str">
        <f>IF(Table2[[#This Row],[Description]]="","",DATE(Table2[[#This Row],[Year]],Table2[[#This Row],[Month]],1))</f>
        <v/>
      </c>
    </row>
    <row r="4292" spans="7:11" x14ac:dyDescent="0.25">
      <c r="G4292" s="1" t="str">
        <f>IF(Table2[[#This Row],[Description]]="","",VLOOKUP(Table2[[#This Row],[Description]],$Q$1:$S$101,2,FALSE))</f>
        <v/>
      </c>
      <c r="H4292" s="1" t="str">
        <f>IF(Table2[[#This Row],[Description]]="","",VLOOKUP(Table2[[#This Row],[Description]],$Q$1:$S$101,3,FALSE))</f>
        <v/>
      </c>
      <c r="I4292" s="1" t="str">
        <f>IF(Table2[[#This Row],[Description]]="","",IF(Table2[[#This Row],[Currency]]=$O$2,$P$2,HLOOKUP(Table2[[#This Row],[Date]],Funds!$C$10:$GV$11,2,FALSE)))</f>
        <v/>
      </c>
      <c r="J4292" s="215" t="str">
        <f>IF(Table2[[#This Row],[Description]]="","",Table2[[#This Row],[Value]]/Table2[[#This Row],[Conversion]])</f>
        <v/>
      </c>
      <c r="K4292" s="45" t="str">
        <f>IF(Table2[[#This Row],[Description]]="","",DATE(Table2[[#This Row],[Year]],Table2[[#This Row],[Month]],1))</f>
        <v/>
      </c>
    </row>
    <row r="4293" spans="7:11" x14ac:dyDescent="0.25">
      <c r="G4293" s="1" t="str">
        <f>IF(Table2[[#This Row],[Description]]="","",VLOOKUP(Table2[[#This Row],[Description]],$Q$1:$S$101,2,FALSE))</f>
        <v/>
      </c>
      <c r="H4293" s="1" t="str">
        <f>IF(Table2[[#This Row],[Description]]="","",VLOOKUP(Table2[[#This Row],[Description]],$Q$1:$S$101,3,FALSE))</f>
        <v/>
      </c>
      <c r="I4293" s="1" t="str">
        <f>IF(Table2[[#This Row],[Description]]="","",IF(Table2[[#This Row],[Currency]]=$O$2,$P$2,HLOOKUP(Table2[[#This Row],[Date]],Funds!$C$10:$GV$11,2,FALSE)))</f>
        <v/>
      </c>
      <c r="J4293" s="215" t="str">
        <f>IF(Table2[[#This Row],[Description]]="","",Table2[[#This Row],[Value]]/Table2[[#This Row],[Conversion]])</f>
        <v/>
      </c>
      <c r="K4293" s="45" t="str">
        <f>IF(Table2[[#This Row],[Description]]="","",DATE(Table2[[#This Row],[Year]],Table2[[#This Row],[Month]],1))</f>
        <v/>
      </c>
    </row>
    <row r="4294" spans="7:11" x14ac:dyDescent="0.25">
      <c r="G4294" s="1" t="str">
        <f>IF(Table2[[#This Row],[Description]]="","",VLOOKUP(Table2[[#This Row],[Description]],$Q$1:$S$101,2,FALSE))</f>
        <v/>
      </c>
      <c r="H4294" s="1" t="str">
        <f>IF(Table2[[#This Row],[Description]]="","",VLOOKUP(Table2[[#This Row],[Description]],$Q$1:$S$101,3,FALSE))</f>
        <v/>
      </c>
      <c r="I4294" s="1" t="str">
        <f>IF(Table2[[#This Row],[Description]]="","",IF(Table2[[#This Row],[Currency]]=$O$2,$P$2,HLOOKUP(Table2[[#This Row],[Date]],Funds!$C$10:$GV$11,2,FALSE)))</f>
        <v/>
      </c>
      <c r="J4294" s="215" t="str">
        <f>IF(Table2[[#This Row],[Description]]="","",Table2[[#This Row],[Value]]/Table2[[#This Row],[Conversion]])</f>
        <v/>
      </c>
      <c r="K4294" s="45" t="str">
        <f>IF(Table2[[#This Row],[Description]]="","",DATE(Table2[[#This Row],[Year]],Table2[[#This Row],[Month]],1))</f>
        <v/>
      </c>
    </row>
    <row r="4295" spans="7:11" x14ac:dyDescent="0.25">
      <c r="G4295" s="1" t="str">
        <f>IF(Table2[[#This Row],[Description]]="","",VLOOKUP(Table2[[#This Row],[Description]],$Q$1:$S$101,2,FALSE))</f>
        <v/>
      </c>
      <c r="H4295" s="1" t="str">
        <f>IF(Table2[[#This Row],[Description]]="","",VLOOKUP(Table2[[#This Row],[Description]],$Q$1:$S$101,3,FALSE))</f>
        <v/>
      </c>
      <c r="I4295" s="1" t="str">
        <f>IF(Table2[[#This Row],[Description]]="","",IF(Table2[[#This Row],[Currency]]=$O$2,$P$2,HLOOKUP(Table2[[#This Row],[Date]],Funds!$C$10:$GV$11,2,FALSE)))</f>
        <v/>
      </c>
      <c r="J4295" s="215" t="str">
        <f>IF(Table2[[#This Row],[Description]]="","",Table2[[#This Row],[Value]]/Table2[[#This Row],[Conversion]])</f>
        <v/>
      </c>
      <c r="K4295" s="45" t="str">
        <f>IF(Table2[[#This Row],[Description]]="","",DATE(Table2[[#This Row],[Year]],Table2[[#This Row],[Month]],1))</f>
        <v/>
      </c>
    </row>
    <row r="4296" spans="7:11" x14ac:dyDescent="0.25">
      <c r="G4296" s="1" t="str">
        <f>IF(Table2[[#This Row],[Description]]="","",VLOOKUP(Table2[[#This Row],[Description]],$Q$1:$S$101,2,FALSE))</f>
        <v/>
      </c>
      <c r="H4296" s="1" t="str">
        <f>IF(Table2[[#This Row],[Description]]="","",VLOOKUP(Table2[[#This Row],[Description]],$Q$1:$S$101,3,FALSE))</f>
        <v/>
      </c>
      <c r="I4296" s="1" t="str">
        <f>IF(Table2[[#This Row],[Description]]="","",IF(Table2[[#This Row],[Currency]]=$O$2,$P$2,HLOOKUP(Table2[[#This Row],[Date]],Funds!$C$10:$GV$11,2,FALSE)))</f>
        <v/>
      </c>
      <c r="J4296" s="215" t="str">
        <f>IF(Table2[[#This Row],[Description]]="","",Table2[[#This Row],[Value]]/Table2[[#This Row],[Conversion]])</f>
        <v/>
      </c>
      <c r="K4296" s="45" t="str">
        <f>IF(Table2[[#This Row],[Description]]="","",DATE(Table2[[#This Row],[Year]],Table2[[#This Row],[Month]],1))</f>
        <v/>
      </c>
    </row>
    <row r="4297" spans="7:11" x14ac:dyDescent="0.25">
      <c r="G4297" s="1" t="str">
        <f>IF(Table2[[#This Row],[Description]]="","",VLOOKUP(Table2[[#This Row],[Description]],$Q$1:$S$101,2,FALSE))</f>
        <v/>
      </c>
      <c r="H4297" s="1" t="str">
        <f>IF(Table2[[#This Row],[Description]]="","",VLOOKUP(Table2[[#This Row],[Description]],$Q$1:$S$101,3,FALSE))</f>
        <v/>
      </c>
      <c r="I4297" s="1" t="str">
        <f>IF(Table2[[#This Row],[Description]]="","",IF(Table2[[#This Row],[Currency]]=$O$2,$P$2,HLOOKUP(Table2[[#This Row],[Date]],Funds!$C$10:$GV$11,2,FALSE)))</f>
        <v/>
      </c>
      <c r="J4297" s="215" t="str">
        <f>IF(Table2[[#This Row],[Description]]="","",Table2[[#This Row],[Value]]/Table2[[#This Row],[Conversion]])</f>
        <v/>
      </c>
      <c r="K4297" s="45" t="str">
        <f>IF(Table2[[#This Row],[Description]]="","",DATE(Table2[[#This Row],[Year]],Table2[[#This Row],[Month]],1))</f>
        <v/>
      </c>
    </row>
    <row r="4298" spans="7:11" x14ac:dyDescent="0.25">
      <c r="G4298" s="1" t="str">
        <f>IF(Table2[[#This Row],[Description]]="","",VLOOKUP(Table2[[#This Row],[Description]],$Q$1:$S$101,2,FALSE))</f>
        <v/>
      </c>
      <c r="H4298" s="1" t="str">
        <f>IF(Table2[[#This Row],[Description]]="","",VLOOKUP(Table2[[#This Row],[Description]],$Q$1:$S$101,3,FALSE))</f>
        <v/>
      </c>
      <c r="I4298" s="1" t="str">
        <f>IF(Table2[[#This Row],[Description]]="","",IF(Table2[[#This Row],[Currency]]=$O$2,$P$2,HLOOKUP(Table2[[#This Row],[Date]],Funds!$C$10:$GV$11,2,FALSE)))</f>
        <v/>
      </c>
      <c r="J4298" s="215" t="str">
        <f>IF(Table2[[#This Row],[Description]]="","",Table2[[#This Row],[Value]]/Table2[[#This Row],[Conversion]])</f>
        <v/>
      </c>
      <c r="K4298" s="45" t="str">
        <f>IF(Table2[[#This Row],[Description]]="","",DATE(Table2[[#This Row],[Year]],Table2[[#This Row],[Month]],1))</f>
        <v/>
      </c>
    </row>
    <row r="4299" spans="7:11" x14ac:dyDescent="0.25">
      <c r="G4299" s="1" t="str">
        <f>IF(Table2[[#This Row],[Description]]="","",VLOOKUP(Table2[[#This Row],[Description]],$Q$1:$S$101,2,FALSE))</f>
        <v/>
      </c>
      <c r="H4299" s="1" t="str">
        <f>IF(Table2[[#This Row],[Description]]="","",VLOOKUP(Table2[[#This Row],[Description]],$Q$1:$S$101,3,FALSE))</f>
        <v/>
      </c>
      <c r="I4299" s="1" t="str">
        <f>IF(Table2[[#This Row],[Description]]="","",IF(Table2[[#This Row],[Currency]]=$O$2,$P$2,HLOOKUP(Table2[[#This Row],[Date]],Funds!$C$10:$GV$11,2,FALSE)))</f>
        <v/>
      </c>
      <c r="J4299" s="215" t="str">
        <f>IF(Table2[[#This Row],[Description]]="","",Table2[[#This Row],[Value]]/Table2[[#This Row],[Conversion]])</f>
        <v/>
      </c>
      <c r="K4299" s="45" t="str">
        <f>IF(Table2[[#This Row],[Description]]="","",DATE(Table2[[#This Row],[Year]],Table2[[#This Row],[Month]],1))</f>
        <v/>
      </c>
    </row>
    <row r="4300" spans="7:11" x14ac:dyDescent="0.25">
      <c r="G4300" s="1" t="str">
        <f>IF(Table2[[#This Row],[Description]]="","",VLOOKUP(Table2[[#This Row],[Description]],$Q$1:$S$101,2,FALSE))</f>
        <v/>
      </c>
      <c r="H4300" s="1" t="str">
        <f>IF(Table2[[#This Row],[Description]]="","",VLOOKUP(Table2[[#This Row],[Description]],$Q$1:$S$101,3,FALSE))</f>
        <v/>
      </c>
      <c r="I4300" s="1" t="str">
        <f>IF(Table2[[#This Row],[Description]]="","",IF(Table2[[#This Row],[Currency]]=$O$2,$P$2,HLOOKUP(Table2[[#This Row],[Date]],Funds!$C$10:$GV$11,2,FALSE)))</f>
        <v/>
      </c>
      <c r="J4300" s="215" t="str">
        <f>IF(Table2[[#This Row],[Description]]="","",Table2[[#This Row],[Value]]/Table2[[#This Row],[Conversion]])</f>
        <v/>
      </c>
      <c r="K4300" s="45" t="str">
        <f>IF(Table2[[#This Row],[Description]]="","",DATE(Table2[[#This Row],[Year]],Table2[[#This Row],[Month]],1))</f>
        <v/>
      </c>
    </row>
    <row r="4301" spans="7:11" x14ac:dyDescent="0.25">
      <c r="G4301" s="1" t="str">
        <f>IF(Table2[[#This Row],[Description]]="","",VLOOKUP(Table2[[#This Row],[Description]],$Q$1:$S$101,2,FALSE))</f>
        <v/>
      </c>
      <c r="H4301" s="1" t="str">
        <f>IF(Table2[[#This Row],[Description]]="","",VLOOKUP(Table2[[#This Row],[Description]],$Q$1:$S$101,3,FALSE))</f>
        <v/>
      </c>
      <c r="I4301" s="1" t="str">
        <f>IF(Table2[[#This Row],[Description]]="","",IF(Table2[[#This Row],[Currency]]=$O$2,$P$2,HLOOKUP(Table2[[#This Row],[Date]],Funds!$C$10:$GV$11,2,FALSE)))</f>
        <v/>
      </c>
      <c r="J4301" s="215" t="str">
        <f>IF(Table2[[#This Row],[Description]]="","",Table2[[#This Row],[Value]]/Table2[[#This Row],[Conversion]])</f>
        <v/>
      </c>
      <c r="K4301" s="45" t="str">
        <f>IF(Table2[[#This Row],[Description]]="","",DATE(Table2[[#This Row],[Year]],Table2[[#This Row],[Month]],1))</f>
        <v/>
      </c>
    </row>
    <row r="4302" spans="7:11" x14ac:dyDescent="0.25">
      <c r="G4302" s="1" t="str">
        <f>IF(Table2[[#This Row],[Description]]="","",VLOOKUP(Table2[[#This Row],[Description]],$Q$1:$S$101,2,FALSE))</f>
        <v/>
      </c>
      <c r="H4302" s="1" t="str">
        <f>IF(Table2[[#This Row],[Description]]="","",VLOOKUP(Table2[[#This Row],[Description]],$Q$1:$S$101,3,FALSE))</f>
        <v/>
      </c>
      <c r="I4302" s="1" t="str">
        <f>IF(Table2[[#This Row],[Description]]="","",IF(Table2[[#This Row],[Currency]]=$O$2,$P$2,HLOOKUP(Table2[[#This Row],[Date]],Funds!$C$10:$GV$11,2,FALSE)))</f>
        <v/>
      </c>
      <c r="J4302" s="215" t="str">
        <f>IF(Table2[[#This Row],[Description]]="","",Table2[[#This Row],[Value]]/Table2[[#This Row],[Conversion]])</f>
        <v/>
      </c>
      <c r="K4302" s="45" t="str">
        <f>IF(Table2[[#This Row],[Description]]="","",DATE(Table2[[#This Row],[Year]],Table2[[#This Row],[Month]],1))</f>
        <v/>
      </c>
    </row>
    <row r="4303" spans="7:11" x14ac:dyDescent="0.25">
      <c r="G4303" s="1" t="str">
        <f>IF(Table2[[#This Row],[Description]]="","",VLOOKUP(Table2[[#This Row],[Description]],$Q$1:$S$101,2,FALSE))</f>
        <v/>
      </c>
      <c r="H4303" s="1" t="str">
        <f>IF(Table2[[#This Row],[Description]]="","",VLOOKUP(Table2[[#This Row],[Description]],$Q$1:$S$101,3,FALSE))</f>
        <v/>
      </c>
      <c r="I4303" s="1" t="str">
        <f>IF(Table2[[#This Row],[Description]]="","",IF(Table2[[#This Row],[Currency]]=$O$2,$P$2,HLOOKUP(Table2[[#This Row],[Date]],Funds!$C$10:$GV$11,2,FALSE)))</f>
        <v/>
      </c>
      <c r="J4303" s="215" t="str">
        <f>IF(Table2[[#This Row],[Description]]="","",Table2[[#This Row],[Value]]/Table2[[#This Row],[Conversion]])</f>
        <v/>
      </c>
      <c r="K4303" s="45" t="str">
        <f>IF(Table2[[#This Row],[Description]]="","",DATE(Table2[[#This Row],[Year]],Table2[[#This Row],[Month]],1))</f>
        <v/>
      </c>
    </row>
    <row r="4304" spans="7:11" x14ac:dyDescent="0.25">
      <c r="G4304" s="1" t="str">
        <f>IF(Table2[[#This Row],[Description]]="","",VLOOKUP(Table2[[#This Row],[Description]],$Q$1:$S$101,2,FALSE))</f>
        <v/>
      </c>
      <c r="H4304" s="1" t="str">
        <f>IF(Table2[[#This Row],[Description]]="","",VLOOKUP(Table2[[#This Row],[Description]],$Q$1:$S$101,3,FALSE))</f>
        <v/>
      </c>
      <c r="I4304" s="1" t="str">
        <f>IF(Table2[[#This Row],[Description]]="","",IF(Table2[[#This Row],[Currency]]=$O$2,$P$2,HLOOKUP(Table2[[#This Row],[Date]],Funds!$C$10:$GV$11,2,FALSE)))</f>
        <v/>
      </c>
      <c r="J4304" s="215" t="str">
        <f>IF(Table2[[#This Row],[Description]]="","",Table2[[#This Row],[Value]]/Table2[[#This Row],[Conversion]])</f>
        <v/>
      </c>
      <c r="K4304" s="45" t="str">
        <f>IF(Table2[[#This Row],[Description]]="","",DATE(Table2[[#This Row],[Year]],Table2[[#This Row],[Month]],1))</f>
        <v/>
      </c>
    </row>
    <row r="4305" spans="7:11" x14ac:dyDescent="0.25">
      <c r="G4305" s="1" t="str">
        <f>IF(Table2[[#This Row],[Description]]="","",VLOOKUP(Table2[[#This Row],[Description]],$Q$1:$S$101,2,FALSE))</f>
        <v/>
      </c>
      <c r="H4305" s="1" t="str">
        <f>IF(Table2[[#This Row],[Description]]="","",VLOOKUP(Table2[[#This Row],[Description]],$Q$1:$S$101,3,FALSE))</f>
        <v/>
      </c>
      <c r="I4305" s="1" t="str">
        <f>IF(Table2[[#This Row],[Description]]="","",IF(Table2[[#This Row],[Currency]]=$O$2,$P$2,HLOOKUP(Table2[[#This Row],[Date]],Funds!$C$10:$GV$11,2,FALSE)))</f>
        <v/>
      </c>
      <c r="J4305" s="215" t="str">
        <f>IF(Table2[[#This Row],[Description]]="","",Table2[[#This Row],[Value]]/Table2[[#This Row],[Conversion]])</f>
        <v/>
      </c>
      <c r="K4305" s="45" t="str">
        <f>IF(Table2[[#This Row],[Description]]="","",DATE(Table2[[#This Row],[Year]],Table2[[#This Row],[Month]],1))</f>
        <v/>
      </c>
    </row>
    <row r="4306" spans="7:11" x14ac:dyDescent="0.25">
      <c r="G4306" s="1" t="str">
        <f>IF(Table2[[#This Row],[Description]]="","",VLOOKUP(Table2[[#This Row],[Description]],$Q$1:$S$101,2,FALSE))</f>
        <v/>
      </c>
      <c r="H4306" s="1" t="str">
        <f>IF(Table2[[#This Row],[Description]]="","",VLOOKUP(Table2[[#This Row],[Description]],$Q$1:$S$101,3,FALSE))</f>
        <v/>
      </c>
      <c r="I4306" s="1" t="str">
        <f>IF(Table2[[#This Row],[Description]]="","",IF(Table2[[#This Row],[Currency]]=$O$2,$P$2,HLOOKUP(Table2[[#This Row],[Date]],Funds!$C$10:$GV$11,2,FALSE)))</f>
        <v/>
      </c>
      <c r="J4306" s="215" t="str">
        <f>IF(Table2[[#This Row],[Description]]="","",Table2[[#This Row],[Value]]/Table2[[#This Row],[Conversion]])</f>
        <v/>
      </c>
      <c r="K4306" s="45" t="str">
        <f>IF(Table2[[#This Row],[Description]]="","",DATE(Table2[[#This Row],[Year]],Table2[[#This Row],[Month]],1))</f>
        <v/>
      </c>
    </row>
    <row r="4307" spans="7:11" x14ac:dyDescent="0.25">
      <c r="G4307" s="1" t="str">
        <f>IF(Table2[[#This Row],[Description]]="","",VLOOKUP(Table2[[#This Row],[Description]],$Q$1:$S$101,2,FALSE))</f>
        <v/>
      </c>
      <c r="H4307" s="1" t="str">
        <f>IF(Table2[[#This Row],[Description]]="","",VLOOKUP(Table2[[#This Row],[Description]],$Q$1:$S$101,3,FALSE))</f>
        <v/>
      </c>
      <c r="I4307" s="1" t="str">
        <f>IF(Table2[[#This Row],[Description]]="","",IF(Table2[[#This Row],[Currency]]=$O$2,$P$2,HLOOKUP(Table2[[#This Row],[Date]],Funds!$C$10:$GV$11,2,FALSE)))</f>
        <v/>
      </c>
      <c r="J4307" s="215" t="str">
        <f>IF(Table2[[#This Row],[Description]]="","",Table2[[#This Row],[Value]]/Table2[[#This Row],[Conversion]])</f>
        <v/>
      </c>
      <c r="K4307" s="45" t="str">
        <f>IF(Table2[[#This Row],[Description]]="","",DATE(Table2[[#This Row],[Year]],Table2[[#This Row],[Month]],1))</f>
        <v/>
      </c>
    </row>
    <row r="4308" spans="7:11" x14ac:dyDescent="0.25">
      <c r="G4308" s="1" t="str">
        <f>IF(Table2[[#This Row],[Description]]="","",VLOOKUP(Table2[[#This Row],[Description]],$Q$1:$S$101,2,FALSE))</f>
        <v/>
      </c>
      <c r="H4308" s="1" t="str">
        <f>IF(Table2[[#This Row],[Description]]="","",VLOOKUP(Table2[[#This Row],[Description]],$Q$1:$S$101,3,FALSE))</f>
        <v/>
      </c>
      <c r="I4308" s="1" t="str">
        <f>IF(Table2[[#This Row],[Description]]="","",IF(Table2[[#This Row],[Currency]]=$O$2,$P$2,HLOOKUP(Table2[[#This Row],[Date]],Funds!$C$10:$GV$11,2,FALSE)))</f>
        <v/>
      </c>
      <c r="J4308" s="215" t="str">
        <f>IF(Table2[[#This Row],[Description]]="","",Table2[[#This Row],[Value]]/Table2[[#This Row],[Conversion]])</f>
        <v/>
      </c>
      <c r="K4308" s="45" t="str">
        <f>IF(Table2[[#This Row],[Description]]="","",DATE(Table2[[#This Row],[Year]],Table2[[#This Row],[Month]],1))</f>
        <v/>
      </c>
    </row>
    <row r="4309" spans="7:11" x14ac:dyDescent="0.25">
      <c r="G4309" s="1" t="str">
        <f>IF(Table2[[#This Row],[Description]]="","",VLOOKUP(Table2[[#This Row],[Description]],$Q$1:$S$101,2,FALSE))</f>
        <v/>
      </c>
      <c r="H4309" s="1" t="str">
        <f>IF(Table2[[#This Row],[Description]]="","",VLOOKUP(Table2[[#This Row],[Description]],$Q$1:$S$101,3,FALSE))</f>
        <v/>
      </c>
      <c r="I4309" s="1" t="str">
        <f>IF(Table2[[#This Row],[Description]]="","",IF(Table2[[#This Row],[Currency]]=$O$2,$P$2,HLOOKUP(Table2[[#This Row],[Date]],Funds!$C$10:$GV$11,2,FALSE)))</f>
        <v/>
      </c>
      <c r="J4309" s="215" t="str">
        <f>IF(Table2[[#This Row],[Description]]="","",Table2[[#This Row],[Value]]/Table2[[#This Row],[Conversion]])</f>
        <v/>
      </c>
      <c r="K4309" s="45" t="str">
        <f>IF(Table2[[#This Row],[Description]]="","",DATE(Table2[[#This Row],[Year]],Table2[[#This Row],[Month]],1))</f>
        <v/>
      </c>
    </row>
    <row r="4310" spans="7:11" x14ac:dyDescent="0.25">
      <c r="G4310" s="1" t="str">
        <f>IF(Table2[[#This Row],[Description]]="","",VLOOKUP(Table2[[#This Row],[Description]],$Q$1:$S$101,2,FALSE))</f>
        <v/>
      </c>
      <c r="H4310" s="1" t="str">
        <f>IF(Table2[[#This Row],[Description]]="","",VLOOKUP(Table2[[#This Row],[Description]],$Q$1:$S$101,3,FALSE))</f>
        <v/>
      </c>
      <c r="I4310" s="1" t="str">
        <f>IF(Table2[[#This Row],[Description]]="","",IF(Table2[[#This Row],[Currency]]=$O$2,$P$2,HLOOKUP(Table2[[#This Row],[Date]],Funds!$C$10:$GV$11,2,FALSE)))</f>
        <v/>
      </c>
      <c r="J4310" s="215" t="str">
        <f>IF(Table2[[#This Row],[Description]]="","",Table2[[#This Row],[Value]]/Table2[[#This Row],[Conversion]])</f>
        <v/>
      </c>
      <c r="K4310" s="45" t="str">
        <f>IF(Table2[[#This Row],[Description]]="","",DATE(Table2[[#This Row],[Year]],Table2[[#This Row],[Month]],1))</f>
        <v/>
      </c>
    </row>
    <row r="4311" spans="7:11" x14ac:dyDescent="0.25">
      <c r="G4311" s="1" t="str">
        <f>IF(Table2[[#This Row],[Description]]="","",VLOOKUP(Table2[[#This Row],[Description]],$Q$1:$S$101,2,FALSE))</f>
        <v/>
      </c>
      <c r="H4311" s="1" t="str">
        <f>IF(Table2[[#This Row],[Description]]="","",VLOOKUP(Table2[[#This Row],[Description]],$Q$1:$S$101,3,FALSE))</f>
        <v/>
      </c>
      <c r="I4311" s="1" t="str">
        <f>IF(Table2[[#This Row],[Description]]="","",IF(Table2[[#This Row],[Currency]]=$O$2,$P$2,HLOOKUP(Table2[[#This Row],[Date]],Funds!$C$10:$GV$11,2,FALSE)))</f>
        <v/>
      </c>
      <c r="J4311" s="215" t="str">
        <f>IF(Table2[[#This Row],[Description]]="","",Table2[[#This Row],[Value]]/Table2[[#This Row],[Conversion]])</f>
        <v/>
      </c>
      <c r="K4311" s="45" t="str">
        <f>IF(Table2[[#This Row],[Description]]="","",DATE(Table2[[#This Row],[Year]],Table2[[#This Row],[Month]],1))</f>
        <v/>
      </c>
    </row>
    <row r="4312" spans="7:11" x14ac:dyDescent="0.25">
      <c r="G4312" s="1" t="str">
        <f>IF(Table2[[#This Row],[Description]]="","",VLOOKUP(Table2[[#This Row],[Description]],$Q$1:$S$101,2,FALSE))</f>
        <v/>
      </c>
      <c r="H4312" s="1" t="str">
        <f>IF(Table2[[#This Row],[Description]]="","",VLOOKUP(Table2[[#This Row],[Description]],$Q$1:$S$101,3,FALSE))</f>
        <v/>
      </c>
      <c r="I4312" s="1" t="str">
        <f>IF(Table2[[#This Row],[Description]]="","",IF(Table2[[#This Row],[Currency]]=$O$2,$P$2,HLOOKUP(Table2[[#This Row],[Date]],Funds!$C$10:$GV$11,2,FALSE)))</f>
        <v/>
      </c>
      <c r="J4312" s="215" t="str">
        <f>IF(Table2[[#This Row],[Description]]="","",Table2[[#This Row],[Value]]/Table2[[#This Row],[Conversion]])</f>
        <v/>
      </c>
      <c r="K4312" s="45" t="str">
        <f>IF(Table2[[#This Row],[Description]]="","",DATE(Table2[[#This Row],[Year]],Table2[[#This Row],[Month]],1))</f>
        <v/>
      </c>
    </row>
    <row r="4313" spans="7:11" x14ac:dyDescent="0.25">
      <c r="G4313" s="1" t="str">
        <f>IF(Table2[[#This Row],[Description]]="","",VLOOKUP(Table2[[#This Row],[Description]],$Q$1:$S$101,2,FALSE))</f>
        <v/>
      </c>
      <c r="H4313" s="1" t="str">
        <f>IF(Table2[[#This Row],[Description]]="","",VLOOKUP(Table2[[#This Row],[Description]],$Q$1:$S$101,3,FALSE))</f>
        <v/>
      </c>
      <c r="I4313" s="1" t="str">
        <f>IF(Table2[[#This Row],[Description]]="","",IF(Table2[[#This Row],[Currency]]=$O$2,$P$2,HLOOKUP(Table2[[#This Row],[Date]],Funds!$C$10:$GV$11,2,FALSE)))</f>
        <v/>
      </c>
      <c r="J4313" s="215" t="str">
        <f>IF(Table2[[#This Row],[Description]]="","",Table2[[#This Row],[Value]]/Table2[[#This Row],[Conversion]])</f>
        <v/>
      </c>
      <c r="K4313" s="45" t="str">
        <f>IF(Table2[[#This Row],[Description]]="","",DATE(Table2[[#This Row],[Year]],Table2[[#This Row],[Month]],1))</f>
        <v/>
      </c>
    </row>
    <row r="4314" spans="7:11" x14ac:dyDescent="0.25">
      <c r="G4314" s="1" t="str">
        <f>IF(Table2[[#This Row],[Description]]="","",VLOOKUP(Table2[[#This Row],[Description]],$Q$1:$S$101,2,FALSE))</f>
        <v/>
      </c>
      <c r="H4314" s="1" t="str">
        <f>IF(Table2[[#This Row],[Description]]="","",VLOOKUP(Table2[[#This Row],[Description]],$Q$1:$S$101,3,FALSE))</f>
        <v/>
      </c>
      <c r="I4314" s="1" t="str">
        <f>IF(Table2[[#This Row],[Description]]="","",IF(Table2[[#This Row],[Currency]]=$O$2,$P$2,HLOOKUP(Table2[[#This Row],[Date]],Funds!$C$10:$GV$11,2,FALSE)))</f>
        <v/>
      </c>
      <c r="J4314" s="215" t="str">
        <f>IF(Table2[[#This Row],[Description]]="","",Table2[[#This Row],[Value]]/Table2[[#This Row],[Conversion]])</f>
        <v/>
      </c>
      <c r="K4314" s="45" t="str">
        <f>IF(Table2[[#This Row],[Description]]="","",DATE(Table2[[#This Row],[Year]],Table2[[#This Row],[Month]],1))</f>
        <v/>
      </c>
    </row>
    <row r="4315" spans="7:11" x14ac:dyDescent="0.25">
      <c r="G4315" s="1" t="str">
        <f>IF(Table2[[#This Row],[Description]]="","",VLOOKUP(Table2[[#This Row],[Description]],$Q$1:$S$101,2,FALSE))</f>
        <v/>
      </c>
      <c r="H4315" s="1" t="str">
        <f>IF(Table2[[#This Row],[Description]]="","",VLOOKUP(Table2[[#This Row],[Description]],$Q$1:$S$101,3,FALSE))</f>
        <v/>
      </c>
      <c r="I4315" s="1" t="str">
        <f>IF(Table2[[#This Row],[Description]]="","",IF(Table2[[#This Row],[Currency]]=$O$2,$P$2,HLOOKUP(Table2[[#This Row],[Date]],Funds!$C$10:$GV$11,2,FALSE)))</f>
        <v/>
      </c>
      <c r="J4315" s="215" t="str">
        <f>IF(Table2[[#This Row],[Description]]="","",Table2[[#This Row],[Value]]/Table2[[#This Row],[Conversion]])</f>
        <v/>
      </c>
      <c r="K4315" s="45" t="str">
        <f>IF(Table2[[#This Row],[Description]]="","",DATE(Table2[[#This Row],[Year]],Table2[[#This Row],[Month]],1))</f>
        <v/>
      </c>
    </row>
    <row r="4316" spans="7:11" x14ac:dyDescent="0.25">
      <c r="G4316" s="1" t="str">
        <f>IF(Table2[[#This Row],[Description]]="","",VLOOKUP(Table2[[#This Row],[Description]],$Q$1:$S$101,2,FALSE))</f>
        <v/>
      </c>
      <c r="H4316" s="1" t="str">
        <f>IF(Table2[[#This Row],[Description]]="","",VLOOKUP(Table2[[#This Row],[Description]],$Q$1:$S$101,3,FALSE))</f>
        <v/>
      </c>
      <c r="I4316" s="1" t="str">
        <f>IF(Table2[[#This Row],[Description]]="","",IF(Table2[[#This Row],[Currency]]=$O$2,$P$2,HLOOKUP(Table2[[#This Row],[Date]],Funds!$C$10:$GV$11,2,FALSE)))</f>
        <v/>
      </c>
      <c r="J4316" s="215" t="str">
        <f>IF(Table2[[#This Row],[Description]]="","",Table2[[#This Row],[Value]]/Table2[[#This Row],[Conversion]])</f>
        <v/>
      </c>
      <c r="K4316" s="45" t="str">
        <f>IF(Table2[[#This Row],[Description]]="","",DATE(Table2[[#This Row],[Year]],Table2[[#This Row],[Month]],1))</f>
        <v/>
      </c>
    </row>
    <row r="4317" spans="7:11" x14ac:dyDescent="0.25">
      <c r="G4317" s="1" t="str">
        <f>IF(Table2[[#This Row],[Description]]="","",VLOOKUP(Table2[[#This Row],[Description]],$Q$1:$S$101,2,FALSE))</f>
        <v/>
      </c>
      <c r="H4317" s="1" t="str">
        <f>IF(Table2[[#This Row],[Description]]="","",VLOOKUP(Table2[[#This Row],[Description]],$Q$1:$S$101,3,FALSE))</f>
        <v/>
      </c>
      <c r="I4317" s="1" t="str">
        <f>IF(Table2[[#This Row],[Description]]="","",IF(Table2[[#This Row],[Currency]]=$O$2,$P$2,HLOOKUP(Table2[[#This Row],[Date]],Funds!$C$10:$GV$11,2,FALSE)))</f>
        <v/>
      </c>
      <c r="J4317" s="215" t="str">
        <f>IF(Table2[[#This Row],[Description]]="","",Table2[[#This Row],[Value]]/Table2[[#This Row],[Conversion]])</f>
        <v/>
      </c>
      <c r="K4317" s="45" t="str">
        <f>IF(Table2[[#This Row],[Description]]="","",DATE(Table2[[#This Row],[Year]],Table2[[#This Row],[Month]],1))</f>
        <v/>
      </c>
    </row>
    <row r="4318" spans="7:11" x14ac:dyDescent="0.25">
      <c r="G4318" s="1" t="str">
        <f>IF(Table2[[#This Row],[Description]]="","",VLOOKUP(Table2[[#This Row],[Description]],$Q$1:$S$101,2,FALSE))</f>
        <v/>
      </c>
      <c r="H4318" s="1" t="str">
        <f>IF(Table2[[#This Row],[Description]]="","",VLOOKUP(Table2[[#This Row],[Description]],$Q$1:$S$101,3,FALSE))</f>
        <v/>
      </c>
      <c r="I4318" s="1" t="str">
        <f>IF(Table2[[#This Row],[Description]]="","",IF(Table2[[#This Row],[Currency]]=$O$2,$P$2,HLOOKUP(Table2[[#This Row],[Date]],Funds!$C$10:$GV$11,2,FALSE)))</f>
        <v/>
      </c>
      <c r="J4318" s="215" t="str">
        <f>IF(Table2[[#This Row],[Description]]="","",Table2[[#This Row],[Value]]/Table2[[#This Row],[Conversion]])</f>
        <v/>
      </c>
      <c r="K4318" s="45" t="str">
        <f>IF(Table2[[#This Row],[Description]]="","",DATE(Table2[[#This Row],[Year]],Table2[[#This Row],[Month]],1))</f>
        <v/>
      </c>
    </row>
    <row r="4319" spans="7:11" x14ac:dyDescent="0.25">
      <c r="G4319" s="1" t="str">
        <f>IF(Table2[[#This Row],[Description]]="","",VLOOKUP(Table2[[#This Row],[Description]],$Q$1:$S$101,2,FALSE))</f>
        <v/>
      </c>
      <c r="H4319" s="1" t="str">
        <f>IF(Table2[[#This Row],[Description]]="","",VLOOKUP(Table2[[#This Row],[Description]],$Q$1:$S$101,3,FALSE))</f>
        <v/>
      </c>
      <c r="I4319" s="1" t="str">
        <f>IF(Table2[[#This Row],[Description]]="","",IF(Table2[[#This Row],[Currency]]=$O$2,$P$2,HLOOKUP(Table2[[#This Row],[Date]],Funds!$C$10:$GV$11,2,FALSE)))</f>
        <v/>
      </c>
      <c r="J4319" s="215" t="str">
        <f>IF(Table2[[#This Row],[Description]]="","",Table2[[#This Row],[Value]]/Table2[[#This Row],[Conversion]])</f>
        <v/>
      </c>
      <c r="K4319" s="45" t="str">
        <f>IF(Table2[[#This Row],[Description]]="","",DATE(Table2[[#This Row],[Year]],Table2[[#This Row],[Month]],1))</f>
        <v/>
      </c>
    </row>
    <row r="4320" spans="7:11" x14ac:dyDescent="0.25">
      <c r="G4320" s="1" t="str">
        <f>IF(Table2[[#This Row],[Description]]="","",VLOOKUP(Table2[[#This Row],[Description]],$Q$1:$S$101,2,FALSE))</f>
        <v/>
      </c>
      <c r="H4320" s="1" t="str">
        <f>IF(Table2[[#This Row],[Description]]="","",VLOOKUP(Table2[[#This Row],[Description]],$Q$1:$S$101,3,FALSE))</f>
        <v/>
      </c>
      <c r="I4320" s="1" t="str">
        <f>IF(Table2[[#This Row],[Description]]="","",IF(Table2[[#This Row],[Currency]]=$O$2,$P$2,HLOOKUP(Table2[[#This Row],[Date]],Funds!$C$10:$GV$11,2,FALSE)))</f>
        <v/>
      </c>
      <c r="J4320" s="215" t="str">
        <f>IF(Table2[[#This Row],[Description]]="","",Table2[[#This Row],[Value]]/Table2[[#This Row],[Conversion]])</f>
        <v/>
      </c>
      <c r="K4320" s="45" t="str">
        <f>IF(Table2[[#This Row],[Description]]="","",DATE(Table2[[#This Row],[Year]],Table2[[#This Row],[Month]],1))</f>
        <v/>
      </c>
    </row>
    <row r="4321" spans="7:11" x14ac:dyDescent="0.25">
      <c r="G4321" s="1" t="str">
        <f>IF(Table2[[#This Row],[Description]]="","",VLOOKUP(Table2[[#This Row],[Description]],$Q$1:$S$101,2,FALSE))</f>
        <v/>
      </c>
      <c r="H4321" s="1" t="str">
        <f>IF(Table2[[#This Row],[Description]]="","",VLOOKUP(Table2[[#This Row],[Description]],$Q$1:$S$101,3,FALSE))</f>
        <v/>
      </c>
      <c r="I4321" s="1" t="str">
        <f>IF(Table2[[#This Row],[Description]]="","",IF(Table2[[#This Row],[Currency]]=$O$2,$P$2,HLOOKUP(Table2[[#This Row],[Date]],Funds!$C$10:$GV$11,2,FALSE)))</f>
        <v/>
      </c>
      <c r="J4321" s="215" t="str">
        <f>IF(Table2[[#This Row],[Description]]="","",Table2[[#This Row],[Value]]/Table2[[#This Row],[Conversion]])</f>
        <v/>
      </c>
      <c r="K4321" s="45" t="str">
        <f>IF(Table2[[#This Row],[Description]]="","",DATE(Table2[[#This Row],[Year]],Table2[[#This Row],[Month]],1))</f>
        <v/>
      </c>
    </row>
    <row r="4322" spans="7:11" x14ac:dyDescent="0.25">
      <c r="G4322" s="1" t="str">
        <f>IF(Table2[[#This Row],[Description]]="","",VLOOKUP(Table2[[#This Row],[Description]],$Q$1:$S$101,2,FALSE))</f>
        <v/>
      </c>
      <c r="H4322" s="1" t="str">
        <f>IF(Table2[[#This Row],[Description]]="","",VLOOKUP(Table2[[#This Row],[Description]],$Q$1:$S$101,3,FALSE))</f>
        <v/>
      </c>
      <c r="I4322" s="1" t="str">
        <f>IF(Table2[[#This Row],[Description]]="","",IF(Table2[[#This Row],[Currency]]=$O$2,$P$2,HLOOKUP(Table2[[#This Row],[Date]],Funds!$C$10:$GV$11,2,FALSE)))</f>
        <v/>
      </c>
      <c r="J4322" s="215" t="str">
        <f>IF(Table2[[#This Row],[Description]]="","",Table2[[#This Row],[Value]]/Table2[[#This Row],[Conversion]])</f>
        <v/>
      </c>
      <c r="K4322" s="45" t="str">
        <f>IF(Table2[[#This Row],[Description]]="","",DATE(Table2[[#This Row],[Year]],Table2[[#This Row],[Month]],1))</f>
        <v/>
      </c>
    </row>
    <row r="4323" spans="7:11" x14ac:dyDescent="0.25">
      <c r="G4323" s="1" t="str">
        <f>IF(Table2[[#This Row],[Description]]="","",VLOOKUP(Table2[[#This Row],[Description]],$Q$1:$S$101,2,FALSE))</f>
        <v/>
      </c>
      <c r="H4323" s="1" t="str">
        <f>IF(Table2[[#This Row],[Description]]="","",VLOOKUP(Table2[[#This Row],[Description]],$Q$1:$S$101,3,FALSE))</f>
        <v/>
      </c>
      <c r="I4323" s="1" t="str">
        <f>IF(Table2[[#This Row],[Description]]="","",IF(Table2[[#This Row],[Currency]]=$O$2,$P$2,HLOOKUP(Table2[[#This Row],[Date]],Funds!$C$10:$GV$11,2,FALSE)))</f>
        <v/>
      </c>
      <c r="J4323" s="215" t="str">
        <f>IF(Table2[[#This Row],[Description]]="","",Table2[[#This Row],[Value]]/Table2[[#This Row],[Conversion]])</f>
        <v/>
      </c>
      <c r="K4323" s="45" t="str">
        <f>IF(Table2[[#This Row],[Description]]="","",DATE(Table2[[#This Row],[Year]],Table2[[#This Row],[Month]],1))</f>
        <v/>
      </c>
    </row>
    <row r="4324" spans="7:11" x14ac:dyDescent="0.25">
      <c r="G4324" s="1" t="str">
        <f>IF(Table2[[#This Row],[Description]]="","",VLOOKUP(Table2[[#This Row],[Description]],$Q$1:$S$101,2,FALSE))</f>
        <v/>
      </c>
      <c r="H4324" s="1" t="str">
        <f>IF(Table2[[#This Row],[Description]]="","",VLOOKUP(Table2[[#This Row],[Description]],$Q$1:$S$101,3,FALSE))</f>
        <v/>
      </c>
      <c r="I4324" s="1" t="str">
        <f>IF(Table2[[#This Row],[Description]]="","",IF(Table2[[#This Row],[Currency]]=$O$2,$P$2,HLOOKUP(Table2[[#This Row],[Date]],Funds!$C$10:$GV$11,2,FALSE)))</f>
        <v/>
      </c>
      <c r="J4324" s="215" t="str">
        <f>IF(Table2[[#This Row],[Description]]="","",Table2[[#This Row],[Value]]/Table2[[#This Row],[Conversion]])</f>
        <v/>
      </c>
      <c r="K4324" s="45" t="str">
        <f>IF(Table2[[#This Row],[Description]]="","",DATE(Table2[[#This Row],[Year]],Table2[[#This Row],[Month]],1))</f>
        <v/>
      </c>
    </row>
    <row r="4325" spans="7:11" x14ac:dyDescent="0.25">
      <c r="G4325" s="1" t="str">
        <f>IF(Table2[[#This Row],[Description]]="","",VLOOKUP(Table2[[#This Row],[Description]],$Q$1:$S$101,2,FALSE))</f>
        <v/>
      </c>
      <c r="H4325" s="1" t="str">
        <f>IF(Table2[[#This Row],[Description]]="","",VLOOKUP(Table2[[#This Row],[Description]],$Q$1:$S$101,3,FALSE))</f>
        <v/>
      </c>
      <c r="I4325" s="1" t="str">
        <f>IF(Table2[[#This Row],[Description]]="","",IF(Table2[[#This Row],[Currency]]=$O$2,$P$2,HLOOKUP(Table2[[#This Row],[Date]],Funds!$C$10:$GV$11,2,FALSE)))</f>
        <v/>
      </c>
      <c r="J4325" s="215" t="str">
        <f>IF(Table2[[#This Row],[Description]]="","",Table2[[#This Row],[Value]]/Table2[[#This Row],[Conversion]])</f>
        <v/>
      </c>
      <c r="K4325" s="45" t="str">
        <f>IF(Table2[[#This Row],[Description]]="","",DATE(Table2[[#This Row],[Year]],Table2[[#This Row],[Month]],1))</f>
        <v/>
      </c>
    </row>
    <row r="4326" spans="7:11" x14ac:dyDescent="0.25">
      <c r="G4326" s="1" t="str">
        <f>IF(Table2[[#This Row],[Description]]="","",VLOOKUP(Table2[[#This Row],[Description]],$Q$1:$S$101,2,FALSE))</f>
        <v/>
      </c>
      <c r="H4326" s="1" t="str">
        <f>IF(Table2[[#This Row],[Description]]="","",VLOOKUP(Table2[[#This Row],[Description]],$Q$1:$S$101,3,FALSE))</f>
        <v/>
      </c>
      <c r="I4326" s="1" t="str">
        <f>IF(Table2[[#This Row],[Description]]="","",IF(Table2[[#This Row],[Currency]]=$O$2,$P$2,HLOOKUP(Table2[[#This Row],[Date]],Funds!$C$10:$GV$11,2,FALSE)))</f>
        <v/>
      </c>
      <c r="J4326" s="215" t="str">
        <f>IF(Table2[[#This Row],[Description]]="","",Table2[[#This Row],[Value]]/Table2[[#This Row],[Conversion]])</f>
        <v/>
      </c>
      <c r="K4326" s="45" t="str">
        <f>IF(Table2[[#This Row],[Description]]="","",DATE(Table2[[#This Row],[Year]],Table2[[#This Row],[Month]],1))</f>
        <v/>
      </c>
    </row>
    <row r="4327" spans="7:11" x14ac:dyDescent="0.25">
      <c r="G4327" s="1" t="str">
        <f>IF(Table2[[#This Row],[Description]]="","",VLOOKUP(Table2[[#This Row],[Description]],$Q$1:$S$101,2,FALSE))</f>
        <v/>
      </c>
      <c r="H4327" s="1" t="str">
        <f>IF(Table2[[#This Row],[Description]]="","",VLOOKUP(Table2[[#This Row],[Description]],$Q$1:$S$101,3,FALSE))</f>
        <v/>
      </c>
      <c r="I4327" s="1" t="str">
        <f>IF(Table2[[#This Row],[Description]]="","",IF(Table2[[#This Row],[Currency]]=$O$2,$P$2,HLOOKUP(Table2[[#This Row],[Date]],Funds!$C$10:$GV$11,2,FALSE)))</f>
        <v/>
      </c>
      <c r="J4327" s="215" t="str">
        <f>IF(Table2[[#This Row],[Description]]="","",Table2[[#This Row],[Value]]/Table2[[#This Row],[Conversion]])</f>
        <v/>
      </c>
      <c r="K4327" s="45" t="str">
        <f>IF(Table2[[#This Row],[Description]]="","",DATE(Table2[[#This Row],[Year]],Table2[[#This Row],[Month]],1))</f>
        <v/>
      </c>
    </row>
    <row r="4328" spans="7:11" x14ac:dyDescent="0.25">
      <c r="G4328" s="1" t="str">
        <f>IF(Table2[[#This Row],[Description]]="","",VLOOKUP(Table2[[#This Row],[Description]],$Q$1:$S$101,2,FALSE))</f>
        <v/>
      </c>
      <c r="H4328" s="1" t="str">
        <f>IF(Table2[[#This Row],[Description]]="","",VLOOKUP(Table2[[#This Row],[Description]],$Q$1:$S$101,3,FALSE))</f>
        <v/>
      </c>
      <c r="I4328" s="1" t="str">
        <f>IF(Table2[[#This Row],[Description]]="","",IF(Table2[[#This Row],[Currency]]=$O$2,$P$2,HLOOKUP(Table2[[#This Row],[Date]],Funds!$C$10:$GV$11,2,FALSE)))</f>
        <v/>
      </c>
      <c r="J4328" s="215" t="str">
        <f>IF(Table2[[#This Row],[Description]]="","",Table2[[#This Row],[Value]]/Table2[[#This Row],[Conversion]])</f>
        <v/>
      </c>
      <c r="K4328" s="45" t="str">
        <f>IF(Table2[[#This Row],[Description]]="","",DATE(Table2[[#This Row],[Year]],Table2[[#This Row],[Month]],1))</f>
        <v/>
      </c>
    </row>
    <row r="4329" spans="7:11" x14ac:dyDescent="0.25">
      <c r="G4329" s="1" t="str">
        <f>IF(Table2[[#This Row],[Description]]="","",VLOOKUP(Table2[[#This Row],[Description]],$Q$1:$S$101,2,FALSE))</f>
        <v/>
      </c>
      <c r="H4329" s="1" t="str">
        <f>IF(Table2[[#This Row],[Description]]="","",VLOOKUP(Table2[[#This Row],[Description]],$Q$1:$S$101,3,FALSE))</f>
        <v/>
      </c>
      <c r="I4329" s="1" t="str">
        <f>IF(Table2[[#This Row],[Description]]="","",IF(Table2[[#This Row],[Currency]]=$O$2,$P$2,HLOOKUP(Table2[[#This Row],[Date]],Funds!$C$10:$GV$11,2,FALSE)))</f>
        <v/>
      </c>
      <c r="J4329" s="215" t="str">
        <f>IF(Table2[[#This Row],[Description]]="","",Table2[[#This Row],[Value]]/Table2[[#This Row],[Conversion]])</f>
        <v/>
      </c>
      <c r="K4329" s="45" t="str">
        <f>IF(Table2[[#This Row],[Description]]="","",DATE(Table2[[#This Row],[Year]],Table2[[#This Row],[Month]],1))</f>
        <v/>
      </c>
    </row>
    <row r="4330" spans="7:11" x14ac:dyDescent="0.25">
      <c r="G4330" s="1" t="str">
        <f>IF(Table2[[#This Row],[Description]]="","",VLOOKUP(Table2[[#This Row],[Description]],$Q$1:$S$101,2,FALSE))</f>
        <v/>
      </c>
      <c r="H4330" s="1" t="str">
        <f>IF(Table2[[#This Row],[Description]]="","",VLOOKUP(Table2[[#This Row],[Description]],$Q$1:$S$101,3,FALSE))</f>
        <v/>
      </c>
      <c r="I4330" s="1" t="str">
        <f>IF(Table2[[#This Row],[Description]]="","",IF(Table2[[#This Row],[Currency]]=$O$2,$P$2,HLOOKUP(Table2[[#This Row],[Date]],Funds!$C$10:$GV$11,2,FALSE)))</f>
        <v/>
      </c>
      <c r="J4330" s="215" t="str">
        <f>IF(Table2[[#This Row],[Description]]="","",Table2[[#This Row],[Value]]/Table2[[#This Row],[Conversion]])</f>
        <v/>
      </c>
      <c r="K4330" s="45" t="str">
        <f>IF(Table2[[#This Row],[Description]]="","",DATE(Table2[[#This Row],[Year]],Table2[[#This Row],[Month]],1))</f>
        <v/>
      </c>
    </row>
    <row r="4331" spans="7:11" x14ac:dyDescent="0.25">
      <c r="G4331" s="1" t="str">
        <f>IF(Table2[[#This Row],[Description]]="","",VLOOKUP(Table2[[#This Row],[Description]],$Q$1:$S$101,2,FALSE))</f>
        <v/>
      </c>
      <c r="H4331" s="1" t="str">
        <f>IF(Table2[[#This Row],[Description]]="","",VLOOKUP(Table2[[#This Row],[Description]],$Q$1:$S$101,3,FALSE))</f>
        <v/>
      </c>
      <c r="I4331" s="1" t="str">
        <f>IF(Table2[[#This Row],[Description]]="","",IF(Table2[[#This Row],[Currency]]=$O$2,$P$2,HLOOKUP(Table2[[#This Row],[Date]],Funds!$C$10:$GV$11,2,FALSE)))</f>
        <v/>
      </c>
      <c r="J4331" s="215" t="str">
        <f>IF(Table2[[#This Row],[Description]]="","",Table2[[#This Row],[Value]]/Table2[[#This Row],[Conversion]])</f>
        <v/>
      </c>
      <c r="K4331" s="45" t="str">
        <f>IF(Table2[[#This Row],[Description]]="","",DATE(Table2[[#This Row],[Year]],Table2[[#This Row],[Month]],1))</f>
        <v/>
      </c>
    </row>
    <row r="4332" spans="7:11" x14ac:dyDescent="0.25">
      <c r="G4332" s="1" t="str">
        <f>IF(Table2[[#This Row],[Description]]="","",VLOOKUP(Table2[[#This Row],[Description]],$Q$1:$S$101,2,FALSE))</f>
        <v/>
      </c>
      <c r="H4332" s="1" t="str">
        <f>IF(Table2[[#This Row],[Description]]="","",VLOOKUP(Table2[[#This Row],[Description]],$Q$1:$S$101,3,FALSE))</f>
        <v/>
      </c>
      <c r="I4332" s="1" t="str">
        <f>IF(Table2[[#This Row],[Description]]="","",IF(Table2[[#This Row],[Currency]]=$O$2,$P$2,HLOOKUP(Table2[[#This Row],[Date]],Funds!$C$10:$GV$11,2,FALSE)))</f>
        <v/>
      </c>
      <c r="J4332" s="215" t="str">
        <f>IF(Table2[[#This Row],[Description]]="","",Table2[[#This Row],[Value]]/Table2[[#This Row],[Conversion]])</f>
        <v/>
      </c>
      <c r="K4332" s="45" t="str">
        <f>IF(Table2[[#This Row],[Description]]="","",DATE(Table2[[#This Row],[Year]],Table2[[#This Row],[Month]],1))</f>
        <v/>
      </c>
    </row>
    <row r="4333" spans="7:11" x14ac:dyDescent="0.25">
      <c r="G4333" s="1" t="str">
        <f>IF(Table2[[#This Row],[Description]]="","",VLOOKUP(Table2[[#This Row],[Description]],$Q$1:$S$101,2,FALSE))</f>
        <v/>
      </c>
      <c r="H4333" s="1" t="str">
        <f>IF(Table2[[#This Row],[Description]]="","",VLOOKUP(Table2[[#This Row],[Description]],$Q$1:$S$101,3,FALSE))</f>
        <v/>
      </c>
      <c r="I4333" s="1" t="str">
        <f>IF(Table2[[#This Row],[Description]]="","",IF(Table2[[#This Row],[Currency]]=$O$2,$P$2,HLOOKUP(Table2[[#This Row],[Date]],Funds!$C$10:$GV$11,2,FALSE)))</f>
        <v/>
      </c>
      <c r="J4333" s="215" t="str">
        <f>IF(Table2[[#This Row],[Description]]="","",Table2[[#This Row],[Value]]/Table2[[#This Row],[Conversion]])</f>
        <v/>
      </c>
      <c r="K4333" s="45" t="str">
        <f>IF(Table2[[#This Row],[Description]]="","",DATE(Table2[[#This Row],[Year]],Table2[[#This Row],[Month]],1))</f>
        <v/>
      </c>
    </row>
    <row r="4334" spans="7:11" x14ac:dyDescent="0.25">
      <c r="G4334" s="1" t="str">
        <f>IF(Table2[[#This Row],[Description]]="","",VLOOKUP(Table2[[#This Row],[Description]],$Q$1:$S$101,2,FALSE))</f>
        <v/>
      </c>
      <c r="H4334" s="1" t="str">
        <f>IF(Table2[[#This Row],[Description]]="","",VLOOKUP(Table2[[#This Row],[Description]],$Q$1:$S$101,3,FALSE))</f>
        <v/>
      </c>
      <c r="I4334" s="1" t="str">
        <f>IF(Table2[[#This Row],[Description]]="","",IF(Table2[[#This Row],[Currency]]=$O$2,$P$2,HLOOKUP(Table2[[#This Row],[Date]],Funds!$C$10:$GV$11,2,FALSE)))</f>
        <v/>
      </c>
      <c r="J4334" s="215" t="str">
        <f>IF(Table2[[#This Row],[Description]]="","",Table2[[#This Row],[Value]]/Table2[[#This Row],[Conversion]])</f>
        <v/>
      </c>
      <c r="K4334" s="45" t="str">
        <f>IF(Table2[[#This Row],[Description]]="","",DATE(Table2[[#This Row],[Year]],Table2[[#This Row],[Month]],1))</f>
        <v/>
      </c>
    </row>
    <row r="4335" spans="7:11" x14ac:dyDescent="0.25">
      <c r="G4335" s="1" t="str">
        <f>IF(Table2[[#This Row],[Description]]="","",VLOOKUP(Table2[[#This Row],[Description]],$Q$1:$S$101,2,FALSE))</f>
        <v/>
      </c>
      <c r="H4335" s="1" t="str">
        <f>IF(Table2[[#This Row],[Description]]="","",VLOOKUP(Table2[[#This Row],[Description]],$Q$1:$S$101,3,FALSE))</f>
        <v/>
      </c>
      <c r="I4335" s="1" t="str">
        <f>IF(Table2[[#This Row],[Description]]="","",IF(Table2[[#This Row],[Currency]]=$O$2,$P$2,HLOOKUP(Table2[[#This Row],[Date]],Funds!$C$10:$GV$11,2,FALSE)))</f>
        <v/>
      </c>
      <c r="J4335" s="215" t="str">
        <f>IF(Table2[[#This Row],[Description]]="","",Table2[[#This Row],[Value]]/Table2[[#This Row],[Conversion]])</f>
        <v/>
      </c>
      <c r="K4335" s="45" t="str">
        <f>IF(Table2[[#This Row],[Description]]="","",DATE(Table2[[#This Row],[Year]],Table2[[#This Row],[Month]],1))</f>
        <v/>
      </c>
    </row>
    <row r="4336" spans="7:11" x14ac:dyDescent="0.25">
      <c r="G4336" s="1" t="str">
        <f>IF(Table2[[#This Row],[Description]]="","",VLOOKUP(Table2[[#This Row],[Description]],$Q$1:$S$101,2,FALSE))</f>
        <v/>
      </c>
      <c r="H4336" s="1" t="str">
        <f>IF(Table2[[#This Row],[Description]]="","",VLOOKUP(Table2[[#This Row],[Description]],$Q$1:$S$101,3,FALSE))</f>
        <v/>
      </c>
      <c r="I4336" s="1" t="str">
        <f>IF(Table2[[#This Row],[Description]]="","",IF(Table2[[#This Row],[Currency]]=$O$2,$P$2,HLOOKUP(Table2[[#This Row],[Date]],Funds!$C$10:$GV$11,2,FALSE)))</f>
        <v/>
      </c>
      <c r="J4336" s="215" t="str">
        <f>IF(Table2[[#This Row],[Description]]="","",Table2[[#This Row],[Value]]/Table2[[#This Row],[Conversion]])</f>
        <v/>
      </c>
      <c r="K4336" s="45" t="str">
        <f>IF(Table2[[#This Row],[Description]]="","",DATE(Table2[[#This Row],[Year]],Table2[[#This Row],[Month]],1))</f>
        <v/>
      </c>
    </row>
    <row r="4337" spans="7:11" x14ac:dyDescent="0.25">
      <c r="G4337" s="1" t="str">
        <f>IF(Table2[[#This Row],[Description]]="","",VLOOKUP(Table2[[#This Row],[Description]],$Q$1:$S$101,2,FALSE))</f>
        <v/>
      </c>
      <c r="H4337" s="1" t="str">
        <f>IF(Table2[[#This Row],[Description]]="","",VLOOKUP(Table2[[#This Row],[Description]],$Q$1:$S$101,3,FALSE))</f>
        <v/>
      </c>
      <c r="I4337" s="1" t="str">
        <f>IF(Table2[[#This Row],[Description]]="","",IF(Table2[[#This Row],[Currency]]=$O$2,$P$2,HLOOKUP(Table2[[#This Row],[Date]],Funds!$C$10:$GV$11,2,FALSE)))</f>
        <v/>
      </c>
      <c r="J4337" s="215" t="str">
        <f>IF(Table2[[#This Row],[Description]]="","",Table2[[#This Row],[Value]]/Table2[[#This Row],[Conversion]])</f>
        <v/>
      </c>
      <c r="K4337" s="45" t="str">
        <f>IF(Table2[[#This Row],[Description]]="","",DATE(Table2[[#This Row],[Year]],Table2[[#This Row],[Month]],1))</f>
        <v/>
      </c>
    </row>
    <row r="4338" spans="7:11" x14ac:dyDescent="0.25">
      <c r="G4338" s="1" t="str">
        <f>IF(Table2[[#This Row],[Description]]="","",VLOOKUP(Table2[[#This Row],[Description]],$Q$1:$S$101,2,FALSE))</f>
        <v/>
      </c>
      <c r="H4338" s="1" t="str">
        <f>IF(Table2[[#This Row],[Description]]="","",VLOOKUP(Table2[[#This Row],[Description]],$Q$1:$S$101,3,FALSE))</f>
        <v/>
      </c>
      <c r="I4338" s="1" t="str">
        <f>IF(Table2[[#This Row],[Description]]="","",IF(Table2[[#This Row],[Currency]]=$O$2,$P$2,HLOOKUP(Table2[[#This Row],[Date]],Funds!$C$10:$GV$11,2,FALSE)))</f>
        <v/>
      </c>
      <c r="J4338" s="215" t="str">
        <f>IF(Table2[[#This Row],[Description]]="","",Table2[[#This Row],[Value]]/Table2[[#This Row],[Conversion]])</f>
        <v/>
      </c>
      <c r="K4338" s="45" t="str">
        <f>IF(Table2[[#This Row],[Description]]="","",DATE(Table2[[#This Row],[Year]],Table2[[#This Row],[Month]],1))</f>
        <v/>
      </c>
    </row>
    <row r="4339" spans="7:11" x14ac:dyDescent="0.25">
      <c r="G4339" s="1" t="str">
        <f>IF(Table2[[#This Row],[Description]]="","",VLOOKUP(Table2[[#This Row],[Description]],$Q$1:$S$101,2,FALSE))</f>
        <v/>
      </c>
      <c r="H4339" s="1" t="str">
        <f>IF(Table2[[#This Row],[Description]]="","",VLOOKUP(Table2[[#This Row],[Description]],$Q$1:$S$101,3,FALSE))</f>
        <v/>
      </c>
      <c r="I4339" s="1" t="str">
        <f>IF(Table2[[#This Row],[Description]]="","",IF(Table2[[#This Row],[Currency]]=$O$2,$P$2,HLOOKUP(Table2[[#This Row],[Date]],Funds!$C$10:$GV$11,2,FALSE)))</f>
        <v/>
      </c>
      <c r="J4339" s="215" t="str">
        <f>IF(Table2[[#This Row],[Description]]="","",Table2[[#This Row],[Value]]/Table2[[#This Row],[Conversion]])</f>
        <v/>
      </c>
      <c r="K4339" s="45" t="str">
        <f>IF(Table2[[#This Row],[Description]]="","",DATE(Table2[[#This Row],[Year]],Table2[[#This Row],[Month]],1))</f>
        <v/>
      </c>
    </row>
    <row r="4340" spans="7:11" x14ac:dyDescent="0.25">
      <c r="G4340" s="1" t="str">
        <f>IF(Table2[[#This Row],[Description]]="","",VLOOKUP(Table2[[#This Row],[Description]],$Q$1:$S$101,2,FALSE))</f>
        <v/>
      </c>
      <c r="H4340" s="1" t="str">
        <f>IF(Table2[[#This Row],[Description]]="","",VLOOKUP(Table2[[#This Row],[Description]],$Q$1:$S$101,3,FALSE))</f>
        <v/>
      </c>
      <c r="I4340" s="1" t="str">
        <f>IF(Table2[[#This Row],[Description]]="","",IF(Table2[[#This Row],[Currency]]=$O$2,$P$2,HLOOKUP(Table2[[#This Row],[Date]],Funds!$C$10:$GV$11,2,FALSE)))</f>
        <v/>
      </c>
      <c r="J4340" s="215" t="str">
        <f>IF(Table2[[#This Row],[Description]]="","",Table2[[#This Row],[Value]]/Table2[[#This Row],[Conversion]])</f>
        <v/>
      </c>
      <c r="K4340" s="45" t="str">
        <f>IF(Table2[[#This Row],[Description]]="","",DATE(Table2[[#This Row],[Year]],Table2[[#This Row],[Month]],1))</f>
        <v/>
      </c>
    </row>
    <row r="4341" spans="7:11" x14ac:dyDescent="0.25">
      <c r="G4341" s="1" t="str">
        <f>IF(Table2[[#This Row],[Description]]="","",VLOOKUP(Table2[[#This Row],[Description]],$Q$1:$S$101,2,FALSE))</f>
        <v/>
      </c>
      <c r="H4341" s="1" t="str">
        <f>IF(Table2[[#This Row],[Description]]="","",VLOOKUP(Table2[[#This Row],[Description]],$Q$1:$S$101,3,FALSE))</f>
        <v/>
      </c>
      <c r="I4341" s="1" t="str">
        <f>IF(Table2[[#This Row],[Description]]="","",IF(Table2[[#This Row],[Currency]]=$O$2,$P$2,HLOOKUP(Table2[[#This Row],[Date]],Funds!$C$10:$GV$11,2,FALSE)))</f>
        <v/>
      </c>
      <c r="J4341" s="215" t="str">
        <f>IF(Table2[[#This Row],[Description]]="","",Table2[[#This Row],[Value]]/Table2[[#This Row],[Conversion]])</f>
        <v/>
      </c>
      <c r="K4341" s="45" t="str">
        <f>IF(Table2[[#This Row],[Description]]="","",DATE(Table2[[#This Row],[Year]],Table2[[#This Row],[Month]],1))</f>
        <v/>
      </c>
    </row>
    <row r="4342" spans="7:11" x14ac:dyDescent="0.25">
      <c r="G4342" s="1" t="str">
        <f>IF(Table2[[#This Row],[Description]]="","",VLOOKUP(Table2[[#This Row],[Description]],$Q$1:$S$101,2,FALSE))</f>
        <v/>
      </c>
      <c r="H4342" s="1" t="str">
        <f>IF(Table2[[#This Row],[Description]]="","",VLOOKUP(Table2[[#This Row],[Description]],$Q$1:$S$101,3,FALSE))</f>
        <v/>
      </c>
      <c r="I4342" s="1" t="str">
        <f>IF(Table2[[#This Row],[Description]]="","",IF(Table2[[#This Row],[Currency]]=$O$2,$P$2,HLOOKUP(Table2[[#This Row],[Date]],Funds!$C$10:$GV$11,2,FALSE)))</f>
        <v/>
      </c>
      <c r="J4342" s="215" t="str">
        <f>IF(Table2[[#This Row],[Description]]="","",Table2[[#This Row],[Value]]/Table2[[#This Row],[Conversion]])</f>
        <v/>
      </c>
      <c r="K4342" s="45" t="str">
        <f>IF(Table2[[#This Row],[Description]]="","",DATE(Table2[[#This Row],[Year]],Table2[[#This Row],[Month]],1))</f>
        <v/>
      </c>
    </row>
    <row r="4343" spans="7:11" x14ac:dyDescent="0.25">
      <c r="G4343" s="1" t="str">
        <f>IF(Table2[[#This Row],[Description]]="","",VLOOKUP(Table2[[#This Row],[Description]],$Q$1:$S$101,2,FALSE))</f>
        <v/>
      </c>
      <c r="H4343" s="1" t="str">
        <f>IF(Table2[[#This Row],[Description]]="","",VLOOKUP(Table2[[#This Row],[Description]],$Q$1:$S$101,3,FALSE))</f>
        <v/>
      </c>
      <c r="I4343" s="1" t="str">
        <f>IF(Table2[[#This Row],[Description]]="","",IF(Table2[[#This Row],[Currency]]=$O$2,$P$2,HLOOKUP(Table2[[#This Row],[Date]],Funds!$C$10:$GV$11,2,FALSE)))</f>
        <v/>
      </c>
      <c r="J4343" s="215" t="str">
        <f>IF(Table2[[#This Row],[Description]]="","",Table2[[#This Row],[Value]]/Table2[[#This Row],[Conversion]])</f>
        <v/>
      </c>
      <c r="K4343" s="45" t="str">
        <f>IF(Table2[[#This Row],[Description]]="","",DATE(Table2[[#This Row],[Year]],Table2[[#This Row],[Month]],1))</f>
        <v/>
      </c>
    </row>
    <row r="4344" spans="7:11" x14ac:dyDescent="0.25">
      <c r="G4344" s="1" t="str">
        <f>IF(Table2[[#This Row],[Description]]="","",VLOOKUP(Table2[[#This Row],[Description]],$Q$1:$S$101,2,FALSE))</f>
        <v/>
      </c>
      <c r="H4344" s="1" t="str">
        <f>IF(Table2[[#This Row],[Description]]="","",VLOOKUP(Table2[[#This Row],[Description]],$Q$1:$S$101,3,FALSE))</f>
        <v/>
      </c>
      <c r="I4344" s="1" t="str">
        <f>IF(Table2[[#This Row],[Description]]="","",IF(Table2[[#This Row],[Currency]]=$O$2,$P$2,HLOOKUP(Table2[[#This Row],[Date]],Funds!$C$10:$GV$11,2,FALSE)))</f>
        <v/>
      </c>
      <c r="J4344" s="215" t="str">
        <f>IF(Table2[[#This Row],[Description]]="","",Table2[[#This Row],[Value]]/Table2[[#This Row],[Conversion]])</f>
        <v/>
      </c>
      <c r="K4344" s="45" t="str">
        <f>IF(Table2[[#This Row],[Description]]="","",DATE(Table2[[#This Row],[Year]],Table2[[#This Row],[Month]],1))</f>
        <v/>
      </c>
    </row>
    <row r="4345" spans="7:11" x14ac:dyDescent="0.25">
      <c r="G4345" s="1" t="str">
        <f>IF(Table2[[#This Row],[Description]]="","",VLOOKUP(Table2[[#This Row],[Description]],$Q$1:$S$101,2,FALSE))</f>
        <v/>
      </c>
      <c r="H4345" s="1" t="str">
        <f>IF(Table2[[#This Row],[Description]]="","",VLOOKUP(Table2[[#This Row],[Description]],$Q$1:$S$101,3,FALSE))</f>
        <v/>
      </c>
      <c r="I4345" s="1" t="str">
        <f>IF(Table2[[#This Row],[Description]]="","",IF(Table2[[#This Row],[Currency]]=$O$2,$P$2,HLOOKUP(Table2[[#This Row],[Date]],Funds!$C$10:$GV$11,2,FALSE)))</f>
        <v/>
      </c>
      <c r="J4345" s="215" t="str">
        <f>IF(Table2[[#This Row],[Description]]="","",Table2[[#This Row],[Value]]/Table2[[#This Row],[Conversion]])</f>
        <v/>
      </c>
      <c r="K4345" s="45" t="str">
        <f>IF(Table2[[#This Row],[Description]]="","",DATE(Table2[[#This Row],[Year]],Table2[[#This Row],[Month]],1))</f>
        <v/>
      </c>
    </row>
    <row r="4346" spans="7:11" x14ac:dyDescent="0.25">
      <c r="G4346" s="1" t="str">
        <f>IF(Table2[[#This Row],[Description]]="","",VLOOKUP(Table2[[#This Row],[Description]],$Q$1:$S$101,2,FALSE))</f>
        <v/>
      </c>
      <c r="H4346" s="1" t="str">
        <f>IF(Table2[[#This Row],[Description]]="","",VLOOKUP(Table2[[#This Row],[Description]],$Q$1:$S$101,3,FALSE))</f>
        <v/>
      </c>
      <c r="I4346" s="1" t="str">
        <f>IF(Table2[[#This Row],[Description]]="","",IF(Table2[[#This Row],[Currency]]=$O$2,$P$2,HLOOKUP(Table2[[#This Row],[Date]],Funds!$C$10:$GV$11,2,FALSE)))</f>
        <v/>
      </c>
      <c r="J4346" s="215" t="str">
        <f>IF(Table2[[#This Row],[Description]]="","",Table2[[#This Row],[Value]]/Table2[[#This Row],[Conversion]])</f>
        <v/>
      </c>
      <c r="K4346" s="45" t="str">
        <f>IF(Table2[[#This Row],[Description]]="","",DATE(Table2[[#This Row],[Year]],Table2[[#This Row],[Month]],1))</f>
        <v/>
      </c>
    </row>
    <row r="4347" spans="7:11" x14ac:dyDescent="0.25">
      <c r="G4347" s="1" t="str">
        <f>IF(Table2[[#This Row],[Description]]="","",VLOOKUP(Table2[[#This Row],[Description]],$Q$1:$S$101,2,FALSE))</f>
        <v/>
      </c>
      <c r="H4347" s="1" t="str">
        <f>IF(Table2[[#This Row],[Description]]="","",VLOOKUP(Table2[[#This Row],[Description]],$Q$1:$S$101,3,FALSE))</f>
        <v/>
      </c>
      <c r="I4347" s="1" t="str">
        <f>IF(Table2[[#This Row],[Description]]="","",IF(Table2[[#This Row],[Currency]]=$O$2,$P$2,HLOOKUP(Table2[[#This Row],[Date]],Funds!$C$10:$GV$11,2,FALSE)))</f>
        <v/>
      </c>
      <c r="J4347" s="215" t="str">
        <f>IF(Table2[[#This Row],[Description]]="","",Table2[[#This Row],[Value]]/Table2[[#This Row],[Conversion]])</f>
        <v/>
      </c>
      <c r="K4347" s="45" t="str">
        <f>IF(Table2[[#This Row],[Description]]="","",DATE(Table2[[#This Row],[Year]],Table2[[#This Row],[Month]],1))</f>
        <v/>
      </c>
    </row>
    <row r="4348" spans="7:11" x14ac:dyDescent="0.25">
      <c r="G4348" s="1" t="str">
        <f>IF(Table2[[#This Row],[Description]]="","",VLOOKUP(Table2[[#This Row],[Description]],$Q$1:$S$101,2,FALSE))</f>
        <v/>
      </c>
      <c r="H4348" s="1" t="str">
        <f>IF(Table2[[#This Row],[Description]]="","",VLOOKUP(Table2[[#This Row],[Description]],$Q$1:$S$101,3,FALSE))</f>
        <v/>
      </c>
      <c r="I4348" s="1" t="str">
        <f>IF(Table2[[#This Row],[Description]]="","",IF(Table2[[#This Row],[Currency]]=$O$2,$P$2,HLOOKUP(Table2[[#This Row],[Date]],Funds!$C$10:$GV$11,2,FALSE)))</f>
        <v/>
      </c>
      <c r="J4348" s="215" t="str">
        <f>IF(Table2[[#This Row],[Description]]="","",Table2[[#This Row],[Value]]/Table2[[#This Row],[Conversion]])</f>
        <v/>
      </c>
      <c r="K4348" s="45" t="str">
        <f>IF(Table2[[#This Row],[Description]]="","",DATE(Table2[[#This Row],[Year]],Table2[[#This Row],[Month]],1))</f>
        <v/>
      </c>
    </row>
    <row r="4349" spans="7:11" x14ac:dyDescent="0.25">
      <c r="G4349" s="1" t="str">
        <f>IF(Table2[[#This Row],[Description]]="","",VLOOKUP(Table2[[#This Row],[Description]],$Q$1:$S$101,2,FALSE))</f>
        <v/>
      </c>
      <c r="H4349" s="1" t="str">
        <f>IF(Table2[[#This Row],[Description]]="","",VLOOKUP(Table2[[#This Row],[Description]],$Q$1:$S$101,3,FALSE))</f>
        <v/>
      </c>
      <c r="I4349" s="1" t="str">
        <f>IF(Table2[[#This Row],[Description]]="","",IF(Table2[[#This Row],[Currency]]=$O$2,$P$2,HLOOKUP(Table2[[#This Row],[Date]],Funds!$C$10:$GV$11,2,FALSE)))</f>
        <v/>
      </c>
      <c r="J4349" s="215" t="str">
        <f>IF(Table2[[#This Row],[Description]]="","",Table2[[#This Row],[Value]]/Table2[[#This Row],[Conversion]])</f>
        <v/>
      </c>
      <c r="K4349" s="45" t="str">
        <f>IF(Table2[[#This Row],[Description]]="","",DATE(Table2[[#This Row],[Year]],Table2[[#This Row],[Month]],1))</f>
        <v/>
      </c>
    </row>
    <row r="4350" spans="7:11" x14ac:dyDescent="0.25">
      <c r="G4350" s="1" t="str">
        <f>IF(Table2[[#This Row],[Description]]="","",VLOOKUP(Table2[[#This Row],[Description]],$Q$1:$S$101,2,FALSE))</f>
        <v/>
      </c>
      <c r="H4350" s="1" t="str">
        <f>IF(Table2[[#This Row],[Description]]="","",VLOOKUP(Table2[[#This Row],[Description]],$Q$1:$S$101,3,FALSE))</f>
        <v/>
      </c>
      <c r="I4350" s="1" t="str">
        <f>IF(Table2[[#This Row],[Description]]="","",IF(Table2[[#This Row],[Currency]]=$O$2,$P$2,HLOOKUP(Table2[[#This Row],[Date]],Funds!$C$10:$GV$11,2,FALSE)))</f>
        <v/>
      </c>
      <c r="J4350" s="215" t="str">
        <f>IF(Table2[[#This Row],[Description]]="","",Table2[[#This Row],[Value]]/Table2[[#This Row],[Conversion]])</f>
        <v/>
      </c>
      <c r="K4350" s="45" t="str">
        <f>IF(Table2[[#This Row],[Description]]="","",DATE(Table2[[#This Row],[Year]],Table2[[#This Row],[Month]],1))</f>
        <v/>
      </c>
    </row>
    <row r="4351" spans="7:11" x14ac:dyDescent="0.25">
      <c r="G4351" s="1" t="str">
        <f>IF(Table2[[#This Row],[Description]]="","",VLOOKUP(Table2[[#This Row],[Description]],$Q$1:$S$101,2,FALSE))</f>
        <v/>
      </c>
      <c r="H4351" s="1" t="str">
        <f>IF(Table2[[#This Row],[Description]]="","",VLOOKUP(Table2[[#This Row],[Description]],$Q$1:$S$101,3,FALSE))</f>
        <v/>
      </c>
      <c r="I4351" s="1" t="str">
        <f>IF(Table2[[#This Row],[Description]]="","",IF(Table2[[#This Row],[Currency]]=$O$2,$P$2,HLOOKUP(Table2[[#This Row],[Date]],Funds!$C$10:$GV$11,2,FALSE)))</f>
        <v/>
      </c>
      <c r="J4351" s="215" t="str">
        <f>IF(Table2[[#This Row],[Description]]="","",Table2[[#This Row],[Value]]/Table2[[#This Row],[Conversion]])</f>
        <v/>
      </c>
      <c r="K4351" s="45" t="str">
        <f>IF(Table2[[#This Row],[Description]]="","",DATE(Table2[[#This Row],[Year]],Table2[[#This Row],[Month]],1))</f>
        <v/>
      </c>
    </row>
    <row r="4352" spans="7:11" x14ac:dyDescent="0.25">
      <c r="G4352" s="1" t="str">
        <f>IF(Table2[[#This Row],[Description]]="","",VLOOKUP(Table2[[#This Row],[Description]],$Q$1:$S$101,2,FALSE))</f>
        <v/>
      </c>
      <c r="H4352" s="1" t="str">
        <f>IF(Table2[[#This Row],[Description]]="","",VLOOKUP(Table2[[#This Row],[Description]],$Q$1:$S$101,3,FALSE))</f>
        <v/>
      </c>
      <c r="I4352" s="1" t="str">
        <f>IF(Table2[[#This Row],[Description]]="","",IF(Table2[[#This Row],[Currency]]=$O$2,$P$2,HLOOKUP(Table2[[#This Row],[Date]],Funds!$C$10:$GV$11,2,FALSE)))</f>
        <v/>
      </c>
      <c r="J4352" s="215" t="str">
        <f>IF(Table2[[#This Row],[Description]]="","",Table2[[#This Row],[Value]]/Table2[[#This Row],[Conversion]])</f>
        <v/>
      </c>
      <c r="K4352" s="45" t="str">
        <f>IF(Table2[[#This Row],[Description]]="","",DATE(Table2[[#This Row],[Year]],Table2[[#This Row],[Month]],1))</f>
        <v/>
      </c>
    </row>
    <row r="4353" spans="7:11" x14ac:dyDescent="0.25">
      <c r="G4353" s="1" t="str">
        <f>IF(Table2[[#This Row],[Description]]="","",VLOOKUP(Table2[[#This Row],[Description]],$Q$1:$S$101,2,FALSE))</f>
        <v/>
      </c>
      <c r="H4353" s="1" t="str">
        <f>IF(Table2[[#This Row],[Description]]="","",VLOOKUP(Table2[[#This Row],[Description]],$Q$1:$S$101,3,FALSE))</f>
        <v/>
      </c>
      <c r="I4353" s="1" t="str">
        <f>IF(Table2[[#This Row],[Description]]="","",IF(Table2[[#This Row],[Currency]]=$O$2,$P$2,HLOOKUP(Table2[[#This Row],[Date]],Funds!$C$10:$GV$11,2,FALSE)))</f>
        <v/>
      </c>
      <c r="J4353" s="215" t="str">
        <f>IF(Table2[[#This Row],[Description]]="","",Table2[[#This Row],[Value]]/Table2[[#This Row],[Conversion]])</f>
        <v/>
      </c>
      <c r="K4353" s="45" t="str">
        <f>IF(Table2[[#This Row],[Description]]="","",DATE(Table2[[#This Row],[Year]],Table2[[#This Row],[Month]],1))</f>
        <v/>
      </c>
    </row>
    <row r="4354" spans="7:11" x14ac:dyDescent="0.25">
      <c r="G4354" s="1" t="str">
        <f>IF(Table2[[#This Row],[Description]]="","",VLOOKUP(Table2[[#This Row],[Description]],$Q$1:$S$101,2,FALSE))</f>
        <v/>
      </c>
      <c r="H4354" s="1" t="str">
        <f>IF(Table2[[#This Row],[Description]]="","",VLOOKUP(Table2[[#This Row],[Description]],$Q$1:$S$101,3,FALSE))</f>
        <v/>
      </c>
      <c r="I4354" s="1" t="str">
        <f>IF(Table2[[#This Row],[Description]]="","",IF(Table2[[#This Row],[Currency]]=$O$2,$P$2,HLOOKUP(Table2[[#This Row],[Date]],Funds!$C$10:$GV$11,2,FALSE)))</f>
        <v/>
      </c>
      <c r="J4354" s="215" t="str">
        <f>IF(Table2[[#This Row],[Description]]="","",Table2[[#This Row],[Value]]/Table2[[#This Row],[Conversion]])</f>
        <v/>
      </c>
      <c r="K4354" s="45" t="str">
        <f>IF(Table2[[#This Row],[Description]]="","",DATE(Table2[[#This Row],[Year]],Table2[[#This Row],[Month]],1))</f>
        <v/>
      </c>
    </row>
    <row r="4355" spans="7:11" x14ac:dyDescent="0.25">
      <c r="G4355" s="1" t="str">
        <f>IF(Table2[[#This Row],[Description]]="","",VLOOKUP(Table2[[#This Row],[Description]],$Q$1:$S$101,2,FALSE))</f>
        <v/>
      </c>
      <c r="H4355" s="1" t="str">
        <f>IF(Table2[[#This Row],[Description]]="","",VLOOKUP(Table2[[#This Row],[Description]],$Q$1:$S$101,3,FALSE))</f>
        <v/>
      </c>
      <c r="I4355" s="1" t="str">
        <f>IF(Table2[[#This Row],[Description]]="","",IF(Table2[[#This Row],[Currency]]=$O$2,$P$2,HLOOKUP(Table2[[#This Row],[Date]],Funds!$C$10:$GV$11,2,FALSE)))</f>
        <v/>
      </c>
      <c r="J4355" s="215" t="str">
        <f>IF(Table2[[#This Row],[Description]]="","",Table2[[#This Row],[Value]]/Table2[[#This Row],[Conversion]])</f>
        <v/>
      </c>
      <c r="K4355" s="45" t="str">
        <f>IF(Table2[[#This Row],[Description]]="","",DATE(Table2[[#This Row],[Year]],Table2[[#This Row],[Month]],1))</f>
        <v/>
      </c>
    </row>
    <row r="4356" spans="7:11" x14ac:dyDescent="0.25">
      <c r="G4356" s="1" t="str">
        <f>IF(Table2[[#This Row],[Description]]="","",VLOOKUP(Table2[[#This Row],[Description]],$Q$1:$S$101,2,FALSE))</f>
        <v/>
      </c>
      <c r="H4356" s="1" t="str">
        <f>IF(Table2[[#This Row],[Description]]="","",VLOOKUP(Table2[[#This Row],[Description]],$Q$1:$S$101,3,FALSE))</f>
        <v/>
      </c>
      <c r="I4356" s="1" t="str">
        <f>IF(Table2[[#This Row],[Description]]="","",IF(Table2[[#This Row],[Currency]]=$O$2,$P$2,HLOOKUP(Table2[[#This Row],[Date]],Funds!$C$10:$GV$11,2,FALSE)))</f>
        <v/>
      </c>
      <c r="J4356" s="215" t="str">
        <f>IF(Table2[[#This Row],[Description]]="","",Table2[[#This Row],[Value]]/Table2[[#This Row],[Conversion]])</f>
        <v/>
      </c>
      <c r="K4356" s="45" t="str">
        <f>IF(Table2[[#This Row],[Description]]="","",DATE(Table2[[#This Row],[Year]],Table2[[#This Row],[Month]],1))</f>
        <v/>
      </c>
    </row>
    <row r="4357" spans="7:11" x14ac:dyDescent="0.25">
      <c r="G4357" s="1" t="str">
        <f>IF(Table2[[#This Row],[Description]]="","",VLOOKUP(Table2[[#This Row],[Description]],$Q$1:$S$101,2,FALSE))</f>
        <v/>
      </c>
      <c r="H4357" s="1" t="str">
        <f>IF(Table2[[#This Row],[Description]]="","",VLOOKUP(Table2[[#This Row],[Description]],$Q$1:$S$101,3,FALSE))</f>
        <v/>
      </c>
      <c r="I4357" s="1" t="str">
        <f>IF(Table2[[#This Row],[Description]]="","",IF(Table2[[#This Row],[Currency]]=$O$2,$P$2,HLOOKUP(Table2[[#This Row],[Date]],Funds!$C$10:$GV$11,2,FALSE)))</f>
        <v/>
      </c>
      <c r="J4357" s="215" t="str">
        <f>IF(Table2[[#This Row],[Description]]="","",Table2[[#This Row],[Value]]/Table2[[#This Row],[Conversion]])</f>
        <v/>
      </c>
      <c r="K4357" s="45" t="str">
        <f>IF(Table2[[#This Row],[Description]]="","",DATE(Table2[[#This Row],[Year]],Table2[[#This Row],[Month]],1))</f>
        <v/>
      </c>
    </row>
    <row r="4358" spans="7:11" x14ac:dyDescent="0.25">
      <c r="G4358" s="1" t="str">
        <f>IF(Table2[[#This Row],[Description]]="","",VLOOKUP(Table2[[#This Row],[Description]],$Q$1:$S$101,2,FALSE))</f>
        <v/>
      </c>
      <c r="H4358" s="1" t="str">
        <f>IF(Table2[[#This Row],[Description]]="","",VLOOKUP(Table2[[#This Row],[Description]],$Q$1:$S$101,3,FALSE))</f>
        <v/>
      </c>
      <c r="I4358" s="1" t="str">
        <f>IF(Table2[[#This Row],[Description]]="","",IF(Table2[[#This Row],[Currency]]=$O$2,$P$2,HLOOKUP(Table2[[#This Row],[Date]],Funds!$C$10:$GV$11,2,FALSE)))</f>
        <v/>
      </c>
      <c r="J4358" s="215" t="str">
        <f>IF(Table2[[#This Row],[Description]]="","",Table2[[#This Row],[Value]]/Table2[[#This Row],[Conversion]])</f>
        <v/>
      </c>
      <c r="K4358" s="45" t="str">
        <f>IF(Table2[[#This Row],[Description]]="","",DATE(Table2[[#This Row],[Year]],Table2[[#This Row],[Month]],1))</f>
        <v/>
      </c>
    </row>
    <row r="4359" spans="7:11" x14ac:dyDescent="0.25">
      <c r="G4359" s="1" t="str">
        <f>IF(Table2[[#This Row],[Description]]="","",VLOOKUP(Table2[[#This Row],[Description]],$Q$1:$S$101,2,FALSE))</f>
        <v/>
      </c>
      <c r="H4359" s="1" t="str">
        <f>IF(Table2[[#This Row],[Description]]="","",VLOOKUP(Table2[[#This Row],[Description]],$Q$1:$S$101,3,FALSE))</f>
        <v/>
      </c>
      <c r="I4359" s="1" t="str">
        <f>IF(Table2[[#This Row],[Description]]="","",IF(Table2[[#This Row],[Currency]]=$O$2,$P$2,HLOOKUP(Table2[[#This Row],[Date]],Funds!$C$10:$GV$11,2,FALSE)))</f>
        <v/>
      </c>
      <c r="J4359" s="215" t="str">
        <f>IF(Table2[[#This Row],[Description]]="","",Table2[[#This Row],[Value]]/Table2[[#This Row],[Conversion]])</f>
        <v/>
      </c>
      <c r="K4359" s="45" t="str">
        <f>IF(Table2[[#This Row],[Description]]="","",DATE(Table2[[#This Row],[Year]],Table2[[#This Row],[Month]],1))</f>
        <v/>
      </c>
    </row>
    <row r="4360" spans="7:11" x14ac:dyDescent="0.25">
      <c r="G4360" s="1" t="str">
        <f>IF(Table2[[#This Row],[Description]]="","",VLOOKUP(Table2[[#This Row],[Description]],$Q$1:$S$101,2,FALSE))</f>
        <v/>
      </c>
      <c r="H4360" s="1" t="str">
        <f>IF(Table2[[#This Row],[Description]]="","",VLOOKUP(Table2[[#This Row],[Description]],$Q$1:$S$101,3,FALSE))</f>
        <v/>
      </c>
      <c r="I4360" s="1" t="str">
        <f>IF(Table2[[#This Row],[Description]]="","",IF(Table2[[#This Row],[Currency]]=$O$2,$P$2,HLOOKUP(Table2[[#This Row],[Date]],Funds!$C$10:$GV$11,2,FALSE)))</f>
        <v/>
      </c>
      <c r="J4360" s="215" t="str">
        <f>IF(Table2[[#This Row],[Description]]="","",Table2[[#This Row],[Value]]/Table2[[#This Row],[Conversion]])</f>
        <v/>
      </c>
      <c r="K4360" s="45" t="str">
        <f>IF(Table2[[#This Row],[Description]]="","",DATE(Table2[[#This Row],[Year]],Table2[[#This Row],[Month]],1))</f>
        <v/>
      </c>
    </row>
    <row r="4361" spans="7:11" x14ac:dyDescent="0.25">
      <c r="G4361" s="1" t="str">
        <f>IF(Table2[[#This Row],[Description]]="","",VLOOKUP(Table2[[#This Row],[Description]],$Q$1:$S$101,2,FALSE))</f>
        <v/>
      </c>
      <c r="H4361" s="1" t="str">
        <f>IF(Table2[[#This Row],[Description]]="","",VLOOKUP(Table2[[#This Row],[Description]],$Q$1:$S$101,3,FALSE))</f>
        <v/>
      </c>
      <c r="I4361" s="1" t="str">
        <f>IF(Table2[[#This Row],[Description]]="","",IF(Table2[[#This Row],[Currency]]=$O$2,$P$2,HLOOKUP(Table2[[#This Row],[Date]],Funds!$C$10:$GV$11,2,FALSE)))</f>
        <v/>
      </c>
      <c r="J4361" s="215" t="str">
        <f>IF(Table2[[#This Row],[Description]]="","",Table2[[#This Row],[Value]]/Table2[[#This Row],[Conversion]])</f>
        <v/>
      </c>
      <c r="K4361" s="45" t="str">
        <f>IF(Table2[[#This Row],[Description]]="","",DATE(Table2[[#This Row],[Year]],Table2[[#This Row],[Month]],1))</f>
        <v/>
      </c>
    </row>
    <row r="4362" spans="7:11" x14ac:dyDescent="0.25">
      <c r="G4362" s="1" t="str">
        <f>IF(Table2[[#This Row],[Description]]="","",VLOOKUP(Table2[[#This Row],[Description]],$Q$1:$S$101,2,FALSE))</f>
        <v/>
      </c>
      <c r="H4362" s="1" t="str">
        <f>IF(Table2[[#This Row],[Description]]="","",VLOOKUP(Table2[[#This Row],[Description]],$Q$1:$S$101,3,FALSE))</f>
        <v/>
      </c>
      <c r="I4362" s="1" t="str">
        <f>IF(Table2[[#This Row],[Description]]="","",IF(Table2[[#This Row],[Currency]]=$O$2,$P$2,HLOOKUP(Table2[[#This Row],[Date]],Funds!$C$10:$GV$11,2,FALSE)))</f>
        <v/>
      </c>
      <c r="J4362" s="215" t="str">
        <f>IF(Table2[[#This Row],[Description]]="","",Table2[[#This Row],[Value]]/Table2[[#This Row],[Conversion]])</f>
        <v/>
      </c>
      <c r="K4362" s="45" t="str">
        <f>IF(Table2[[#This Row],[Description]]="","",DATE(Table2[[#This Row],[Year]],Table2[[#This Row],[Month]],1))</f>
        <v/>
      </c>
    </row>
    <row r="4363" spans="7:11" x14ac:dyDescent="0.25">
      <c r="G4363" s="1" t="str">
        <f>IF(Table2[[#This Row],[Description]]="","",VLOOKUP(Table2[[#This Row],[Description]],$Q$1:$S$101,2,FALSE))</f>
        <v/>
      </c>
      <c r="H4363" s="1" t="str">
        <f>IF(Table2[[#This Row],[Description]]="","",VLOOKUP(Table2[[#This Row],[Description]],$Q$1:$S$101,3,FALSE))</f>
        <v/>
      </c>
      <c r="I4363" s="1" t="str">
        <f>IF(Table2[[#This Row],[Description]]="","",IF(Table2[[#This Row],[Currency]]=$O$2,$P$2,HLOOKUP(Table2[[#This Row],[Date]],Funds!$C$10:$GV$11,2,FALSE)))</f>
        <v/>
      </c>
      <c r="J4363" s="215" t="str">
        <f>IF(Table2[[#This Row],[Description]]="","",Table2[[#This Row],[Value]]/Table2[[#This Row],[Conversion]])</f>
        <v/>
      </c>
      <c r="K4363" s="45" t="str">
        <f>IF(Table2[[#This Row],[Description]]="","",DATE(Table2[[#This Row],[Year]],Table2[[#This Row],[Month]],1))</f>
        <v/>
      </c>
    </row>
    <row r="4364" spans="7:11" x14ac:dyDescent="0.25">
      <c r="G4364" s="1" t="str">
        <f>IF(Table2[[#This Row],[Description]]="","",VLOOKUP(Table2[[#This Row],[Description]],$Q$1:$S$101,2,FALSE))</f>
        <v/>
      </c>
      <c r="H4364" s="1" t="str">
        <f>IF(Table2[[#This Row],[Description]]="","",VLOOKUP(Table2[[#This Row],[Description]],$Q$1:$S$101,3,FALSE))</f>
        <v/>
      </c>
      <c r="I4364" s="1" t="str">
        <f>IF(Table2[[#This Row],[Description]]="","",IF(Table2[[#This Row],[Currency]]=$O$2,$P$2,HLOOKUP(Table2[[#This Row],[Date]],Funds!$C$10:$GV$11,2,FALSE)))</f>
        <v/>
      </c>
      <c r="J4364" s="215" t="str">
        <f>IF(Table2[[#This Row],[Description]]="","",Table2[[#This Row],[Value]]/Table2[[#This Row],[Conversion]])</f>
        <v/>
      </c>
      <c r="K4364" s="45" t="str">
        <f>IF(Table2[[#This Row],[Description]]="","",DATE(Table2[[#This Row],[Year]],Table2[[#This Row],[Month]],1))</f>
        <v/>
      </c>
    </row>
    <row r="4365" spans="7:11" x14ac:dyDescent="0.25">
      <c r="G4365" s="1" t="str">
        <f>IF(Table2[[#This Row],[Description]]="","",VLOOKUP(Table2[[#This Row],[Description]],$Q$1:$S$101,2,FALSE))</f>
        <v/>
      </c>
      <c r="H4365" s="1" t="str">
        <f>IF(Table2[[#This Row],[Description]]="","",VLOOKUP(Table2[[#This Row],[Description]],$Q$1:$S$101,3,FALSE))</f>
        <v/>
      </c>
      <c r="I4365" s="1" t="str">
        <f>IF(Table2[[#This Row],[Description]]="","",IF(Table2[[#This Row],[Currency]]=$O$2,$P$2,HLOOKUP(Table2[[#This Row],[Date]],Funds!$C$10:$GV$11,2,FALSE)))</f>
        <v/>
      </c>
      <c r="J4365" s="215" t="str">
        <f>IF(Table2[[#This Row],[Description]]="","",Table2[[#This Row],[Value]]/Table2[[#This Row],[Conversion]])</f>
        <v/>
      </c>
      <c r="K4365" s="45" t="str">
        <f>IF(Table2[[#This Row],[Description]]="","",DATE(Table2[[#This Row],[Year]],Table2[[#This Row],[Month]],1))</f>
        <v/>
      </c>
    </row>
    <row r="4366" spans="7:11" x14ac:dyDescent="0.25">
      <c r="G4366" s="1" t="str">
        <f>IF(Table2[[#This Row],[Description]]="","",VLOOKUP(Table2[[#This Row],[Description]],$Q$1:$S$101,2,FALSE))</f>
        <v/>
      </c>
      <c r="H4366" s="1" t="str">
        <f>IF(Table2[[#This Row],[Description]]="","",VLOOKUP(Table2[[#This Row],[Description]],$Q$1:$S$101,3,FALSE))</f>
        <v/>
      </c>
      <c r="I4366" s="1" t="str">
        <f>IF(Table2[[#This Row],[Description]]="","",IF(Table2[[#This Row],[Currency]]=$O$2,$P$2,HLOOKUP(Table2[[#This Row],[Date]],Funds!$C$10:$GV$11,2,FALSE)))</f>
        <v/>
      </c>
      <c r="J4366" s="215" t="str">
        <f>IF(Table2[[#This Row],[Description]]="","",Table2[[#This Row],[Value]]/Table2[[#This Row],[Conversion]])</f>
        <v/>
      </c>
      <c r="K4366" s="45" t="str">
        <f>IF(Table2[[#This Row],[Description]]="","",DATE(Table2[[#This Row],[Year]],Table2[[#This Row],[Month]],1))</f>
        <v/>
      </c>
    </row>
    <row r="4367" spans="7:11" x14ac:dyDescent="0.25">
      <c r="G4367" s="1" t="str">
        <f>IF(Table2[[#This Row],[Description]]="","",VLOOKUP(Table2[[#This Row],[Description]],$Q$1:$S$101,2,FALSE))</f>
        <v/>
      </c>
      <c r="H4367" s="1" t="str">
        <f>IF(Table2[[#This Row],[Description]]="","",VLOOKUP(Table2[[#This Row],[Description]],$Q$1:$S$101,3,FALSE))</f>
        <v/>
      </c>
      <c r="I4367" s="1" t="str">
        <f>IF(Table2[[#This Row],[Description]]="","",IF(Table2[[#This Row],[Currency]]=$O$2,$P$2,HLOOKUP(Table2[[#This Row],[Date]],Funds!$C$10:$GV$11,2,FALSE)))</f>
        <v/>
      </c>
      <c r="J4367" s="215" t="str">
        <f>IF(Table2[[#This Row],[Description]]="","",Table2[[#This Row],[Value]]/Table2[[#This Row],[Conversion]])</f>
        <v/>
      </c>
      <c r="K4367" s="45" t="str">
        <f>IF(Table2[[#This Row],[Description]]="","",DATE(Table2[[#This Row],[Year]],Table2[[#This Row],[Month]],1))</f>
        <v/>
      </c>
    </row>
    <row r="4368" spans="7:11" x14ac:dyDescent="0.25">
      <c r="G4368" s="1" t="str">
        <f>IF(Table2[[#This Row],[Description]]="","",VLOOKUP(Table2[[#This Row],[Description]],$Q$1:$S$101,2,FALSE))</f>
        <v/>
      </c>
      <c r="H4368" s="1" t="str">
        <f>IF(Table2[[#This Row],[Description]]="","",VLOOKUP(Table2[[#This Row],[Description]],$Q$1:$S$101,3,FALSE))</f>
        <v/>
      </c>
      <c r="I4368" s="1" t="str">
        <f>IF(Table2[[#This Row],[Description]]="","",IF(Table2[[#This Row],[Currency]]=$O$2,$P$2,HLOOKUP(Table2[[#This Row],[Date]],Funds!$C$10:$GV$11,2,FALSE)))</f>
        <v/>
      </c>
      <c r="J4368" s="215" t="str">
        <f>IF(Table2[[#This Row],[Description]]="","",Table2[[#This Row],[Value]]/Table2[[#This Row],[Conversion]])</f>
        <v/>
      </c>
      <c r="K4368" s="45" t="str">
        <f>IF(Table2[[#This Row],[Description]]="","",DATE(Table2[[#This Row],[Year]],Table2[[#This Row],[Month]],1))</f>
        <v/>
      </c>
    </row>
    <row r="4369" spans="7:11" x14ac:dyDescent="0.25">
      <c r="G4369" s="1" t="str">
        <f>IF(Table2[[#This Row],[Description]]="","",VLOOKUP(Table2[[#This Row],[Description]],$Q$1:$S$101,2,FALSE))</f>
        <v/>
      </c>
      <c r="H4369" s="1" t="str">
        <f>IF(Table2[[#This Row],[Description]]="","",VLOOKUP(Table2[[#This Row],[Description]],$Q$1:$S$101,3,FALSE))</f>
        <v/>
      </c>
      <c r="I4369" s="1" t="str">
        <f>IF(Table2[[#This Row],[Description]]="","",IF(Table2[[#This Row],[Currency]]=$O$2,$P$2,HLOOKUP(Table2[[#This Row],[Date]],Funds!$C$10:$GV$11,2,FALSE)))</f>
        <v/>
      </c>
      <c r="J4369" s="215" t="str">
        <f>IF(Table2[[#This Row],[Description]]="","",Table2[[#This Row],[Value]]/Table2[[#This Row],[Conversion]])</f>
        <v/>
      </c>
      <c r="K4369" s="45" t="str">
        <f>IF(Table2[[#This Row],[Description]]="","",DATE(Table2[[#This Row],[Year]],Table2[[#This Row],[Month]],1))</f>
        <v/>
      </c>
    </row>
    <row r="4370" spans="7:11" x14ac:dyDescent="0.25">
      <c r="G4370" s="1" t="str">
        <f>IF(Table2[[#This Row],[Description]]="","",VLOOKUP(Table2[[#This Row],[Description]],$Q$1:$S$101,2,FALSE))</f>
        <v/>
      </c>
      <c r="H4370" s="1" t="str">
        <f>IF(Table2[[#This Row],[Description]]="","",VLOOKUP(Table2[[#This Row],[Description]],$Q$1:$S$101,3,FALSE))</f>
        <v/>
      </c>
      <c r="I4370" s="1" t="str">
        <f>IF(Table2[[#This Row],[Description]]="","",IF(Table2[[#This Row],[Currency]]=$O$2,$P$2,HLOOKUP(Table2[[#This Row],[Date]],Funds!$C$10:$GV$11,2,FALSE)))</f>
        <v/>
      </c>
      <c r="J4370" s="215" t="str">
        <f>IF(Table2[[#This Row],[Description]]="","",Table2[[#This Row],[Value]]/Table2[[#This Row],[Conversion]])</f>
        <v/>
      </c>
      <c r="K4370" s="45" t="str">
        <f>IF(Table2[[#This Row],[Description]]="","",DATE(Table2[[#This Row],[Year]],Table2[[#This Row],[Month]],1))</f>
        <v/>
      </c>
    </row>
    <row r="4371" spans="7:11" x14ac:dyDescent="0.25">
      <c r="G4371" s="1" t="str">
        <f>IF(Table2[[#This Row],[Description]]="","",VLOOKUP(Table2[[#This Row],[Description]],$Q$1:$S$101,2,FALSE))</f>
        <v/>
      </c>
      <c r="H4371" s="1" t="str">
        <f>IF(Table2[[#This Row],[Description]]="","",VLOOKUP(Table2[[#This Row],[Description]],$Q$1:$S$101,3,FALSE))</f>
        <v/>
      </c>
      <c r="I4371" s="1" t="str">
        <f>IF(Table2[[#This Row],[Description]]="","",IF(Table2[[#This Row],[Currency]]=$O$2,$P$2,HLOOKUP(Table2[[#This Row],[Date]],Funds!$C$10:$GV$11,2,FALSE)))</f>
        <v/>
      </c>
      <c r="J4371" s="215" t="str">
        <f>IF(Table2[[#This Row],[Description]]="","",Table2[[#This Row],[Value]]/Table2[[#This Row],[Conversion]])</f>
        <v/>
      </c>
      <c r="K4371" s="45" t="str">
        <f>IF(Table2[[#This Row],[Description]]="","",DATE(Table2[[#This Row],[Year]],Table2[[#This Row],[Month]],1))</f>
        <v/>
      </c>
    </row>
    <row r="4372" spans="7:11" x14ac:dyDescent="0.25">
      <c r="G4372" s="1" t="str">
        <f>IF(Table2[[#This Row],[Description]]="","",VLOOKUP(Table2[[#This Row],[Description]],$Q$1:$S$101,2,FALSE))</f>
        <v/>
      </c>
      <c r="H4372" s="1" t="str">
        <f>IF(Table2[[#This Row],[Description]]="","",VLOOKUP(Table2[[#This Row],[Description]],$Q$1:$S$101,3,FALSE))</f>
        <v/>
      </c>
      <c r="I4372" s="1" t="str">
        <f>IF(Table2[[#This Row],[Description]]="","",IF(Table2[[#This Row],[Currency]]=$O$2,$P$2,HLOOKUP(Table2[[#This Row],[Date]],Funds!$C$10:$GV$11,2,FALSE)))</f>
        <v/>
      </c>
      <c r="J4372" s="215" t="str">
        <f>IF(Table2[[#This Row],[Description]]="","",Table2[[#This Row],[Value]]/Table2[[#This Row],[Conversion]])</f>
        <v/>
      </c>
      <c r="K4372" s="45" t="str">
        <f>IF(Table2[[#This Row],[Description]]="","",DATE(Table2[[#This Row],[Year]],Table2[[#This Row],[Month]],1))</f>
        <v/>
      </c>
    </row>
    <row r="4373" spans="7:11" x14ac:dyDescent="0.25">
      <c r="G4373" s="1" t="str">
        <f>IF(Table2[[#This Row],[Description]]="","",VLOOKUP(Table2[[#This Row],[Description]],$Q$1:$S$101,2,FALSE))</f>
        <v/>
      </c>
      <c r="H4373" s="1" t="str">
        <f>IF(Table2[[#This Row],[Description]]="","",VLOOKUP(Table2[[#This Row],[Description]],$Q$1:$S$101,3,FALSE))</f>
        <v/>
      </c>
      <c r="I4373" s="1" t="str">
        <f>IF(Table2[[#This Row],[Description]]="","",IF(Table2[[#This Row],[Currency]]=$O$2,$P$2,HLOOKUP(Table2[[#This Row],[Date]],Funds!$C$10:$GV$11,2,FALSE)))</f>
        <v/>
      </c>
      <c r="J4373" s="215" t="str">
        <f>IF(Table2[[#This Row],[Description]]="","",Table2[[#This Row],[Value]]/Table2[[#This Row],[Conversion]])</f>
        <v/>
      </c>
      <c r="K4373" s="45" t="str">
        <f>IF(Table2[[#This Row],[Description]]="","",DATE(Table2[[#This Row],[Year]],Table2[[#This Row],[Month]],1))</f>
        <v/>
      </c>
    </row>
    <row r="4374" spans="7:11" x14ac:dyDescent="0.25">
      <c r="G4374" s="1" t="str">
        <f>IF(Table2[[#This Row],[Description]]="","",VLOOKUP(Table2[[#This Row],[Description]],$Q$1:$S$101,2,FALSE))</f>
        <v/>
      </c>
      <c r="H4374" s="1" t="str">
        <f>IF(Table2[[#This Row],[Description]]="","",VLOOKUP(Table2[[#This Row],[Description]],$Q$1:$S$101,3,FALSE))</f>
        <v/>
      </c>
      <c r="I4374" s="1" t="str">
        <f>IF(Table2[[#This Row],[Description]]="","",IF(Table2[[#This Row],[Currency]]=$O$2,$P$2,HLOOKUP(Table2[[#This Row],[Date]],Funds!$C$10:$GV$11,2,FALSE)))</f>
        <v/>
      </c>
      <c r="J4374" s="215" t="str">
        <f>IF(Table2[[#This Row],[Description]]="","",Table2[[#This Row],[Value]]/Table2[[#This Row],[Conversion]])</f>
        <v/>
      </c>
      <c r="K4374" s="45" t="str">
        <f>IF(Table2[[#This Row],[Description]]="","",DATE(Table2[[#This Row],[Year]],Table2[[#This Row],[Month]],1))</f>
        <v/>
      </c>
    </row>
    <row r="4375" spans="7:11" x14ac:dyDescent="0.25">
      <c r="G4375" s="1" t="str">
        <f>IF(Table2[[#This Row],[Description]]="","",VLOOKUP(Table2[[#This Row],[Description]],$Q$1:$S$101,2,FALSE))</f>
        <v/>
      </c>
      <c r="H4375" s="1" t="str">
        <f>IF(Table2[[#This Row],[Description]]="","",VLOOKUP(Table2[[#This Row],[Description]],$Q$1:$S$101,3,FALSE))</f>
        <v/>
      </c>
      <c r="I4375" s="1" t="str">
        <f>IF(Table2[[#This Row],[Description]]="","",IF(Table2[[#This Row],[Currency]]=$O$2,$P$2,HLOOKUP(Table2[[#This Row],[Date]],Funds!$C$10:$GV$11,2,FALSE)))</f>
        <v/>
      </c>
      <c r="J4375" s="215" t="str">
        <f>IF(Table2[[#This Row],[Description]]="","",Table2[[#This Row],[Value]]/Table2[[#This Row],[Conversion]])</f>
        <v/>
      </c>
      <c r="K4375" s="45" t="str">
        <f>IF(Table2[[#This Row],[Description]]="","",DATE(Table2[[#This Row],[Year]],Table2[[#This Row],[Month]],1))</f>
        <v/>
      </c>
    </row>
    <row r="4376" spans="7:11" x14ac:dyDescent="0.25">
      <c r="G4376" s="1" t="str">
        <f>IF(Table2[[#This Row],[Description]]="","",VLOOKUP(Table2[[#This Row],[Description]],$Q$1:$S$101,2,FALSE))</f>
        <v/>
      </c>
      <c r="H4376" s="1" t="str">
        <f>IF(Table2[[#This Row],[Description]]="","",VLOOKUP(Table2[[#This Row],[Description]],$Q$1:$S$101,3,FALSE))</f>
        <v/>
      </c>
      <c r="I4376" s="1" t="str">
        <f>IF(Table2[[#This Row],[Description]]="","",IF(Table2[[#This Row],[Currency]]=$O$2,$P$2,HLOOKUP(Table2[[#This Row],[Date]],Funds!$C$10:$GV$11,2,FALSE)))</f>
        <v/>
      </c>
      <c r="J4376" s="215" t="str">
        <f>IF(Table2[[#This Row],[Description]]="","",Table2[[#This Row],[Value]]/Table2[[#This Row],[Conversion]])</f>
        <v/>
      </c>
      <c r="K4376" s="45" t="str">
        <f>IF(Table2[[#This Row],[Description]]="","",DATE(Table2[[#This Row],[Year]],Table2[[#This Row],[Month]],1))</f>
        <v/>
      </c>
    </row>
    <row r="4377" spans="7:11" x14ac:dyDescent="0.25">
      <c r="G4377" s="1" t="str">
        <f>IF(Table2[[#This Row],[Description]]="","",VLOOKUP(Table2[[#This Row],[Description]],$Q$1:$S$101,2,FALSE))</f>
        <v/>
      </c>
      <c r="H4377" s="1" t="str">
        <f>IF(Table2[[#This Row],[Description]]="","",VLOOKUP(Table2[[#This Row],[Description]],$Q$1:$S$101,3,FALSE))</f>
        <v/>
      </c>
      <c r="I4377" s="1" t="str">
        <f>IF(Table2[[#This Row],[Description]]="","",IF(Table2[[#This Row],[Currency]]=$O$2,$P$2,HLOOKUP(Table2[[#This Row],[Date]],Funds!$C$10:$GV$11,2,FALSE)))</f>
        <v/>
      </c>
      <c r="J4377" s="215" t="str">
        <f>IF(Table2[[#This Row],[Description]]="","",Table2[[#This Row],[Value]]/Table2[[#This Row],[Conversion]])</f>
        <v/>
      </c>
      <c r="K4377" s="45" t="str">
        <f>IF(Table2[[#This Row],[Description]]="","",DATE(Table2[[#This Row],[Year]],Table2[[#This Row],[Month]],1))</f>
        <v/>
      </c>
    </row>
    <row r="4378" spans="7:11" x14ac:dyDescent="0.25">
      <c r="G4378" s="1" t="str">
        <f>IF(Table2[[#This Row],[Description]]="","",VLOOKUP(Table2[[#This Row],[Description]],$Q$1:$S$101,2,FALSE))</f>
        <v/>
      </c>
      <c r="H4378" s="1" t="str">
        <f>IF(Table2[[#This Row],[Description]]="","",VLOOKUP(Table2[[#This Row],[Description]],$Q$1:$S$101,3,FALSE))</f>
        <v/>
      </c>
      <c r="I4378" s="1" t="str">
        <f>IF(Table2[[#This Row],[Description]]="","",IF(Table2[[#This Row],[Currency]]=$O$2,$P$2,HLOOKUP(Table2[[#This Row],[Date]],Funds!$C$10:$GV$11,2,FALSE)))</f>
        <v/>
      </c>
      <c r="J4378" s="215" t="str">
        <f>IF(Table2[[#This Row],[Description]]="","",Table2[[#This Row],[Value]]/Table2[[#This Row],[Conversion]])</f>
        <v/>
      </c>
      <c r="K4378" s="45" t="str">
        <f>IF(Table2[[#This Row],[Description]]="","",DATE(Table2[[#This Row],[Year]],Table2[[#This Row],[Month]],1))</f>
        <v/>
      </c>
    </row>
    <row r="4379" spans="7:11" x14ac:dyDescent="0.25">
      <c r="G4379" s="1" t="str">
        <f>IF(Table2[[#This Row],[Description]]="","",VLOOKUP(Table2[[#This Row],[Description]],$Q$1:$S$101,2,FALSE))</f>
        <v/>
      </c>
      <c r="H4379" s="1" t="str">
        <f>IF(Table2[[#This Row],[Description]]="","",VLOOKUP(Table2[[#This Row],[Description]],$Q$1:$S$101,3,FALSE))</f>
        <v/>
      </c>
      <c r="I4379" s="1" t="str">
        <f>IF(Table2[[#This Row],[Description]]="","",IF(Table2[[#This Row],[Currency]]=$O$2,$P$2,HLOOKUP(Table2[[#This Row],[Date]],Funds!$C$10:$GV$11,2,FALSE)))</f>
        <v/>
      </c>
      <c r="J4379" s="215" t="str">
        <f>IF(Table2[[#This Row],[Description]]="","",Table2[[#This Row],[Value]]/Table2[[#This Row],[Conversion]])</f>
        <v/>
      </c>
      <c r="K4379" s="45" t="str">
        <f>IF(Table2[[#This Row],[Description]]="","",DATE(Table2[[#This Row],[Year]],Table2[[#This Row],[Month]],1))</f>
        <v/>
      </c>
    </row>
    <row r="4380" spans="7:11" x14ac:dyDescent="0.25">
      <c r="G4380" s="1" t="str">
        <f>IF(Table2[[#This Row],[Description]]="","",VLOOKUP(Table2[[#This Row],[Description]],$Q$1:$S$101,2,FALSE))</f>
        <v/>
      </c>
      <c r="H4380" s="1" t="str">
        <f>IF(Table2[[#This Row],[Description]]="","",VLOOKUP(Table2[[#This Row],[Description]],$Q$1:$S$101,3,FALSE))</f>
        <v/>
      </c>
      <c r="I4380" s="1" t="str">
        <f>IF(Table2[[#This Row],[Description]]="","",IF(Table2[[#This Row],[Currency]]=$O$2,$P$2,HLOOKUP(Table2[[#This Row],[Date]],Funds!$C$10:$GV$11,2,FALSE)))</f>
        <v/>
      </c>
      <c r="J4380" s="215" t="str">
        <f>IF(Table2[[#This Row],[Description]]="","",Table2[[#This Row],[Value]]/Table2[[#This Row],[Conversion]])</f>
        <v/>
      </c>
      <c r="K4380" s="45" t="str">
        <f>IF(Table2[[#This Row],[Description]]="","",DATE(Table2[[#This Row],[Year]],Table2[[#This Row],[Month]],1))</f>
        <v/>
      </c>
    </row>
    <row r="4381" spans="7:11" x14ac:dyDescent="0.25">
      <c r="G4381" s="1" t="str">
        <f>IF(Table2[[#This Row],[Description]]="","",VLOOKUP(Table2[[#This Row],[Description]],$Q$1:$S$101,2,FALSE))</f>
        <v/>
      </c>
      <c r="H4381" s="1" t="str">
        <f>IF(Table2[[#This Row],[Description]]="","",VLOOKUP(Table2[[#This Row],[Description]],$Q$1:$S$101,3,FALSE))</f>
        <v/>
      </c>
      <c r="I4381" s="1" t="str">
        <f>IF(Table2[[#This Row],[Description]]="","",IF(Table2[[#This Row],[Currency]]=$O$2,$P$2,HLOOKUP(Table2[[#This Row],[Date]],Funds!$C$10:$GV$11,2,FALSE)))</f>
        <v/>
      </c>
      <c r="J4381" s="215" t="str">
        <f>IF(Table2[[#This Row],[Description]]="","",Table2[[#This Row],[Value]]/Table2[[#This Row],[Conversion]])</f>
        <v/>
      </c>
      <c r="K4381" s="45" t="str">
        <f>IF(Table2[[#This Row],[Description]]="","",DATE(Table2[[#This Row],[Year]],Table2[[#This Row],[Month]],1))</f>
        <v/>
      </c>
    </row>
    <row r="4382" spans="7:11" x14ac:dyDescent="0.25">
      <c r="G4382" s="1" t="str">
        <f>IF(Table2[[#This Row],[Description]]="","",VLOOKUP(Table2[[#This Row],[Description]],$Q$1:$S$101,2,FALSE))</f>
        <v/>
      </c>
      <c r="H4382" s="1" t="str">
        <f>IF(Table2[[#This Row],[Description]]="","",VLOOKUP(Table2[[#This Row],[Description]],$Q$1:$S$101,3,FALSE))</f>
        <v/>
      </c>
      <c r="I4382" s="1" t="str">
        <f>IF(Table2[[#This Row],[Description]]="","",IF(Table2[[#This Row],[Currency]]=$O$2,$P$2,HLOOKUP(Table2[[#This Row],[Date]],Funds!$C$10:$GV$11,2,FALSE)))</f>
        <v/>
      </c>
      <c r="J4382" s="215" t="str">
        <f>IF(Table2[[#This Row],[Description]]="","",Table2[[#This Row],[Value]]/Table2[[#This Row],[Conversion]])</f>
        <v/>
      </c>
      <c r="K4382" s="45" t="str">
        <f>IF(Table2[[#This Row],[Description]]="","",DATE(Table2[[#This Row],[Year]],Table2[[#This Row],[Month]],1))</f>
        <v/>
      </c>
    </row>
    <row r="4383" spans="7:11" x14ac:dyDescent="0.25">
      <c r="G4383" s="1" t="str">
        <f>IF(Table2[[#This Row],[Description]]="","",VLOOKUP(Table2[[#This Row],[Description]],$Q$1:$S$101,2,FALSE))</f>
        <v/>
      </c>
      <c r="H4383" s="1" t="str">
        <f>IF(Table2[[#This Row],[Description]]="","",VLOOKUP(Table2[[#This Row],[Description]],$Q$1:$S$101,3,FALSE))</f>
        <v/>
      </c>
      <c r="I4383" s="1" t="str">
        <f>IF(Table2[[#This Row],[Description]]="","",IF(Table2[[#This Row],[Currency]]=$O$2,$P$2,HLOOKUP(Table2[[#This Row],[Date]],Funds!$C$10:$GV$11,2,FALSE)))</f>
        <v/>
      </c>
      <c r="J4383" s="215" t="str">
        <f>IF(Table2[[#This Row],[Description]]="","",Table2[[#This Row],[Value]]/Table2[[#This Row],[Conversion]])</f>
        <v/>
      </c>
      <c r="K4383" s="45" t="str">
        <f>IF(Table2[[#This Row],[Description]]="","",DATE(Table2[[#This Row],[Year]],Table2[[#This Row],[Month]],1))</f>
        <v/>
      </c>
    </row>
    <row r="4384" spans="7:11" x14ac:dyDescent="0.25">
      <c r="G4384" s="1" t="str">
        <f>IF(Table2[[#This Row],[Description]]="","",VLOOKUP(Table2[[#This Row],[Description]],$Q$1:$S$101,2,FALSE))</f>
        <v/>
      </c>
      <c r="H4384" s="1" t="str">
        <f>IF(Table2[[#This Row],[Description]]="","",VLOOKUP(Table2[[#This Row],[Description]],$Q$1:$S$101,3,FALSE))</f>
        <v/>
      </c>
      <c r="I4384" s="1" t="str">
        <f>IF(Table2[[#This Row],[Description]]="","",IF(Table2[[#This Row],[Currency]]=$O$2,$P$2,HLOOKUP(Table2[[#This Row],[Date]],Funds!$C$10:$GV$11,2,FALSE)))</f>
        <v/>
      </c>
      <c r="J4384" s="215" t="str">
        <f>IF(Table2[[#This Row],[Description]]="","",Table2[[#This Row],[Value]]/Table2[[#This Row],[Conversion]])</f>
        <v/>
      </c>
      <c r="K4384" s="45" t="str">
        <f>IF(Table2[[#This Row],[Description]]="","",DATE(Table2[[#This Row],[Year]],Table2[[#This Row],[Month]],1))</f>
        <v/>
      </c>
    </row>
    <row r="4385" spans="7:11" x14ac:dyDescent="0.25">
      <c r="G4385" s="1" t="str">
        <f>IF(Table2[[#This Row],[Description]]="","",VLOOKUP(Table2[[#This Row],[Description]],$Q$1:$S$101,2,FALSE))</f>
        <v/>
      </c>
      <c r="H4385" s="1" t="str">
        <f>IF(Table2[[#This Row],[Description]]="","",VLOOKUP(Table2[[#This Row],[Description]],$Q$1:$S$101,3,FALSE))</f>
        <v/>
      </c>
      <c r="I4385" s="1" t="str">
        <f>IF(Table2[[#This Row],[Description]]="","",IF(Table2[[#This Row],[Currency]]=$O$2,$P$2,HLOOKUP(Table2[[#This Row],[Date]],Funds!$C$10:$GV$11,2,FALSE)))</f>
        <v/>
      </c>
      <c r="J4385" s="215" t="str">
        <f>IF(Table2[[#This Row],[Description]]="","",Table2[[#This Row],[Value]]/Table2[[#This Row],[Conversion]])</f>
        <v/>
      </c>
      <c r="K4385" s="45" t="str">
        <f>IF(Table2[[#This Row],[Description]]="","",DATE(Table2[[#This Row],[Year]],Table2[[#This Row],[Month]],1))</f>
        <v/>
      </c>
    </row>
    <row r="4386" spans="7:11" x14ac:dyDescent="0.25">
      <c r="G4386" s="1" t="str">
        <f>IF(Table2[[#This Row],[Description]]="","",VLOOKUP(Table2[[#This Row],[Description]],$Q$1:$S$101,2,FALSE))</f>
        <v/>
      </c>
      <c r="H4386" s="1" t="str">
        <f>IF(Table2[[#This Row],[Description]]="","",VLOOKUP(Table2[[#This Row],[Description]],$Q$1:$S$101,3,FALSE))</f>
        <v/>
      </c>
      <c r="I4386" s="1" t="str">
        <f>IF(Table2[[#This Row],[Description]]="","",IF(Table2[[#This Row],[Currency]]=$O$2,$P$2,HLOOKUP(Table2[[#This Row],[Date]],Funds!$C$10:$GV$11,2,FALSE)))</f>
        <v/>
      </c>
      <c r="J4386" s="215" t="str">
        <f>IF(Table2[[#This Row],[Description]]="","",Table2[[#This Row],[Value]]/Table2[[#This Row],[Conversion]])</f>
        <v/>
      </c>
      <c r="K4386" s="45" t="str">
        <f>IF(Table2[[#This Row],[Description]]="","",DATE(Table2[[#This Row],[Year]],Table2[[#This Row],[Month]],1))</f>
        <v/>
      </c>
    </row>
    <row r="4387" spans="7:11" x14ac:dyDescent="0.25">
      <c r="G4387" s="1" t="str">
        <f>IF(Table2[[#This Row],[Description]]="","",VLOOKUP(Table2[[#This Row],[Description]],$Q$1:$S$101,2,FALSE))</f>
        <v/>
      </c>
      <c r="H4387" s="1" t="str">
        <f>IF(Table2[[#This Row],[Description]]="","",VLOOKUP(Table2[[#This Row],[Description]],$Q$1:$S$101,3,FALSE))</f>
        <v/>
      </c>
      <c r="I4387" s="1" t="str">
        <f>IF(Table2[[#This Row],[Description]]="","",IF(Table2[[#This Row],[Currency]]=$O$2,$P$2,HLOOKUP(Table2[[#This Row],[Date]],Funds!$C$10:$GV$11,2,FALSE)))</f>
        <v/>
      </c>
      <c r="J4387" s="215" t="str">
        <f>IF(Table2[[#This Row],[Description]]="","",Table2[[#This Row],[Value]]/Table2[[#This Row],[Conversion]])</f>
        <v/>
      </c>
      <c r="K4387" s="45" t="str">
        <f>IF(Table2[[#This Row],[Description]]="","",DATE(Table2[[#This Row],[Year]],Table2[[#This Row],[Month]],1))</f>
        <v/>
      </c>
    </row>
    <row r="4388" spans="7:11" x14ac:dyDescent="0.25">
      <c r="G4388" s="1" t="str">
        <f>IF(Table2[[#This Row],[Description]]="","",VLOOKUP(Table2[[#This Row],[Description]],$Q$1:$S$101,2,FALSE))</f>
        <v/>
      </c>
      <c r="H4388" s="1" t="str">
        <f>IF(Table2[[#This Row],[Description]]="","",VLOOKUP(Table2[[#This Row],[Description]],$Q$1:$S$101,3,FALSE))</f>
        <v/>
      </c>
      <c r="I4388" s="1" t="str">
        <f>IF(Table2[[#This Row],[Description]]="","",IF(Table2[[#This Row],[Currency]]=$O$2,$P$2,HLOOKUP(Table2[[#This Row],[Date]],Funds!$C$10:$GV$11,2,FALSE)))</f>
        <v/>
      </c>
      <c r="J4388" s="215" t="str">
        <f>IF(Table2[[#This Row],[Description]]="","",Table2[[#This Row],[Value]]/Table2[[#This Row],[Conversion]])</f>
        <v/>
      </c>
      <c r="K4388" s="45" t="str">
        <f>IF(Table2[[#This Row],[Description]]="","",DATE(Table2[[#This Row],[Year]],Table2[[#This Row],[Month]],1))</f>
        <v/>
      </c>
    </row>
    <row r="4389" spans="7:11" x14ac:dyDescent="0.25">
      <c r="G4389" s="1" t="str">
        <f>IF(Table2[[#This Row],[Description]]="","",VLOOKUP(Table2[[#This Row],[Description]],$Q$1:$S$101,2,FALSE))</f>
        <v/>
      </c>
      <c r="H4389" s="1" t="str">
        <f>IF(Table2[[#This Row],[Description]]="","",VLOOKUP(Table2[[#This Row],[Description]],$Q$1:$S$101,3,FALSE))</f>
        <v/>
      </c>
      <c r="I4389" s="1" t="str">
        <f>IF(Table2[[#This Row],[Description]]="","",IF(Table2[[#This Row],[Currency]]=$O$2,$P$2,HLOOKUP(Table2[[#This Row],[Date]],Funds!$C$10:$GV$11,2,FALSE)))</f>
        <v/>
      </c>
      <c r="J4389" s="215" t="str">
        <f>IF(Table2[[#This Row],[Description]]="","",Table2[[#This Row],[Value]]/Table2[[#This Row],[Conversion]])</f>
        <v/>
      </c>
      <c r="K4389" s="45" t="str">
        <f>IF(Table2[[#This Row],[Description]]="","",DATE(Table2[[#This Row],[Year]],Table2[[#This Row],[Month]],1))</f>
        <v/>
      </c>
    </row>
    <row r="4390" spans="7:11" x14ac:dyDescent="0.25">
      <c r="G4390" s="1" t="str">
        <f>IF(Table2[[#This Row],[Description]]="","",VLOOKUP(Table2[[#This Row],[Description]],$Q$1:$S$101,2,FALSE))</f>
        <v/>
      </c>
      <c r="H4390" s="1" t="str">
        <f>IF(Table2[[#This Row],[Description]]="","",VLOOKUP(Table2[[#This Row],[Description]],$Q$1:$S$101,3,FALSE))</f>
        <v/>
      </c>
      <c r="I4390" s="1" t="str">
        <f>IF(Table2[[#This Row],[Description]]="","",IF(Table2[[#This Row],[Currency]]=$O$2,$P$2,HLOOKUP(Table2[[#This Row],[Date]],Funds!$C$10:$GV$11,2,FALSE)))</f>
        <v/>
      </c>
      <c r="J4390" s="215" t="str">
        <f>IF(Table2[[#This Row],[Description]]="","",Table2[[#This Row],[Value]]/Table2[[#This Row],[Conversion]])</f>
        <v/>
      </c>
      <c r="K4390" s="45" t="str">
        <f>IF(Table2[[#This Row],[Description]]="","",DATE(Table2[[#This Row],[Year]],Table2[[#This Row],[Month]],1))</f>
        <v/>
      </c>
    </row>
    <row r="4391" spans="7:11" x14ac:dyDescent="0.25">
      <c r="G4391" s="1" t="str">
        <f>IF(Table2[[#This Row],[Description]]="","",VLOOKUP(Table2[[#This Row],[Description]],$Q$1:$S$101,2,FALSE))</f>
        <v/>
      </c>
      <c r="H4391" s="1" t="str">
        <f>IF(Table2[[#This Row],[Description]]="","",VLOOKUP(Table2[[#This Row],[Description]],$Q$1:$S$101,3,FALSE))</f>
        <v/>
      </c>
      <c r="I4391" s="1" t="str">
        <f>IF(Table2[[#This Row],[Description]]="","",IF(Table2[[#This Row],[Currency]]=$O$2,$P$2,HLOOKUP(Table2[[#This Row],[Date]],Funds!$C$10:$GV$11,2,FALSE)))</f>
        <v/>
      </c>
      <c r="J4391" s="215" t="str">
        <f>IF(Table2[[#This Row],[Description]]="","",Table2[[#This Row],[Value]]/Table2[[#This Row],[Conversion]])</f>
        <v/>
      </c>
      <c r="K4391" s="45" t="str">
        <f>IF(Table2[[#This Row],[Description]]="","",DATE(Table2[[#This Row],[Year]],Table2[[#This Row],[Month]],1))</f>
        <v/>
      </c>
    </row>
    <row r="4392" spans="7:11" x14ac:dyDescent="0.25">
      <c r="G4392" s="1" t="str">
        <f>IF(Table2[[#This Row],[Description]]="","",VLOOKUP(Table2[[#This Row],[Description]],$Q$1:$S$101,2,FALSE))</f>
        <v/>
      </c>
      <c r="H4392" s="1" t="str">
        <f>IF(Table2[[#This Row],[Description]]="","",VLOOKUP(Table2[[#This Row],[Description]],$Q$1:$S$101,3,FALSE))</f>
        <v/>
      </c>
      <c r="I4392" s="1" t="str">
        <f>IF(Table2[[#This Row],[Description]]="","",IF(Table2[[#This Row],[Currency]]=$O$2,$P$2,HLOOKUP(Table2[[#This Row],[Date]],Funds!$C$10:$GV$11,2,FALSE)))</f>
        <v/>
      </c>
      <c r="J4392" s="215" t="str">
        <f>IF(Table2[[#This Row],[Description]]="","",Table2[[#This Row],[Value]]/Table2[[#This Row],[Conversion]])</f>
        <v/>
      </c>
      <c r="K4392" s="45" t="str">
        <f>IF(Table2[[#This Row],[Description]]="","",DATE(Table2[[#This Row],[Year]],Table2[[#This Row],[Month]],1))</f>
        <v/>
      </c>
    </row>
    <row r="4393" spans="7:11" x14ac:dyDescent="0.25">
      <c r="G4393" s="1" t="str">
        <f>IF(Table2[[#This Row],[Description]]="","",VLOOKUP(Table2[[#This Row],[Description]],$Q$1:$S$101,2,FALSE))</f>
        <v/>
      </c>
      <c r="H4393" s="1" t="str">
        <f>IF(Table2[[#This Row],[Description]]="","",VLOOKUP(Table2[[#This Row],[Description]],$Q$1:$S$101,3,FALSE))</f>
        <v/>
      </c>
      <c r="I4393" s="1" t="str">
        <f>IF(Table2[[#This Row],[Description]]="","",IF(Table2[[#This Row],[Currency]]=$O$2,$P$2,HLOOKUP(Table2[[#This Row],[Date]],Funds!$C$10:$GV$11,2,FALSE)))</f>
        <v/>
      </c>
      <c r="J4393" s="215" t="str">
        <f>IF(Table2[[#This Row],[Description]]="","",Table2[[#This Row],[Value]]/Table2[[#This Row],[Conversion]])</f>
        <v/>
      </c>
      <c r="K4393" s="45" t="str">
        <f>IF(Table2[[#This Row],[Description]]="","",DATE(Table2[[#This Row],[Year]],Table2[[#This Row],[Month]],1))</f>
        <v/>
      </c>
    </row>
    <row r="4394" spans="7:11" x14ac:dyDescent="0.25">
      <c r="G4394" s="1" t="str">
        <f>IF(Table2[[#This Row],[Description]]="","",VLOOKUP(Table2[[#This Row],[Description]],$Q$1:$S$101,2,FALSE))</f>
        <v/>
      </c>
      <c r="H4394" s="1" t="str">
        <f>IF(Table2[[#This Row],[Description]]="","",VLOOKUP(Table2[[#This Row],[Description]],$Q$1:$S$101,3,FALSE))</f>
        <v/>
      </c>
      <c r="I4394" s="1" t="str">
        <f>IF(Table2[[#This Row],[Description]]="","",IF(Table2[[#This Row],[Currency]]=$O$2,$P$2,HLOOKUP(Table2[[#This Row],[Date]],Funds!$C$10:$GV$11,2,FALSE)))</f>
        <v/>
      </c>
      <c r="J4394" s="215" t="str">
        <f>IF(Table2[[#This Row],[Description]]="","",Table2[[#This Row],[Value]]/Table2[[#This Row],[Conversion]])</f>
        <v/>
      </c>
      <c r="K4394" s="45" t="str">
        <f>IF(Table2[[#This Row],[Description]]="","",DATE(Table2[[#This Row],[Year]],Table2[[#This Row],[Month]],1))</f>
        <v/>
      </c>
    </row>
    <row r="4395" spans="7:11" x14ac:dyDescent="0.25">
      <c r="G4395" s="1" t="str">
        <f>IF(Table2[[#This Row],[Description]]="","",VLOOKUP(Table2[[#This Row],[Description]],$Q$1:$S$101,2,FALSE))</f>
        <v/>
      </c>
      <c r="H4395" s="1" t="str">
        <f>IF(Table2[[#This Row],[Description]]="","",VLOOKUP(Table2[[#This Row],[Description]],$Q$1:$S$101,3,FALSE))</f>
        <v/>
      </c>
      <c r="I4395" s="1" t="str">
        <f>IF(Table2[[#This Row],[Description]]="","",IF(Table2[[#This Row],[Currency]]=$O$2,$P$2,HLOOKUP(Table2[[#This Row],[Date]],Funds!$C$10:$GV$11,2,FALSE)))</f>
        <v/>
      </c>
      <c r="J4395" s="215" t="str">
        <f>IF(Table2[[#This Row],[Description]]="","",Table2[[#This Row],[Value]]/Table2[[#This Row],[Conversion]])</f>
        <v/>
      </c>
      <c r="K4395" s="45" t="str">
        <f>IF(Table2[[#This Row],[Description]]="","",DATE(Table2[[#This Row],[Year]],Table2[[#This Row],[Month]],1))</f>
        <v/>
      </c>
    </row>
    <row r="4396" spans="7:11" x14ac:dyDescent="0.25">
      <c r="G4396" s="1" t="str">
        <f>IF(Table2[[#This Row],[Description]]="","",VLOOKUP(Table2[[#This Row],[Description]],$Q$1:$S$101,2,FALSE))</f>
        <v/>
      </c>
      <c r="H4396" s="1" t="str">
        <f>IF(Table2[[#This Row],[Description]]="","",VLOOKUP(Table2[[#This Row],[Description]],$Q$1:$S$101,3,FALSE))</f>
        <v/>
      </c>
      <c r="I4396" s="1" t="str">
        <f>IF(Table2[[#This Row],[Description]]="","",IF(Table2[[#This Row],[Currency]]=$O$2,$P$2,HLOOKUP(Table2[[#This Row],[Date]],Funds!$C$10:$GV$11,2,FALSE)))</f>
        <v/>
      </c>
      <c r="J4396" s="215" t="str">
        <f>IF(Table2[[#This Row],[Description]]="","",Table2[[#This Row],[Value]]/Table2[[#This Row],[Conversion]])</f>
        <v/>
      </c>
      <c r="K4396" s="45" t="str">
        <f>IF(Table2[[#This Row],[Description]]="","",DATE(Table2[[#This Row],[Year]],Table2[[#This Row],[Month]],1))</f>
        <v/>
      </c>
    </row>
    <row r="4397" spans="7:11" x14ac:dyDescent="0.25">
      <c r="G4397" s="1" t="str">
        <f>IF(Table2[[#This Row],[Description]]="","",VLOOKUP(Table2[[#This Row],[Description]],$Q$1:$S$101,2,FALSE))</f>
        <v/>
      </c>
      <c r="H4397" s="1" t="str">
        <f>IF(Table2[[#This Row],[Description]]="","",VLOOKUP(Table2[[#This Row],[Description]],$Q$1:$S$101,3,FALSE))</f>
        <v/>
      </c>
      <c r="I4397" s="1" t="str">
        <f>IF(Table2[[#This Row],[Description]]="","",IF(Table2[[#This Row],[Currency]]=$O$2,$P$2,HLOOKUP(Table2[[#This Row],[Date]],Funds!$C$10:$GV$11,2,FALSE)))</f>
        <v/>
      </c>
      <c r="J4397" s="215" t="str">
        <f>IF(Table2[[#This Row],[Description]]="","",Table2[[#This Row],[Value]]/Table2[[#This Row],[Conversion]])</f>
        <v/>
      </c>
      <c r="K4397" s="45" t="str">
        <f>IF(Table2[[#This Row],[Description]]="","",DATE(Table2[[#This Row],[Year]],Table2[[#This Row],[Month]],1))</f>
        <v/>
      </c>
    </row>
    <row r="4398" spans="7:11" x14ac:dyDescent="0.25">
      <c r="G4398" s="1" t="str">
        <f>IF(Table2[[#This Row],[Description]]="","",VLOOKUP(Table2[[#This Row],[Description]],$Q$1:$S$101,2,FALSE))</f>
        <v/>
      </c>
      <c r="H4398" s="1" t="str">
        <f>IF(Table2[[#This Row],[Description]]="","",VLOOKUP(Table2[[#This Row],[Description]],$Q$1:$S$101,3,FALSE))</f>
        <v/>
      </c>
      <c r="I4398" s="1" t="str">
        <f>IF(Table2[[#This Row],[Description]]="","",IF(Table2[[#This Row],[Currency]]=$O$2,$P$2,HLOOKUP(Table2[[#This Row],[Date]],Funds!$C$10:$GV$11,2,FALSE)))</f>
        <v/>
      </c>
      <c r="J4398" s="215" t="str">
        <f>IF(Table2[[#This Row],[Description]]="","",Table2[[#This Row],[Value]]/Table2[[#This Row],[Conversion]])</f>
        <v/>
      </c>
      <c r="K4398" s="45" t="str">
        <f>IF(Table2[[#This Row],[Description]]="","",DATE(Table2[[#This Row],[Year]],Table2[[#This Row],[Month]],1))</f>
        <v/>
      </c>
    </row>
    <row r="4399" spans="7:11" x14ac:dyDescent="0.25">
      <c r="G4399" s="1" t="str">
        <f>IF(Table2[[#This Row],[Description]]="","",VLOOKUP(Table2[[#This Row],[Description]],$Q$1:$S$101,2,FALSE))</f>
        <v/>
      </c>
      <c r="H4399" s="1" t="str">
        <f>IF(Table2[[#This Row],[Description]]="","",VLOOKUP(Table2[[#This Row],[Description]],$Q$1:$S$101,3,FALSE))</f>
        <v/>
      </c>
      <c r="I4399" s="1" t="str">
        <f>IF(Table2[[#This Row],[Description]]="","",IF(Table2[[#This Row],[Currency]]=$O$2,$P$2,HLOOKUP(Table2[[#This Row],[Date]],Funds!$C$10:$GV$11,2,FALSE)))</f>
        <v/>
      </c>
      <c r="J4399" s="215" t="str">
        <f>IF(Table2[[#This Row],[Description]]="","",Table2[[#This Row],[Value]]/Table2[[#This Row],[Conversion]])</f>
        <v/>
      </c>
      <c r="K4399" s="45" t="str">
        <f>IF(Table2[[#This Row],[Description]]="","",DATE(Table2[[#This Row],[Year]],Table2[[#This Row],[Month]],1))</f>
        <v/>
      </c>
    </row>
    <row r="4400" spans="7:11" x14ac:dyDescent="0.25">
      <c r="G4400" s="1" t="str">
        <f>IF(Table2[[#This Row],[Description]]="","",VLOOKUP(Table2[[#This Row],[Description]],$Q$1:$S$101,2,FALSE))</f>
        <v/>
      </c>
      <c r="H4400" s="1" t="str">
        <f>IF(Table2[[#This Row],[Description]]="","",VLOOKUP(Table2[[#This Row],[Description]],$Q$1:$S$101,3,FALSE))</f>
        <v/>
      </c>
      <c r="I4400" s="1" t="str">
        <f>IF(Table2[[#This Row],[Description]]="","",IF(Table2[[#This Row],[Currency]]=$O$2,$P$2,HLOOKUP(Table2[[#This Row],[Date]],Funds!$C$10:$GV$11,2,FALSE)))</f>
        <v/>
      </c>
      <c r="J4400" s="215" t="str">
        <f>IF(Table2[[#This Row],[Description]]="","",Table2[[#This Row],[Value]]/Table2[[#This Row],[Conversion]])</f>
        <v/>
      </c>
      <c r="K4400" s="45" t="str">
        <f>IF(Table2[[#This Row],[Description]]="","",DATE(Table2[[#This Row],[Year]],Table2[[#This Row],[Month]],1))</f>
        <v/>
      </c>
    </row>
    <row r="4401" spans="7:11" x14ac:dyDescent="0.25">
      <c r="G4401" s="1" t="str">
        <f>IF(Table2[[#This Row],[Description]]="","",VLOOKUP(Table2[[#This Row],[Description]],$Q$1:$S$101,2,FALSE))</f>
        <v/>
      </c>
      <c r="H4401" s="1" t="str">
        <f>IF(Table2[[#This Row],[Description]]="","",VLOOKUP(Table2[[#This Row],[Description]],$Q$1:$S$101,3,FALSE))</f>
        <v/>
      </c>
      <c r="I4401" s="1" t="str">
        <f>IF(Table2[[#This Row],[Description]]="","",IF(Table2[[#This Row],[Currency]]=$O$2,$P$2,HLOOKUP(Table2[[#This Row],[Date]],Funds!$C$10:$GV$11,2,FALSE)))</f>
        <v/>
      </c>
      <c r="J4401" s="215" t="str">
        <f>IF(Table2[[#This Row],[Description]]="","",Table2[[#This Row],[Value]]/Table2[[#This Row],[Conversion]])</f>
        <v/>
      </c>
      <c r="K4401" s="45" t="str">
        <f>IF(Table2[[#This Row],[Description]]="","",DATE(Table2[[#This Row],[Year]],Table2[[#This Row],[Month]],1))</f>
        <v/>
      </c>
    </row>
    <row r="4402" spans="7:11" x14ac:dyDescent="0.25">
      <c r="G4402" s="1" t="str">
        <f>IF(Table2[[#This Row],[Description]]="","",VLOOKUP(Table2[[#This Row],[Description]],$Q$1:$S$101,2,FALSE))</f>
        <v/>
      </c>
      <c r="H4402" s="1" t="str">
        <f>IF(Table2[[#This Row],[Description]]="","",VLOOKUP(Table2[[#This Row],[Description]],$Q$1:$S$101,3,FALSE))</f>
        <v/>
      </c>
      <c r="I4402" s="1" t="str">
        <f>IF(Table2[[#This Row],[Description]]="","",IF(Table2[[#This Row],[Currency]]=$O$2,$P$2,HLOOKUP(Table2[[#This Row],[Date]],Funds!$C$10:$GV$11,2,FALSE)))</f>
        <v/>
      </c>
      <c r="J4402" s="215" t="str">
        <f>IF(Table2[[#This Row],[Description]]="","",Table2[[#This Row],[Value]]/Table2[[#This Row],[Conversion]])</f>
        <v/>
      </c>
      <c r="K4402" s="45" t="str">
        <f>IF(Table2[[#This Row],[Description]]="","",DATE(Table2[[#This Row],[Year]],Table2[[#This Row],[Month]],1))</f>
        <v/>
      </c>
    </row>
    <row r="4403" spans="7:11" x14ac:dyDescent="0.25">
      <c r="G4403" s="1" t="str">
        <f>IF(Table2[[#This Row],[Description]]="","",VLOOKUP(Table2[[#This Row],[Description]],$Q$1:$S$101,2,FALSE))</f>
        <v/>
      </c>
      <c r="H4403" s="1" t="str">
        <f>IF(Table2[[#This Row],[Description]]="","",VLOOKUP(Table2[[#This Row],[Description]],$Q$1:$S$101,3,FALSE))</f>
        <v/>
      </c>
      <c r="I4403" s="1" t="str">
        <f>IF(Table2[[#This Row],[Description]]="","",IF(Table2[[#This Row],[Currency]]=$O$2,$P$2,HLOOKUP(Table2[[#This Row],[Date]],Funds!$C$10:$GV$11,2,FALSE)))</f>
        <v/>
      </c>
      <c r="J4403" s="215" t="str">
        <f>IF(Table2[[#This Row],[Description]]="","",Table2[[#This Row],[Value]]/Table2[[#This Row],[Conversion]])</f>
        <v/>
      </c>
      <c r="K4403" s="45" t="str">
        <f>IF(Table2[[#This Row],[Description]]="","",DATE(Table2[[#This Row],[Year]],Table2[[#This Row],[Month]],1))</f>
        <v/>
      </c>
    </row>
    <row r="4404" spans="7:11" x14ac:dyDescent="0.25">
      <c r="G4404" s="1" t="str">
        <f>IF(Table2[[#This Row],[Description]]="","",VLOOKUP(Table2[[#This Row],[Description]],$Q$1:$S$101,2,FALSE))</f>
        <v/>
      </c>
      <c r="H4404" s="1" t="str">
        <f>IF(Table2[[#This Row],[Description]]="","",VLOOKUP(Table2[[#This Row],[Description]],$Q$1:$S$101,3,FALSE))</f>
        <v/>
      </c>
      <c r="I4404" s="1" t="str">
        <f>IF(Table2[[#This Row],[Description]]="","",IF(Table2[[#This Row],[Currency]]=$O$2,$P$2,HLOOKUP(Table2[[#This Row],[Date]],Funds!$C$10:$GV$11,2,FALSE)))</f>
        <v/>
      </c>
      <c r="J4404" s="215" t="str">
        <f>IF(Table2[[#This Row],[Description]]="","",Table2[[#This Row],[Value]]/Table2[[#This Row],[Conversion]])</f>
        <v/>
      </c>
      <c r="K4404" s="45" t="str">
        <f>IF(Table2[[#This Row],[Description]]="","",DATE(Table2[[#This Row],[Year]],Table2[[#This Row],[Month]],1))</f>
        <v/>
      </c>
    </row>
    <row r="4405" spans="7:11" x14ac:dyDescent="0.25">
      <c r="G4405" s="1" t="str">
        <f>IF(Table2[[#This Row],[Description]]="","",VLOOKUP(Table2[[#This Row],[Description]],$Q$1:$S$101,2,FALSE))</f>
        <v/>
      </c>
      <c r="H4405" s="1" t="str">
        <f>IF(Table2[[#This Row],[Description]]="","",VLOOKUP(Table2[[#This Row],[Description]],$Q$1:$S$101,3,FALSE))</f>
        <v/>
      </c>
      <c r="I4405" s="1" t="str">
        <f>IF(Table2[[#This Row],[Description]]="","",IF(Table2[[#This Row],[Currency]]=$O$2,$P$2,HLOOKUP(Table2[[#This Row],[Date]],Funds!$C$10:$GV$11,2,FALSE)))</f>
        <v/>
      </c>
      <c r="J4405" s="215" t="str">
        <f>IF(Table2[[#This Row],[Description]]="","",Table2[[#This Row],[Value]]/Table2[[#This Row],[Conversion]])</f>
        <v/>
      </c>
      <c r="K4405" s="45" t="str">
        <f>IF(Table2[[#This Row],[Description]]="","",DATE(Table2[[#This Row],[Year]],Table2[[#This Row],[Month]],1))</f>
        <v/>
      </c>
    </row>
    <row r="4406" spans="7:11" x14ac:dyDescent="0.25">
      <c r="G4406" s="1" t="str">
        <f>IF(Table2[[#This Row],[Description]]="","",VLOOKUP(Table2[[#This Row],[Description]],$Q$1:$S$101,2,FALSE))</f>
        <v/>
      </c>
      <c r="H4406" s="1" t="str">
        <f>IF(Table2[[#This Row],[Description]]="","",VLOOKUP(Table2[[#This Row],[Description]],$Q$1:$S$101,3,FALSE))</f>
        <v/>
      </c>
      <c r="I4406" s="1" t="str">
        <f>IF(Table2[[#This Row],[Description]]="","",IF(Table2[[#This Row],[Currency]]=$O$2,$P$2,HLOOKUP(Table2[[#This Row],[Date]],Funds!$C$10:$GV$11,2,FALSE)))</f>
        <v/>
      </c>
      <c r="J4406" s="215" t="str">
        <f>IF(Table2[[#This Row],[Description]]="","",Table2[[#This Row],[Value]]/Table2[[#This Row],[Conversion]])</f>
        <v/>
      </c>
      <c r="K4406" s="45" t="str">
        <f>IF(Table2[[#This Row],[Description]]="","",DATE(Table2[[#This Row],[Year]],Table2[[#This Row],[Month]],1))</f>
        <v/>
      </c>
    </row>
    <row r="4407" spans="7:11" x14ac:dyDescent="0.25">
      <c r="G4407" s="1" t="str">
        <f>IF(Table2[[#This Row],[Description]]="","",VLOOKUP(Table2[[#This Row],[Description]],$Q$1:$S$101,2,FALSE))</f>
        <v/>
      </c>
      <c r="H4407" s="1" t="str">
        <f>IF(Table2[[#This Row],[Description]]="","",VLOOKUP(Table2[[#This Row],[Description]],$Q$1:$S$101,3,FALSE))</f>
        <v/>
      </c>
      <c r="I4407" s="1" t="str">
        <f>IF(Table2[[#This Row],[Description]]="","",IF(Table2[[#This Row],[Currency]]=$O$2,$P$2,HLOOKUP(Table2[[#This Row],[Date]],Funds!$C$10:$GV$11,2,FALSE)))</f>
        <v/>
      </c>
      <c r="J4407" s="215" t="str">
        <f>IF(Table2[[#This Row],[Description]]="","",Table2[[#This Row],[Value]]/Table2[[#This Row],[Conversion]])</f>
        <v/>
      </c>
      <c r="K4407" s="45" t="str">
        <f>IF(Table2[[#This Row],[Description]]="","",DATE(Table2[[#This Row],[Year]],Table2[[#This Row],[Month]],1))</f>
        <v/>
      </c>
    </row>
    <row r="4408" spans="7:11" x14ac:dyDescent="0.25">
      <c r="G4408" s="1" t="str">
        <f>IF(Table2[[#This Row],[Description]]="","",VLOOKUP(Table2[[#This Row],[Description]],$Q$1:$S$101,2,FALSE))</f>
        <v/>
      </c>
      <c r="H4408" s="1" t="str">
        <f>IF(Table2[[#This Row],[Description]]="","",VLOOKUP(Table2[[#This Row],[Description]],$Q$1:$S$101,3,FALSE))</f>
        <v/>
      </c>
      <c r="I4408" s="1" t="str">
        <f>IF(Table2[[#This Row],[Description]]="","",IF(Table2[[#This Row],[Currency]]=$O$2,$P$2,HLOOKUP(Table2[[#This Row],[Date]],Funds!$C$10:$GV$11,2,FALSE)))</f>
        <v/>
      </c>
      <c r="J4408" s="215" t="str">
        <f>IF(Table2[[#This Row],[Description]]="","",Table2[[#This Row],[Value]]/Table2[[#This Row],[Conversion]])</f>
        <v/>
      </c>
      <c r="K4408" s="45" t="str">
        <f>IF(Table2[[#This Row],[Description]]="","",DATE(Table2[[#This Row],[Year]],Table2[[#This Row],[Month]],1))</f>
        <v/>
      </c>
    </row>
    <row r="4409" spans="7:11" x14ac:dyDescent="0.25">
      <c r="G4409" s="1" t="str">
        <f>IF(Table2[[#This Row],[Description]]="","",VLOOKUP(Table2[[#This Row],[Description]],$Q$1:$S$101,2,FALSE))</f>
        <v/>
      </c>
      <c r="H4409" s="1" t="str">
        <f>IF(Table2[[#This Row],[Description]]="","",VLOOKUP(Table2[[#This Row],[Description]],$Q$1:$S$101,3,FALSE))</f>
        <v/>
      </c>
      <c r="I4409" s="1" t="str">
        <f>IF(Table2[[#This Row],[Description]]="","",IF(Table2[[#This Row],[Currency]]=$O$2,$P$2,HLOOKUP(Table2[[#This Row],[Date]],Funds!$C$10:$GV$11,2,FALSE)))</f>
        <v/>
      </c>
      <c r="J4409" s="215" t="str">
        <f>IF(Table2[[#This Row],[Description]]="","",Table2[[#This Row],[Value]]/Table2[[#This Row],[Conversion]])</f>
        <v/>
      </c>
      <c r="K4409" s="45" t="str">
        <f>IF(Table2[[#This Row],[Description]]="","",DATE(Table2[[#This Row],[Year]],Table2[[#This Row],[Month]],1))</f>
        <v/>
      </c>
    </row>
    <row r="4410" spans="7:11" x14ac:dyDescent="0.25">
      <c r="G4410" s="1" t="str">
        <f>IF(Table2[[#This Row],[Description]]="","",VLOOKUP(Table2[[#This Row],[Description]],$Q$1:$S$101,2,FALSE))</f>
        <v/>
      </c>
      <c r="H4410" s="1" t="str">
        <f>IF(Table2[[#This Row],[Description]]="","",VLOOKUP(Table2[[#This Row],[Description]],$Q$1:$S$101,3,FALSE))</f>
        <v/>
      </c>
      <c r="I4410" s="1" t="str">
        <f>IF(Table2[[#This Row],[Description]]="","",IF(Table2[[#This Row],[Currency]]=$O$2,$P$2,HLOOKUP(Table2[[#This Row],[Date]],Funds!$C$10:$GV$11,2,FALSE)))</f>
        <v/>
      </c>
      <c r="J4410" s="215" t="str">
        <f>IF(Table2[[#This Row],[Description]]="","",Table2[[#This Row],[Value]]/Table2[[#This Row],[Conversion]])</f>
        <v/>
      </c>
      <c r="K4410" s="45" t="str">
        <f>IF(Table2[[#This Row],[Description]]="","",DATE(Table2[[#This Row],[Year]],Table2[[#This Row],[Month]],1))</f>
        <v/>
      </c>
    </row>
    <row r="4411" spans="7:11" x14ac:dyDescent="0.25">
      <c r="G4411" s="1" t="str">
        <f>IF(Table2[[#This Row],[Description]]="","",VLOOKUP(Table2[[#This Row],[Description]],$Q$1:$S$101,2,FALSE))</f>
        <v/>
      </c>
      <c r="H4411" s="1" t="str">
        <f>IF(Table2[[#This Row],[Description]]="","",VLOOKUP(Table2[[#This Row],[Description]],$Q$1:$S$101,3,FALSE))</f>
        <v/>
      </c>
      <c r="I4411" s="1" t="str">
        <f>IF(Table2[[#This Row],[Description]]="","",IF(Table2[[#This Row],[Currency]]=$O$2,$P$2,HLOOKUP(Table2[[#This Row],[Date]],Funds!$C$10:$GV$11,2,FALSE)))</f>
        <v/>
      </c>
      <c r="J4411" s="215" t="str">
        <f>IF(Table2[[#This Row],[Description]]="","",Table2[[#This Row],[Value]]/Table2[[#This Row],[Conversion]])</f>
        <v/>
      </c>
      <c r="K4411" s="45" t="str">
        <f>IF(Table2[[#This Row],[Description]]="","",DATE(Table2[[#This Row],[Year]],Table2[[#This Row],[Month]],1))</f>
        <v/>
      </c>
    </row>
    <row r="4412" spans="7:11" x14ac:dyDescent="0.25">
      <c r="G4412" s="1" t="str">
        <f>IF(Table2[[#This Row],[Description]]="","",VLOOKUP(Table2[[#This Row],[Description]],$Q$1:$S$101,2,FALSE))</f>
        <v/>
      </c>
      <c r="H4412" s="1" t="str">
        <f>IF(Table2[[#This Row],[Description]]="","",VLOOKUP(Table2[[#This Row],[Description]],$Q$1:$S$101,3,FALSE))</f>
        <v/>
      </c>
      <c r="I4412" s="1" t="str">
        <f>IF(Table2[[#This Row],[Description]]="","",IF(Table2[[#This Row],[Currency]]=$O$2,$P$2,HLOOKUP(Table2[[#This Row],[Date]],Funds!$C$10:$GV$11,2,FALSE)))</f>
        <v/>
      </c>
      <c r="J4412" s="215" t="str">
        <f>IF(Table2[[#This Row],[Description]]="","",Table2[[#This Row],[Value]]/Table2[[#This Row],[Conversion]])</f>
        <v/>
      </c>
      <c r="K4412" s="45" t="str">
        <f>IF(Table2[[#This Row],[Description]]="","",DATE(Table2[[#This Row],[Year]],Table2[[#This Row],[Month]],1))</f>
        <v/>
      </c>
    </row>
    <row r="4413" spans="7:11" x14ac:dyDescent="0.25">
      <c r="G4413" s="1" t="str">
        <f>IF(Table2[[#This Row],[Description]]="","",VLOOKUP(Table2[[#This Row],[Description]],$Q$1:$S$101,2,FALSE))</f>
        <v/>
      </c>
      <c r="H4413" s="1" t="str">
        <f>IF(Table2[[#This Row],[Description]]="","",VLOOKUP(Table2[[#This Row],[Description]],$Q$1:$S$101,3,FALSE))</f>
        <v/>
      </c>
      <c r="I4413" s="1" t="str">
        <f>IF(Table2[[#This Row],[Description]]="","",IF(Table2[[#This Row],[Currency]]=$O$2,$P$2,HLOOKUP(Table2[[#This Row],[Date]],Funds!$C$10:$GV$11,2,FALSE)))</f>
        <v/>
      </c>
      <c r="J4413" s="215" t="str">
        <f>IF(Table2[[#This Row],[Description]]="","",Table2[[#This Row],[Value]]/Table2[[#This Row],[Conversion]])</f>
        <v/>
      </c>
      <c r="K4413" s="45" t="str">
        <f>IF(Table2[[#This Row],[Description]]="","",DATE(Table2[[#This Row],[Year]],Table2[[#This Row],[Month]],1))</f>
        <v/>
      </c>
    </row>
    <row r="4414" spans="7:11" x14ac:dyDescent="0.25">
      <c r="G4414" s="1" t="str">
        <f>IF(Table2[[#This Row],[Description]]="","",VLOOKUP(Table2[[#This Row],[Description]],$Q$1:$S$101,2,FALSE))</f>
        <v/>
      </c>
      <c r="H4414" s="1" t="str">
        <f>IF(Table2[[#This Row],[Description]]="","",VLOOKUP(Table2[[#This Row],[Description]],$Q$1:$S$101,3,FALSE))</f>
        <v/>
      </c>
      <c r="I4414" s="1" t="str">
        <f>IF(Table2[[#This Row],[Description]]="","",IF(Table2[[#This Row],[Currency]]=$O$2,$P$2,HLOOKUP(Table2[[#This Row],[Date]],Funds!$C$10:$GV$11,2,FALSE)))</f>
        <v/>
      </c>
      <c r="J4414" s="215" t="str">
        <f>IF(Table2[[#This Row],[Description]]="","",Table2[[#This Row],[Value]]/Table2[[#This Row],[Conversion]])</f>
        <v/>
      </c>
      <c r="K4414" s="45" t="str">
        <f>IF(Table2[[#This Row],[Description]]="","",DATE(Table2[[#This Row],[Year]],Table2[[#This Row],[Month]],1))</f>
        <v/>
      </c>
    </row>
    <row r="4415" spans="7:11" x14ac:dyDescent="0.25">
      <c r="G4415" s="1" t="str">
        <f>IF(Table2[[#This Row],[Description]]="","",VLOOKUP(Table2[[#This Row],[Description]],$Q$1:$S$101,2,FALSE))</f>
        <v/>
      </c>
      <c r="H4415" s="1" t="str">
        <f>IF(Table2[[#This Row],[Description]]="","",VLOOKUP(Table2[[#This Row],[Description]],$Q$1:$S$101,3,FALSE))</f>
        <v/>
      </c>
      <c r="I4415" s="1" t="str">
        <f>IF(Table2[[#This Row],[Description]]="","",IF(Table2[[#This Row],[Currency]]=$O$2,$P$2,HLOOKUP(Table2[[#This Row],[Date]],Funds!$C$10:$GV$11,2,FALSE)))</f>
        <v/>
      </c>
      <c r="J4415" s="215" t="str">
        <f>IF(Table2[[#This Row],[Description]]="","",Table2[[#This Row],[Value]]/Table2[[#This Row],[Conversion]])</f>
        <v/>
      </c>
      <c r="K4415" s="45" t="str">
        <f>IF(Table2[[#This Row],[Description]]="","",DATE(Table2[[#This Row],[Year]],Table2[[#This Row],[Month]],1))</f>
        <v/>
      </c>
    </row>
    <row r="4416" spans="7:11" x14ac:dyDescent="0.25">
      <c r="G4416" s="1" t="str">
        <f>IF(Table2[[#This Row],[Description]]="","",VLOOKUP(Table2[[#This Row],[Description]],$Q$1:$S$101,2,FALSE))</f>
        <v/>
      </c>
      <c r="H4416" s="1" t="str">
        <f>IF(Table2[[#This Row],[Description]]="","",VLOOKUP(Table2[[#This Row],[Description]],$Q$1:$S$101,3,FALSE))</f>
        <v/>
      </c>
      <c r="I4416" s="1" t="str">
        <f>IF(Table2[[#This Row],[Description]]="","",IF(Table2[[#This Row],[Currency]]=$O$2,$P$2,HLOOKUP(Table2[[#This Row],[Date]],Funds!$C$10:$GV$11,2,FALSE)))</f>
        <v/>
      </c>
      <c r="J4416" s="215" t="str">
        <f>IF(Table2[[#This Row],[Description]]="","",Table2[[#This Row],[Value]]/Table2[[#This Row],[Conversion]])</f>
        <v/>
      </c>
      <c r="K4416" s="45" t="str">
        <f>IF(Table2[[#This Row],[Description]]="","",DATE(Table2[[#This Row],[Year]],Table2[[#This Row],[Month]],1))</f>
        <v/>
      </c>
    </row>
    <row r="4417" spans="7:11" x14ac:dyDescent="0.25">
      <c r="G4417" s="1" t="str">
        <f>IF(Table2[[#This Row],[Description]]="","",VLOOKUP(Table2[[#This Row],[Description]],$Q$1:$S$101,2,FALSE))</f>
        <v/>
      </c>
      <c r="H4417" s="1" t="str">
        <f>IF(Table2[[#This Row],[Description]]="","",VLOOKUP(Table2[[#This Row],[Description]],$Q$1:$S$101,3,FALSE))</f>
        <v/>
      </c>
      <c r="I4417" s="1" t="str">
        <f>IF(Table2[[#This Row],[Description]]="","",IF(Table2[[#This Row],[Currency]]=$O$2,$P$2,HLOOKUP(Table2[[#This Row],[Date]],Funds!$C$10:$GV$11,2,FALSE)))</f>
        <v/>
      </c>
      <c r="J4417" s="215" t="str">
        <f>IF(Table2[[#This Row],[Description]]="","",Table2[[#This Row],[Value]]/Table2[[#This Row],[Conversion]])</f>
        <v/>
      </c>
      <c r="K4417" s="45" t="str">
        <f>IF(Table2[[#This Row],[Description]]="","",DATE(Table2[[#This Row],[Year]],Table2[[#This Row],[Month]],1))</f>
        <v/>
      </c>
    </row>
    <row r="4418" spans="7:11" x14ac:dyDescent="0.25">
      <c r="G4418" s="1" t="str">
        <f>IF(Table2[[#This Row],[Description]]="","",VLOOKUP(Table2[[#This Row],[Description]],$Q$1:$S$101,2,FALSE))</f>
        <v/>
      </c>
      <c r="H4418" s="1" t="str">
        <f>IF(Table2[[#This Row],[Description]]="","",VLOOKUP(Table2[[#This Row],[Description]],$Q$1:$S$101,3,FALSE))</f>
        <v/>
      </c>
      <c r="I4418" s="1" t="str">
        <f>IF(Table2[[#This Row],[Description]]="","",IF(Table2[[#This Row],[Currency]]=$O$2,$P$2,HLOOKUP(Table2[[#This Row],[Date]],Funds!$C$10:$GV$11,2,FALSE)))</f>
        <v/>
      </c>
      <c r="J4418" s="215" t="str">
        <f>IF(Table2[[#This Row],[Description]]="","",Table2[[#This Row],[Value]]/Table2[[#This Row],[Conversion]])</f>
        <v/>
      </c>
      <c r="K4418" s="45" t="str">
        <f>IF(Table2[[#This Row],[Description]]="","",DATE(Table2[[#This Row],[Year]],Table2[[#This Row],[Month]],1))</f>
        <v/>
      </c>
    </row>
    <row r="4419" spans="7:11" x14ac:dyDescent="0.25">
      <c r="G4419" s="1" t="str">
        <f>IF(Table2[[#This Row],[Description]]="","",VLOOKUP(Table2[[#This Row],[Description]],$Q$1:$S$101,2,FALSE))</f>
        <v/>
      </c>
      <c r="H4419" s="1" t="str">
        <f>IF(Table2[[#This Row],[Description]]="","",VLOOKUP(Table2[[#This Row],[Description]],$Q$1:$S$101,3,FALSE))</f>
        <v/>
      </c>
      <c r="I4419" s="1" t="str">
        <f>IF(Table2[[#This Row],[Description]]="","",IF(Table2[[#This Row],[Currency]]=$O$2,$P$2,HLOOKUP(Table2[[#This Row],[Date]],Funds!$C$10:$GV$11,2,FALSE)))</f>
        <v/>
      </c>
      <c r="J4419" s="215" t="str">
        <f>IF(Table2[[#This Row],[Description]]="","",Table2[[#This Row],[Value]]/Table2[[#This Row],[Conversion]])</f>
        <v/>
      </c>
      <c r="K4419" s="45" t="str">
        <f>IF(Table2[[#This Row],[Description]]="","",DATE(Table2[[#This Row],[Year]],Table2[[#This Row],[Month]],1))</f>
        <v/>
      </c>
    </row>
    <row r="4420" spans="7:11" x14ac:dyDescent="0.25">
      <c r="G4420" s="1" t="str">
        <f>IF(Table2[[#This Row],[Description]]="","",VLOOKUP(Table2[[#This Row],[Description]],$Q$1:$S$101,2,FALSE))</f>
        <v/>
      </c>
      <c r="H4420" s="1" t="str">
        <f>IF(Table2[[#This Row],[Description]]="","",VLOOKUP(Table2[[#This Row],[Description]],$Q$1:$S$101,3,FALSE))</f>
        <v/>
      </c>
      <c r="I4420" s="1" t="str">
        <f>IF(Table2[[#This Row],[Description]]="","",IF(Table2[[#This Row],[Currency]]=$O$2,$P$2,HLOOKUP(Table2[[#This Row],[Date]],Funds!$C$10:$GV$11,2,FALSE)))</f>
        <v/>
      </c>
      <c r="J4420" s="215" t="str">
        <f>IF(Table2[[#This Row],[Description]]="","",Table2[[#This Row],[Value]]/Table2[[#This Row],[Conversion]])</f>
        <v/>
      </c>
      <c r="K4420" s="45" t="str">
        <f>IF(Table2[[#This Row],[Description]]="","",DATE(Table2[[#This Row],[Year]],Table2[[#This Row],[Month]],1))</f>
        <v/>
      </c>
    </row>
    <row r="4421" spans="7:11" x14ac:dyDescent="0.25">
      <c r="G4421" s="1" t="str">
        <f>IF(Table2[[#This Row],[Description]]="","",VLOOKUP(Table2[[#This Row],[Description]],$Q$1:$S$101,2,FALSE))</f>
        <v/>
      </c>
      <c r="H4421" s="1" t="str">
        <f>IF(Table2[[#This Row],[Description]]="","",VLOOKUP(Table2[[#This Row],[Description]],$Q$1:$S$101,3,FALSE))</f>
        <v/>
      </c>
      <c r="I4421" s="1" t="str">
        <f>IF(Table2[[#This Row],[Description]]="","",IF(Table2[[#This Row],[Currency]]=$O$2,$P$2,HLOOKUP(Table2[[#This Row],[Date]],Funds!$C$10:$GV$11,2,FALSE)))</f>
        <v/>
      </c>
      <c r="J4421" s="215" t="str">
        <f>IF(Table2[[#This Row],[Description]]="","",Table2[[#This Row],[Value]]/Table2[[#This Row],[Conversion]])</f>
        <v/>
      </c>
      <c r="K4421" s="45" t="str">
        <f>IF(Table2[[#This Row],[Description]]="","",DATE(Table2[[#This Row],[Year]],Table2[[#This Row],[Month]],1))</f>
        <v/>
      </c>
    </row>
    <row r="4422" spans="7:11" x14ac:dyDescent="0.25">
      <c r="G4422" s="1" t="str">
        <f>IF(Table2[[#This Row],[Description]]="","",VLOOKUP(Table2[[#This Row],[Description]],$Q$1:$S$101,2,FALSE))</f>
        <v/>
      </c>
      <c r="H4422" s="1" t="str">
        <f>IF(Table2[[#This Row],[Description]]="","",VLOOKUP(Table2[[#This Row],[Description]],$Q$1:$S$101,3,FALSE))</f>
        <v/>
      </c>
      <c r="I4422" s="1" t="str">
        <f>IF(Table2[[#This Row],[Description]]="","",IF(Table2[[#This Row],[Currency]]=$O$2,$P$2,HLOOKUP(Table2[[#This Row],[Date]],Funds!$C$10:$GV$11,2,FALSE)))</f>
        <v/>
      </c>
      <c r="J4422" s="215" t="str">
        <f>IF(Table2[[#This Row],[Description]]="","",Table2[[#This Row],[Value]]/Table2[[#This Row],[Conversion]])</f>
        <v/>
      </c>
      <c r="K4422" s="45" t="str">
        <f>IF(Table2[[#This Row],[Description]]="","",DATE(Table2[[#This Row],[Year]],Table2[[#This Row],[Month]],1))</f>
        <v/>
      </c>
    </row>
    <row r="4423" spans="7:11" x14ac:dyDescent="0.25">
      <c r="G4423" s="1" t="str">
        <f>IF(Table2[[#This Row],[Description]]="","",VLOOKUP(Table2[[#This Row],[Description]],$Q$1:$S$101,2,FALSE))</f>
        <v/>
      </c>
      <c r="H4423" s="1" t="str">
        <f>IF(Table2[[#This Row],[Description]]="","",VLOOKUP(Table2[[#This Row],[Description]],$Q$1:$S$101,3,FALSE))</f>
        <v/>
      </c>
      <c r="I4423" s="1" t="str">
        <f>IF(Table2[[#This Row],[Description]]="","",IF(Table2[[#This Row],[Currency]]=$O$2,$P$2,HLOOKUP(Table2[[#This Row],[Date]],Funds!$C$10:$GV$11,2,FALSE)))</f>
        <v/>
      </c>
      <c r="J4423" s="215" t="str">
        <f>IF(Table2[[#This Row],[Description]]="","",Table2[[#This Row],[Value]]/Table2[[#This Row],[Conversion]])</f>
        <v/>
      </c>
      <c r="K4423" s="45" t="str">
        <f>IF(Table2[[#This Row],[Description]]="","",DATE(Table2[[#This Row],[Year]],Table2[[#This Row],[Month]],1))</f>
        <v/>
      </c>
    </row>
    <row r="4424" spans="7:11" x14ac:dyDescent="0.25">
      <c r="G4424" s="1" t="str">
        <f>IF(Table2[[#This Row],[Description]]="","",VLOOKUP(Table2[[#This Row],[Description]],$Q$1:$S$101,2,FALSE))</f>
        <v/>
      </c>
      <c r="H4424" s="1" t="str">
        <f>IF(Table2[[#This Row],[Description]]="","",VLOOKUP(Table2[[#This Row],[Description]],$Q$1:$S$101,3,FALSE))</f>
        <v/>
      </c>
      <c r="I4424" s="1" t="str">
        <f>IF(Table2[[#This Row],[Description]]="","",IF(Table2[[#This Row],[Currency]]=$O$2,$P$2,HLOOKUP(Table2[[#This Row],[Date]],Funds!$C$10:$GV$11,2,FALSE)))</f>
        <v/>
      </c>
      <c r="J4424" s="215" t="str">
        <f>IF(Table2[[#This Row],[Description]]="","",Table2[[#This Row],[Value]]/Table2[[#This Row],[Conversion]])</f>
        <v/>
      </c>
      <c r="K4424" s="45" t="str">
        <f>IF(Table2[[#This Row],[Description]]="","",DATE(Table2[[#This Row],[Year]],Table2[[#This Row],[Month]],1))</f>
        <v/>
      </c>
    </row>
    <row r="4425" spans="7:11" x14ac:dyDescent="0.25">
      <c r="G4425" s="1" t="str">
        <f>IF(Table2[[#This Row],[Description]]="","",VLOOKUP(Table2[[#This Row],[Description]],$Q$1:$S$101,2,FALSE))</f>
        <v/>
      </c>
      <c r="H4425" s="1" t="str">
        <f>IF(Table2[[#This Row],[Description]]="","",VLOOKUP(Table2[[#This Row],[Description]],$Q$1:$S$101,3,FALSE))</f>
        <v/>
      </c>
      <c r="I4425" s="1" t="str">
        <f>IF(Table2[[#This Row],[Description]]="","",IF(Table2[[#This Row],[Currency]]=$O$2,$P$2,HLOOKUP(Table2[[#This Row],[Date]],Funds!$C$10:$GV$11,2,FALSE)))</f>
        <v/>
      </c>
      <c r="J4425" s="215" t="str">
        <f>IF(Table2[[#This Row],[Description]]="","",Table2[[#This Row],[Value]]/Table2[[#This Row],[Conversion]])</f>
        <v/>
      </c>
      <c r="K4425" s="45" t="str">
        <f>IF(Table2[[#This Row],[Description]]="","",DATE(Table2[[#This Row],[Year]],Table2[[#This Row],[Month]],1))</f>
        <v/>
      </c>
    </row>
    <row r="4426" spans="7:11" x14ac:dyDescent="0.25">
      <c r="G4426" s="1" t="str">
        <f>IF(Table2[[#This Row],[Description]]="","",VLOOKUP(Table2[[#This Row],[Description]],$Q$1:$S$101,2,FALSE))</f>
        <v/>
      </c>
      <c r="H4426" s="1" t="str">
        <f>IF(Table2[[#This Row],[Description]]="","",VLOOKUP(Table2[[#This Row],[Description]],$Q$1:$S$101,3,FALSE))</f>
        <v/>
      </c>
      <c r="I4426" s="1" t="str">
        <f>IF(Table2[[#This Row],[Description]]="","",IF(Table2[[#This Row],[Currency]]=$O$2,$P$2,HLOOKUP(Table2[[#This Row],[Date]],Funds!$C$10:$GV$11,2,FALSE)))</f>
        <v/>
      </c>
      <c r="J4426" s="215" t="str">
        <f>IF(Table2[[#This Row],[Description]]="","",Table2[[#This Row],[Value]]/Table2[[#This Row],[Conversion]])</f>
        <v/>
      </c>
      <c r="K4426" s="45" t="str">
        <f>IF(Table2[[#This Row],[Description]]="","",DATE(Table2[[#This Row],[Year]],Table2[[#This Row],[Month]],1))</f>
        <v/>
      </c>
    </row>
    <row r="4427" spans="7:11" x14ac:dyDescent="0.25">
      <c r="G4427" s="1" t="str">
        <f>IF(Table2[[#This Row],[Description]]="","",VLOOKUP(Table2[[#This Row],[Description]],$Q$1:$S$101,2,FALSE))</f>
        <v/>
      </c>
      <c r="H4427" s="1" t="str">
        <f>IF(Table2[[#This Row],[Description]]="","",VLOOKUP(Table2[[#This Row],[Description]],$Q$1:$S$101,3,FALSE))</f>
        <v/>
      </c>
      <c r="I4427" s="1" t="str">
        <f>IF(Table2[[#This Row],[Description]]="","",IF(Table2[[#This Row],[Currency]]=$O$2,$P$2,HLOOKUP(Table2[[#This Row],[Date]],Funds!$C$10:$GV$11,2,FALSE)))</f>
        <v/>
      </c>
      <c r="J4427" s="215" t="str">
        <f>IF(Table2[[#This Row],[Description]]="","",Table2[[#This Row],[Value]]/Table2[[#This Row],[Conversion]])</f>
        <v/>
      </c>
      <c r="K4427" s="45" t="str">
        <f>IF(Table2[[#This Row],[Description]]="","",DATE(Table2[[#This Row],[Year]],Table2[[#This Row],[Month]],1))</f>
        <v/>
      </c>
    </row>
    <row r="4428" spans="7:11" x14ac:dyDescent="0.25">
      <c r="G4428" s="1" t="str">
        <f>IF(Table2[[#This Row],[Description]]="","",VLOOKUP(Table2[[#This Row],[Description]],$Q$1:$S$101,2,FALSE))</f>
        <v/>
      </c>
      <c r="H4428" s="1" t="str">
        <f>IF(Table2[[#This Row],[Description]]="","",VLOOKUP(Table2[[#This Row],[Description]],$Q$1:$S$101,3,FALSE))</f>
        <v/>
      </c>
      <c r="I4428" s="1" t="str">
        <f>IF(Table2[[#This Row],[Description]]="","",IF(Table2[[#This Row],[Currency]]=$O$2,$P$2,HLOOKUP(Table2[[#This Row],[Date]],Funds!$C$10:$GV$11,2,FALSE)))</f>
        <v/>
      </c>
      <c r="J4428" s="215" t="str">
        <f>IF(Table2[[#This Row],[Description]]="","",Table2[[#This Row],[Value]]/Table2[[#This Row],[Conversion]])</f>
        <v/>
      </c>
      <c r="K4428" s="45" t="str">
        <f>IF(Table2[[#This Row],[Description]]="","",DATE(Table2[[#This Row],[Year]],Table2[[#This Row],[Month]],1))</f>
        <v/>
      </c>
    </row>
    <row r="4429" spans="7:11" x14ac:dyDescent="0.25">
      <c r="G4429" s="1" t="str">
        <f>IF(Table2[[#This Row],[Description]]="","",VLOOKUP(Table2[[#This Row],[Description]],$Q$1:$S$101,2,FALSE))</f>
        <v/>
      </c>
      <c r="H4429" s="1" t="str">
        <f>IF(Table2[[#This Row],[Description]]="","",VLOOKUP(Table2[[#This Row],[Description]],$Q$1:$S$101,3,FALSE))</f>
        <v/>
      </c>
      <c r="I4429" s="1" t="str">
        <f>IF(Table2[[#This Row],[Description]]="","",IF(Table2[[#This Row],[Currency]]=$O$2,$P$2,HLOOKUP(Table2[[#This Row],[Date]],Funds!$C$10:$GV$11,2,FALSE)))</f>
        <v/>
      </c>
      <c r="J4429" s="215" t="str">
        <f>IF(Table2[[#This Row],[Description]]="","",Table2[[#This Row],[Value]]/Table2[[#This Row],[Conversion]])</f>
        <v/>
      </c>
      <c r="K4429" s="45" t="str">
        <f>IF(Table2[[#This Row],[Description]]="","",DATE(Table2[[#This Row],[Year]],Table2[[#This Row],[Month]],1))</f>
        <v/>
      </c>
    </row>
    <row r="4430" spans="7:11" x14ac:dyDescent="0.25">
      <c r="G4430" s="1" t="str">
        <f>IF(Table2[[#This Row],[Description]]="","",VLOOKUP(Table2[[#This Row],[Description]],$Q$1:$S$101,2,FALSE))</f>
        <v/>
      </c>
      <c r="H4430" s="1" t="str">
        <f>IF(Table2[[#This Row],[Description]]="","",VLOOKUP(Table2[[#This Row],[Description]],$Q$1:$S$101,3,FALSE))</f>
        <v/>
      </c>
      <c r="I4430" s="1" t="str">
        <f>IF(Table2[[#This Row],[Description]]="","",IF(Table2[[#This Row],[Currency]]=$O$2,$P$2,HLOOKUP(Table2[[#This Row],[Date]],Funds!$C$10:$GV$11,2,FALSE)))</f>
        <v/>
      </c>
      <c r="J4430" s="215" t="str">
        <f>IF(Table2[[#This Row],[Description]]="","",Table2[[#This Row],[Value]]/Table2[[#This Row],[Conversion]])</f>
        <v/>
      </c>
      <c r="K4430" s="45" t="str">
        <f>IF(Table2[[#This Row],[Description]]="","",DATE(Table2[[#This Row],[Year]],Table2[[#This Row],[Month]],1))</f>
        <v/>
      </c>
    </row>
    <row r="4431" spans="7:11" x14ac:dyDescent="0.25">
      <c r="G4431" s="1" t="str">
        <f>IF(Table2[[#This Row],[Description]]="","",VLOOKUP(Table2[[#This Row],[Description]],$Q$1:$S$101,2,FALSE))</f>
        <v/>
      </c>
      <c r="H4431" s="1" t="str">
        <f>IF(Table2[[#This Row],[Description]]="","",VLOOKUP(Table2[[#This Row],[Description]],$Q$1:$S$101,3,FALSE))</f>
        <v/>
      </c>
      <c r="I4431" s="1" t="str">
        <f>IF(Table2[[#This Row],[Description]]="","",IF(Table2[[#This Row],[Currency]]=$O$2,$P$2,HLOOKUP(Table2[[#This Row],[Date]],Funds!$C$10:$GV$11,2,FALSE)))</f>
        <v/>
      </c>
      <c r="J4431" s="215" t="str">
        <f>IF(Table2[[#This Row],[Description]]="","",Table2[[#This Row],[Value]]/Table2[[#This Row],[Conversion]])</f>
        <v/>
      </c>
      <c r="K4431" s="45" t="str">
        <f>IF(Table2[[#This Row],[Description]]="","",DATE(Table2[[#This Row],[Year]],Table2[[#This Row],[Month]],1))</f>
        <v/>
      </c>
    </row>
    <row r="4432" spans="7:11" x14ac:dyDescent="0.25">
      <c r="G4432" s="1" t="str">
        <f>IF(Table2[[#This Row],[Description]]="","",VLOOKUP(Table2[[#This Row],[Description]],$Q$1:$S$101,2,FALSE))</f>
        <v/>
      </c>
      <c r="H4432" s="1" t="str">
        <f>IF(Table2[[#This Row],[Description]]="","",VLOOKUP(Table2[[#This Row],[Description]],$Q$1:$S$101,3,FALSE))</f>
        <v/>
      </c>
      <c r="I4432" s="1" t="str">
        <f>IF(Table2[[#This Row],[Description]]="","",IF(Table2[[#This Row],[Currency]]=$O$2,$P$2,HLOOKUP(Table2[[#This Row],[Date]],Funds!$C$10:$GV$11,2,FALSE)))</f>
        <v/>
      </c>
      <c r="J4432" s="215" t="str">
        <f>IF(Table2[[#This Row],[Description]]="","",Table2[[#This Row],[Value]]/Table2[[#This Row],[Conversion]])</f>
        <v/>
      </c>
      <c r="K4432" s="45" t="str">
        <f>IF(Table2[[#This Row],[Description]]="","",DATE(Table2[[#This Row],[Year]],Table2[[#This Row],[Month]],1))</f>
        <v/>
      </c>
    </row>
    <row r="4433" spans="7:11" x14ac:dyDescent="0.25">
      <c r="G4433" s="1" t="str">
        <f>IF(Table2[[#This Row],[Description]]="","",VLOOKUP(Table2[[#This Row],[Description]],$Q$1:$S$101,2,FALSE))</f>
        <v/>
      </c>
      <c r="H4433" s="1" t="str">
        <f>IF(Table2[[#This Row],[Description]]="","",VLOOKUP(Table2[[#This Row],[Description]],$Q$1:$S$101,3,FALSE))</f>
        <v/>
      </c>
      <c r="I4433" s="1" t="str">
        <f>IF(Table2[[#This Row],[Description]]="","",IF(Table2[[#This Row],[Currency]]=$O$2,$P$2,HLOOKUP(Table2[[#This Row],[Date]],Funds!$C$10:$GV$11,2,FALSE)))</f>
        <v/>
      </c>
      <c r="J4433" s="215" t="str">
        <f>IF(Table2[[#This Row],[Description]]="","",Table2[[#This Row],[Value]]/Table2[[#This Row],[Conversion]])</f>
        <v/>
      </c>
      <c r="K4433" s="45" t="str">
        <f>IF(Table2[[#This Row],[Description]]="","",DATE(Table2[[#This Row],[Year]],Table2[[#This Row],[Month]],1))</f>
        <v/>
      </c>
    </row>
    <row r="4434" spans="7:11" x14ac:dyDescent="0.25">
      <c r="G4434" s="1" t="str">
        <f>IF(Table2[[#This Row],[Description]]="","",VLOOKUP(Table2[[#This Row],[Description]],$Q$1:$S$101,2,FALSE))</f>
        <v/>
      </c>
      <c r="H4434" s="1" t="str">
        <f>IF(Table2[[#This Row],[Description]]="","",VLOOKUP(Table2[[#This Row],[Description]],$Q$1:$S$101,3,FALSE))</f>
        <v/>
      </c>
      <c r="I4434" s="1" t="str">
        <f>IF(Table2[[#This Row],[Description]]="","",IF(Table2[[#This Row],[Currency]]=$O$2,$P$2,HLOOKUP(Table2[[#This Row],[Date]],Funds!$C$10:$GV$11,2,FALSE)))</f>
        <v/>
      </c>
      <c r="J4434" s="215" t="str">
        <f>IF(Table2[[#This Row],[Description]]="","",Table2[[#This Row],[Value]]/Table2[[#This Row],[Conversion]])</f>
        <v/>
      </c>
      <c r="K4434" s="45" t="str">
        <f>IF(Table2[[#This Row],[Description]]="","",DATE(Table2[[#This Row],[Year]],Table2[[#This Row],[Month]],1))</f>
        <v/>
      </c>
    </row>
    <row r="4435" spans="7:11" x14ac:dyDescent="0.25">
      <c r="G4435" s="1" t="str">
        <f>IF(Table2[[#This Row],[Description]]="","",VLOOKUP(Table2[[#This Row],[Description]],$Q$1:$S$101,2,FALSE))</f>
        <v/>
      </c>
      <c r="H4435" s="1" t="str">
        <f>IF(Table2[[#This Row],[Description]]="","",VLOOKUP(Table2[[#This Row],[Description]],$Q$1:$S$101,3,FALSE))</f>
        <v/>
      </c>
      <c r="I4435" s="1" t="str">
        <f>IF(Table2[[#This Row],[Description]]="","",IF(Table2[[#This Row],[Currency]]=$O$2,$P$2,HLOOKUP(Table2[[#This Row],[Date]],Funds!$C$10:$GV$11,2,FALSE)))</f>
        <v/>
      </c>
      <c r="J4435" s="215" t="str">
        <f>IF(Table2[[#This Row],[Description]]="","",Table2[[#This Row],[Value]]/Table2[[#This Row],[Conversion]])</f>
        <v/>
      </c>
      <c r="K4435" s="45" t="str">
        <f>IF(Table2[[#This Row],[Description]]="","",DATE(Table2[[#This Row],[Year]],Table2[[#This Row],[Month]],1))</f>
        <v/>
      </c>
    </row>
    <row r="4436" spans="7:11" x14ac:dyDescent="0.25">
      <c r="G4436" s="1" t="str">
        <f>IF(Table2[[#This Row],[Description]]="","",VLOOKUP(Table2[[#This Row],[Description]],$Q$1:$S$101,2,FALSE))</f>
        <v/>
      </c>
      <c r="H4436" s="1" t="str">
        <f>IF(Table2[[#This Row],[Description]]="","",VLOOKUP(Table2[[#This Row],[Description]],$Q$1:$S$101,3,FALSE))</f>
        <v/>
      </c>
      <c r="I4436" s="1" t="str">
        <f>IF(Table2[[#This Row],[Description]]="","",IF(Table2[[#This Row],[Currency]]=$O$2,$P$2,HLOOKUP(Table2[[#This Row],[Date]],Funds!$C$10:$GV$11,2,FALSE)))</f>
        <v/>
      </c>
      <c r="J4436" s="215" t="str">
        <f>IF(Table2[[#This Row],[Description]]="","",Table2[[#This Row],[Value]]/Table2[[#This Row],[Conversion]])</f>
        <v/>
      </c>
      <c r="K4436" s="45" t="str">
        <f>IF(Table2[[#This Row],[Description]]="","",DATE(Table2[[#This Row],[Year]],Table2[[#This Row],[Month]],1))</f>
        <v/>
      </c>
    </row>
    <row r="4437" spans="7:11" x14ac:dyDescent="0.25">
      <c r="G4437" s="1" t="str">
        <f>IF(Table2[[#This Row],[Description]]="","",VLOOKUP(Table2[[#This Row],[Description]],$Q$1:$S$101,2,FALSE))</f>
        <v/>
      </c>
      <c r="H4437" s="1" t="str">
        <f>IF(Table2[[#This Row],[Description]]="","",VLOOKUP(Table2[[#This Row],[Description]],$Q$1:$S$101,3,FALSE))</f>
        <v/>
      </c>
      <c r="I4437" s="1" t="str">
        <f>IF(Table2[[#This Row],[Description]]="","",IF(Table2[[#This Row],[Currency]]=$O$2,$P$2,HLOOKUP(Table2[[#This Row],[Date]],Funds!$C$10:$GV$11,2,FALSE)))</f>
        <v/>
      </c>
      <c r="J4437" s="215" t="str">
        <f>IF(Table2[[#This Row],[Description]]="","",Table2[[#This Row],[Value]]/Table2[[#This Row],[Conversion]])</f>
        <v/>
      </c>
      <c r="K4437" s="45" t="str">
        <f>IF(Table2[[#This Row],[Description]]="","",DATE(Table2[[#This Row],[Year]],Table2[[#This Row],[Month]],1))</f>
        <v/>
      </c>
    </row>
    <row r="4438" spans="7:11" x14ac:dyDescent="0.25">
      <c r="G4438" s="1" t="str">
        <f>IF(Table2[[#This Row],[Description]]="","",VLOOKUP(Table2[[#This Row],[Description]],$Q$1:$S$101,2,FALSE))</f>
        <v/>
      </c>
      <c r="H4438" s="1" t="str">
        <f>IF(Table2[[#This Row],[Description]]="","",VLOOKUP(Table2[[#This Row],[Description]],$Q$1:$S$101,3,FALSE))</f>
        <v/>
      </c>
      <c r="I4438" s="1" t="str">
        <f>IF(Table2[[#This Row],[Description]]="","",IF(Table2[[#This Row],[Currency]]=$O$2,$P$2,HLOOKUP(Table2[[#This Row],[Date]],Funds!$C$10:$GV$11,2,FALSE)))</f>
        <v/>
      </c>
      <c r="J4438" s="215" t="str">
        <f>IF(Table2[[#This Row],[Description]]="","",Table2[[#This Row],[Value]]/Table2[[#This Row],[Conversion]])</f>
        <v/>
      </c>
      <c r="K4438" s="45" t="str">
        <f>IF(Table2[[#This Row],[Description]]="","",DATE(Table2[[#This Row],[Year]],Table2[[#This Row],[Month]],1))</f>
        <v/>
      </c>
    </row>
    <row r="4439" spans="7:11" x14ac:dyDescent="0.25">
      <c r="G4439" s="1" t="str">
        <f>IF(Table2[[#This Row],[Description]]="","",VLOOKUP(Table2[[#This Row],[Description]],$Q$1:$S$101,2,FALSE))</f>
        <v/>
      </c>
      <c r="H4439" s="1" t="str">
        <f>IF(Table2[[#This Row],[Description]]="","",VLOOKUP(Table2[[#This Row],[Description]],$Q$1:$S$101,3,FALSE))</f>
        <v/>
      </c>
      <c r="I4439" s="1" t="str">
        <f>IF(Table2[[#This Row],[Description]]="","",IF(Table2[[#This Row],[Currency]]=$O$2,$P$2,HLOOKUP(Table2[[#This Row],[Date]],Funds!$C$10:$GV$11,2,FALSE)))</f>
        <v/>
      </c>
      <c r="J4439" s="215" t="str">
        <f>IF(Table2[[#This Row],[Description]]="","",Table2[[#This Row],[Value]]/Table2[[#This Row],[Conversion]])</f>
        <v/>
      </c>
      <c r="K4439" s="45" t="str">
        <f>IF(Table2[[#This Row],[Description]]="","",DATE(Table2[[#This Row],[Year]],Table2[[#This Row],[Month]],1))</f>
        <v/>
      </c>
    </row>
    <row r="4440" spans="7:11" x14ac:dyDescent="0.25">
      <c r="G4440" s="1" t="str">
        <f>IF(Table2[[#This Row],[Description]]="","",VLOOKUP(Table2[[#This Row],[Description]],$Q$1:$S$101,2,FALSE))</f>
        <v/>
      </c>
      <c r="H4440" s="1" t="str">
        <f>IF(Table2[[#This Row],[Description]]="","",VLOOKUP(Table2[[#This Row],[Description]],$Q$1:$S$101,3,FALSE))</f>
        <v/>
      </c>
      <c r="I4440" s="1" t="str">
        <f>IF(Table2[[#This Row],[Description]]="","",IF(Table2[[#This Row],[Currency]]=$O$2,$P$2,HLOOKUP(Table2[[#This Row],[Date]],Funds!$C$10:$GV$11,2,FALSE)))</f>
        <v/>
      </c>
      <c r="J4440" s="215" t="str">
        <f>IF(Table2[[#This Row],[Description]]="","",Table2[[#This Row],[Value]]/Table2[[#This Row],[Conversion]])</f>
        <v/>
      </c>
      <c r="K4440" s="45" t="str">
        <f>IF(Table2[[#This Row],[Description]]="","",DATE(Table2[[#This Row],[Year]],Table2[[#This Row],[Month]],1))</f>
        <v/>
      </c>
    </row>
    <row r="4441" spans="7:11" x14ac:dyDescent="0.25">
      <c r="G4441" s="1" t="str">
        <f>IF(Table2[[#This Row],[Description]]="","",VLOOKUP(Table2[[#This Row],[Description]],$Q$1:$S$101,2,FALSE))</f>
        <v/>
      </c>
      <c r="H4441" s="1" t="str">
        <f>IF(Table2[[#This Row],[Description]]="","",VLOOKUP(Table2[[#This Row],[Description]],$Q$1:$S$101,3,FALSE))</f>
        <v/>
      </c>
      <c r="I4441" s="1" t="str">
        <f>IF(Table2[[#This Row],[Description]]="","",IF(Table2[[#This Row],[Currency]]=$O$2,$P$2,HLOOKUP(Table2[[#This Row],[Date]],Funds!$C$10:$GV$11,2,FALSE)))</f>
        <v/>
      </c>
      <c r="J4441" s="215" t="str">
        <f>IF(Table2[[#This Row],[Description]]="","",Table2[[#This Row],[Value]]/Table2[[#This Row],[Conversion]])</f>
        <v/>
      </c>
      <c r="K4441" s="45" t="str">
        <f>IF(Table2[[#This Row],[Description]]="","",DATE(Table2[[#This Row],[Year]],Table2[[#This Row],[Month]],1))</f>
        <v/>
      </c>
    </row>
    <row r="4442" spans="7:11" x14ac:dyDescent="0.25">
      <c r="G4442" s="1" t="str">
        <f>IF(Table2[[#This Row],[Description]]="","",VLOOKUP(Table2[[#This Row],[Description]],$Q$1:$S$101,2,FALSE))</f>
        <v/>
      </c>
      <c r="H4442" s="1" t="str">
        <f>IF(Table2[[#This Row],[Description]]="","",VLOOKUP(Table2[[#This Row],[Description]],$Q$1:$S$101,3,FALSE))</f>
        <v/>
      </c>
      <c r="I4442" s="1" t="str">
        <f>IF(Table2[[#This Row],[Description]]="","",IF(Table2[[#This Row],[Currency]]=$O$2,$P$2,HLOOKUP(Table2[[#This Row],[Date]],Funds!$C$10:$GV$11,2,FALSE)))</f>
        <v/>
      </c>
      <c r="J4442" s="215" t="str">
        <f>IF(Table2[[#This Row],[Description]]="","",Table2[[#This Row],[Value]]/Table2[[#This Row],[Conversion]])</f>
        <v/>
      </c>
      <c r="K4442" s="45" t="str">
        <f>IF(Table2[[#This Row],[Description]]="","",DATE(Table2[[#This Row],[Year]],Table2[[#This Row],[Month]],1))</f>
        <v/>
      </c>
    </row>
    <row r="4443" spans="7:11" x14ac:dyDescent="0.25">
      <c r="G4443" s="1" t="str">
        <f>IF(Table2[[#This Row],[Description]]="","",VLOOKUP(Table2[[#This Row],[Description]],$Q$1:$S$101,2,FALSE))</f>
        <v/>
      </c>
      <c r="H4443" s="1" t="str">
        <f>IF(Table2[[#This Row],[Description]]="","",VLOOKUP(Table2[[#This Row],[Description]],$Q$1:$S$101,3,FALSE))</f>
        <v/>
      </c>
      <c r="I4443" s="1" t="str">
        <f>IF(Table2[[#This Row],[Description]]="","",IF(Table2[[#This Row],[Currency]]=$O$2,$P$2,HLOOKUP(Table2[[#This Row],[Date]],Funds!$C$10:$GV$11,2,FALSE)))</f>
        <v/>
      </c>
      <c r="J4443" s="215" t="str">
        <f>IF(Table2[[#This Row],[Description]]="","",Table2[[#This Row],[Value]]/Table2[[#This Row],[Conversion]])</f>
        <v/>
      </c>
      <c r="K4443" s="45" t="str">
        <f>IF(Table2[[#This Row],[Description]]="","",DATE(Table2[[#This Row],[Year]],Table2[[#This Row],[Month]],1))</f>
        <v/>
      </c>
    </row>
    <row r="4444" spans="7:11" x14ac:dyDescent="0.25">
      <c r="G4444" s="1" t="str">
        <f>IF(Table2[[#This Row],[Description]]="","",VLOOKUP(Table2[[#This Row],[Description]],$Q$1:$S$101,2,FALSE))</f>
        <v/>
      </c>
      <c r="H4444" s="1" t="str">
        <f>IF(Table2[[#This Row],[Description]]="","",VLOOKUP(Table2[[#This Row],[Description]],$Q$1:$S$101,3,FALSE))</f>
        <v/>
      </c>
      <c r="I4444" s="1" t="str">
        <f>IF(Table2[[#This Row],[Description]]="","",IF(Table2[[#This Row],[Currency]]=$O$2,$P$2,HLOOKUP(Table2[[#This Row],[Date]],Funds!$C$10:$GV$11,2,FALSE)))</f>
        <v/>
      </c>
      <c r="J4444" s="215" t="str">
        <f>IF(Table2[[#This Row],[Description]]="","",Table2[[#This Row],[Value]]/Table2[[#This Row],[Conversion]])</f>
        <v/>
      </c>
      <c r="K4444" s="45" t="str">
        <f>IF(Table2[[#This Row],[Description]]="","",DATE(Table2[[#This Row],[Year]],Table2[[#This Row],[Month]],1))</f>
        <v/>
      </c>
    </row>
    <row r="4445" spans="7:11" x14ac:dyDescent="0.25">
      <c r="G4445" s="1" t="str">
        <f>IF(Table2[[#This Row],[Description]]="","",VLOOKUP(Table2[[#This Row],[Description]],$Q$1:$S$101,2,FALSE))</f>
        <v/>
      </c>
      <c r="H4445" s="1" t="str">
        <f>IF(Table2[[#This Row],[Description]]="","",VLOOKUP(Table2[[#This Row],[Description]],$Q$1:$S$101,3,FALSE))</f>
        <v/>
      </c>
      <c r="I4445" s="1" t="str">
        <f>IF(Table2[[#This Row],[Description]]="","",IF(Table2[[#This Row],[Currency]]=$O$2,$P$2,HLOOKUP(Table2[[#This Row],[Date]],Funds!$C$10:$GV$11,2,FALSE)))</f>
        <v/>
      </c>
      <c r="J4445" s="215" t="str">
        <f>IF(Table2[[#This Row],[Description]]="","",Table2[[#This Row],[Value]]/Table2[[#This Row],[Conversion]])</f>
        <v/>
      </c>
      <c r="K4445" s="45" t="str">
        <f>IF(Table2[[#This Row],[Description]]="","",DATE(Table2[[#This Row],[Year]],Table2[[#This Row],[Month]],1))</f>
        <v/>
      </c>
    </row>
    <row r="4446" spans="7:11" x14ac:dyDescent="0.25">
      <c r="G4446" s="1" t="str">
        <f>IF(Table2[[#This Row],[Description]]="","",VLOOKUP(Table2[[#This Row],[Description]],$Q$1:$S$101,2,FALSE))</f>
        <v/>
      </c>
      <c r="H4446" s="1" t="str">
        <f>IF(Table2[[#This Row],[Description]]="","",VLOOKUP(Table2[[#This Row],[Description]],$Q$1:$S$101,3,FALSE))</f>
        <v/>
      </c>
      <c r="I4446" s="1" t="str">
        <f>IF(Table2[[#This Row],[Description]]="","",IF(Table2[[#This Row],[Currency]]=$O$2,$P$2,HLOOKUP(Table2[[#This Row],[Date]],Funds!$C$10:$GV$11,2,FALSE)))</f>
        <v/>
      </c>
      <c r="J4446" s="215" t="str">
        <f>IF(Table2[[#This Row],[Description]]="","",Table2[[#This Row],[Value]]/Table2[[#This Row],[Conversion]])</f>
        <v/>
      </c>
      <c r="K4446" s="45" t="str">
        <f>IF(Table2[[#This Row],[Description]]="","",DATE(Table2[[#This Row],[Year]],Table2[[#This Row],[Month]],1))</f>
        <v/>
      </c>
    </row>
    <row r="4447" spans="7:11" x14ac:dyDescent="0.25">
      <c r="G4447" s="1" t="str">
        <f>IF(Table2[[#This Row],[Description]]="","",VLOOKUP(Table2[[#This Row],[Description]],$Q$1:$S$101,2,FALSE))</f>
        <v/>
      </c>
      <c r="H4447" s="1" t="str">
        <f>IF(Table2[[#This Row],[Description]]="","",VLOOKUP(Table2[[#This Row],[Description]],$Q$1:$S$101,3,FALSE))</f>
        <v/>
      </c>
      <c r="I4447" s="1" t="str">
        <f>IF(Table2[[#This Row],[Description]]="","",IF(Table2[[#This Row],[Currency]]=$O$2,$P$2,HLOOKUP(Table2[[#This Row],[Date]],Funds!$C$10:$GV$11,2,FALSE)))</f>
        <v/>
      </c>
      <c r="J4447" s="215" t="str">
        <f>IF(Table2[[#This Row],[Description]]="","",Table2[[#This Row],[Value]]/Table2[[#This Row],[Conversion]])</f>
        <v/>
      </c>
      <c r="K4447" s="45" t="str">
        <f>IF(Table2[[#This Row],[Description]]="","",DATE(Table2[[#This Row],[Year]],Table2[[#This Row],[Month]],1))</f>
        <v/>
      </c>
    </row>
    <row r="4448" spans="7:11" x14ac:dyDescent="0.25">
      <c r="G4448" s="1" t="str">
        <f>IF(Table2[[#This Row],[Description]]="","",VLOOKUP(Table2[[#This Row],[Description]],$Q$1:$S$101,2,FALSE))</f>
        <v/>
      </c>
      <c r="H4448" s="1" t="str">
        <f>IF(Table2[[#This Row],[Description]]="","",VLOOKUP(Table2[[#This Row],[Description]],$Q$1:$S$101,3,FALSE))</f>
        <v/>
      </c>
      <c r="I4448" s="1" t="str">
        <f>IF(Table2[[#This Row],[Description]]="","",IF(Table2[[#This Row],[Currency]]=$O$2,$P$2,HLOOKUP(Table2[[#This Row],[Date]],Funds!$C$10:$GV$11,2,FALSE)))</f>
        <v/>
      </c>
      <c r="J4448" s="215" t="str">
        <f>IF(Table2[[#This Row],[Description]]="","",Table2[[#This Row],[Value]]/Table2[[#This Row],[Conversion]])</f>
        <v/>
      </c>
      <c r="K4448" s="45" t="str">
        <f>IF(Table2[[#This Row],[Description]]="","",DATE(Table2[[#This Row],[Year]],Table2[[#This Row],[Month]],1))</f>
        <v/>
      </c>
    </row>
    <row r="4449" spans="7:11" x14ac:dyDescent="0.25">
      <c r="G4449" s="1" t="str">
        <f>IF(Table2[[#This Row],[Description]]="","",VLOOKUP(Table2[[#This Row],[Description]],$Q$1:$S$101,2,FALSE))</f>
        <v/>
      </c>
      <c r="H4449" s="1" t="str">
        <f>IF(Table2[[#This Row],[Description]]="","",VLOOKUP(Table2[[#This Row],[Description]],$Q$1:$S$101,3,FALSE))</f>
        <v/>
      </c>
      <c r="I4449" s="1" t="str">
        <f>IF(Table2[[#This Row],[Description]]="","",IF(Table2[[#This Row],[Currency]]=$O$2,$P$2,HLOOKUP(Table2[[#This Row],[Date]],Funds!$C$10:$GV$11,2,FALSE)))</f>
        <v/>
      </c>
      <c r="J4449" s="215" t="str">
        <f>IF(Table2[[#This Row],[Description]]="","",Table2[[#This Row],[Value]]/Table2[[#This Row],[Conversion]])</f>
        <v/>
      </c>
      <c r="K4449" s="45" t="str">
        <f>IF(Table2[[#This Row],[Description]]="","",DATE(Table2[[#This Row],[Year]],Table2[[#This Row],[Month]],1))</f>
        <v/>
      </c>
    </row>
    <row r="4450" spans="7:11" x14ac:dyDescent="0.25">
      <c r="G4450" s="1" t="str">
        <f>IF(Table2[[#This Row],[Description]]="","",VLOOKUP(Table2[[#This Row],[Description]],$Q$1:$S$101,2,FALSE))</f>
        <v/>
      </c>
      <c r="H4450" s="1" t="str">
        <f>IF(Table2[[#This Row],[Description]]="","",VLOOKUP(Table2[[#This Row],[Description]],$Q$1:$S$101,3,FALSE))</f>
        <v/>
      </c>
      <c r="I4450" s="1" t="str">
        <f>IF(Table2[[#This Row],[Description]]="","",IF(Table2[[#This Row],[Currency]]=$O$2,$P$2,HLOOKUP(Table2[[#This Row],[Date]],Funds!$C$10:$GV$11,2,FALSE)))</f>
        <v/>
      </c>
      <c r="J4450" s="215" t="str">
        <f>IF(Table2[[#This Row],[Description]]="","",Table2[[#This Row],[Value]]/Table2[[#This Row],[Conversion]])</f>
        <v/>
      </c>
      <c r="K4450" s="45" t="str">
        <f>IF(Table2[[#This Row],[Description]]="","",DATE(Table2[[#This Row],[Year]],Table2[[#This Row],[Month]],1))</f>
        <v/>
      </c>
    </row>
    <row r="4451" spans="7:11" x14ac:dyDescent="0.25">
      <c r="G4451" s="1" t="str">
        <f>IF(Table2[[#This Row],[Description]]="","",VLOOKUP(Table2[[#This Row],[Description]],$Q$1:$S$101,2,FALSE))</f>
        <v/>
      </c>
      <c r="H4451" s="1" t="str">
        <f>IF(Table2[[#This Row],[Description]]="","",VLOOKUP(Table2[[#This Row],[Description]],$Q$1:$S$101,3,FALSE))</f>
        <v/>
      </c>
      <c r="I4451" s="1" t="str">
        <f>IF(Table2[[#This Row],[Description]]="","",IF(Table2[[#This Row],[Currency]]=$O$2,$P$2,HLOOKUP(Table2[[#This Row],[Date]],Funds!$C$10:$GV$11,2,FALSE)))</f>
        <v/>
      </c>
      <c r="J4451" s="215" t="str">
        <f>IF(Table2[[#This Row],[Description]]="","",Table2[[#This Row],[Value]]/Table2[[#This Row],[Conversion]])</f>
        <v/>
      </c>
      <c r="K4451" s="45" t="str">
        <f>IF(Table2[[#This Row],[Description]]="","",DATE(Table2[[#This Row],[Year]],Table2[[#This Row],[Month]],1))</f>
        <v/>
      </c>
    </row>
    <row r="4452" spans="7:11" x14ac:dyDescent="0.25">
      <c r="G4452" s="1" t="str">
        <f>IF(Table2[[#This Row],[Description]]="","",VLOOKUP(Table2[[#This Row],[Description]],$Q$1:$S$101,2,FALSE))</f>
        <v/>
      </c>
      <c r="H4452" s="1" t="str">
        <f>IF(Table2[[#This Row],[Description]]="","",VLOOKUP(Table2[[#This Row],[Description]],$Q$1:$S$101,3,FALSE))</f>
        <v/>
      </c>
      <c r="I4452" s="1" t="str">
        <f>IF(Table2[[#This Row],[Description]]="","",IF(Table2[[#This Row],[Currency]]=$O$2,$P$2,HLOOKUP(Table2[[#This Row],[Date]],Funds!$C$10:$GV$11,2,FALSE)))</f>
        <v/>
      </c>
      <c r="J4452" s="215" t="str">
        <f>IF(Table2[[#This Row],[Description]]="","",Table2[[#This Row],[Value]]/Table2[[#This Row],[Conversion]])</f>
        <v/>
      </c>
      <c r="K4452" s="45" t="str">
        <f>IF(Table2[[#This Row],[Description]]="","",DATE(Table2[[#This Row],[Year]],Table2[[#This Row],[Month]],1))</f>
        <v/>
      </c>
    </row>
    <row r="4453" spans="7:11" x14ac:dyDescent="0.25">
      <c r="G4453" s="1" t="str">
        <f>IF(Table2[[#This Row],[Description]]="","",VLOOKUP(Table2[[#This Row],[Description]],$Q$1:$S$101,2,FALSE))</f>
        <v/>
      </c>
      <c r="H4453" s="1" t="str">
        <f>IF(Table2[[#This Row],[Description]]="","",VLOOKUP(Table2[[#This Row],[Description]],$Q$1:$S$101,3,FALSE))</f>
        <v/>
      </c>
      <c r="I4453" s="1" t="str">
        <f>IF(Table2[[#This Row],[Description]]="","",IF(Table2[[#This Row],[Currency]]=$O$2,$P$2,HLOOKUP(Table2[[#This Row],[Date]],Funds!$C$10:$GV$11,2,FALSE)))</f>
        <v/>
      </c>
      <c r="J4453" s="215" t="str">
        <f>IF(Table2[[#This Row],[Description]]="","",Table2[[#This Row],[Value]]/Table2[[#This Row],[Conversion]])</f>
        <v/>
      </c>
      <c r="K4453" s="45" t="str">
        <f>IF(Table2[[#This Row],[Description]]="","",DATE(Table2[[#This Row],[Year]],Table2[[#This Row],[Month]],1))</f>
        <v/>
      </c>
    </row>
    <row r="4454" spans="7:11" x14ac:dyDescent="0.25">
      <c r="G4454" s="1" t="str">
        <f>IF(Table2[[#This Row],[Description]]="","",VLOOKUP(Table2[[#This Row],[Description]],$Q$1:$S$101,2,FALSE))</f>
        <v/>
      </c>
      <c r="H4454" s="1" t="str">
        <f>IF(Table2[[#This Row],[Description]]="","",VLOOKUP(Table2[[#This Row],[Description]],$Q$1:$S$101,3,FALSE))</f>
        <v/>
      </c>
      <c r="I4454" s="1" t="str">
        <f>IF(Table2[[#This Row],[Description]]="","",IF(Table2[[#This Row],[Currency]]=$O$2,$P$2,HLOOKUP(Table2[[#This Row],[Date]],Funds!$C$10:$GV$11,2,FALSE)))</f>
        <v/>
      </c>
      <c r="J4454" s="215" t="str">
        <f>IF(Table2[[#This Row],[Description]]="","",Table2[[#This Row],[Value]]/Table2[[#This Row],[Conversion]])</f>
        <v/>
      </c>
      <c r="K4454" s="45" t="str">
        <f>IF(Table2[[#This Row],[Description]]="","",DATE(Table2[[#This Row],[Year]],Table2[[#This Row],[Month]],1))</f>
        <v/>
      </c>
    </row>
    <row r="4455" spans="7:11" x14ac:dyDescent="0.25">
      <c r="G4455" s="1" t="str">
        <f>IF(Table2[[#This Row],[Description]]="","",VLOOKUP(Table2[[#This Row],[Description]],$Q$1:$S$101,2,FALSE))</f>
        <v/>
      </c>
      <c r="H4455" s="1" t="str">
        <f>IF(Table2[[#This Row],[Description]]="","",VLOOKUP(Table2[[#This Row],[Description]],$Q$1:$S$101,3,FALSE))</f>
        <v/>
      </c>
      <c r="I4455" s="1" t="str">
        <f>IF(Table2[[#This Row],[Description]]="","",IF(Table2[[#This Row],[Currency]]=$O$2,$P$2,HLOOKUP(Table2[[#This Row],[Date]],Funds!$C$10:$GV$11,2,FALSE)))</f>
        <v/>
      </c>
      <c r="J4455" s="215" t="str">
        <f>IF(Table2[[#This Row],[Description]]="","",Table2[[#This Row],[Value]]/Table2[[#This Row],[Conversion]])</f>
        <v/>
      </c>
      <c r="K4455" s="45" t="str">
        <f>IF(Table2[[#This Row],[Description]]="","",DATE(Table2[[#This Row],[Year]],Table2[[#This Row],[Month]],1))</f>
        <v/>
      </c>
    </row>
    <row r="4456" spans="7:11" x14ac:dyDescent="0.25">
      <c r="G4456" s="1" t="str">
        <f>IF(Table2[[#This Row],[Description]]="","",VLOOKUP(Table2[[#This Row],[Description]],$Q$1:$S$101,2,FALSE))</f>
        <v/>
      </c>
      <c r="H4456" s="1" t="str">
        <f>IF(Table2[[#This Row],[Description]]="","",VLOOKUP(Table2[[#This Row],[Description]],$Q$1:$S$101,3,FALSE))</f>
        <v/>
      </c>
      <c r="I4456" s="1" t="str">
        <f>IF(Table2[[#This Row],[Description]]="","",IF(Table2[[#This Row],[Currency]]=$O$2,$P$2,HLOOKUP(Table2[[#This Row],[Date]],Funds!$C$10:$GV$11,2,FALSE)))</f>
        <v/>
      </c>
      <c r="J4456" s="215" t="str">
        <f>IF(Table2[[#This Row],[Description]]="","",Table2[[#This Row],[Value]]/Table2[[#This Row],[Conversion]])</f>
        <v/>
      </c>
      <c r="K4456" s="45" t="str">
        <f>IF(Table2[[#This Row],[Description]]="","",DATE(Table2[[#This Row],[Year]],Table2[[#This Row],[Month]],1))</f>
        <v/>
      </c>
    </row>
    <row r="4457" spans="7:11" x14ac:dyDescent="0.25">
      <c r="G4457" s="1" t="str">
        <f>IF(Table2[[#This Row],[Description]]="","",VLOOKUP(Table2[[#This Row],[Description]],$Q$1:$S$101,2,FALSE))</f>
        <v/>
      </c>
      <c r="H4457" s="1" t="str">
        <f>IF(Table2[[#This Row],[Description]]="","",VLOOKUP(Table2[[#This Row],[Description]],$Q$1:$S$101,3,FALSE))</f>
        <v/>
      </c>
      <c r="I4457" s="1" t="str">
        <f>IF(Table2[[#This Row],[Description]]="","",IF(Table2[[#This Row],[Currency]]=$O$2,$P$2,HLOOKUP(Table2[[#This Row],[Date]],Funds!$C$10:$GV$11,2,FALSE)))</f>
        <v/>
      </c>
      <c r="J4457" s="215" t="str">
        <f>IF(Table2[[#This Row],[Description]]="","",Table2[[#This Row],[Value]]/Table2[[#This Row],[Conversion]])</f>
        <v/>
      </c>
      <c r="K4457" s="45" t="str">
        <f>IF(Table2[[#This Row],[Description]]="","",DATE(Table2[[#This Row],[Year]],Table2[[#This Row],[Month]],1))</f>
        <v/>
      </c>
    </row>
    <row r="4458" spans="7:11" x14ac:dyDescent="0.25">
      <c r="G4458" s="1" t="str">
        <f>IF(Table2[[#This Row],[Description]]="","",VLOOKUP(Table2[[#This Row],[Description]],$Q$1:$S$101,2,FALSE))</f>
        <v/>
      </c>
      <c r="H4458" s="1" t="str">
        <f>IF(Table2[[#This Row],[Description]]="","",VLOOKUP(Table2[[#This Row],[Description]],$Q$1:$S$101,3,FALSE))</f>
        <v/>
      </c>
      <c r="I4458" s="1" t="str">
        <f>IF(Table2[[#This Row],[Description]]="","",IF(Table2[[#This Row],[Currency]]=$O$2,$P$2,HLOOKUP(Table2[[#This Row],[Date]],Funds!$C$10:$GV$11,2,FALSE)))</f>
        <v/>
      </c>
      <c r="J4458" s="215" t="str">
        <f>IF(Table2[[#This Row],[Description]]="","",Table2[[#This Row],[Value]]/Table2[[#This Row],[Conversion]])</f>
        <v/>
      </c>
      <c r="K4458" s="45" t="str">
        <f>IF(Table2[[#This Row],[Description]]="","",DATE(Table2[[#This Row],[Year]],Table2[[#This Row],[Month]],1))</f>
        <v/>
      </c>
    </row>
    <row r="4459" spans="7:11" x14ac:dyDescent="0.25">
      <c r="G4459" s="1" t="str">
        <f>IF(Table2[[#This Row],[Description]]="","",VLOOKUP(Table2[[#This Row],[Description]],$Q$1:$S$101,2,FALSE))</f>
        <v/>
      </c>
      <c r="H4459" s="1" t="str">
        <f>IF(Table2[[#This Row],[Description]]="","",VLOOKUP(Table2[[#This Row],[Description]],$Q$1:$S$101,3,FALSE))</f>
        <v/>
      </c>
      <c r="I4459" s="1" t="str">
        <f>IF(Table2[[#This Row],[Description]]="","",IF(Table2[[#This Row],[Currency]]=$O$2,$P$2,HLOOKUP(Table2[[#This Row],[Date]],Funds!$C$10:$GV$11,2,FALSE)))</f>
        <v/>
      </c>
      <c r="J4459" s="215" t="str">
        <f>IF(Table2[[#This Row],[Description]]="","",Table2[[#This Row],[Value]]/Table2[[#This Row],[Conversion]])</f>
        <v/>
      </c>
      <c r="K4459" s="45" t="str">
        <f>IF(Table2[[#This Row],[Description]]="","",DATE(Table2[[#This Row],[Year]],Table2[[#This Row],[Month]],1))</f>
        <v/>
      </c>
    </row>
    <row r="4460" spans="7:11" x14ac:dyDescent="0.25">
      <c r="G4460" s="1" t="str">
        <f>IF(Table2[[#This Row],[Description]]="","",VLOOKUP(Table2[[#This Row],[Description]],$Q$1:$S$101,2,FALSE))</f>
        <v/>
      </c>
      <c r="H4460" s="1" t="str">
        <f>IF(Table2[[#This Row],[Description]]="","",VLOOKUP(Table2[[#This Row],[Description]],$Q$1:$S$101,3,FALSE))</f>
        <v/>
      </c>
      <c r="I4460" s="1" t="str">
        <f>IF(Table2[[#This Row],[Description]]="","",IF(Table2[[#This Row],[Currency]]=$O$2,$P$2,HLOOKUP(Table2[[#This Row],[Date]],Funds!$C$10:$GV$11,2,FALSE)))</f>
        <v/>
      </c>
      <c r="J4460" s="215" t="str">
        <f>IF(Table2[[#This Row],[Description]]="","",Table2[[#This Row],[Value]]/Table2[[#This Row],[Conversion]])</f>
        <v/>
      </c>
      <c r="K4460" s="45" t="str">
        <f>IF(Table2[[#This Row],[Description]]="","",DATE(Table2[[#This Row],[Year]],Table2[[#This Row],[Month]],1))</f>
        <v/>
      </c>
    </row>
    <row r="4461" spans="7:11" x14ac:dyDescent="0.25">
      <c r="G4461" s="1" t="str">
        <f>IF(Table2[[#This Row],[Description]]="","",VLOOKUP(Table2[[#This Row],[Description]],$Q$1:$S$101,2,FALSE))</f>
        <v/>
      </c>
      <c r="H4461" s="1" t="str">
        <f>IF(Table2[[#This Row],[Description]]="","",VLOOKUP(Table2[[#This Row],[Description]],$Q$1:$S$101,3,FALSE))</f>
        <v/>
      </c>
      <c r="I4461" s="1" t="str">
        <f>IF(Table2[[#This Row],[Description]]="","",IF(Table2[[#This Row],[Currency]]=$O$2,$P$2,HLOOKUP(Table2[[#This Row],[Date]],Funds!$C$10:$GV$11,2,FALSE)))</f>
        <v/>
      </c>
      <c r="J4461" s="215" t="str">
        <f>IF(Table2[[#This Row],[Description]]="","",Table2[[#This Row],[Value]]/Table2[[#This Row],[Conversion]])</f>
        <v/>
      </c>
      <c r="K4461" s="45" t="str">
        <f>IF(Table2[[#This Row],[Description]]="","",DATE(Table2[[#This Row],[Year]],Table2[[#This Row],[Month]],1))</f>
        <v/>
      </c>
    </row>
    <row r="4462" spans="7:11" x14ac:dyDescent="0.25">
      <c r="G4462" s="1" t="str">
        <f>IF(Table2[[#This Row],[Description]]="","",VLOOKUP(Table2[[#This Row],[Description]],$Q$1:$S$101,2,FALSE))</f>
        <v/>
      </c>
      <c r="H4462" s="1" t="str">
        <f>IF(Table2[[#This Row],[Description]]="","",VLOOKUP(Table2[[#This Row],[Description]],$Q$1:$S$101,3,FALSE))</f>
        <v/>
      </c>
      <c r="I4462" s="1" t="str">
        <f>IF(Table2[[#This Row],[Description]]="","",IF(Table2[[#This Row],[Currency]]=$O$2,$P$2,HLOOKUP(Table2[[#This Row],[Date]],Funds!$C$10:$GV$11,2,FALSE)))</f>
        <v/>
      </c>
      <c r="J4462" s="215" t="str">
        <f>IF(Table2[[#This Row],[Description]]="","",Table2[[#This Row],[Value]]/Table2[[#This Row],[Conversion]])</f>
        <v/>
      </c>
      <c r="K4462" s="45" t="str">
        <f>IF(Table2[[#This Row],[Description]]="","",DATE(Table2[[#This Row],[Year]],Table2[[#This Row],[Month]],1))</f>
        <v/>
      </c>
    </row>
    <row r="4463" spans="7:11" x14ac:dyDescent="0.25">
      <c r="G4463" s="1" t="str">
        <f>IF(Table2[[#This Row],[Description]]="","",VLOOKUP(Table2[[#This Row],[Description]],$Q$1:$S$101,2,FALSE))</f>
        <v/>
      </c>
      <c r="H4463" s="1" t="str">
        <f>IF(Table2[[#This Row],[Description]]="","",VLOOKUP(Table2[[#This Row],[Description]],$Q$1:$S$101,3,FALSE))</f>
        <v/>
      </c>
      <c r="I4463" s="1" t="str">
        <f>IF(Table2[[#This Row],[Description]]="","",IF(Table2[[#This Row],[Currency]]=$O$2,$P$2,HLOOKUP(Table2[[#This Row],[Date]],Funds!$C$10:$GV$11,2,FALSE)))</f>
        <v/>
      </c>
      <c r="J4463" s="215" t="str">
        <f>IF(Table2[[#This Row],[Description]]="","",Table2[[#This Row],[Value]]/Table2[[#This Row],[Conversion]])</f>
        <v/>
      </c>
      <c r="K4463" s="45" t="str">
        <f>IF(Table2[[#This Row],[Description]]="","",DATE(Table2[[#This Row],[Year]],Table2[[#This Row],[Month]],1))</f>
        <v/>
      </c>
    </row>
    <row r="4464" spans="7:11" x14ac:dyDescent="0.25">
      <c r="G4464" s="1" t="str">
        <f>IF(Table2[[#This Row],[Description]]="","",VLOOKUP(Table2[[#This Row],[Description]],$Q$1:$S$101,2,FALSE))</f>
        <v/>
      </c>
      <c r="H4464" s="1" t="str">
        <f>IF(Table2[[#This Row],[Description]]="","",VLOOKUP(Table2[[#This Row],[Description]],$Q$1:$S$101,3,FALSE))</f>
        <v/>
      </c>
      <c r="I4464" s="1" t="str">
        <f>IF(Table2[[#This Row],[Description]]="","",IF(Table2[[#This Row],[Currency]]=$O$2,$P$2,HLOOKUP(Table2[[#This Row],[Date]],Funds!$C$10:$GV$11,2,FALSE)))</f>
        <v/>
      </c>
      <c r="J4464" s="215" t="str">
        <f>IF(Table2[[#This Row],[Description]]="","",Table2[[#This Row],[Value]]/Table2[[#This Row],[Conversion]])</f>
        <v/>
      </c>
      <c r="K4464" s="45" t="str">
        <f>IF(Table2[[#This Row],[Description]]="","",DATE(Table2[[#This Row],[Year]],Table2[[#This Row],[Month]],1))</f>
        <v/>
      </c>
    </row>
    <row r="4465" spans="7:11" x14ac:dyDescent="0.25">
      <c r="G4465" s="1" t="str">
        <f>IF(Table2[[#This Row],[Description]]="","",VLOOKUP(Table2[[#This Row],[Description]],$Q$1:$S$101,2,FALSE))</f>
        <v/>
      </c>
      <c r="H4465" s="1" t="str">
        <f>IF(Table2[[#This Row],[Description]]="","",VLOOKUP(Table2[[#This Row],[Description]],$Q$1:$S$101,3,FALSE))</f>
        <v/>
      </c>
      <c r="I4465" s="1" t="str">
        <f>IF(Table2[[#This Row],[Description]]="","",IF(Table2[[#This Row],[Currency]]=$O$2,$P$2,HLOOKUP(Table2[[#This Row],[Date]],Funds!$C$10:$GV$11,2,FALSE)))</f>
        <v/>
      </c>
      <c r="J4465" s="215" t="str">
        <f>IF(Table2[[#This Row],[Description]]="","",Table2[[#This Row],[Value]]/Table2[[#This Row],[Conversion]])</f>
        <v/>
      </c>
      <c r="K4465" s="45" t="str">
        <f>IF(Table2[[#This Row],[Description]]="","",DATE(Table2[[#This Row],[Year]],Table2[[#This Row],[Month]],1))</f>
        <v/>
      </c>
    </row>
    <row r="4466" spans="7:11" x14ac:dyDescent="0.25">
      <c r="G4466" s="1" t="str">
        <f>IF(Table2[[#This Row],[Description]]="","",VLOOKUP(Table2[[#This Row],[Description]],$Q$1:$S$101,2,FALSE))</f>
        <v/>
      </c>
      <c r="H4466" s="1" t="str">
        <f>IF(Table2[[#This Row],[Description]]="","",VLOOKUP(Table2[[#This Row],[Description]],$Q$1:$S$101,3,FALSE))</f>
        <v/>
      </c>
      <c r="I4466" s="1" t="str">
        <f>IF(Table2[[#This Row],[Description]]="","",IF(Table2[[#This Row],[Currency]]=$O$2,$P$2,HLOOKUP(Table2[[#This Row],[Date]],Funds!$C$10:$GV$11,2,FALSE)))</f>
        <v/>
      </c>
      <c r="J4466" s="215" t="str">
        <f>IF(Table2[[#This Row],[Description]]="","",Table2[[#This Row],[Value]]/Table2[[#This Row],[Conversion]])</f>
        <v/>
      </c>
      <c r="K4466" s="45" t="str">
        <f>IF(Table2[[#This Row],[Description]]="","",DATE(Table2[[#This Row],[Year]],Table2[[#This Row],[Month]],1))</f>
        <v/>
      </c>
    </row>
    <row r="4467" spans="7:11" x14ac:dyDescent="0.25">
      <c r="G4467" s="1" t="str">
        <f>IF(Table2[[#This Row],[Description]]="","",VLOOKUP(Table2[[#This Row],[Description]],$Q$1:$S$101,2,FALSE))</f>
        <v/>
      </c>
      <c r="H4467" s="1" t="str">
        <f>IF(Table2[[#This Row],[Description]]="","",VLOOKUP(Table2[[#This Row],[Description]],$Q$1:$S$101,3,FALSE))</f>
        <v/>
      </c>
      <c r="I4467" s="1" t="str">
        <f>IF(Table2[[#This Row],[Description]]="","",IF(Table2[[#This Row],[Currency]]=$O$2,$P$2,HLOOKUP(Table2[[#This Row],[Date]],Funds!$C$10:$GV$11,2,FALSE)))</f>
        <v/>
      </c>
      <c r="J4467" s="215" t="str">
        <f>IF(Table2[[#This Row],[Description]]="","",Table2[[#This Row],[Value]]/Table2[[#This Row],[Conversion]])</f>
        <v/>
      </c>
      <c r="K4467" s="45" t="str">
        <f>IF(Table2[[#This Row],[Description]]="","",DATE(Table2[[#This Row],[Year]],Table2[[#This Row],[Month]],1))</f>
        <v/>
      </c>
    </row>
    <row r="4468" spans="7:11" x14ac:dyDescent="0.25">
      <c r="G4468" s="1" t="str">
        <f>IF(Table2[[#This Row],[Description]]="","",VLOOKUP(Table2[[#This Row],[Description]],$Q$1:$S$101,2,FALSE))</f>
        <v/>
      </c>
      <c r="H4468" s="1" t="str">
        <f>IF(Table2[[#This Row],[Description]]="","",VLOOKUP(Table2[[#This Row],[Description]],$Q$1:$S$101,3,FALSE))</f>
        <v/>
      </c>
      <c r="I4468" s="1" t="str">
        <f>IF(Table2[[#This Row],[Description]]="","",IF(Table2[[#This Row],[Currency]]=$O$2,$P$2,HLOOKUP(Table2[[#This Row],[Date]],Funds!$C$10:$GV$11,2,FALSE)))</f>
        <v/>
      </c>
      <c r="J4468" s="215" t="str">
        <f>IF(Table2[[#This Row],[Description]]="","",Table2[[#This Row],[Value]]/Table2[[#This Row],[Conversion]])</f>
        <v/>
      </c>
      <c r="K4468" s="45" t="str">
        <f>IF(Table2[[#This Row],[Description]]="","",DATE(Table2[[#This Row],[Year]],Table2[[#This Row],[Month]],1))</f>
        <v/>
      </c>
    </row>
    <row r="4469" spans="7:11" x14ac:dyDescent="0.25">
      <c r="G4469" s="1" t="str">
        <f>IF(Table2[[#This Row],[Description]]="","",VLOOKUP(Table2[[#This Row],[Description]],$Q$1:$S$101,2,FALSE))</f>
        <v/>
      </c>
      <c r="H4469" s="1" t="str">
        <f>IF(Table2[[#This Row],[Description]]="","",VLOOKUP(Table2[[#This Row],[Description]],$Q$1:$S$101,3,FALSE))</f>
        <v/>
      </c>
      <c r="I4469" s="1" t="str">
        <f>IF(Table2[[#This Row],[Description]]="","",IF(Table2[[#This Row],[Currency]]=$O$2,$P$2,HLOOKUP(Table2[[#This Row],[Date]],Funds!$C$10:$GV$11,2,FALSE)))</f>
        <v/>
      </c>
      <c r="J4469" s="215" t="str">
        <f>IF(Table2[[#This Row],[Description]]="","",Table2[[#This Row],[Value]]/Table2[[#This Row],[Conversion]])</f>
        <v/>
      </c>
      <c r="K4469" s="45" t="str">
        <f>IF(Table2[[#This Row],[Description]]="","",DATE(Table2[[#This Row],[Year]],Table2[[#This Row],[Month]],1))</f>
        <v/>
      </c>
    </row>
    <row r="4470" spans="7:11" x14ac:dyDescent="0.25">
      <c r="G4470" s="1" t="str">
        <f>IF(Table2[[#This Row],[Description]]="","",VLOOKUP(Table2[[#This Row],[Description]],$Q$1:$S$101,2,FALSE))</f>
        <v/>
      </c>
      <c r="H4470" s="1" t="str">
        <f>IF(Table2[[#This Row],[Description]]="","",VLOOKUP(Table2[[#This Row],[Description]],$Q$1:$S$101,3,FALSE))</f>
        <v/>
      </c>
      <c r="I4470" s="1" t="str">
        <f>IF(Table2[[#This Row],[Description]]="","",IF(Table2[[#This Row],[Currency]]=$O$2,$P$2,HLOOKUP(Table2[[#This Row],[Date]],Funds!$C$10:$GV$11,2,FALSE)))</f>
        <v/>
      </c>
      <c r="J4470" s="215" t="str">
        <f>IF(Table2[[#This Row],[Description]]="","",Table2[[#This Row],[Value]]/Table2[[#This Row],[Conversion]])</f>
        <v/>
      </c>
      <c r="K4470" s="45" t="str">
        <f>IF(Table2[[#This Row],[Description]]="","",DATE(Table2[[#This Row],[Year]],Table2[[#This Row],[Month]],1))</f>
        <v/>
      </c>
    </row>
    <row r="4471" spans="7:11" x14ac:dyDescent="0.25">
      <c r="G4471" s="1" t="str">
        <f>IF(Table2[[#This Row],[Description]]="","",VLOOKUP(Table2[[#This Row],[Description]],$Q$1:$S$101,2,FALSE))</f>
        <v/>
      </c>
      <c r="H4471" s="1" t="str">
        <f>IF(Table2[[#This Row],[Description]]="","",VLOOKUP(Table2[[#This Row],[Description]],$Q$1:$S$101,3,FALSE))</f>
        <v/>
      </c>
      <c r="I4471" s="1" t="str">
        <f>IF(Table2[[#This Row],[Description]]="","",IF(Table2[[#This Row],[Currency]]=$O$2,$P$2,HLOOKUP(Table2[[#This Row],[Date]],Funds!$C$10:$GV$11,2,FALSE)))</f>
        <v/>
      </c>
      <c r="J4471" s="215" t="str">
        <f>IF(Table2[[#This Row],[Description]]="","",Table2[[#This Row],[Value]]/Table2[[#This Row],[Conversion]])</f>
        <v/>
      </c>
      <c r="K4471" s="45" t="str">
        <f>IF(Table2[[#This Row],[Description]]="","",DATE(Table2[[#This Row],[Year]],Table2[[#This Row],[Month]],1))</f>
        <v/>
      </c>
    </row>
    <row r="4472" spans="7:11" x14ac:dyDescent="0.25">
      <c r="G4472" s="1" t="str">
        <f>IF(Table2[[#This Row],[Description]]="","",VLOOKUP(Table2[[#This Row],[Description]],$Q$1:$S$101,2,FALSE))</f>
        <v/>
      </c>
      <c r="H4472" s="1" t="str">
        <f>IF(Table2[[#This Row],[Description]]="","",VLOOKUP(Table2[[#This Row],[Description]],$Q$1:$S$101,3,FALSE))</f>
        <v/>
      </c>
      <c r="I4472" s="1" t="str">
        <f>IF(Table2[[#This Row],[Description]]="","",IF(Table2[[#This Row],[Currency]]=$O$2,$P$2,HLOOKUP(Table2[[#This Row],[Date]],Funds!$C$10:$GV$11,2,FALSE)))</f>
        <v/>
      </c>
      <c r="J4472" s="215" t="str">
        <f>IF(Table2[[#This Row],[Description]]="","",Table2[[#This Row],[Value]]/Table2[[#This Row],[Conversion]])</f>
        <v/>
      </c>
      <c r="K4472" s="45" t="str">
        <f>IF(Table2[[#This Row],[Description]]="","",DATE(Table2[[#This Row],[Year]],Table2[[#This Row],[Month]],1))</f>
        <v/>
      </c>
    </row>
    <row r="4473" spans="7:11" x14ac:dyDescent="0.25">
      <c r="G4473" s="1" t="str">
        <f>IF(Table2[[#This Row],[Description]]="","",VLOOKUP(Table2[[#This Row],[Description]],$Q$1:$S$101,2,FALSE))</f>
        <v/>
      </c>
      <c r="H4473" s="1" t="str">
        <f>IF(Table2[[#This Row],[Description]]="","",VLOOKUP(Table2[[#This Row],[Description]],$Q$1:$S$101,3,FALSE))</f>
        <v/>
      </c>
      <c r="I4473" s="1" t="str">
        <f>IF(Table2[[#This Row],[Description]]="","",IF(Table2[[#This Row],[Currency]]=$O$2,$P$2,HLOOKUP(Table2[[#This Row],[Date]],Funds!$C$10:$GV$11,2,FALSE)))</f>
        <v/>
      </c>
      <c r="J4473" s="215" t="str">
        <f>IF(Table2[[#This Row],[Description]]="","",Table2[[#This Row],[Value]]/Table2[[#This Row],[Conversion]])</f>
        <v/>
      </c>
      <c r="K4473" s="45" t="str">
        <f>IF(Table2[[#This Row],[Description]]="","",DATE(Table2[[#This Row],[Year]],Table2[[#This Row],[Month]],1))</f>
        <v/>
      </c>
    </row>
    <row r="4474" spans="7:11" x14ac:dyDescent="0.25">
      <c r="G4474" s="1" t="str">
        <f>IF(Table2[[#This Row],[Description]]="","",VLOOKUP(Table2[[#This Row],[Description]],$Q$1:$S$101,2,FALSE))</f>
        <v/>
      </c>
      <c r="H4474" s="1" t="str">
        <f>IF(Table2[[#This Row],[Description]]="","",VLOOKUP(Table2[[#This Row],[Description]],$Q$1:$S$101,3,FALSE))</f>
        <v/>
      </c>
      <c r="I4474" s="1" t="str">
        <f>IF(Table2[[#This Row],[Description]]="","",IF(Table2[[#This Row],[Currency]]=$O$2,$P$2,HLOOKUP(Table2[[#This Row],[Date]],Funds!$C$10:$GV$11,2,FALSE)))</f>
        <v/>
      </c>
      <c r="J4474" s="215" t="str">
        <f>IF(Table2[[#This Row],[Description]]="","",Table2[[#This Row],[Value]]/Table2[[#This Row],[Conversion]])</f>
        <v/>
      </c>
      <c r="K4474" s="45" t="str">
        <f>IF(Table2[[#This Row],[Description]]="","",DATE(Table2[[#This Row],[Year]],Table2[[#This Row],[Month]],1))</f>
        <v/>
      </c>
    </row>
    <row r="4475" spans="7:11" x14ac:dyDescent="0.25">
      <c r="G4475" s="1" t="str">
        <f>IF(Table2[[#This Row],[Description]]="","",VLOOKUP(Table2[[#This Row],[Description]],$Q$1:$S$101,2,FALSE))</f>
        <v/>
      </c>
      <c r="H4475" s="1" t="str">
        <f>IF(Table2[[#This Row],[Description]]="","",VLOOKUP(Table2[[#This Row],[Description]],$Q$1:$S$101,3,FALSE))</f>
        <v/>
      </c>
      <c r="I4475" s="1" t="str">
        <f>IF(Table2[[#This Row],[Description]]="","",IF(Table2[[#This Row],[Currency]]=$O$2,$P$2,HLOOKUP(Table2[[#This Row],[Date]],Funds!$C$10:$GV$11,2,FALSE)))</f>
        <v/>
      </c>
      <c r="J4475" s="215" t="str">
        <f>IF(Table2[[#This Row],[Description]]="","",Table2[[#This Row],[Value]]/Table2[[#This Row],[Conversion]])</f>
        <v/>
      </c>
      <c r="K4475" s="45" t="str">
        <f>IF(Table2[[#This Row],[Description]]="","",DATE(Table2[[#This Row],[Year]],Table2[[#This Row],[Month]],1))</f>
        <v/>
      </c>
    </row>
    <row r="4476" spans="7:11" x14ac:dyDescent="0.25">
      <c r="G4476" s="1" t="str">
        <f>IF(Table2[[#This Row],[Description]]="","",VLOOKUP(Table2[[#This Row],[Description]],$Q$1:$S$101,2,FALSE))</f>
        <v/>
      </c>
      <c r="H4476" s="1" t="str">
        <f>IF(Table2[[#This Row],[Description]]="","",VLOOKUP(Table2[[#This Row],[Description]],$Q$1:$S$101,3,FALSE))</f>
        <v/>
      </c>
      <c r="I4476" s="1" t="str">
        <f>IF(Table2[[#This Row],[Description]]="","",IF(Table2[[#This Row],[Currency]]=$O$2,$P$2,HLOOKUP(Table2[[#This Row],[Date]],Funds!$C$10:$GV$11,2,FALSE)))</f>
        <v/>
      </c>
      <c r="J4476" s="215" t="str">
        <f>IF(Table2[[#This Row],[Description]]="","",Table2[[#This Row],[Value]]/Table2[[#This Row],[Conversion]])</f>
        <v/>
      </c>
      <c r="K4476" s="45" t="str">
        <f>IF(Table2[[#This Row],[Description]]="","",DATE(Table2[[#This Row],[Year]],Table2[[#This Row],[Month]],1))</f>
        <v/>
      </c>
    </row>
    <row r="4477" spans="7:11" x14ac:dyDescent="0.25">
      <c r="G4477" s="1" t="str">
        <f>IF(Table2[[#This Row],[Description]]="","",VLOOKUP(Table2[[#This Row],[Description]],$Q$1:$S$101,2,FALSE))</f>
        <v/>
      </c>
      <c r="H4477" s="1" t="str">
        <f>IF(Table2[[#This Row],[Description]]="","",VLOOKUP(Table2[[#This Row],[Description]],$Q$1:$S$101,3,FALSE))</f>
        <v/>
      </c>
      <c r="I4477" s="1" t="str">
        <f>IF(Table2[[#This Row],[Description]]="","",IF(Table2[[#This Row],[Currency]]=$O$2,$P$2,HLOOKUP(Table2[[#This Row],[Date]],Funds!$C$10:$GV$11,2,FALSE)))</f>
        <v/>
      </c>
      <c r="J4477" s="215" t="str">
        <f>IF(Table2[[#This Row],[Description]]="","",Table2[[#This Row],[Value]]/Table2[[#This Row],[Conversion]])</f>
        <v/>
      </c>
      <c r="K4477" s="45" t="str">
        <f>IF(Table2[[#This Row],[Description]]="","",DATE(Table2[[#This Row],[Year]],Table2[[#This Row],[Month]],1))</f>
        <v/>
      </c>
    </row>
    <row r="4478" spans="7:11" x14ac:dyDescent="0.25">
      <c r="G4478" s="1" t="str">
        <f>IF(Table2[[#This Row],[Description]]="","",VLOOKUP(Table2[[#This Row],[Description]],$Q$1:$S$101,2,FALSE))</f>
        <v/>
      </c>
      <c r="H4478" s="1" t="str">
        <f>IF(Table2[[#This Row],[Description]]="","",VLOOKUP(Table2[[#This Row],[Description]],$Q$1:$S$101,3,FALSE))</f>
        <v/>
      </c>
      <c r="I4478" s="1" t="str">
        <f>IF(Table2[[#This Row],[Description]]="","",IF(Table2[[#This Row],[Currency]]=$O$2,$P$2,HLOOKUP(Table2[[#This Row],[Date]],Funds!$C$10:$GV$11,2,FALSE)))</f>
        <v/>
      </c>
      <c r="J4478" s="215" t="str">
        <f>IF(Table2[[#This Row],[Description]]="","",Table2[[#This Row],[Value]]/Table2[[#This Row],[Conversion]])</f>
        <v/>
      </c>
      <c r="K4478" s="45" t="str">
        <f>IF(Table2[[#This Row],[Description]]="","",DATE(Table2[[#This Row],[Year]],Table2[[#This Row],[Month]],1))</f>
        <v/>
      </c>
    </row>
    <row r="4479" spans="7:11" x14ac:dyDescent="0.25">
      <c r="G4479" s="1" t="str">
        <f>IF(Table2[[#This Row],[Description]]="","",VLOOKUP(Table2[[#This Row],[Description]],$Q$1:$S$101,2,FALSE))</f>
        <v/>
      </c>
      <c r="H4479" s="1" t="str">
        <f>IF(Table2[[#This Row],[Description]]="","",VLOOKUP(Table2[[#This Row],[Description]],$Q$1:$S$101,3,FALSE))</f>
        <v/>
      </c>
      <c r="I4479" s="1" t="str">
        <f>IF(Table2[[#This Row],[Description]]="","",IF(Table2[[#This Row],[Currency]]=$O$2,$P$2,HLOOKUP(Table2[[#This Row],[Date]],Funds!$C$10:$GV$11,2,FALSE)))</f>
        <v/>
      </c>
      <c r="J4479" s="215" t="str">
        <f>IF(Table2[[#This Row],[Description]]="","",Table2[[#This Row],[Value]]/Table2[[#This Row],[Conversion]])</f>
        <v/>
      </c>
      <c r="K4479" s="45" t="str">
        <f>IF(Table2[[#This Row],[Description]]="","",DATE(Table2[[#This Row],[Year]],Table2[[#This Row],[Month]],1))</f>
        <v/>
      </c>
    </row>
    <row r="4480" spans="7:11" x14ac:dyDescent="0.25">
      <c r="G4480" s="1" t="str">
        <f>IF(Table2[[#This Row],[Description]]="","",VLOOKUP(Table2[[#This Row],[Description]],$Q$1:$S$101,2,FALSE))</f>
        <v/>
      </c>
      <c r="H4480" s="1" t="str">
        <f>IF(Table2[[#This Row],[Description]]="","",VLOOKUP(Table2[[#This Row],[Description]],$Q$1:$S$101,3,FALSE))</f>
        <v/>
      </c>
      <c r="I4480" s="1" t="str">
        <f>IF(Table2[[#This Row],[Description]]="","",IF(Table2[[#This Row],[Currency]]=$O$2,$P$2,HLOOKUP(Table2[[#This Row],[Date]],Funds!$C$10:$GV$11,2,FALSE)))</f>
        <v/>
      </c>
      <c r="J4480" s="215" t="str">
        <f>IF(Table2[[#This Row],[Description]]="","",Table2[[#This Row],[Value]]/Table2[[#This Row],[Conversion]])</f>
        <v/>
      </c>
      <c r="K4480" s="45" t="str">
        <f>IF(Table2[[#This Row],[Description]]="","",DATE(Table2[[#This Row],[Year]],Table2[[#This Row],[Month]],1))</f>
        <v/>
      </c>
    </row>
    <row r="4481" spans="7:11" x14ac:dyDescent="0.25">
      <c r="G4481" s="1" t="str">
        <f>IF(Table2[[#This Row],[Description]]="","",VLOOKUP(Table2[[#This Row],[Description]],$Q$1:$S$101,2,FALSE))</f>
        <v/>
      </c>
      <c r="H4481" s="1" t="str">
        <f>IF(Table2[[#This Row],[Description]]="","",VLOOKUP(Table2[[#This Row],[Description]],$Q$1:$S$101,3,FALSE))</f>
        <v/>
      </c>
      <c r="I4481" s="1" t="str">
        <f>IF(Table2[[#This Row],[Description]]="","",IF(Table2[[#This Row],[Currency]]=$O$2,$P$2,HLOOKUP(Table2[[#This Row],[Date]],Funds!$C$10:$GV$11,2,FALSE)))</f>
        <v/>
      </c>
      <c r="J4481" s="215" t="str">
        <f>IF(Table2[[#This Row],[Description]]="","",Table2[[#This Row],[Value]]/Table2[[#This Row],[Conversion]])</f>
        <v/>
      </c>
      <c r="K4481" s="45" t="str">
        <f>IF(Table2[[#This Row],[Description]]="","",DATE(Table2[[#This Row],[Year]],Table2[[#This Row],[Month]],1))</f>
        <v/>
      </c>
    </row>
    <row r="4482" spans="7:11" x14ac:dyDescent="0.25">
      <c r="G4482" s="1" t="str">
        <f>IF(Table2[[#This Row],[Description]]="","",VLOOKUP(Table2[[#This Row],[Description]],$Q$1:$S$101,2,FALSE))</f>
        <v/>
      </c>
      <c r="H4482" s="1" t="str">
        <f>IF(Table2[[#This Row],[Description]]="","",VLOOKUP(Table2[[#This Row],[Description]],$Q$1:$S$101,3,FALSE))</f>
        <v/>
      </c>
      <c r="I4482" s="1" t="str">
        <f>IF(Table2[[#This Row],[Description]]="","",IF(Table2[[#This Row],[Currency]]=$O$2,$P$2,HLOOKUP(Table2[[#This Row],[Date]],Funds!$C$10:$GV$11,2,FALSE)))</f>
        <v/>
      </c>
      <c r="J4482" s="215" t="str">
        <f>IF(Table2[[#This Row],[Description]]="","",Table2[[#This Row],[Value]]/Table2[[#This Row],[Conversion]])</f>
        <v/>
      </c>
      <c r="K4482" s="45" t="str">
        <f>IF(Table2[[#This Row],[Description]]="","",DATE(Table2[[#This Row],[Year]],Table2[[#This Row],[Month]],1))</f>
        <v/>
      </c>
    </row>
    <row r="4483" spans="7:11" x14ac:dyDescent="0.25">
      <c r="G4483" s="1" t="str">
        <f>IF(Table2[[#This Row],[Description]]="","",VLOOKUP(Table2[[#This Row],[Description]],$Q$1:$S$101,2,FALSE))</f>
        <v/>
      </c>
      <c r="H4483" s="1" t="str">
        <f>IF(Table2[[#This Row],[Description]]="","",VLOOKUP(Table2[[#This Row],[Description]],$Q$1:$S$101,3,FALSE))</f>
        <v/>
      </c>
      <c r="I4483" s="1" t="str">
        <f>IF(Table2[[#This Row],[Description]]="","",IF(Table2[[#This Row],[Currency]]=$O$2,$P$2,HLOOKUP(Table2[[#This Row],[Date]],Funds!$C$10:$GV$11,2,FALSE)))</f>
        <v/>
      </c>
      <c r="J4483" s="215" t="str">
        <f>IF(Table2[[#This Row],[Description]]="","",Table2[[#This Row],[Value]]/Table2[[#This Row],[Conversion]])</f>
        <v/>
      </c>
      <c r="K4483" s="45" t="str">
        <f>IF(Table2[[#This Row],[Description]]="","",DATE(Table2[[#This Row],[Year]],Table2[[#This Row],[Month]],1))</f>
        <v/>
      </c>
    </row>
    <row r="4484" spans="7:11" x14ac:dyDescent="0.25">
      <c r="G4484" s="1" t="str">
        <f>IF(Table2[[#This Row],[Description]]="","",VLOOKUP(Table2[[#This Row],[Description]],$Q$1:$S$101,2,FALSE))</f>
        <v/>
      </c>
      <c r="H4484" s="1" t="str">
        <f>IF(Table2[[#This Row],[Description]]="","",VLOOKUP(Table2[[#This Row],[Description]],$Q$1:$S$101,3,FALSE))</f>
        <v/>
      </c>
      <c r="I4484" s="1" t="str">
        <f>IF(Table2[[#This Row],[Description]]="","",IF(Table2[[#This Row],[Currency]]=$O$2,$P$2,HLOOKUP(Table2[[#This Row],[Date]],Funds!$C$10:$GV$11,2,FALSE)))</f>
        <v/>
      </c>
      <c r="J4484" s="215" t="str">
        <f>IF(Table2[[#This Row],[Description]]="","",Table2[[#This Row],[Value]]/Table2[[#This Row],[Conversion]])</f>
        <v/>
      </c>
      <c r="K4484" s="45" t="str">
        <f>IF(Table2[[#This Row],[Description]]="","",DATE(Table2[[#This Row],[Year]],Table2[[#This Row],[Month]],1))</f>
        <v/>
      </c>
    </row>
    <row r="4485" spans="7:11" x14ac:dyDescent="0.25">
      <c r="G4485" s="1" t="str">
        <f>IF(Table2[[#This Row],[Description]]="","",VLOOKUP(Table2[[#This Row],[Description]],$Q$1:$S$101,2,FALSE))</f>
        <v/>
      </c>
      <c r="H4485" s="1" t="str">
        <f>IF(Table2[[#This Row],[Description]]="","",VLOOKUP(Table2[[#This Row],[Description]],$Q$1:$S$101,3,FALSE))</f>
        <v/>
      </c>
      <c r="I4485" s="1" t="str">
        <f>IF(Table2[[#This Row],[Description]]="","",IF(Table2[[#This Row],[Currency]]=$O$2,$P$2,HLOOKUP(Table2[[#This Row],[Date]],Funds!$C$10:$GV$11,2,FALSE)))</f>
        <v/>
      </c>
      <c r="J4485" s="215" t="str">
        <f>IF(Table2[[#This Row],[Description]]="","",Table2[[#This Row],[Value]]/Table2[[#This Row],[Conversion]])</f>
        <v/>
      </c>
      <c r="K4485" s="45" t="str">
        <f>IF(Table2[[#This Row],[Description]]="","",DATE(Table2[[#This Row],[Year]],Table2[[#This Row],[Month]],1))</f>
        <v/>
      </c>
    </row>
    <row r="4486" spans="7:11" x14ac:dyDescent="0.25">
      <c r="G4486" s="1" t="str">
        <f>IF(Table2[[#This Row],[Description]]="","",VLOOKUP(Table2[[#This Row],[Description]],$Q$1:$S$101,2,FALSE))</f>
        <v/>
      </c>
      <c r="H4486" s="1" t="str">
        <f>IF(Table2[[#This Row],[Description]]="","",VLOOKUP(Table2[[#This Row],[Description]],$Q$1:$S$101,3,FALSE))</f>
        <v/>
      </c>
      <c r="I4486" s="1" t="str">
        <f>IF(Table2[[#This Row],[Description]]="","",IF(Table2[[#This Row],[Currency]]=$O$2,$P$2,HLOOKUP(Table2[[#This Row],[Date]],Funds!$C$10:$GV$11,2,FALSE)))</f>
        <v/>
      </c>
      <c r="J4486" s="215" t="str">
        <f>IF(Table2[[#This Row],[Description]]="","",Table2[[#This Row],[Value]]/Table2[[#This Row],[Conversion]])</f>
        <v/>
      </c>
      <c r="K4486" s="45" t="str">
        <f>IF(Table2[[#This Row],[Description]]="","",DATE(Table2[[#This Row],[Year]],Table2[[#This Row],[Month]],1))</f>
        <v/>
      </c>
    </row>
    <row r="4487" spans="7:11" x14ac:dyDescent="0.25">
      <c r="G4487" s="1" t="str">
        <f>IF(Table2[[#This Row],[Description]]="","",VLOOKUP(Table2[[#This Row],[Description]],$Q$1:$S$101,2,FALSE))</f>
        <v/>
      </c>
      <c r="H4487" s="1" t="str">
        <f>IF(Table2[[#This Row],[Description]]="","",VLOOKUP(Table2[[#This Row],[Description]],$Q$1:$S$101,3,FALSE))</f>
        <v/>
      </c>
      <c r="I4487" s="1" t="str">
        <f>IF(Table2[[#This Row],[Description]]="","",IF(Table2[[#This Row],[Currency]]=$O$2,$P$2,HLOOKUP(Table2[[#This Row],[Date]],Funds!$C$10:$GV$11,2,FALSE)))</f>
        <v/>
      </c>
      <c r="J4487" s="215" t="str">
        <f>IF(Table2[[#This Row],[Description]]="","",Table2[[#This Row],[Value]]/Table2[[#This Row],[Conversion]])</f>
        <v/>
      </c>
      <c r="K4487" s="45" t="str">
        <f>IF(Table2[[#This Row],[Description]]="","",DATE(Table2[[#This Row],[Year]],Table2[[#This Row],[Month]],1))</f>
        <v/>
      </c>
    </row>
    <row r="4488" spans="7:11" x14ac:dyDescent="0.25">
      <c r="G4488" s="1" t="str">
        <f>IF(Table2[[#This Row],[Description]]="","",VLOOKUP(Table2[[#This Row],[Description]],$Q$1:$S$101,2,FALSE))</f>
        <v/>
      </c>
      <c r="H4488" s="1" t="str">
        <f>IF(Table2[[#This Row],[Description]]="","",VLOOKUP(Table2[[#This Row],[Description]],$Q$1:$S$101,3,FALSE))</f>
        <v/>
      </c>
      <c r="I4488" s="1" t="str">
        <f>IF(Table2[[#This Row],[Description]]="","",IF(Table2[[#This Row],[Currency]]=$O$2,$P$2,HLOOKUP(Table2[[#This Row],[Date]],Funds!$C$10:$GV$11,2,FALSE)))</f>
        <v/>
      </c>
      <c r="J4488" s="215" t="str">
        <f>IF(Table2[[#This Row],[Description]]="","",Table2[[#This Row],[Value]]/Table2[[#This Row],[Conversion]])</f>
        <v/>
      </c>
      <c r="K4488" s="45" t="str">
        <f>IF(Table2[[#This Row],[Description]]="","",DATE(Table2[[#This Row],[Year]],Table2[[#This Row],[Month]],1))</f>
        <v/>
      </c>
    </row>
    <row r="4489" spans="7:11" x14ac:dyDescent="0.25">
      <c r="G4489" s="1" t="str">
        <f>IF(Table2[[#This Row],[Description]]="","",VLOOKUP(Table2[[#This Row],[Description]],$Q$1:$S$101,2,FALSE))</f>
        <v/>
      </c>
      <c r="H4489" s="1" t="str">
        <f>IF(Table2[[#This Row],[Description]]="","",VLOOKUP(Table2[[#This Row],[Description]],$Q$1:$S$101,3,FALSE))</f>
        <v/>
      </c>
      <c r="I4489" s="1" t="str">
        <f>IF(Table2[[#This Row],[Description]]="","",IF(Table2[[#This Row],[Currency]]=$O$2,$P$2,HLOOKUP(Table2[[#This Row],[Date]],Funds!$C$10:$GV$11,2,FALSE)))</f>
        <v/>
      </c>
      <c r="J4489" s="215" t="str">
        <f>IF(Table2[[#This Row],[Description]]="","",Table2[[#This Row],[Value]]/Table2[[#This Row],[Conversion]])</f>
        <v/>
      </c>
      <c r="K4489" s="45" t="str">
        <f>IF(Table2[[#This Row],[Description]]="","",DATE(Table2[[#This Row],[Year]],Table2[[#This Row],[Month]],1))</f>
        <v/>
      </c>
    </row>
    <row r="4490" spans="7:11" x14ac:dyDescent="0.25">
      <c r="G4490" s="1" t="str">
        <f>IF(Table2[[#This Row],[Description]]="","",VLOOKUP(Table2[[#This Row],[Description]],$Q$1:$S$101,2,FALSE))</f>
        <v/>
      </c>
      <c r="H4490" s="1" t="str">
        <f>IF(Table2[[#This Row],[Description]]="","",VLOOKUP(Table2[[#This Row],[Description]],$Q$1:$S$101,3,FALSE))</f>
        <v/>
      </c>
      <c r="I4490" s="1" t="str">
        <f>IF(Table2[[#This Row],[Description]]="","",IF(Table2[[#This Row],[Currency]]=$O$2,$P$2,HLOOKUP(Table2[[#This Row],[Date]],Funds!$C$10:$GV$11,2,FALSE)))</f>
        <v/>
      </c>
      <c r="J4490" s="215" t="str">
        <f>IF(Table2[[#This Row],[Description]]="","",Table2[[#This Row],[Value]]/Table2[[#This Row],[Conversion]])</f>
        <v/>
      </c>
      <c r="K4490" s="45" t="str">
        <f>IF(Table2[[#This Row],[Description]]="","",DATE(Table2[[#This Row],[Year]],Table2[[#This Row],[Month]],1))</f>
        <v/>
      </c>
    </row>
    <row r="4491" spans="7:11" x14ac:dyDescent="0.25">
      <c r="G4491" s="1" t="str">
        <f>IF(Table2[[#This Row],[Description]]="","",VLOOKUP(Table2[[#This Row],[Description]],$Q$1:$S$101,2,FALSE))</f>
        <v/>
      </c>
      <c r="H4491" s="1" t="str">
        <f>IF(Table2[[#This Row],[Description]]="","",VLOOKUP(Table2[[#This Row],[Description]],$Q$1:$S$101,3,FALSE))</f>
        <v/>
      </c>
      <c r="I4491" s="1" t="str">
        <f>IF(Table2[[#This Row],[Description]]="","",IF(Table2[[#This Row],[Currency]]=$O$2,$P$2,HLOOKUP(Table2[[#This Row],[Date]],Funds!$C$10:$GV$11,2,FALSE)))</f>
        <v/>
      </c>
      <c r="J4491" s="215" t="str">
        <f>IF(Table2[[#This Row],[Description]]="","",Table2[[#This Row],[Value]]/Table2[[#This Row],[Conversion]])</f>
        <v/>
      </c>
      <c r="K4491" s="45" t="str">
        <f>IF(Table2[[#This Row],[Description]]="","",DATE(Table2[[#This Row],[Year]],Table2[[#This Row],[Month]],1))</f>
        <v/>
      </c>
    </row>
    <row r="4492" spans="7:11" x14ac:dyDescent="0.25">
      <c r="G4492" s="1" t="str">
        <f>IF(Table2[[#This Row],[Description]]="","",VLOOKUP(Table2[[#This Row],[Description]],$Q$1:$S$101,2,FALSE))</f>
        <v/>
      </c>
      <c r="H4492" s="1" t="str">
        <f>IF(Table2[[#This Row],[Description]]="","",VLOOKUP(Table2[[#This Row],[Description]],$Q$1:$S$101,3,FALSE))</f>
        <v/>
      </c>
      <c r="I4492" s="1" t="str">
        <f>IF(Table2[[#This Row],[Description]]="","",IF(Table2[[#This Row],[Currency]]=$O$2,$P$2,HLOOKUP(Table2[[#This Row],[Date]],Funds!$C$10:$GV$11,2,FALSE)))</f>
        <v/>
      </c>
      <c r="J4492" s="215" t="str">
        <f>IF(Table2[[#This Row],[Description]]="","",Table2[[#This Row],[Value]]/Table2[[#This Row],[Conversion]])</f>
        <v/>
      </c>
      <c r="K4492" s="45" t="str">
        <f>IF(Table2[[#This Row],[Description]]="","",DATE(Table2[[#This Row],[Year]],Table2[[#This Row],[Month]],1))</f>
        <v/>
      </c>
    </row>
    <row r="4493" spans="7:11" x14ac:dyDescent="0.25">
      <c r="G4493" s="1" t="str">
        <f>IF(Table2[[#This Row],[Description]]="","",VLOOKUP(Table2[[#This Row],[Description]],$Q$1:$S$101,2,FALSE))</f>
        <v/>
      </c>
      <c r="H4493" s="1" t="str">
        <f>IF(Table2[[#This Row],[Description]]="","",VLOOKUP(Table2[[#This Row],[Description]],$Q$1:$S$101,3,FALSE))</f>
        <v/>
      </c>
      <c r="I4493" s="1" t="str">
        <f>IF(Table2[[#This Row],[Description]]="","",IF(Table2[[#This Row],[Currency]]=$O$2,$P$2,HLOOKUP(Table2[[#This Row],[Date]],Funds!$C$10:$GV$11,2,FALSE)))</f>
        <v/>
      </c>
      <c r="J4493" s="215" t="str">
        <f>IF(Table2[[#This Row],[Description]]="","",Table2[[#This Row],[Value]]/Table2[[#This Row],[Conversion]])</f>
        <v/>
      </c>
      <c r="K4493" s="45" t="str">
        <f>IF(Table2[[#This Row],[Description]]="","",DATE(Table2[[#This Row],[Year]],Table2[[#This Row],[Month]],1))</f>
        <v/>
      </c>
    </row>
    <row r="4494" spans="7:11" x14ac:dyDescent="0.25">
      <c r="G4494" s="1" t="str">
        <f>IF(Table2[[#This Row],[Description]]="","",VLOOKUP(Table2[[#This Row],[Description]],$Q$1:$S$101,2,FALSE))</f>
        <v/>
      </c>
      <c r="H4494" s="1" t="str">
        <f>IF(Table2[[#This Row],[Description]]="","",VLOOKUP(Table2[[#This Row],[Description]],$Q$1:$S$101,3,FALSE))</f>
        <v/>
      </c>
      <c r="I4494" s="1" t="str">
        <f>IF(Table2[[#This Row],[Description]]="","",IF(Table2[[#This Row],[Currency]]=$O$2,$P$2,HLOOKUP(Table2[[#This Row],[Date]],Funds!$C$10:$GV$11,2,FALSE)))</f>
        <v/>
      </c>
      <c r="J4494" s="215" t="str">
        <f>IF(Table2[[#This Row],[Description]]="","",Table2[[#This Row],[Value]]/Table2[[#This Row],[Conversion]])</f>
        <v/>
      </c>
      <c r="K4494" s="45" t="str">
        <f>IF(Table2[[#This Row],[Description]]="","",DATE(Table2[[#This Row],[Year]],Table2[[#This Row],[Month]],1))</f>
        <v/>
      </c>
    </row>
    <row r="4495" spans="7:11" x14ac:dyDescent="0.25">
      <c r="G4495" s="1" t="str">
        <f>IF(Table2[[#This Row],[Description]]="","",VLOOKUP(Table2[[#This Row],[Description]],$Q$1:$S$101,2,FALSE))</f>
        <v/>
      </c>
      <c r="H4495" s="1" t="str">
        <f>IF(Table2[[#This Row],[Description]]="","",VLOOKUP(Table2[[#This Row],[Description]],$Q$1:$S$101,3,FALSE))</f>
        <v/>
      </c>
      <c r="I4495" s="1" t="str">
        <f>IF(Table2[[#This Row],[Description]]="","",IF(Table2[[#This Row],[Currency]]=$O$2,$P$2,HLOOKUP(Table2[[#This Row],[Date]],Funds!$C$10:$GV$11,2,FALSE)))</f>
        <v/>
      </c>
      <c r="J4495" s="215" t="str">
        <f>IF(Table2[[#This Row],[Description]]="","",Table2[[#This Row],[Value]]/Table2[[#This Row],[Conversion]])</f>
        <v/>
      </c>
      <c r="K4495" s="45" t="str">
        <f>IF(Table2[[#This Row],[Description]]="","",DATE(Table2[[#This Row],[Year]],Table2[[#This Row],[Month]],1))</f>
        <v/>
      </c>
    </row>
    <row r="4496" spans="7:11" x14ac:dyDescent="0.25">
      <c r="G4496" s="1" t="str">
        <f>IF(Table2[[#This Row],[Description]]="","",VLOOKUP(Table2[[#This Row],[Description]],$Q$1:$S$101,2,FALSE))</f>
        <v/>
      </c>
      <c r="H4496" s="1" t="str">
        <f>IF(Table2[[#This Row],[Description]]="","",VLOOKUP(Table2[[#This Row],[Description]],$Q$1:$S$101,3,FALSE))</f>
        <v/>
      </c>
      <c r="I4496" s="1" t="str">
        <f>IF(Table2[[#This Row],[Description]]="","",IF(Table2[[#This Row],[Currency]]=$O$2,$P$2,HLOOKUP(Table2[[#This Row],[Date]],Funds!$C$10:$GV$11,2,FALSE)))</f>
        <v/>
      </c>
      <c r="J4496" s="215" t="str">
        <f>IF(Table2[[#This Row],[Description]]="","",Table2[[#This Row],[Value]]/Table2[[#This Row],[Conversion]])</f>
        <v/>
      </c>
      <c r="K4496" s="45" t="str">
        <f>IF(Table2[[#This Row],[Description]]="","",DATE(Table2[[#This Row],[Year]],Table2[[#This Row],[Month]],1))</f>
        <v/>
      </c>
    </row>
    <row r="4497" spans="7:11" x14ac:dyDescent="0.25">
      <c r="G4497" s="1" t="str">
        <f>IF(Table2[[#This Row],[Description]]="","",VLOOKUP(Table2[[#This Row],[Description]],$Q$1:$S$101,2,FALSE))</f>
        <v/>
      </c>
      <c r="H4497" s="1" t="str">
        <f>IF(Table2[[#This Row],[Description]]="","",VLOOKUP(Table2[[#This Row],[Description]],$Q$1:$S$101,3,FALSE))</f>
        <v/>
      </c>
      <c r="I4497" s="1" t="str">
        <f>IF(Table2[[#This Row],[Description]]="","",IF(Table2[[#This Row],[Currency]]=$O$2,$P$2,HLOOKUP(Table2[[#This Row],[Date]],Funds!$C$10:$GV$11,2,FALSE)))</f>
        <v/>
      </c>
      <c r="J4497" s="215" t="str">
        <f>IF(Table2[[#This Row],[Description]]="","",Table2[[#This Row],[Value]]/Table2[[#This Row],[Conversion]])</f>
        <v/>
      </c>
      <c r="K4497" s="45" t="str">
        <f>IF(Table2[[#This Row],[Description]]="","",DATE(Table2[[#This Row],[Year]],Table2[[#This Row],[Month]],1))</f>
        <v/>
      </c>
    </row>
    <row r="4498" spans="7:11" x14ac:dyDescent="0.25">
      <c r="G4498" s="1" t="str">
        <f>IF(Table2[[#This Row],[Description]]="","",VLOOKUP(Table2[[#This Row],[Description]],$Q$1:$S$101,2,FALSE))</f>
        <v/>
      </c>
      <c r="H4498" s="1" t="str">
        <f>IF(Table2[[#This Row],[Description]]="","",VLOOKUP(Table2[[#This Row],[Description]],$Q$1:$S$101,3,FALSE))</f>
        <v/>
      </c>
      <c r="I4498" s="1" t="str">
        <f>IF(Table2[[#This Row],[Description]]="","",IF(Table2[[#This Row],[Currency]]=$O$2,$P$2,HLOOKUP(Table2[[#This Row],[Date]],Funds!$C$10:$GV$11,2,FALSE)))</f>
        <v/>
      </c>
      <c r="J4498" s="215" t="str">
        <f>IF(Table2[[#This Row],[Description]]="","",Table2[[#This Row],[Value]]/Table2[[#This Row],[Conversion]])</f>
        <v/>
      </c>
      <c r="K4498" s="45" t="str">
        <f>IF(Table2[[#This Row],[Description]]="","",DATE(Table2[[#This Row],[Year]],Table2[[#This Row],[Month]],1))</f>
        <v/>
      </c>
    </row>
    <row r="4499" spans="7:11" x14ac:dyDescent="0.25">
      <c r="G4499" s="1" t="str">
        <f>IF(Table2[[#This Row],[Description]]="","",VLOOKUP(Table2[[#This Row],[Description]],$Q$1:$S$101,2,FALSE))</f>
        <v/>
      </c>
      <c r="H4499" s="1" t="str">
        <f>IF(Table2[[#This Row],[Description]]="","",VLOOKUP(Table2[[#This Row],[Description]],$Q$1:$S$101,3,FALSE))</f>
        <v/>
      </c>
      <c r="I4499" s="1" t="str">
        <f>IF(Table2[[#This Row],[Description]]="","",IF(Table2[[#This Row],[Currency]]=$O$2,$P$2,HLOOKUP(Table2[[#This Row],[Date]],Funds!$C$10:$GV$11,2,FALSE)))</f>
        <v/>
      </c>
      <c r="J4499" s="215" t="str">
        <f>IF(Table2[[#This Row],[Description]]="","",Table2[[#This Row],[Value]]/Table2[[#This Row],[Conversion]])</f>
        <v/>
      </c>
      <c r="K4499" s="45" t="str">
        <f>IF(Table2[[#This Row],[Description]]="","",DATE(Table2[[#This Row],[Year]],Table2[[#This Row],[Month]],1))</f>
        <v/>
      </c>
    </row>
    <row r="4500" spans="7:11" x14ac:dyDescent="0.25">
      <c r="G4500" s="1" t="str">
        <f>IF(Table2[[#This Row],[Description]]="","",VLOOKUP(Table2[[#This Row],[Description]],$Q$1:$S$101,2,FALSE))</f>
        <v/>
      </c>
      <c r="H4500" s="1" t="str">
        <f>IF(Table2[[#This Row],[Description]]="","",VLOOKUP(Table2[[#This Row],[Description]],$Q$1:$S$101,3,FALSE))</f>
        <v/>
      </c>
      <c r="I4500" s="1" t="str">
        <f>IF(Table2[[#This Row],[Description]]="","",IF(Table2[[#This Row],[Currency]]=$O$2,$P$2,HLOOKUP(Table2[[#This Row],[Date]],Funds!$C$10:$GV$11,2,FALSE)))</f>
        <v/>
      </c>
      <c r="J4500" s="215" t="str">
        <f>IF(Table2[[#This Row],[Description]]="","",Table2[[#This Row],[Value]]/Table2[[#This Row],[Conversion]])</f>
        <v/>
      </c>
      <c r="K4500" s="45" t="str">
        <f>IF(Table2[[#This Row],[Description]]="","",DATE(Table2[[#This Row],[Year]],Table2[[#This Row],[Month]],1))</f>
        <v/>
      </c>
    </row>
    <row r="4501" spans="7:11" x14ac:dyDescent="0.25">
      <c r="G4501" s="1" t="str">
        <f>IF(Table2[[#This Row],[Description]]="","",VLOOKUP(Table2[[#This Row],[Description]],$Q$1:$S$101,2,FALSE))</f>
        <v/>
      </c>
      <c r="H4501" s="1" t="str">
        <f>IF(Table2[[#This Row],[Description]]="","",VLOOKUP(Table2[[#This Row],[Description]],$Q$1:$S$101,3,FALSE))</f>
        <v/>
      </c>
      <c r="I4501" s="1" t="str">
        <f>IF(Table2[[#This Row],[Description]]="","",IF(Table2[[#This Row],[Currency]]=$O$2,$P$2,HLOOKUP(Table2[[#This Row],[Date]],Funds!$C$10:$GV$11,2,FALSE)))</f>
        <v/>
      </c>
      <c r="J4501" s="215" t="str">
        <f>IF(Table2[[#This Row],[Description]]="","",Table2[[#This Row],[Value]]/Table2[[#This Row],[Conversion]])</f>
        <v/>
      </c>
      <c r="K4501" s="45" t="str">
        <f>IF(Table2[[#This Row],[Description]]="","",DATE(Table2[[#This Row],[Year]],Table2[[#This Row],[Month]],1))</f>
        <v/>
      </c>
    </row>
    <row r="4502" spans="7:11" x14ac:dyDescent="0.25">
      <c r="G4502" s="1" t="str">
        <f>IF(Table2[[#This Row],[Description]]="","",VLOOKUP(Table2[[#This Row],[Description]],$Q$1:$S$101,2,FALSE))</f>
        <v/>
      </c>
      <c r="H4502" s="1" t="str">
        <f>IF(Table2[[#This Row],[Description]]="","",VLOOKUP(Table2[[#This Row],[Description]],$Q$1:$S$101,3,FALSE))</f>
        <v/>
      </c>
      <c r="I4502" s="1" t="str">
        <f>IF(Table2[[#This Row],[Description]]="","",IF(Table2[[#This Row],[Currency]]=$O$2,$P$2,HLOOKUP(Table2[[#This Row],[Date]],Funds!$C$10:$GV$11,2,FALSE)))</f>
        <v/>
      </c>
      <c r="J4502" s="215" t="str">
        <f>IF(Table2[[#This Row],[Description]]="","",Table2[[#This Row],[Value]]/Table2[[#This Row],[Conversion]])</f>
        <v/>
      </c>
      <c r="K4502" s="45" t="str">
        <f>IF(Table2[[#This Row],[Description]]="","",DATE(Table2[[#This Row],[Year]],Table2[[#This Row],[Month]],1))</f>
        <v/>
      </c>
    </row>
    <row r="4503" spans="7:11" x14ac:dyDescent="0.25">
      <c r="G4503" s="1" t="str">
        <f>IF(Table2[[#This Row],[Description]]="","",VLOOKUP(Table2[[#This Row],[Description]],$Q$1:$S$101,2,FALSE))</f>
        <v/>
      </c>
      <c r="H4503" s="1" t="str">
        <f>IF(Table2[[#This Row],[Description]]="","",VLOOKUP(Table2[[#This Row],[Description]],$Q$1:$S$101,3,FALSE))</f>
        <v/>
      </c>
      <c r="I4503" s="1" t="str">
        <f>IF(Table2[[#This Row],[Description]]="","",IF(Table2[[#This Row],[Currency]]=$O$2,$P$2,HLOOKUP(Table2[[#This Row],[Date]],Funds!$C$10:$GV$11,2,FALSE)))</f>
        <v/>
      </c>
      <c r="J4503" s="215" t="str">
        <f>IF(Table2[[#This Row],[Description]]="","",Table2[[#This Row],[Value]]/Table2[[#This Row],[Conversion]])</f>
        <v/>
      </c>
      <c r="K4503" s="45" t="str">
        <f>IF(Table2[[#This Row],[Description]]="","",DATE(Table2[[#This Row],[Year]],Table2[[#This Row],[Month]],1))</f>
        <v/>
      </c>
    </row>
    <row r="4504" spans="7:11" x14ac:dyDescent="0.25">
      <c r="G4504" s="1" t="str">
        <f>IF(Table2[[#This Row],[Description]]="","",VLOOKUP(Table2[[#This Row],[Description]],$Q$1:$S$101,2,FALSE))</f>
        <v/>
      </c>
      <c r="H4504" s="1" t="str">
        <f>IF(Table2[[#This Row],[Description]]="","",VLOOKUP(Table2[[#This Row],[Description]],$Q$1:$S$101,3,FALSE))</f>
        <v/>
      </c>
      <c r="I4504" s="1" t="str">
        <f>IF(Table2[[#This Row],[Description]]="","",IF(Table2[[#This Row],[Currency]]=$O$2,$P$2,HLOOKUP(Table2[[#This Row],[Date]],Funds!$C$10:$GV$11,2,FALSE)))</f>
        <v/>
      </c>
      <c r="J4504" s="215" t="str">
        <f>IF(Table2[[#This Row],[Description]]="","",Table2[[#This Row],[Value]]/Table2[[#This Row],[Conversion]])</f>
        <v/>
      </c>
      <c r="K4504" s="45" t="str">
        <f>IF(Table2[[#This Row],[Description]]="","",DATE(Table2[[#This Row],[Year]],Table2[[#This Row],[Month]],1))</f>
        <v/>
      </c>
    </row>
    <row r="4505" spans="7:11" x14ac:dyDescent="0.25">
      <c r="G4505" s="1" t="str">
        <f>IF(Table2[[#This Row],[Description]]="","",VLOOKUP(Table2[[#This Row],[Description]],$Q$1:$S$101,2,FALSE))</f>
        <v/>
      </c>
      <c r="H4505" s="1" t="str">
        <f>IF(Table2[[#This Row],[Description]]="","",VLOOKUP(Table2[[#This Row],[Description]],$Q$1:$S$101,3,FALSE))</f>
        <v/>
      </c>
      <c r="I4505" s="1" t="str">
        <f>IF(Table2[[#This Row],[Description]]="","",IF(Table2[[#This Row],[Currency]]=$O$2,$P$2,HLOOKUP(Table2[[#This Row],[Date]],Funds!$C$10:$GV$11,2,FALSE)))</f>
        <v/>
      </c>
      <c r="J4505" s="215" t="str">
        <f>IF(Table2[[#This Row],[Description]]="","",Table2[[#This Row],[Value]]/Table2[[#This Row],[Conversion]])</f>
        <v/>
      </c>
      <c r="K4505" s="45" t="str">
        <f>IF(Table2[[#This Row],[Description]]="","",DATE(Table2[[#This Row],[Year]],Table2[[#This Row],[Month]],1))</f>
        <v/>
      </c>
    </row>
    <row r="4506" spans="7:11" x14ac:dyDescent="0.25">
      <c r="G4506" s="1" t="str">
        <f>IF(Table2[[#This Row],[Description]]="","",VLOOKUP(Table2[[#This Row],[Description]],$Q$1:$S$101,2,FALSE))</f>
        <v/>
      </c>
      <c r="H4506" s="1" t="str">
        <f>IF(Table2[[#This Row],[Description]]="","",VLOOKUP(Table2[[#This Row],[Description]],$Q$1:$S$101,3,FALSE))</f>
        <v/>
      </c>
      <c r="I4506" s="1" t="str">
        <f>IF(Table2[[#This Row],[Description]]="","",IF(Table2[[#This Row],[Currency]]=$O$2,$P$2,HLOOKUP(Table2[[#This Row],[Date]],Funds!$C$10:$GV$11,2,FALSE)))</f>
        <v/>
      </c>
      <c r="J4506" s="215" t="str">
        <f>IF(Table2[[#This Row],[Description]]="","",Table2[[#This Row],[Value]]/Table2[[#This Row],[Conversion]])</f>
        <v/>
      </c>
      <c r="K4506" s="45" t="str">
        <f>IF(Table2[[#This Row],[Description]]="","",DATE(Table2[[#This Row],[Year]],Table2[[#This Row],[Month]],1))</f>
        <v/>
      </c>
    </row>
    <row r="4507" spans="7:11" x14ac:dyDescent="0.25">
      <c r="G4507" s="1" t="str">
        <f>IF(Table2[[#This Row],[Description]]="","",VLOOKUP(Table2[[#This Row],[Description]],$Q$1:$S$101,2,FALSE))</f>
        <v/>
      </c>
      <c r="H4507" s="1" t="str">
        <f>IF(Table2[[#This Row],[Description]]="","",VLOOKUP(Table2[[#This Row],[Description]],$Q$1:$S$101,3,FALSE))</f>
        <v/>
      </c>
      <c r="I4507" s="1" t="str">
        <f>IF(Table2[[#This Row],[Description]]="","",IF(Table2[[#This Row],[Currency]]=$O$2,$P$2,HLOOKUP(Table2[[#This Row],[Date]],Funds!$C$10:$GV$11,2,FALSE)))</f>
        <v/>
      </c>
      <c r="J4507" s="215" t="str">
        <f>IF(Table2[[#This Row],[Description]]="","",Table2[[#This Row],[Value]]/Table2[[#This Row],[Conversion]])</f>
        <v/>
      </c>
      <c r="K4507" s="45" t="str">
        <f>IF(Table2[[#This Row],[Description]]="","",DATE(Table2[[#This Row],[Year]],Table2[[#This Row],[Month]],1))</f>
        <v/>
      </c>
    </row>
    <row r="4508" spans="7:11" x14ac:dyDescent="0.25">
      <c r="G4508" s="1" t="str">
        <f>IF(Table2[[#This Row],[Description]]="","",VLOOKUP(Table2[[#This Row],[Description]],$Q$1:$S$101,2,FALSE))</f>
        <v/>
      </c>
      <c r="H4508" s="1" t="str">
        <f>IF(Table2[[#This Row],[Description]]="","",VLOOKUP(Table2[[#This Row],[Description]],$Q$1:$S$101,3,FALSE))</f>
        <v/>
      </c>
      <c r="I4508" s="1" t="str">
        <f>IF(Table2[[#This Row],[Description]]="","",IF(Table2[[#This Row],[Currency]]=$O$2,$P$2,HLOOKUP(Table2[[#This Row],[Date]],Funds!$C$10:$GV$11,2,FALSE)))</f>
        <v/>
      </c>
      <c r="J4508" s="215" t="str">
        <f>IF(Table2[[#This Row],[Description]]="","",Table2[[#This Row],[Value]]/Table2[[#This Row],[Conversion]])</f>
        <v/>
      </c>
      <c r="K4508" s="45" t="str">
        <f>IF(Table2[[#This Row],[Description]]="","",DATE(Table2[[#This Row],[Year]],Table2[[#This Row],[Month]],1))</f>
        <v/>
      </c>
    </row>
    <row r="4509" spans="7:11" x14ac:dyDescent="0.25">
      <c r="G4509" s="1" t="str">
        <f>IF(Table2[[#This Row],[Description]]="","",VLOOKUP(Table2[[#This Row],[Description]],$Q$1:$S$101,2,FALSE))</f>
        <v/>
      </c>
      <c r="H4509" s="1" t="str">
        <f>IF(Table2[[#This Row],[Description]]="","",VLOOKUP(Table2[[#This Row],[Description]],$Q$1:$S$101,3,FALSE))</f>
        <v/>
      </c>
      <c r="I4509" s="1" t="str">
        <f>IF(Table2[[#This Row],[Description]]="","",IF(Table2[[#This Row],[Currency]]=$O$2,$P$2,HLOOKUP(Table2[[#This Row],[Date]],Funds!$C$10:$GV$11,2,FALSE)))</f>
        <v/>
      </c>
      <c r="J4509" s="215" t="str">
        <f>IF(Table2[[#This Row],[Description]]="","",Table2[[#This Row],[Value]]/Table2[[#This Row],[Conversion]])</f>
        <v/>
      </c>
      <c r="K4509" s="45" t="str">
        <f>IF(Table2[[#This Row],[Description]]="","",DATE(Table2[[#This Row],[Year]],Table2[[#This Row],[Month]],1))</f>
        <v/>
      </c>
    </row>
    <row r="4510" spans="7:11" x14ac:dyDescent="0.25">
      <c r="G4510" s="1" t="str">
        <f>IF(Table2[[#This Row],[Description]]="","",VLOOKUP(Table2[[#This Row],[Description]],$Q$1:$S$101,2,FALSE))</f>
        <v/>
      </c>
      <c r="H4510" s="1" t="str">
        <f>IF(Table2[[#This Row],[Description]]="","",VLOOKUP(Table2[[#This Row],[Description]],$Q$1:$S$101,3,FALSE))</f>
        <v/>
      </c>
      <c r="I4510" s="1" t="str">
        <f>IF(Table2[[#This Row],[Description]]="","",IF(Table2[[#This Row],[Currency]]=$O$2,$P$2,HLOOKUP(Table2[[#This Row],[Date]],Funds!$C$10:$GV$11,2,FALSE)))</f>
        <v/>
      </c>
      <c r="J4510" s="215" t="str">
        <f>IF(Table2[[#This Row],[Description]]="","",Table2[[#This Row],[Value]]/Table2[[#This Row],[Conversion]])</f>
        <v/>
      </c>
      <c r="K4510" s="45" t="str">
        <f>IF(Table2[[#This Row],[Description]]="","",DATE(Table2[[#This Row],[Year]],Table2[[#This Row],[Month]],1))</f>
        <v/>
      </c>
    </row>
    <row r="4511" spans="7:11" x14ac:dyDescent="0.25">
      <c r="G4511" s="1" t="str">
        <f>IF(Table2[[#This Row],[Description]]="","",VLOOKUP(Table2[[#This Row],[Description]],$Q$1:$S$101,2,FALSE))</f>
        <v/>
      </c>
      <c r="H4511" s="1" t="str">
        <f>IF(Table2[[#This Row],[Description]]="","",VLOOKUP(Table2[[#This Row],[Description]],$Q$1:$S$101,3,FALSE))</f>
        <v/>
      </c>
      <c r="I4511" s="1" t="str">
        <f>IF(Table2[[#This Row],[Description]]="","",IF(Table2[[#This Row],[Currency]]=$O$2,$P$2,HLOOKUP(Table2[[#This Row],[Date]],Funds!$C$10:$GV$11,2,FALSE)))</f>
        <v/>
      </c>
      <c r="J4511" s="215" t="str">
        <f>IF(Table2[[#This Row],[Description]]="","",Table2[[#This Row],[Value]]/Table2[[#This Row],[Conversion]])</f>
        <v/>
      </c>
      <c r="K4511" s="45" t="str">
        <f>IF(Table2[[#This Row],[Description]]="","",DATE(Table2[[#This Row],[Year]],Table2[[#This Row],[Month]],1))</f>
        <v/>
      </c>
    </row>
    <row r="4512" spans="7:11" x14ac:dyDescent="0.25">
      <c r="G4512" s="1" t="str">
        <f>IF(Table2[[#This Row],[Description]]="","",VLOOKUP(Table2[[#This Row],[Description]],$Q$1:$S$101,2,FALSE))</f>
        <v/>
      </c>
      <c r="H4512" s="1" t="str">
        <f>IF(Table2[[#This Row],[Description]]="","",VLOOKUP(Table2[[#This Row],[Description]],$Q$1:$S$101,3,FALSE))</f>
        <v/>
      </c>
      <c r="I4512" s="1" t="str">
        <f>IF(Table2[[#This Row],[Description]]="","",IF(Table2[[#This Row],[Currency]]=$O$2,$P$2,HLOOKUP(Table2[[#This Row],[Date]],Funds!$C$10:$GV$11,2,FALSE)))</f>
        <v/>
      </c>
      <c r="J4512" s="215" t="str">
        <f>IF(Table2[[#This Row],[Description]]="","",Table2[[#This Row],[Value]]/Table2[[#This Row],[Conversion]])</f>
        <v/>
      </c>
      <c r="K4512" s="45" t="str">
        <f>IF(Table2[[#This Row],[Description]]="","",DATE(Table2[[#This Row],[Year]],Table2[[#This Row],[Month]],1))</f>
        <v/>
      </c>
    </row>
    <row r="4513" spans="7:11" x14ac:dyDescent="0.25">
      <c r="G4513" s="1" t="str">
        <f>IF(Table2[[#This Row],[Description]]="","",VLOOKUP(Table2[[#This Row],[Description]],$Q$1:$S$101,2,FALSE))</f>
        <v/>
      </c>
      <c r="H4513" s="1" t="str">
        <f>IF(Table2[[#This Row],[Description]]="","",VLOOKUP(Table2[[#This Row],[Description]],$Q$1:$S$101,3,FALSE))</f>
        <v/>
      </c>
      <c r="I4513" s="1" t="str">
        <f>IF(Table2[[#This Row],[Description]]="","",IF(Table2[[#This Row],[Currency]]=$O$2,$P$2,HLOOKUP(Table2[[#This Row],[Date]],Funds!$C$10:$GV$11,2,FALSE)))</f>
        <v/>
      </c>
      <c r="J4513" s="215" t="str">
        <f>IF(Table2[[#This Row],[Description]]="","",Table2[[#This Row],[Value]]/Table2[[#This Row],[Conversion]])</f>
        <v/>
      </c>
      <c r="K4513" s="45" t="str">
        <f>IF(Table2[[#This Row],[Description]]="","",DATE(Table2[[#This Row],[Year]],Table2[[#This Row],[Month]],1))</f>
        <v/>
      </c>
    </row>
    <row r="4514" spans="7:11" x14ac:dyDescent="0.25">
      <c r="G4514" s="1" t="str">
        <f>IF(Table2[[#This Row],[Description]]="","",VLOOKUP(Table2[[#This Row],[Description]],$Q$1:$S$101,2,FALSE))</f>
        <v/>
      </c>
      <c r="H4514" s="1" t="str">
        <f>IF(Table2[[#This Row],[Description]]="","",VLOOKUP(Table2[[#This Row],[Description]],$Q$1:$S$101,3,FALSE))</f>
        <v/>
      </c>
      <c r="I4514" s="1" t="str">
        <f>IF(Table2[[#This Row],[Description]]="","",IF(Table2[[#This Row],[Currency]]=$O$2,$P$2,HLOOKUP(Table2[[#This Row],[Date]],Funds!$C$10:$GV$11,2,FALSE)))</f>
        <v/>
      </c>
      <c r="J4514" s="215" t="str">
        <f>IF(Table2[[#This Row],[Description]]="","",Table2[[#This Row],[Value]]/Table2[[#This Row],[Conversion]])</f>
        <v/>
      </c>
      <c r="K4514" s="45" t="str">
        <f>IF(Table2[[#This Row],[Description]]="","",DATE(Table2[[#This Row],[Year]],Table2[[#This Row],[Month]],1))</f>
        <v/>
      </c>
    </row>
    <row r="4515" spans="7:11" x14ac:dyDescent="0.25">
      <c r="G4515" s="1" t="str">
        <f>IF(Table2[[#This Row],[Description]]="","",VLOOKUP(Table2[[#This Row],[Description]],$Q$1:$S$101,2,FALSE))</f>
        <v/>
      </c>
      <c r="H4515" s="1" t="str">
        <f>IF(Table2[[#This Row],[Description]]="","",VLOOKUP(Table2[[#This Row],[Description]],$Q$1:$S$101,3,FALSE))</f>
        <v/>
      </c>
      <c r="I4515" s="1" t="str">
        <f>IF(Table2[[#This Row],[Description]]="","",IF(Table2[[#This Row],[Currency]]=$O$2,$P$2,HLOOKUP(Table2[[#This Row],[Date]],Funds!$C$10:$GV$11,2,FALSE)))</f>
        <v/>
      </c>
      <c r="J4515" s="215" t="str">
        <f>IF(Table2[[#This Row],[Description]]="","",Table2[[#This Row],[Value]]/Table2[[#This Row],[Conversion]])</f>
        <v/>
      </c>
      <c r="K4515" s="45" t="str">
        <f>IF(Table2[[#This Row],[Description]]="","",DATE(Table2[[#This Row],[Year]],Table2[[#This Row],[Month]],1))</f>
        <v/>
      </c>
    </row>
    <row r="4516" spans="7:11" x14ac:dyDescent="0.25">
      <c r="G4516" s="1" t="str">
        <f>IF(Table2[[#This Row],[Description]]="","",VLOOKUP(Table2[[#This Row],[Description]],$Q$1:$S$101,2,FALSE))</f>
        <v/>
      </c>
      <c r="H4516" s="1" t="str">
        <f>IF(Table2[[#This Row],[Description]]="","",VLOOKUP(Table2[[#This Row],[Description]],$Q$1:$S$101,3,FALSE))</f>
        <v/>
      </c>
      <c r="I4516" s="1" t="str">
        <f>IF(Table2[[#This Row],[Description]]="","",IF(Table2[[#This Row],[Currency]]=$O$2,$P$2,HLOOKUP(Table2[[#This Row],[Date]],Funds!$C$10:$GV$11,2,FALSE)))</f>
        <v/>
      </c>
      <c r="J4516" s="215" t="str">
        <f>IF(Table2[[#This Row],[Description]]="","",Table2[[#This Row],[Value]]/Table2[[#This Row],[Conversion]])</f>
        <v/>
      </c>
      <c r="K4516" s="45" t="str">
        <f>IF(Table2[[#This Row],[Description]]="","",DATE(Table2[[#This Row],[Year]],Table2[[#This Row],[Month]],1))</f>
        <v/>
      </c>
    </row>
    <row r="4517" spans="7:11" x14ac:dyDescent="0.25">
      <c r="G4517" s="1" t="str">
        <f>IF(Table2[[#This Row],[Description]]="","",VLOOKUP(Table2[[#This Row],[Description]],$Q$1:$S$101,2,FALSE))</f>
        <v/>
      </c>
      <c r="H4517" s="1" t="str">
        <f>IF(Table2[[#This Row],[Description]]="","",VLOOKUP(Table2[[#This Row],[Description]],$Q$1:$S$101,3,FALSE))</f>
        <v/>
      </c>
      <c r="I4517" s="1" t="str">
        <f>IF(Table2[[#This Row],[Description]]="","",IF(Table2[[#This Row],[Currency]]=$O$2,$P$2,HLOOKUP(Table2[[#This Row],[Date]],Funds!$C$10:$GV$11,2,FALSE)))</f>
        <v/>
      </c>
      <c r="J4517" s="215" t="str">
        <f>IF(Table2[[#This Row],[Description]]="","",Table2[[#This Row],[Value]]/Table2[[#This Row],[Conversion]])</f>
        <v/>
      </c>
      <c r="K4517" s="45" t="str">
        <f>IF(Table2[[#This Row],[Description]]="","",DATE(Table2[[#This Row],[Year]],Table2[[#This Row],[Month]],1))</f>
        <v/>
      </c>
    </row>
    <row r="4518" spans="7:11" x14ac:dyDescent="0.25">
      <c r="G4518" s="1" t="str">
        <f>IF(Table2[[#This Row],[Description]]="","",VLOOKUP(Table2[[#This Row],[Description]],$Q$1:$S$101,2,FALSE))</f>
        <v/>
      </c>
      <c r="H4518" s="1" t="str">
        <f>IF(Table2[[#This Row],[Description]]="","",VLOOKUP(Table2[[#This Row],[Description]],$Q$1:$S$101,3,FALSE))</f>
        <v/>
      </c>
      <c r="I4518" s="1" t="str">
        <f>IF(Table2[[#This Row],[Description]]="","",IF(Table2[[#This Row],[Currency]]=$O$2,$P$2,HLOOKUP(Table2[[#This Row],[Date]],Funds!$C$10:$GV$11,2,FALSE)))</f>
        <v/>
      </c>
      <c r="J4518" s="215" t="str">
        <f>IF(Table2[[#This Row],[Description]]="","",Table2[[#This Row],[Value]]/Table2[[#This Row],[Conversion]])</f>
        <v/>
      </c>
      <c r="K4518" s="45" t="str">
        <f>IF(Table2[[#This Row],[Description]]="","",DATE(Table2[[#This Row],[Year]],Table2[[#This Row],[Month]],1))</f>
        <v/>
      </c>
    </row>
    <row r="4519" spans="7:11" x14ac:dyDescent="0.25">
      <c r="G4519" s="1" t="str">
        <f>IF(Table2[[#This Row],[Description]]="","",VLOOKUP(Table2[[#This Row],[Description]],$Q$1:$S$101,2,FALSE))</f>
        <v/>
      </c>
      <c r="H4519" s="1" t="str">
        <f>IF(Table2[[#This Row],[Description]]="","",VLOOKUP(Table2[[#This Row],[Description]],$Q$1:$S$101,3,FALSE))</f>
        <v/>
      </c>
      <c r="I4519" s="1" t="str">
        <f>IF(Table2[[#This Row],[Description]]="","",IF(Table2[[#This Row],[Currency]]=$O$2,$P$2,HLOOKUP(Table2[[#This Row],[Date]],Funds!$C$10:$GV$11,2,FALSE)))</f>
        <v/>
      </c>
      <c r="J4519" s="215" t="str">
        <f>IF(Table2[[#This Row],[Description]]="","",Table2[[#This Row],[Value]]/Table2[[#This Row],[Conversion]])</f>
        <v/>
      </c>
      <c r="K4519" s="45" t="str">
        <f>IF(Table2[[#This Row],[Description]]="","",DATE(Table2[[#This Row],[Year]],Table2[[#This Row],[Month]],1))</f>
        <v/>
      </c>
    </row>
    <row r="4520" spans="7:11" x14ac:dyDescent="0.25">
      <c r="G4520" s="1" t="str">
        <f>IF(Table2[[#This Row],[Description]]="","",VLOOKUP(Table2[[#This Row],[Description]],$Q$1:$S$101,2,FALSE))</f>
        <v/>
      </c>
      <c r="H4520" s="1" t="str">
        <f>IF(Table2[[#This Row],[Description]]="","",VLOOKUP(Table2[[#This Row],[Description]],$Q$1:$S$101,3,FALSE))</f>
        <v/>
      </c>
      <c r="I4520" s="1" t="str">
        <f>IF(Table2[[#This Row],[Description]]="","",IF(Table2[[#This Row],[Currency]]=$O$2,$P$2,HLOOKUP(Table2[[#This Row],[Date]],Funds!$C$10:$GV$11,2,FALSE)))</f>
        <v/>
      </c>
      <c r="J4520" s="215" t="str">
        <f>IF(Table2[[#This Row],[Description]]="","",Table2[[#This Row],[Value]]/Table2[[#This Row],[Conversion]])</f>
        <v/>
      </c>
      <c r="K4520" s="45" t="str">
        <f>IF(Table2[[#This Row],[Description]]="","",DATE(Table2[[#This Row],[Year]],Table2[[#This Row],[Month]],1))</f>
        <v/>
      </c>
    </row>
    <row r="4521" spans="7:11" x14ac:dyDescent="0.25">
      <c r="G4521" s="1" t="str">
        <f>IF(Table2[[#This Row],[Description]]="","",VLOOKUP(Table2[[#This Row],[Description]],$Q$1:$S$101,2,FALSE))</f>
        <v/>
      </c>
      <c r="H4521" s="1" t="str">
        <f>IF(Table2[[#This Row],[Description]]="","",VLOOKUP(Table2[[#This Row],[Description]],$Q$1:$S$101,3,FALSE))</f>
        <v/>
      </c>
      <c r="I4521" s="1" t="str">
        <f>IF(Table2[[#This Row],[Description]]="","",IF(Table2[[#This Row],[Currency]]=$O$2,$P$2,HLOOKUP(Table2[[#This Row],[Date]],Funds!$C$10:$GV$11,2,FALSE)))</f>
        <v/>
      </c>
      <c r="J4521" s="215" t="str">
        <f>IF(Table2[[#This Row],[Description]]="","",Table2[[#This Row],[Value]]/Table2[[#This Row],[Conversion]])</f>
        <v/>
      </c>
      <c r="K4521" s="45" t="str">
        <f>IF(Table2[[#This Row],[Description]]="","",DATE(Table2[[#This Row],[Year]],Table2[[#This Row],[Month]],1))</f>
        <v/>
      </c>
    </row>
    <row r="4522" spans="7:11" x14ac:dyDescent="0.25">
      <c r="G4522" s="1" t="str">
        <f>IF(Table2[[#This Row],[Description]]="","",VLOOKUP(Table2[[#This Row],[Description]],$Q$1:$S$101,2,FALSE))</f>
        <v/>
      </c>
      <c r="H4522" s="1" t="str">
        <f>IF(Table2[[#This Row],[Description]]="","",VLOOKUP(Table2[[#This Row],[Description]],$Q$1:$S$101,3,FALSE))</f>
        <v/>
      </c>
      <c r="I4522" s="1" t="str">
        <f>IF(Table2[[#This Row],[Description]]="","",IF(Table2[[#This Row],[Currency]]=$O$2,$P$2,HLOOKUP(Table2[[#This Row],[Date]],Funds!$C$10:$GV$11,2,FALSE)))</f>
        <v/>
      </c>
      <c r="J4522" s="215" t="str">
        <f>IF(Table2[[#This Row],[Description]]="","",Table2[[#This Row],[Value]]/Table2[[#This Row],[Conversion]])</f>
        <v/>
      </c>
      <c r="K4522" s="45" t="str">
        <f>IF(Table2[[#This Row],[Description]]="","",DATE(Table2[[#This Row],[Year]],Table2[[#This Row],[Month]],1))</f>
        <v/>
      </c>
    </row>
    <row r="4523" spans="7:11" x14ac:dyDescent="0.25">
      <c r="G4523" s="1" t="str">
        <f>IF(Table2[[#This Row],[Description]]="","",VLOOKUP(Table2[[#This Row],[Description]],$Q$1:$S$101,2,FALSE))</f>
        <v/>
      </c>
      <c r="H4523" s="1" t="str">
        <f>IF(Table2[[#This Row],[Description]]="","",VLOOKUP(Table2[[#This Row],[Description]],$Q$1:$S$101,3,FALSE))</f>
        <v/>
      </c>
      <c r="I4523" s="1" t="str">
        <f>IF(Table2[[#This Row],[Description]]="","",IF(Table2[[#This Row],[Currency]]=$O$2,$P$2,HLOOKUP(Table2[[#This Row],[Date]],Funds!$C$10:$GV$11,2,FALSE)))</f>
        <v/>
      </c>
      <c r="J4523" s="215" t="str">
        <f>IF(Table2[[#This Row],[Description]]="","",Table2[[#This Row],[Value]]/Table2[[#This Row],[Conversion]])</f>
        <v/>
      </c>
      <c r="K4523" s="45" t="str">
        <f>IF(Table2[[#This Row],[Description]]="","",DATE(Table2[[#This Row],[Year]],Table2[[#This Row],[Month]],1))</f>
        <v/>
      </c>
    </row>
    <row r="4524" spans="7:11" x14ac:dyDescent="0.25">
      <c r="G4524" s="1" t="str">
        <f>IF(Table2[[#This Row],[Description]]="","",VLOOKUP(Table2[[#This Row],[Description]],$Q$1:$S$101,2,FALSE))</f>
        <v/>
      </c>
      <c r="H4524" s="1" t="str">
        <f>IF(Table2[[#This Row],[Description]]="","",VLOOKUP(Table2[[#This Row],[Description]],$Q$1:$S$101,3,FALSE))</f>
        <v/>
      </c>
      <c r="I4524" s="1" t="str">
        <f>IF(Table2[[#This Row],[Description]]="","",IF(Table2[[#This Row],[Currency]]=$O$2,$P$2,HLOOKUP(Table2[[#This Row],[Date]],Funds!$C$10:$GV$11,2,FALSE)))</f>
        <v/>
      </c>
      <c r="J4524" s="215" t="str">
        <f>IF(Table2[[#This Row],[Description]]="","",Table2[[#This Row],[Value]]/Table2[[#This Row],[Conversion]])</f>
        <v/>
      </c>
      <c r="K4524" s="45" t="str">
        <f>IF(Table2[[#This Row],[Description]]="","",DATE(Table2[[#This Row],[Year]],Table2[[#This Row],[Month]],1))</f>
        <v/>
      </c>
    </row>
    <row r="4525" spans="7:11" x14ac:dyDescent="0.25">
      <c r="G4525" s="1" t="str">
        <f>IF(Table2[[#This Row],[Description]]="","",VLOOKUP(Table2[[#This Row],[Description]],$Q$1:$S$101,2,FALSE))</f>
        <v/>
      </c>
      <c r="H4525" s="1" t="str">
        <f>IF(Table2[[#This Row],[Description]]="","",VLOOKUP(Table2[[#This Row],[Description]],$Q$1:$S$101,3,FALSE))</f>
        <v/>
      </c>
      <c r="I4525" s="1" t="str">
        <f>IF(Table2[[#This Row],[Description]]="","",IF(Table2[[#This Row],[Currency]]=$O$2,$P$2,HLOOKUP(Table2[[#This Row],[Date]],Funds!$C$10:$GV$11,2,FALSE)))</f>
        <v/>
      </c>
      <c r="J4525" s="215" t="str">
        <f>IF(Table2[[#This Row],[Description]]="","",Table2[[#This Row],[Value]]/Table2[[#This Row],[Conversion]])</f>
        <v/>
      </c>
      <c r="K4525" s="45" t="str">
        <f>IF(Table2[[#This Row],[Description]]="","",DATE(Table2[[#This Row],[Year]],Table2[[#This Row],[Month]],1))</f>
        <v/>
      </c>
    </row>
    <row r="4526" spans="7:11" x14ac:dyDescent="0.25">
      <c r="G4526" s="1" t="str">
        <f>IF(Table2[[#This Row],[Description]]="","",VLOOKUP(Table2[[#This Row],[Description]],$Q$1:$S$101,2,FALSE))</f>
        <v/>
      </c>
      <c r="H4526" s="1" t="str">
        <f>IF(Table2[[#This Row],[Description]]="","",VLOOKUP(Table2[[#This Row],[Description]],$Q$1:$S$101,3,FALSE))</f>
        <v/>
      </c>
      <c r="I4526" s="1" t="str">
        <f>IF(Table2[[#This Row],[Description]]="","",IF(Table2[[#This Row],[Currency]]=$O$2,$P$2,HLOOKUP(Table2[[#This Row],[Date]],Funds!$C$10:$GV$11,2,FALSE)))</f>
        <v/>
      </c>
      <c r="J4526" s="215" t="str">
        <f>IF(Table2[[#This Row],[Description]]="","",Table2[[#This Row],[Value]]/Table2[[#This Row],[Conversion]])</f>
        <v/>
      </c>
      <c r="K4526" s="45" t="str">
        <f>IF(Table2[[#This Row],[Description]]="","",DATE(Table2[[#This Row],[Year]],Table2[[#This Row],[Month]],1))</f>
        <v/>
      </c>
    </row>
    <row r="4527" spans="7:11" x14ac:dyDescent="0.25">
      <c r="G4527" s="1" t="str">
        <f>IF(Table2[[#This Row],[Description]]="","",VLOOKUP(Table2[[#This Row],[Description]],$Q$1:$S$101,2,FALSE))</f>
        <v/>
      </c>
      <c r="H4527" s="1" t="str">
        <f>IF(Table2[[#This Row],[Description]]="","",VLOOKUP(Table2[[#This Row],[Description]],$Q$1:$S$101,3,FALSE))</f>
        <v/>
      </c>
      <c r="I4527" s="1" t="str">
        <f>IF(Table2[[#This Row],[Description]]="","",IF(Table2[[#This Row],[Currency]]=$O$2,$P$2,HLOOKUP(Table2[[#This Row],[Date]],Funds!$C$10:$GV$11,2,FALSE)))</f>
        <v/>
      </c>
      <c r="J4527" s="215" t="str">
        <f>IF(Table2[[#This Row],[Description]]="","",Table2[[#This Row],[Value]]/Table2[[#This Row],[Conversion]])</f>
        <v/>
      </c>
      <c r="K4527" s="45" t="str">
        <f>IF(Table2[[#This Row],[Description]]="","",DATE(Table2[[#This Row],[Year]],Table2[[#This Row],[Month]],1))</f>
        <v/>
      </c>
    </row>
    <row r="4528" spans="7:11" x14ac:dyDescent="0.25">
      <c r="G4528" s="1" t="str">
        <f>IF(Table2[[#This Row],[Description]]="","",VLOOKUP(Table2[[#This Row],[Description]],$Q$1:$S$101,2,FALSE))</f>
        <v/>
      </c>
      <c r="H4528" s="1" t="str">
        <f>IF(Table2[[#This Row],[Description]]="","",VLOOKUP(Table2[[#This Row],[Description]],$Q$1:$S$101,3,FALSE))</f>
        <v/>
      </c>
      <c r="I4528" s="1" t="str">
        <f>IF(Table2[[#This Row],[Description]]="","",IF(Table2[[#This Row],[Currency]]=$O$2,$P$2,HLOOKUP(Table2[[#This Row],[Date]],Funds!$C$10:$GV$11,2,FALSE)))</f>
        <v/>
      </c>
      <c r="J4528" s="215" t="str">
        <f>IF(Table2[[#This Row],[Description]]="","",Table2[[#This Row],[Value]]/Table2[[#This Row],[Conversion]])</f>
        <v/>
      </c>
      <c r="K4528" s="45" t="str">
        <f>IF(Table2[[#This Row],[Description]]="","",DATE(Table2[[#This Row],[Year]],Table2[[#This Row],[Month]],1))</f>
        <v/>
      </c>
    </row>
    <row r="4529" spans="7:11" x14ac:dyDescent="0.25">
      <c r="G4529" s="1" t="str">
        <f>IF(Table2[[#This Row],[Description]]="","",VLOOKUP(Table2[[#This Row],[Description]],$Q$1:$S$101,2,FALSE))</f>
        <v/>
      </c>
      <c r="H4529" s="1" t="str">
        <f>IF(Table2[[#This Row],[Description]]="","",VLOOKUP(Table2[[#This Row],[Description]],$Q$1:$S$101,3,FALSE))</f>
        <v/>
      </c>
      <c r="I4529" s="1" t="str">
        <f>IF(Table2[[#This Row],[Description]]="","",IF(Table2[[#This Row],[Currency]]=$O$2,$P$2,HLOOKUP(Table2[[#This Row],[Date]],Funds!$C$10:$GV$11,2,FALSE)))</f>
        <v/>
      </c>
      <c r="J4529" s="215" t="str">
        <f>IF(Table2[[#This Row],[Description]]="","",Table2[[#This Row],[Value]]/Table2[[#This Row],[Conversion]])</f>
        <v/>
      </c>
      <c r="K4529" s="45" t="str">
        <f>IF(Table2[[#This Row],[Description]]="","",DATE(Table2[[#This Row],[Year]],Table2[[#This Row],[Month]],1))</f>
        <v/>
      </c>
    </row>
    <row r="4530" spans="7:11" x14ac:dyDescent="0.25">
      <c r="G4530" s="1" t="str">
        <f>IF(Table2[[#This Row],[Description]]="","",VLOOKUP(Table2[[#This Row],[Description]],$Q$1:$S$101,2,FALSE))</f>
        <v/>
      </c>
      <c r="H4530" s="1" t="str">
        <f>IF(Table2[[#This Row],[Description]]="","",VLOOKUP(Table2[[#This Row],[Description]],$Q$1:$S$101,3,FALSE))</f>
        <v/>
      </c>
      <c r="I4530" s="1" t="str">
        <f>IF(Table2[[#This Row],[Description]]="","",IF(Table2[[#This Row],[Currency]]=$O$2,$P$2,HLOOKUP(Table2[[#This Row],[Date]],Funds!$C$10:$GV$11,2,FALSE)))</f>
        <v/>
      </c>
      <c r="J4530" s="215" t="str">
        <f>IF(Table2[[#This Row],[Description]]="","",Table2[[#This Row],[Value]]/Table2[[#This Row],[Conversion]])</f>
        <v/>
      </c>
      <c r="K4530" s="45" t="str">
        <f>IF(Table2[[#This Row],[Description]]="","",DATE(Table2[[#This Row],[Year]],Table2[[#This Row],[Month]],1))</f>
        <v/>
      </c>
    </row>
    <row r="4531" spans="7:11" x14ac:dyDescent="0.25">
      <c r="G4531" s="1" t="str">
        <f>IF(Table2[[#This Row],[Description]]="","",VLOOKUP(Table2[[#This Row],[Description]],$Q$1:$S$101,2,FALSE))</f>
        <v/>
      </c>
      <c r="H4531" s="1" t="str">
        <f>IF(Table2[[#This Row],[Description]]="","",VLOOKUP(Table2[[#This Row],[Description]],$Q$1:$S$101,3,FALSE))</f>
        <v/>
      </c>
      <c r="I4531" s="1" t="str">
        <f>IF(Table2[[#This Row],[Description]]="","",IF(Table2[[#This Row],[Currency]]=$O$2,$P$2,HLOOKUP(Table2[[#This Row],[Date]],Funds!$C$10:$GV$11,2,FALSE)))</f>
        <v/>
      </c>
      <c r="J4531" s="215" t="str">
        <f>IF(Table2[[#This Row],[Description]]="","",Table2[[#This Row],[Value]]/Table2[[#This Row],[Conversion]])</f>
        <v/>
      </c>
      <c r="K4531" s="45" t="str">
        <f>IF(Table2[[#This Row],[Description]]="","",DATE(Table2[[#This Row],[Year]],Table2[[#This Row],[Month]],1))</f>
        <v/>
      </c>
    </row>
    <row r="4532" spans="7:11" x14ac:dyDescent="0.25">
      <c r="G4532" s="1" t="str">
        <f>IF(Table2[[#This Row],[Description]]="","",VLOOKUP(Table2[[#This Row],[Description]],$Q$1:$S$101,2,FALSE))</f>
        <v/>
      </c>
      <c r="H4532" s="1" t="str">
        <f>IF(Table2[[#This Row],[Description]]="","",VLOOKUP(Table2[[#This Row],[Description]],$Q$1:$S$101,3,FALSE))</f>
        <v/>
      </c>
      <c r="I4532" s="1" t="str">
        <f>IF(Table2[[#This Row],[Description]]="","",IF(Table2[[#This Row],[Currency]]=$O$2,$P$2,HLOOKUP(Table2[[#This Row],[Date]],Funds!$C$10:$GV$11,2,FALSE)))</f>
        <v/>
      </c>
      <c r="J4532" s="215" t="str">
        <f>IF(Table2[[#This Row],[Description]]="","",Table2[[#This Row],[Value]]/Table2[[#This Row],[Conversion]])</f>
        <v/>
      </c>
      <c r="K4532" s="45" t="str">
        <f>IF(Table2[[#This Row],[Description]]="","",DATE(Table2[[#This Row],[Year]],Table2[[#This Row],[Month]],1))</f>
        <v/>
      </c>
    </row>
    <row r="4533" spans="7:11" x14ac:dyDescent="0.25">
      <c r="G4533" s="1" t="str">
        <f>IF(Table2[[#This Row],[Description]]="","",VLOOKUP(Table2[[#This Row],[Description]],$Q$1:$S$101,2,FALSE))</f>
        <v/>
      </c>
      <c r="H4533" s="1" t="str">
        <f>IF(Table2[[#This Row],[Description]]="","",VLOOKUP(Table2[[#This Row],[Description]],$Q$1:$S$101,3,FALSE))</f>
        <v/>
      </c>
      <c r="I4533" s="1" t="str">
        <f>IF(Table2[[#This Row],[Description]]="","",IF(Table2[[#This Row],[Currency]]=$O$2,$P$2,HLOOKUP(Table2[[#This Row],[Date]],Funds!$C$10:$GV$11,2,FALSE)))</f>
        <v/>
      </c>
      <c r="J4533" s="215" t="str">
        <f>IF(Table2[[#This Row],[Description]]="","",Table2[[#This Row],[Value]]/Table2[[#This Row],[Conversion]])</f>
        <v/>
      </c>
      <c r="K4533" s="45" t="str">
        <f>IF(Table2[[#This Row],[Description]]="","",DATE(Table2[[#This Row],[Year]],Table2[[#This Row],[Month]],1))</f>
        <v/>
      </c>
    </row>
    <row r="4534" spans="7:11" x14ac:dyDescent="0.25">
      <c r="G4534" s="1" t="str">
        <f>IF(Table2[[#This Row],[Description]]="","",VLOOKUP(Table2[[#This Row],[Description]],$Q$1:$S$101,2,FALSE))</f>
        <v/>
      </c>
      <c r="H4534" s="1" t="str">
        <f>IF(Table2[[#This Row],[Description]]="","",VLOOKUP(Table2[[#This Row],[Description]],$Q$1:$S$101,3,FALSE))</f>
        <v/>
      </c>
      <c r="I4534" s="1" t="str">
        <f>IF(Table2[[#This Row],[Description]]="","",IF(Table2[[#This Row],[Currency]]=$O$2,$P$2,HLOOKUP(Table2[[#This Row],[Date]],Funds!$C$10:$GV$11,2,FALSE)))</f>
        <v/>
      </c>
      <c r="J4534" s="215" t="str">
        <f>IF(Table2[[#This Row],[Description]]="","",Table2[[#This Row],[Value]]/Table2[[#This Row],[Conversion]])</f>
        <v/>
      </c>
      <c r="K4534" s="45" t="str">
        <f>IF(Table2[[#This Row],[Description]]="","",DATE(Table2[[#This Row],[Year]],Table2[[#This Row],[Month]],1))</f>
        <v/>
      </c>
    </row>
    <row r="4535" spans="7:11" x14ac:dyDescent="0.25">
      <c r="G4535" s="1" t="str">
        <f>IF(Table2[[#This Row],[Description]]="","",VLOOKUP(Table2[[#This Row],[Description]],$Q$1:$S$101,2,FALSE))</f>
        <v/>
      </c>
      <c r="H4535" s="1" t="str">
        <f>IF(Table2[[#This Row],[Description]]="","",VLOOKUP(Table2[[#This Row],[Description]],$Q$1:$S$101,3,FALSE))</f>
        <v/>
      </c>
      <c r="I4535" s="1" t="str">
        <f>IF(Table2[[#This Row],[Description]]="","",IF(Table2[[#This Row],[Currency]]=$O$2,$P$2,HLOOKUP(Table2[[#This Row],[Date]],Funds!$C$10:$GV$11,2,FALSE)))</f>
        <v/>
      </c>
      <c r="J4535" s="215" t="str">
        <f>IF(Table2[[#This Row],[Description]]="","",Table2[[#This Row],[Value]]/Table2[[#This Row],[Conversion]])</f>
        <v/>
      </c>
      <c r="K4535" s="45" t="str">
        <f>IF(Table2[[#This Row],[Description]]="","",DATE(Table2[[#This Row],[Year]],Table2[[#This Row],[Month]],1))</f>
        <v/>
      </c>
    </row>
    <row r="4536" spans="7:11" x14ac:dyDescent="0.25">
      <c r="G4536" s="1" t="str">
        <f>IF(Table2[[#This Row],[Description]]="","",VLOOKUP(Table2[[#This Row],[Description]],$Q$1:$S$101,2,FALSE))</f>
        <v/>
      </c>
      <c r="H4536" s="1" t="str">
        <f>IF(Table2[[#This Row],[Description]]="","",VLOOKUP(Table2[[#This Row],[Description]],$Q$1:$S$101,3,FALSE))</f>
        <v/>
      </c>
      <c r="I4536" s="1" t="str">
        <f>IF(Table2[[#This Row],[Description]]="","",IF(Table2[[#This Row],[Currency]]=$O$2,$P$2,HLOOKUP(Table2[[#This Row],[Date]],Funds!$C$10:$GV$11,2,FALSE)))</f>
        <v/>
      </c>
      <c r="J4536" s="215" t="str">
        <f>IF(Table2[[#This Row],[Description]]="","",Table2[[#This Row],[Value]]/Table2[[#This Row],[Conversion]])</f>
        <v/>
      </c>
      <c r="K4536" s="45" t="str">
        <f>IF(Table2[[#This Row],[Description]]="","",DATE(Table2[[#This Row],[Year]],Table2[[#This Row],[Month]],1))</f>
        <v/>
      </c>
    </row>
    <row r="4537" spans="7:11" x14ac:dyDescent="0.25">
      <c r="G4537" s="1" t="str">
        <f>IF(Table2[[#This Row],[Description]]="","",VLOOKUP(Table2[[#This Row],[Description]],$Q$1:$S$101,2,FALSE))</f>
        <v/>
      </c>
      <c r="H4537" s="1" t="str">
        <f>IF(Table2[[#This Row],[Description]]="","",VLOOKUP(Table2[[#This Row],[Description]],$Q$1:$S$101,3,FALSE))</f>
        <v/>
      </c>
      <c r="I4537" s="1" t="str">
        <f>IF(Table2[[#This Row],[Description]]="","",IF(Table2[[#This Row],[Currency]]=$O$2,$P$2,HLOOKUP(Table2[[#This Row],[Date]],Funds!$C$10:$GV$11,2,FALSE)))</f>
        <v/>
      </c>
      <c r="J4537" s="215" t="str">
        <f>IF(Table2[[#This Row],[Description]]="","",Table2[[#This Row],[Value]]/Table2[[#This Row],[Conversion]])</f>
        <v/>
      </c>
      <c r="K4537" s="45" t="str">
        <f>IF(Table2[[#This Row],[Description]]="","",DATE(Table2[[#This Row],[Year]],Table2[[#This Row],[Month]],1))</f>
        <v/>
      </c>
    </row>
    <row r="4538" spans="7:11" x14ac:dyDescent="0.25">
      <c r="G4538" s="1" t="str">
        <f>IF(Table2[[#This Row],[Description]]="","",VLOOKUP(Table2[[#This Row],[Description]],$Q$1:$S$101,2,FALSE))</f>
        <v/>
      </c>
      <c r="H4538" s="1" t="str">
        <f>IF(Table2[[#This Row],[Description]]="","",VLOOKUP(Table2[[#This Row],[Description]],$Q$1:$S$101,3,FALSE))</f>
        <v/>
      </c>
      <c r="I4538" s="1" t="str">
        <f>IF(Table2[[#This Row],[Description]]="","",IF(Table2[[#This Row],[Currency]]=$O$2,$P$2,HLOOKUP(Table2[[#This Row],[Date]],Funds!$C$10:$GV$11,2,FALSE)))</f>
        <v/>
      </c>
      <c r="J4538" s="215" t="str">
        <f>IF(Table2[[#This Row],[Description]]="","",Table2[[#This Row],[Value]]/Table2[[#This Row],[Conversion]])</f>
        <v/>
      </c>
      <c r="K4538" s="45" t="str">
        <f>IF(Table2[[#This Row],[Description]]="","",DATE(Table2[[#This Row],[Year]],Table2[[#This Row],[Month]],1))</f>
        <v/>
      </c>
    </row>
    <row r="4539" spans="7:11" x14ac:dyDescent="0.25">
      <c r="G4539" s="1" t="str">
        <f>IF(Table2[[#This Row],[Description]]="","",VLOOKUP(Table2[[#This Row],[Description]],$Q$1:$S$101,2,FALSE))</f>
        <v/>
      </c>
      <c r="H4539" s="1" t="str">
        <f>IF(Table2[[#This Row],[Description]]="","",VLOOKUP(Table2[[#This Row],[Description]],$Q$1:$S$101,3,FALSE))</f>
        <v/>
      </c>
      <c r="I4539" s="1" t="str">
        <f>IF(Table2[[#This Row],[Description]]="","",IF(Table2[[#This Row],[Currency]]=$O$2,$P$2,HLOOKUP(Table2[[#This Row],[Date]],Funds!$C$10:$GV$11,2,FALSE)))</f>
        <v/>
      </c>
      <c r="J4539" s="215" t="str">
        <f>IF(Table2[[#This Row],[Description]]="","",Table2[[#This Row],[Value]]/Table2[[#This Row],[Conversion]])</f>
        <v/>
      </c>
      <c r="K4539" s="45" t="str">
        <f>IF(Table2[[#This Row],[Description]]="","",DATE(Table2[[#This Row],[Year]],Table2[[#This Row],[Month]],1))</f>
        <v/>
      </c>
    </row>
    <row r="4540" spans="7:11" x14ac:dyDescent="0.25">
      <c r="G4540" s="1" t="str">
        <f>IF(Table2[[#This Row],[Description]]="","",VLOOKUP(Table2[[#This Row],[Description]],$Q$1:$S$101,2,FALSE))</f>
        <v/>
      </c>
      <c r="H4540" s="1" t="str">
        <f>IF(Table2[[#This Row],[Description]]="","",VLOOKUP(Table2[[#This Row],[Description]],$Q$1:$S$101,3,FALSE))</f>
        <v/>
      </c>
      <c r="I4540" s="1" t="str">
        <f>IF(Table2[[#This Row],[Description]]="","",IF(Table2[[#This Row],[Currency]]=$O$2,$P$2,HLOOKUP(Table2[[#This Row],[Date]],Funds!$C$10:$GV$11,2,FALSE)))</f>
        <v/>
      </c>
      <c r="J4540" s="215" t="str">
        <f>IF(Table2[[#This Row],[Description]]="","",Table2[[#This Row],[Value]]/Table2[[#This Row],[Conversion]])</f>
        <v/>
      </c>
      <c r="K4540" s="45" t="str">
        <f>IF(Table2[[#This Row],[Description]]="","",DATE(Table2[[#This Row],[Year]],Table2[[#This Row],[Month]],1))</f>
        <v/>
      </c>
    </row>
    <row r="4541" spans="7:11" x14ac:dyDescent="0.25">
      <c r="G4541" s="1" t="str">
        <f>IF(Table2[[#This Row],[Description]]="","",VLOOKUP(Table2[[#This Row],[Description]],$Q$1:$S$101,2,FALSE))</f>
        <v/>
      </c>
      <c r="H4541" s="1" t="str">
        <f>IF(Table2[[#This Row],[Description]]="","",VLOOKUP(Table2[[#This Row],[Description]],$Q$1:$S$101,3,FALSE))</f>
        <v/>
      </c>
      <c r="I4541" s="1" t="str">
        <f>IF(Table2[[#This Row],[Description]]="","",IF(Table2[[#This Row],[Currency]]=$O$2,$P$2,HLOOKUP(Table2[[#This Row],[Date]],Funds!$C$10:$GV$11,2,FALSE)))</f>
        <v/>
      </c>
      <c r="J4541" s="215" t="str">
        <f>IF(Table2[[#This Row],[Description]]="","",Table2[[#This Row],[Value]]/Table2[[#This Row],[Conversion]])</f>
        <v/>
      </c>
      <c r="K4541" s="45" t="str">
        <f>IF(Table2[[#This Row],[Description]]="","",DATE(Table2[[#This Row],[Year]],Table2[[#This Row],[Month]],1))</f>
        <v/>
      </c>
    </row>
    <row r="4542" spans="7:11" x14ac:dyDescent="0.25">
      <c r="G4542" s="1" t="str">
        <f>IF(Table2[[#This Row],[Description]]="","",VLOOKUP(Table2[[#This Row],[Description]],$Q$1:$S$101,2,FALSE))</f>
        <v/>
      </c>
      <c r="H4542" s="1" t="str">
        <f>IF(Table2[[#This Row],[Description]]="","",VLOOKUP(Table2[[#This Row],[Description]],$Q$1:$S$101,3,FALSE))</f>
        <v/>
      </c>
      <c r="I4542" s="1" t="str">
        <f>IF(Table2[[#This Row],[Description]]="","",IF(Table2[[#This Row],[Currency]]=$O$2,$P$2,HLOOKUP(Table2[[#This Row],[Date]],Funds!$C$10:$GV$11,2,FALSE)))</f>
        <v/>
      </c>
      <c r="J4542" s="215" t="str">
        <f>IF(Table2[[#This Row],[Description]]="","",Table2[[#This Row],[Value]]/Table2[[#This Row],[Conversion]])</f>
        <v/>
      </c>
      <c r="K4542" s="45" t="str">
        <f>IF(Table2[[#This Row],[Description]]="","",DATE(Table2[[#This Row],[Year]],Table2[[#This Row],[Month]],1))</f>
        <v/>
      </c>
    </row>
    <row r="4543" spans="7:11" x14ac:dyDescent="0.25">
      <c r="G4543" s="1" t="str">
        <f>IF(Table2[[#This Row],[Description]]="","",VLOOKUP(Table2[[#This Row],[Description]],$Q$1:$S$101,2,FALSE))</f>
        <v/>
      </c>
      <c r="H4543" s="1" t="str">
        <f>IF(Table2[[#This Row],[Description]]="","",VLOOKUP(Table2[[#This Row],[Description]],$Q$1:$S$101,3,FALSE))</f>
        <v/>
      </c>
      <c r="I4543" s="1" t="str">
        <f>IF(Table2[[#This Row],[Description]]="","",IF(Table2[[#This Row],[Currency]]=$O$2,$P$2,HLOOKUP(Table2[[#This Row],[Date]],Funds!$C$10:$GV$11,2,FALSE)))</f>
        <v/>
      </c>
      <c r="J4543" s="215" t="str">
        <f>IF(Table2[[#This Row],[Description]]="","",Table2[[#This Row],[Value]]/Table2[[#This Row],[Conversion]])</f>
        <v/>
      </c>
      <c r="K4543" s="45" t="str">
        <f>IF(Table2[[#This Row],[Description]]="","",DATE(Table2[[#This Row],[Year]],Table2[[#This Row],[Month]],1))</f>
        <v/>
      </c>
    </row>
    <row r="4544" spans="7:11" x14ac:dyDescent="0.25">
      <c r="G4544" s="1" t="str">
        <f>IF(Table2[[#This Row],[Description]]="","",VLOOKUP(Table2[[#This Row],[Description]],$Q$1:$S$101,2,FALSE))</f>
        <v/>
      </c>
      <c r="H4544" s="1" t="str">
        <f>IF(Table2[[#This Row],[Description]]="","",VLOOKUP(Table2[[#This Row],[Description]],$Q$1:$S$101,3,FALSE))</f>
        <v/>
      </c>
      <c r="I4544" s="1" t="str">
        <f>IF(Table2[[#This Row],[Description]]="","",IF(Table2[[#This Row],[Currency]]=$O$2,$P$2,HLOOKUP(Table2[[#This Row],[Date]],Funds!$C$10:$GV$11,2,FALSE)))</f>
        <v/>
      </c>
      <c r="J4544" s="215" t="str">
        <f>IF(Table2[[#This Row],[Description]]="","",Table2[[#This Row],[Value]]/Table2[[#This Row],[Conversion]])</f>
        <v/>
      </c>
      <c r="K4544" s="45" t="str">
        <f>IF(Table2[[#This Row],[Description]]="","",DATE(Table2[[#This Row],[Year]],Table2[[#This Row],[Month]],1))</f>
        <v/>
      </c>
    </row>
    <row r="4545" spans="7:11" x14ac:dyDescent="0.25">
      <c r="G4545" s="1" t="str">
        <f>IF(Table2[[#This Row],[Description]]="","",VLOOKUP(Table2[[#This Row],[Description]],$Q$1:$S$101,2,FALSE))</f>
        <v/>
      </c>
      <c r="H4545" s="1" t="str">
        <f>IF(Table2[[#This Row],[Description]]="","",VLOOKUP(Table2[[#This Row],[Description]],$Q$1:$S$101,3,FALSE))</f>
        <v/>
      </c>
      <c r="I4545" s="1" t="str">
        <f>IF(Table2[[#This Row],[Description]]="","",IF(Table2[[#This Row],[Currency]]=$O$2,$P$2,HLOOKUP(Table2[[#This Row],[Date]],Funds!$C$10:$GV$11,2,FALSE)))</f>
        <v/>
      </c>
      <c r="J4545" s="215" t="str">
        <f>IF(Table2[[#This Row],[Description]]="","",Table2[[#This Row],[Value]]/Table2[[#This Row],[Conversion]])</f>
        <v/>
      </c>
      <c r="K4545" s="45" t="str">
        <f>IF(Table2[[#This Row],[Description]]="","",DATE(Table2[[#This Row],[Year]],Table2[[#This Row],[Month]],1))</f>
        <v/>
      </c>
    </row>
    <row r="4546" spans="7:11" x14ac:dyDescent="0.25">
      <c r="G4546" s="1" t="str">
        <f>IF(Table2[[#This Row],[Description]]="","",VLOOKUP(Table2[[#This Row],[Description]],$Q$1:$S$101,2,FALSE))</f>
        <v/>
      </c>
      <c r="H4546" s="1" t="str">
        <f>IF(Table2[[#This Row],[Description]]="","",VLOOKUP(Table2[[#This Row],[Description]],$Q$1:$S$101,3,FALSE))</f>
        <v/>
      </c>
      <c r="I4546" s="1" t="str">
        <f>IF(Table2[[#This Row],[Description]]="","",IF(Table2[[#This Row],[Currency]]=$O$2,$P$2,HLOOKUP(Table2[[#This Row],[Date]],Funds!$C$10:$GV$11,2,FALSE)))</f>
        <v/>
      </c>
      <c r="J4546" s="215" t="str">
        <f>IF(Table2[[#This Row],[Description]]="","",Table2[[#This Row],[Value]]/Table2[[#This Row],[Conversion]])</f>
        <v/>
      </c>
      <c r="K4546" s="45" t="str">
        <f>IF(Table2[[#This Row],[Description]]="","",DATE(Table2[[#This Row],[Year]],Table2[[#This Row],[Month]],1))</f>
        <v/>
      </c>
    </row>
    <row r="4547" spans="7:11" x14ac:dyDescent="0.25">
      <c r="G4547" s="1" t="str">
        <f>IF(Table2[[#This Row],[Description]]="","",VLOOKUP(Table2[[#This Row],[Description]],$Q$1:$S$101,2,FALSE))</f>
        <v/>
      </c>
      <c r="H4547" s="1" t="str">
        <f>IF(Table2[[#This Row],[Description]]="","",VLOOKUP(Table2[[#This Row],[Description]],$Q$1:$S$101,3,FALSE))</f>
        <v/>
      </c>
      <c r="I4547" s="1" t="str">
        <f>IF(Table2[[#This Row],[Description]]="","",IF(Table2[[#This Row],[Currency]]=$O$2,$P$2,HLOOKUP(Table2[[#This Row],[Date]],Funds!$C$10:$GV$11,2,FALSE)))</f>
        <v/>
      </c>
      <c r="J4547" s="215" t="str">
        <f>IF(Table2[[#This Row],[Description]]="","",Table2[[#This Row],[Value]]/Table2[[#This Row],[Conversion]])</f>
        <v/>
      </c>
      <c r="K4547" s="45" t="str">
        <f>IF(Table2[[#This Row],[Description]]="","",DATE(Table2[[#This Row],[Year]],Table2[[#This Row],[Month]],1))</f>
        <v/>
      </c>
    </row>
    <row r="4548" spans="7:11" x14ac:dyDescent="0.25">
      <c r="G4548" s="1" t="str">
        <f>IF(Table2[[#This Row],[Description]]="","",VLOOKUP(Table2[[#This Row],[Description]],$Q$1:$S$101,2,FALSE))</f>
        <v/>
      </c>
      <c r="H4548" s="1" t="str">
        <f>IF(Table2[[#This Row],[Description]]="","",VLOOKUP(Table2[[#This Row],[Description]],$Q$1:$S$101,3,FALSE))</f>
        <v/>
      </c>
      <c r="I4548" s="1" t="str">
        <f>IF(Table2[[#This Row],[Description]]="","",IF(Table2[[#This Row],[Currency]]=$O$2,$P$2,HLOOKUP(Table2[[#This Row],[Date]],Funds!$C$10:$GV$11,2,FALSE)))</f>
        <v/>
      </c>
      <c r="J4548" s="215" t="str">
        <f>IF(Table2[[#This Row],[Description]]="","",Table2[[#This Row],[Value]]/Table2[[#This Row],[Conversion]])</f>
        <v/>
      </c>
      <c r="K4548" s="45" t="str">
        <f>IF(Table2[[#This Row],[Description]]="","",DATE(Table2[[#This Row],[Year]],Table2[[#This Row],[Month]],1))</f>
        <v/>
      </c>
    </row>
    <row r="4549" spans="7:11" x14ac:dyDescent="0.25">
      <c r="G4549" s="1" t="str">
        <f>IF(Table2[[#This Row],[Description]]="","",VLOOKUP(Table2[[#This Row],[Description]],$Q$1:$S$101,2,FALSE))</f>
        <v/>
      </c>
      <c r="H4549" s="1" t="str">
        <f>IF(Table2[[#This Row],[Description]]="","",VLOOKUP(Table2[[#This Row],[Description]],$Q$1:$S$101,3,FALSE))</f>
        <v/>
      </c>
      <c r="I4549" s="1" t="str">
        <f>IF(Table2[[#This Row],[Description]]="","",IF(Table2[[#This Row],[Currency]]=$O$2,$P$2,HLOOKUP(Table2[[#This Row],[Date]],Funds!$C$10:$GV$11,2,FALSE)))</f>
        <v/>
      </c>
      <c r="J4549" s="215" t="str">
        <f>IF(Table2[[#This Row],[Description]]="","",Table2[[#This Row],[Value]]/Table2[[#This Row],[Conversion]])</f>
        <v/>
      </c>
      <c r="K4549" s="45" t="str">
        <f>IF(Table2[[#This Row],[Description]]="","",DATE(Table2[[#This Row],[Year]],Table2[[#This Row],[Month]],1))</f>
        <v/>
      </c>
    </row>
    <row r="4550" spans="7:11" x14ac:dyDescent="0.25">
      <c r="G4550" s="1" t="str">
        <f>IF(Table2[[#This Row],[Description]]="","",VLOOKUP(Table2[[#This Row],[Description]],$Q$1:$S$101,2,FALSE))</f>
        <v/>
      </c>
      <c r="H4550" s="1" t="str">
        <f>IF(Table2[[#This Row],[Description]]="","",VLOOKUP(Table2[[#This Row],[Description]],$Q$1:$S$101,3,FALSE))</f>
        <v/>
      </c>
      <c r="I4550" s="1" t="str">
        <f>IF(Table2[[#This Row],[Description]]="","",IF(Table2[[#This Row],[Currency]]=$O$2,$P$2,HLOOKUP(Table2[[#This Row],[Date]],Funds!$C$10:$GV$11,2,FALSE)))</f>
        <v/>
      </c>
      <c r="J4550" s="215" t="str">
        <f>IF(Table2[[#This Row],[Description]]="","",Table2[[#This Row],[Value]]/Table2[[#This Row],[Conversion]])</f>
        <v/>
      </c>
      <c r="K4550" s="45" t="str">
        <f>IF(Table2[[#This Row],[Description]]="","",DATE(Table2[[#This Row],[Year]],Table2[[#This Row],[Month]],1))</f>
        <v/>
      </c>
    </row>
    <row r="4551" spans="7:11" x14ac:dyDescent="0.25">
      <c r="G4551" s="1" t="str">
        <f>IF(Table2[[#This Row],[Description]]="","",VLOOKUP(Table2[[#This Row],[Description]],$Q$1:$S$101,2,FALSE))</f>
        <v/>
      </c>
      <c r="H4551" s="1" t="str">
        <f>IF(Table2[[#This Row],[Description]]="","",VLOOKUP(Table2[[#This Row],[Description]],$Q$1:$S$101,3,FALSE))</f>
        <v/>
      </c>
      <c r="I4551" s="1" t="str">
        <f>IF(Table2[[#This Row],[Description]]="","",IF(Table2[[#This Row],[Currency]]=$O$2,$P$2,HLOOKUP(Table2[[#This Row],[Date]],Funds!$C$10:$GV$11,2,FALSE)))</f>
        <v/>
      </c>
      <c r="J4551" s="215" t="str">
        <f>IF(Table2[[#This Row],[Description]]="","",Table2[[#This Row],[Value]]/Table2[[#This Row],[Conversion]])</f>
        <v/>
      </c>
      <c r="K4551" s="45" t="str">
        <f>IF(Table2[[#This Row],[Description]]="","",DATE(Table2[[#This Row],[Year]],Table2[[#This Row],[Month]],1))</f>
        <v/>
      </c>
    </row>
    <row r="4552" spans="7:11" x14ac:dyDescent="0.25">
      <c r="G4552" s="1" t="str">
        <f>IF(Table2[[#This Row],[Description]]="","",VLOOKUP(Table2[[#This Row],[Description]],$Q$1:$S$101,2,FALSE))</f>
        <v/>
      </c>
      <c r="H4552" s="1" t="str">
        <f>IF(Table2[[#This Row],[Description]]="","",VLOOKUP(Table2[[#This Row],[Description]],$Q$1:$S$101,3,FALSE))</f>
        <v/>
      </c>
      <c r="I4552" s="1" t="str">
        <f>IF(Table2[[#This Row],[Description]]="","",IF(Table2[[#This Row],[Currency]]=$O$2,$P$2,HLOOKUP(Table2[[#This Row],[Date]],Funds!$C$10:$GV$11,2,FALSE)))</f>
        <v/>
      </c>
      <c r="J4552" s="215" t="str">
        <f>IF(Table2[[#This Row],[Description]]="","",Table2[[#This Row],[Value]]/Table2[[#This Row],[Conversion]])</f>
        <v/>
      </c>
      <c r="K4552" s="45" t="str">
        <f>IF(Table2[[#This Row],[Description]]="","",DATE(Table2[[#This Row],[Year]],Table2[[#This Row],[Month]],1))</f>
        <v/>
      </c>
    </row>
    <row r="4553" spans="7:11" x14ac:dyDescent="0.25">
      <c r="G4553" s="1" t="str">
        <f>IF(Table2[[#This Row],[Description]]="","",VLOOKUP(Table2[[#This Row],[Description]],$Q$1:$S$101,2,FALSE))</f>
        <v/>
      </c>
      <c r="H4553" s="1" t="str">
        <f>IF(Table2[[#This Row],[Description]]="","",VLOOKUP(Table2[[#This Row],[Description]],$Q$1:$S$101,3,FALSE))</f>
        <v/>
      </c>
      <c r="I4553" s="1" t="str">
        <f>IF(Table2[[#This Row],[Description]]="","",IF(Table2[[#This Row],[Currency]]=$O$2,$P$2,HLOOKUP(Table2[[#This Row],[Date]],Funds!$C$10:$GV$11,2,FALSE)))</f>
        <v/>
      </c>
      <c r="J4553" s="215" t="str">
        <f>IF(Table2[[#This Row],[Description]]="","",Table2[[#This Row],[Value]]/Table2[[#This Row],[Conversion]])</f>
        <v/>
      </c>
      <c r="K4553" s="45" t="str">
        <f>IF(Table2[[#This Row],[Description]]="","",DATE(Table2[[#This Row],[Year]],Table2[[#This Row],[Month]],1))</f>
        <v/>
      </c>
    </row>
    <row r="4554" spans="7:11" x14ac:dyDescent="0.25">
      <c r="G4554" s="1" t="str">
        <f>IF(Table2[[#This Row],[Description]]="","",VLOOKUP(Table2[[#This Row],[Description]],$Q$1:$S$101,2,FALSE))</f>
        <v/>
      </c>
      <c r="H4554" s="1" t="str">
        <f>IF(Table2[[#This Row],[Description]]="","",VLOOKUP(Table2[[#This Row],[Description]],$Q$1:$S$101,3,FALSE))</f>
        <v/>
      </c>
      <c r="I4554" s="1" t="str">
        <f>IF(Table2[[#This Row],[Description]]="","",IF(Table2[[#This Row],[Currency]]=$O$2,$P$2,HLOOKUP(Table2[[#This Row],[Date]],Funds!$C$10:$GV$11,2,FALSE)))</f>
        <v/>
      </c>
      <c r="J4554" s="215" t="str">
        <f>IF(Table2[[#This Row],[Description]]="","",Table2[[#This Row],[Value]]/Table2[[#This Row],[Conversion]])</f>
        <v/>
      </c>
      <c r="K4554" s="45" t="str">
        <f>IF(Table2[[#This Row],[Description]]="","",DATE(Table2[[#This Row],[Year]],Table2[[#This Row],[Month]],1))</f>
        <v/>
      </c>
    </row>
    <row r="4555" spans="7:11" x14ac:dyDescent="0.25">
      <c r="G4555" s="1" t="str">
        <f>IF(Table2[[#This Row],[Description]]="","",VLOOKUP(Table2[[#This Row],[Description]],$Q$1:$S$101,2,FALSE))</f>
        <v/>
      </c>
      <c r="H4555" s="1" t="str">
        <f>IF(Table2[[#This Row],[Description]]="","",VLOOKUP(Table2[[#This Row],[Description]],$Q$1:$S$101,3,FALSE))</f>
        <v/>
      </c>
      <c r="I4555" s="1" t="str">
        <f>IF(Table2[[#This Row],[Description]]="","",IF(Table2[[#This Row],[Currency]]=$O$2,$P$2,HLOOKUP(Table2[[#This Row],[Date]],Funds!$C$10:$GV$11,2,FALSE)))</f>
        <v/>
      </c>
      <c r="J4555" s="215" t="str">
        <f>IF(Table2[[#This Row],[Description]]="","",Table2[[#This Row],[Value]]/Table2[[#This Row],[Conversion]])</f>
        <v/>
      </c>
      <c r="K4555" s="45" t="str">
        <f>IF(Table2[[#This Row],[Description]]="","",DATE(Table2[[#This Row],[Year]],Table2[[#This Row],[Month]],1))</f>
        <v/>
      </c>
    </row>
    <row r="4556" spans="7:11" x14ac:dyDescent="0.25">
      <c r="G4556" s="1" t="str">
        <f>IF(Table2[[#This Row],[Description]]="","",VLOOKUP(Table2[[#This Row],[Description]],$Q$1:$S$101,2,FALSE))</f>
        <v/>
      </c>
      <c r="H4556" s="1" t="str">
        <f>IF(Table2[[#This Row],[Description]]="","",VLOOKUP(Table2[[#This Row],[Description]],$Q$1:$S$101,3,FALSE))</f>
        <v/>
      </c>
      <c r="I4556" s="1" t="str">
        <f>IF(Table2[[#This Row],[Description]]="","",IF(Table2[[#This Row],[Currency]]=$O$2,$P$2,HLOOKUP(Table2[[#This Row],[Date]],Funds!$C$10:$GV$11,2,FALSE)))</f>
        <v/>
      </c>
      <c r="J4556" s="215" t="str">
        <f>IF(Table2[[#This Row],[Description]]="","",Table2[[#This Row],[Value]]/Table2[[#This Row],[Conversion]])</f>
        <v/>
      </c>
      <c r="K4556" s="45" t="str">
        <f>IF(Table2[[#This Row],[Description]]="","",DATE(Table2[[#This Row],[Year]],Table2[[#This Row],[Month]],1))</f>
        <v/>
      </c>
    </row>
    <row r="4557" spans="7:11" x14ac:dyDescent="0.25">
      <c r="G4557" s="1" t="str">
        <f>IF(Table2[[#This Row],[Description]]="","",VLOOKUP(Table2[[#This Row],[Description]],$Q$1:$S$101,2,FALSE))</f>
        <v/>
      </c>
      <c r="H4557" s="1" t="str">
        <f>IF(Table2[[#This Row],[Description]]="","",VLOOKUP(Table2[[#This Row],[Description]],$Q$1:$S$101,3,FALSE))</f>
        <v/>
      </c>
      <c r="I4557" s="1" t="str">
        <f>IF(Table2[[#This Row],[Description]]="","",IF(Table2[[#This Row],[Currency]]=$O$2,$P$2,HLOOKUP(Table2[[#This Row],[Date]],Funds!$C$10:$GV$11,2,FALSE)))</f>
        <v/>
      </c>
      <c r="J4557" s="215" t="str">
        <f>IF(Table2[[#This Row],[Description]]="","",Table2[[#This Row],[Value]]/Table2[[#This Row],[Conversion]])</f>
        <v/>
      </c>
      <c r="K4557" s="45" t="str">
        <f>IF(Table2[[#This Row],[Description]]="","",DATE(Table2[[#This Row],[Year]],Table2[[#This Row],[Month]],1))</f>
        <v/>
      </c>
    </row>
    <row r="4558" spans="7:11" x14ac:dyDescent="0.25">
      <c r="G4558" s="1" t="str">
        <f>IF(Table2[[#This Row],[Description]]="","",VLOOKUP(Table2[[#This Row],[Description]],$Q$1:$S$101,2,FALSE))</f>
        <v/>
      </c>
      <c r="H4558" s="1" t="str">
        <f>IF(Table2[[#This Row],[Description]]="","",VLOOKUP(Table2[[#This Row],[Description]],$Q$1:$S$101,3,FALSE))</f>
        <v/>
      </c>
      <c r="I4558" s="1" t="str">
        <f>IF(Table2[[#This Row],[Description]]="","",IF(Table2[[#This Row],[Currency]]=$O$2,$P$2,HLOOKUP(Table2[[#This Row],[Date]],Funds!$C$10:$GV$11,2,FALSE)))</f>
        <v/>
      </c>
      <c r="J4558" s="215" t="str">
        <f>IF(Table2[[#This Row],[Description]]="","",Table2[[#This Row],[Value]]/Table2[[#This Row],[Conversion]])</f>
        <v/>
      </c>
      <c r="K4558" s="45" t="str">
        <f>IF(Table2[[#This Row],[Description]]="","",DATE(Table2[[#This Row],[Year]],Table2[[#This Row],[Month]],1))</f>
        <v/>
      </c>
    </row>
    <row r="4559" spans="7:11" x14ac:dyDescent="0.25">
      <c r="G4559" s="1" t="str">
        <f>IF(Table2[[#This Row],[Description]]="","",VLOOKUP(Table2[[#This Row],[Description]],$Q$1:$S$101,2,FALSE))</f>
        <v/>
      </c>
      <c r="H4559" s="1" t="str">
        <f>IF(Table2[[#This Row],[Description]]="","",VLOOKUP(Table2[[#This Row],[Description]],$Q$1:$S$101,3,FALSE))</f>
        <v/>
      </c>
      <c r="I4559" s="1" t="str">
        <f>IF(Table2[[#This Row],[Description]]="","",IF(Table2[[#This Row],[Currency]]=$O$2,$P$2,HLOOKUP(Table2[[#This Row],[Date]],Funds!$C$10:$GV$11,2,FALSE)))</f>
        <v/>
      </c>
      <c r="J4559" s="215" t="str">
        <f>IF(Table2[[#This Row],[Description]]="","",Table2[[#This Row],[Value]]/Table2[[#This Row],[Conversion]])</f>
        <v/>
      </c>
      <c r="K4559" s="45" t="str">
        <f>IF(Table2[[#This Row],[Description]]="","",DATE(Table2[[#This Row],[Year]],Table2[[#This Row],[Month]],1))</f>
        <v/>
      </c>
    </row>
    <row r="4560" spans="7:11" x14ac:dyDescent="0.25">
      <c r="G4560" s="1" t="str">
        <f>IF(Table2[[#This Row],[Description]]="","",VLOOKUP(Table2[[#This Row],[Description]],$Q$1:$S$101,2,FALSE))</f>
        <v/>
      </c>
      <c r="H4560" s="1" t="str">
        <f>IF(Table2[[#This Row],[Description]]="","",VLOOKUP(Table2[[#This Row],[Description]],$Q$1:$S$101,3,FALSE))</f>
        <v/>
      </c>
      <c r="I4560" s="1" t="str">
        <f>IF(Table2[[#This Row],[Description]]="","",IF(Table2[[#This Row],[Currency]]=$O$2,$P$2,HLOOKUP(Table2[[#This Row],[Date]],Funds!$C$10:$GV$11,2,FALSE)))</f>
        <v/>
      </c>
      <c r="J4560" s="215" t="str">
        <f>IF(Table2[[#This Row],[Description]]="","",Table2[[#This Row],[Value]]/Table2[[#This Row],[Conversion]])</f>
        <v/>
      </c>
      <c r="K4560" s="45" t="str">
        <f>IF(Table2[[#This Row],[Description]]="","",DATE(Table2[[#This Row],[Year]],Table2[[#This Row],[Month]],1))</f>
        <v/>
      </c>
    </row>
    <row r="4561" spans="7:11" x14ac:dyDescent="0.25">
      <c r="G4561" s="1" t="str">
        <f>IF(Table2[[#This Row],[Description]]="","",VLOOKUP(Table2[[#This Row],[Description]],$Q$1:$S$101,2,FALSE))</f>
        <v/>
      </c>
      <c r="H4561" s="1" t="str">
        <f>IF(Table2[[#This Row],[Description]]="","",VLOOKUP(Table2[[#This Row],[Description]],$Q$1:$S$101,3,FALSE))</f>
        <v/>
      </c>
      <c r="I4561" s="1" t="str">
        <f>IF(Table2[[#This Row],[Description]]="","",IF(Table2[[#This Row],[Currency]]=$O$2,$P$2,HLOOKUP(Table2[[#This Row],[Date]],Funds!$C$10:$GV$11,2,FALSE)))</f>
        <v/>
      </c>
      <c r="J4561" s="215" t="str">
        <f>IF(Table2[[#This Row],[Description]]="","",Table2[[#This Row],[Value]]/Table2[[#This Row],[Conversion]])</f>
        <v/>
      </c>
      <c r="K4561" s="45" t="str">
        <f>IF(Table2[[#This Row],[Description]]="","",DATE(Table2[[#This Row],[Year]],Table2[[#This Row],[Month]],1))</f>
        <v/>
      </c>
    </row>
    <row r="4562" spans="7:11" x14ac:dyDescent="0.25">
      <c r="G4562" s="1" t="str">
        <f>IF(Table2[[#This Row],[Description]]="","",VLOOKUP(Table2[[#This Row],[Description]],$Q$1:$S$101,2,FALSE))</f>
        <v/>
      </c>
      <c r="H4562" s="1" t="str">
        <f>IF(Table2[[#This Row],[Description]]="","",VLOOKUP(Table2[[#This Row],[Description]],$Q$1:$S$101,3,FALSE))</f>
        <v/>
      </c>
      <c r="I4562" s="1" t="str">
        <f>IF(Table2[[#This Row],[Description]]="","",IF(Table2[[#This Row],[Currency]]=$O$2,$P$2,HLOOKUP(Table2[[#This Row],[Date]],Funds!$C$10:$GV$11,2,FALSE)))</f>
        <v/>
      </c>
      <c r="J4562" s="215" t="str">
        <f>IF(Table2[[#This Row],[Description]]="","",Table2[[#This Row],[Value]]/Table2[[#This Row],[Conversion]])</f>
        <v/>
      </c>
      <c r="K4562" s="45" t="str">
        <f>IF(Table2[[#This Row],[Description]]="","",DATE(Table2[[#This Row],[Year]],Table2[[#This Row],[Month]],1))</f>
        <v/>
      </c>
    </row>
    <row r="4563" spans="7:11" x14ac:dyDescent="0.25">
      <c r="G4563" s="1" t="str">
        <f>IF(Table2[[#This Row],[Description]]="","",VLOOKUP(Table2[[#This Row],[Description]],$Q$1:$S$101,2,FALSE))</f>
        <v/>
      </c>
      <c r="H4563" s="1" t="str">
        <f>IF(Table2[[#This Row],[Description]]="","",VLOOKUP(Table2[[#This Row],[Description]],$Q$1:$S$101,3,FALSE))</f>
        <v/>
      </c>
      <c r="I4563" s="1" t="str">
        <f>IF(Table2[[#This Row],[Description]]="","",IF(Table2[[#This Row],[Currency]]=$O$2,$P$2,HLOOKUP(Table2[[#This Row],[Date]],Funds!$C$10:$GV$11,2,FALSE)))</f>
        <v/>
      </c>
      <c r="J4563" s="215" t="str">
        <f>IF(Table2[[#This Row],[Description]]="","",Table2[[#This Row],[Value]]/Table2[[#This Row],[Conversion]])</f>
        <v/>
      </c>
      <c r="K4563" s="45" t="str">
        <f>IF(Table2[[#This Row],[Description]]="","",DATE(Table2[[#This Row],[Year]],Table2[[#This Row],[Month]],1))</f>
        <v/>
      </c>
    </row>
    <row r="4564" spans="7:11" x14ac:dyDescent="0.25">
      <c r="G4564" s="1" t="str">
        <f>IF(Table2[[#This Row],[Description]]="","",VLOOKUP(Table2[[#This Row],[Description]],$Q$1:$S$101,2,FALSE))</f>
        <v/>
      </c>
      <c r="H4564" s="1" t="str">
        <f>IF(Table2[[#This Row],[Description]]="","",VLOOKUP(Table2[[#This Row],[Description]],$Q$1:$S$101,3,FALSE))</f>
        <v/>
      </c>
      <c r="I4564" s="1" t="str">
        <f>IF(Table2[[#This Row],[Description]]="","",IF(Table2[[#This Row],[Currency]]=$O$2,$P$2,HLOOKUP(Table2[[#This Row],[Date]],Funds!$C$10:$GV$11,2,FALSE)))</f>
        <v/>
      </c>
      <c r="J4564" s="215" t="str">
        <f>IF(Table2[[#This Row],[Description]]="","",Table2[[#This Row],[Value]]/Table2[[#This Row],[Conversion]])</f>
        <v/>
      </c>
      <c r="K4564" s="45" t="str">
        <f>IF(Table2[[#This Row],[Description]]="","",DATE(Table2[[#This Row],[Year]],Table2[[#This Row],[Month]],1))</f>
        <v/>
      </c>
    </row>
    <row r="4565" spans="7:11" x14ac:dyDescent="0.25">
      <c r="G4565" s="1" t="str">
        <f>IF(Table2[[#This Row],[Description]]="","",VLOOKUP(Table2[[#This Row],[Description]],$Q$1:$S$101,2,FALSE))</f>
        <v/>
      </c>
      <c r="H4565" s="1" t="str">
        <f>IF(Table2[[#This Row],[Description]]="","",VLOOKUP(Table2[[#This Row],[Description]],$Q$1:$S$101,3,FALSE))</f>
        <v/>
      </c>
      <c r="I4565" s="1" t="str">
        <f>IF(Table2[[#This Row],[Description]]="","",IF(Table2[[#This Row],[Currency]]=$O$2,$P$2,HLOOKUP(Table2[[#This Row],[Date]],Funds!$C$10:$GV$11,2,FALSE)))</f>
        <v/>
      </c>
      <c r="J4565" s="215" t="str">
        <f>IF(Table2[[#This Row],[Description]]="","",Table2[[#This Row],[Value]]/Table2[[#This Row],[Conversion]])</f>
        <v/>
      </c>
      <c r="K4565" s="45" t="str">
        <f>IF(Table2[[#This Row],[Description]]="","",DATE(Table2[[#This Row],[Year]],Table2[[#This Row],[Month]],1))</f>
        <v/>
      </c>
    </row>
    <row r="4566" spans="7:11" x14ac:dyDescent="0.25">
      <c r="G4566" s="1" t="str">
        <f>IF(Table2[[#This Row],[Description]]="","",VLOOKUP(Table2[[#This Row],[Description]],$Q$1:$S$101,2,FALSE))</f>
        <v/>
      </c>
      <c r="H4566" s="1" t="str">
        <f>IF(Table2[[#This Row],[Description]]="","",VLOOKUP(Table2[[#This Row],[Description]],$Q$1:$S$101,3,FALSE))</f>
        <v/>
      </c>
      <c r="I4566" s="1" t="str">
        <f>IF(Table2[[#This Row],[Description]]="","",IF(Table2[[#This Row],[Currency]]=$O$2,$P$2,HLOOKUP(Table2[[#This Row],[Date]],Funds!$C$10:$GV$11,2,FALSE)))</f>
        <v/>
      </c>
      <c r="J4566" s="215" t="str">
        <f>IF(Table2[[#This Row],[Description]]="","",Table2[[#This Row],[Value]]/Table2[[#This Row],[Conversion]])</f>
        <v/>
      </c>
      <c r="K4566" s="45" t="str">
        <f>IF(Table2[[#This Row],[Description]]="","",DATE(Table2[[#This Row],[Year]],Table2[[#This Row],[Month]],1))</f>
        <v/>
      </c>
    </row>
    <row r="4567" spans="7:11" x14ac:dyDescent="0.25">
      <c r="G4567" s="1" t="str">
        <f>IF(Table2[[#This Row],[Description]]="","",VLOOKUP(Table2[[#This Row],[Description]],$Q$1:$S$101,2,FALSE))</f>
        <v/>
      </c>
      <c r="H4567" s="1" t="str">
        <f>IF(Table2[[#This Row],[Description]]="","",VLOOKUP(Table2[[#This Row],[Description]],$Q$1:$S$101,3,FALSE))</f>
        <v/>
      </c>
      <c r="I4567" s="1" t="str">
        <f>IF(Table2[[#This Row],[Description]]="","",IF(Table2[[#This Row],[Currency]]=$O$2,$P$2,HLOOKUP(Table2[[#This Row],[Date]],Funds!$C$10:$GV$11,2,FALSE)))</f>
        <v/>
      </c>
      <c r="J4567" s="215" t="str">
        <f>IF(Table2[[#This Row],[Description]]="","",Table2[[#This Row],[Value]]/Table2[[#This Row],[Conversion]])</f>
        <v/>
      </c>
      <c r="K4567" s="45" t="str">
        <f>IF(Table2[[#This Row],[Description]]="","",DATE(Table2[[#This Row],[Year]],Table2[[#This Row],[Month]],1))</f>
        <v/>
      </c>
    </row>
    <row r="4568" spans="7:11" x14ac:dyDescent="0.25">
      <c r="G4568" s="1" t="str">
        <f>IF(Table2[[#This Row],[Description]]="","",VLOOKUP(Table2[[#This Row],[Description]],$Q$1:$S$101,2,FALSE))</f>
        <v/>
      </c>
      <c r="H4568" s="1" t="str">
        <f>IF(Table2[[#This Row],[Description]]="","",VLOOKUP(Table2[[#This Row],[Description]],$Q$1:$S$101,3,FALSE))</f>
        <v/>
      </c>
      <c r="I4568" s="1" t="str">
        <f>IF(Table2[[#This Row],[Description]]="","",IF(Table2[[#This Row],[Currency]]=$O$2,$P$2,HLOOKUP(Table2[[#This Row],[Date]],Funds!$C$10:$GV$11,2,FALSE)))</f>
        <v/>
      </c>
      <c r="J4568" s="215" t="str">
        <f>IF(Table2[[#This Row],[Description]]="","",Table2[[#This Row],[Value]]/Table2[[#This Row],[Conversion]])</f>
        <v/>
      </c>
      <c r="K4568" s="45" t="str">
        <f>IF(Table2[[#This Row],[Description]]="","",DATE(Table2[[#This Row],[Year]],Table2[[#This Row],[Month]],1))</f>
        <v/>
      </c>
    </row>
    <row r="4569" spans="7:11" x14ac:dyDescent="0.25">
      <c r="G4569" s="1" t="str">
        <f>IF(Table2[[#This Row],[Description]]="","",VLOOKUP(Table2[[#This Row],[Description]],$Q$1:$S$101,2,FALSE))</f>
        <v/>
      </c>
      <c r="H4569" s="1" t="str">
        <f>IF(Table2[[#This Row],[Description]]="","",VLOOKUP(Table2[[#This Row],[Description]],$Q$1:$S$101,3,FALSE))</f>
        <v/>
      </c>
      <c r="I4569" s="1" t="str">
        <f>IF(Table2[[#This Row],[Description]]="","",IF(Table2[[#This Row],[Currency]]=$O$2,$P$2,HLOOKUP(Table2[[#This Row],[Date]],Funds!$C$10:$GV$11,2,FALSE)))</f>
        <v/>
      </c>
      <c r="J4569" s="215" t="str">
        <f>IF(Table2[[#This Row],[Description]]="","",Table2[[#This Row],[Value]]/Table2[[#This Row],[Conversion]])</f>
        <v/>
      </c>
      <c r="K4569" s="45" t="str">
        <f>IF(Table2[[#This Row],[Description]]="","",DATE(Table2[[#This Row],[Year]],Table2[[#This Row],[Month]],1))</f>
        <v/>
      </c>
    </row>
    <row r="4570" spans="7:11" x14ac:dyDescent="0.25">
      <c r="G4570" s="1" t="str">
        <f>IF(Table2[[#This Row],[Description]]="","",VLOOKUP(Table2[[#This Row],[Description]],$Q$1:$S$101,2,FALSE))</f>
        <v/>
      </c>
      <c r="H4570" s="1" t="str">
        <f>IF(Table2[[#This Row],[Description]]="","",VLOOKUP(Table2[[#This Row],[Description]],$Q$1:$S$101,3,FALSE))</f>
        <v/>
      </c>
      <c r="I4570" s="1" t="str">
        <f>IF(Table2[[#This Row],[Description]]="","",IF(Table2[[#This Row],[Currency]]=$O$2,$P$2,HLOOKUP(Table2[[#This Row],[Date]],Funds!$C$10:$GV$11,2,FALSE)))</f>
        <v/>
      </c>
      <c r="J4570" s="215" t="str">
        <f>IF(Table2[[#This Row],[Description]]="","",Table2[[#This Row],[Value]]/Table2[[#This Row],[Conversion]])</f>
        <v/>
      </c>
      <c r="K4570" s="45" t="str">
        <f>IF(Table2[[#This Row],[Description]]="","",DATE(Table2[[#This Row],[Year]],Table2[[#This Row],[Month]],1))</f>
        <v/>
      </c>
    </row>
    <row r="4571" spans="7:11" x14ac:dyDescent="0.25">
      <c r="G4571" s="1" t="str">
        <f>IF(Table2[[#This Row],[Description]]="","",VLOOKUP(Table2[[#This Row],[Description]],$Q$1:$S$101,2,FALSE))</f>
        <v/>
      </c>
      <c r="H4571" s="1" t="str">
        <f>IF(Table2[[#This Row],[Description]]="","",VLOOKUP(Table2[[#This Row],[Description]],$Q$1:$S$101,3,FALSE))</f>
        <v/>
      </c>
      <c r="I4571" s="1" t="str">
        <f>IF(Table2[[#This Row],[Description]]="","",IF(Table2[[#This Row],[Currency]]=$O$2,$P$2,HLOOKUP(Table2[[#This Row],[Date]],Funds!$C$10:$GV$11,2,FALSE)))</f>
        <v/>
      </c>
      <c r="J4571" s="215" t="str">
        <f>IF(Table2[[#This Row],[Description]]="","",Table2[[#This Row],[Value]]/Table2[[#This Row],[Conversion]])</f>
        <v/>
      </c>
      <c r="K4571" s="45" t="str">
        <f>IF(Table2[[#This Row],[Description]]="","",DATE(Table2[[#This Row],[Year]],Table2[[#This Row],[Month]],1))</f>
        <v/>
      </c>
    </row>
    <row r="4572" spans="7:11" x14ac:dyDescent="0.25">
      <c r="G4572" s="1" t="str">
        <f>IF(Table2[[#This Row],[Description]]="","",VLOOKUP(Table2[[#This Row],[Description]],$Q$1:$S$101,2,FALSE))</f>
        <v/>
      </c>
      <c r="H4572" s="1" t="str">
        <f>IF(Table2[[#This Row],[Description]]="","",VLOOKUP(Table2[[#This Row],[Description]],$Q$1:$S$101,3,FALSE))</f>
        <v/>
      </c>
      <c r="I4572" s="1" t="str">
        <f>IF(Table2[[#This Row],[Description]]="","",IF(Table2[[#This Row],[Currency]]=$O$2,$P$2,HLOOKUP(Table2[[#This Row],[Date]],Funds!$C$10:$GV$11,2,FALSE)))</f>
        <v/>
      </c>
      <c r="J4572" s="215" t="str">
        <f>IF(Table2[[#This Row],[Description]]="","",Table2[[#This Row],[Value]]/Table2[[#This Row],[Conversion]])</f>
        <v/>
      </c>
      <c r="K4572" s="45" t="str">
        <f>IF(Table2[[#This Row],[Description]]="","",DATE(Table2[[#This Row],[Year]],Table2[[#This Row],[Month]],1))</f>
        <v/>
      </c>
    </row>
    <row r="4573" spans="7:11" x14ac:dyDescent="0.25">
      <c r="G4573" s="1" t="str">
        <f>IF(Table2[[#This Row],[Description]]="","",VLOOKUP(Table2[[#This Row],[Description]],$Q$1:$S$101,2,FALSE))</f>
        <v/>
      </c>
      <c r="H4573" s="1" t="str">
        <f>IF(Table2[[#This Row],[Description]]="","",VLOOKUP(Table2[[#This Row],[Description]],$Q$1:$S$101,3,FALSE))</f>
        <v/>
      </c>
      <c r="I4573" s="1" t="str">
        <f>IF(Table2[[#This Row],[Description]]="","",IF(Table2[[#This Row],[Currency]]=$O$2,$P$2,HLOOKUP(Table2[[#This Row],[Date]],Funds!$C$10:$GV$11,2,FALSE)))</f>
        <v/>
      </c>
      <c r="J4573" s="215" t="str">
        <f>IF(Table2[[#This Row],[Description]]="","",Table2[[#This Row],[Value]]/Table2[[#This Row],[Conversion]])</f>
        <v/>
      </c>
      <c r="K4573" s="45" t="str">
        <f>IF(Table2[[#This Row],[Description]]="","",DATE(Table2[[#This Row],[Year]],Table2[[#This Row],[Month]],1))</f>
        <v/>
      </c>
    </row>
    <row r="4574" spans="7:11" x14ac:dyDescent="0.25">
      <c r="G4574" s="1" t="str">
        <f>IF(Table2[[#This Row],[Description]]="","",VLOOKUP(Table2[[#This Row],[Description]],$Q$1:$S$101,2,FALSE))</f>
        <v/>
      </c>
      <c r="H4574" s="1" t="str">
        <f>IF(Table2[[#This Row],[Description]]="","",VLOOKUP(Table2[[#This Row],[Description]],$Q$1:$S$101,3,FALSE))</f>
        <v/>
      </c>
      <c r="I4574" s="1" t="str">
        <f>IF(Table2[[#This Row],[Description]]="","",IF(Table2[[#This Row],[Currency]]=$O$2,$P$2,HLOOKUP(Table2[[#This Row],[Date]],Funds!$C$10:$GV$11,2,FALSE)))</f>
        <v/>
      </c>
      <c r="J4574" s="215" t="str">
        <f>IF(Table2[[#This Row],[Description]]="","",Table2[[#This Row],[Value]]/Table2[[#This Row],[Conversion]])</f>
        <v/>
      </c>
      <c r="K4574" s="45" t="str">
        <f>IF(Table2[[#This Row],[Description]]="","",DATE(Table2[[#This Row],[Year]],Table2[[#This Row],[Month]],1))</f>
        <v/>
      </c>
    </row>
    <row r="4575" spans="7:11" x14ac:dyDescent="0.25">
      <c r="G4575" s="1" t="str">
        <f>IF(Table2[[#This Row],[Description]]="","",VLOOKUP(Table2[[#This Row],[Description]],$Q$1:$S$101,2,FALSE))</f>
        <v/>
      </c>
      <c r="H4575" s="1" t="str">
        <f>IF(Table2[[#This Row],[Description]]="","",VLOOKUP(Table2[[#This Row],[Description]],$Q$1:$S$101,3,FALSE))</f>
        <v/>
      </c>
      <c r="I4575" s="1" t="str">
        <f>IF(Table2[[#This Row],[Description]]="","",IF(Table2[[#This Row],[Currency]]=$O$2,$P$2,HLOOKUP(Table2[[#This Row],[Date]],Funds!$C$10:$GV$11,2,FALSE)))</f>
        <v/>
      </c>
      <c r="J4575" s="215" t="str">
        <f>IF(Table2[[#This Row],[Description]]="","",Table2[[#This Row],[Value]]/Table2[[#This Row],[Conversion]])</f>
        <v/>
      </c>
      <c r="K4575" s="45" t="str">
        <f>IF(Table2[[#This Row],[Description]]="","",DATE(Table2[[#This Row],[Year]],Table2[[#This Row],[Month]],1))</f>
        <v/>
      </c>
    </row>
    <row r="4576" spans="7:11" x14ac:dyDescent="0.25">
      <c r="G4576" s="1" t="str">
        <f>IF(Table2[[#This Row],[Description]]="","",VLOOKUP(Table2[[#This Row],[Description]],$Q$1:$S$101,2,FALSE))</f>
        <v/>
      </c>
      <c r="H4576" s="1" t="str">
        <f>IF(Table2[[#This Row],[Description]]="","",VLOOKUP(Table2[[#This Row],[Description]],$Q$1:$S$101,3,FALSE))</f>
        <v/>
      </c>
      <c r="I4576" s="1" t="str">
        <f>IF(Table2[[#This Row],[Description]]="","",IF(Table2[[#This Row],[Currency]]=$O$2,$P$2,HLOOKUP(Table2[[#This Row],[Date]],Funds!$C$10:$GV$11,2,FALSE)))</f>
        <v/>
      </c>
      <c r="J4576" s="215" t="str">
        <f>IF(Table2[[#This Row],[Description]]="","",Table2[[#This Row],[Value]]/Table2[[#This Row],[Conversion]])</f>
        <v/>
      </c>
      <c r="K4576" s="45" t="str">
        <f>IF(Table2[[#This Row],[Description]]="","",DATE(Table2[[#This Row],[Year]],Table2[[#This Row],[Month]],1))</f>
        <v/>
      </c>
    </row>
    <row r="4577" spans="7:11" x14ac:dyDescent="0.25">
      <c r="G4577" s="1" t="str">
        <f>IF(Table2[[#This Row],[Description]]="","",VLOOKUP(Table2[[#This Row],[Description]],$Q$1:$S$101,2,FALSE))</f>
        <v/>
      </c>
      <c r="H4577" s="1" t="str">
        <f>IF(Table2[[#This Row],[Description]]="","",VLOOKUP(Table2[[#This Row],[Description]],$Q$1:$S$101,3,FALSE))</f>
        <v/>
      </c>
      <c r="I4577" s="1" t="str">
        <f>IF(Table2[[#This Row],[Description]]="","",IF(Table2[[#This Row],[Currency]]=$O$2,$P$2,HLOOKUP(Table2[[#This Row],[Date]],Funds!$C$10:$GV$11,2,FALSE)))</f>
        <v/>
      </c>
      <c r="J4577" s="215" t="str">
        <f>IF(Table2[[#This Row],[Description]]="","",Table2[[#This Row],[Value]]/Table2[[#This Row],[Conversion]])</f>
        <v/>
      </c>
      <c r="K4577" s="45" t="str">
        <f>IF(Table2[[#This Row],[Description]]="","",DATE(Table2[[#This Row],[Year]],Table2[[#This Row],[Month]],1))</f>
        <v/>
      </c>
    </row>
    <row r="4578" spans="7:11" x14ac:dyDescent="0.25">
      <c r="G4578" s="1" t="str">
        <f>IF(Table2[[#This Row],[Description]]="","",VLOOKUP(Table2[[#This Row],[Description]],$Q$1:$S$101,2,FALSE))</f>
        <v/>
      </c>
      <c r="H4578" s="1" t="str">
        <f>IF(Table2[[#This Row],[Description]]="","",VLOOKUP(Table2[[#This Row],[Description]],$Q$1:$S$101,3,FALSE))</f>
        <v/>
      </c>
      <c r="I4578" s="1" t="str">
        <f>IF(Table2[[#This Row],[Description]]="","",IF(Table2[[#This Row],[Currency]]=$O$2,$P$2,HLOOKUP(Table2[[#This Row],[Date]],Funds!$C$10:$GV$11,2,FALSE)))</f>
        <v/>
      </c>
      <c r="J4578" s="215" t="str">
        <f>IF(Table2[[#This Row],[Description]]="","",Table2[[#This Row],[Value]]/Table2[[#This Row],[Conversion]])</f>
        <v/>
      </c>
      <c r="K4578" s="45" t="str">
        <f>IF(Table2[[#This Row],[Description]]="","",DATE(Table2[[#This Row],[Year]],Table2[[#This Row],[Month]],1))</f>
        <v/>
      </c>
    </row>
    <row r="4579" spans="7:11" x14ac:dyDescent="0.25">
      <c r="G4579" s="1" t="str">
        <f>IF(Table2[[#This Row],[Description]]="","",VLOOKUP(Table2[[#This Row],[Description]],$Q$1:$S$101,2,FALSE))</f>
        <v/>
      </c>
      <c r="H4579" s="1" t="str">
        <f>IF(Table2[[#This Row],[Description]]="","",VLOOKUP(Table2[[#This Row],[Description]],$Q$1:$S$101,3,FALSE))</f>
        <v/>
      </c>
      <c r="I4579" s="1" t="str">
        <f>IF(Table2[[#This Row],[Description]]="","",IF(Table2[[#This Row],[Currency]]=$O$2,$P$2,HLOOKUP(Table2[[#This Row],[Date]],Funds!$C$10:$GV$11,2,FALSE)))</f>
        <v/>
      </c>
      <c r="J4579" s="215" t="str">
        <f>IF(Table2[[#This Row],[Description]]="","",Table2[[#This Row],[Value]]/Table2[[#This Row],[Conversion]])</f>
        <v/>
      </c>
      <c r="K4579" s="45" t="str">
        <f>IF(Table2[[#This Row],[Description]]="","",DATE(Table2[[#This Row],[Year]],Table2[[#This Row],[Month]],1))</f>
        <v/>
      </c>
    </row>
    <row r="4580" spans="7:11" x14ac:dyDescent="0.25">
      <c r="G4580" s="1" t="str">
        <f>IF(Table2[[#This Row],[Description]]="","",VLOOKUP(Table2[[#This Row],[Description]],$Q$1:$S$101,2,FALSE))</f>
        <v/>
      </c>
      <c r="H4580" s="1" t="str">
        <f>IF(Table2[[#This Row],[Description]]="","",VLOOKUP(Table2[[#This Row],[Description]],$Q$1:$S$101,3,FALSE))</f>
        <v/>
      </c>
      <c r="I4580" s="1" t="str">
        <f>IF(Table2[[#This Row],[Description]]="","",IF(Table2[[#This Row],[Currency]]=$O$2,$P$2,HLOOKUP(Table2[[#This Row],[Date]],Funds!$C$10:$GV$11,2,FALSE)))</f>
        <v/>
      </c>
      <c r="J4580" s="215" t="str">
        <f>IF(Table2[[#This Row],[Description]]="","",Table2[[#This Row],[Value]]/Table2[[#This Row],[Conversion]])</f>
        <v/>
      </c>
      <c r="K4580" s="45" t="str">
        <f>IF(Table2[[#This Row],[Description]]="","",DATE(Table2[[#This Row],[Year]],Table2[[#This Row],[Month]],1))</f>
        <v/>
      </c>
    </row>
    <row r="4581" spans="7:11" x14ac:dyDescent="0.25">
      <c r="G4581" s="1" t="str">
        <f>IF(Table2[[#This Row],[Description]]="","",VLOOKUP(Table2[[#This Row],[Description]],$Q$1:$S$101,2,FALSE))</f>
        <v/>
      </c>
      <c r="H4581" s="1" t="str">
        <f>IF(Table2[[#This Row],[Description]]="","",VLOOKUP(Table2[[#This Row],[Description]],$Q$1:$S$101,3,FALSE))</f>
        <v/>
      </c>
      <c r="I4581" s="1" t="str">
        <f>IF(Table2[[#This Row],[Description]]="","",IF(Table2[[#This Row],[Currency]]=$O$2,$P$2,HLOOKUP(Table2[[#This Row],[Date]],Funds!$C$10:$GV$11,2,FALSE)))</f>
        <v/>
      </c>
      <c r="J4581" s="215" t="str">
        <f>IF(Table2[[#This Row],[Description]]="","",Table2[[#This Row],[Value]]/Table2[[#This Row],[Conversion]])</f>
        <v/>
      </c>
      <c r="K4581" s="45" t="str">
        <f>IF(Table2[[#This Row],[Description]]="","",DATE(Table2[[#This Row],[Year]],Table2[[#This Row],[Month]],1))</f>
        <v/>
      </c>
    </row>
    <row r="4582" spans="7:11" x14ac:dyDescent="0.25">
      <c r="G4582" s="1" t="str">
        <f>IF(Table2[[#This Row],[Description]]="","",VLOOKUP(Table2[[#This Row],[Description]],$Q$1:$S$101,2,FALSE))</f>
        <v/>
      </c>
      <c r="H4582" s="1" t="str">
        <f>IF(Table2[[#This Row],[Description]]="","",VLOOKUP(Table2[[#This Row],[Description]],$Q$1:$S$101,3,FALSE))</f>
        <v/>
      </c>
      <c r="I4582" s="1" t="str">
        <f>IF(Table2[[#This Row],[Description]]="","",IF(Table2[[#This Row],[Currency]]=$O$2,$P$2,HLOOKUP(Table2[[#This Row],[Date]],Funds!$C$10:$GV$11,2,FALSE)))</f>
        <v/>
      </c>
      <c r="J4582" s="215" t="str">
        <f>IF(Table2[[#This Row],[Description]]="","",Table2[[#This Row],[Value]]/Table2[[#This Row],[Conversion]])</f>
        <v/>
      </c>
      <c r="K4582" s="45" t="str">
        <f>IF(Table2[[#This Row],[Description]]="","",DATE(Table2[[#This Row],[Year]],Table2[[#This Row],[Month]],1))</f>
        <v/>
      </c>
    </row>
    <row r="4583" spans="7:11" x14ac:dyDescent="0.25">
      <c r="G4583" s="1" t="str">
        <f>IF(Table2[[#This Row],[Description]]="","",VLOOKUP(Table2[[#This Row],[Description]],$Q$1:$S$101,2,FALSE))</f>
        <v/>
      </c>
      <c r="H4583" s="1" t="str">
        <f>IF(Table2[[#This Row],[Description]]="","",VLOOKUP(Table2[[#This Row],[Description]],$Q$1:$S$101,3,FALSE))</f>
        <v/>
      </c>
      <c r="I4583" s="1" t="str">
        <f>IF(Table2[[#This Row],[Description]]="","",IF(Table2[[#This Row],[Currency]]=$O$2,$P$2,HLOOKUP(Table2[[#This Row],[Date]],Funds!$C$10:$GV$11,2,FALSE)))</f>
        <v/>
      </c>
      <c r="J4583" s="215" t="str">
        <f>IF(Table2[[#This Row],[Description]]="","",Table2[[#This Row],[Value]]/Table2[[#This Row],[Conversion]])</f>
        <v/>
      </c>
      <c r="K4583" s="45" t="str">
        <f>IF(Table2[[#This Row],[Description]]="","",DATE(Table2[[#This Row],[Year]],Table2[[#This Row],[Month]],1))</f>
        <v/>
      </c>
    </row>
    <row r="4584" spans="7:11" x14ac:dyDescent="0.25">
      <c r="G4584" s="1" t="str">
        <f>IF(Table2[[#This Row],[Description]]="","",VLOOKUP(Table2[[#This Row],[Description]],$Q$1:$S$101,2,FALSE))</f>
        <v/>
      </c>
      <c r="H4584" s="1" t="str">
        <f>IF(Table2[[#This Row],[Description]]="","",VLOOKUP(Table2[[#This Row],[Description]],$Q$1:$S$101,3,FALSE))</f>
        <v/>
      </c>
      <c r="I4584" s="1" t="str">
        <f>IF(Table2[[#This Row],[Description]]="","",IF(Table2[[#This Row],[Currency]]=$O$2,$P$2,HLOOKUP(Table2[[#This Row],[Date]],Funds!$C$10:$GV$11,2,FALSE)))</f>
        <v/>
      </c>
      <c r="J4584" s="215" t="str">
        <f>IF(Table2[[#This Row],[Description]]="","",Table2[[#This Row],[Value]]/Table2[[#This Row],[Conversion]])</f>
        <v/>
      </c>
      <c r="K4584" s="45" t="str">
        <f>IF(Table2[[#This Row],[Description]]="","",DATE(Table2[[#This Row],[Year]],Table2[[#This Row],[Month]],1))</f>
        <v/>
      </c>
    </row>
    <row r="4585" spans="7:11" x14ac:dyDescent="0.25">
      <c r="G4585" s="1" t="str">
        <f>IF(Table2[[#This Row],[Description]]="","",VLOOKUP(Table2[[#This Row],[Description]],$Q$1:$S$101,2,FALSE))</f>
        <v/>
      </c>
      <c r="H4585" s="1" t="str">
        <f>IF(Table2[[#This Row],[Description]]="","",VLOOKUP(Table2[[#This Row],[Description]],$Q$1:$S$101,3,FALSE))</f>
        <v/>
      </c>
      <c r="I4585" s="1" t="str">
        <f>IF(Table2[[#This Row],[Description]]="","",IF(Table2[[#This Row],[Currency]]=$O$2,$P$2,HLOOKUP(Table2[[#This Row],[Date]],Funds!$C$10:$GV$11,2,FALSE)))</f>
        <v/>
      </c>
      <c r="J4585" s="215" t="str">
        <f>IF(Table2[[#This Row],[Description]]="","",Table2[[#This Row],[Value]]/Table2[[#This Row],[Conversion]])</f>
        <v/>
      </c>
      <c r="K4585" s="45" t="str">
        <f>IF(Table2[[#This Row],[Description]]="","",DATE(Table2[[#This Row],[Year]],Table2[[#This Row],[Month]],1))</f>
        <v/>
      </c>
    </row>
    <row r="4586" spans="7:11" x14ac:dyDescent="0.25">
      <c r="G4586" s="1" t="str">
        <f>IF(Table2[[#This Row],[Description]]="","",VLOOKUP(Table2[[#This Row],[Description]],$Q$1:$S$101,2,FALSE))</f>
        <v/>
      </c>
      <c r="H4586" s="1" t="str">
        <f>IF(Table2[[#This Row],[Description]]="","",VLOOKUP(Table2[[#This Row],[Description]],$Q$1:$S$101,3,FALSE))</f>
        <v/>
      </c>
      <c r="I4586" s="1" t="str">
        <f>IF(Table2[[#This Row],[Description]]="","",IF(Table2[[#This Row],[Currency]]=$O$2,$P$2,HLOOKUP(Table2[[#This Row],[Date]],Funds!$C$10:$GV$11,2,FALSE)))</f>
        <v/>
      </c>
      <c r="J4586" s="215" t="str">
        <f>IF(Table2[[#This Row],[Description]]="","",Table2[[#This Row],[Value]]/Table2[[#This Row],[Conversion]])</f>
        <v/>
      </c>
      <c r="K4586" s="45" t="str">
        <f>IF(Table2[[#This Row],[Description]]="","",DATE(Table2[[#This Row],[Year]],Table2[[#This Row],[Month]],1))</f>
        <v/>
      </c>
    </row>
    <row r="4587" spans="7:11" x14ac:dyDescent="0.25">
      <c r="G4587" s="1" t="str">
        <f>IF(Table2[[#This Row],[Description]]="","",VLOOKUP(Table2[[#This Row],[Description]],$Q$1:$S$101,2,FALSE))</f>
        <v/>
      </c>
      <c r="H4587" s="1" t="str">
        <f>IF(Table2[[#This Row],[Description]]="","",VLOOKUP(Table2[[#This Row],[Description]],$Q$1:$S$101,3,FALSE))</f>
        <v/>
      </c>
      <c r="I4587" s="1" t="str">
        <f>IF(Table2[[#This Row],[Description]]="","",IF(Table2[[#This Row],[Currency]]=$O$2,$P$2,HLOOKUP(Table2[[#This Row],[Date]],Funds!$C$10:$GV$11,2,FALSE)))</f>
        <v/>
      </c>
      <c r="J4587" s="215" t="str">
        <f>IF(Table2[[#This Row],[Description]]="","",Table2[[#This Row],[Value]]/Table2[[#This Row],[Conversion]])</f>
        <v/>
      </c>
      <c r="K4587" s="45" t="str">
        <f>IF(Table2[[#This Row],[Description]]="","",DATE(Table2[[#This Row],[Year]],Table2[[#This Row],[Month]],1))</f>
        <v/>
      </c>
    </row>
    <row r="4588" spans="7:11" x14ac:dyDescent="0.25">
      <c r="G4588" s="1" t="str">
        <f>IF(Table2[[#This Row],[Description]]="","",VLOOKUP(Table2[[#This Row],[Description]],$Q$1:$S$101,2,FALSE))</f>
        <v/>
      </c>
      <c r="H4588" s="1" t="str">
        <f>IF(Table2[[#This Row],[Description]]="","",VLOOKUP(Table2[[#This Row],[Description]],$Q$1:$S$101,3,FALSE))</f>
        <v/>
      </c>
      <c r="I4588" s="1" t="str">
        <f>IF(Table2[[#This Row],[Description]]="","",IF(Table2[[#This Row],[Currency]]=$O$2,$P$2,HLOOKUP(Table2[[#This Row],[Date]],Funds!$C$10:$GV$11,2,FALSE)))</f>
        <v/>
      </c>
      <c r="J4588" s="215" t="str">
        <f>IF(Table2[[#This Row],[Description]]="","",Table2[[#This Row],[Value]]/Table2[[#This Row],[Conversion]])</f>
        <v/>
      </c>
      <c r="K4588" s="45" t="str">
        <f>IF(Table2[[#This Row],[Description]]="","",DATE(Table2[[#This Row],[Year]],Table2[[#This Row],[Month]],1))</f>
        <v/>
      </c>
    </row>
    <row r="4589" spans="7:11" x14ac:dyDescent="0.25">
      <c r="G4589" s="1" t="str">
        <f>IF(Table2[[#This Row],[Description]]="","",VLOOKUP(Table2[[#This Row],[Description]],$Q$1:$S$101,2,FALSE))</f>
        <v/>
      </c>
      <c r="H4589" s="1" t="str">
        <f>IF(Table2[[#This Row],[Description]]="","",VLOOKUP(Table2[[#This Row],[Description]],$Q$1:$S$101,3,FALSE))</f>
        <v/>
      </c>
      <c r="I4589" s="1" t="str">
        <f>IF(Table2[[#This Row],[Description]]="","",IF(Table2[[#This Row],[Currency]]=$O$2,$P$2,HLOOKUP(Table2[[#This Row],[Date]],Funds!$C$10:$GV$11,2,FALSE)))</f>
        <v/>
      </c>
      <c r="J4589" s="215" t="str">
        <f>IF(Table2[[#This Row],[Description]]="","",Table2[[#This Row],[Value]]/Table2[[#This Row],[Conversion]])</f>
        <v/>
      </c>
      <c r="K4589" s="45" t="str">
        <f>IF(Table2[[#This Row],[Description]]="","",DATE(Table2[[#This Row],[Year]],Table2[[#This Row],[Month]],1))</f>
        <v/>
      </c>
    </row>
    <row r="4590" spans="7:11" x14ac:dyDescent="0.25">
      <c r="G4590" s="1" t="str">
        <f>IF(Table2[[#This Row],[Description]]="","",VLOOKUP(Table2[[#This Row],[Description]],$Q$1:$S$101,2,FALSE))</f>
        <v/>
      </c>
      <c r="H4590" s="1" t="str">
        <f>IF(Table2[[#This Row],[Description]]="","",VLOOKUP(Table2[[#This Row],[Description]],$Q$1:$S$101,3,FALSE))</f>
        <v/>
      </c>
      <c r="I4590" s="1" t="str">
        <f>IF(Table2[[#This Row],[Description]]="","",IF(Table2[[#This Row],[Currency]]=$O$2,$P$2,HLOOKUP(Table2[[#This Row],[Date]],Funds!$C$10:$GV$11,2,FALSE)))</f>
        <v/>
      </c>
      <c r="J4590" s="215" t="str">
        <f>IF(Table2[[#This Row],[Description]]="","",Table2[[#This Row],[Value]]/Table2[[#This Row],[Conversion]])</f>
        <v/>
      </c>
      <c r="K4590" s="45" t="str">
        <f>IF(Table2[[#This Row],[Description]]="","",DATE(Table2[[#This Row],[Year]],Table2[[#This Row],[Month]],1))</f>
        <v/>
      </c>
    </row>
    <row r="4591" spans="7:11" x14ac:dyDescent="0.25">
      <c r="G4591" s="1" t="str">
        <f>IF(Table2[[#This Row],[Description]]="","",VLOOKUP(Table2[[#This Row],[Description]],$Q$1:$S$101,2,FALSE))</f>
        <v/>
      </c>
      <c r="H4591" s="1" t="str">
        <f>IF(Table2[[#This Row],[Description]]="","",VLOOKUP(Table2[[#This Row],[Description]],$Q$1:$S$101,3,FALSE))</f>
        <v/>
      </c>
      <c r="I4591" s="1" t="str">
        <f>IF(Table2[[#This Row],[Description]]="","",IF(Table2[[#This Row],[Currency]]=$O$2,$P$2,HLOOKUP(Table2[[#This Row],[Date]],Funds!$C$10:$GV$11,2,FALSE)))</f>
        <v/>
      </c>
      <c r="J4591" s="215" t="str">
        <f>IF(Table2[[#This Row],[Description]]="","",Table2[[#This Row],[Value]]/Table2[[#This Row],[Conversion]])</f>
        <v/>
      </c>
      <c r="K4591" s="45" t="str">
        <f>IF(Table2[[#This Row],[Description]]="","",DATE(Table2[[#This Row],[Year]],Table2[[#This Row],[Month]],1))</f>
        <v/>
      </c>
    </row>
    <row r="4592" spans="7:11" x14ac:dyDescent="0.25">
      <c r="G4592" s="1" t="str">
        <f>IF(Table2[[#This Row],[Description]]="","",VLOOKUP(Table2[[#This Row],[Description]],$Q$1:$S$101,2,FALSE))</f>
        <v/>
      </c>
      <c r="H4592" s="1" t="str">
        <f>IF(Table2[[#This Row],[Description]]="","",VLOOKUP(Table2[[#This Row],[Description]],$Q$1:$S$101,3,FALSE))</f>
        <v/>
      </c>
      <c r="I4592" s="1" t="str">
        <f>IF(Table2[[#This Row],[Description]]="","",IF(Table2[[#This Row],[Currency]]=$O$2,$P$2,HLOOKUP(Table2[[#This Row],[Date]],Funds!$C$10:$GV$11,2,FALSE)))</f>
        <v/>
      </c>
      <c r="J4592" s="215" t="str">
        <f>IF(Table2[[#This Row],[Description]]="","",Table2[[#This Row],[Value]]/Table2[[#This Row],[Conversion]])</f>
        <v/>
      </c>
      <c r="K4592" s="45" t="str">
        <f>IF(Table2[[#This Row],[Description]]="","",DATE(Table2[[#This Row],[Year]],Table2[[#This Row],[Month]],1))</f>
        <v/>
      </c>
    </row>
    <row r="4593" spans="7:11" x14ac:dyDescent="0.25">
      <c r="G4593" s="1" t="str">
        <f>IF(Table2[[#This Row],[Description]]="","",VLOOKUP(Table2[[#This Row],[Description]],$Q$1:$S$101,2,FALSE))</f>
        <v/>
      </c>
      <c r="H4593" s="1" t="str">
        <f>IF(Table2[[#This Row],[Description]]="","",VLOOKUP(Table2[[#This Row],[Description]],$Q$1:$S$101,3,FALSE))</f>
        <v/>
      </c>
      <c r="I4593" s="1" t="str">
        <f>IF(Table2[[#This Row],[Description]]="","",IF(Table2[[#This Row],[Currency]]=$O$2,$P$2,HLOOKUP(Table2[[#This Row],[Date]],Funds!$C$10:$GV$11,2,FALSE)))</f>
        <v/>
      </c>
      <c r="J4593" s="215" t="str">
        <f>IF(Table2[[#This Row],[Description]]="","",Table2[[#This Row],[Value]]/Table2[[#This Row],[Conversion]])</f>
        <v/>
      </c>
      <c r="K4593" s="45" t="str">
        <f>IF(Table2[[#This Row],[Description]]="","",DATE(Table2[[#This Row],[Year]],Table2[[#This Row],[Month]],1))</f>
        <v/>
      </c>
    </row>
    <row r="4594" spans="7:11" x14ac:dyDescent="0.25">
      <c r="G4594" s="1" t="str">
        <f>IF(Table2[[#This Row],[Description]]="","",VLOOKUP(Table2[[#This Row],[Description]],$Q$1:$S$101,2,FALSE))</f>
        <v/>
      </c>
      <c r="H4594" s="1" t="str">
        <f>IF(Table2[[#This Row],[Description]]="","",VLOOKUP(Table2[[#This Row],[Description]],$Q$1:$S$101,3,FALSE))</f>
        <v/>
      </c>
      <c r="I4594" s="1" t="str">
        <f>IF(Table2[[#This Row],[Description]]="","",IF(Table2[[#This Row],[Currency]]=$O$2,$P$2,HLOOKUP(Table2[[#This Row],[Date]],Funds!$C$10:$GV$11,2,FALSE)))</f>
        <v/>
      </c>
      <c r="J4594" s="215" t="str">
        <f>IF(Table2[[#This Row],[Description]]="","",Table2[[#This Row],[Value]]/Table2[[#This Row],[Conversion]])</f>
        <v/>
      </c>
      <c r="K4594" s="45" t="str">
        <f>IF(Table2[[#This Row],[Description]]="","",DATE(Table2[[#This Row],[Year]],Table2[[#This Row],[Month]],1))</f>
        <v/>
      </c>
    </row>
    <row r="4595" spans="7:11" x14ac:dyDescent="0.25">
      <c r="G4595" s="1" t="str">
        <f>IF(Table2[[#This Row],[Description]]="","",VLOOKUP(Table2[[#This Row],[Description]],$Q$1:$S$101,2,FALSE))</f>
        <v/>
      </c>
      <c r="H4595" s="1" t="str">
        <f>IF(Table2[[#This Row],[Description]]="","",VLOOKUP(Table2[[#This Row],[Description]],$Q$1:$S$101,3,FALSE))</f>
        <v/>
      </c>
      <c r="I4595" s="1" t="str">
        <f>IF(Table2[[#This Row],[Description]]="","",IF(Table2[[#This Row],[Currency]]=$O$2,$P$2,HLOOKUP(Table2[[#This Row],[Date]],Funds!$C$10:$GV$11,2,FALSE)))</f>
        <v/>
      </c>
      <c r="J4595" s="215" t="str">
        <f>IF(Table2[[#This Row],[Description]]="","",Table2[[#This Row],[Value]]/Table2[[#This Row],[Conversion]])</f>
        <v/>
      </c>
      <c r="K4595" s="45" t="str">
        <f>IF(Table2[[#This Row],[Description]]="","",DATE(Table2[[#This Row],[Year]],Table2[[#This Row],[Month]],1))</f>
        <v/>
      </c>
    </row>
    <row r="4596" spans="7:11" x14ac:dyDescent="0.25">
      <c r="G4596" s="1" t="str">
        <f>IF(Table2[[#This Row],[Description]]="","",VLOOKUP(Table2[[#This Row],[Description]],$Q$1:$S$101,2,FALSE))</f>
        <v/>
      </c>
      <c r="H4596" s="1" t="str">
        <f>IF(Table2[[#This Row],[Description]]="","",VLOOKUP(Table2[[#This Row],[Description]],$Q$1:$S$101,3,FALSE))</f>
        <v/>
      </c>
      <c r="I4596" s="1" t="str">
        <f>IF(Table2[[#This Row],[Description]]="","",IF(Table2[[#This Row],[Currency]]=$O$2,$P$2,HLOOKUP(Table2[[#This Row],[Date]],Funds!$C$10:$GV$11,2,FALSE)))</f>
        <v/>
      </c>
      <c r="J4596" s="215" t="str">
        <f>IF(Table2[[#This Row],[Description]]="","",Table2[[#This Row],[Value]]/Table2[[#This Row],[Conversion]])</f>
        <v/>
      </c>
      <c r="K4596" s="45" t="str">
        <f>IF(Table2[[#This Row],[Description]]="","",DATE(Table2[[#This Row],[Year]],Table2[[#This Row],[Month]],1))</f>
        <v/>
      </c>
    </row>
    <row r="4597" spans="7:11" x14ac:dyDescent="0.25">
      <c r="G4597" s="1" t="str">
        <f>IF(Table2[[#This Row],[Description]]="","",VLOOKUP(Table2[[#This Row],[Description]],$Q$1:$S$101,2,FALSE))</f>
        <v/>
      </c>
      <c r="H4597" s="1" t="str">
        <f>IF(Table2[[#This Row],[Description]]="","",VLOOKUP(Table2[[#This Row],[Description]],$Q$1:$S$101,3,FALSE))</f>
        <v/>
      </c>
      <c r="I4597" s="1" t="str">
        <f>IF(Table2[[#This Row],[Description]]="","",IF(Table2[[#This Row],[Currency]]=$O$2,$P$2,HLOOKUP(Table2[[#This Row],[Date]],Funds!$C$10:$GV$11,2,FALSE)))</f>
        <v/>
      </c>
      <c r="J4597" s="215" t="str">
        <f>IF(Table2[[#This Row],[Description]]="","",Table2[[#This Row],[Value]]/Table2[[#This Row],[Conversion]])</f>
        <v/>
      </c>
      <c r="K4597" s="45" t="str">
        <f>IF(Table2[[#This Row],[Description]]="","",DATE(Table2[[#This Row],[Year]],Table2[[#This Row],[Month]],1))</f>
        <v/>
      </c>
    </row>
    <row r="4598" spans="7:11" x14ac:dyDescent="0.25">
      <c r="G4598" s="1" t="str">
        <f>IF(Table2[[#This Row],[Description]]="","",VLOOKUP(Table2[[#This Row],[Description]],$Q$1:$S$101,2,FALSE))</f>
        <v/>
      </c>
      <c r="H4598" s="1" t="str">
        <f>IF(Table2[[#This Row],[Description]]="","",VLOOKUP(Table2[[#This Row],[Description]],$Q$1:$S$101,3,FALSE))</f>
        <v/>
      </c>
      <c r="I4598" s="1" t="str">
        <f>IF(Table2[[#This Row],[Description]]="","",IF(Table2[[#This Row],[Currency]]=$O$2,$P$2,HLOOKUP(Table2[[#This Row],[Date]],Funds!$C$10:$GV$11,2,FALSE)))</f>
        <v/>
      </c>
      <c r="J4598" s="215" t="str">
        <f>IF(Table2[[#This Row],[Description]]="","",Table2[[#This Row],[Value]]/Table2[[#This Row],[Conversion]])</f>
        <v/>
      </c>
      <c r="K4598" s="45" t="str">
        <f>IF(Table2[[#This Row],[Description]]="","",DATE(Table2[[#This Row],[Year]],Table2[[#This Row],[Month]],1))</f>
        <v/>
      </c>
    </row>
    <row r="4599" spans="7:11" x14ac:dyDescent="0.25">
      <c r="G4599" s="1" t="str">
        <f>IF(Table2[[#This Row],[Description]]="","",VLOOKUP(Table2[[#This Row],[Description]],$Q$1:$S$101,2,FALSE))</f>
        <v/>
      </c>
      <c r="H4599" s="1" t="str">
        <f>IF(Table2[[#This Row],[Description]]="","",VLOOKUP(Table2[[#This Row],[Description]],$Q$1:$S$101,3,FALSE))</f>
        <v/>
      </c>
      <c r="I4599" s="1" t="str">
        <f>IF(Table2[[#This Row],[Description]]="","",IF(Table2[[#This Row],[Currency]]=$O$2,$P$2,HLOOKUP(Table2[[#This Row],[Date]],Funds!$C$10:$GV$11,2,FALSE)))</f>
        <v/>
      </c>
      <c r="J4599" s="215" t="str">
        <f>IF(Table2[[#This Row],[Description]]="","",Table2[[#This Row],[Value]]/Table2[[#This Row],[Conversion]])</f>
        <v/>
      </c>
      <c r="K4599" s="45" t="str">
        <f>IF(Table2[[#This Row],[Description]]="","",DATE(Table2[[#This Row],[Year]],Table2[[#This Row],[Month]],1))</f>
        <v/>
      </c>
    </row>
    <row r="4600" spans="7:11" x14ac:dyDescent="0.25">
      <c r="G4600" s="1" t="str">
        <f>IF(Table2[[#This Row],[Description]]="","",VLOOKUP(Table2[[#This Row],[Description]],$Q$1:$S$101,2,FALSE))</f>
        <v/>
      </c>
      <c r="H4600" s="1" t="str">
        <f>IF(Table2[[#This Row],[Description]]="","",VLOOKUP(Table2[[#This Row],[Description]],$Q$1:$S$101,3,FALSE))</f>
        <v/>
      </c>
      <c r="I4600" s="1" t="str">
        <f>IF(Table2[[#This Row],[Description]]="","",IF(Table2[[#This Row],[Currency]]=$O$2,$P$2,HLOOKUP(Table2[[#This Row],[Date]],Funds!$C$10:$GV$11,2,FALSE)))</f>
        <v/>
      </c>
      <c r="J4600" s="215" t="str">
        <f>IF(Table2[[#This Row],[Description]]="","",Table2[[#This Row],[Value]]/Table2[[#This Row],[Conversion]])</f>
        <v/>
      </c>
      <c r="K4600" s="45" t="str">
        <f>IF(Table2[[#This Row],[Description]]="","",DATE(Table2[[#This Row],[Year]],Table2[[#This Row],[Month]],1))</f>
        <v/>
      </c>
    </row>
    <row r="4601" spans="7:11" x14ac:dyDescent="0.25">
      <c r="G4601" s="1" t="str">
        <f>IF(Table2[[#This Row],[Description]]="","",VLOOKUP(Table2[[#This Row],[Description]],$Q$1:$S$101,2,FALSE))</f>
        <v/>
      </c>
      <c r="H4601" s="1" t="str">
        <f>IF(Table2[[#This Row],[Description]]="","",VLOOKUP(Table2[[#This Row],[Description]],$Q$1:$S$101,3,FALSE))</f>
        <v/>
      </c>
      <c r="I4601" s="1" t="str">
        <f>IF(Table2[[#This Row],[Description]]="","",IF(Table2[[#This Row],[Currency]]=$O$2,$P$2,HLOOKUP(Table2[[#This Row],[Date]],Funds!$C$10:$GV$11,2,FALSE)))</f>
        <v/>
      </c>
      <c r="J4601" s="215" t="str">
        <f>IF(Table2[[#This Row],[Description]]="","",Table2[[#This Row],[Value]]/Table2[[#This Row],[Conversion]])</f>
        <v/>
      </c>
      <c r="K4601" s="45" t="str">
        <f>IF(Table2[[#This Row],[Description]]="","",DATE(Table2[[#This Row],[Year]],Table2[[#This Row],[Month]],1))</f>
        <v/>
      </c>
    </row>
    <row r="4602" spans="7:11" x14ac:dyDescent="0.25">
      <c r="G4602" s="1" t="str">
        <f>IF(Table2[[#This Row],[Description]]="","",VLOOKUP(Table2[[#This Row],[Description]],$Q$1:$S$101,2,FALSE))</f>
        <v/>
      </c>
      <c r="H4602" s="1" t="str">
        <f>IF(Table2[[#This Row],[Description]]="","",VLOOKUP(Table2[[#This Row],[Description]],$Q$1:$S$101,3,FALSE))</f>
        <v/>
      </c>
      <c r="I4602" s="1" t="str">
        <f>IF(Table2[[#This Row],[Description]]="","",IF(Table2[[#This Row],[Currency]]=$O$2,$P$2,HLOOKUP(Table2[[#This Row],[Date]],Funds!$C$10:$GV$11,2,FALSE)))</f>
        <v/>
      </c>
      <c r="J4602" s="215" t="str">
        <f>IF(Table2[[#This Row],[Description]]="","",Table2[[#This Row],[Value]]/Table2[[#This Row],[Conversion]])</f>
        <v/>
      </c>
      <c r="K4602" s="45" t="str">
        <f>IF(Table2[[#This Row],[Description]]="","",DATE(Table2[[#This Row],[Year]],Table2[[#This Row],[Month]],1))</f>
        <v/>
      </c>
    </row>
    <row r="4603" spans="7:11" x14ac:dyDescent="0.25">
      <c r="G4603" s="1" t="str">
        <f>IF(Table2[[#This Row],[Description]]="","",VLOOKUP(Table2[[#This Row],[Description]],$Q$1:$S$101,2,FALSE))</f>
        <v/>
      </c>
      <c r="H4603" s="1" t="str">
        <f>IF(Table2[[#This Row],[Description]]="","",VLOOKUP(Table2[[#This Row],[Description]],$Q$1:$S$101,3,FALSE))</f>
        <v/>
      </c>
      <c r="I4603" s="1" t="str">
        <f>IF(Table2[[#This Row],[Description]]="","",IF(Table2[[#This Row],[Currency]]=$O$2,$P$2,HLOOKUP(Table2[[#This Row],[Date]],Funds!$C$10:$GV$11,2,FALSE)))</f>
        <v/>
      </c>
      <c r="J4603" s="215" t="str">
        <f>IF(Table2[[#This Row],[Description]]="","",Table2[[#This Row],[Value]]/Table2[[#This Row],[Conversion]])</f>
        <v/>
      </c>
      <c r="K4603" s="45" t="str">
        <f>IF(Table2[[#This Row],[Description]]="","",DATE(Table2[[#This Row],[Year]],Table2[[#This Row],[Month]],1))</f>
        <v/>
      </c>
    </row>
    <row r="4604" spans="7:11" x14ac:dyDescent="0.25">
      <c r="G4604" s="1" t="str">
        <f>IF(Table2[[#This Row],[Description]]="","",VLOOKUP(Table2[[#This Row],[Description]],$Q$1:$S$101,2,FALSE))</f>
        <v/>
      </c>
      <c r="H4604" s="1" t="str">
        <f>IF(Table2[[#This Row],[Description]]="","",VLOOKUP(Table2[[#This Row],[Description]],$Q$1:$S$101,3,FALSE))</f>
        <v/>
      </c>
      <c r="I4604" s="1" t="str">
        <f>IF(Table2[[#This Row],[Description]]="","",IF(Table2[[#This Row],[Currency]]=$O$2,$P$2,HLOOKUP(Table2[[#This Row],[Date]],Funds!$C$10:$GV$11,2,FALSE)))</f>
        <v/>
      </c>
      <c r="J4604" s="215" t="str">
        <f>IF(Table2[[#This Row],[Description]]="","",Table2[[#This Row],[Value]]/Table2[[#This Row],[Conversion]])</f>
        <v/>
      </c>
      <c r="K4604" s="45" t="str">
        <f>IF(Table2[[#This Row],[Description]]="","",DATE(Table2[[#This Row],[Year]],Table2[[#This Row],[Month]],1))</f>
        <v/>
      </c>
    </row>
    <row r="4605" spans="7:11" x14ac:dyDescent="0.25">
      <c r="G4605" s="1" t="str">
        <f>IF(Table2[[#This Row],[Description]]="","",VLOOKUP(Table2[[#This Row],[Description]],$Q$1:$S$101,2,FALSE))</f>
        <v/>
      </c>
      <c r="H4605" s="1" t="str">
        <f>IF(Table2[[#This Row],[Description]]="","",VLOOKUP(Table2[[#This Row],[Description]],$Q$1:$S$101,3,FALSE))</f>
        <v/>
      </c>
      <c r="I4605" s="1" t="str">
        <f>IF(Table2[[#This Row],[Description]]="","",IF(Table2[[#This Row],[Currency]]=$O$2,$P$2,HLOOKUP(Table2[[#This Row],[Date]],Funds!$C$10:$GV$11,2,FALSE)))</f>
        <v/>
      </c>
      <c r="J4605" s="215" t="str">
        <f>IF(Table2[[#This Row],[Description]]="","",Table2[[#This Row],[Value]]/Table2[[#This Row],[Conversion]])</f>
        <v/>
      </c>
      <c r="K4605" s="45" t="str">
        <f>IF(Table2[[#This Row],[Description]]="","",DATE(Table2[[#This Row],[Year]],Table2[[#This Row],[Month]],1))</f>
        <v/>
      </c>
    </row>
    <row r="4606" spans="7:11" x14ac:dyDescent="0.25">
      <c r="G4606" s="1" t="str">
        <f>IF(Table2[[#This Row],[Description]]="","",VLOOKUP(Table2[[#This Row],[Description]],$Q$1:$S$101,2,FALSE))</f>
        <v/>
      </c>
      <c r="H4606" s="1" t="str">
        <f>IF(Table2[[#This Row],[Description]]="","",VLOOKUP(Table2[[#This Row],[Description]],$Q$1:$S$101,3,FALSE))</f>
        <v/>
      </c>
      <c r="I4606" s="1" t="str">
        <f>IF(Table2[[#This Row],[Description]]="","",IF(Table2[[#This Row],[Currency]]=$O$2,$P$2,HLOOKUP(Table2[[#This Row],[Date]],Funds!$C$10:$GV$11,2,FALSE)))</f>
        <v/>
      </c>
      <c r="J4606" s="215" t="str">
        <f>IF(Table2[[#This Row],[Description]]="","",Table2[[#This Row],[Value]]/Table2[[#This Row],[Conversion]])</f>
        <v/>
      </c>
      <c r="K4606" s="45" t="str">
        <f>IF(Table2[[#This Row],[Description]]="","",DATE(Table2[[#This Row],[Year]],Table2[[#This Row],[Month]],1))</f>
        <v/>
      </c>
    </row>
    <row r="4607" spans="7:11" x14ac:dyDescent="0.25">
      <c r="G4607" s="1" t="str">
        <f>IF(Table2[[#This Row],[Description]]="","",VLOOKUP(Table2[[#This Row],[Description]],$Q$1:$S$101,2,FALSE))</f>
        <v/>
      </c>
      <c r="H4607" s="1" t="str">
        <f>IF(Table2[[#This Row],[Description]]="","",VLOOKUP(Table2[[#This Row],[Description]],$Q$1:$S$101,3,FALSE))</f>
        <v/>
      </c>
      <c r="I4607" s="1" t="str">
        <f>IF(Table2[[#This Row],[Description]]="","",IF(Table2[[#This Row],[Currency]]=$O$2,$P$2,HLOOKUP(Table2[[#This Row],[Date]],Funds!$C$10:$GV$11,2,FALSE)))</f>
        <v/>
      </c>
      <c r="J4607" s="215" t="str">
        <f>IF(Table2[[#This Row],[Description]]="","",Table2[[#This Row],[Value]]/Table2[[#This Row],[Conversion]])</f>
        <v/>
      </c>
      <c r="K4607" s="45" t="str">
        <f>IF(Table2[[#This Row],[Description]]="","",DATE(Table2[[#This Row],[Year]],Table2[[#This Row],[Month]],1))</f>
        <v/>
      </c>
    </row>
    <row r="4608" spans="7:11" x14ac:dyDescent="0.25">
      <c r="G4608" s="1" t="str">
        <f>IF(Table2[[#This Row],[Description]]="","",VLOOKUP(Table2[[#This Row],[Description]],$Q$1:$S$101,2,FALSE))</f>
        <v/>
      </c>
      <c r="H4608" s="1" t="str">
        <f>IF(Table2[[#This Row],[Description]]="","",VLOOKUP(Table2[[#This Row],[Description]],$Q$1:$S$101,3,FALSE))</f>
        <v/>
      </c>
      <c r="I4608" s="1" t="str">
        <f>IF(Table2[[#This Row],[Description]]="","",IF(Table2[[#This Row],[Currency]]=$O$2,$P$2,HLOOKUP(Table2[[#This Row],[Date]],Funds!$C$10:$GV$11,2,FALSE)))</f>
        <v/>
      </c>
      <c r="J4608" s="215" t="str">
        <f>IF(Table2[[#This Row],[Description]]="","",Table2[[#This Row],[Value]]/Table2[[#This Row],[Conversion]])</f>
        <v/>
      </c>
      <c r="K4608" s="45" t="str">
        <f>IF(Table2[[#This Row],[Description]]="","",DATE(Table2[[#This Row],[Year]],Table2[[#This Row],[Month]],1))</f>
        <v/>
      </c>
    </row>
    <row r="4609" spans="7:11" x14ac:dyDescent="0.25">
      <c r="G4609" s="1" t="str">
        <f>IF(Table2[[#This Row],[Description]]="","",VLOOKUP(Table2[[#This Row],[Description]],$Q$1:$S$101,2,FALSE))</f>
        <v/>
      </c>
      <c r="H4609" s="1" t="str">
        <f>IF(Table2[[#This Row],[Description]]="","",VLOOKUP(Table2[[#This Row],[Description]],$Q$1:$S$101,3,FALSE))</f>
        <v/>
      </c>
      <c r="I4609" s="1" t="str">
        <f>IF(Table2[[#This Row],[Description]]="","",IF(Table2[[#This Row],[Currency]]=$O$2,$P$2,HLOOKUP(Table2[[#This Row],[Date]],Funds!$C$10:$GV$11,2,FALSE)))</f>
        <v/>
      </c>
      <c r="J4609" s="215" t="str">
        <f>IF(Table2[[#This Row],[Description]]="","",Table2[[#This Row],[Value]]/Table2[[#This Row],[Conversion]])</f>
        <v/>
      </c>
      <c r="K4609" s="45" t="str">
        <f>IF(Table2[[#This Row],[Description]]="","",DATE(Table2[[#This Row],[Year]],Table2[[#This Row],[Month]],1))</f>
        <v/>
      </c>
    </row>
    <row r="4610" spans="7:11" x14ac:dyDescent="0.25">
      <c r="G4610" s="1" t="str">
        <f>IF(Table2[[#This Row],[Description]]="","",VLOOKUP(Table2[[#This Row],[Description]],$Q$1:$S$101,2,FALSE))</f>
        <v/>
      </c>
      <c r="H4610" s="1" t="str">
        <f>IF(Table2[[#This Row],[Description]]="","",VLOOKUP(Table2[[#This Row],[Description]],$Q$1:$S$101,3,FALSE))</f>
        <v/>
      </c>
      <c r="I4610" s="1" t="str">
        <f>IF(Table2[[#This Row],[Description]]="","",IF(Table2[[#This Row],[Currency]]=$O$2,$P$2,HLOOKUP(Table2[[#This Row],[Date]],Funds!$C$10:$GV$11,2,FALSE)))</f>
        <v/>
      </c>
      <c r="J4610" s="215" t="str">
        <f>IF(Table2[[#This Row],[Description]]="","",Table2[[#This Row],[Value]]/Table2[[#This Row],[Conversion]])</f>
        <v/>
      </c>
      <c r="K4610" s="45" t="str">
        <f>IF(Table2[[#This Row],[Description]]="","",DATE(Table2[[#This Row],[Year]],Table2[[#This Row],[Month]],1))</f>
        <v/>
      </c>
    </row>
    <row r="4611" spans="7:11" x14ac:dyDescent="0.25">
      <c r="G4611" s="1" t="str">
        <f>IF(Table2[[#This Row],[Description]]="","",VLOOKUP(Table2[[#This Row],[Description]],$Q$1:$S$101,2,FALSE))</f>
        <v/>
      </c>
      <c r="H4611" s="1" t="str">
        <f>IF(Table2[[#This Row],[Description]]="","",VLOOKUP(Table2[[#This Row],[Description]],$Q$1:$S$101,3,FALSE))</f>
        <v/>
      </c>
      <c r="I4611" s="1" t="str">
        <f>IF(Table2[[#This Row],[Description]]="","",IF(Table2[[#This Row],[Currency]]=$O$2,$P$2,HLOOKUP(Table2[[#This Row],[Date]],Funds!$C$10:$GV$11,2,FALSE)))</f>
        <v/>
      </c>
      <c r="J4611" s="215" t="str">
        <f>IF(Table2[[#This Row],[Description]]="","",Table2[[#This Row],[Value]]/Table2[[#This Row],[Conversion]])</f>
        <v/>
      </c>
      <c r="K4611" s="45" t="str">
        <f>IF(Table2[[#This Row],[Description]]="","",DATE(Table2[[#This Row],[Year]],Table2[[#This Row],[Month]],1))</f>
        <v/>
      </c>
    </row>
    <row r="4612" spans="7:11" x14ac:dyDescent="0.25">
      <c r="G4612" s="1" t="str">
        <f>IF(Table2[[#This Row],[Description]]="","",VLOOKUP(Table2[[#This Row],[Description]],$Q$1:$S$101,2,FALSE))</f>
        <v/>
      </c>
      <c r="H4612" s="1" t="str">
        <f>IF(Table2[[#This Row],[Description]]="","",VLOOKUP(Table2[[#This Row],[Description]],$Q$1:$S$101,3,FALSE))</f>
        <v/>
      </c>
      <c r="I4612" s="1" t="str">
        <f>IF(Table2[[#This Row],[Description]]="","",IF(Table2[[#This Row],[Currency]]=$O$2,$P$2,HLOOKUP(Table2[[#This Row],[Date]],Funds!$C$10:$GV$11,2,FALSE)))</f>
        <v/>
      </c>
      <c r="J4612" s="215" t="str">
        <f>IF(Table2[[#This Row],[Description]]="","",Table2[[#This Row],[Value]]/Table2[[#This Row],[Conversion]])</f>
        <v/>
      </c>
      <c r="K4612" s="45" t="str">
        <f>IF(Table2[[#This Row],[Description]]="","",DATE(Table2[[#This Row],[Year]],Table2[[#This Row],[Month]],1))</f>
        <v/>
      </c>
    </row>
    <row r="4613" spans="7:11" x14ac:dyDescent="0.25">
      <c r="G4613" s="1" t="str">
        <f>IF(Table2[[#This Row],[Description]]="","",VLOOKUP(Table2[[#This Row],[Description]],$Q$1:$S$101,2,FALSE))</f>
        <v/>
      </c>
      <c r="H4613" s="1" t="str">
        <f>IF(Table2[[#This Row],[Description]]="","",VLOOKUP(Table2[[#This Row],[Description]],$Q$1:$S$101,3,FALSE))</f>
        <v/>
      </c>
      <c r="I4613" s="1" t="str">
        <f>IF(Table2[[#This Row],[Description]]="","",IF(Table2[[#This Row],[Currency]]=$O$2,$P$2,HLOOKUP(Table2[[#This Row],[Date]],Funds!$C$10:$GV$11,2,FALSE)))</f>
        <v/>
      </c>
      <c r="J4613" s="215" t="str">
        <f>IF(Table2[[#This Row],[Description]]="","",Table2[[#This Row],[Value]]/Table2[[#This Row],[Conversion]])</f>
        <v/>
      </c>
      <c r="K4613" s="45" t="str">
        <f>IF(Table2[[#This Row],[Description]]="","",DATE(Table2[[#This Row],[Year]],Table2[[#This Row],[Month]],1))</f>
        <v/>
      </c>
    </row>
    <row r="4614" spans="7:11" x14ac:dyDescent="0.25">
      <c r="G4614" s="1" t="str">
        <f>IF(Table2[[#This Row],[Description]]="","",VLOOKUP(Table2[[#This Row],[Description]],$Q$1:$S$101,2,FALSE))</f>
        <v/>
      </c>
      <c r="H4614" s="1" t="str">
        <f>IF(Table2[[#This Row],[Description]]="","",VLOOKUP(Table2[[#This Row],[Description]],$Q$1:$S$101,3,FALSE))</f>
        <v/>
      </c>
      <c r="I4614" s="1" t="str">
        <f>IF(Table2[[#This Row],[Description]]="","",IF(Table2[[#This Row],[Currency]]=$O$2,$P$2,HLOOKUP(Table2[[#This Row],[Date]],Funds!$C$10:$GV$11,2,FALSE)))</f>
        <v/>
      </c>
      <c r="J4614" s="215" t="str">
        <f>IF(Table2[[#This Row],[Description]]="","",Table2[[#This Row],[Value]]/Table2[[#This Row],[Conversion]])</f>
        <v/>
      </c>
      <c r="K4614" s="45" t="str">
        <f>IF(Table2[[#This Row],[Description]]="","",DATE(Table2[[#This Row],[Year]],Table2[[#This Row],[Month]],1))</f>
        <v/>
      </c>
    </row>
    <row r="4615" spans="7:11" x14ac:dyDescent="0.25">
      <c r="G4615" s="1" t="str">
        <f>IF(Table2[[#This Row],[Description]]="","",VLOOKUP(Table2[[#This Row],[Description]],$Q$1:$S$101,2,FALSE))</f>
        <v/>
      </c>
      <c r="H4615" s="1" t="str">
        <f>IF(Table2[[#This Row],[Description]]="","",VLOOKUP(Table2[[#This Row],[Description]],$Q$1:$S$101,3,FALSE))</f>
        <v/>
      </c>
      <c r="I4615" s="1" t="str">
        <f>IF(Table2[[#This Row],[Description]]="","",IF(Table2[[#This Row],[Currency]]=$O$2,$P$2,HLOOKUP(Table2[[#This Row],[Date]],Funds!$C$10:$GV$11,2,FALSE)))</f>
        <v/>
      </c>
      <c r="J4615" s="215" t="str">
        <f>IF(Table2[[#This Row],[Description]]="","",Table2[[#This Row],[Value]]/Table2[[#This Row],[Conversion]])</f>
        <v/>
      </c>
      <c r="K4615" s="45" t="str">
        <f>IF(Table2[[#This Row],[Description]]="","",DATE(Table2[[#This Row],[Year]],Table2[[#This Row],[Month]],1))</f>
        <v/>
      </c>
    </row>
    <row r="4616" spans="7:11" x14ac:dyDescent="0.25">
      <c r="G4616" s="1" t="str">
        <f>IF(Table2[[#This Row],[Description]]="","",VLOOKUP(Table2[[#This Row],[Description]],$Q$1:$S$101,2,FALSE))</f>
        <v/>
      </c>
      <c r="H4616" s="1" t="str">
        <f>IF(Table2[[#This Row],[Description]]="","",VLOOKUP(Table2[[#This Row],[Description]],$Q$1:$S$101,3,FALSE))</f>
        <v/>
      </c>
      <c r="I4616" s="1" t="str">
        <f>IF(Table2[[#This Row],[Description]]="","",IF(Table2[[#This Row],[Currency]]=$O$2,$P$2,HLOOKUP(Table2[[#This Row],[Date]],Funds!$C$10:$GV$11,2,FALSE)))</f>
        <v/>
      </c>
      <c r="J4616" s="215" t="str">
        <f>IF(Table2[[#This Row],[Description]]="","",Table2[[#This Row],[Value]]/Table2[[#This Row],[Conversion]])</f>
        <v/>
      </c>
      <c r="K4616" s="45" t="str">
        <f>IF(Table2[[#This Row],[Description]]="","",DATE(Table2[[#This Row],[Year]],Table2[[#This Row],[Month]],1))</f>
        <v/>
      </c>
    </row>
    <row r="4617" spans="7:11" x14ac:dyDescent="0.25">
      <c r="G4617" s="1" t="str">
        <f>IF(Table2[[#This Row],[Description]]="","",VLOOKUP(Table2[[#This Row],[Description]],$Q$1:$S$101,2,FALSE))</f>
        <v/>
      </c>
      <c r="H4617" s="1" t="str">
        <f>IF(Table2[[#This Row],[Description]]="","",VLOOKUP(Table2[[#This Row],[Description]],$Q$1:$S$101,3,FALSE))</f>
        <v/>
      </c>
      <c r="I4617" s="1" t="str">
        <f>IF(Table2[[#This Row],[Description]]="","",IF(Table2[[#This Row],[Currency]]=$O$2,$P$2,HLOOKUP(Table2[[#This Row],[Date]],Funds!$C$10:$GV$11,2,FALSE)))</f>
        <v/>
      </c>
      <c r="J4617" s="215" t="str">
        <f>IF(Table2[[#This Row],[Description]]="","",Table2[[#This Row],[Value]]/Table2[[#This Row],[Conversion]])</f>
        <v/>
      </c>
      <c r="K4617" s="45" t="str">
        <f>IF(Table2[[#This Row],[Description]]="","",DATE(Table2[[#This Row],[Year]],Table2[[#This Row],[Month]],1))</f>
        <v/>
      </c>
    </row>
    <row r="4618" spans="7:11" x14ac:dyDescent="0.25">
      <c r="G4618" s="1" t="str">
        <f>IF(Table2[[#This Row],[Description]]="","",VLOOKUP(Table2[[#This Row],[Description]],$Q$1:$S$101,2,FALSE))</f>
        <v/>
      </c>
      <c r="H4618" s="1" t="str">
        <f>IF(Table2[[#This Row],[Description]]="","",VLOOKUP(Table2[[#This Row],[Description]],$Q$1:$S$101,3,FALSE))</f>
        <v/>
      </c>
      <c r="I4618" s="1" t="str">
        <f>IF(Table2[[#This Row],[Description]]="","",IF(Table2[[#This Row],[Currency]]=$O$2,$P$2,HLOOKUP(Table2[[#This Row],[Date]],Funds!$C$10:$GV$11,2,FALSE)))</f>
        <v/>
      </c>
      <c r="J4618" s="215" t="str">
        <f>IF(Table2[[#This Row],[Description]]="","",Table2[[#This Row],[Value]]/Table2[[#This Row],[Conversion]])</f>
        <v/>
      </c>
      <c r="K4618" s="45" t="str">
        <f>IF(Table2[[#This Row],[Description]]="","",DATE(Table2[[#This Row],[Year]],Table2[[#This Row],[Month]],1))</f>
        <v/>
      </c>
    </row>
    <row r="4619" spans="7:11" x14ac:dyDescent="0.25">
      <c r="G4619" s="1" t="str">
        <f>IF(Table2[[#This Row],[Description]]="","",VLOOKUP(Table2[[#This Row],[Description]],$Q$1:$S$101,2,FALSE))</f>
        <v/>
      </c>
      <c r="H4619" s="1" t="str">
        <f>IF(Table2[[#This Row],[Description]]="","",VLOOKUP(Table2[[#This Row],[Description]],$Q$1:$S$101,3,FALSE))</f>
        <v/>
      </c>
      <c r="I4619" s="1" t="str">
        <f>IF(Table2[[#This Row],[Description]]="","",IF(Table2[[#This Row],[Currency]]=$O$2,$P$2,HLOOKUP(Table2[[#This Row],[Date]],Funds!$C$10:$GV$11,2,FALSE)))</f>
        <v/>
      </c>
      <c r="J4619" s="215" t="str">
        <f>IF(Table2[[#This Row],[Description]]="","",Table2[[#This Row],[Value]]/Table2[[#This Row],[Conversion]])</f>
        <v/>
      </c>
      <c r="K4619" s="45" t="str">
        <f>IF(Table2[[#This Row],[Description]]="","",DATE(Table2[[#This Row],[Year]],Table2[[#This Row],[Month]],1))</f>
        <v/>
      </c>
    </row>
    <row r="4620" spans="7:11" x14ac:dyDescent="0.25">
      <c r="G4620" s="1" t="str">
        <f>IF(Table2[[#This Row],[Description]]="","",VLOOKUP(Table2[[#This Row],[Description]],$Q$1:$S$101,2,FALSE))</f>
        <v/>
      </c>
      <c r="H4620" s="1" t="str">
        <f>IF(Table2[[#This Row],[Description]]="","",VLOOKUP(Table2[[#This Row],[Description]],$Q$1:$S$101,3,FALSE))</f>
        <v/>
      </c>
      <c r="I4620" s="1" t="str">
        <f>IF(Table2[[#This Row],[Description]]="","",IF(Table2[[#This Row],[Currency]]=$O$2,$P$2,HLOOKUP(Table2[[#This Row],[Date]],Funds!$C$10:$GV$11,2,FALSE)))</f>
        <v/>
      </c>
      <c r="J4620" s="215" t="str">
        <f>IF(Table2[[#This Row],[Description]]="","",Table2[[#This Row],[Value]]/Table2[[#This Row],[Conversion]])</f>
        <v/>
      </c>
      <c r="K4620" s="45" t="str">
        <f>IF(Table2[[#This Row],[Description]]="","",DATE(Table2[[#This Row],[Year]],Table2[[#This Row],[Month]],1))</f>
        <v/>
      </c>
    </row>
    <row r="4621" spans="7:11" x14ac:dyDescent="0.25">
      <c r="G4621" s="1" t="str">
        <f>IF(Table2[[#This Row],[Description]]="","",VLOOKUP(Table2[[#This Row],[Description]],$Q$1:$S$101,2,FALSE))</f>
        <v/>
      </c>
      <c r="H4621" s="1" t="str">
        <f>IF(Table2[[#This Row],[Description]]="","",VLOOKUP(Table2[[#This Row],[Description]],$Q$1:$S$101,3,FALSE))</f>
        <v/>
      </c>
      <c r="I4621" s="1" t="str">
        <f>IF(Table2[[#This Row],[Description]]="","",IF(Table2[[#This Row],[Currency]]=$O$2,$P$2,HLOOKUP(Table2[[#This Row],[Date]],Funds!$C$10:$GV$11,2,FALSE)))</f>
        <v/>
      </c>
      <c r="J4621" s="215" t="str">
        <f>IF(Table2[[#This Row],[Description]]="","",Table2[[#This Row],[Value]]/Table2[[#This Row],[Conversion]])</f>
        <v/>
      </c>
      <c r="K4621" s="45" t="str">
        <f>IF(Table2[[#This Row],[Description]]="","",DATE(Table2[[#This Row],[Year]],Table2[[#This Row],[Month]],1))</f>
        <v/>
      </c>
    </row>
    <row r="4622" spans="7:11" x14ac:dyDescent="0.25">
      <c r="G4622" s="1" t="str">
        <f>IF(Table2[[#This Row],[Description]]="","",VLOOKUP(Table2[[#This Row],[Description]],$Q$1:$S$101,2,FALSE))</f>
        <v/>
      </c>
      <c r="H4622" s="1" t="str">
        <f>IF(Table2[[#This Row],[Description]]="","",VLOOKUP(Table2[[#This Row],[Description]],$Q$1:$S$101,3,FALSE))</f>
        <v/>
      </c>
      <c r="I4622" s="1" t="str">
        <f>IF(Table2[[#This Row],[Description]]="","",IF(Table2[[#This Row],[Currency]]=$O$2,$P$2,HLOOKUP(Table2[[#This Row],[Date]],Funds!$C$10:$GV$11,2,FALSE)))</f>
        <v/>
      </c>
      <c r="J4622" s="215" t="str">
        <f>IF(Table2[[#This Row],[Description]]="","",Table2[[#This Row],[Value]]/Table2[[#This Row],[Conversion]])</f>
        <v/>
      </c>
      <c r="K4622" s="45" t="str">
        <f>IF(Table2[[#This Row],[Description]]="","",DATE(Table2[[#This Row],[Year]],Table2[[#This Row],[Month]],1))</f>
        <v/>
      </c>
    </row>
    <row r="4623" spans="7:11" x14ac:dyDescent="0.25">
      <c r="G4623" s="1" t="str">
        <f>IF(Table2[[#This Row],[Description]]="","",VLOOKUP(Table2[[#This Row],[Description]],$Q$1:$S$101,2,FALSE))</f>
        <v/>
      </c>
      <c r="H4623" s="1" t="str">
        <f>IF(Table2[[#This Row],[Description]]="","",VLOOKUP(Table2[[#This Row],[Description]],$Q$1:$S$101,3,FALSE))</f>
        <v/>
      </c>
      <c r="I4623" s="1" t="str">
        <f>IF(Table2[[#This Row],[Description]]="","",IF(Table2[[#This Row],[Currency]]=$O$2,$P$2,HLOOKUP(Table2[[#This Row],[Date]],Funds!$C$10:$GV$11,2,FALSE)))</f>
        <v/>
      </c>
      <c r="J4623" s="215" t="str">
        <f>IF(Table2[[#This Row],[Description]]="","",Table2[[#This Row],[Value]]/Table2[[#This Row],[Conversion]])</f>
        <v/>
      </c>
      <c r="K4623" s="45" t="str">
        <f>IF(Table2[[#This Row],[Description]]="","",DATE(Table2[[#This Row],[Year]],Table2[[#This Row],[Month]],1))</f>
        <v/>
      </c>
    </row>
    <row r="4624" spans="7:11" x14ac:dyDescent="0.25">
      <c r="G4624" s="1" t="str">
        <f>IF(Table2[[#This Row],[Description]]="","",VLOOKUP(Table2[[#This Row],[Description]],$Q$1:$S$101,2,FALSE))</f>
        <v/>
      </c>
      <c r="H4624" s="1" t="str">
        <f>IF(Table2[[#This Row],[Description]]="","",VLOOKUP(Table2[[#This Row],[Description]],$Q$1:$S$101,3,FALSE))</f>
        <v/>
      </c>
      <c r="I4624" s="1" t="str">
        <f>IF(Table2[[#This Row],[Description]]="","",IF(Table2[[#This Row],[Currency]]=$O$2,$P$2,HLOOKUP(Table2[[#This Row],[Date]],Funds!$C$10:$GV$11,2,FALSE)))</f>
        <v/>
      </c>
      <c r="J4624" s="215" t="str">
        <f>IF(Table2[[#This Row],[Description]]="","",Table2[[#This Row],[Value]]/Table2[[#This Row],[Conversion]])</f>
        <v/>
      </c>
      <c r="K4624" s="45" t="str">
        <f>IF(Table2[[#This Row],[Description]]="","",DATE(Table2[[#This Row],[Year]],Table2[[#This Row],[Month]],1))</f>
        <v/>
      </c>
    </row>
    <row r="4625" spans="7:11" x14ac:dyDescent="0.25">
      <c r="G4625" s="1" t="str">
        <f>IF(Table2[[#This Row],[Description]]="","",VLOOKUP(Table2[[#This Row],[Description]],$Q$1:$S$101,2,FALSE))</f>
        <v/>
      </c>
      <c r="H4625" s="1" t="str">
        <f>IF(Table2[[#This Row],[Description]]="","",VLOOKUP(Table2[[#This Row],[Description]],$Q$1:$S$101,3,FALSE))</f>
        <v/>
      </c>
      <c r="I4625" s="1" t="str">
        <f>IF(Table2[[#This Row],[Description]]="","",IF(Table2[[#This Row],[Currency]]=$O$2,$P$2,HLOOKUP(Table2[[#This Row],[Date]],Funds!$C$10:$GV$11,2,FALSE)))</f>
        <v/>
      </c>
      <c r="J4625" s="215" t="str">
        <f>IF(Table2[[#This Row],[Description]]="","",Table2[[#This Row],[Value]]/Table2[[#This Row],[Conversion]])</f>
        <v/>
      </c>
      <c r="K4625" s="45" t="str">
        <f>IF(Table2[[#This Row],[Description]]="","",DATE(Table2[[#This Row],[Year]],Table2[[#This Row],[Month]],1))</f>
        <v/>
      </c>
    </row>
    <row r="4626" spans="7:11" x14ac:dyDescent="0.25">
      <c r="G4626" s="1" t="str">
        <f>IF(Table2[[#This Row],[Description]]="","",VLOOKUP(Table2[[#This Row],[Description]],$Q$1:$S$101,2,FALSE))</f>
        <v/>
      </c>
      <c r="H4626" s="1" t="str">
        <f>IF(Table2[[#This Row],[Description]]="","",VLOOKUP(Table2[[#This Row],[Description]],$Q$1:$S$101,3,FALSE))</f>
        <v/>
      </c>
      <c r="I4626" s="1" t="str">
        <f>IF(Table2[[#This Row],[Description]]="","",IF(Table2[[#This Row],[Currency]]=$O$2,$P$2,HLOOKUP(Table2[[#This Row],[Date]],Funds!$C$10:$GV$11,2,FALSE)))</f>
        <v/>
      </c>
      <c r="J4626" s="215" t="str">
        <f>IF(Table2[[#This Row],[Description]]="","",Table2[[#This Row],[Value]]/Table2[[#This Row],[Conversion]])</f>
        <v/>
      </c>
      <c r="K4626" s="45" t="str">
        <f>IF(Table2[[#This Row],[Description]]="","",DATE(Table2[[#This Row],[Year]],Table2[[#This Row],[Month]],1))</f>
        <v/>
      </c>
    </row>
    <row r="4627" spans="7:11" x14ac:dyDescent="0.25">
      <c r="G4627" s="1" t="str">
        <f>IF(Table2[[#This Row],[Description]]="","",VLOOKUP(Table2[[#This Row],[Description]],$Q$1:$S$101,2,FALSE))</f>
        <v/>
      </c>
      <c r="H4627" s="1" t="str">
        <f>IF(Table2[[#This Row],[Description]]="","",VLOOKUP(Table2[[#This Row],[Description]],$Q$1:$S$101,3,FALSE))</f>
        <v/>
      </c>
      <c r="I4627" s="1" t="str">
        <f>IF(Table2[[#This Row],[Description]]="","",IF(Table2[[#This Row],[Currency]]=$O$2,$P$2,HLOOKUP(Table2[[#This Row],[Date]],Funds!$C$10:$GV$11,2,FALSE)))</f>
        <v/>
      </c>
      <c r="J4627" s="215" t="str">
        <f>IF(Table2[[#This Row],[Description]]="","",Table2[[#This Row],[Value]]/Table2[[#This Row],[Conversion]])</f>
        <v/>
      </c>
      <c r="K4627" s="45" t="str">
        <f>IF(Table2[[#This Row],[Description]]="","",DATE(Table2[[#This Row],[Year]],Table2[[#This Row],[Month]],1))</f>
        <v/>
      </c>
    </row>
    <row r="4628" spans="7:11" x14ac:dyDescent="0.25">
      <c r="G4628" s="1" t="str">
        <f>IF(Table2[[#This Row],[Description]]="","",VLOOKUP(Table2[[#This Row],[Description]],$Q$1:$S$101,2,FALSE))</f>
        <v/>
      </c>
      <c r="H4628" s="1" t="str">
        <f>IF(Table2[[#This Row],[Description]]="","",VLOOKUP(Table2[[#This Row],[Description]],$Q$1:$S$101,3,FALSE))</f>
        <v/>
      </c>
      <c r="I4628" s="1" t="str">
        <f>IF(Table2[[#This Row],[Description]]="","",IF(Table2[[#This Row],[Currency]]=$O$2,$P$2,HLOOKUP(Table2[[#This Row],[Date]],Funds!$C$10:$GV$11,2,FALSE)))</f>
        <v/>
      </c>
      <c r="J4628" s="215" t="str">
        <f>IF(Table2[[#This Row],[Description]]="","",Table2[[#This Row],[Value]]/Table2[[#This Row],[Conversion]])</f>
        <v/>
      </c>
      <c r="K4628" s="45" t="str">
        <f>IF(Table2[[#This Row],[Description]]="","",DATE(Table2[[#This Row],[Year]],Table2[[#This Row],[Month]],1))</f>
        <v/>
      </c>
    </row>
    <row r="4629" spans="7:11" x14ac:dyDescent="0.25">
      <c r="G4629" s="1" t="str">
        <f>IF(Table2[[#This Row],[Description]]="","",VLOOKUP(Table2[[#This Row],[Description]],$Q$1:$S$101,2,FALSE))</f>
        <v/>
      </c>
      <c r="H4629" s="1" t="str">
        <f>IF(Table2[[#This Row],[Description]]="","",VLOOKUP(Table2[[#This Row],[Description]],$Q$1:$S$101,3,FALSE))</f>
        <v/>
      </c>
      <c r="I4629" s="1" t="str">
        <f>IF(Table2[[#This Row],[Description]]="","",IF(Table2[[#This Row],[Currency]]=$O$2,$P$2,HLOOKUP(Table2[[#This Row],[Date]],Funds!$C$10:$GV$11,2,FALSE)))</f>
        <v/>
      </c>
      <c r="J4629" s="215" t="str">
        <f>IF(Table2[[#This Row],[Description]]="","",Table2[[#This Row],[Value]]/Table2[[#This Row],[Conversion]])</f>
        <v/>
      </c>
      <c r="K4629" s="45" t="str">
        <f>IF(Table2[[#This Row],[Description]]="","",DATE(Table2[[#This Row],[Year]],Table2[[#This Row],[Month]],1))</f>
        <v/>
      </c>
    </row>
    <row r="4630" spans="7:11" x14ac:dyDescent="0.25">
      <c r="G4630" s="1" t="str">
        <f>IF(Table2[[#This Row],[Description]]="","",VLOOKUP(Table2[[#This Row],[Description]],$Q$1:$S$101,2,FALSE))</f>
        <v/>
      </c>
      <c r="H4630" s="1" t="str">
        <f>IF(Table2[[#This Row],[Description]]="","",VLOOKUP(Table2[[#This Row],[Description]],$Q$1:$S$101,3,FALSE))</f>
        <v/>
      </c>
      <c r="I4630" s="1" t="str">
        <f>IF(Table2[[#This Row],[Description]]="","",IF(Table2[[#This Row],[Currency]]=$O$2,$P$2,HLOOKUP(Table2[[#This Row],[Date]],Funds!$C$10:$GV$11,2,FALSE)))</f>
        <v/>
      </c>
      <c r="J4630" s="215" t="str">
        <f>IF(Table2[[#This Row],[Description]]="","",Table2[[#This Row],[Value]]/Table2[[#This Row],[Conversion]])</f>
        <v/>
      </c>
      <c r="K4630" s="45" t="str">
        <f>IF(Table2[[#This Row],[Description]]="","",DATE(Table2[[#This Row],[Year]],Table2[[#This Row],[Month]],1))</f>
        <v/>
      </c>
    </row>
    <row r="4631" spans="7:11" x14ac:dyDescent="0.25">
      <c r="G4631" s="1" t="str">
        <f>IF(Table2[[#This Row],[Description]]="","",VLOOKUP(Table2[[#This Row],[Description]],$Q$1:$S$101,2,FALSE))</f>
        <v/>
      </c>
      <c r="H4631" s="1" t="str">
        <f>IF(Table2[[#This Row],[Description]]="","",VLOOKUP(Table2[[#This Row],[Description]],$Q$1:$S$101,3,FALSE))</f>
        <v/>
      </c>
      <c r="I4631" s="1" t="str">
        <f>IF(Table2[[#This Row],[Description]]="","",IF(Table2[[#This Row],[Currency]]=$O$2,$P$2,HLOOKUP(Table2[[#This Row],[Date]],Funds!$C$10:$GV$11,2,FALSE)))</f>
        <v/>
      </c>
      <c r="J4631" s="215" t="str">
        <f>IF(Table2[[#This Row],[Description]]="","",Table2[[#This Row],[Value]]/Table2[[#This Row],[Conversion]])</f>
        <v/>
      </c>
      <c r="K4631" s="45" t="str">
        <f>IF(Table2[[#This Row],[Description]]="","",DATE(Table2[[#This Row],[Year]],Table2[[#This Row],[Month]],1))</f>
        <v/>
      </c>
    </row>
    <row r="4632" spans="7:11" x14ac:dyDescent="0.25">
      <c r="G4632" s="1" t="str">
        <f>IF(Table2[[#This Row],[Description]]="","",VLOOKUP(Table2[[#This Row],[Description]],$Q$1:$S$101,2,FALSE))</f>
        <v/>
      </c>
      <c r="H4632" s="1" t="str">
        <f>IF(Table2[[#This Row],[Description]]="","",VLOOKUP(Table2[[#This Row],[Description]],$Q$1:$S$101,3,FALSE))</f>
        <v/>
      </c>
      <c r="I4632" s="1" t="str">
        <f>IF(Table2[[#This Row],[Description]]="","",IF(Table2[[#This Row],[Currency]]=$O$2,$P$2,HLOOKUP(Table2[[#This Row],[Date]],Funds!$C$10:$GV$11,2,FALSE)))</f>
        <v/>
      </c>
      <c r="J4632" s="215" t="str">
        <f>IF(Table2[[#This Row],[Description]]="","",Table2[[#This Row],[Value]]/Table2[[#This Row],[Conversion]])</f>
        <v/>
      </c>
      <c r="K4632" s="45" t="str">
        <f>IF(Table2[[#This Row],[Description]]="","",DATE(Table2[[#This Row],[Year]],Table2[[#This Row],[Month]],1))</f>
        <v/>
      </c>
    </row>
    <row r="4633" spans="7:11" x14ac:dyDescent="0.25">
      <c r="G4633" s="1" t="str">
        <f>IF(Table2[[#This Row],[Description]]="","",VLOOKUP(Table2[[#This Row],[Description]],$Q$1:$S$101,2,FALSE))</f>
        <v/>
      </c>
      <c r="H4633" s="1" t="str">
        <f>IF(Table2[[#This Row],[Description]]="","",VLOOKUP(Table2[[#This Row],[Description]],$Q$1:$S$101,3,FALSE))</f>
        <v/>
      </c>
      <c r="I4633" s="1" t="str">
        <f>IF(Table2[[#This Row],[Description]]="","",IF(Table2[[#This Row],[Currency]]=$O$2,$P$2,HLOOKUP(Table2[[#This Row],[Date]],Funds!$C$10:$GV$11,2,FALSE)))</f>
        <v/>
      </c>
      <c r="J4633" s="215" t="str">
        <f>IF(Table2[[#This Row],[Description]]="","",Table2[[#This Row],[Value]]/Table2[[#This Row],[Conversion]])</f>
        <v/>
      </c>
      <c r="K4633" s="45" t="str">
        <f>IF(Table2[[#This Row],[Description]]="","",DATE(Table2[[#This Row],[Year]],Table2[[#This Row],[Month]],1))</f>
        <v/>
      </c>
    </row>
    <row r="4634" spans="7:11" x14ac:dyDescent="0.25">
      <c r="G4634" s="1" t="str">
        <f>IF(Table2[[#This Row],[Description]]="","",VLOOKUP(Table2[[#This Row],[Description]],$Q$1:$S$101,2,FALSE))</f>
        <v/>
      </c>
      <c r="H4634" s="1" t="str">
        <f>IF(Table2[[#This Row],[Description]]="","",VLOOKUP(Table2[[#This Row],[Description]],$Q$1:$S$101,3,FALSE))</f>
        <v/>
      </c>
      <c r="I4634" s="1" t="str">
        <f>IF(Table2[[#This Row],[Description]]="","",IF(Table2[[#This Row],[Currency]]=$O$2,$P$2,HLOOKUP(Table2[[#This Row],[Date]],Funds!$C$10:$GV$11,2,FALSE)))</f>
        <v/>
      </c>
      <c r="J4634" s="215" t="str">
        <f>IF(Table2[[#This Row],[Description]]="","",Table2[[#This Row],[Value]]/Table2[[#This Row],[Conversion]])</f>
        <v/>
      </c>
      <c r="K4634" s="45" t="str">
        <f>IF(Table2[[#This Row],[Description]]="","",DATE(Table2[[#This Row],[Year]],Table2[[#This Row],[Month]],1))</f>
        <v/>
      </c>
    </row>
    <row r="4635" spans="7:11" x14ac:dyDescent="0.25">
      <c r="G4635" s="1" t="str">
        <f>IF(Table2[[#This Row],[Description]]="","",VLOOKUP(Table2[[#This Row],[Description]],$Q$1:$S$101,2,FALSE))</f>
        <v/>
      </c>
      <c r="H4635" s="1" t="str">
        <f>IF(Table2[[#This Row],[Description]]="","",VLOOKUP(Table2[[#This Row],[Description]],$Q$1:$S$101,3,FALSE))</f>
        <v/>
      </c>
      <c r="I4635" s="1" t="str">
        <f>IF(Table2[[#This Row],[Description]]="","",IF(Table2[[#This Row],[Currency]]=$O$2,$P$2,HLOOKUP(Table2[[#This Row],[Date]],Funds!$C$10:$GV$11,2,FALSE)))</f>
        <v/>
      </c>
      <c r="J4635" s="215" t="str">
        <f>IF(Table2[[#This Row],[Description]]="","",Table2[[#This Row],[Value]]/Table2[[#This Row],[Conversion]])</f>
        <v/>
      </c>
      <c r="K4635" s="45" t="str">
        <f>IF(Table2[[#This Row],[Description]]="","",DATE(Table2[[#This Row],[Year]],Table2[[#This Row],[Month]],1))</f>
        <v/>
      </c>
    </row>
    <row r="4636" spans="7:11" x14ac:dyDescent="0.25">
      <c r="G4636" s="1" t="str">
        <f>IF(Table2[[#This Row],[Description]]="","",VLOOKUP(Table2[[#This Row],[Description]],$Q$1:$S$101,2,FALSE))</f>
        <v/>
      </c>
      <c r="H4636" s="1" t="str">
        <f>IF(Table2[[#This Row],[Description]]="","",VLOOKUP(Table2[[#This Row],[Description]],$Q$1:$S$101,3,FALSE))</f>
        <v/>
      </c>
      <c r="I4636" s="1" t="str">
        <f>IF(Table2[[#This Row],[Description]]="","",IF(Table2[[#This Row],[Currency]]=$O$2,$P$2,HLOOKUP(Table2[[#This Row],[Date]],Funds!$C$10:$GV$11,2,FALSE)))</f>
        <v/>
      </c>
      <c r="J4636" s="215" t="str">
        <f>IF(Table2[[#This Row],[Description]]="","",Table2[[#This Row],[Value]]/Table2[[#This Row],[Conversion]])</f>
        <v/>
      </c>
      <c r="K4636" s="45" t="str">
        <f>IF(Table2[[#This Row],[Description]]="","",DATE(Table2[[#This Row],[Year]],Table2[[#This Row],[Month]],1))</f>
        <v/>
      </c>
    </row>
    <row r="4637" spans="7:11" x14ac:dyDescent="0.25">
      <c r="G4637" s="1" t="str">
        <f>IF(Table2[[#This Row],[Description]]="","",VLOOKUP(Table2[[#This Row],[Description]],$Q$1:$S$101,2,FALSE))</f>
        <v/>
      </c>
      <c r="H4637" s="1" t="str">
        <f>IF(Table2[[#This Row],[Description]]="","",VLOOKUP(Table2[[#This Row],[Description]],$Q$1:$S$101,3,FALSE))</f>
        <v/>
      </c>
      <c r="I4637" s="1" t="str">
        <f>IF(Table2[[#This Row],[Description]]="","",IF(Table2[[#This Row],[Currency]]=$O$2,$P$2,HLOOKUP(Table2[[#This Row],[Date]],Funds!$C$10:$GV$11,2,FALSE)))</f>
        <v/>
      </c>
      <c r="J4637" s="215" t="str">
        <f>IF(Table2[[#This Row],[Description]]="","",Table2[[#This Row],[Value]]/Table2[[#This Row],[Conversion]])</f>
        <v/>
      </c>
      <c r="K4637" s="45" t="str">
        <f>IF(Table2[[#This Row],[Description]]="","",DATE(Table2[[#This Row],[Year]],Table2[[#This Row],[Month]],1))</f>
        <v/>
      </c>
    </row>
    <row r="4638" spans="7:11" x14ac:dyDescent="0.25">
      <c r="G4638" s="1" t="str">
        <f>IF(Table2[[#This Row],[Description]]="","",VLOOKUP(Table2[[#This Row],[Description]],$Q$1:$S$101,2,FALSE))</f>
        <v/>
      </c>
      <c r="H4638" s="1" t="str">
        <f>IF(Table2[[#This Row],[Description]]="","",VLOOKUP(Table2[[#This Row],[Description]],$Q$1:$S$101,3,FALSE))</f>
        <v/>
      </c>
      <c r="I4638" s="1" t="str">
        <f>IF(Table2[[#This Row],[Description]]="","",IF(Table2[[#This Row],[Currency]]=$O$2,$P$2,HLOOKUP(Table2[[#This Row],[Date]],Funds!$C$10:$GV$11,2,FALSE)))</f>
        <v/>
      </c>
      <c r="J4638" s="215" t="str">
        <f>IF(Table2[[#This Row],[Description]]="","",Table2[[#This Row],[Value]]/Table2[[#This Row],[Conversion]])</f>
        <v/>
      </c>
      <c r="K4638" s="45" t="str">
        <f>IF(Table2[[#This Row],[Description]]="","",DATE(Table2[[#This Row],[Year]],Table2[[#This Row],[Month]],1))</f>
        <v/>
      </c>
    </row>
    <row r="4639" spans="7:11" x14ac:dyDescent="0.25">
      <c r="G4639" s="1" t="str">
        <f>IF(Table2[[#This Row],[Description]]="","",VLOOKUP(Table2[[#This Row],[Description]],$Q$1:$S$101,2,FALSE))</f>
        <v/>
      </c>
      <c r="H4639" s="1" t="str">
        <f>IF(Table2[[#This Row],[Description]]="","",VLOOKUP(Table2[[#This Row],[Description]],$Q$1:$S$101,3,FALSE))</f>
        <v/>
      </c>
      <c r="I4639" s="1" t="str">
        <f>IF(Table2[[#This Row],[Description]]="","",IF(Table2[[#This Row],[Currency]]=$O$2,$P$2,HLOOKUP(Table2[[#This Row],[Date]],Funds!$C$10:$GV$11,2,FALSE)))</f>
        <v/>
      </c>
      <c r="J4639" s="215" t="str">
        <f>IF(Table2[[#This Row],[Description]]="","",Table2[[#This Row],[Value]]/Table2[[#This Row],[Conversion]])</f>
        <v/>
      </c>
      <c r="K4639" s="45" t="str">
        <f>IF(Table2[[#This Row],[Description]]="","",DATE(Table2[[#This Row],[Year]],Table2[[#This Row],[Month]],1))</f>
        <v/>
      </c>
    </row>
    <row r="4640" spans="7:11" x14ac:dyDescent="0.25">
      <c r="G4640" s="1" t="str">
        <f>IF(Table2[[#This Row],[Description]]="","",VLOOKUP(Table2[[#This Row],[Description]],$Q$1:$S$101,2,FALSE))</f>
        <v/>
      </c>
      <c r="H4640" s="1" t="str">
        <f>IF(Table2[[#This Row],[Description]]="","",VLOOKUP(Table2[[#This Row],[Description]],$Q$1:$S$101,3,FALSE))</f>
        <v/>
      </c>
      <c r="I4640" s="1" t="str">
        <f>IF(Table2[[#This Row],[Description]]="","",IF(Table2[[#This Row],[Currency]]=$O$2,$P$2,HLOOKUP(Table2[[#This Row],[Date]],Funds!$C$10:$GV$11,2,FALSE)))</f>
        <v/>
      </c>
      <c r="J4640" s="215" t="str">
        <f>IF(Table2[[#This Row],[Description]]="","",Table2[[#This Row],[Value]]/Table2[[#This Row],[Conversion]])</f>
        <v/>
      </c>
      <c r="K4640" s="45" t="str">
        <f>IF(Table2[[#This Row],[Description]]="","",DATE(Table2[[#This Row],[Year]],Table2[[#This Row],[Month]],1))</f>
        <v/>
      </c>
    </row>
    <row r="4641" spans="7:11" x14ac:dyDescent="0.25">
      <c r="G4641" s="1" t="str">
        <f>IF(Table2[[#This Row],[Description]]="","",VLOOKUP(Table2[[#This Row],[Description]],$Q$1:$S$101,2,FALSE))</f>
        <v/>
      </c>
      <c r="H4641" s="1" t="str">
        <f>IF(Table2[[#This Row],[Description]]="","",VLOOKUP(Table2[[#This Row],[Description]],$Q$1:$S$101,3,FALSE))</f>
        <v/>
      </c>
      <c r="I4641" s="1" t="str">
        <f>IF(Table2[[#This Row],[Description]]="","",IF(Table2[[#This Row],[Currency]]=$O$2,$P$2,HLOOKUP(Table2[[#This Row],[Date]],Funds!$C$10:$GV$11,2,FALSE)))</f>
        <v/>
      </c>
      <c r="J4641" s="215" t="str">
        <f>IF(Table2[[#This Row],[Description]]="","",Table2[[#This Row],[Value]]/Table2[[#This Row],[Conversion]])</f>
        <v/>
      </c>
      <c r="K4641" s="45" t="str">
        <f>IF(Table2[[#This Row],[Description]]="","",DATE(Table2[[#This Row],[Year]],Table2[[#This Row],[Month]],1))</f>
        <v/>
      </c>
    </row>
    <row r="4642" spans="7:11" x14ac:dyDescent="0.25">
      <c r="G4642" s="1" t="str">
        <f>IF(Table2[[#This Row],[Description]]="","",VLOOKUP(Table2[[#This Row],[Description]],$Q$1:$S$101,2,FALSE))</f>
        <v/>
      </c>
      <c r="H4642" s="1" t="str">
        <f>IF(Table2[[#This Row],[Description]]="","",VLOOKUP(Table2[[#This Row],[Description]],$Q$1:$S$101,3,FALSE))</f>
        <v/>
      </c>
      <c r="I4642" s="1" t="str">
        <f>IF(Table2[[#This Row],[Description]]="","",IF(Table2[[#This Row],[Currency]]=$O$2,$P$2,HLOOKUP(Table2[[#This Row],[Date]],Funds!$C$10:$GV$11,2,FALSE)))</f>
        <v/>
      </c>
      <c r="J4642" s="215" t="str">
        <f>IF(Table2[[#This Row],[Description]]="","",Table2[[#This Row],[Value]]/Table2[[#This Row],[Conversion]])</f>
        <v/>
      </c>
      <c r="K4642" s="45" t="str">
        <f>IF(Table2[[#This Row],[Description]]="","",DATE(Table2[[#This Row],[Year]],Table2[[#This Row],[Month]],1))</f>
        <v/>
      </c>
    </row>
    <row r="4643" spans="7:11" x14ac:dyDescent="0.25">
      <c r="G4643" s="1" t="str">
        <f>IF(Table2[[#This Row],[Description]]="","",VLOOKUP(Table2[[#This Row],[Description]],$Q$1:$S$101,2,FALSE))</f>
        <v/>
      </c>
      <c r="H4643" s="1" t="str">
        <f>IF(Table2[[#This Row],[Description]]="","",VLOOKUP(Table2[[#This Row],[Description]],$Q$1:$S$101,3,FALSE))</f>
        <v/>
      </c>
      <c r="I4643" s="1" t="str">
        <f>IF(Table2[[#This Row],[Description]]="","",IF(Table2[[#This Row],[Currency]]=$O$2,$P$2,HLOOKUP(Table2[[#This Row],[Date]],Funds!$C$10:$GV$11,2,FALSE)))</f>
        <v/>
      </c>
      <c r="J4643" s="215" t="str">
        <f>IF(Table2[[#This Row],[Description]]="","",Table2[[#This Row],[Value]]/Table2[[#This Row],[Conversion]])</f>
        <v/>
      </c>
      <c r="K4643" s="45" t="str">
        <f>IF(Table2[[#This Row],[Description]]="","",DATE(Table2[[#This Row],[Year]],Table2[[#This Row],[Month]],1))</f>
        <v/>
      </c>
    </row>
    <row r="4644" spans="7:11" x14ac:dyDescent="0.25">
      <c r="G4644" s="1" t="str">
        <f>IF(Table2[[#This Row],[Description]]="","",VLOOKUP(Table2[[#This Row],[Description]],$Q$1:$S$101,2,FALSE))</f>
        <v/>
      </c>
      <c r="H4644" s="1" t="str">
        <f>IF(Table2[[#This Row],[Description]]="","",VLOOKUP(Table2[[#This Row],[Description]],$Q$1:$S$101,3,FALSE))</f>
        <v/>
      </c>
      <c r="I4644" s="1" t="str">
        <f>IF(Table2[[#This Row],[Description]]="","",IF(Table2[[#This Row],[Currency]]=$O$2,$P$2,HLOOKUP(Table2[[#This Row],[Date]],Funds!$C$10:$GV$11,2,FALSE)))</f>
        <v/>
      </c>
      <c r="J4644" s="215" t="str">
        <f>IF(Table2[[#This Row],[Description]]="","",Table2[[#This Row],[Value]]/Table2[[#This Row],[Conversion]])</f>
        <v/>
      </c>
      <c r="K4644" s="45" t="str">
        <f>IF(Table2[[#This Row],[Description]]="","",DATE(Table2[[#This Row],[Year]],Table2[[#This Row],[Month]],1))</f>
        <v/>
      </c>
    </row>
    <row r="4645" spans="7:11" x14ac:dyDescent="0.25">
      <c r="G4645" s="1" t="str">
        <f>IF(Table2[[#This Row],[Description]]="","",VLOOKUP(Table2[[#This Row],[Description]],$Q$1:$S$101,2,FALSE))</f>
        <v/>
      </c>
      <c r="H4645" s="1" t="str">
        <f>IF(Table2[[#This Row],[Description]]="","",VLOOKUP(Table2[[#This Row],[Description]],$Q$1:$S$101,3,FALSE))</f>
        <v/>
      </c>
      <c r="I4645" s="1" t="str">
        <f>IF(Table2[[#This Row],[Description]]="","",IF(Table2[[#This Row],[Currency]]=$O$2,$P$2,HLOOKUP(Table2[[#This Row],[Date]],Funds!$C$10:$GV$11,2,FALSE)))</f>
        <v/>
      </c>
      <c r="J4645" s="215" t="str">
        <f>IF(Table2[[#This Row],[Description]]="","",Table2[[#This Row],[Value]]/Table2[[#This Row],[Conversion]])</f>
        <v/>
      </c>
      <c r="K4645" s="45" t="str">
        <f>IF(Table2[[#This Row],[Description]]="","",DATE(Table2[[#This Row],[Year]],Table2[[#This Row],[Month]],1))</f>
        <v/>
      </c>
    </row>
    <row r="4646" spans="7:11" x14ac:dyDescent="0.25">
      <c r="G4646" s="1" t="str">
        <f>IF(Table2[[#This Row],[Description]]="","",VLOOKUP(Table2[[#This Row],[Description]],$Q$1:$S$101,2,FALSE))</f>
        <v/>
      </c>
      <c r="H4646" s="1" t="str">
        <f>IF(Table2[[#This Row],[Description]]="","",VLOOKUP(Table2[[#This Row],[Description]],$Q$1:$S$101,3,FALSE))</f>
        <v/>
      </c>
      <c r="I4646" s="1" t="str">
        <f>IF(Table2[[#This Row],[Description]]="","",IF(Table2[[#This Row],[Currency]]=$O$2,$P$2,HLOOKUP(Table2[[#This Row],[Date]],Funds!$C$10:$GV$11,2,FALSE)))</f>
        <v/>
      </c>
      <c r="J4646" s="215" t="str">
        <f>IF(Table2[[#This Row],[Description]]="","",Table2[[#This Row],[Value]]/Table2[[#This Row],[Conversion]])</f>
        <v/>
      </c>
      <c r="K4646" s="45" t="str">
        <f>IF(Table2[[#This Row],[Description]]="","",DATE(Table2[[#This Row],[Year]],Table2[[#This Row],[Month]],1))</f>
        <v/>
      </c>
    </row>
    <row r="4647" spans="7:11" x14ac:dyDescent="0.25">
      <c r="G4647" s="1" t="str">
        <f>IF(Table2[[#This Row],[Description]]="","",VLOOKUP(Table2[[#This Row],[Description]],$Q$1:$S$101,2,FALSE))</f>
        <v/>
      </c>
      <c r="H4647" s="1" t="str">
        <f>IF(Table2[[#This Row],[Description]]="","",VLOOKUP(Table2[[#This Row],[Description]],$Q$1:$S$101,3,FALSE))</f>
        <v/>
      </c>
      <c r="I4647" s="1" t="str">
        <f>IF(Table2[[#This Row],[Description]]="","",IF(Table2[[#This Row],[Currency]]=$O$2,$P$2,HLOOKUP(Table2[[#This Row],[Date]],Funds!$C$10:$GV$11,2,FALSE)))</f>
        <v/>
      </c>
      <c r="J4647" s="215" t="str">
        <f>IF(Table2[[#This Row],[Description]]="","",Table2[[#This Row],[Value]]/Table2[[#This Row],[Conversion]])</f>
        <v/>
      </c>
      <c r="K4647" s="45" t="str">
        <f>IF(Table2[[#This Row],[Description]]="","",DATE(Table2[[#This Row],[Year]],Table2[[#This Row],[Month]],1))</f>
        <v/>
      </c>
    </row>
    <row r="4648" spans="7:11" x14ac:dyDescent="0.25">
      <c r="G4648" s="1" t="str">
        <f>IF(Table2[[#This Row],[Description]]="","",VLOOKUP(Table2[[#This Row],[Description]],$Q$1:$S$101,2,FALSE))</f>
        <v/>
      </c>
      <c r="H4648" s="1" t="str">
        <f>IF(Table2[[#This Row],[Description]]="","",VLOOKUP(Table2[[#This Row],[Description]],$Q$1:$S$101,3,FALSE))</f>
        <v/>
      </c>
      <c r="I4648" s="1" t="str">
        <f>IF(Table2[[#This Row],[Description]]="","",IF(Table2[[#This Row],[Currency]]=$O$2,$P$2,HLOOKUP(Table2[[#This Row],[Date]],Funds!$C$10:$GV$11,2,FALSE)))</f>
        <v/>
      </c>
      <c r="J4648" s="215" t="str">
        <f>IF(Table2[[#This Row],[Description]]="","",Table2[[#This Row],[Value]]/Table2[[#This Row],[Conversion]])</f>
        <v/>
      </c>
      <c r="K4648" s="45" t="str">
        <f>IF(Table2[[#This Row],[Description]]="","",DATE(Table2[[#This Row],[Year]],Table2[[#This Row],[Month]],1))</f>
        <v/>
      </c>
    </row>
    <row r="4649" spans="7:11" x14ac:dyDescent="0.25">
      <c r="G4649" s="1" t="str">
        <f>IF(Table2[[#This Row],[Description]]="","",VLOOKUP(Table2[[#This Row],[Description]],$Q$1:$S$101,2,FALSE))</f>
        <v/>
      </c>
      <c r="H4649" s="1" t="str">
        <f>IF(Table2[[#This Row],[Description]]="","",VLOOKUP(Table2[[#This Row],[Description]],$Q$1:$S$101,3,FALSE))</f>
        <v/>
      </c>
      <c r="I4649" s="1" t="str">
        <f>IF(Table2[[#This Row],[Description]]="","",IF(Table2[[#This Row],[Currency]]=$O$2,$P$2,HLOOKUP(Table2[[#This Row],[Date]],Funds!$C$10:$GV$11,2,FALSE)))</f>
        <v/>
      </c>
      <c r="J4649" s="215" t="str">
        <f>IF(Table2[[#This Row],[Description]]="","",Table2[[#This Row],[Value]]/Table2[[#This Row],[Conversion]])</f>
        <v/>
      </c>
      <c r="K4649" s="45" t="str">
        <f>IF(Table2[[#This Row],[Description]]="","",DATE(Table2[[#This Row],[Year]],Table2[[#This Row],[Month]],1))</f>
        <v/>
      </c>
    </row>
    <row r="4650" spans="7:11" x14ac:dyDescent="0.25">
      <c r="G4650" s="1" t="str">
        <f>IF(Table2[[#This Row],[Description]]="","",VLOOKUP(Table2[[#This Row],[Description]],$Q$1:$S$101,2,FALSE))</f>
        <v/>
      </c>
      <c r="H4650" s="1" t="str">
        <f>IF(Table2[[#This Row],[Description]]="","",VLOOKUP(Table2[[#This Row],[Description]],$Q$1:$S$101,3,FALSE))</f>
        <v/>
      </c>
      <c r="I4650" s="1" t="str">
        <f>IF(Table2[[#This Row],[Description]]="","",IF(Table2[[#This Row],[Currency]]=$O$2,$P$2,HLOOKUP(Table2[[#This Row],[Date]],Funds!$C$10:$GV$11,2,FALSE)))</f>
        <v/>
      </c>
      <c r="J4650" s="215" t="str">
        <f>IF(Table2[[#This Row],[Description]]="","",Table2[[#This Row],[Value]]/Table2[[#This Row],[Conversion]])</f>
        <v/>
      </c>
      <c r="K4650" s="45" t="str">
        <f>IF(Table2[[#This Row],[Description]]="","",DATE(Table2[[#This Row],[Year]],Table2[[#This Row],[Month]],1))</f>
        <v/>
      </c>
    </row>
    <row r="4651" spans="7:11" x14ac:dyDescent="0.25">
      <c r="G4651" s="1" t="str">
        <f>IF(Table2[[#This Row],[Description]]="","",VLOOKUP(Table2[[#This Row],[Description]],$Q$1:$S$101,2,FALSE))</f>
        <v/>
      </c>
      <c r="H4651" s="1" t="str">
        <f>IF(Table2[[#This Row],[Description]]="","",VLOOKUP(Table2[[#This Row],[Description]],$Q$1:$S$101,3,FALSE))</f>
        <v/>
      </c>
      <c r="I4651" s="1" t="str">
        <f>IF(Table2[[#This Row],[Description]]="","",IF(Table2[[#This Row],[Currency]]=$O$2,$P$2,HLOOKUP(Table2[[#This Row],[Date]],Funds!$C$10:$GV$11,2,FALSE)))</f>
        <v/>
      </c>
      <c r="J4651" s="215" t="str">
        <f>IF(Table2[[#This Row],[Description]]="","",Table2[[#This Row],[Value]]/Table2[[#This Row],[Conversion]])</f>
        <v/>
      </c>
      <c r="K4651" s="45" t="str">
        <f>IF(Table2[[#This Row],[Description]]="","",DATE(Table2[[#This Row],[Year]],Table2[[#This Row],[Month]],1))</f>
        <v/>
      </c>
    </row>
    <row r="4652" spans="7:11" x14ac:dyDescent="0.25">
      <c r="G4652" s="1" t="str">
        <f>IF(Table2[[#This Row],[Description]]="","",VLOOKUP(Table2[[#This Row],[Description]],$Q$1:$S$101,2,FALSE))</f>
        <v/>
      </c>
      <c r="H4652" s="1" t="str">
        <f>IF(Table2[[#This Row],[Description]]="","",VLOOKUP(Table2[[#This Row],[Description]],$Q$1:$S$101,3,FALSE))</f>
        <v/>
      </c>
      <c r="I4652" s="1" t="str">
        <f>IF(Table2[[#This Row],[Description]]="","",IF(Table2[[#This Row],[Currency]]=$O$2,$P$2,HLOOKUP(Table2[[#This Row],[Date]],Funds!$C$10:$GV$11,2,FALSE)))</f>
        <v/>
      </c>
      <c r="J4652" s="215" t="str">
        <f>IF(Table2[[#This Row],[Description]]="","",Table2[[#This Row],[Value]]/Table2[[#This Row],[Conversion]])</f>
        <v/>
      </c>
      <c r="K4652" s="45" t="str">
        <f>IF(Table2[[#This Row],[Description]]="","",DATE(Table2[[#This Row],[Year]],Table2[[#This Row],[Month]],1))</f>
        <v/>
      </c>
    </row>
    <row r="4653" spans="7:11" x14ac:dyDescent="0.25">
      <c r="G4653" s="1" t="str">
        <f>IF(Table2[[#This Row],[Description]]="","",VLOOKUP(Table2[[#This Row],[Description]],$Q$1:$S$101,2,FALSE))</f>
        <v/>
      </c>
      <c r="H4653" s="1" t="str">
        <f>IF(Table2[[#This Row],[Description]]="","",VLOOKUP(Table2[[#This Row],[Description]],$Q$1:$S$101,3,FALSE))</f>
        <v/>
      </c>
      <c r="I4653" s="1" t="str">
        <f>IF(Table2[[#This Row],[Description]]="","",IF(Table2[[#This Row],[Currency]]=$O$2,$P$2,HLOOKUP(Table2[[#This Row],[Date]],Funds!$C$10:$GV$11,2,FALSE)))</f>
        <v/>
      </c>
      <c r="J4653" s="215" t="str">
        <f>IF(Table2[[#This Row],[Description]]="","",Table2[[#This Row],[Value]]/Table2[[#This Row],[Conversion]])</f>
        <v/>
      </c>
      <c r="K4653" s="45" t="str">
        <f>IF(Table2[[#This Row],[Description]]="","",DATE(Table2[[#This Row],[Year]],Table2[[#This Row],[Month]],1))</f>
        <v/>
      </c>
    </row>
    <row r="4654" spans="7:11" x14ac:dyDescent="0.25">
      <c r="G4654" s="1" t="str">
        <f>IF(Table2[[#This Row],[Description]]="","",VLOOKUP(Table2[[#This Row],[Description]],$Q$1:$S$101,2,FALSE))</f>
        <v/>
      </c>
      <c r="H4654" s="1" t="str">
        <f>IF(Table2[[#This Row],[Description]]="","",VLOOKUP(Table2[[#This Row],[Description]],$Q$1:$S$101,3,FALSE))</f>
        <v/>
      </c>
      <c r="I4654" s="1" t="str">
        <f>IF(Table2[[#This Row],[Description]]="","",IF(Table2[[#This Row],[Currency]]=$O$2,$P$2,HLOOKUP(Table2[[#This Row],[Date]],Funds!$C$10:$GV$11,2,FALSE)))</f>
        <v/>
      </c>
      <c r="J4654" s="215" t="str">
        <f>IF(Table2[[#This Row],[Description]]="","",Table2[[#This Row],[Value]]/Table2[[#This Row],[Conversion]])</f>
        <v/>
      </c>
      <c r="K4654" s="45" t="str">
        <f>IF(Table2[[#This Row],[Description]]="","",DATE(Table2[[#This Row],[Year]],Table2[[#This Row],[Month]],1))</f>
        <v/>
      </c>
    </row>
    <row r="4655" spans="7:11" x14ac:dyDescent="0.25">
      <c r="G4655" s="1" t="str">
        <f>IF(Table2[[#This Row],[Description]]="","",VLOOKUP(Table2[[#This Row],[Description]],$Q$1:$S$101,2,FALSE))</f>
        <v/>
      </c>
      <c r="H4655" s="1" t="str">
        <f>IF(Table2[[#This Row],[Description]]="","",VLOOKUP(Table2[[#This Row],[Description]],$Q$1:$S$101,3,FALSE))</f>
        <v/>
      </c>
      <c r="I4655" s="1" t="str">
        <f>IF(Table2[[#This Row],[Description]]="","",IF(Table2[[#This Row],[Currency]]=$O$2,$P$2,HLOOKUP(Table2[[#This Row],[Date]],Funds!$C$10:$GV$11,2,FALSE)))</f>
        <v/>
      </c>
      <c r="J4655" s="215" t="str">
        <f>IF(Table2[[#This Row],[Description]]="","",Table2[[#This Row],[Value]]/Table2[[#This Row],[Conversion]])</f>
        <v/>
      </c>
      <c r="K4655" s="45" t="str">
        <f>IF(Table2[[#This Row],[Description]]="","",DATE(Table2[[#This Row],[Year]],Table2[[#This Row],[Month]],1))</f>
        <v/>
      </c>
    </row>
    <row r="4656" spans="7:11" x14ac:dyDescent="0.25">
      <c r="G4656" s="1" t="str">
        <f>IF(Table2[[#This Row],[Description]]="","",VLOOKUP(Table2[[#This Row],[Description]],$Q$1:$S$101,2,FALSE))</f>
        <v/>
      </c>
      <c r="H4656" s="1" t="str">
        <f>IF(Table2[[#This Row],[Description]]="","",VLOOKUP(Table2[[#This Row],[Description]],$Q$1:$S$101,3,FALSE))</f>
        <v/>
      </c>
      <c r="I4656" s="1" t="str">
        <f>IF(Table2[[#This Row],[Description]]="","",IF(Table2[[#This Row],[Currency]]=$O$2,$P$2,HLOOKUP(Table2[[#This Row],[Date]],Funds!$C$10:$GV$11,2,FALSE)))</f>
        <v/>
      </c>
      <c r="J4656" s="215" t="str">
        <f>IF(Table2[[#This Row],[Description]]="","",Table2[[#This Row],[Value]]/Table2[[#This Row],[Conversion]])</f>
        <v/>
      </c>
      <c r="K4656" s="45" t="str">
        <f>IF(Table2[[#This Row],[Description]]="","",DATE(Table2[[#This Row],[Year]],Table2[[#This Row],[Month]],1))</f>
        <v/>
      </c>
    </row>
    <row r="4657" spans="7:11" x14ac:dyDescent="0.25">
      <c r="G4657" s="1" t="str">
        <f>IF(Table2[[#This Row],[Description]]="","",VLOOKUP(Table2[[#This Row],[Description]],$Q$1:$S$101,2,FALSE))</f>
        <v/>
      </c>
      <c r="H4657" s="1" t="str">
        <f>IF(Table2[[#This Row],[Description]]="","",VLOOKUP(Table2[[#This Row],[Description]],$Q$1:$S$101,3,FALSE))</f>
        <v/>
      </c>
      <c r="I4657" s="1" t="str">
        <f>IF(Table2[[#This Row],[Description]]="","",IF(Table2[[#This Row],[Currency]]=$O$2,$P$2,HLOOKUP(Table2[[#This Row],[Date]],Funds!$C$10:$GV$11,2,FALSE)))</f>
        <v/>
      </c>
      <c r="J4657" s="215" t="str">
        <f>IF(Table2[[#This Row],[Description]]="","",Table2[[#This Row],[Value]]/Table2[[#This Row],[Conversion]])</f>
        <v/>
      </c>
      <c r="K4657" s="45" t="str">
        <f>IF(Table2[[#This Row],[Description]]="","",DATE(Table2[[#This Row],[Year]],Table2[[#This Row],[Month]],1))</f>
        <v/>
      </c>
    </row>
    <row r="4658" spans="7:11" x14ac:dyDescent="0.25">
      <c r="G4658" s="1" t="str">
        <f>IF(Table2[[#This Row],[Description]]="","",VLOOKUP(Table2[[#This Row],[Description]],$Q$1:$S$101,2,FALSE))</f>
        <v/>
      </c>
      <c r="H4658" s="1" t="str">
        <f>IF(Table2[[#This Row],[Description]]="","",VLOOKUP(Table2[[#This Row],[Description]],$Q$1:$S$101,3,FALSE))</f>
        <v/>
      </c>
      <c r="I4658" s="1" t="str">
        <f>IF(Table2[[#This Row],[Description]]="","",IF(Table2[[#This Row],[Currency]]=$O$2,$P$2,HLOOKUP(Table2[[#This Row],[Date]],Funds!$C$10:$GV$11,2,FALSE)))</f>
        <v/>
      </c>
      <c r="J4658" s="215" t="str">
        <f>IF(Table2[[#This Row],[Description]]="","",Table2[[#This Row],[Value]]/Table2[[#This Row],[Conversion]])</f>
        <v/>
      </c>
      <c r="K4658" s="45" t="str">
        <f>IF(Table2[[#This Row],[Description]]="","",DATE(Table2[[#This Row],[Year]],Table2[[#This Row],[Month]],1))</f>
        <v/>
      </c>
    </row>
    <row r="4659" spans="7:11" x14ac:dyDescent="0.25">
      <c r="G4659" s="1" t="str">
        <f>IF(Table2[[#This Row],[Description]]="","",VLOOKUP(Table2[[#This Row],[Description]],$Q$1:$S$101,2,FALSE))</f>
        <v/>
      </c>
      <c r="H4659" s="1" t="str">
        <f>IF(Table2[[#This Row],[Description]]="","",VLOOKUP(Table2[[#This Row],[Description]],$Q$1:$S$101,3,FALSE))</f>
        <v/>
      </c>
      <c r="I4659" s="1" t="str">
        <f>IF(Table2[[#This Row],[Description]]="","",IF(Table2[[#This Row],[Currency]]=$O$2,$P$2,HLOOKUP(Table2[[#This Row],[Date]],Funds!$C$10:$GV$11,2,FALSE)))</f>
        <v/>
      </c>
      <c r="J4659" s="215" t="str">
        <f>IF(Table2[[#This Row],[Description]]="","",Table2[[#This Row],[Value]]/Table2[[#This Row],[Conversion]])</f>
        <v/>
      </c>
      <c r="K4659" s="45" t="str">
        <f>IF(Table2[[#This Row],[Description]]="","",DATE(Table2[[#This Row],[Year]],Table2[[#This Row],[Month]],1))</f>
        <v/>
      </c>
    </row>
    <row r="4660" spans="7:11" x14ac:dyDescent="0.25">
      <c r="G4660" s="1" t="str">
        <f>IF(Table2[[#This Row],[Description]]="","",VLOOKUP(Table2[[#This Row],[Description]],$Q$1:$S$101,2,FALSE))</f>
        <v/>
      </c>
      <c r="H4660" s="1" t="str">
        <f>IF(Table2[[#This Row],[Description]]="","",VLOOKUP(Table2[[#This Row],[Description]],$Q$1:$S$101,3,FALSE))</f>
        <v/>
      </c>
      <c r="I4660" s="1" t="str">
        <f>IF(Table2[[#This Row],[Description]]="","",IF(Table2[[#This Row],[Currency]]=$O$2,$P$2,HLOOKUP(Table2[[#This Row],[Date]],Funds!$C$10:$GV$11,2,FALSE)))</f>
        <v/>
      </c>
      <c r="J4660" s="215" t="str">
        <f>IF(Table2[[#This Row],[Description]]="","",Table2[[#This Row],[Value]]/Table2[[#This Row],[Conversion]])</f>
        <v/>
      </c>
      <c r="K4660" s="45" t="str">
        <f>IF(Table2[[#This Row],[Description]]="","",DATE(Table2[[#This Row],[Year]],Table2[[#This Row],[Month]],1))</f>
        <v/>
      </c>
    </row>
    <row r="4661" spans="7:11" x14ac:dyDescent="0.25">
      <c r="G4661" s="1" t="str">
        <f>IF(Table2[[#This Row],[Description]]="","",VLOOKUP(Table2[[#This Row],[Description]],$Q$1:$S$101,2,FALSE))</f>
        <v/>
      </c>
      <c r="H4661" s="1" t="str">
        <f>IF(Table2[[#This Row],[Description]]="","",VLOOKUP(Table2[[#This Row],[Description]],$Q$1:$S$101,3,FALSE))</f>
        <v/>
      </c>
      <c r="I4661" s="1" t="str">
        <f>IF(Table2[[#This Row],[Description]]="","",IF(Table2[[#This Row],[Currency]]=$O$2,$P$2,HLOOKUP(Table2[[#This Row],[Date]],Funds!$C$10:$GV$11,2,FALSE)))</f>
        <v/>
      </c>
      <c r="J4661" s="215" t="str">
        <f>IF(Table2[[#This Row],[Description]]="","",Table2[[#This Row],[Value]]/Table2[[#This Row],[Conversion]])</f>
        <v/>
      </c>
      <c r="K4661" s="45" t="str">
        <f>IF(Table2[[#This Row],[Description]]="","",DATE(Table2[[#This Row],[Year]],Table2[[#This Row],[Month]],1))</f>
        <v/>
      </c>
    </row>
    <row r="4662" spans="7:11" x14ac:dyDescent="0.25">
      <c r="G4662" s="1" t="str">
        <f>IF(Table2[[#This Row],[Description]]="","",VLOOKUP(Table2[[#This Row],[Description]],$Q$1:$S$101,2,FALSE))</f>
        <v/>
      </c>
      <c r="H4662" s="1" t="str">
        <f>IF(Table2[[#This Row],[Description]]="","",VLOOKUP(Table2[[#This Row],[Description]],$Q$1:$S$101,3,FALSE))</f>
        <v/>
      </c>
      <c r="I4662" s="1" t="str">
        <f>IF(Table2[[#This Row],[Description]]="","",IF(Table2[[#This Row],[Currency]]=$O$2,$P$2,HLOOKUP(Table2[[#This Row],[Date]],Funds!$C$10:$GV$11,2,FALSE)))</f>
        <v/>
      </c>
      <c r="J4662" s="215" t="str">
        <f>IF(Table2[[#This Row],[Description]]="","",Table2[[#This Row],[Value]]/Table2[[#This Row],[Conversion]])</f>
        <v/>
      </c>
      <c r="K4662" s="45" t="str">
        <f>IF(Table2[[#This Row],[Description]]="","",DATE(Table2[[#This Row],[Year]],Table2[[#This Row],[Month]],1))</f>
        <v/>
      </c>
    </row>
    <row r="4663" spans="7:11" x14ac:dyDescent="0.25">
      <c r="G4663" s="1" t="str">
        <f>IF(Table2[[#This Row],[Description]]="","",VLOOKUP(Table2[[#This Row],[Description]],$Q$1:$S$101,2,FALSE))</f>
        <v/>
      </c>
      <c r="H4663" s="1" t="str">
        <f>IF(Table2[[#This Row],[Description]]="","",VLOOKUP(Table2[[#This Row],[Description]],$Q$1:$S$101,3,FALSE))</f>
        <v/>
      </c>
      <c r="I4663" s="1" t="str">
        <f>IF(Table2[[#This Row],[Description]]="","",IF(Table2[[#This Row],[Currency]]=$O$2,$P$2,HLOOKUP(Table2[[#This Row],[Date]],Funds!$C$10:$GV$11,2,FALSE)))</f>
        <v/>
      </c>
      <c r="J4663" s="215" t="str">
        <f>IF(Table2[[#This Row],[Description]]="","",Table2[[#This Row],[Value]]/Table2[[#This Row],[Conversion]])</f>
        <v/>
      </c>
      <c r="K4663" s="45" t="str">
        <f>IF(Table2[[#This Row],[Description]]="","",DATE(Table2[[#This Row],[Year]],Table2[[#This Row],[Month]],1))</f>
        <v/>
      </c>
    </row>
    <row r="4664" spans="7:11" x14ac:dyDescent="0.25">
      <c r="G4664" s="1" t="str">
        <f>IF(Table2[[#This Row],[Description]]="","",VLOOKUP(Table2[[#This Row],[Description]],$Q$1:$S$101,2,FALSE))</f>
        <v/>
      </c>
      <c r="H4664" s="1" t="str">
        <f>IF(Table2[[#This Row],[Description]]="","",VLOOKUP(Table2[[#This Row],[Description]],$Q$1:$S$101,3,FALSE))</f>
        <v/>
      </c>
      <c r="I4664" s="1" t="str">
        <f>IF(Table2[[#This Row],[Description]]="","",IF(Table2[[#This Row],[Currency]]=$O$2,$P$2,HLOOKUP(Table2[[#This Row],[Date]],Funds!$C$10:$GV$11,2,FALSE)))</f>
        <v/>
      </c>
      <c r="J4664" s="215" t="str">
        <f>IF(Table2[[#This Row],[Description]]="","",Table2[[#This Row],[Value]]/Table2[[#This Row],[Conversion]])</f>
        <v/>
      </c>
      <c r="K4664" s="45" t="str">
        <f>IF(Table2[[#This Row],[Description]]="","",DATE(Table2[[#This Row],[Year]],Table2[[#This Row],[Month]],1))</f>
        <v/>
      </c>
    </row>
    <row r="4665" spans="7:11" x14ac:dyDescent="0.25">
      <c r="G4665" s="1" t="str">
        <f>IF(Table2[[#This Row],[Description]]="","",VLOOKUP(Table2[[#This Row],[Description]],$Q$1:$S$101,2,FALSE))</f>
        <v/>
      </c>
      <c r="H4665" s="1" t="str">
        <f>IF(Table2[[#This Row],[Description]]="","",VLOOKUP(Table2[[#This Row],[Description]],$Q$1:$S$101,3,FALSE))</f>
        <v/>
      </c>
      <c r="I4665" s="1" t="str">
        <f>IF(Table2[[#This Row],[Description]]="","",IF(Table2[[#This Row],[Currency]]=$O$2,$P$2,HLOOKUP(Table2[[#This Row],[Date]],Funds!$C$10:$GV$11,2,FALSE)))</f>
        <v/>
      </c>
      <c r="J4665" s="215" t="str">
        <f>IF(Table2[[#This Row],[Description]]="","",Table2[[#This Row],[Value]]/Table2[[#This Row],[Conversion]])</f>
        <v/>
      </c>
      <c r="K4665" s="45" t="str">
        <f>IF(Table2[[#This Row],[Description]]="","",DATE(Table2[[#This Row],[Year]],Table2[[#This Row],[Month]],1))</f>
        <v/>
      </c>
    </row>
    <row r="4666" spans="7:11" x14ac:dyDescent="0.25">
      <c r="G4666" s="1" t="str">
        <f>IF(Table2[[#This Row],[Description]]="","",VLOOKUP(Table2[[#This Row],[Description]],$Q$1:$S$101,2,FALSE))</f>
        <v/>
      </c>
      <c r="H4666" s="1" t="str">
        <f>IF(Table2[[#This Row],[Description]]="","",VLOOKUP(Table2[[#This Row],[Description]],$Q$1:$S$101,3,FALSE))</f>
        <v/>
      </c>
      <c r="I4666" s="1" t="str">
        <f>IF(Table2[[#This Row],[Description]]="","",IF(Table2[[#This Row],[Currency]]=$O$2,$P$2,HLOOKUP(Table2[[#This Row],[Date]],Funds!$C$10:$GV$11,2,FALSE)))</f>
        <v/>
      </c>
      <c r="J4666" s="215" t="str">
        <f>IF(Table2[[#This Row],[Description]]="","",Table2[[#This Row],[Value]]/Table2[[#This Row],[Conversion]])</f>
        <v/>
      </c>
      <c r="K4666" s="45" t="str">
        <f>IF(Table2[[#This Row],[Description]]="","",DATE(Table2[[#This Row],[Year]],Table2[[#This Row],[Month]],1))</f>
        <v/>
      </c>
    </row>
    <row r="4667" spans="7:11" x14ac:dyDescent="0.25">
      <c r="G4667" s="1" t="str">
        <f>IF(Table2[[#This Row],[Description]]="","",VLOOKUP(Table2[[#This Row],[Description]],$Q$1:$S$101,2,FALSE))</f>
        <v/>
      </c>
      <c r="H4667" s="1" t="str">
        <f>IF(Table2[[#This Row],[Description]]="","",VLOOKUP(Table2[[#This Row],[Description]],$Q$1:$S$101,3,FALSE))</f>
        <v/>
      </c>
      <c r="I4667" s="1" t="str">
        <f>IF(Table2[[#This Row],[Description]]="","",IF(Table2[[#This Row],[Currency]]=$O$2,$P$2,HLOOKUP(Table2[[#This Row],[Date]],Funds!$C$10:$GV$11,2,FALSE)))</f>
        <v/>
      </c>
      <c r="J4667" s="215" t="str">
        <f>IF(Table2[[#This Row],[Description]]="","",Table2[[#This Row],[Value]]/Table2[[#This Row],[Conversion]])</f>
        <v/>
      </c>
      <c r="K4667" s="45" t="str">
        <f>IF(Table2[[#This Row],[Description]]="","",DATE(Table2[[#This Row],[Year]],Table2[[#This Row],[Month]],1))</f>
        <v/>
      </c>
    </row>
    <row r="4668" spans="7:11" x14ac:dyDescent="0.25">
      <c r="G4668" s="1" t="str">
        <f>IF(Table2[[#This Row],[Description]]="","",VLOOKUP(Table2[[#This Row],[Description]],$Q$1:$S$101,2,FALSE))</f>
        <v/>
      </c>
      <c r="H4668" s="1" t="str">
        <f>IF(Table2[[#This Row],[Description]]="","",VLOOKUP(Table2[[#This Row],[Description]],$Q$1:$S$101,3,FALSE))</f>
        <v/>
      </c>
      <c r="I4668" s="1" t="str">
        <f>IF(Table2[[#This Row],[Description]]="","",IF(Table2[[#This Row],[Currency]]=$O$2,$P$2,HLOOKUP(Table2[[#This Row],[Date]],Funds!$C$10:$GV$11,2,FALSE)))</f>
        <v/>
      </c>
      <c r="J4668" s="215" t="str">
        <f>IF(Table2[[#This Row],[Description]]="","",Table2[[#This Row],[Value]]/Table2[[#This Row],[Conversion]])</f>
        <v/>
      </c>
      <c r="K4668" s="45" t="str">
        <f>IF(Table2[[#This Row],[Description]]="","",DATE(Table2[[#This Row],[Year]],Table2[[#This Row],[Month]],1))</f>
        <v/>
      </c>
    </row>
    <row r="4669" spans="7:11" x14ac:dyDescent="0.25">
      <c r="G4669" s="1" t="str">
        <f>IF(Table2[[#This Row],[Description]]="","",VLOOKUP(Table2[[#This Row],[Description]],$Q$1:$S$101,2,FALSE))</f>
        <v/>
      </c>
      <c r="H4669" s="1" t="str">
        <f>IF(Table2[[#This Row],[Description]]="","",VLOOKUP(Table2[[#This Row],[Description]],$Q$1:$S$101,3,FALSE))</f>
        <v/>
      </c>
      <c r="I4669" s="1" t="str">
        <f>IF(Table2[[#This Row],[Description]]="","",IF(Table2[[#This Row],[Currency]]=$O$2,$P$2,HLOOKUP(Table2[[#This Row],[Date]],Funds!$C$10:$GV$11,2,FALSE)))</f>
        <v/>
      </c>
      <c r="J4669" s="215" t="str">
        <f>IF(Table2[[#This Row],[Description]]="","",Table2[[#This Row],[Value]]/Table2[[#This Row],[Conversion]])</f>
        <v/>
      </c>
      <c r="K4669" s="45" t="str">
        <f>IF(Table2[[#This Row],[Description]]="","",DATE(Table2[[#This Row],[Year]],Table2[[#This Row],[Month]],1))</f>
        <v/>
      </c>
    </row>
    <row r="4670" spans="7:11" x14ac:dyDescent="0.25">
      <c r="G4670" s="1" t="str">
        <f>IF(Table2[[#This Row],[Description]]="","",VLOOKUP(Table2[[#This Row],[Description]],$Q$1:$S$101,2,FALSE))</f>
        <v/>
      </c>
      <c r="H4670" s="1" t="str">
        <f>IF(Table2[[#This Row],[Description]]="","",VLOOKUP(Table2[[#This Row],[Description]],$Q$1:$S$101,3,FALSE))</f>
        <v/>
      </c>
      <c r="I4670" s="1" t="str">
        <f>IF(Table2[[#This Row],[Description]]="","",IF(Table2[[#This Row],[Currency]]=$O$2,$P$2,HLOOKUP(Table2[[#This Row],[Date]],Funds!$C$10:$GV$11,2,FALSE)))</f>
        <v/>
      </c>
      <c r="J4670" s="215" t="str">
        <f>IF(Table2[[#This Row],[Description]]="","",Table2[[#This Row],[Value]]/Table2[[#This Row],[Conversion]])</f>
        <v/>
      </c>
      <c r="K4670" s="45" t="str">
        <f>IF(Table2[[#This Row],[Description]]="","",DATE(Table2[[#This Row],[Year]],Table2[[#This Row],[Month]],1))</f>
        <v/>
      </c>
    </row>
    <row r="4671" spans="7:11" x14ac:dyDescent="0.25">
      <c r="G4671" s="1" t="str">
        <f>IF(Table2[[#This Row],[Description]]="","",VLOOKUP(Table2[[#This Row],[Description]],$Q$1:$S$101,2,FALSE))</f>
        <v/>
      </c>
      <c r="H4671" s="1" t="str">
        <f>IF(Table2[[#This Row],[Description]]="","",VLOOKUP(Table2[[#This Row],[Description]],$Q$1:$S$101,3,FALSE))</f>
        <v/>
      </c>
      <c r="I4671" s="1" t="str">
        <f>IF(Table2[[#This Row],[Description]]="","",IF(Table2[[#This Row],[Currency]]=$O$2,$P$2,HLOOKUP(Table2[[#This Row],[Date]],Funds!$C$10:$GV$11,2,FALSE)))</f>
        <v/>
      </c>
      <c r="J4671" s="215" t="str">
        <f>IF(Table2[[#This Row],[Description]]="","",Table2[[#This Row],[Value]]/Table2[[#This Row],[Conversion]])</f>
        <v/>
      </c>
      <c r="K4671" s="45" t="str">
        <f>IF(Table2[[#This Row],[Description]]="","",DATE(Table2[[#This Row],[Year]],Table2[[#This Row],[Month]],1))</f>
        <v/>
      </c>
    </row>
    <row r="4672" spans="7:11" x14ac:dyDescent="0.25">
      <c r="G4672" s="1" t="str">
        <f>IF(Table2[[#This Row],[Description]]="","",VLOOKUP(Table2[[#This Row],[Description]],$Q$1:$S$101,2,FALSE))</f>
        <v/>
      </c>
      <c r="H4672" s="1" t="str">
        <f>IF(Table2[[#This Row],[Description]]="","",VLOOKUP(Table2[[#This Row],[Description]],$Q$1:$S$101,3,FALSE))</f>
        <v/>
      </c>
      <c r="I4672" s="1" t="str">
        <f>IF(Table2[[#This Row],[Description]]="","",IF(Table2[[#This Row],[Currency]]=$O$2,$P$2,HLOOKUP(Table2[[#This Row],[Date]],Funds!$C$10:$GV$11,2,FALSE)))</f>
        <v/>
      </c>
      <c r="J4672" s="215" t="str">
        <f>IF(Table2[[#This Row],[Description]]="","",Table2[[#This Row],[Value]]/Table2[[#This Row],[Conversion]])</f>
        <v/>
      </c>
      <c r="K4672" s="45" t="str">
        <f>IF(Table2[[#This Row],[Description]]="","",DATE(Table2[[#This Row],[Year]],Table2[[#This Row],[Month]],1))</f>
        <v/>
      </c>
    </row>
    <row r="4673" spans="7:11" x14ac:dyDescent="0.25">
      <c r="G4673" s="1" t="str">
        <f>IF(Table2[[#This Row],[Description]]="","",VLOOKUP(Table2[[#This Row],[Description]],$Q$1:$S$101,2,FALSE))</f>
        <v/>
      </c>
      <c r="H4673" s="1" t="str">
        <f>IF(Table2[[#This Row],[Description]]="","",VLOOKUP(Table2[[#This Row],[Description]],$Q$1:$S$101,3,FALSE))</f>
        <v/>
      </c>
      <c r="I4673" s="1" t="str">
        <f>IF(Table2[[#This Row],[Description]]="","",IF(Table2[[#This Row],[Currency]]=$O$2,$P$2,HLOOKUP(Table2[[#This Row],[Date]],Funds!$C$10:$GV$11,2,FALSE)))</f>
        <v/>
      </c>
      <c r="J4673" s="215" t="str">
        <f>IF(Table2[[#This Row],[Description]]="","",Table2[[#This Row],[Value]]/Table2[[#This Row],[Conversion]])</f>
        <v/>
      </c>
      <c r="K4673" s="45" t="str">
        <f>IF(Table2[[#This Row],[Description]]="","",DATE(Table2[[#This Row],[Year]],Table2[[#This Row],[Month]],1))</f>
        <v/>
      </c>
    </row>
    <row r="4674" spans="7:11" x14ac:dyDescent="0.25">
      <c r="G4674" s="1" t="str">
        <f>IF(Table2[[#This Row],[Description]]="","",VLOOKUP(Table2[[#This Row],[Description]],$Q$1:$S$101,2,FALSE))</f>
        <v/>
      </c>
      <c r="H4674" s="1" t="str">
        <f>IF(Table2[[#This Row],[Description]]="","",VLOOKUP(Table2[[#This Row],[Description]],$Q$1:$S$101,3,FALSE))</f>
        <v/>
      </c>
      <c r="I4674" s="1" t="str">
        <f>IF(Table2[[#This Row],[Description]]="","",IF(Table2[[#This Row],[Currency]]=$O$2,$P$2,HLOOKUP(Table2[[#This Row],[Date]],Funds!$C$10:$GV$11,2,FALSE)))</f>
        <v/>
      </c>
      <c r="J4674" s="215" t="str">
        <f>IF(Table2[[#This Row],[Description]]="","",Table2[[#This Row],[Value]]/Table2[[#This Row],[Conversion]])</f>
        <v/>
      </c>
      <c r="K4674" s="45" t="str">
        <f>IF(Table2[[#This Row],[Description]]="","",DATE(Table2[[#This Row],[Year]],Table2[[#This Row],[Month]],1))</f>
        <v/>
      </c>
    </row>
    <row r="4675" spans="7:11" x14ac:dyDescent="0.25">
      <c r="G4675" s="1" t="str">
        <f>IF(Table2[[#This Row],[Description]]="","",VLOOKUP(Table2[[#This Row],[Description]],$Q$1:$S$101,2,FALSE))</f>
        <v/>
      </c>
      <c r="H4675" s="1" t="str">
        <f>IF(Table2[[#This Row],[Description]]="","",VLOOKUP(Table2[[#This Row],[Description]],$Q$1:$S$101,3,FALSE))</f>
        <v/>
      </c>
      <c r="I4675" s="1" t="str">
        <f>IF(Table2[[#This Row],[Description]]="","",IF(Table2[[#This Row],[Currency]]=$O$2,$P$2,HLOOKUP(Table2[[#This Row],[Date]],Funds!$C$10:$GV$11,2,FALSE)))</f>
        <v/>
      </c>
      <c r="J4675" s="215" t="str">
        <f>IF(Table2[[#This Row],[Description]]="","",Table2[[#This Row],[Value]]/Table2[[#This Row],[Conversion]])</f>
        <v/>
      </c>
      <c r="K4675" s="45" t="str">
        <f>IF(Table2[[#This Row],[Description]]="","",DATE(Table2[[#This Row],[Year]],Table2[[#This Row],[Month]],1))</f>
        <v/>
      </c>
    </row>
    <row r="4676" spans="7:11" x14ac:dyDescent="0.25">
      <c r="G4676" s="1" t="str">
        <f>IF(Table2[[#This Row],[Description]]="","",VLOOKUP(Table2[[#This Row],[Description]],$Q$1:$S$101,2,FALSE))</f>
        <v/>
      </c>
      <c r="H4676" s="1" t="str">
        <f>IF(Table2[[#This Row],[Description]]="","",VLOOKUP(Table2[[#This Row],[Description]],$Q$1:$S$101,3,FALSE))</f>
        <v/>
      </c>
      <c r="I4676" s="1" t="str">
        <f>IF(Table2[[#This Row],[Description]]="","",IF(Table2[[#This Row],[Currency]]=$O$2,$P$2,HLOOKUP(Table2[[#This Row],[Date]],Funds!$C$10:$GV$11,2,FALSE)))</f>
        <v/>
      </c>
      <c r="J4676" s="215" t="str">
        <f>IF(Table2[[#This Row],[Description]]="","",Table2[[#This Row],[Value]]/Table2[[#This Row],[Conversion]])</f>
        <v/>
      </c>
      <c r="K4676" s="45" t="str">
        <f>IF(Table2[[#This Row],[Description]]="","",DATE(Table2[[#This Row],[Year]],Table2[[#This Row],[Month]],1))</f>
        <v/>
      </c>
    </row>
    <row r="4677" spans="7:11" x14ac:dyDescent="0.25">
      <c r="G4677" s="1" t="str">
        <f>IF(Table2[[#This Row],[Description]]="","",VLOOKUP(Table2[[#This Row],[Description]],$Q$1:$S$101,2,FALSE))</f>
        <v/>
      </c>
      <c r="H4677" s="1" t="str">
        <f>IF(Table2[[#This Row],[Description]]="","",VLOOKUP(Table2[[#This Row],[Description]],$Q$1:$S$101,3,FALSE))</f>
        <v/>
      </c>
      <c r="I4677" s="1" t="str">
        <f>IF(Table2[[#This Row],[Description]]="","",IF(Table2[[#This Row],[Currency]]=$O$2,$P$2,HLOOKUP(Table2[[#This Row],[Date]],Funds!$C$10:$GV$11,2,FALSE)))</f>
        <v/>
      </c>
      <c r="J4677" s="215" t="str">
        <f>IF(Table2[[#This Row],[Description]]="","",Table2[[#This Row],[Value]]/Table2[[#This Row],[Conversion]])</f>
        <v/>
      </c>
      <c r="K4677" s="45" t="str">
        <f>IF(Table2[[#This Row],[Description]]="","",DATE(Table2[[#This Row],[Year]],Table2[[#This Row],[Month]],1))</f>
        <v/>
      </c>
    </row>
    <row r="4678" spans="7:11" x14ac:dyDescent="0.25">
      <c r="G4678" s="1" t="str">
        <f>IF(Table2[[#This Row],[Description]]="","",VLOOKUP(Table2[[#This Row],[Description]],$Q$1:$S$101,2,FALSE))</f>
        <v/>
      </c>
      <c r="H4678" s="1" t="str">
        <f>IF(Table2[[#This Row],[Description]]="","",VLOOKUP(Table2[[#This Row],[Description]],$Q$1:$S$101,3,FALSE))</f>
        <v/>
      </c>
      <c r="I4678" s="1" t="str">
        <f>IF(Table2[[#This Row],[Description]]="","",IF(Table2[[#This Row],[Currency]]=$O$2,$P$2,HLOOKUP(Table2[[#This Row],[Date]],Funds!$C$10:$GV$11,2,FALSE)))</f>
        <v/>
      </c>
      <c r="J4678" s="215" t="str">
        <f>IF(Table2[[#This Row],[Description]]="","",Table2[[#This Row],[Value]]/Table2[[#This Row],[Conversion]])</f>
        <v/>
      </c>
      <c r="K4678" s="45" t="str">
        <f>IF(Table2[[#This Row],[Description]]="","",DATE(Table2[[#This Row],[Year]],Table2[[#This Row],[Month]],1))</f>
        <v/>
      </c>
    </row>
    <row r="4679" spans="7:11" x14ac:dyDescent="0.25">
      <c r="G4679" s="1" t="str">
        <f>IF(Table2[[#This Row],[Description]]="","",VLOOKUP(Table2[[#This Row],[Description]],$Q$1:$S$101,2,FALSE))</f>
        <v/>
      </c>
      <c r="H4679" s="1" t="str">
        <f>IF(Table2[[#This Row],[Description]]="","",VLOOKUP(Table2[[#This Row],[Description]],$Q$1:$S$101,3,FALSE))</f>
        <v/>
      </c>
      <c r="I4679" s="1" t="str">
        <f>IF(Table2[[#This Row],[Description]]="","",IF(Table2[[#This Row],[Currency]]=$O$2,$P$2,HLOOKUP(Table2[[#This Row],[Date]],Funds!$C$10:$GV$11,2,FALSE)))</f>
        <v/>
      </c>
      <c r="J4679" s="215" t="str">
        <f>IF(Table2[[#This Row],[Description]]="","",Table2[[#This Row],[Value]]/Table2[[#This Row],[Conversion]])</f>
        <v/>
      </c>
      <c r="K4679" s="45" t="str">
        <f>IF(Table2[[#This Row],[Description]]="","",DATE(Table2[[#This Row],[Year]],Table2[[#This Row],[Month]],1))</f>
        <v/>
      </c>
    </row>
    <row r="4680" spans="7:11" x14ac:dyDescent="0.25">
      <c r="G4680" s="1" t="str">
        <f>IF(Table2[[#This Row],[Description]]="","",VLOOKUP(Table2[[#This Row],[Description]],$Q$1:$S$101,2,FALSE))</f>
        <v/>
      </c>
      <c r="H4680" s="1" t="str">
        <f>IF(Table2[[#This Row],[Description]]="","",VLOOKUP(Table2[[#This Row],[Description]],$Q$1:$S$101,3,FALSE))</f>
        <v/>
      </c>
      <c r="I4680" s="1" t="str">
        <f>IF(Table2[[#This Row],[Description]]="","",IF(Table2[[#This Row],[Currency]]=$O$2,$P$2,HLOOKUP(Table2[[#This Row],[Date]],Funds!$C$10:$GV$11,2,FALSE)))</f>
        <v/>
      </c>
      <c r="J4680" s="215" t="str">
        <f>IF(Table2[[#This Row],[Description]]="","",Table2[[#This Row],[Value]]/Table2[[#This Row],[Conversion]])</f>
        <v/>
      </c>
      <c r="K4680" s="45" t="str">
        <f>IF(Table2[[#This Row],[Description]]="","",DATE(Table2[[#This Row],[Year]],Table2[[#This Row],[Month]],1))</f>
        <v/>
      </c>
    </row>
    <row r="4681" spans="7:11" x14ac:dyDescent="0.25">
      <c r="G4681" s="1" t="str">
        <f>IF(Table2[[#This Row],[Description]]="","",VLOOKUP(Table2[[#This Row],[Description]],$Q$1:$S$101,2,FALSE))</f>
        <v/>
      </c>
      <c r="H4681" s="1" t="str">
        <f>IF(Table2[[#This Row],[Description]]="","",VLOOKUP(Table2[[#This Row],[Description]],$Q$1:$S$101,3,FALSE))</f>
        <v/>
      </c>
      <c r="I4681" s="1" t="str">
        <f>IF(Table2[[#This Row],[Description]]="","",IF(Table2[[#This Row],[Currency]]=$O$2,$P$2,HLOOKUP(Table2[[#This Row],[Date]],Funds!$C$10:$GV$11,2,FALSE)))</f>
        <v/>
      </c>
      <c r="J4681" s="215" t="str">
        <f>IF(Table2[[#This Row],[Description]]="","",Table2[[#This Row],[Value]]/Table2[[#This Row],[Conversion]])</f>
        <v/>
      </c>
      <c r="K4681" s="45" t="str">
        <f>IF(Table2[[#This Row],[Description]]="","",DATE(Table2[[#This Row],[Year]],Table2[[#This Row],[Month]],1))</f>
        <v/>
      </c>
    </row>
    <row r="4682" spans="7:11" x14ac:dyDescent="0.25">
      <c r="G4682" s="1" t="str">
        <f>IF(Table2[[#This Row],[Description]]="","",VLOOKUP(Table2[[#This Row],[Description]],$Q$1:$S$101,2,FALSE))</f>
        <v/>
      </c>
      <c r="H4682" s="1" t="str">
        <f>IF(Table2[[#This Row],[Description]]="","",VLOOKUP(Table2[[#This Row],[Description]],$Q$1:$S$101,3,FALSE))</f>
        <v/>
      </c>
      <c r="I4682" s="1" t="str">
        <f>IF(Table2[[#This Row],[Description]]="","",IF(Table2[[#This Row],[Currency]]=$O$2,$P$2,HLOOKUP(Table2[[#This Row],[Date]],Funds!$C$10:$GV$11,2,FALSE)))</f>
        <v/>
      </c>
      <c r="J4682" s="215" t="str">
        <f>IF(Table2[[#This Row],[Description]]="","",Table2[[#This Row],[Value]]/Table2[[#This Row],[Conversion]])</f>
        <v/>
      </c>
      <c r="K4682" s="45" t="str">
        <f>IF(Table2[[#This Row],[Description]]="","",DATE(Table2[[#This Row],[Year]],Table2[[#This Row],[Month]],1))</f>
        <v/>
      </c>
    </row>
    <row r="4683" spans="7:11" x14ac:dyDescent="0.25">
      <c r="G4683" s="1" t="str">
        <f>IF(Table2[[#This Row],[Description]]="","",VLOOKUP(Table2[[#This Row],[Description]],$Q$1:$S$101,2,FALSE))</f>
        <v/>
      </c>
      <c r="H4683" s="1" t="str">
        <f>IF(Table2[[#This Row],[Description]]="","",VLOOKUP(Table2[[#This Row],[Description]],$Q$1:$S$101,3,FALSE))</f>
        <v/>
      </c>
      <c r="I4683" s="1" t="str">
        <f>IF(Table2[[#This Row],[Description]]="","",IF(Table2[[#This Row],[Currency]]=$O$2,$P$2,HLOOKUP(Table2[[#This Row],[Date]],Funds!$C$10:$GV$11,2,FALSE)))</f>
        <v/>
      </c>
      <c r="J4683" s="215" t="str">
        <f>IF(Table2[[#This Row],[Description]]="","",Table2[[#This Row],[Value]]/Table2[[#This Row],[Conversion]])</f>
        <v/>
      </c>
      <c r="K4683" s="45" t="str">
        <f>IF(Table2[[#This Row],[Description]]="","",DATE(Table2[[#This Row],[Year]],Table2[[#This Row],[Month]],1))</f>
        <v/>
      </c>
    </row>
    <row r="4684" spans="7:11" x14ac:dyDescent="0.25">
      <c r="G4684" s="1" t="str">
        <f>IF(Table2[[#This Row],[Description]]="","",VLOOKUP(Table2[[#This Row],[Description]],$Q$1:$S$101,2,FALSE))</f>
        <v/>
      </c>
      <c r="H4684" s="1" t="str">
        <f>IF(Table2[[#This Row],[Description]]="","",VLOOKUP(Table2[[#This Row],[Description]],$Q$1:$S$101,3,FALSE))</f>
        <v/>
      </c>
      <c r="I4684" s="1" t="str">
        <f>IF(Table2[[#This Row],[Description]]="","",IF(Table2[[#This Row],[Currency]]=$O$2,$P$2,HLOOKUP(Table2[[#This Row],[Date]],Funds!$C$10:$GV$11,2,FALSE)))</f>
        <v/>
      </c>
      <c r="J4684" s="215" t="str">
        <f>IF(Table2[[#This Row],[Description]]="","",Table2[[#This Row],[Value]]/Table2[[#This Row],[Conversion]])</f>
        <v/>
      </c>
      <c r="K4684" s="45" t="str">
        <f>IF(Table2[[#This Row],[Description]]="","",DATE(Table2[[#This Row],[Year]],Table2[[#This Row],[Month]],1))</f>
        <v/>
      </c>
    </row>
    <row r="4685" spans="7:11" x14ac:dyDescent="0.25">
      <c r="G4685" s="1" t="str">
        <f>IF(Table2[[#This Row],[Description]]="","",VLOOKUP(Table2[[#This Row],[Description]],$Q$1:$S$101,2,FALSE))</f>
        <v/>
      </c>
      <c r="H4685" s="1" t="str">
        <f>IF(Table2[[#This Row],[Description]]="","",VLOOKUP(Table2[[#This Row],[Description]],$Q$1:$S$101,3,FALSE))</f>
        <v/>
      </c>
      <c r="I4685" s="1" t="str">
        <f>IF(Table2[[#This Row],[Description]]="","",IF(Table2[[#This Row],[Currency]]=$O$2,$P$2,HLOOKUP(Table2[[#This Row],[Date]],Funds!$C$10:$GV$11,2,FALSE)))</f>
        <v/>
      </c>
      <c r="J4685" s="215" t="str">
        <f>IF(Table2[[#This Row],[Description]]="","",Table2[[#This Row],[Value]]/Table2[[#This Row],[Conversion]])</f>
        <v/>
      </c>
      <c r="K4685" s="45" t="str">
        <f>IF(Table2[[#This Row],[Description]]="","",DATE(Table2[[#This Row],[Year]],Table2[[#This Row],[Month]],1))</f>
        <v/>
      </c>
    </row>
    <row r="4686" spans="7:11" x14ac:dyDescent="0.25">
      <c r="G4686" s="1" t="str">
        <f>IF(Table2[[#This Row],[Description]]="","",VLOOKUP(Table2[[#This Row],[Description]],$Q$1:$S$101,2,FALSE))</f>
        <v/>
      </c>
      <c r="H4686" s="1" t="str">
        <f>IF(Table2[[#This Row],[Description]]="","",VLOOKUP(Table2[[#This Row],[Description]],$Q$1:$S$101,3,FALSE))</f>
        <v/>
      </c>
      <c r="I4686" s="1" t="str">
        <f>IF(Table2[[#This Row],[Description]]="","",IF(Table2[[#This Row],[Currency]]=$O$2,$P$2,HLOOKUP(Table2[[#This Row],[Date]],Funds!$C$10:$GV$11,2,FALSE)))</f>
        <v/>
      </c>
      <c r="J4686" s="215" t="str">
        <f>IF(Table2[[#This Row],[Description]]="","",Table2[[#This Row],[Value]]/Table2[[#This Row],[Conversion]])</f>
        <v/>
      </c>
      <c r="K4686" s="45" t="str">
        <f>IF(Table2[[#This Row],[Description]]="","",DATE(Table2[[#This Row],[Year]],Table2[[#This Row],[Month]],1))</f>
        <v/>
      </c>
    </row>
    <row r="4687" spans="7:11" x14ac:dyDescent="0.25">
      <c r="G4687" s="1" t="str">
        <f>IF(Table2[[#This Row],[Description]]="","",VLOOKUP(Table2[[#This Row],[Description]],$Q$1:$S$101,2,FALSE))</f>
        <v/>
      </c>
      <c r="H4687" s="1" t="str">
        <f>IF(Table2[[#This Row],[Description]]="","",VLOOKUP(Table2[[#This Row],[Description]],$Q$1:$S$101,3,FALSE))</f>
        <v/>
      </c>
      <c r="I4687" s="1" t="str">
        <f>IF(Table2[[#This Row],[Description]]="","",IF(Table2[[#This Row],[Currency]]=$O$2,$P$2,HLOOKUP(Table2[[#This Row],[Date]],Funds!$C$10:$GV$11,2,FALSE)))</f>
        <v/>
      </c>
      <c r="J4687" s="215" t="str">
        <f>IF(Table2[[#This Row],[Description]]="","",Table2[[#This Row],[Value]]/Table2[[#This Row],[Conversion]])</f>
        <v/>
      </c>
      <c r="K4687" s="45" t="str">
        <f>IF(Table2[[#This Row],[Description]]="","",DATE(Table2[[#This Row],[Year]],Table2[[#This Row],[Month]],1))</f>
        <v/>
      </c>
    </row>
    <row r="4688" spans="7:11" x14ac:dyDescent="0.25">
      <c r="G4688" s="1" t="str">
        <f>IF(Table2[[#This Row],[Description]]="","",VLOOKUP(Table2[[#This Row],[Description]],$Q$1:$S$101,2,FALSE))</f>
        <v/>
      </c>
      <c r="H4688" s="1" t="str">
        <f>IF(Table2[[#This Row],[Description]]="","",VLOOKUP(Table2[[#This Row],[Description]],$Q$1:$S$101,3,FALSE))</f>
        <v/>
      </c>
      <c r="I4688" s="1" t="str">
        <f>IF(Table2[[#This Row],[Description]]="","",IF(Table2[[#This Row],[Currency]]=$O$2,$P$2,HLOOKUP(Table2[[#This Row],[Date]],Funds!$C$10:$GV$11,2,FALSE)))</f>
        <v/>
      </c>
      <c r="J4688" s="215" t="str">
        <f>IF(Table2[[#This Row],[Description]]="","",Table2[[#This Row],[Value]]/Table2[[#This Row],[Conversion]])</f>
        <v/>
      </c>
      <c r="K4688" s="45" t="str">
        <f>IF(Table2[[#This Row],[Description]]="","",DATE(Table2[[#This Row],[Year]],Table2[[#This Row],[Month]],1))</f>
        <v/>
      </c>
    </row>
    <row r="4689" spans="7:11" x14ac:dyDescent="0.25">
      <c r="G4689" s="1" t="str">
        <f>IF(Table2[[#This Row],[Description]]="","",VLOOKUP(Table2[[#This Row],[Description]],$Q$1:$S$101,2,FALSE))</f>
        <v/>
      </c>
      <c r="H4689" s="1" t="str">
        <f>IF(Table2[[#This Row],[Description]]="","",VLOOKUP(Table2[[#This Row],[Description]],$Q$1:$S$101,3,FALSE))</f>
        <v/>
      </c>
      <c r="I4689" s="1" t="str">
        <f>IF(Table2[[#This Row],[Description]]="","",IF(Table2[[#This Row],[Currency]]=$O$2,$P$2,HLOOKUP(Table2[[#This Row],[Date]],Funds!$C$10:$GV$11,2,FALSE)))</f>
        <v/>
      </c>
      <c r="J4689" s="215" t="str">
        <f>IF(Table2[[#This Row],[Description]]="","",Table2[[#This Row],[Value]]/Table2[[#This Row],[Conversion]])</f>
        <v/>
      </c>
      <c r="K4689" s="45" t="str">
        <f>IF(Table2[[#This Row],[Description]]="","",DATE(Table2[[#This Row],[Year]],Table2[[#This Row],[Month]],1))</f>
        <v/>
      </c>
    </row>
    <row r="4690" spans="7:11" x14ac:dyDescent="0.25">
      <c r="G4690" s="1" t="str">
        <f>IF(Table2[[#This Row],[Description]]="","",VLOOKUP(Table2[[#This Row],[Description]],$Q$1:$S$101,2,FALSE))</f>
        <v/>
      </c>
      <c r="H4690" s="1" t="str">
        <f>IF(Table2[[#This Row],[Description]]="","",VLOOKUP(Table2[[#This Row],[Description]],$Q$1:$S$101,3,FALSE))</f>
        <v/>
      </c>
      <c r="I4690" s="1" t="str">
        <f>IF(Table2[[#This Row],[Description]]="","",IF(Table2[[#This Row],[Currency]]=$O$2,$P$2,HLOOKUP(Table2[[#This Row],[Date]],Funds!$C$10:$GV$11,2,FALSE)))</f>
        <v/>
      </c>
      <c r="J4690" s="215" t="str">
        <f>IF(Table2[[#This Row],[Description]]="","",Table2[[#This Row],[Value]]/Table2[[#This Row],[Conversion]])</f>
        <v/>
      </c>
      <c r="K4690" s="45" t="str">
        <f>IF(Table2[[#This Row],[Description]]="","",DATE(Table2[[#This Row],[Year]],Table2[[#This Row],[Month]],1))</f>
        <v/>
      </c>
    </row>
    <row r="4691" spans="7:11" x14ac:dyDescent="0.25">
      <c r="G4691" s="1" t="str">
        <f>IF(Table2[[#This Row],[Description]]="","",VLOOKUP(Table2[[#This Row],[Description]],$Q$1:$S$101,2,FALSE))</f>
        <v/>
      </c>
      <c r="H4691" s="1" t="str">
        <f>IF(Table2[[#This Row],[Description]]="","",VLOOKUP(Table2[[#This Row],[Description]],$Q$1:$S$101,3,FALSE))</f>
        <v/>
      </c>
      <c r="I4691" s="1" t="str">
        <f>IF(Table2[[#This Row],[Description]]="","",IF(Table2[[#This Row],[Currency]]=$O$2,$P$2,HLOOKUP(Table2[[#This Row],[Date]],Funds!$C$10:$GV$11,2,FALSE)))</f>
        <v/>
      </c>
      <c r="J4691" s="215" t="str">
        <f>IF(Table2[[#This Row],[Description]]="","",Table2[[#This Row],[Value]]/Table2[[#This Row],[Conversion]])</f>
        <v/>
      </c>
      <c r="K4691" s="45" t="str">
        <f>IF(Table2[[#This Row],[Description]]="","",DATE(Table2[[#This Row],[Year]],Table2[[#This Row],[Month]],1))</f>
        <v/>
      </c>
    </row>
    <row r="4692" spans="7:11" x14ac:dyDescent="0.25">
      <c r="G4692" s="1" t="str">
        <f>IF(Table2[[#This Row],[Description]]="","",VLOOKUP(Table2[[#This Row],[Description]],$Q$1:$S$101,2,FALSE))</f>
        <v/>
      </c>
      <c r="H4692" s="1" t="str">
        <f>IF(Table2[[#This Row],[Description]]="","",VLOOKUP(Table2[[#This Row],[Description]],$Q$1:$S$101,3,FALSE))</f>
        <v/>
      </c>
      <c r="I4692" s="1" t="str">
        <f>IF(Table2[[#This Row],[Description]]="","",IF(Table2[[#This Row],[Currency]]=$O$2,$P$2,HLOOKUP(Table2[[#This Row],[Date]],Funds!$C$10:$GV$11,2,FALSE)))</f>
        <v/>
      </c>
      <c r="J4692" s="215" t="str">
        <f>IF(Table2[[#This Row],[Description]]="","",Table2[[#This Row],[Value]]/Table2[[#This Row],[Conversion]])</f>
        <v/>
      </c>
      <c r="K4692" s="45" t="str">
        <f>IF(Table2[[#This Row],[Description]]="","",DATE(Table2[[#This Row],[Year]],Table2[[#This Row],[Month]],1))</f>
        <v/>
      </c>
    </row>
    <row r="4693" spans="7:11" x14ac:dyDescent="0.25">
      <c r="G4693" s="1" t="str">
        <f>IF(Table2[[#This Row],[Description]]="","",VLOOKUP(Table2[[#This Row],[Description]],$Q$1:$S$101,2,FALSE))</f>
        <v/>
      </c>
      <c r="H4693" s="1" t="str">
        <f>IF(Table2[[#This Row],[Description]]="","",VLOOKUP(Table2[[#This Row],[Description]],$Q$1:$S$101,3,FALSE))</f>
        <v/>
      </c>
      <c r="I4693" s="1" t="str">
        <f>IF(Table2[[#This Row],[Description]]="","",IF(Table2[[#This Row],[Currency]]=$O$2,$P$2,HLOOKUP(Table2[[#This Row],[Date]],Funds!$C$10:$GV$11,2,FALSE)))</f>
        <v/>
      </c>
      <c r="J4693" s="215" t="str">
        <f>IF(Table2[[#This Row],[Description]]="","",Table2[[#This Row],[Value]]/Table2[[#This Row],[Conversion]])</f>
        <v/>
      </c>
      <c r="K4693" s="45" t="str">
        <f>IF(Table2[[#This Row],[Description]]="","",DATE(Table2[[#This Row],[Year]],Table2[[#This Row],[Month]],1))</f>
        <v/>
      </c>
    </row>
    <row r="4694" spans="7:11" x14ac:dyDescent="0.25">
      <c r="G4694" s="1" t="str">
        <f>IF(Table2[[#This Row],[Description]]="","",VLOOKUP(Table2[[#This Row],[Description]],$Q$1:$S$101,2,FALSE))</f>
        <v/>
      </c>
      <c r="H4694" s="1" t="str">
        <f>IF(Table2[[#This Row],[Description]]="","",VLOOKUP(Table2[[#This Row],[Description]],$Q$1:$S$101,3,FALSE))</f>
        <v/>
      </c>
      <c r="I4694" s="1" t="str">
        <f>IF(Table2[[#This Row],[Description]]="","",IF(Table2[[#This Row],[Currency]]=$O$2,$P$2,HLOOKUP(Table2[[#This Row],[Date]],Funds!$C$10:$GV$11,2,FALSE)))</f>
        <v/>
      </c>
      <c r="J4694" s="215" t="str">
        <f>IF(Table2[[#This Row],[Description]]="","",Table2[[#This Row],[Value]]/Table2[[#This Row],[Conversion]])</f>
        <v/>
      </c>
      <c r="K4694" s="45" t="str">
        <f>IF(Table2[[#This Row],[Description]]="","",DATE(Table2[[#This Row],[Year]],Table2[[#This Row],[Month]],1))</f>
        <v/>
      </c>
    </row>
    <row r="4695" spans="7:11" x14ac:dyDescent="0.25">
      <c r="G4695" s="1" t="str">
        <f>IF(Table2[[#This Row],[Description]]="","",VLOOKUP(Table2[[#This Row],[Description]],$Q$1:$S$101,2,FALSE))</f>
        <v/>
      </c>
      <c r="H4695" s="1" t="str">
        <f>IF(Table2[[#This Row],[Description]]="","",VLOOKUP(Table2[[#This Row],[Description]],$Q$1:$S$101,3,FALSE))</f>
        <v/>
      </c>
      <c r="I4695" s="1" t="str">
        <f>IF(Table2[[#This Row],[Description]]="","",IF(Table2[[#This Row],[Currency]]=$O$2,$P$2,HLOOKUP(Table2[[#This Row],[Date]],Funds!$C$10:$GV$11,2,FALSE)))</f>
        <v/>
      </c>
      <c r="J4695" s="215" t="str">
        <f>IF(Table2[[#This Row],[Description]]="","",Table2[[#This Row],[Value]]/Table2[[#This Row],[Conversion]])</f>
        <v/>
      </c>
      <c r="K4695" s="45" t="str">
        <f>IF(Table2[[#This Row],[Description]]="","",DATE(Table2[[#This Row],[Year]],Table2[[#This Row],[Month]],1))</f>
        <v/>
      </c>
    </row>
    <row r="4696" spans="7:11" x14ac:dyDescent="0.25">
      <c r="G4696" s="1" t="str">
        <f>IF(Table2[[#This Row],[Description]]="","",VLOOKUP(Table2[[#This Row],[Description]],$Q$1:$S$101,2,FALSE))</f>
        <v/>
      </c>
      <c r="H4696" s="1" t="str">
        <f>IF(Table2[[#This Row],[Description]]="","",VLOOKUP(Table2[[#This Row],[Description]],$Q$1:$S$101,3,FALSE))</f>
        <v/>
      </c>
      <c r="I4696" s="1" t="str">
        <f>IF(Table2[[#This Row],[Description]]="","",IF(Table2[[#This Row],[Currency]]=$O$2,$P$2,HLOOKUP(Table2[[#This Row],[Date]],Funds!$C$10:$GV$11,2,FALSE)))</f>
        <v/>
      </c>
      <c r="J4696" s="215" t="str">
        <f>IF(Table2[[#This Row],[Description]]="","",Table2[[#This Row],[Value]]/Table2[[#This Row],[Conversion]])</f>
        <v/>
      </c>
      <c r="K4696" s="45" t="str">
        <f>IF(Table2[[#This Row],[Description]]="","",DATE(Table2[[#This Row],[Year]],Table2[[#This Row],[Month]],1))</f>
        <v/>
      </c>
    </row>
    <row r="4697" spans="7:11" x14ac:dyDescent="0.25">
      <c r="G4697" s="1" t="str">
        <f>IF(Table2[[#This Row],[Description]]="","",VLOOKUP(Table2[[#This Row],[Description]],$Q$1:$S$101,2,FALSE))</f>
        <v/>
      </c>
      <c r="H4697" s="1" t="str">
        <f>IF(Table2[[#This Row],[Description]]="","",VLOOKUP(Table2[[#This Row],[Description]],$Q$1:$S$101,3,FALSE))</f>
        <v/>
      </c>
      <c r="I4697" s="1" t="str">
        <f>IF(Table2[[#This Row],[Description]]="","",IF(Table2[[#This Row],[Currency]]=$O$2,$P$2,HLOOKUP(Table2[[#This Row],[Date]],Funds!$C$10:$GV$11,2,FALSE)))</f>
        <v/>
      </c>
      <c r="J4697" s="215" t="str">
        <f>IF(Table2[[#This Row],[Description]]="","",Table2[[#This Row],[Value]]/Table2[[#This Row],[Conversion]])</f>
        <v/>
      </c>
      <c r="K4697" s="45" t="str">
        <f>IF(Table2[[#This Row],[Description]]="","",DATE(Table2[[#This Row],[Year]],Table2[[#This Row],[Month]],1))</f>
        <v/>
      </c>
    </row>
    <row r="4698" spans="7:11" x14ac:dyDescent="0.25">
      <c r="G4698" s="1" t="str">
        <f>IF(Table2[[#This Row],[Description]]="","",VLOOKUP(Table2[[#This Row],[Description]],$Q$1:$S$101,2,FALSE))</f>
        <v/>
      </c>
      <c r="H4698" s="1" t="str">
        <f>IF(Table2[[#This Row],[Description]]="","",VLOOKUP(Table2[[#This Row],[Description]],$Q$1:$S$101,3,FALSE))</f>
        <v/>
      </c>
      <c r="I4698" s="1" t="str">
        <f>IF(Table2[[#This Row],[Description]]="","",IF(Table2[[#This Row],[Currency]]=$O$2,$P$2,HLOOKUP(Table2[[#This Row],[Date]],Funds!$C$10:$GV$11,2,FALSE)))</f>
        <v/>
      </c>
      <c r="J4698" s="215" t="str">
        <f>IF(Table2[[#This Row],[Description]]="","",Table2[[#This Row],[Value]]/Table2[[#This Row],[Conversion]])</f>
        <v/>
      </c>
      <c r="K4698" s="45" t="str">
        <f>IF(Table2[[#This Row],[Description]]="","",DATE(Table2[[#This Row],[Year]],Table2[[#This Row],[Month]],1))</f>
        <v/>
      </c>
    </row>
    <row r="4699" spans="7:11" x14ac:dyDescent="0.25">
      <c r="G4699" s="1" t="str">
        <f>IF(Table2[[#This Row],[Description]]="","",VLOOKUP(Table2[[#This Row],[Description]],$Q$1:$S$101,2,FALSE))</f>
        <v/>
      </c>
      <c r="H4699" s="1" t="str">
        <f>IF(Table2[[#This Row],[Description]]="","",VLOOKUP(Table2[[#This Row],[Description]],$Q$1:$S$101,3,FALSE))</f>
        <v/>
      </c>
      <c r="I4699" s="1" t="str">
        <f>IF(Table2[[#This Row],[Description]]="","",IF(Table2[[#This Row],[Currency]]=$O$2,$P$2,HLOOKUP(Table2[[#This Row],[Date]],Funds!$C$10:$GV$11,2,FALSE)))</f>
        <v/>
      </c>
      <c r="J4699" s="215" t="str">
        <f>IF(Table2[[#This Row],[Description]]="","",Table2[[#This Row],[Value]]/Table2[[#This Row],[Conversion]])</f>
        <v/>
      </c>
      <c r="K4699" s="45" t="str">
        <f>IF(Table2[[#This Row],[Description]]="","",DATE(Table2[[#This Row],[Year]],Table2[[#This Row],[Month]],1))</f>
        <v/>
      </c>
    </row>
    <row r="4700" spans="7:11" x14ac:dyDescent="0.25">
      <c r="G4700" s="1" t="str">
        <f>IF(Table2[[#This Row],[Description]]="","",VLOOKUP(Table2[[#This Row],[Description]],$Q$1:$S$101,2,FALSE))</f>
        <v/>
      </c>
      <c r="H4700" s="1" t="str">
        <f>IF(Table2[[#This Row],[Description]]="","",VLOOKUP(Table2[[#This Row],[Description]],$Q$1:$S$101,3,FALSE))</f>
        <v/>
      </c>
      <c r="I4700" s="1" t="str">
        <f>IF(Table2[[#This Row],[Description]]="","",IF(Table2[[#This Row],[Currency]]=$O$2,$P$2,HLOOKUP(Table2[[#This Row],[Date]],Funds!$C$10:$GV$11,2,FALSE)))</f>
        <v/>
      </c>
      <c r="J4700" s="215" t="str">
        <f>IF(Table2[[#This Row],[Description]]="","",Table2[[#This Row],[Value]]/Table2[[#This Row],[Conversion]])</f>
        <v/>
      </c>
      <c r="K4700" s="45" t="str">
        <f>IF(Table2[[#This Row],[Description]]="","",DATE(Table2[[#This Row],[Year]],Table2[[#This Row],[Month]],1))</f>
        <v/>
      </c>
    </row>
    <row r="4701" spans="7:11" x14ac:dyDescent="0.25">
      <c r="G4701" s="1" t="str">
        <f>IF(Table2[[#This Row],[Description]]="","",VLOOKUP(Table2[[#This Row],[Description]],$Q$1:$S$101,2,FALSE))</f>
        <v/>
      </c>
      <c r="H4701" s="1" t="str">
        <f>IF(Table2[[#This Row],[Description]]="","",VLOOKUP(Table2[[#This Row],[Description]],$Q$1:$S$101,3,FALSE))</f>
        <v/>
      </c>
      <c r="I4701" s="1" t="str">
        <f>IF(Table2[[#This Row],[Description]]="","",IF(Table2[[#This Row],[Currency]]=$O$2,$P$2,HLOOKUP(Table2[[#This Row],[Date]],Funds!$C$10:$GV$11,2,FALSE)))</f>
        <v/>
      </c>
      <c r="J4701" s="215" t="str">
        <f>IF(Table2[[#This Row],[Description]]="","",Table2[[#This Row],[Value]]/Table2[[#This Row],[Conversion]])</f>
        <v/>
      </c>
      <c r="K4701" s="45" t="str">
        <f>IF(Table2[[#This Row],[Description]]="","",DATE(Table2[[#This Row],[Year]],Table2[[#This Row],[Month]],1))</f>
        <v/>
      </c>
    </row>
    <row r="4702" spans="7:11" x14ac:dyDescent="0.25">
      <c r="G4702" s="1" t="str">
        <f>IF(Table2[[#This Row],[Description]]="","",VLOOKUP(Table2[[#This Row],[Description]],$Q$1:$S$101,2,FALSE))</f>
        <v/>
      </c>
      <c r="H4702" s="1" t="str">
        <f>IF(Table2[[#This Row],[Description]]="","",VLOOKUP(Table2[[#This Row],[Description]],$Q$1:$S$101,3,FALSE))</f>
        <v/>
      </c>
      <c r="I4702" s="1" t="str">
        <f>IF(Table2[[#This Row],[Description]]="","",IF(Table2[[#This Row],[Currency]]=$O$2,$P$2,HLOOKUP(Table2[[#This Row],[Date]],Funds!$C$10:$GV$11,2,FALSE)))</f>
        <v/>
      </c>
      <c r="J4702" s="215" t="str">
        <f>IF(Table2[[#This Row],[Description]]="","",Table2[[#This Row],[Value]]/Table2[[#This Row],[Conversion]])</f>
        <v/>
      </c>
      <c r="K4702" s="45" t="str">
        <f>IF(Table2[[#This Row],[Description]]="","",DATE(Table2[[#This Row],[Year]],Table2[[#This Row],[Month]],1))</f>
        <v/>
      </c>
    </row>
    <row r="4703" spans="7:11" x14ac:dyDescent="0.25">
      <c r="G4703" s="1" t="str">
        <f>IF(Table2[[#This Row],[Description]]="","",VLOOKUP(Table2[[#This Row],[Description]],$Q$1:$S$101,2,FALSE))</f>
        <v/>
      </c>
      <c r="H4703" s="1" t="str">
        <f>IF(Table2[[#This Row],[Description]]="","",VLOOKUP(Table2[[#This Row],[Description]],$Q$1:$S$101,3,FALSE))</f>
        <v/>
      </c>
      <c r="I4703" s="1" t="str">
        <f>IF(Table2[[#This Row],[Description]]="","",IF(Table2[[#This Row],[Currency]]=$O$2,$P$2,HLOOKUP(Table2[[#This Row],[Date]],Funds!$C$10:$GV$11,2,FALSE)))</f>
        <v/>
      </c>
      <c r="J4703" s="215" t="str">
        <f>IF(Table2[[#This Row],[Description]]="","",Table2[[#This Row],[Value]]/Table2[[#This Row],[Conversion]])</f>
        <v/>
      </c>
      <c r="K4703" s="45" t="str">
        <f>IF(Table2[[#This Row],[Description]]="","",DATE(Table2[[#This Row],[Year]],Table2[[#This Row],[Month]],1))</f>
        <v/>
      </c>
    </row>
    <row r="4704" spans="7:11" x14ac:dyDescent="0.25">
      <c r="G4704" s="1" t="str">
        <f>IF(Table2[[#This Row],[Description]]="","",VLOOKUP(Table2[[#This Row],[Description]],$Q$1:$S$101,2,FALSE))</f>
        <v/>
      </c>
      <c r="H4704" s="1" t="str">
        <f>IF(Table2[[#This Row],[Description]]="","",VLOOKUP(Table2[[#This Row],[Description]],$Q$1:$S$101,3,FALSE))</f>
        <v/>
      </c>
      <c r="I4704" s="1" t="str">
        <f>IF(Table2[[#This Row],[Description]]="","",IF(Table2[[#This Row],[Currency]]=$O$2,$P$2,HLOOKUP(Table2[[#This Row],[Date]],Funds!$C$10:$GV$11,2,FALSE)))</f>
        <v/>
      </c>
      <c r="J4704" s="215" t="str">
        <f>IF(Table2[[#This Row],[Description]]="","",Table2[[#This Row],[Value]]/Table2[[#This Row],[Conversion]])</f>
        <v/>
      </c>
      <c r="K4704" s="45" t="str">
        <f>IF(Table2[[#This Row],[Description]]="","",DATE(Table2[[#This Row],[Year]],Table2[[#This Row],[Month]],1))</f>
        <v/>
      </c>
    </row>
    <row r="4705" spans="7:11" x14ac:dyDescent="0.25">
      <c r="G4705" s="1" t="str">
        <f>IF(Table2[[#This Row],[Description]]="","",VLOOKUP(Table2[[#This Row],[Description]],$Q$1:$S$101,2,FALSE))</f>
        <v/>
      </c>
      <c r="H4705" s="1" t="str">
        <f>IF(Table2[[#This Row],[Description]]="","",VLOOKUP(Table2[[#This Row],[Description]],$Q$1:$S$101,3,FALSE))</f>
        <v/>
      </c>
      <c r="I4705" s="1" t="str">
        <f>IF(Table2[[#This Row],[Description]]="","",IF(Table2[[#This Row],[Currency]]=$O$2,$P$2,HLOOKUP(Table2[[#This Row],[Date]],Funds!$C$10:$GV$11,2,FALSE)))</f>
        <v/>
      </c>
      <c r="J4705" s="215" t="str">
        <f>IF(Table2[[#This Row],[Description]]="","",Table2[[#This Row],[Value]]/Table2[[#This Row],[Conversion]])</f>
        <v/>
      </c>
      <c r="K4705" s="45" t="str">
        <f>IF(Table2[[#This Row],[Description]]="","",DATE(Table2[[#This Row],[Year]],Table2[[#This Row],[Month]],1))</f>
        <v/>
      </c>
    </row>
    <row r="4706" spans="7:11" x14ac:dyDescent="0.25">
      <c r="G4706" s="1" t="str">
        <f>IF(Table2[[#This Row],[Description]]="","",VLOOKUP(Table2[[#This Row],[Description]],$Q$1:$S$101,2,FALSE))</f>
        <v/>
      </c>
      <c r="H4706" s="1" t="str">
        <f>IF(Table2[[#This Row],[Description]]="","",VLOOKUP(Table2[[#This Row],[Description]],$Q$1:$S$101,3,FALSE))</f>
        <v/>
      </c>
      <c r="I4706" s="1" t="str">
        <f>IF(Table2[[#This Row],[Description]]="","",IF(Table2[[#This Row],[Currency]]=$O$2,$P$2,HLOOKUP(Table2[[#This Row],[Date]],Funds!$C$10:$GV$11,2,FALSE)))</f>
        <v/>
      </c>
      <c r="J4706" s="215" t="str">
        <f>IF(Table2[[#This Row],[Description]]="","",Table2[[#This Row],[Value]]/Table2[[#This Row],[Conversion]])</f>
        <v/>
      </c>
      <c r="K4706" s="45" t="str">
        <f>IF(Table2[[#This Row],[Description]]="","",DATE(Table2[[#This Row],[Year]],Table2[[#This Row],[Month]],1))</f>
        <v/>
      </c>
    </row>
    <row r="4707" spans="7:11" x14ac:dyDescent="0.25">
      <c r="G4707" s="1" t="str">
        <f>IF(Table2[[#This Row],[Description]]="","",VLOOKUP(Table2[[#This Row],[Description]],$Q$1:$S$101,2,FALSE))</f>
        <v/>
      </c>
      <c r="H4707" s="1" t="str">
        <f>IF(Table2[[#This Row],[Description]]="","",VLOOKUP(Table2[[#This Row],[Description]],$Q$1:$S$101,3,FALSE))</f>
        <v/>
      </c>
      <c r="I4707" s="1" t="str">
        <f>IF(Table2[[#This Row],[Description]]="","",IF(Table2[[#This Row],[Currency]]=$O$2,$P$2,HLOOKUP(Table2[[#This Row],[Date]],Funds!$C$10:$GV$11,2,FALSE)))</f>
        <v/>
      </c>
      <c r="J4707" s="215" t="str">
        <f>IF(Table2[[#This Row],[Description]]="","",Table2[[#This Row],[Value]]/Table2[[#This Row],[Conversion]])</f>
        <v/>
      </c>
      <c r="K4707" s="45" t="str">
        <f>IF(Table2[[#This Row],[Description]]="","",DATE(Table2[[#This Row],[Year]],Table2[[#This Row],[Month]],1))</f>
        <v/>
      </c>
    </row>
    <row r="4708" spans="7:11" x14ac:dyDescent="0.25">
      <c r="G4708" s="1" t="str">
        <f>IF(Table2[[#This Row],[Description]]="","",VLOOKUP(Table2[[#This Row],[Description]],$Q$1:$S$101,2,FALSE))</f>
        <v/>
      </c>
      <c r="H4708" s="1" t="str">
        <f>IF(Table2[[#This Row],[Description]]="","",VLOOKUP(Table2[[#This Row],[Description]],$Q$1:$S$101,3,FALSE))</f>
        <v/>
      </c>
      <c r="I4708" s="1" t="str">
        <f>IF(Table2[[#This Row],[Description]]="","",IF(Table2[[#This Row],[Currency]]=$O$2,$P$2,HLOOKUP(Table2[[#This Row],[Date]],Funds!$C$10:$GV$11,2,FALSE)))</f>
        <v/>
      </c>
      <c r="J4708" s="215" t="str">
        <f>IF(Table2[[#This Row],[Description]]="","",Table2[[#This Row],[Value]]/Table2[[#This Row],[Conversion]])</f>
        <v/>
      </c>
      <c r="K4708" s="45" t="str">
        <f>IF(Table2[[#This Row],[Description]]="","",DATE(Table2[[#This Row],[Year]],Table2[[#This Row],[Month]],1))</f>
        <v/>
      </c>
    </row>
    <row r="4709" spans="7:11" x14ac:dyDescent="0.25">
      <c r="G4709" s="1" t="str">
        <f>IF(Table2[[#This Row],[Description]]="","",VLOOKUP(Table2[[#This Row],[Description]],$Q$1:$S$101,2,FALSE))</f>
        <v/>
      </c>
      <c r="H4709" s="1" t="str">
        <f>IF(Table2[[#This Row],[Description]]="","",VLOOKUP(Table2[[#This Row],[Description]],$Q$1:$S$101,3,FALSE))</f>
        <v/>
      </c>
      <c r="I4709" s="1" t="str">
        <f>IF(Table2[[#This Row],[Description]]="","",IF(Table2[[#This Row],[Currency]]=$O$2,$P$2,HLOOKUP(Table2[[#This Row],[Date]],Funds!$C$10:$GV$11,2,FALSE)))</f>
        <v/>
      </c>
      <c r="J4709" s="215" t="str">
        <f>IF(Table2[[#This Row],[Description]]="","",Table2[[#This Row],[Value]]/Table2[[#This Row],[Conversion]])</f>
        <v/>
      </c>
      <c r="K4709" s="45" t="str">
        <f>IF(Table2[[#This Row],[Description]]="","",DATE(Table2[[#This Row],[Year]],Table2[[#This Row],[Month]],1))</f>
        <v/>
      </c>
    </row>
    <row r="4710" spans="7:11" x14ac:dyDescent="0.25">
      <c r="G4710" s="1" t="str">
        <f>IF(Table2[[#This Row],[Description]]="","",VLOOKUP(Table2[[#This Row],[Description]],$Q$1:$S$101,2,FALSE))</f>
        <v/>
      </c>
      <c r="H4710" s="1" t="str">
        <f>IF(Table2[[#This Row],[Description]]="","",VLOOKUP(Table2[[#This Row],[Description]],$Q$1:$S$101,3,FALSE))</f>
        <v/>
      </c>
      <c r="I4710" s="1" t="str">
        <f>IF(Table2[[#This Row],[Description]]="","",IF(Table2[[#This Row],[Currency]]=$O$2,$P$2,HLOOKUP(Table2[[#This Row],[Date]],Funds!$C$10:$GV$11,2,FALSE)))</f>
        <v/>
      </c>
      <c r="J4710" s="215" t="str">
        <f>IF(Table2[[#This Row],[Description]]="","",Table2[[#This Row],[Value]]/Table2[[#This Row],[Conversion]])</f>
        <v/>
      </c>
      <c r="K4710" s="45" t="str">
        <f>IF(Table2[[#This Row],[Description]]="","",DATE(Table2[[#This Row],[Year]],Table2[[#This Row],[Month]],1))</f>
        <v/>
      </c>
    </row>
    <row r="4711" spans="7:11" x14ac:dyDescent="0.25">
      <c r="G4711" s="1" t="str">
        <f>IF(Table2[[#This Row],[Description]]="","",VLOOKUP(Table2[[#This Row],[Description]],$Q$1:$S$101,2,FALSE))</f>
        <v/>
      </c>
      <c r="H4711" s="1" t="str">
        <f>IF(Table2[[#This Row],[Description]]="","",VLOOKUP(Table2[[#This Row],[Description]],$Q$1:$S$101,3,FALSE))</f>
        <v/>
      </c>
      <c r="I4711" s="1" t="str">
        <f>IF(Table2[[#This Row],[Description]]="","",IF(Table2[[#This Row],[Currency]]=$O$2,$P$2,HLOOKUP(Table2[[#This Row],[Date]],Funds!$C$10:$GV$11,2,FALSE)))</f>
        <v/>
      </c>
      <c r="J4711" s="215" t="str">
        <f>IF(Table2[[#This Row],[Description]]="","",Table2[[#This Row],[Value]]/Table2[[#This Row],[Conversion]])</f>
        <v/>
      </c>
      <c r="K4711" s="45" t="str">
        <f>IF(Table2[[#This Row],[Description]]="","",DATE(Table2[[#This Row],[Year]],Table2[[#This Row],[Month]],1))</f>
        <v/>
      </c>
    </row>
    <row r="4712" spans="7:11" x14ac:dyDescent="0.25">
      <c r="G4712" s="1" t="str">
        <f>IF(Table2[[#This Row],[Description]]="","",VLOOKUP(Table2[[#This Row],[Description]],$Q$1:$S$101,2,FALSE))</f>
        <v/>
      </c>
      <c r="H4712" s="1" t="str">
        <f>IF(Table2[[#This Row],[Description]]="","",VLOOKUP(Table2[[#This Row],[Description]],$Q$1:$S$101,3,FALSE))</f>
        <v/>
      </c>
      <c r="I4712" s="1" t="str">
        <f>IF(Table2[[#This Row],[Description]]="","",IF(Table2[[#This Row],[Currency]]=$O$2,$P$2,HLOOKUP(Table2[[#This Row],[Date]],Funds!$C$10:$GV$11,2,FALSE)))</f>
        <v/>
      </c>
      <c r="J4712" s="215" t="str">
        <f>IF(Table2[[#This Row],[Description]]="","",Table2[[#This Row],[Value]]/Table2[[#This Row],[Conversion]])</f>
        <v/>
      </c>
      <c r="K4712" s="45" t="str">
        <f>IF(Table2[[#This Row],[Description]]="","",DATE(Table2[[#This Row],[Year]],Table2[[#This Row],[Month]],1))</f>
        <v/>
      </c>
    </row>
    <row r="4713" spans="7:11" x14ac:dyDescent="0.25">
      <c r="G4713" s="1" t="str">
        <f>IF(Table2[[#This Row],[Description]]="","",VLOOKUP(Table2[[#This Row],[Description]],$Q$1:$S$101,2,FALSE))</f>
        <v/>
      </c>
      <c r="H4713" s="1" t="str">
        <f>IF(Table2[[#This Row],[Description]]="","",VLOOKUP(Table2[[#This Row],[Description]],$Q$1:$S$101,3,FALSE))</f>
        <v/>
      </c>
      <c r="I4713" s="1" t="str">
        <f>IF(Table2[[#This Row],[Description]]="","",IF(Table2[[#This Row],[Currency]]=$O$2,$P$2,HLOOKUP(Table2[[#This Row],[Date]],Funds!$C$10:$GV$11,2,FALSE)))</f>
        <v/>
      </c>
      <c r="J4713" s="215" t="str">
        <f>IF(Table2[[#This Row],[Description]]="","",Table2[[#This Row],[Value]]/Table2[[#This Row],[Conversion]])</f>
        <v/>
      </c>
      <c r="K4713" s="45" t="str">
        <f>IF(Table2[[#This Row],[Description]]="","",DATE(Table2[[#This Row],[Year]],Table2[[#This Row],[Month]],1))</f>
        <v/>
      </c>
    </row>
    <row r="4714" spans="7:11" x14ac:dyDescent="0.25">
      <c r="G4714" s="1" t="str">
        <f>IF(Table2[[#This Row],[Description]]="","",VLOOKUP(Table2[[#This Row],[Description]],$Q$1:$S$101,2,FALSE))</f>
        <v/>
      </c>
      <c r="H4714" s="1" t="str">
        <f>IF(Table2[[#This Row],[Description]]="","",VLOOKUP(Table2[[#This Row],[Description]],$Q$1:$S$101,3,FALSE))</f>
        <v/>
      </c>
      <c r="I4714" s="1" t="str">
        <f>IF(Table2[[#This Row],[Description]]="","",IF(Table2[[#This Row],[Currency]]=$O$2,$P$2,HLOOKUP(Table2[[#This Row],[Date]],Funds!$C$10:$GV$11,2,FALSE)))</f>
        <v/>
      </c>
      <c r="J4714" s="215" t="str">
        <f>IF(Table2[[#This Row],[Description]]="","",Table2[[#This Row],[Value]]/Table2[[#This Row],[Conversion]])</f>
        <v/>
      </c>
      <c r="K4714" s="45" t="str">
        <f>IF(Table2[[#This Row],[Description]]="","",DATE(Table2[[#This Row],[Year]],Table2[[#This Row],[Month]],1))</f>
        <v/>
      </c>
    </row>
    <row r="4715" spans="7:11" x14ac:dyDescent="0.25">
      <c r="G4715" s="1" t="str">
        <f>IF(Table2[[#This Row],[Description]]="","",VLOOKUP(Table2[[#This Row],[Description]],$Q$1:$S$101,2,FALSE))</f>
        <v/>
      </c>
      <c r="H4715" s="1" t="str">
        <f>IF(Table2[[#This Row],[Description]]="","",VLOOKUP(Table2[[#This Row],[Description]],$Q$1:$S$101,3,FALSE))</f>
        <v/>
      </c>
      <c r="I4715" s="1" t="str">
        <f>IF(Table2[[#This Row],[Description]]="","",IF(Table2[[#This Row],[Currency]]=$O$2,$P$2,HLOOKUP(Table2[[#This Row],[Date]],Funds!$C$10:$GV$11,2,FALSE)))</f>
        <v/>
      </c>
      <c r="J4715" s="215" t="str">
        <f>IF(Table2[[#This Row],[Description]]="","",Table2[[#This Row],[Value]]/Table2[[#This Row],[Conversion]])</f>
        <v/>
      </c>
      <c r="K4715" s="45" t="str">
        <f>IF(Table2[[#This Row],[Description]]="","",DATE(Table2[[#This Row],[Year]],Table2[[#This Row],[Month]],1))</f>
        <v/>
      </c>
    </row>
    <row r="4716" spans="7:11" x14ac:dyDescent="0.25">
      <c r="G4716" s="1" t="str">
        <f>IF(Table2[[#This Row],[Description]]="","",VLOOKUP(Table2[[#This Row],[Description]],$Q$1:$S$101,2,FALSE))</f>
        <v/>
      </c>
      <c r="H4716" s="1" t="str">
        <f>IF(Table2[[#This Row],[Description]]="","",VLOOKUP(Table2[[#This Row],[Description]],$Q$1:$S$101,3,FALSE))</f>
        <v/>
      </c>
      <c r="I4716" s="1" t="str">
        <f>IF(Table2[[#This Row],[Description]]="","",IF(Table2[[#This Row],[Currency]]=$O$2,$P$2,HLOOKUP(Table2[[#This Row],[Date]],Funds!$C$10:$GV$11,2,FALSE)))</f>
        <v/>
      </c>
      <c r="J4716" s="215" t="str">
        <f>IF(Table2[[#This Row],[Description]]="","",Table2[[#This Row],[Value]]/Table2[[#This Row],[Conversion]])</f>
        <v/>
      </c>
      <c r="K4716" s="45" t="str">
        <f>IF(Table2[[#This Row],[Description]]="","",DATE(Table2[[#This Row],[Year]],Table2[[#This Row],[Month]],1))</f>
        <v/>
      </c>
    </row>
    <row r="4717" spans="7:11" x14ac:dyDescent="0.25">
      <c r="G4717" s="1" t="str">
        <f>IF(Table2[[#This Row],[Description]]="","",VLOOKUP(Table2[[#This Row],[Description]],$Q$1:$S$101,2,FALSE))</f>
        <v/>
      </c>
      <c r="H4717" s="1" t="str">
        <f>IF(Table2[[#This Row],[Description]]="","",VLOOKUP(Table2[[#This Row],[Description]],$Q$1:$S$101,3,FALSE))</f>
        <v/>
      </c>
      <c r="I4717" s="1" t="str">
        <f>IF(Table2[[#This Row],[Description]]="","",IF(Table2[[#This Row],[Currency]]=$O$2,$P$2,HLOOKUP(Table2[[#This Row],[Date]],Funds!$C$10:$GV$11,2,FALSE)))</f>
        <v/>
      </c>
      <c r="J4717" s="215" t="str">
        <f>IF(Table2[[#This Row],[Description]]="","",Table2[[#This Row],[Value]]/Table2[[#This Row],[Conversion]])</f>
        <v/>
      </c>
      <c r="K4717" s="45" t="str">
        <f>IF(Table2[[#This Row],[Description]]="","",DATE(Table2[[#This Row],[Year]],Table2[[#This Row],[Month]],1))</f>
        <v/>
      </c>
    </row>
    <row r="4718" spans="7:11" x14ac:dyDescent="0.25">
      <c r="G4718" s="1" t="str">
        <f>IF(Table2[[#This Row],[Description]]="","",VLOOKUP(Table2[[#This Row],[Description]],$Q$1:$S$101,2,FALSE))</f>
        <v/>
      </c>
      <c r="H4718" s="1" t="str">
        <f>IF(Table2[[#This Row],[Description]]="","",VLOOKUP(Table2[[#This Row],[Description]],$Q$1:$S$101,3,FALSE))</f>
        <v/>
      </c>
      <c r="I4718" s="1" t="str">
        <f>IF(Table2[[#This Row],[Description]]="","",IF(Table2[[#This Row],[Currency]]=$O$2,$P$2,HLOOKUP(Table2[[#This Row],[Date]],Funds!$C$10:$GV$11,2,FALSE)))</f>
        <v/>
      </c>
      <c r="J4718" s="215" t="str">
        <f>IF(Table2[[#This Row],[Description]]="","",Table2[[#This Row],[Value]]/Table2[[#This Row],[Conversion]])</f>
        <v/>
      </c>
      <c r="K4718" s="45" t="str">
        <f>IF(Table2[[#This Row],[Description]]="","",DATE(Table2[[#This Row],[Year]],Table2[[#This Row],[Month]],1))</f>
        <v/>
      </c>
    </row>
    <row r="4719" spans="7:11" x14ac:dyDescent="0.25">
      <c r="G4719" s="1" t="str">
        <f>IF(Table2[[#This Row],[Description]]="","",VLOOKUP(Table2[[#This Row],[Description]],$Q$1:$S$101,2,FALSE))</f>
        <v/>
      </c>
      <c r="H4719" s="1" t="str">
        <f>IF(Table2[[#This Row],[Description]]="","",VLOOKUP(Table2[[#This Row],[Description]],$Q$1:$S$101,3,FALSE))</f>
        <v/>
      </c>
      <c r="I4719" s="1" t="str">
        <f>IF(Table2[[#This Row],[Description]]="","",IF(Table2[[#This Row],[Currency]]=$O$2,$P$2,HLOOKUP(Table2[[#This Row],[Date]],Funds!$C$10:$GV$11,2,FALSE)))</f>
        <v/>
      </c>
      <c r="J4719" s="215" t="str">
        <f>IF(Table2[[#This Row],[Description]]="","",Table2[[#This Row],[Value]]/Table2[[#This Row],[Conversion]])</f>
        <v/>
      </c>
      <c r="K4719" s="45" t="str">
        <f>IF(Table2[[#This Row],[Description]]="","",DATE(Table2[[#This Row],[Year]],Table2[[#This Row],[Month]],1))</f>
        <v/>
      </c>
    </row>
    <row r="4720" spans="7:11" x14ac:dyDescent="0.25">
      <c r="G4720" s="1" t="str">
        <f>IF(Table2[[#This Row],[Description]]="","",VLOOKUP(Table2[[#This Row],[Description]],$Q$1:$S$101,2,FALSE))</f>
        <v/>
      </c>
      <c r="H4720" s="1" t="str">
        <f>IF(Table2[[#This Row],[Description]]="","",VLOOKUP(Table2[[#This Row],[Description]],$Q$1:$S$101,3,FALSE))</f>
        <v/>
      </c>
      <c r="I4720" s="1" t="str">
        <f>IF(Table2[[#This Row],[Description]]="","",IF(Table2[[#This Row],[Currency]]=$O$2,$P$2,HLOOKUP(Table2[[#This Row],[Date]],Funds!$C$10:$GV$11,2,FALSE)))</f>
        <v/>
      </c>
      <c r="J4720" s="215" t="str">
        <f>IF(Table2[[#This Row],[Description]]="","",Table2[[#This Row],[Value]]/Table2[[#This Row],[Conversion]])</f>
        <v/>
      </c>
      <c r="K4720" s="45" t="str">
        <f>IF(Table2[[#This Row],[Description]]="","",DATE(Table2[[#This Row],[Year]],Table2[[#This Row],[Month]],1))</f>
        <v/>
      </c>
    </row>
    <row r="4721" spans="7:11" x14ac:dyDescent="0.25">
      <c r="G4721" s="1" t="str">
        <f>IF(Table2[[#This Row],[Description]]="","",VLOOKUP(Table2[[#This Row],[Description]],$Q$1:$S$101,2,FALSE))</f>
        <v/>
      </c>
      <c r="H4721" s="1" t="str">
        <f>IF(Table2[[#This Row],[Description]]="","",VLOOKUP(Table2[[#This Row],[Description]],$Q$1:$S$101,3,FALSE))</f>
        <v/>
      </c>
      <c r="I4721" s="1" t="str">
        <f>IF(Table2[[#This Row],[Description]]="","",IF(Table2[[#This Row],[Currency]]=$O$2,$P$2,HLOOKUP(Table2[[#This Row],[Date]],Funds!$C$10:$GV$11,2,FALSE)))</f>
        <v/>
      </c>
      <c r="J4721" s="215" t="str">
        <f>IF(Table2[[#This Row],[Description]]="","",Table2[[#This Row],[Value]]/Table2[[#This Row],[Conversion]])</f>
        <v/>
      </c>
      <c r="K4721" s="45" t="str">
        <f>IF(Table2[[#This Row],[Description]]="","",DATE(Table2[[#This Row],[Year]],Table2[[#This Row],[Month]],1))</f>
        <v/>
      </c>
    </row>
    <row r="4722" spans="7:11" x14ac:dyDescent="0.25">
      <c r="G4722" s="1" t="str">
        <f>IF(Table2[[#This Row],[Description]]="","",VLOOKUP(Table2[[#This Row],[Description]],$Q$1:$S$101,2,FALSE))</f>
        <v/>
      </c>
      <c r="H4722" s="1" t="str">
        <f>IF(Table2[[#This Row],[Description]]="","",VLOOKUP(Table2[[#This Row],[Description]],$Q$1:$S$101,3,FALSE))</f>
        <v/>
      </c>
      <c r="I4722" s="1" t="str">
        <f>IF(Table2[[#This Row],[Description]]="","",IF(Table2[[#This Row],[Currency]]=$O$2,$P$2,HLOOKUP(Table2[[#This Row],[Date]],Funds!$C$10:$GV$11,2,FALSE)))</f>
        <v/>
      </c>
      <c r="J4722" s="215" t="str">
        <f>IF(Table2[[#This Row],[Description]]="","",Table2[[#This Row],[Value]]/Table2[[#This Row],[Conversion]])</f>
        <v/>
      </c>
      <c r="K4722" s="45" t="str">
        <f>IF(Table2[[#This Row],[Description]]="","",DATE(Table2[[#This Row],[Year]],Table2[[#This Row],[Month]],1))</f>
        <v/>
      </c>
    </row>
    <row r="4723" spans="7:11" x14ac:dyDescent="0.25">
      <c r="G4723" s="1" t="str">
        <f>IF(Table2[[#This Row],[Description]]="","",VLOOKUP(Table2[[#This Row],[Description]],$Q$1:$S$101,2,FALSE))</f>
        <v/>
      </c>
      <c r="H4723" s="1" t="str">
        <f>IF(Table2[[#This Row],[Description]]="","",VLOOKUP(Table2[[#This Row],[Description]],$Q$1:$S$101,3,FALSE))</f>
        <v/>
      </c>
      <c r="I4723" s="1" t="str">
        <f>IF(Table2[[#This Row],[Description]]="","",IF(Table2[[#This Row],[Currency]]=$O$2,$P$2,HLOOKUP(Table2[[#This Row],[Date]],Funds!$C$10:$GV$11,2,FALSE)))</f>
        <v/>
      </c>
      <c r="J4723" s="215" t="str">
        <f>IF(Table2[[#This Row],[Description]]="","",Table2[[#This Row],[Value]]/Table2[[#This Row],[Conversion]])</f>
        <v/>
      </c>
      <c r="K4723" s="45" t="str">
        <f>IF(Table2[[#This Row],[Description]]="","",DATE(Table2[[#This Row],[Year]],Table2[[#This Row],[Month]],1))</f>
        <v/>
      </c>
    </row>
    <row r="4724" spans="7:11" x14ac:dyDescent="0.25">
      <c r="G4724" s="1" t="str">
        <f>IF(Table2[[#This Row],[Description]]="","",VLOOKUP(Table2[[#This Row],[Description]],$Q$1:$S$101,2,FALSE))</f>
        <v/>
      </c>
      <c r="H4724" s="1" t="str">
        <f>IF(Table2[[#This Row],[Description]]="","",VLOOKUP(Table2[[#This Row],[Description]],$Q$1:$S$101,3,FALSE))</f>
        <v/>
      </c>
      <c r="I4724" s="1" t="str">
        <f>IF(Table2[[#This Row],[Description]]="","",IF(Table2[[#This Row],[Currency]]=$O$2,$P$2,HLOOKUP(Table2[[#This Row],[Date]],Funds!$C$10:$GV$11,2,FALSE)))</f>
        <v/>
      </c>
      <c r="J4724" s="215" t="str">
        <f>IF(Table2[[#This Row],[Description]]="","",Table2[[#This Row],[Value]]/Table2[[#This Row],[Conversion]])</f>
        <v/>
      </c>
      <c r="K4724" s="45" t="str">
        <f>IF(Table2[[#This Row],[Description]]="","",DATE(Table2[[#This Row],[Year]],Table2[[#This Row],[Month]],1))</f>
        <v/>
      </c>
    </row>
    <row r="4725" spans="7:11" x14ac:dyDescent="0.25">
      <c r="G4725" s="1" t="str">
        <f>IF(Table2[[#This Row],[Description]]="","",VLOOKUP(Table2[[#This Row],[Description]],$Q$1:$S$101,2,FALSE))</f>
        <v/>
      </c>
      <c r="H4725" s="1" t="str">
        <f>IF(Table2[[#This Row],[Description]]="","",VLOOKUP(Table2[[#This Row],[Description]],$Q$1:$S$101,3,FALSE))</f>
        <v/>
      </c>
      <c r="I4725" s="1" t="str">
        <f>IF(Table2[[#This Row],[Description]]="","",IF(Table2[[#This Row],[Currency]]=$O$2,$P$2,HLOOKUP(Table2[[#This Row],[Date]],Funds!$C$10:$GV$11,2,FALSE)))</f>
        <v/>
      </c>
      <c r="J4725" s="215" t="str">
        <f>IF(Table2[[#This Row],[Description]]="","",Table2[[#This Row],[Value]]/Table2[[#This Row],[Conversion]])</f>
        <v/>
      </c>
      <c r="K4725" s="45" t="str">
        <f>IF(Table2[[#This Row],[Description]]="","",DATE(Table2[[#This Row],[Year]],Table2[[#This Row],[Month]],1))</f>
        <v/>
      </c>
    </row>
    <row r="4726" spans="7:11" x14ac:dyDescent="0.25">
      <c r="G4726" s="1" t="str">
        <f>IF(Table2[[#This Row],[Description]]="","",VLOOKUP(Table2[[#This Row],[Description]],$Q$1:$S$101,2,FALSE))</f>
        <v/>
      </c>
      <c r="H4726" s="1" t="str">
        <f>IF(Table2[[#This Row],[Description]]="","",VLOOKUP(Table2[[#This Row],[Description]],$Q$1:$S$101,3,FALSE))</f>
        <v/>
      </c>
      <c r="I4726" s="1" t="str">
        <f>IF(Table2[[#This Row],[Description]]="","",IF(Table2[[#This Row],[Currency]]=$O$2,$P$2,HLOOKUP(Table2[[#This Row],[Date]],Funds!$C$10:$GV$11,2,FALSE)))</f>
        <v/>
      </c>
      <c r="J4726" s="215" t="str">
        <f>IF(Table2[[#This Row],[Description]]="","",Table2[[#This Row],[Value]]/Table2[[#This Row],[Conversion]])</f>
        <v/>
      </c>
      <c r="K4726" s="45" t="str">
        <f>IF(Table2[[#This Row],[Description]]="","",DATE(Table2[[#This Row],[Year]],Table2[[#This Row],[Month]],1))</f>
        <v/>
      </c>
    </row>
    <row r="4727" spans="7:11" x14ac:dyDescent="0.25">
      <c r="G4727" s="1" t="str">
        <f>IF(Table2[[#This Row],[Description]]="","",VLOOKUP(Table2[[#This Row],[Description]],$Q$1:$S$101,2,FALSE))</f>
        <v/>
      </c>
      <c r="H4727" s="1" t="str">
        <f>IF(Table2[[#This Row],[Description]]="","",VLOOKUP(Table2[[#This Row],[Description]],$Q$1:$S$101,3,FALSE))</f>
        <v/>
      </c>
      <c r="I4727" s="1" t="str">
        <f>IF(Table2[[#This Row],[Description]]="","",IF(Table2[[#This Row],[Currency]]=$O$2,$P$2,HLOOKUP(Table2[[#This Row],[Date]],Funds!$C$10:$GV$11,2,FALSE)))</f>
        <v/>
      </c>
      <c r="J4727" s="215" t="str">
        <f>IF(Table2[[#This Row],[Description]]="","",Table2[[#This Row],[Value]]/Table2[[#This Row],[Conversion]])</f>
        <v/>
      </c>
      <c r="K4727" s="45" t="str">
        <f>IF(Table2[[#This Row],[Description]]="","",DATE(Table2[[#This Row],[Year]],Table2[[#This Row],[Month]],1))</f>
        <v/>
      </c>
    </row>
    <row r="4728" spans="7:11" x14ac:dyDescent="0.25">
      <c r="G4728" s="1" t="str">
        <f>IF(Table2[[#This Row],[Description]]="","",VLOOKUP(Table2[[#This Row],[Description]],$Q$1:$S$101,2,FALSE))</f>
        <v/>
      </c>
      <c r="H4728" s="1" t="str">
        <f>IF(Table2[[#This Row],[Description]]="","",VLOOKUP(Table2[[#This Row],[Description]],$Q$1:$S$101,3,FALSE))</f>
        <v/>
      </c>
      <c r="I4728" s="1" t="str">
        <f>IF(Table2[[#This Row],[Description]]="","",IF(Table2[[#This Row],[Currency]]=$O$2,$P$2,HLOOKUP(Table2[[#This Row],[Date]],Funds!$C$10:$GV$11,2,FALSE)))</f>
        <v/>
      </c>
      <c r="J4728" s="215" t="str">
        <f>IF(Table2[[#This Row],[Description]]="","",Table2[[#This Row],[Value]]/Table2[[#This Row],[Conversion]])</f>
        <v/>
      </c>
      <c r="K4728" s="45" t="str">
        <f>IF(Table2[[#This Row],[Description]]="","",DATE(Table2[[#This Row],[Year]],Table2[[#This Row],[Month]],1))</f>
        <v/>
      </c>
    </row>
    <row r="4729" spans="7:11" x14ac:dyDescent="0.25">
      <c r="G4729" s="1" t="str">
        <f>IF(Table2[[#This Row],[Description]]="","",VLOOKUP(Table2[[#This Row],[Description]],$Q$1:$S$101,2,FALSE))</f>
        <v/>
      </c>
      <c r="H4729" s="1" t="str">
        <f>IF(Table2[[#This Row],[Description]]="","",VLOOKUP(Table2[[#This Row],[Description]],$Q$1:$S$101,3,FALSE))</f>
        <v/>
      </c>
      <c r="I4729" s="1" t="str">
        <f>IF(Table2[[#This Row],[Description]]="","",IF(Table2[[#This Row],[Currency]]=$O$2,$P$2,HLOOKUP(Table2[[#This Row],[Date]],Funds!$C$10:$GV$11,2,FALSE)))</f>
        <v/>
      </c>
      <c r="J4729" s="215" t="str">
        <f>IF(Table2[[#This Row],[Description]]="","",Table2[[#This Row],[Value]]/Table2[[#This Row],[Conversion]])</f>
        <v/>
      </c>
      <c r="K4729" s="45" t="str">
        <f>IF(Table2[[#This Row],[Description]]="","",DATE(Table2[[#This Row],[Year]],Table2[[#This Row],[Month]],1))</f>
        <v/>
      </c>
    </row>
    <row r="4730" spans="7:11" x14ac:dyDescent="0.25">
      <c r="G4730" s="1" t="str">
        <f>IF(Table2[[#This Row],[Description]]="","",VLOOKUP(Table2[[#This Row],[Description]],$Q$1:$S$101,2,FALSE))</f>
        <v/>
      </c>
      <c r="H4730" s="1" t="str">
        <f>IF(Table2[[#This Row],[Description]]="","",VLOOKUP(Table2[[#This Row],[Description]],$Q$1:$S$101,3,FALSE))</f>
        <v/>
      </c>
      <c r="I4730" s="1" t="str">
        <f>IF(Table2[[#This Row],[Description]]="","",IF(Table2[[#This Row],[Currency]]=$O$2,$P$2,HLOOKUP(Table2[[#This Row],[Date]],Funds!$C$10:$GV$11,2,FALSE)))</f>
        <v/>
      </c>
      <c r="J4730" s="215" t="str">
        <f>IF(Table2[[#This Row],[Description]]="","",Table2[[#This Row],[Value]]/Table2[[#This Row],[Conversion]])</f>
        <v/>
      </c>
      <c r="K4730" s="45" t="str">
        <f>IF(Table2[[#This Row],[Description]]="","",DATE(Table2[[#This Row],[Year]],Table2[[#This Row],[Month]],1))</f>
        <v/>
      </c>
    </row>
    <row r="4731" spans="7:11" x14ac:dyDescent="0.25">
      <c r="G4731" s="1" t="str">
        <f>IF(Table2[[#This Row],[Description]]="","",VLOOKUP(Table2[[#This Row],[Description]],$Q$1:$S$101,2,FALSE))</f>
        <v/>
      </c>
      <c r="H4731" s="1" t="str">
        <f>IF(Table2[[#This Row],[Description]]="","",VLOOKUP(Table2[[#This Row],[Description]],$Q$1:$S$101,3,FALSE))</f>
        <v/>
      </c>
      <c r="I4731" s="1" t="str">
        <f>IF(Table2[[#This Row],[Description]]="","",IF(Table2[[#This Row],[Currency]]=$O$2,$P$2,HLOOKUP(Table2[[#This Row],[Date]],Funds!$C$10:$GV$11,2,FALSE)))</f>
        <v/>
      </c>
      <c r="J4731" s="215" t="str">
        <f>IF(Table2[[#This Row],[Description]]="","",Table2[[#This Row],[Value]]/Table2[[#This Row],[Conversion]])</f>
        <v/>
      </c>
      <c r="K4731" s="45" t="str">
        <f>IF(Table2[[#This Row],[Description]]="","",DATE(Table2[[#This Row],[Year]],Table2[[#This Row],[Month]],1))</f>
        <v/>
      </c>
    </row>
    <row r="4732" spans="7:11" x14ac:dyDescent="0.25">
      <c r="G4732" s="1" t="str">
        <f>IF(Table2[[#This Row],[Description]]="","",VLOOKUP(Table2[[#This Row],[Description]],$Q$1:$S$101,2,FALSE))</f>
        <v/>
      </c>
      <c r="H4732" s="1" t="str">
        <f>IF(Table2[[#This Row],[Description]]="","",VLOOKUP(Table2[[#This Row],[Description]],$Q$1:$S$101,3,FALSE))</f>
        <v/>
      </c>
      <c r="I4732" s="1" t="str">
        <f>IF(Table2[[#This Row],[Description]]="","",IF(Table2[[#This Row],[Currency]]=$O$2,$P$2,HLOOKUP(Table2[[#This Row],[Date]],Funds!$C$10:$GV$11,2,FALSE)))</f>
        <v/>
      </c>
      <c r="J4732" s="215" t="str">
        <f>IF(Table2[[#This Row],[Description]]="","",Table2[[#This Row],[Value]]/Table2[[#This Row],[Conversion]])</f>
        <v/>
      </c>
      <c r="K4732" s="45" t="str">
        <f>IF(Table2[[#This Row],[Description]]="","",DATE(Table2[[#This Row],[Year]],Table2[[#This Row],[Month]],1))</f>
        <v/>
      </c>
    </row>
    <row r="4733" spans="7:11" x14ac:dyDescent="0.25">
      <c r="G4733" s="1" t="str">
        <f>IF(Table2[[#This Row],[Description]]="","",VLOOKUP(Table2[[#This Row],[Description]],$Q$1:$S$101,2,FALSE))</f>
        <v/>
      </c>
      <c r="H4733" s="1" t="str">
        <f>IF(Table2[[#This Row],[Description]]="","",VLOOKUP(Table2[[#This Row],[Description]],$Q$1:$S$101,3,FALSE))</f>
        <v/>
      </c>
      <c r="I4733" s="1" t="str">
        <f>IF(Table2[[#This Row],[Description]]="","",IF(Table2[[#This Row],[Currency]]=$O$2,$P$2,HLOOKUP(Table2[[#This Row],[Date]],Funds!$C$10:$GV$11,2,FALSE)))</f>
        <v/>
      </c>
      <c r="J4733" s="215" t="str">
        <f>IF(Table2[[#This Row],[Description]]="","",Table2[[#This Row],[Value]]/Table2[[#This Row],[Conversion]])</f>
        <v/>
      </c>
      <c r="K4733" s="45" t="str">
        <f>IF(Table2[[#This Row],[Description]]="","",DATE(Table2[[#This Row],[Year]],Table2[[#This Row],[Month]],1))</f>
        <v/>
      </c>
    </row>
    <row r="4734" spans="7:11" x14ac:dyDescent="0.25">
      <c r="G4734" s="1" t="str">
        <f>IF(Table2[[#This Row],[Description]]="","",VLOOKUP(Table2[[#This Row],[Description]],$Q$1:$S$101,2,FALSE))</f>
        <v/>
      </c>
      <c r="H4734" s="1" t="str">
        <f>IF(Table2[[#This Row],[Description]]="","",VLOOKUP(Table2[[#This Row],[Description]],$Q$1:$S$101,3,FALSE))</f>
        <v/>
      </c>
      <c r="I4734" s="1" t="str">
        <f>IF(Table2[[#This Row],[Description]]="","",IF(Table2[[#This Row],[Currency]]=$O$2,$P$2,HLOOKUP(Table2[[#This Row],[Date]],Funds!$C$10:$GV$11,2,FALSE)))</f>
        <v/>
      </c>
      <c r="J4734" s="215" t="str">
        <f>IF(Table2[[#This Row],[Description]]="","",Table2[[#This Row],[Value]]/Table2[[#This Row],[Conversion]])</f>
        <v/>
      </c>
      <c r="K4734" s="45" t="str">
        <f>IF(Table2[[#This Row],[Description]]="","",DATE(Table2[[#This Row],[Year]],Table2[[#This Row],[Month]],1))</f>
        <v/>
      </c>
    </row>
    <row r="4735" spans="7:11" x14ac:dyDescent="0.25">
      <c r="G4735" s="1" t="str">
        <f>IF(Table2[[#This Row],[Description]]="","",VLOOKUP(Table2[[#This Row],[Description]],$Q$1:$S$101,2,FALSE))</f>
        <v/>
      </c>
      <c r="H4735" s="1" t="str">
        <f>IF(Table2[[#This Row],[Description]]="","",VLOOKUP(Table2[[#This Row],[Description]],$Q$1:$S$101,3,FALSE))</f>
        <v/>
      </c>
      <c r="I4735" s="1" t="str">
        <f>IF(Table2[[#This Row],[Description]]="","",IF(Table2[[#This Row],[Currency]]=$O$2,$P$2,HLOOKUP(Table2[[#This Row],[Date]],Funds!$C$10:$GV$11,2,FALSE)))</f>
        <v/>
      </c>
      <c r="J4735" s="215" t="str">
        <f>IF(Table2[[#This Row],[Description]]="","",Table2[[#This Row],[Value]]/Table2[[#This Row],[Conversion]])</f>
        <v/>
      </c>
      <c r="K4735" s="45" t="str">
        <f>IF(Table2[[#This Row],[Description]]="","",DATE(Table2[[#This Row],[Year]],Table2[[#This Row],[Month]],1))</f>
        <v/>
      </c>
    </row>
    <row r="4736" spans="7:11" x14ac:dyDescent="0.25">
      <c r="G4736" s="1" t="str">
        <f>IF(Table2[[#This Row],[Description]]="","",VLOOKUP(Table2[[#This Row],[Description]],$Q$1:$S$101,2,FALSE))</f>
        <v/>
      </c>
      <c r="H4736" s="1" t="str">
        <f>IF(Table2[[#This Row],[Description]]="","",VLOOKUP(Table2[[#This Row],[Description]],$Q$1:$S$101,3,FALSE))</f>
        <v/>
      </c>
      <c r="I4736" s="1" t="str">
        <f>IF(Table2[[#This Row],[Description]]="","",IF(Table2[[#This Row],[Currency]]=$O$2,$P$2,HLOOKUP(Table2[[#This Row],[Date]],Funds!$C$10:$GV$11,2,FALSE)))</f>
        <v/>
      </c>
      <c r="J4736" s="215" t="str">
        <f>IF(Table2[[#This Row],[Description]]="","",Table2[[#This Row],[Value]]/Table2[[#This Row],[Conversion]])</f>
        <v/>
      </c>
      <c r="K4736" s="45" t="str">
        <f>IF(Table2[[#This Row],[Description]]="","",DATE(Table2[[#This Row],[Year]],Table2[[#This Row],[Month]],1))</f>
        <v/>
      </c>
    </row>
    <row r="4737" spans="7:11" x14ac:dyDescent="0.25">
      <c r="G4737" s="1" t="str">
        <f>IF(Table2[[#This Row],[Description]]="","",VLOOKUP(Table2[[#This Row],[Description]],$Q$1:$S$101,2,FALSE))</f>
        <v/>
      </c>
      <c r="H4737" s="1" t="str">
        <f>IF(Table2[[#This Row],[Description]]="","",VLOOKUP(Table2[[#This Row],[Description]],$Q$1:$S$101,3,FALSE))</f>
        <v/>
      </c>
      <c r="I4737" s="1" t="str">
        <f>IF(Table2[[#This Row],[Description]]="","",IF(Table2[[#This Row],[Currency]]=$O$2,$P$2,HLOOKUP(Table2[[#This Row],[Date]],Funds!$C$10:$GV$11,2,FALSE)))</f>
        <v/>
      </c>
      <c r="J4737" s="215" t="str">
        <f>IF(Table2[[#This Row],[Description]]="","",Table2[[#This Row],[Value]]/Table2[[#This Row],[Conversion]])</f>
        <v/>
      </c>
      <c r="K4737" s="45" t="str">
        <f>IF(Table2[[#This Row],[Description]]="","",DATE(Table2[[#This Row],[Year]],Table2[[#This Row],[Month]],1))</f>
        <v/>
      </c>
    </row>
    <row r="4738" spans="7:11" x14ac:dyDescent="0.25">
      <c r="G4738" s="1" t="str">
        <f>IF(Table2[[#This Row],[Description]]="","",VLOOKUP(Table2[[#This Row],[Description]],$Q$1:$S$101,2,FALSE))</f>
        <v/>
      </c>
      <c r="H4738" s="1" t="str">
        <f>IF(Table2[[#This Row],[Description]]="","",VLOOKUP(Table2[[#This Row],[Description]],$Q$1:$S$101,3,FALSE))</f>
        <v/>
      </c>
      <c r="I4738" s="1" t="str">
        <f>IF(Table2[[#This Row],[Description]]="","",IF(Table2[[#This Row],[Currency]]=$O$2,$P$2,HLOOKUP(Table2[[#This Row],[Date]],Funds!$C$10:$GV$11,2,FALSE)))</f>
        <v/>
      </c>
      <c r="J4738" s="215" t="str">
        <f>IF(Table2[[#This Row],[Description]]="","",Table2[[#This Row],[Value]]/Table2[[#This Row],[Conversion]])</f>
        <v/>
      </c>
      <c r="K4738" s="45" t="str">
        <f>IF(Table2[[#This Row],[Description]]="","",DATE(Table2[[#This Row],[Year]],Table2[[#This Row],[Month]],1))</f>
        <v/>
      </c>
    </row>
    <row r="4739" spans="7:11" x14ac:dyDescent="0.25">
      <c r="G4739" s="1" t="str">
        <f>IF(Table2[[#This Row],[Description]]="","",VLOOKUP(Table2[[#This Row],[Description]],$Q$1:$S$101,2,FALSE))</f>
        <v/>
      </c>
      <c r="H4739" s="1" t="str">
        <f>IF(Table2[[#This Row],[Description]]="","",VLOOKUP(Table2[[#This Row],[Description]],$Q$1:$S$101,3,FALSE))</f>
        <v/>
      </c>
      <c r="I4739" s="1" t="str">
        <f>IF(Table2[[#This Row],[Description]]="","",IF(Table2[[#This Row],[Currency]]=$O$2,$P$2,HLOOKUP(Table2[[#This Row],[Date]],Funds!$C$10:$GV$11,2,FALSE)))</f>
        <v/>
      </c>
      <c r="J4739" s="215" t="str">
        <f>IF(Table2[[#This Row],[Description]]="","",Table2[[#This Row],[Value]]/Table2[[#This Row],[Conversion]])</f>
        <v/>
      </c>
      <c r="K4739" s="45" t="str">
        <f>IF(Table2[[#This Row],[Description]]="","",DATE(Table2[[#This Row],[Year]],Table2[[#This Row],[Month]],1))</f>
        <v/>
      </c>
    </row>
    <row r="4740" spans="7:11" x14ac:dyDescent="0.25">
      <c r="G4740" s="1" t="str">
        <f>IF(Table2[[#This Row],[Description]]="","",VLOOKUP(Table2[[#This Row],[Description]],$Q$1:$S$101,2,FALSE))</f>
        <v/>
      </c>
      <c r="H4740" s="1" t="str">
        <f>IF(Table2[[#This Row],[Description]]="","",VLOOKUP(Table2[[#This Row],[Description]],$Q$1:$S$101,3,FALSE))</f>
        <v/>
      </c>
      <c r="I4740" s="1" t="str">
        <f>IF(Table2[[#This Row],[Description]]="","",IF(Table2[[#This Row],[Currency]]=$O$2,$P$2,HLOOKUP(Table2[[#This Row],[Date]],Funds!$C$10:$GV$11,2,FALSE)))</f>
        <v/>
      </c>
      <c r="J4740" s="215" t="str">
        <f>IF(Table2[[#This Row],[Description]]="","",Table2[[#This Row],[Value]]/Table2[[#This Row],[Conversion]])</f>
        <v/>
      </c>
      <c r="K4740" s="45" t="str">
        <f>IF(Table2[[#This Row],[Description]]="","",DATE(Table2[[#This Row],[Year]],Table2[[#This Row],[Month]],1))</f>
        <v/>
      </c>
    </row>
    <row r="4741" spans="7:11" x14ac:dyDescent="0.25">
      <c r="G4741" s="1" t="str">
        <f>IF(Table2[[#This Row],[Description]]="","",VLOOKUP(Table2[[#This Row],[Description]],$Q$1:$S$101,2,FALSE))</f>
        <v/>
      </c>
      <c r="H4741" s="1" t="str">
        <f>IF(Table2[[#This Row],[Description]]="","",VLOOKUP(Table2[[#This Row],[Description]],$Q$1:$S$101,3,FALSE))</f>
        <v/>
      </c>
      <c r="I4741" s="1" t="str">
        <f>IF(Table2[[#This Row],[Description]]="","",IF(Table2[[#This Row],[Currency]]=$O$2,$P$2,HLOOKUP(Table2[[#This Row],[Date]],Funds!$C$10:$GV$11,2,FALSE)))</f>
        <v/>
      </c>
      <c r="J4741" s="215" t="str">
        <f>IF(Table2[[#This Row],[Description]]="","",Table2[[#This Row],[Value]]/Table2[[#This Row],[Conversion]])</f>
        <v/>
      </c>
      <c r="K4741" s="45" t="str">
        <f>IF(Table2[[#This Row],[Description]]="","",DATE(Table2[[#This Row],[Year]],Table2[[#This Row],[Month]],1))</f>
        <v/>
      </c>
    </row>
    <row r="4742" spans="7:11" x14ac:dyDescent="0.25">
      <c r="G4742" s="1" t="str">
        <f>IF(Table2[[#This Row],[Description]]="","",VLOOKUP(Table2[[#This Row],[Description]],$Q$1:$S$101,2,FALSE))</f>
        <v/>
      </c>
      <c r="H4742" s="1" t="str">
        <f>IF(Table2[[#This Row],[Description]]="","",VLOOKUP(Table2[[#This Row],[Description]],$Q$1:$S$101,3,FALSE))</f>
        <v/>
      </c>
      <c r="I4742" s="1" t="str">
        <f>IF(Table2[[#This Row],[Description]]="","",IF(Table2[[#This Row],[Currency]]=$O$2,$P$2,HLOOKUP(Table2[[#This Row],[Date]],Funds!$C$10:$GV$11,2,FALSE)))</f>
        <v/>
      </c>
      <c r="J4742" s="215" t="str">
        <f>IF(Table2[[#This Row],[Description]]="","",Table2[[#This Row],[Value]]/Table2[[#This Row],[Conversion]])</f>
        <v/>
      </c>
      <c r="K4742" s="45" t="str">
        <f>IF(Table2[[#This Row],[Description]]="","",DATE(Table2[[#This Row],[Year]],Table2[[#This Row],[Month]],1))</f>
        <v/>
      </c>
    </row>
    <row r="4743" spans="7:11" x14ac:dyDescent="0.25">
      <c r="G4743" s="1" t="str">
        <f>IF(Table2[[#This Row],[Description]]="","",VLOOKUP(Table2[[#This Row],[Description]],$Q$1:$S$101,2,FALSE))</f>
        <v/>
      </c>
      <c r="H4743" s="1" t="str">
        <f>IF(Table2[[#This Row],[Description]]="","",VLOOKUP(Table2[[#This Row],[Description]],$Q$1:$S$101,3,FALSE))</f>
        <v/>
      </c>
      <c r="I4743" s="1" t="str">
        <f>IF(Table2[[#This Row],[Description]]="","",IF(Table2[[#This Row],[Currency]]=$O$2,$P$2,HLOOKUP(Table2[[#This Row],[Date]],Funds!$C$10:$GV$11,2,FALSE)))</f>
        <v/>
      </c>
      <c r="J4743" s="215" t="str">
        <f>IF(Table2[[#This Row],[Description]]="","",Table2[[#This Row],[Value]]/Table2[[#This Row],[Conversion]])</f>
        <v/>
      </c>
      <c r="K4743" s="45" t="str">
        <f>IF(Table2[[#This Row],[Description]]="","",DATE(Table2[[#This Row],[Year]],Table2[[#This Row],[Month]],1))</f>
        <v/>
      </c>
    </row>
    <row r="4744" spans="7:11" x14ac:dyDescent="0.25">
      <c r="G4744" s="1" t="str">
        <f>IF(Table2[[#This Row],[Description]]="","",VLOOKUP(Table2[[#This Row],[Description]],$Q$1:$S$101,2,FALSE))</f>
        <v/>
      </c>
      <c r="H4744" s="1" t="str">
        <f>IF(Table2[[#This Row],[Description]]="","",VLOOKUP(Table2[[#This Row],[Description]],$Q$1:$S$101,3,FALSE))</f>
        <v/>
      </c>
      <c r="I4744" s="1" t="str">
        <f>IF(Table2[[#This Row],[Description]]="","",IF(Table2[[#This Row],[Currency]]=$O$2,$P$2,HLOOKUP(Table2[[#This Row],[Date]],Funds!$C$10:$GV$11,2,FALSE)))</f>
        <v/>
      </c>
      <c r="J4744" s="215" t="str">
        <f>IF(Table2[[#This Row],[Description]]="","",Table2[[#This Row],[Value]]/Table2[[#This Row],[Conversion]])</f>
        <v/>
      </c>
      <c r="K4744" s="45" t="str">
        <f>IF(Table2[[#This Row],[Description]]="","",DATE(Table2[[#This Row],[Year]],Table2[[#This Row],[Month]],1))</f>
        <v/>
      </c>
    </row>
    <row r="4745" spans="7:11" x14ac:dyDescent="0.25">
      <c r="G4745" s="1" t="str">
        <f>IF(Table2[[#This Row],[Description]]="","",VLOOKUP(Table2[[#This Row],[Description]],$Q$1:$S$101,2,FALSE))</f>
        <v/>
      </c>
      <c r="H4745" s="1" t="str">
        <f>IF(Table2[[#This Row],[Description]]="","",VLOOKUP(Table2[[#This Row],[Description]],$Q$1:$S$101,3,FALSE))</f>
        <v/>
      </c>
      <c r="I4745" s="1" t="str">
        <f>IF(Table2[[#This Row],[Description]]="","",IF(Table2[[#This Row],[Currency]]=$O$2,$P$2,HLOOKUP(Table2[[#This Row],[Date]],Funds!$C$10:$GV$11,2,FALSE)))</f>
        <v/>
      </c>
      <c r="J4745" s="215" t="str">
        <f>IF(Table2[[#This Row],[Description]]="","",Table2[[#This Row],[Value]]/Table2[[#This Row],[Conversion]])</f>
        <v/>
      </c>
      <c r="K4745" s="45" t="str">
        <f>IF(Table2[[#This Row],[Description]]="","",DATE(Table2[[#This Row],[Year]],Table2[[#This Row],[Month]],1))</f>
        <v/>
      </c>
    </row>
    <row r="4746" spans="7:11" x14ac:dyDescent="0.25">
      <c r="G4746" s="1" t="str">
        <f>IF(Table2[[#This Row],[Description]]="","",VLOOKUP(Table2[[#This Row],[Description]],$Q$1:$S$101,2,FALSE))</f>
        <v/>
      </c>
      <c r="H4746" s="1" t="str">
        <f>IF(Table2[[#This Row],[Description]]="","",VLOOKUP(Table2[[#This Row],[Description]],$Q$1:$S$101,3,FALSE))</f>
        <v/>
      </c>
      <c r="I4746" s="1" t="str">
        <f>IF(Table2[[#This Row],[Description]]="","",IF(Table2[[#This Row],[Currency]]=$O$2,$P$2,HLOOKUP(Table2[[#This Row],[Date]],Funds!$C$10:$GV$11,2,FALSE)))</f>
        <v/>
      </c>
      <c r="J4746" s="215" t="str">
        <f>IF(Table2[[#This Row],[Description]]="","",Table2[[#This Row],[Value]]/Table2[[#This Row],[Conversion]])</f>
        <v/>
      </c>
      <c r="K4746" s="45" t="str">
        <f>IF(Table2[[#This Row],[Description]]="","",DATE(Table2[[#This Row],[Year]],Table2[[#This Row],[Month]],1))</f>
        <v/>
      </c>
    </row>
    <row r="4747" spans="7:11" x14ac:dyDescent="0.25">
      <c r="G4747" s="1" t="str">
        <f>IF(Table2[[#This Row],[Description]]="","",VLOOKUP(Table2[[#This Row],[Description]],$Q$1:$S$101,2,FALSE))</f>
        <v/>
      </c>
      <c r="H4747" s="1" t="str">
        <f>IF(Table2[[#This Row],[Description]]="","",VLOOKUP(Table2[[#This Row],[Description]],$Q$1:$S$101,3,FALSE))</f>
        <v/>
      </c>
      <c r="I4747" s="1" t="str">
        <f>IF(Table2[[#This Row],[Description]]="","",IF(Table2[[#This Row],[Currency]]=$O$2,$P$2,HLOOKUP(Table2[[#This Row],[Date]],Funds!$C$10:$GV$11,2,FALSE)))</f>
        <v/>
      </c>
      <c r="J4747" s="215" t="str">
        <f>IF(Table2[[#This Row],[Description]]="","",Table2[[#This Row],[Value]]/Table2[[#This Row],[Conversion]])</f>
        <v/>
      </c>
      <c r="K4747" s="45" t="str">
        <f>IF(Table2[[#This Row],[Description]]="","",DATE(Table2[[#This Row],[Year]],Table2[[#This Row],[Month]],1))</f>
        <v/>
      </c>
    </row>
    <row r="4748" spans="7:11" x14ac:dyDescent="0.25">
      <c r="G4748" s="1" t="str">
        <f>IF(Table2[[#This Row],[Description]]="","",VLOOKUP(Table2[[#This Row],[Description]],$Q$1:$S$101,2,FALSE))</f>
        <v/>
      </c>
      <c r="H4748" s="1" t="str">
        <f>IF(Table2[[#This Row],[Description]]="","",VLOOKUP(Table2[[#This Row],[Description]],$Q$1:$S$101,3,FALSE))</f>
        <v/>
      </c>
      <c r="I4748" s="1" t="str">
        <f>IF(Table2[[#This Row],[Description]]="","",IF(Table2[[#This Row],[Currency]]=$O$2,$P$2,HLOOKUP(Table2[[#This Row],[Date]],Funds!$C$10:$GV$11,2,FALSE)))</f>
        <v/>
      </c>
      <c r="J4748" s="215" t="str">
        <f>IF(Table2[[#This Row],[Description]]="","",Table2[[#This Row],[Value]]/Table2[[#This Row],[Conversion]])</f>
        <v/>
      </c>
      <c r="K4748" s="45" t="str">
        <f>IF(Table2[[#This Row],[Description]]="","",DATE(Table2[[#This Row],[Year]],Table2[[#This Row],[Month]],1))</f>
        <v/>
      </c>
    </row>
    <row r="4749" spans="7:11" x14ac:dyDescent="0.25">
      <c r="G4749" s="1" t="str">
        <f>IF(Table2[[#This Row],[Description]]="","",VLOOKUP(Table2[[#This Row],[Description]],$Q$1:$S$101,2,FALSE))</f>
        <v/>
      </c>
      <c r="H4749" s="1" t="str">
        <f>IF(Table2[[#This Row],[Description]]="","",VLOOKUP(Table2[[#This Row],[Description]],$Q$1:$S$101,3,FALSE))</f>
        <v/>
      </c>
      <c r="I4749" s="1" t="str">
        <f>IF(Table2[[#This Row],[Description]]="","",IF(Table2[[#This Row],[Currency]]=$O$2,$P$2,HLOOKUP(Table2[[#This Row],[Date]],Funds!$C$10:$GV$11,2,FALSE)))</f>
        <v/>
      </c>
      <c r="J4749" s="215" t="str">
        <f>IF(Table2[[#This Row],[Description]]="","",Table2[[#This Row],[Value]]/Table2[[#This Row],[Conversion]])</f>
        <v/>
      </c>
      <c r="K4749" s="45" t="str">
        <f>IF(Table2[[#This Row],[Description]]="","",DATE(Table2[[#This Row],[Year]],Table2[[#This Row],[Month]],1))</f>
        <v/>
      </c>
    </row>
    <row r="4750" spans="7:11" x14ac:dyDescent="0.25">
      <c r="G4750" s="1" t="str">
        <f>IF(Table2[[#This Row],[Description]]="","",VLOOKUP(Table2[[#This Row],[Description]],$Q$1:$S$101,2,FALSE))</f>
        <v/>
      </c>
      <c r="H4750" s="1" t="str">
        <f>IF(Table2[[#This Row],[Description]]="","",VLOOKUP(Table2[[#This Row],[Description]],$Q$1:$S$101,3,FALSE))</f>
        <v/>
      </c>
      <c r="I4750" s="1" t="str">
        <f>IF(Table2[[#This Row],[Description]]="","",IF(Table2[[#This Row],[Currency]]=$O$2,$P$2,HLOOKUP(Table2[[#This Row],[Date]],Funds!$C$10:$GV$11,2,FALSE)))</f>
        <v/>
      </c>
      <c r="J4750" s="215" t="str">
        <f>IF(Table2[[#This Row],[Description]]="","",Table2[[#This Row],[Value]]/Table2[[#This Row],[Conversion]])</f>
        <v/>
      </c>
      <c r="K4750" s="45" t="str">
        <f>IF(Table2[[#This Row],[Description]]="","",DATE(Table2[[#This Row],[Year]],Table2[[#This Row],[Month]],1))</f>
        <v/>
      </c>
    </row>
    <row r="4751" spans="7:11" x14ac:dyDescent="0.25">
      <c r="G4751" s="1" t="str">
        <f>IF(Table2[[#This Row],[Description]]="","",VLOOKUP(Table2[[#This Row],[Description]],$Q$1:$S$101,2,FALSE))</f>
        <v/>
      </c>
      <c r="H4751" s="1" t="str">
        <f>IF(Table2[[#This Row],[Description]]="","",VLOOKUP(Table2[[#This Row],[Description]],$Q$1:$S$101,3,FALSE))</f>
        <v/>
      </c>
      <c r="I4751" s="1" t="str">
        <f>IF(Table2[[#This Row],[Description]]="","",IF(Table2[[#This Row],[Currency]]=$O$2,$P$2,HLOOKUP(Table2[[#This Row],[Date]],Funds!$C$10:$GV$11,2,FALSE)))</f>
        <v/>
      </c>
      <c r="J4751" s="215" t="str">
        <f>IF(Table2[[#This Row],[Description]]="","",Table2[[#This Row],[Value]]/Table2[[#This Row],[Conversion]])</f>
        <v/>
      </c>
      <c r="K4751" s="45" t="str">
        <f>IF(Table2[[#This Row],[Description]]="","",DATE(Table2[[#This Row],[Year]],Table2[[#This Row],[Month]],1))</f>
        <v/>
      </c>
    </row>
    <row r="4752" spans="7:11" x14ac:dyDescent="0.25">
      <c r="G4752" s="1" t="str">
        <f>IF(Table2[[#This Row],[Description]]="","",VLOOKUP(Table2[[#This Row],[Description]],$Q$1:$S$101,2,FALSE))</f>
        <v/>
      </c>
      <c r="H4752" s="1" t="str">
        <f>IF(Table2[[#This Row],[Description]]="","",VLOOKUP(Table2[[#This Row],[Description]],$Q$1:$S$101,3,FALSE))</f>
        <v/>
      </c>
      <c r="I4752" s="1" t="str">
        <f>IF(Table2[[#This Row],[Description]]="","",IF(Table2[[#This Row],[Currency]]=$O$2,$P$2,HLOOKUP(Table2[[#This Row],[Date]],Funds!$C$10:$GV$11,2,FALSE)))</f>
        <v/>
      </c>
      <c r="J4752" s="215" t="str">
        <f>IF(Table2[[#This Row],[Description]]="","",Table2[[#This Row],[Value]]/Table2[[#This Row],[Conversion]])</f>
        <v/>
      </c>
      <c r="K4752" s="45" t="str">
        <f>IF(Table2[[#This Row],[Description]]="","",DATE(Table2[[#This Row],[Year]],Table2[[#This Row],[Month]],1))</f>
        <v/>
      </c>
    </row>
    <row r="4753" spans="7:11" x14ac:dyDescent="0.25">
      <c r="G4753" s="1" t="str">
        <f>IF(Table2[[#This Row],[Description]]="","",VLOOKUP(Table2[[#This Row],[Description]],$Q$1:$S$101,2,FALSE))</f>
        <v/>
      </c>
      <c r="H4753" s="1" t="str">
        <f>IF(Table2[[#This Row],[Description]]="","",VLOOKUP(Table2[[#This Row],[Description]],$Q$1:$S$101,3,FALSE))</f>
        <v/>
      </c>
      <c r="I4753" s="1" t="str">
        <f>IF(Table2[[#This Row],[Description]]="","",IF(Table2[[#This Row],[Currency]]=$O$2,$P$2,HLOOKUP(Table2[[#This Row],[Date]],Funds!$C$10:$GV$11,2,FALSE)))</f>
        <v/>
      </c>
      <c r="J4753" s="215" t="str">
        <f>IF(Table2[[#This Row],[Description]]="","",Table2[[#This Row],[Value]]/Table2[[#This Row],[Conversion]])</f>
        <v/>
      </c>
      <c r="K4753" s="45" t="str">
        <f>IF(Table2[[#This Row],[Description]]="","",DATE(Table2[[#This Row],[Year]],Table2[[#This Row],[Month]],1))</f>
        <v/>
      </c>
    </row>
    <row r="4754" spans="7:11" x14ac:dyDescent="0.25">
      <c r="G4754" s="1" t="str">
        <f>IF(Table2[[#This Row],[Description]]="","",VLOOKUP(Table2[[#This Row],[Description]],$Q$1:$S$101,2,FALSE))</f>
        <v/>
      </c>
      <c r="H4754" s="1" t="str">
        <f>IF(Table2[[#This Row],[Description]]="","",VLOOKUP(Table2[[#This Row],[Description]],$Q$1:$S$101,3,FALSE))</f>
        <v/>
      </c>
      <c r="I4754" s="1" t="str">
        <f>IF(Table2[[#This Row],[Description]]="","",IF(Table2[[#This Row],[Currency]]=$O$2,$P$2,HLOOKUP(Table2[[#This Row],[Date]],Funds!$C$10:$GV$11,2,FALSE)))</f>
        <v/>
      </c>
      <c r="J4754" s="215" t="str">
        <f>IF(Table2[[#This Row],[Description]]="","",Table2[[#This Row],[Value]]/Table2[[#This Row],[Conversion]])</f>
        <v/>
      </c>
      <c r="K4754" s="45" t="str">
        <f>IF(Table2[[#This Row],[Description]]="","",DATE(Table2[[#This Row],[Year]],Table2[[#This Row],[Month]],1))</f>
        <v/>
      </c>
    </row>
    <row r="4755" spans="7:11" x14ac:dyDescent="0.25">
      <c r="G4755" s="1" t="str">
        <f>IF(Table2[[#This Row],[Description]]="","",VLOOKUP(Table2[[#This Row],[Description]],$Q$1:$S$101,2,FALSE))</f>
        <v/>
      </c>
      <c r="H4755" s="1" t="str">
        <f>IF(Table2[[#This Row],[Description]]="","",VLOOKUP(Table2[[#This Row],[Description]],$Q$1:$S$101,3,FALSE))</f>
        <v/>
      </c>
      <c r="I4755" s="1" t="str">
        <f>IF(Table2[[#This Row],[Description]]="","",IF(Table2[[#This Row],[Currency]]=$O$2,$P$2,HLOOKUP(Table2[[#This Row],[Date]],Funds!$C$10:$GV$11,2,FALSE)))</f>
        <v/>
      </c>
      <c r="J4755" s="215" t="str">
        <f>IF(Table2[[#This Row],[Description]]="","",Table2[[#This Row],[Value]]/Table2[[#This Row],[Conversion]])</f>
        <v/>
      </c>
      <c r="K4755" s="45" t="str">
        <f>IF(Table2[[#This Row],[Description]]="","",DATE(Table2[[#This Row],[Year]],Table2[[#This Row],[Month]],1))</f>
        <v/>
      </c>
    </row>
    <row r="4756" spans="7:11" x14ac:dyDescent="0.25">
      <c r="G4756" s="1" t="str">
        <f>IF(Table2[[#This Row],[Description]]="","",VLOOKUP(Table2[[#This Row],[Description]],$Q$1:$S$101,2,FALSE))</f>
        <v/>
      </c>
      <c r="H4756" s="1" t="str">
        <f>IF(Table2[[#This Row],[Description]]="","",VLOOKUP(Table2[[#This Row],[Description]],$Q$1:$S$101,3,FALSE))</f>
        <v/>
      </c>
      <c r="I4756" s="1" t="str">
        <f>IF(Table2[[#This Row],[Description]]="","",IF(Table2[[#This Row],[Currency]]=$O$2,$P$2,HLOOKUP(Table2[[#This Row],[Date]],Funds!$C$10:$GV$11,2,FALSE)))</f>
        <v/>
      </c>
      <c r="J4756" s="215" t="str">
        <f>IF(Table2[[#This Row],[Description]]="","",Table2[[#This Row],[Value]]/Table2[[#This Row],[Conversion]])</f>
        <v/>
      </c>
      <c r="K4756" s="45" t="str">
        <f>IF(Table2[[#This Row],[Description]]="","",DATE(Table2[[#This Row],[Year]],Table2[[#This Row],[Month]],1))</f>
        <v/>
      </c>
    </row>
    <row r="4757" spans="7:11" x14ac:dyDescent="0.25">
      <c r="G4757" s="1" t="str">
        <f>IF(Table2[[#This Row],[Description]]="","",VLOOKUP(Table2[[#This Row],[Description]],$Q$1:$S$101,2,FALSE))</f>
        <v/>
      </c>
      <c r="H4757" s="1" t="str">
        <f>IF(Table2[[#This Row],[Description]]="","",VLOOKUP(Table2[[#This Row],[Description]],$Q$1:$S$101,3,FALSE))</f>
        <v/>
      </c>
      <c r="I4757" s="1" t="str">
        <f>IF(Table2[[#This Row],[Description]]="","",IF(Table2[[#This Row],[Currency]]=$O$2,$P$2,HLOOKUP(Table2[[#This Row],[Date]],Funds!$C$10:$GV$11,2,FALSE)))</f>
        <v/>
      </c>
      <c r="J4757" s="215" t="str">
        <f>IF(Table2[[#This Row],[Description]]="","",Table2[[#This Row],[Value]]/Table2[[#This Row],[Conversion]])</f>
        <v/>
      </c>
      <c r="K4757" s="45" t="str">
        <f>IF(Table2[[#This Row],[Description]]="","",DATE(Table2[[#This Row],[Year]],Table2[[#This Row],[Month]],1))</f>
        <v/>
      </c>
    </row>
    <row r="4758" spans="7:11" x14ac:dyDescent="0.25">
      <c r="G4758" s="1" t="str">
        <f>IF(Table2[[#This Row],[Description]]="","",VLOOKUP(Table2[[#This Row],[Description]],$Q$1:$S$101,2,FALSE))</f>
        <v/>
      </c>
      <c r="H4758" s="1" t="str">
        <f>IF(Table2[[#This Row],[Description]]="","",VLOOKUP(Table2[[#This Row],[Description]],$Q$1:$S$101,3,FALSE))</f>
        <v/>
      </c>
      <c r="I4758" s="1" t="str">
        <f>IF(Table2[[#This Row],[Description]]="","",IF(Table2[[#This Row],[Currency]]=$O$2,$P$2,HLOOKUP(Table2[[#This Row],[Date]],Funds!$C$10:$GV$11,2,FALSE)))</f>
        <v/>
      </c>
      <c r="J4758" s="215" t="str">
        <f>IF(Table2[[#This Row],[Description]]="","",Table2[[#This Row],[Value]]/Table2[[#This Row],[Conversion]])</f>
        <v/>
      </c>
      <c r="K4758" s="45" t="str">
        <f>IF(Table2[[#This Row],[Description]]="","",DATE(Table2[[#This Row],[Year]],Table2[[#This Row],[Month]],1))</f>
        <v/>
      </c>
    </row>
    <row r="4759" spans="7:11" x14ac:dyDescent="0.25">
      <c r="G4759" s="1" t="str">
        <f>IF(Table2[[#This Row],[Description]]="","",VLOOKUP(Table2[[#This Row],[Description]],$Q$1:$S$101,2,FALSE))</f>
        <v/>
      </c>
      <c r="H4759" s="1" t="str">
        <f>IF(Table2[[#This Row],[Description]]="","",VLOOKUP(Table2[[#This Row],[Description]],$Q$1:$S$101,3,FALSE))</f>
        <v/>
      </c>
      <c r="I4759" s="1" t="str">
        <f>IF(Table2[[#This Row],[Description]]="","",IF(Table2[[#This Row],[Currency]]=$O$2,$P$2,HLOOKUP(Table2[[#This Row],[Date]],Funds!$C$10:$GV$11,2,FALSE)))</f>
        <v/>
      </c>
      <c r="J4759" s="215" t="str">
        <f>IF(Table2[[#This Row],[Description]]="","",Table2[[#This Row],[Value]]/Table2[[#This Row],[Conversion]])</f>
        <v/>
      </c>
      <c r="K4759" s="45" t="str">
        <f>IF(Table2[[#This Row],[Description]]="","",DATE(Table2[[#This Row],[Year]],Table2[[#This Row],[Month]],1))</f>
        <v/>
      </c>
    </row>
    <row r="4760" spans="7:11" x14ac:dyDescent="0.25">
      <c r="G4760" s="1" t="str">
        <f>IF(Table2[[#This Row],[Description]]="","",VLOOKUP(Table2[[#This Row],[Description]],$Q$1:$S$101,2,FALSE))</f>
        <v/>
      </c>
      <c r="H4760" s="1" t="str">
        <f>IF(Table2[[#This Row],[Description]]="","",VLOOKUP(Table2[[#This Row],[Description]],$Q$1:$S$101,3,FALSE))</f>
        <v/>
      </c>
      <c r="I4760" s="1" t="str">
        <f>IF(Table2[[#This Row],[Description]]="","",IF(Table2[[#This Row],[Currency]]=$O$2,$P$2,HLOOKUP(Table2[[#This Row],[Date]],Funds!$C$10:$GV$11,2,FALSE)))</f>
        <v/>
      </c>
      <c r="J4760" s="215" t="str">
        <f>IF(Table2[[#This Row],[Description]]="","",Table2[[#This Row],[Value]]/Table2[[#This Row],[Conversion]])</f>
        <v/>
      </c>
      <c r="K4760" s="45" t="str">
        <f>IF(Table2[[#This Row],[Description]]="","",DATE(Table2[[#This Row],[Year]],Table2[[#This Row],[Month]],1))</f>
        <v/>
      </c>
    </row>
    <row r="4761" spans="7:11" x14ac:dyDescent="0.25">
      <c r="G4761" s="1" t="str">
        <f>IF(Table2[[#This Row],[Description]]="","",VLOOKUP(Table2[[#This Row],[Description]],$Q$1:$S$101,2,FALSE))</f>
        <v/>
      </c>
      <c r="H4761" s="1" t="str">
        <f>IF(Table2[[#This Row],[Description]]="","",VLOOKUP(Table2[[#This Row],[Description]],$Q$1:$S$101,3,FALSE))</f>
        <v/>
      </c>
      <c r="I4761" s="1" t="str">
        <f>IF(Table2[[#This Row],[Description]]="","",IF(Table2[[#This Row],[Currency]]=$O$2,$P$2,HLOOKUP(Table2[[#This Row],[Date]],Funds!$C$10:$GV$11,2,FALSE)))</f>
        <v/>
      </c>
      <c r="J4761" s="215" t="str">
        <f>IF(Table2[[#This Row],[Description]]="","",Table2[[#This Row],[Value]]/Table2[[#This Row],[Conversion]])</f>
        <v/>
      </c>
      <c r="K4761" s="45" t="str">
        <f>IF(Table2[[#This Row],[Description]]="","",DATE(Table2[[#This Row],[Year]],Table2[[#This Row],[Month]],1))</f>
        <v/>
      </c>
    </row>
    <row r="4762" spans="7:11" x14ac:dyDescent="0.25">
      <c r="G4762" s="1" t="str">
        <f>IF(Table2[[#This Row],[Description]]="","",VLOOKUP(Table2[[#This Row],[Description]],$Q$1:$S$101,2,FALSE))</f>
        <v/>
      </c>
      <c r="H4762" s="1" t="str">
        <f>IF(Table2[[#This Row],[Description]]="","",VLOOKUP(Table2[[#This Row],[Description]],$Q$1:$S$101,3,FALSE))</f>
        <v/>
      </c>
      <c r="I4762" s="1" t="str">
        <f>IF(Table2[[#This Row],[Description]]="","",IF(Table2[[#This Row],[Currency]]=$O$2,$P$2,HLOOKUP(Table2[[#This Row],[Date]],Funds!$C$10:$GV$11,2,FALSE)))</f>
        <v/>
      </c>
      <c r="J4762" s="215" t="str">
        <f>IF(Table2[[#This Row],[Description]]="","",Table2[[#This Row],[Value]]/Table2[[#This Row],[Conversion]])</f>
        <v/>
      </c>
      <c r="K4762" s="45" t="str">
        <f>IF(Table2[[#This Row],[Description]]="","",DATE(Table2[[#This Row],[Year]],Table2[[#This Row],[Month]],1))</f>
        <v/>
      </c>
    </row>
    <row r="4763" spans="7:11" x14ac:dyDescent="0.25">
      <c r="G4763" s="1" t="str">
        <f>IF(Table2[[#This Row],[Description]]="","",VLOOKUP(Table2[[#This Row],[Description]],$Q$1:$S$101,2,FALSE))</f>
        <v/>
      </c>
      <c r="H4763" s="1" t="str">
        <f>IF(Table2[[#This Row],[Description]]="","",VLOOKUP(Table2[[#This Row],[Description]],$Q$1:$S$101,3,FALSE))</f>
        <v/>
      </c>
      <c r="I4763" s="1" t="str">
        <f>IF(Table2[[#This Row],[Description]]="","",IF(Table2[[#This Row],[Currency]]=$O$2,$P$2,HLOOKUP(Table2[[#This Row],[Date]],Funds!$C$10:$GV$11,2,FALSE)))</f>
        <v/>
      </c>
      <c r="J4763" s="215" t="str">
        <f>IF(Table2[[#This Row],[Description]]="","",Table2[[#This Row],[Value]]/Table2[[#This Row],[Conversion]])</f>
        <v/>
      </c>
      <c r="K4763" s="45" t="str">
        <f>IF(Table2[[#This Row],[Description]]="","",DATE(Table2[[#This Row],[Year]],Table2[[#This Row],[Month]],1))</f>
        <v/>
      </c>
    </row>
    <row r="4764" spans="7:11" x14ac:dyDescent="0.25">
      <c r="G4764" s="1" t="str">
        <f>IF(Table2[[#This Row],[Description]]="","",VLOOKUP(Table2[[#This Row],[Description]],$Q$1:$S$101,2,FALSE))</f>
        <v/>
      </c>
      <c r="H4764" s="1" t="str">
        <f>IF(Table2[[#This Row],[Description]]="","",VLOOKUP(Table2[[#This Row],[Description]],$Q$1:$S$101,3,FALSE))</f>
        <v/>
      </c>
      <c r="I4764" s="1" t="str">
        <f>IF(Table2[[#This Row],[Description]]="","",IF(Table2[[#This Row],[Currency]]=$O$2,$P$2,HLOOKUP(Table2[[#This Row],[Date]],Funds!$C$10:$GV$11,2,FALSE)))</f>
        <v/>
      </c>
      <c r="J4764" s="215" t="str">
        <f>IF(Table2[[#This Row],[Description]]="","",Table2[[#This Row],[Value]]/Table2[[#This Row],[Conversion]])</f>
        <v/>
      </c>
      <c r="K4764" s="45" t="str">
        <f>IF(Table2[[#This Row],[Description]]="","",DATE(Table2[[#This Row],[Year]],Table2[[#This Row],[Month]],1))</f>
        <v/>
      </c>
    </row>
    <row r="4765" spans="7:11" x14ac:dyDescent="0.25">
      <c r="G4765" s="1" t="str">
        <f>IF(Table2[[#This Row],[Description]]="","",VLOOKUP(Table2[[#This Row],[Description]],$Q$1:$S$101,2,FALSE))</f>
        <v/>
      </c>
      <c r="H4765" s="1" t="str">
        <f>IF(Table2[[#This Row],[Description]]="","",VLOOKUP(Table2[[#This Row],[Description]],$Q$1:$S$101,3,FALSE))</f>
        <v/>
      </c>
      <c r="I4765" s="1" t="str">
        <f>IF(Table2[[#This Row],[Description]]="","",IF(Table2[[#This Row],[Currency]]=$O$2,$P$2,HLOOKUP(Table2[[#This Row],[Date]],Funds!$C$10:$GV$11,2,FALSE)))</f>
        <v/>
      </c>
      <c r="J4765" s="215" t="str">
        <f>IF(Table2[[#This Row],[Description]]="","",Table2[[#This Row],[Value]]/Table2[[#This Row],[Conversion]])</f>
        <v/>
      </c>
      <c r="K4765" s="45" t="str">
        <f>IF(Table2[[#This Row],[Description]]="","",DATE(Table2[[#This Row],[Year]],Table2[[#This Row],[Month]],1))</f>
        <v/>
      </c>
    </row>
    <row r="4766" spans="7:11" x14ac:dyDescent="0.25">
      <c r="G4766" s="1" t="str">
        <f>IF(Table2[[#This Row],[Description]]="","",VLOOKUP(Table2[[#This Row],[Description]],$Q$1:$S$101,2,FALSE))</f>
        <v/>
      </c>
      <c r="H4766" s="1" t="str">
        <f>IF(Table2[[#This Row],[Description]]="","",VLOOKUP(Table2[[#This Row],[Description]],$Q$1:$S$101,3,FALSE))</f>
        <v/>
      </c>
      <c r="I4766" s="1" t="str">
        <f>IF(Table2[[#This Row],[Description]]="","",IF(Table2[[#This Row],[Currency]]=$O$2,$P$2,HLOOKUP(Table2[[#This Row],[Date]],Funds!$C$10:$GV$11,2,FALSE)))</f>
        <v/>
      </c>
      <c r="J4766" s="215" t="str">
        <f>IF(Table2[[#This Row],[Description]]="","",Table2[[#This Row],[Value]]/Table2[[#This Row],[Conversion]])</f>
        <v/>
      </c>
      <c r="K4766" s="45" t="str">
        <f>IF(Table2[[#This Row],[Description]]="","",DATE(Table2[[#This Row],[Year]],Table2[[#This Row],[Month]],1))</f>
        <v/>
      </c>
    </row>
    <row r="4767" spans="7:11" x14ac:dyDescent="0.25">
      <c r="G4767" s="1" t="str">
        <f>IF(Table2[[#This Row],[Description]]="","",VLOOKUP(Table2[[#This Row],[Description]],$Q$1:$S$101,2,FALSE))</f>
        <v/>
      </c>
      <c r="H4767" s="1" t="str">
        <f>IF(Table2[[#This Row],[Description]]="","",VLOOKUP(Table2[[#This Row],[Description]],$Q$1:$S$101,3,FALSE))</f>
        <v/>
      </c>
      <c r="I4767" s="1" t="str">
        <f>IF(Table2[[#This Row],[Description]]="","",IF(Table2[[#This Row],[Currency]]=$O$2,$P$2,HLOOKUP(Table2[[#This Row],[Date]],Funds!$C$10:$GV$11,2,FALSE)))</f>
        <v/>
      </c>
      <c r="J4767" s="215" t="str">
        <f>IF(Table2[[#This Row],[Description]]="","",Table2[[#This Row],[Value]]/Table2[[#This Row],[Conversion]])</f>
        <v/>
      </c>
      <c r="K4767" s="45" t="str">
        <f>IF(Table2[[#This Row],[Description]]="","",DATE(Table2[[#This Row],[Year]],Table2[[#This Row],[Month]],1))</f>
        <v/>
      </c>
    </row>
    <row r="4768" spans="7:11" x14ac:dyDescent="0.25">
      <c r="G4768" s="1" t="str">
        <f>IF(Table2[[#This Row],[Description]]="","",VLOOKUP(Table2[[#This Row],[Description]],$Q$1:$S$101,2,FALSE))</f>
        <v/>
      </c>
      <c r="H4768" s="1" t="str">
        <f>IF(Table2[[#This Row],[Description]]="","",VLOOKUP(Table2[[#This Row],[Description]],$Q$1:$S$101,3,FALSE))</f>
        <v/>
      </c>
      <c r="I4768" s="1" t="str">
        <f>IF(Table2[[#This Row],[Description]]="","",IF(Table2[[#This Row],[Currency]]=$O$2,$P$2,HLOOKUP(Table2[[#This Row],[Date]],Funds!$C$10:$GV$11,2,FALSE)))</f>
        <v/>
      </c>
      <c r="J4768" s="215" t="str">
        <f>IF(Table2[[#This Row],[Description]]="","",Table2[[#This Row],[Value]]/Table2[[#This Row],[Conversion]])</f>
        <v/>
      </c>
      <c r="K4768" s="45" t="str">
        <f>IF(Table2[[#This Row],[Description]]="","",DATE(Table2[[#This Row],[Year]],Table2[[#This Row],[Month]],1))</f>
        <v/>
      </c>
    </row>
    <row r="4769" spans="7:11" x14ac:dyDescent="0.25">
      <c r="G4769" s="1" t="str">
        <f>IF(Table2[[#This Row],[Description]]="","",VLOOKUP(Table2[[#This Row],[Description]],$Q$1:$S$101,2,FALSE))</f>
        <v/>
      </c>
      <c r="H4769" s="1" t="str">
        <f>IF(Table2[[#This Row],[Description]]="","",VLOOKUP(Table2[[#This Row],[Description]],$Q$1:$S$101,3,FALSE))</f>
        <v/>
      </c>
      <c r="I4769" s="1" t="str">
        <f>IF(Table2[[#This Row],[Description]]="","",IF(Table2[[#This Row],[Currency]]=$O$2,$P$2,HLOOKUP(Table2[[#This Row],[Date]],Funds!$C$10:$GV$11,2,FALSE)))</f>
        <v/>
      </c>
      <c r="J4769" s="215" t="str">
        <f>IF(Table2[[#This Row],[Description]]="","",Table2[[#This Row],[Value]]/Table2[[#This Row],[Conversion]])</f>
        <v/>
      </c>
      <c r="K4769" s="45" t="str">
        <f>IF(Table2[[#This Row],[Description]]="","",DATE(Table2[[#This Row],[Year]],Table2[[#This Row],[Month]],1))</f>
        <v/>
      </c>
    </row>
    <row r="4770" spans="7:11" x14ac:dyDescent="0.25">
      <c r="G4770" s="1" t="str">
        <f>IF(Table2[[#This Row],[Description]]="","",VLOOKUP(Table2[[#This Row],[Description]],$Q$1:$S$101,2,FALSE))</f>
        <v/>
      </c>
      <c r="H4770" s="1" t="str">
        <f>IF(Table2[[#This Row],[Description]]="","",VLOOKUP(Table2[[#This Row],[Description]],$Q$1:$S$101,3,FALSE))</f>
        <v/>
      </c>
      <c r="I4770" s="1" t="str">
        <f>IF(Table2[[#This Row],[Description]]="","",IF(Table2[[#This Row],[Currency]]=$O$2,$P$2,HLOOKUP(Table2[[#This Row],[Date]],Funds!$C$10:$GV$11,2,FALSE)))</f>
        <v/>
      </c>
      <c r="J4770" s="215" t="str">
        <f>IF(Table2[[#This Row],[Description]]="","",Table2[[#This Row],[Value]]/Table2[[#This Row],[Conversion]])</f>
        <v/>
      </c>
      <c r="K4770" s="45" t="str">
        <f>IF(Table2[[#This Row],[Description]]="","",DATE(Table2[[#This Row],[Year]],Table2[[#This Row],[Month]],1))</f>
        <v/>
      </c>
    </row>
    <row r="4771" spans="7:11" x14ac:dyDescent="0.25">
      <c r="G4771" s="1" t="str">
        <f>IF(Table2[[#This Row],[Description]]="","",VLOOKUP(Table2[[#This Row],[Description]],$Q$1:$S$101,2,FALSE))</f>
        <v/>
      </c>
      <c r="H4771" s="1" t="str">
        <f>IF(Table2[[#This Row],[Description]]="","",VLOOKUP(Table2[[#This Row],[Description]],$Q$1:$S$101,3,FALSE))</f>
        <v/>
      </c>
      <c r="I4771" s="1" t="str">
        <f>IF(Table2[[#This Row],[Description]]="","",IF(Table2[[#This Row],[Currency]]=$O$2,$P$2,HLOOKUP(Table2[[#This Row],[Date]],Funds!$C$10:$GV$11,2,FALSE)))</f>
        <v/>
      </c>
      <c r="J4771" s="215" t="str">
        <f>IF(Table2[[#This Row],[Description]]="","",Table2[[#This Row],[Value]]/Table2[[#This Row],[Conversion]])</f>
        <v/>
      </c>
      <c r="K4771" s="45" t="str">
        <f>IF(Table2[[#This Row],[Description]]="","",DATE(Table2[[#This Row],[Year]],Table2[[#This Row],[Month]],1))</f>
        <v/>
      </c>
    </row>
    <row r="4772" spans="7:11" x14ac:dyDescent="0.25">
      <c r="G4772" s="1" t="str">
        <f>IF(Table2[[#This Row],[Description]]="","",VLOOKUP(Table2[[#This Row],[Description]],$Q$1:$S$101,2,FALSE))</f>
        <v/>
      </c>
      <c r="H4772" s="1" t="str">
        <f>IF(Table2[[#This Row],[Description]]="","",VLOOKUP(Table2[[#This Row],[Description]],$Q$1:$S$101,3,FALSE))</f>
        <v/>
      </c>
      <c r="I4772" s="1" t="str">
        <f>IF(Table2[[#This Row],[Description]]="","",IF(Table2[[#This Row],[Currency]]=$O$2,$P$2,HLOOKUP(Table2[[#This Row],[Date]],Funds!$C$10:$GV$11,2,FALSE)))</f>
        <v/>
      </c>
      <c r="J4772" s="215" t="str">
        <f>IF(Table2[[#This Row],[Description]]="","",Table2[[#This Row],[Value]]/Table2[[#This Row],[Conversion]])</f>
        <v/>
      </c>
      <c r="K4772" s="45" t="str">
        <f>IF(Table2[[#This Row],[Description]]="","",DATE(Table2[[#This Row],[Year]],Table2[[#This Row],[Month]],1))</f>
        <v/>
      </c>
    </row>
    <row r="4773" spans="7:11" x14ac:dyDescent="0.25">
      <c r="G4773" s="1" t="str">
        <f>IF(Table2[[#This Row],[Description]]="","",VLOOKUP(Table2[[#This Row],[Description]],$Q$1:$S$101,2,FALSE))</f>
        <v/>
      </c>
      <c r="H4773" s="1" t="str">
        <f>IF(Table2[[#This Row],[Description]]="","",VLOOKUP(Table2[[#This Row],[Description]],$Q$1:$S$101,3,FALSE))</f>
        <v/>
      </c>
      <c r="I4773" s="1" t="str">
        <f>IF(Table2[[#This Row],[Description]]="","",IF(Table2[[#This Row],[Currency]]=$O$2,$P$2,HLOOKUP(Table2[[#This Row],[Date]],Funds!$C$10:$GV$11,2,FALSE)))</f>
        <v/>
      </c>
      <c r="J4773" s="215" t="str">
        <f>IF(Table2[[#This Row],[Description]]="","",Table2[[#This Row],[Value]]/Table2[[#This Row],[Conversion]])</f>
        <v/>
      </c>
      <c r="K4773" s="45" t="str">
        <f>IF(Table2[[#This Row],[Description]]="","",DATE(Table2[[#This Row],[Year]],Table2[[#This Row],[Month]],1))</f>
        <v/>
      </c>
    </row>
    <row r="4774" spans="7:11" x14ac:dyDescent="0.25">
      <c r="G4774" s="1" t="str">
        <f>IF(Table2[[#This Row],[Description]]="","",VLOOKUP(Table2[[#This Row],[Description]],$Q$1:$S$101,2,FALSE))</f>
        <v/>
      </c>
      <c r="H4774" s="1" t="str">
        <f>IF(Table2[[#This Row],[Description]]="","",VLOOKUP(Table2[[#This Row],[Description]],$Q$1:$S$101,3,FALSE))</f>
        <v/>
      </c>
      <c r="I4774" s="1" t="str">
        <f>IF(Table2[[#This Row],[Description]]="","",IF(Table2[[#This Row],[Currency]]=$O$2,$P$2,HLOOKUP(Table2[[#This Row],[Date]],Funds!$C$10:$GV$11,2,FALSE)))</f>
        <v/>
      </c>
      <c r="J4774" s="215" t="str">
        <f>IF(Table2[[#This Row],[Description]]="","",Table2[[#This Row],[Value]]/Table2[[#This Row],[Conversion]])</f>
        <v/>
      </c>
      <c r="K4774" s="45" t="str">
        <f>IF(Table2[[#This Row],[Description]]="","",DATE(Table2[[#This Row],[Year]],Table2[[#This Row],[Month]],1))</f>
        <v/>
      </c>
    </row>
    <row r="4775" spans="7:11" x14ac:dyDescent="0.25">
      <c r="G4775" s="1" t="str">
        <f>IF(Table2[[#This Row],[Description]]="","",VLOOKUP(Table2[[#This Row],[Description]],$Q$1:$S$101,2,FALSE))</f>
        <v/>
      </c>
      <c r="H4775" s="1" t="str">
        <f>IF(Table2[[#This Row],[Description]]="","",VLOOKUP(Table2[[#This Row],[Description]],$Q$1:$S$101,3,FALSE))</f>
        <v/>
      </c>
      <c r="I4775" s="1" t="str">
        <f>IF(Table2[[#This Row],[Description]]="","",IF(Table2[[#This Row],[Currency]]=$O$2,$P$2,HLOOKUP(Table2[[#This Row],[Date]],Funds!$C$10:$GV$11,2,FALSE)))</f>
        <v/>
      </c>
      <c r="J4775" s="215" t="str">
        <f>IF(Table2[[#This Row],[Description]]="","",Table2[[#This Row],[Value]]/Table2[[#This Row],[Conversion]])</f>
        <v/>
      </c>
      <c r="K4775" s="45" t="str">
        <f>IF(Table2[[#This Row],[Description]]="","",DATE(Table2[[#This Row],[Year]],Table2[[#This Row],[Month]],1))</f>
        <v/>
      </c>
    </row>
    <row r="4776" spans="7:11" x14ac:dyDescent="0.25">
      <c r="G4776" s="1" t="str">
        <f>IF(Table2[[#This Row],[Description]]="","",VLOOKUP(Table2[[#This Row],[Description]],$Q$1:$S$101,2,FALSE))</f>
        <v/>
      </c>
      <c r="H4776" s="1" t="str">
        <f>IF(Table2[[#This Row],[Description]]="","",VLOOKUP(Table2[[#This Row],[Description]],$Q$1:$S$101,3,FALSE))</f>
        <v/>
      </c>
      <c r="I4776" s="1" t="str">
        <f>IF(Table2[[#This Row],[Description]]="","",IF(Table2[[#This Row],[Currency]]=$O$2,$P$2,HLOOKUP(Table2[[#This Row],[Date]],Funds!$C$10:$GV$11,2,FALSE)))</f>
        <v/>
      </c>
      <c r="J4776" s="215" t="str">
        <f>IF(Table2[[#This Row],[Description]]="","",Table2[[#This Row],[Value]]/Table2[[#This Row],[Conversion]])</f>
        <v/>
      </c>
      <c r="K4776" s="45" t="str">
        <f>IF(Table2[[#This Row],[Description]]="","",DATE(Table2[[#This Row],[Year]],Table2[[#This Row],[Month]],1))</f>
        <v/>
      </c>
    </row>
    <row r="4777" spans="7:11" x14ac:dyDescent="0.25">
      <c r="G4777" s="1" t="str">
        <f>IF(Table2[[#This Row],[Description]]="","",VLOOKUP(Table2[[#This Row],[Description]],$Q$1:$S$101,2,FALSE))</f>
        <v/>
      </c>
      <c r="H4777" s="1" t="str">
        <f>IF(Table2[[#This Row],[Description]]="","",VLOOKUP(Table2[[#This Row],[Description]],$Q$1:$S$101,3,FALSE))</f>
        <v/>
      </c>
      <c r="I4777" s="1" t="str">
        <f>IF(Table2[[#This Row],[Description]]="","",IF(Table2[[#This Row],[Currency]]=$O$2,$P$2,HLOOKUP(Table2[[#This Row],[Date]],Funds!$C$10:$GV$11,2,FALSE)))</f>
        <v/>
      </c>
      <c r="J4777" s="215" t="str">
        <f>IF(Table2[[#This Row],[Description]]="","",Table2[[#This Row],[Value]]/Table2[[#This Row],[Conversion]])</f>
        <v/>
      </c>
      <c r="K4777" s="45" t="str">
        <f>IF(Table2[[#This Row],[Description]]="","",DATE(Table2[[#This Row],[Year]],Table2[[#This Row],[Month]],1))</f>
        <v/>
      </c>
    </row>
    <row r="4778" spans="7:11" x14ac:dyDescent="0.25">
      <c r="G4778" s="1" t="str">
        <f>IF(Table2[[#This Row],[Description]]="","",VLOOKUP(Table2[[#This Row],[Description]],$Q$1:$S$101,2,FALSE))</f>
        <v/>
      </c>
      <c r="H4778" s="1" t="str">
        <f>IF(Table2[[#This Row],[Description]]="","",VLOOKUP(Table2[[#This Row],[Description]],$Q$1:$S$101,3,FALSE))</f>
        <v/>
      </c>
      <c r="I4778" s="1" t="str">
        <f>IF(Table2[[#This Row],[Description]]="","",IF(Table2[[#This Row],[Currency]]=$O$2,$P$2,HLOOKUP(Table2[[#This Row],[Date]],Funds!$C$10:$GV$11,2,FALSE)))</f>
        <v/>
      </c>
      <c r="J4778" s="215" t="str">
        <f>IF(Table2[[#This Row],[Description]]="","",Table2[[#This Row],[Value]]/Table2[[#This Row],[Conversion]])</f>
        <v/>
      </c>
      <c r="K4778" s="45" t="str">
        <f>IF(Table2[[#This Row],[Description]]="","",DATE(Table2[[#This Row],[Year]],Table2[[#This Row],[Month]],1))</f>
        <v/>
      </c>
    </row>
    <row r="4779" spans="7:11" x14ac:dyDescent="0.25">
      <c r="G4779" s="1" t="str">
        <f>IF(Table2[[#This Row],[Description]]="","",VLOOKUP(Table2[[#This Row],[Description]],$Q$1:$S$101,2,FALSE))</f>
        <v/>
      </c>
      <c r="H4779" s="1" t="str">
        <f>IF(Table2[[#This Row],[Description]]="","",VLOOKUP(Table2[[#This Row],[Description]],$Q$1:$S$101,3,FALSE))</f>
        <v/>
      </c>
      <c r="I4779" s="1" t="str">
        <f>IF(Table2[[#This Row],[Description]]="","",IF(Table2[[#This Row],[Currency]]=$O$2,$P$2,HLOOKUP(Table2[[#This Row],[Date]],Funds!$C$10:$GV$11,2,FALSE)))</f>
        <v/>
      </c>
      <c r="J4779" s="215" t="str">
        <f>IF(Table2[[#This Row],[Description]]="","",Table2[[#This Row],[Value]]/Table2[[#This Row],[Conversion]])</f>
        <v/>
      </c>
      <c r="K4779" s="45" t="str">
        <f>IF(Table2[[#This Row],[Description]]="","",DATE(Table2[[#This Row],[Year]],Table2[[#This Row],[Month]],1))</f>
        <v/>
      </c>
    </row>
    <row r="4780" spans="7:11" x14ac:dyDescent="0.25">
      <c r="G4780" s="1" t="str">
        <f>IF(Table2[[#This Row],[Description]]="","",VLOOKUP(Table2[[#This Row],[Description]],$Q$1:$S$101,2,FALSE))</f>
        <v/>
      </c>
      <c r="H4780" s="1" t="str">
        <f>IF(Table2[[#This Row],[Description]]="","",VLOOKUP(Table2[[#This Row],[Description]],$Q$1:$S$101,3,FALSE))</f>
        <v/>
      </c>
      <c r="I4780" s="1" t="str">
        <f>IF(Table2[[#This Row],[Description]]="","",IF(Table2[[#This Row],[Currency]]=$O$2,$P$2,HLOOKUP(Table2[[#This Row],[Date]],Funds!$C$10:$GV$11,2,FALSE)))</f>
        <v/>
      </c>
      <c r="J4780" s="215" t="str">
        <f>IF(Table2[[#This Row],[Description]]="","",Table2[[#This Row],[Value]]/Table2[[#This Row],[Conversion]])</f>
        <v/>
      </c>
      <c r="K4780" s="45" t="str">
        <f>IF(Table2[[#This Row],[Description]]="","",DATE(Table2[[#This Row],[Year]],Table2[[#This Row],[Month]],1))</f>
        <v/>
      </c>
    </row>
    <row r="4781" spans="7:11" x14ac:dyDescent="0.25">
      <c r="G4781" s="1" t="str">
        <f>IF(Table2[[#This Row],[Description]]="","",VLOOKUP(Table2[[#This Row],[Description]],$Q$1:$S$101,2,FALSE))</f>
        <v/>
      </c>
      <c r="H4781" s="1" t="str">
        <f>IF(Table2[[#This Row],[Description]]="","",VLOOKUP(Table2[[#This Row],[Description]],$Q$1:$S$101,3,FALSE))</f>
        <v/>
      </c>
      <c r="I4781" s="1" t="str">
        <f>IF(Table2[[#This Row],[Description]]="","",IF(Table2[[#This Row],[Currency]]=$O$2,$P$2,HLOOKUP(Table2[[#This Row],[Date]],Funds!$C$10:$GV$11,2,FALSE)))</f>
        <v/>
      </c>
      <c r="J4781" s="215" t="str">
        <f>IF(Table2[[#This Row],[Description]]="","",Table2[[#This Row],[Value]]/Table2[[#This Row],[Conversion]])</f>
        <v/>
      </c>
      <c r="K4781" s="45" t="str">
        <f>IF(Table2[[#This Row],[Description]]="","",DATE(Table2[[#This Row],[Year]],Table2[[#This Row],[Month]],1))</f>
        <v/>
      </c>
    </row>
    <row r="4782" spans="7:11" x14ac:dyDescent="0.25">
      <c r="G4782" s="1" t="str">
        <f>IF(Table2[[#This Row],[Description]]="","",VLOOKUP(Table2[[#This Row],[Description]],$Q$1:$S$101,2,FALSE))</f>
        <v/>
      </c>
      <c r="H4782" s="1" t="str">
        <f>IF(Table2[[#This Row],[Description]]="","",VLOOKUP(Table2[[#This Row],[Description]],$Q$1:$S$101,3,FALSE))</f>
        <v/>
      </c>
      <c r="I4782" s="1" t="str">
        <f>IF(Table2[[#This Row],[Description]]="","",IF(Table2[[#This Row],[Currency]]=$O$2,$P$2,HLOOKUP(Table2[[#This Row],[Date]],Funds!$C$10:$GV$11,2,FALSE)))</f>
        <v/>
      </c>
      <c r="J4782" s="215" t="str">
        <f>IF(Table2[[#This Row],[Description]]="","",Table2[[#This Row],[Value]]/Table2[[#This Row],[Conversion]])</f>
        <v/>
      </c>
      <c r="K4782" s="45" t="str">
        <f>IF(Table2[[#This Row],[Description]]="","",DATE(Table2[[#This Row],[Year]],Table2[[#This Row],[Month]],1))</f>
        <v/>
      </c>
    </row>
    <row r="4783" spans="7:11" x14ac:dyDescent="0.25">
      <c r="G4783" s="1" t="str">
        <f>IF(Table2[[#This Row],[Description]]="","",VLOOKUP(Table2[[#This Row],[Description]],$Q$1:$S$101,2,FALSE))</f>
        <v/>
      </c>
      <c r="H4783" s="1" t="str">
        <f>IF(Table2[[#This Row],[Description]]="","",VLOOKUP(Table2[[#This Row],[Description]],$Q$1:$S$101,3,FALSE))</f>
        <v/>
      </c>
      <c r="I4783" s="1" t="str">
        <f>IF(Table2[[#This Row],[Description]]="","",IF(Table2[[#This Row],[Currency]]=$O$2,$P$2,HLOOKUP(Table2[[#This Row],[Date]],Funds!$C$10:$GV$11,2,FALSE)))</f>
        <v/>
      </c>
      <c r="J4783" s="215" t="str">
        <f>IF(Table2[[#This Row],[Description]]="","",Table2[[#This Row],[Value]]/Table2[[#This Row],[Conversion]])</f>
        <v/>
      </c>
      <c r="K4783" s="45" t="str">
        <f>IF(Table2[[#This Row],[Description]]="","",DATE(Table2[[#This Row],[Year]],Table2[[#This Row],[Month]],1))</f>
        <v/>
      </c>
    </row>
    <row r="4784" spans="7:11" x14ac:dyDescent="0.25">
      <c r="G4784" s="1" t="str">
        <f>IF(Table2[[#This Row],[Description]]="","",VLOOKUP(Table2[[#This Row],[Description]],$Q$1:$S$101,2,FALSE))</f>
        <v/>
      </c>
      <c r="H4784" s="1" t="str">
        <f>IF(Table2[[#This Row],[Description]]="","",VLOOKUP(Table2[[#This Row],[Description]],$Q$1:$S$101,3,FALSE))</f>
        <v/>
      </c>
      <c r="I4784" s="1" t="str">
        <f>IF(Table2[[#This Row],[Description]]="","",IF(Table2[[#This Row],[Currency]]=$O$2,$P$2,HLOOKUP(Table2[[#This Row],[Date]],Funds!$C$10:$GV$11,2,FALSE)))</f>
        <v/>
      </c>
      <c r="J4784" s="215" t="str">
        <f>IF(Table2[[#This Row],[Description]]="","",Table2[[#This Row],[Value]]/Table2[[#This Row],[Conversion]])</f>
        <v/>
      </c>
      <c r="K4784" s="45" t="str">
        <f>IF(Table2[[#This Row],[Description]]="","",DATE(Table2[[#This Row],[Year]],Table2[[#This Row],[Month]],1))</f>
        <v/>
      </c>
    </row>
    <row r="4785" spans="7:11" x14ac:dyDescent="0.25">
      <c r="G4785" s="1" t="str">
        <f>IF(Table2[[#This Row],[Description]]="","",VLOOKUP(Table2[[#This Row],[Description]],$Q$1:$S$101,2,FALSE))</f>
        <v/>
      </c>
      <c r="H4785" s="1" t="str">
        <f>IF(Table2[[#This Row],[Description]]="","",VLOOKUP(Table2[[#This Row],[Description]],$Q$1:$S$101,3,FALSE))</f>
        <v/>
      </c>
      <c r="I4785" s="1" t="str">
        <f>IF(Table2[[#This Row],[Description]]="","",IF(Table2[[#This Row],[Currency]]=$O$2,$P$2,HLOOKUP(Table2[[#This Row],[Date]],Funds!$C$10:$GV$11,2,FALSE)))</f>
        <v/>
      </c>
      <c r="J4785" s="215" t="str">
        <f>IF(Table2[[#This Row],[Description]]="","",Table2[[#This Row],[Value]]/Table2[[#This Row],[Conversion]])</f>
        <v/>
      </c>
      <c r="K4785" s="45" t="str">
        <f>IF(Table2[[#This Row],[Description]]="","",DATE(Table2[[#This Row],[Year]],Table2[[#This Row],[Month]],1))</f>
        <v/>
      </c>
    </row>
    <row r="4786" spans="7:11" x14ac:dyDescent="0.25">
      <c r="G4786" s="1" t="str">
        <f>IF(Table2[[#This Row],[Description]]="","",VLOOKUP(Table2[[#This Row],[Description]],$Q$1:$S$101,2,FALSE))</f>
        <v/>
      </c>
      <c r="H4786" s="1" t="str">
        <f>IF(Table2[[#This Row],[Description]]="","",VLOOKUP(Table2[[#This Row],[Description]],$Q$1:$S$101,3,FALSE))</f>
        <v/>
      </c>
      <c r="I4786" s="1" t="str">
        <f>IF(Table2[[#This Row],[Description]]="","",IF(Table2[[#This Row],[Currency]]=$O$2,$P$2,HLOOKUP(Table2[[#This Row],[Date]],Funds!$C$10:$GV$11,2,FALSE)))</f>
        <v/>
      </c>
      <c r="J4786" s="215" t="str">
        <f>IF(Table2[[#This Row],[Description]]="","",Table2[[#This Row],[Value]]/Table2[[#This Row],[Conversion]])</f>
        <v/>
      </c>
      <c r="K4786" s="45" t="str">
        <f>IF(Table2[[#This Row],[Description]]="","",DATE(Table2[[#This Row],[Year]],Table2[[#This Row],[Month]],1))</f>
        <v/>
      </c>
    </row>
    <row r="4787" spans="7:11" x14ac:dyDescent="0.25">
      <c r="G4787" s="1" t="str">
        <f>IF(Table2[[#This Row],[Description]]="","",VLOOKUP(Table2[[#This Row],[Description]],$Q$1:$S$101,2,FALSE))</f>
        <v/>
      </c>
      <c r="H4787" s="1" t="str">
        <f>IF(Table2[[#This Row],[Description]]="","",VLOOKUP(Table2[[#This Row],[Description]],$Q$1:$S$101,3,FALSE))</f>
        <v/>
      </c>
      <c r="I4787" s="1" t="str">
        <f>IF(Table2[[#This Row],[Description]]="","",IF(Table2[[#This Row],[Currency]]=$O$2,$P$2,HLOOKUP(Table2[[#This Row],[Date]],Funds!$C$10:$GV$11,2,FALSE)))</f>
        <v/>
      </c>
      <c r="J4787" s="215" t="str">
        <f>IF(Table2[[#This Row],[Description]]="","",Table2[[#This Row],[Value]]/Table2[[#This Row],[Conversion]])</f>
        <v/>
      </c>
      <c r="K4787" s="45" t="str">
        <f>IF(Table2[[#This Row],[Description]]="","",DATE(Table2[[#This Row],[Year]],Table2[[#This Row],[Month]],1))</f>
        <v/>
      </c>
    </row>
    <row r="4788" spans="7:11" x14ac:dyDescent="0.25">
      <c r="G4788" s="1" t="str">
        <f>IF(Table2[[#This Row],[Description]]="","",VLOOKUP(Table2[[#This Row],[Description]],$Q$1:$S$101,2,FALSE))</f>
        <v/>
      </c>
      <c r="H4788" s="1" t="str">
        <f>IF(Table2[[#This Row],[Description]]="","",VLOOKUP(Table2[[#This Row],[Description]],$Q$1:$S$101,3,FALSE))</f>
        <v/>
      </c>
      <c r="I4788" s="1" t="str">
        <f>IF(Table2[[#This Row],[Description]]="","",IF(Table2[[#This Row],[Currency]]=$O$2,$P$2,HLOOKUP(Table2[[#This Row],[Date]],Funds!$C$10:$GV$11,2,FALSE)))</f>
        <v/>
      </c>
      <c r="J4788" s="215" t="str">
        <f>IF(Table2[[#This Row],[Description]]="","",Table2[[#This Row],[Value]]/Table2[[#This Row],[Conversion]])</f>
        <v/>
      </c>
      <c r="K4788" s="45" t="str">
        <f>IF(Table2[[#This Row],[Description]]="","",DATE(Table2[[#This Row],[Year]],Table2[[#This Row],[Month]],1))</f>
        <v/>
      </c>
    </row>
    <row r="4789" spans="7:11" x14ac:dyDescent="0.25">
      <c r="G4789" s="1" t="str">
        <f>IF(Table2[[#This Row],[Description]]="","",VLOOKUP(Table2[[#This Row],[Description]],$Q$1:$S$101,2,FALSE))</f>
        <v/>
      </c>
      <c r="H4789" s="1" t="str">
        <f>IF(Table2[[#This Row],[Description]]="","",VLOOKUP(Table2[[#This Row],[Description]],$Q$1:$S$101,3,FALSE))</f>
        <v/>
      </c>
      <c r="I4789" s="1" t="str">
        <f>IF(Table2[[#This Row],[Description]]="","",IF(Table2[[#This Row],[Currency]]=$O$2,$P$2,HLOOKUP(Table2[[#This Row],[Date]],Funds!$C$10:$GV$11,2,FALSE)))</f>
        <v/>
      </c>
      <c r="J4789" s="215" t="str">
        <f>IF(Table2[[#This Row],[Description]]="","",Table2[[#This Row],[Value]]/Table2[[#This Row],[Conversion]])</f>
        <v/>
      </c>
      <c r="K4789" s="45" t="str">
        <f>IF(Table2[[#This Row],[Description]]="","",DATE(Table2[[#This Row],[Year]],Table2[[#This Row],[Month]],1))</f>
        <v/>
      </c>
    </row>
    <row r="4790" spans="7:11" x14ac:dyDescent="0.25">
      <c r="G4790" s="1" t="str">
        <f>IF(Table2[[#This Row],[Description]]="","",VLOOKUP(Table2[[#This Row],[Description]],$Q$1:$S$101,2,FALSE))</f>
        <v/>
      </c>
      <c r="H4790" s="1" t="str">
        <f>IF(Table2[[#This Row],[Description]]="","",VLOOKUP(Table2[[#This Row],[Description]],$Q$1:$S$101,3,FALSE))</f>
        <v/>
      </c>
      <c r="I4790" s="1" t="str">
        <f>IF(Table2[[#This Row],[Description]]="","",IF(Table2[[#This Row],[Currency]]=$O$2,$P$2,HLOOKUP(Table2[[#This Row],[Date]],Funds!$C$10:$GV$11,2,FALSE)))</f>
        <v/>
      </c>
      <c r="J4790" s="215" t="str">
        <f>IF(Table2[[#This Row],[Description]]="","",Table2[[#This Row],[Value]]/Table2[[#This Row],[Conversion]])</f>
        <v/>
      </c>
      <c r="K4790" s="45" t="str">
        <f>IF(Table2[[#This Row],[Description]]="","",DATE(Table2[[#This Row],[Year]],Table2[[#This Row],[Month]],1))</f>
        <v/>
      </c>
    </row>
    <row r="4791" spans="7:11" x14ac:dyDescent="0.25">
      <c r="G4791" s="1" t="str">
        <f>IF(Table2[[#This Row],[Description]]="","",VLOOKUP(Table2[[#This Row],[Description]],$Q$1:$S$101,2,FALSE))</f>
        <v/>
      </c>
      <c r="H4791" s="1" t="str">
        <f>IF(Table2[[#This Row],[Description]]="","",VLOOKUP(Table2[[#This Row],[Description]],$Q$1:$S$101,3,FALSE))</f>
        <v/>
      </c>
      <c r="I4791" s="1" t="str">
        <f>IF(Table2[[#This Row],[Description]]="","",IF(Table2[[#This Row],[Currency]]=$O$2,$P$2,HLOOKUP(Table2[[#This Row],[Date]],Funds!$C$10:$GV$11,2,FALSE)))</f>
        <v/>
      </c>
      <c r="J4791" s="215" t="str">
        <f>IF(Table2[[#This Row],[Description]]="","",Table2[[#This Row],[Value]]/Table2[[#This Row],[Conversion]])</f>
        <v/>
      </c>
      <c r="K4791" s="45" t="str">
        <f>IF(Table2[[#This Row],[Description]]="","",DATE(Table2[[#This Row],[Year]],Table2[[#This Row],[Month]],1))</f>
        <v/>
      </c>
    </row>
    <row r="4792" spans="7:11" x14ac:dyDescent="0.25">
      <c r="G4792" s="1" t="str">
        <f>IF(Table2[[#This Row],[Description]]="","",VLOOKUP(Table2[[#This Row],[Description]],$Q$1:$S$101,2,FALSE))</f>
        <v/>
      </c>
      <c r="H4792" s="1" t="str">
        <f>IF(Table2[[#This Row],[Description]]="","",VLOOKUP(Table2[[#This Row],[Description]],$Q$1:$S$101,3,FALSE))</f>
        <v/>
      </c>
      <c r="I4792" s="1" t="str">
        <f>IF(Table2[[#This Row],[Description]]="","",IF(Table2[[#This Row],[Currency]]=$O$2,$P$2,HLOOKUP(Table2[[#This Row],[Date]],Funds!$C$10:$GV$11,2,FALSE)))</f>
        <v/>
      </c>
      <c r="J4792" s="215" t="str">
        <f>IF(Table2[[#This Row],[Description]]="","",Table2[[#This Row],[Value]]/Table2[[#This Row],[Conversion]])</f>
        <v/>
      </c>
      <c r="K4792" s="45" t="str">
        <f>IF(Table2[[#This Row],[Description]]="","",DATE(Table2[[#This Row],[Year]],Table2[[#This Row],[Month]],1))</f>
        <v/>
      </c>
    </row>
    <row r="4793" spans="7:11" x14ac:dyDescent="0.25">
      <c r="G4793" s="1" t="str">
        <f>IF(Table2[[#This Row],[Description]]="","",VLOOKUP(Table2[[#This Row],[Description]],$Q$1:$S$101,2,FALSE))</f>
        <v/>
      </c>
      <c r="H4793" s="1" t="str">
        <f>IF(Table2[[#This Row],[Description]]="","",VLOOKUP(Table2[[#This Row],[Description]],$Q$1:$S$101,3,FALSE))</f>
        <v/>
      </c>
      <c r="I4793" s="1" t="str">
        <f>IF(Table2[[#This Row],[Description]]="","",IF(Table2[[#This Row],[Currency]]=$O$2,$P$2,HLOOKUP(Table2[[#This Row],[Date]],Funds!$C$10:$GV$11,2,FALSE)))</f>
        <v/>
      </c>
      <c r="J4793" s="215" t="str">
        <f>IF(Table2[[#This Row],[Description]]="","",Table2[[#This Row],[Value]]/Table2[[#This Row],[Conversion]])</f>
        <v/>
      </c>
      <c r="K4793" s="45" t="str">
        <f>IF(Table2[[#This Row],[Description]]="","",DATE(Table2[[#This Row],[Year]],Table2[[#This Row],[Month]],1))</f>
        <v/>
      </c>
    </row>
    <row r="4794" spans="7:11" x14ac:dyDescent="0.25">
      <c r="G4794" s="1" t="str">
        <f>IF(Table2[[#This Row],[Description]]="","",VLOOKUP(Table2[[#This Row],[Description]],$Q$1:$S$101,2,FALSE))</f>
        <v/>
      </c>
      <c r="H4794" s="1" t="str">
        <f>IF(Table2[[#This Row],[Description]]="","",VLOOKUP(Table2[[#This Row],[Description]],$Q$1:$S$101,3,FALSE))</f>
        <v/>
      </c>
      <c r="I4794" s="1" t="str">
        <f>IF(Table2[[#This Row],[Description]]="","",IF(Table2[[#This Row],[Currency]]=$O$2,$P$2,HLOOKUP(Table2[[#This Row],[Date]],Funds!$C$10:$GV$11,2,FALSE)))</f>
        <v/>
      </c>
      <c r="J4794" s="215" t="str">
        <f>IF(Table2[[#This Row],[Description]]="","",Table2[[#This Row],[Value]]/Table2[[#This Row],[Conversion]])</f>
        <v/>
      </c>
      <c r="K4794" s="45" t="str">
        <f>IF(Table2[[#This Row],[Description]]="","",DATE(Table2[[#This Row],[Year]],Table2[[#This Row],[Month]],1))</f>
        <v/>
      </c>
    </row>
    <row r="4795" spans="7:11" x14ac:dyDescent="0.25">
      <c r="G4795" s="1" t="str">
        <f>IF(Table2[[#This Row],[Description]]="","",VLOOKUP(Table2[[#This Row],[Description]],$Q$1:$S$101,2,FALSE))</f>
        <v/>
      </c>
      <c r="H4795" s="1" t="str">
        <f>IF(Table2[[#This Row],[Description]]="","",VLOOKUP(Table2[[#This Row],[Description]],$Q$1:$S$101,3,FALSE))</f>
        <v/>
      </c>
      <c r="I4795" s="1" t="str">
        <f>IF(Table2[[#This Row],[Description]]="","",IF(Table2[[#This Row],[Currency]]=$O$2,$P$2,HLOOKUP(Table2[[#This Row],[Date]],Funds!$C$10:$GV$11,2,FALSE)))</f>
        <v/>
      </c>
      <c r="J4795" s="215" t="str">
        <f>IF(Table2[[#This Row],[Description]]="","",Table2[[#This Row],[Value]]/Table2[[#This Row],[Conversion]])</f>
        <v/>
      </c>
      <c r="K4795" s="45" t="str">
        <f>IF(Table2[[#This Row],[Description]]="","",DATE(Table2[[#This Row],[Year]],Table2[[#This Row],[Month]],1))</f>
        <v/>
      </c>
    </row>
    <row r="4796" spans="7:11" x14ac:dyDescent="0.25">
      <c r="G4796" s="1" t="str">
        <f>IF(Table2[[#This Row],[Description]]="","",VLOOKUP(Table2[[#This Row],[Description]],$Q$1:$S$101,2,FALSE))</f>
        <v/>
      </c>
      <c r="H4796" s="1" t="str">
        <f>IF(Table2[[#This Row],[Description]]="","",VLOOKUP(Table2[[#This Row],[Description]],$Q$1:$S$101,3,FALSE))</f>
        <v/>
      </c>
      <c r="I4796" s="1" t="str">
        <f>IF(Table2[[#This Row],[Description]]="","",IF(Table2[[#This Row],[Currency]]=$O$2,$P$2,HLOOKUP(Table2[[#This Row],[Date]],Funds!$C$10:$GV$11,2,FALSE)))</f>
        <v/>
      </c>
      <c r="J4796" s="215" t="str">
        <f>IF(Table2[[#This Row],[Description]]="","",Table2[[#This Row],[Value]]/Table2[[#This Row],[Conversion]])</f>
        <v/>
      </c>
      <c r="K4796" s="45" t="str">
        <f>IF(Table2[[#This Row],[Description]]="","",DATE(Table2[[#This Row],[Year]],Table2[[#This Row],[Month]],1))</f>
        <v/>
      </c>
    </row>
    <row r="4797" spans="7:11" x14ac:dyDescent="0.25">
      <c r="G4797" s="1" t="str">
        <f>IF(Table2[[#This Row],[Description]]="","",VLOOKUP(Table2[[#This Row],[Description]],$Q$1:$S$101,2,FALSE))</f>
        <v/>
      </c>
      <c r="H4797" s="1" t="str">
        <f>IF(Table2[[#This Row],[Description]]="","",VLOOKUP(Table2[[#This Row],[Description]],$Q$1:$S$101,3,FALSE))</f>
        <v/>
      </c>
      <c r="I4797" s="1" t="str">
        <f>IF(Table2[[#This Row],[Description]]="","",IF(Table2[[#This Row],[Currency]]=$O$2,$P$2,HLOOKUP(Table2[[#This Row],[Date]],Funds!$C$10:$GV$11,2,FALSE)))</f>
        <v/>
      </c>
      <c r="J4797" s="215" t="str">
        <f>IF(Table2[[#This Row],[Description]]="","",Table2[[#This Row],[Value]]/Table2[[#This Row],[Conversion]])</f>
        <v/>
      </c>
      <c r="K4797" s="45" t="str">
        <f>IF(Table2[[#This Row],[Description]]="","",DATE(Table2[[#This Row],[Year]],Table2[[#This Row],[Month]],1))</f>
        <v/>
      </c>
    </row>
    <row r="4798" spans="7:11" x14ac:dyDescent="0.25">
      <c r="G4798" s="1" t="str">
        <f>IF(Table2[[#This Row],[Description]]="","",VLOOKUP(Table2[[#This Row],[Description]],$Q$1:$S$101,2,FALSE))</f>
        <v/>
      </c>
      <c r="H4798" s="1" t="str">
        <f>IF(Table2[[#This Row],[Description]]="","",VLOOKUP(Table2[[#This Row],[Description]],$Q$1:$S$101,3,FALSE))</f>
        <v/>
      </c>
      <c r="I4798" s="1" t="str">
        <f>IF(Table2[[#This Row],[Description]]="","",IF(Table2[[#This Row],[Currency]]=$O$2,$P$2,HLOOKUP(Table2[[#This Row],[Date]],Funds!$C$10:$GV$11,2,FALSE)))</f>
        <v/>
      </c>
      <c r="J4798" s="215" t="str">
        <f>IF(Table2[[#This Row],[Description]]="","",Table2[[#This Row],[Value]]/Table2[[#This Row],[Conversion]])</f>
        <v/>
      </c>
      <c r="K4798" s="45" t="str">
        <f>IF(Table2[[#This Row],[Description]]="","",DATE(Table2[[#This Row],[Year]],Table2[[#This Row],[Month]],1))</f>
        <v/>
      </c>
    </row>
    <row r="4799" spans="7:11" x14ac:dyDescent="0.25">
      <c r="G4799" s="1" t="str">
        <f>IF(Table2[[#This Row],[Description]]="","",VLOOKUP(Table2[[#This Row],[Description]],$Q$1:$S$101,2,FALSE))</f>
        <v/>
      </c>
      <c r="H4799" s="1" t="str">
        <f>IF(Table2[[#This Row],[Description]]="","",VLOOKUP(Table2[[#This Row],[Description]],$Q$1:$S$101,3,FALSE))</f>
        <v/>
      </c>
      <c r="I4799" s="1" t="str">
        <f>IF(Table2[[#This Row],[Description]]="","",IF(Table2[[#This Row],[Currency]]=$O$2,$P$2,HLOOKUP(Table2[[#This Row],[Date]],Funds!$C$10:$GV$11,2,FALSE)))</f>
        <v/>
      </c>
      <c r="J4799" s="215" t="str">
        <f>IF(Table2[[#This Row],[Description]]="","",Table2[[#This Row],[Value]]/Table2[[#This Row],[Conversion]])</f>
        <v/>
      </c>
      <c r="K4799" s="45" t="str">
        <f>IF(Table2[[#This Row],[Description]]="","",DATE(Table2[[#This Row],[Year]],Table2[[#This Row],[Month]],1))</f>
        <v/>
      </c>
    </row>
    <row r="4800" spans="7:11" x14ac:dyDescent="0.25">
      <c r="G4800" s="1" t="str">
        <f>IF(Table2[[#This Row],[Description]]="","",VLOOKUP(Table2[[#This Row],[Description]],$Q$1:$S$101,2,FALSE))</f>
        <v/>
      </c>
      <c r="H4800" s="1" t="str">
        <f>IF(Table2[[#This Row],[Description]]="","",VLOOKUP(Table2[[#This Row],[Description]],$Q$1:$S$101,3,FALSE))</f>
        <v/>
      </c>
      <c r="I4800" s="1" t="str">
        <f>IF(Table2[[#This Row],[Description]]="","",IF(Table2[[#This Row],[Currency]]=$O$2,$P$2,HLOOKUP(Table2[[#This Row],[Date]],Funds!$C$10:$GV$11,2,FALSE)))</f>
        <v/>
      </c>
      <c r="J4800" s="215" t="str">
        <f>IF(Table2[[#This Row],[Description]]="","",Table2[[#This Row],[Value]]/Table2[[#This Row],[Conversion]])</f>
        <v/>
      </c>
      <c r="K4800" s="45" t="str">
        <f>IF(Table2[[#This Row],[Description]]="","",DATE(Table2[[#This Row],[Year]],Table2[[#This Row],[Month]],1))</f>
        <v/>
      </c>
    </row>
    <row r="4801" spans="7:11" x14ac:dyDescent="0.25">
      <c r="G4801" s="1" t="str">
        <f>IF(Table2[[#This Row],[Description]]="","",VLOOKUP(Table2[[#This Row],[Description]],$Q$1:$S$101,2,FALSE))</f>
        <v/>
      </c>
      <c r="H4801" s="1" t="str">
        <f>IF(Table2[[#This Row],[Description]]="","",VLOOKUP(Table2[[#This Row],[Description]],$Q$1:$S$101,3,FALSE))</f>
        <v/>
      </c>
      <c r="I4801" s="1" t="str">
        <f>IF(Table2[[#This Row],[Description]]="","",IF(Table2[[#This Row],[Currency]]=$O$2,$P$2,HLOOKUP(Table2[[#This Row],[Date]],Funds!$C$10:$GV$11,2,FALSE)))</f>
        <v/>
      </c>
      <c r="J4801" s="215" t="str">
        <f>IF(Table2[[#This Row],[Description]]="","",Table2[[#This Row],[Value]]/Table2[[#This Row],[Conversion]])</f>
        <v/>
      </c>
      <c r="K4801" s="45" t="str">
        <f>IF(Table2[[#This Row],[Description]]="","",DATE(Table2[[#This Row],[Year]],Table2[[#This Row],[Month]],1))</f>
        <v/>
      </c>
    </row>
    <row r="4802" spans="7:11" x14ac:dyDescent="0.25">
      <c r="G4802" s="1" t="str">
        <f>IF(Table2[[#This Row],[Description]]="","",VLOOKUP(Table2[[#This Row],[Description]],$Q$1:$S$101,2,FALSE))</f>
        <v/>
      </c>
      <c r="H4802" s="1" t="str">
        <f>IF(Table2[[#This Row],[Description]]="","",VLOOKUP(Table2[[#This Row],[Description]],$Q$1:$S$101,3,FALSE))</f>
        <v/>
      </c>
      <c r="I4802" s="1" t="str">
        <f>IF(Table2[[#This Row],[Description]]="","",IF(Table2[[#This Row],[Currency]]=$O$2,$P$2,HLOOKUP(Table2[[#This Row],[Date]],Funds!$C$10:$GV$11,2,FALSE)))</f>
        <v/>
      </c>
      <c r="J4802" s="215" t="str">
        <f>IF(Table2[[#This Row],[Description]]="","",Table2[[#This Row],[Value]]/Table2[[#This Row],[Conversion]])</f>
        <v/>
      </c>
      <c r="K4802" s="45" t="str">
        <f>IF(Table2[[#This Row],[Description]]="","",DATE(Table2[[#This Row],[Year]],Table2[[#This Row],[Month]],1))</f>
        <v/>
      </c>
    </row>
    <row r="4803" spans="7:11" x14ac:dyDescent="0.25">
      <c r="G4803" s="1" t="str">
        <f>IF(Table2[[#This Row],[Description]]="","",VLOOKUP(Table2[[#This Row],[Description]],$Q$1:$S$101,2,FALSE))</f>
        <v/>
      </c>
      <c r="H4803" s="1" t="str">
        <f>IF(Table2[[#This Row],[Description]]="","",VLOOKUP(Table2[[#This Row],[Description]],$Q$1:$S$101,3,FALSE))</f>
        <v/>
      </c>
      <c r="I4803" s="1" t="str">
        <f>IF(Table2[[#This Row],[Description]]="","",IF(Table2[[#This Row],[Currency]]=$O$2,$P$2,HLOOKUP(Table2[[#This Row],[Date]],Funds!$C$10:$GV$11,2,FALSE)))</f>
        <v/>
      </c>
      <c r="J4803" s="215" t="str">
        <f>IF(Table2[[#This Row],[Description]]="","",Table2[[#This Row],[Value]]/Table2[[#This Row],[Conversion]])</f>
        <v/>
      </c>
      <c r="K4803" s="45" t="str">
        <f>IF(Table2[[#This Row],[Description]]="","",DATE(Table2[[#This Row],[Year]],Table2[[#This Row],[Month]],1))</f>
        <v/>
      </c>
    </row>
    <row r="4804" spans="7:11" x14ac:dyDescent="0.25">
      <c r="G4804" s="1" t="str">
        <f>IF(Table2[[#This Row],[Description]]="","",VLOOKUP(Table2[[#This Row],[Description]],$Q$1:$S$101,2,FALSE))</f>
        <v/>
      </c>
      <c r="H4804" s="1" t="str">
        <f>IF(Table2[[#This Row],[Description]]="","",VLOOKUP(Table2[[#This Row],[Description]],$Q$1:$S$101,3,FALSE))</f>
        <v/>
      </c>
      <c r="I4804" s="1" t="str">
        <f>IF(Table2[[#This Row],[Description]]="","",IF(Table2[[#This Row],[Currency]]=$O$2,$P$2,HLOOKUP(Table2[[#This Row],[Date]],Funds!$C$10:$GV$11,2,FALSE)))</f>
        <v/>
      </c>
      <c r="J4804" s="215" t="str">
        <f>IF(Table2[[#This Row],[Description]]="","",Table2[[#This Row],[Value]]/Table2[[#This Row],[Conversion]])</f>
        <v/>
      </c>
      <c r="K4804" s="45" t="str">
        <f>IF(Table2[[#This Row],[Description]]="","",DATE(Table2[[#This Row],[Year]],Table2[[#This Row],[Month]],1))</f>
        <v/>
      </c>
    </row>
    <row r="4805" spans="7:11" x14ac:dyDescent="0.25">
      <c r="G4805" s="1" t="str">
        <f>IF(Table2[[#This Row],[Description]]="","",VLOOKUP(Table2[[#This Row],[Description]],$Q$1:$S$101,2,FALSE))</f>
        <v/>
      </c>
      <c r="H4805" s="1" t="str">
        <f>IF(Table2[[#This Row],[Description]]="","",VLOOKUP(Table2[[#This Row],[Description]],$Q$1:$S$101,3,FALSE))</f>
        <v/>
      </c>
      <c r="I4805" s="1" t="str">
        <f>IF(Table2[[#This Row],[Description]]="","",IF(Table2[[#This Row],[Currency]]=$O$2,$P$2,HLOOKUP(Table2[[#This Row],[Date]],Funds!$C$10:$GV$11,2,FALSE)))</f>
        <v/>
      </c>
      <c r="J4805" s="215" t="str">
        <f>IF(Table2[[#This Row],[Description]]="","",Table2[[#This Row],[Value]]/Table2[[#This Row],[Conversion]])</f>
        <v/>
      </c>
      <c r="K4805" s="45" t="str">
        <f>IF(Table2[[#This Row],[Description]]="","",DATE(Table2[[#This Row],[Year]],Table2[[#This Row],[Month]],1))</f>
        <v/>
      </c>
    </row>
    <row r="4806" spans="7:11" x14ac:dyDescent="0.25">
      <c r="G4806" s="1" t="str">
        <f>IF(Table2[[#This Row],[Description]]="","",VLOOKUP(Table2[[#This Row],[Description]],$Q$1:$S$101,2,FALSE))</f>
        <v/>
      </c>
      <c r="H4806" s="1" t="str">
        <f>IF(Table2[[#This Row],[Description]]="","",VLOOKUP(Table2[[#This Row],[Description]],$Q$1:$S$101,3,FALSE))</f>
        <v/>
      </c>
      <c r="I4806" s="1" t="str">
        <f>IF(Table2[[#This Row],[Description]]="","",IF(Table2[[#This Row],[Currency]]=$O$2,$P$2,HLOOKUP(Table2[[#This Row],[Date]],Funds!$C$10:$GV$11,2,FALSE)))</f>
        <v/>
      </c>
      <c r="J4806" s="215" t="str">
        <f>IF(Table2[[#This Row],[Description]]="","",Table2[[#This Row],[Value]]/Table2[[#This Row],[Conversion]])</f>
        <v/>
      </c>
      <c r="K4806" s="45" t="str">
        <f>IF(Table2[[#This Row],[Description]]="","",DATE(Table2[[#This Row],[Year]],Table2[[#This Row],[Month]],1))</f>
        <v/>
      </c>
    </row>
    <row r="4807" spans="7:11" x14ac:dyDescent="0.25">
      <c r="G4807" s="1" t="str">
        <f>IF(Table2[[#This Row],[Description]]="","",VLOOKUP(Table2[[#This Row],[Description]],$Q$1:$S$101,2,FALSE))</f>
        <v/>
      </c>
      <c r="H4807" s="1" t="str">
        <f>IF(Table2[[#This Row],[Description]]="","",VLOOKUP(Table2[[#This Row],[Description]],$Q$1:$S$101,3,FALSE))</f>
        <v/>
      </c>
      <c r="I4807" s="1" t="str">
        <f>IF(Table2[[#This Row],[Description]]="","",IF(Table2[[#This Row],[Currency]]=$O$2,$P$2,HLOOKUP(Table2[[#This Row],[Date]],Funds!$C$10:$GV$11,2,FALSE)))</f>
        <v/>
      </c>
      <c r="J4807" s="215" t="str">
        <f>IF(Table2[[#This Row],[Description]]="","",Table2[[#This Row],[Value]]/Table2[[#This Row],[Conversion]])</f>
        <v/>
      </c>
      <c r="K4807" s="45" t="str">
        <f>IF(Table2[[#This Row],[Description]]="","",DATE(Table2[[#This Row],[Year]],Table2[[#This Row],[Month]],1))</f>
        <v/>
      </c>
    </row>
    <row r="4808" spans="7:11" x14ac:dyDescent="0.25">
      <c r="G4808" s="1" t="str">
        <f>IF(Table2[[#This Row],[Description]]="","",VLOOKUP(Table2[[#This Row],[Description]],$Q$1:$S$101,2,FALSE))</f>
        <v/>
      </c>
      <c r="H4808" s="1" t="str">
        <f>IF(Table2[[#This Row],[Description]]="","",VLOOKUP(Table2[[#This Row],[Description]],$Q$1:$S$101,3,FALSE))</f>
        <v/>
      </c>
      <c r="I4808" s="1" t="str">
        <f>IF(Table2[[#This Row],[Description]]="","",IF(Table2[[#This Row],[Currency]]=$O$2,$P$2,HLOOKUP(Table2[[#This Row],[Date]],Funds!$C$10:$GV$11,2,FALSE)))</f>
        <v/>
      </c>
      <c r="J4808" s="215" t="str">
        <f>IF(Table2[[#This Row],[Description]]="","",Table2[[#This Row],[Value]]/Table2[[#This Row],[Conversion]])</f>
        <v/>
      </c>
      <c r="K4808" s="45" t="str">
        <f>IF(Table2[[#This Row],[Description]]="","",DATE(Table2[[#This Row],[Year]],Table2[[#This Row],[Month]],1))</f>
        <v/>
      </c>
    </row>
    <row r="4809" spans="7:11" x14ac:dyDescent="0.25">
      <c r="G4809" s="1" t="str">
        <f>IF(Table2[[#This Row],[Description]]="","",VLOOKUP(Table2[[#This Row],[Description]],$Q$1:$S$101,2,FALSE))</f>
        <v/>
      </c>
      <c r="H4809" s="1" t="str">
        <f>IF(Table2[[#This Row],[Description]]="","",VLOOKUP(Table2[[#This Row],[Description]],$Q$1:$S$101,3,FALSE))</f>
        <v/>
      </c>
      <c r="I4809" s="1" t="str">
        <f>IF(Table2[[#This Row],[Description]]="","",IF(Table2[[#This Row],[Currency]]=$O$2,$P$2,HLOOKUP(Table2[[#This Row],[Date]],Funds!$C$10:$GV$11,2,FALSE)))</f>
        <v/>
      </c>
      <c r="J4809" s="215" t="str">
        <f>IF(Table2[[#This Row],[Description]]="","",Table2[[#This Row],[Value]]/Table2[[#This Row],[Conversion]])</f>
        <v/>
      </c>
      <c r="K4809" s="45" t="str">
        <f>IF(Table2[[#This Row],[Description]]="","",DATE(Table2[[#This Row],[Year]],Table2[[#This Row],[Month]],1))</f>
        <v/>
      </c>
    </row>
    <row r="4810" spans="7:11" x14ac:dyDescent="0.25">
      <c r="G4810" s="1" t="str">
        <f>IF(Table2[[#This Row],[Description]]="","",VLOOKUP(Table2[[#This Row],[Description]],$Q$1:$S$101,2,FALSE))</f>
        <v/>
      </c>
      <c r="H4810" s="1" t="str">
        <f>IF(Table2[[#This Row],[Description]]="","",VLOOKUP(Table2[[#This Row],[Description]],$Q$1:$S$101,3,FALSE))</f>
        <v/>
      </c>
      <c r="I4810" s="1" t="str">
        <f>IF(Table2[[#This Row],[Description]]="","",IF(Table2[[#This Row],[Currency]]=$O$2,$P$2,HLOOKUP(Table2[[#This Row],[Date]],Funds!$C$10:$GV$11,2,FALSE)))</f>
        <v/>
      </c>
      <c r="J4810" s="215" t="str">
        <f>IF(Table2[[#This Row],[Description]]="","",Table2[[#This Row],[Value]]/Table2[[#This Row],[Conversion]])</f>
        <v/>
      </c>
      <c r="K4810" s="45" t="str">
        <f>IF(Table2[[#This Row],[Description]]="","",DATE(Table2[[#This Row],[Year]],Table2[[#This Row],[Month]],1))</f>
        <v/>
      </c>
    </row>
    <row r="4811" spans="7:11" x14ac:dyDescent="0.25">
      <c r="G4811" s="1" t="str">
        <f>IF(Table2[[#This Row],[Description]]="","",VLOOKUP(Table2[[#This Row],[Description]],$Q$1:$S$101,2,FALSE))</f>
        <v/>
      </c>
      <c r="H4811" s="1" t="str">
        <f>IF(Table2[[#This Row],[Description]]="","",VLOOKUP(Table2[[#This Row],[Description]],$Q$1:$S$101,3,FALSE))</f>
        <v/>
      </c>
      <c r="I4811" s="1" t="str">
        <f>IF(Table2[[#This Row],[Description]]="","",IF(Table2[[#This Row],[Currency]]=$O$2,$P$2,HLOOKUP(Table2[[#This Row],[Date]],Funds!$C$10:$GV$11,2,FALSE)))</f>
        <v/>
      </c>
      <c r="J4811" s="215" t="str">
        <f>IF(Table2[[#This Row],[Description]]="","",Table2[[#This Row],[Value]]/Table2[[#This Row],[Conversion]])</f>
        <v/>
      </c>
      <c r="K4811" s="45" t="str">
        <f>IF(Table2[[#This Row],[Description]]="","",DATE(Table2[[#This Row],[Year]],Table2[[#This Row],[Month]],1))</f>
        <v/>
      </c>
    </row>
    <row r="4812" spans="7:11" x14ac:dyDescent="0.25">
      <c r="G4812" s="1" t="str">
        <f>IF(Table2[[#This Row],[Description]]="","",VLOOKUP(Table2[[#This Row],[Description]],$Q$1:$S$101,2,FALSE))</f>
        <v/>
      </c>
      <c r="H4812" s="1" t="str">
        <f>IF(Table2[[#This Row],[Description]]="","",VLOOKUP(Table2[[#This Row],[Description]],$Q$1:$S$101,3,FALSE))</f>
        <v/>
      </c>
      <c r="I4812" s="1" t="str">
        <f>IF(Table2[[#This Row],[Description]]="","",IF(Table2[[#This Row],[Currency]]=$O$2,$P$2,HLOOKUP(Table2[[#This Row],[Date]],Funds!$C$10:$GV$11,2,FALSE)))</f>
        <v/>
      </c>
      <c r="J4812" s="215" t="str">
        <f>IF(Table2[[#This Row],[Description]]="","",Table2[[#This Row],[Value]]/Table2[[#This Row],[Conversion]])</f>
        <v/>
      </c>
      <c r="K4812" s="45" t="str">
        <f>IF(Table2[[#This Row],[Description]]="","",DATE(Table2[[#This Row],[Year]],Table2[[#This Row],[Month]],1))</f>
        <v/>
      </c>
    </row>
    <row r="4813" spans="7:11" x14ac:dyDescent="0.25">
      <c r="G4813" s="1" t="str">
        <f>IF(Table2[[#This Row],[Description]]="","",VLOOKUP(Table2[[#This Row],[Description]],$Q$1:$S$101,2,FALSE))</f>
        <v/>
      </c>
      <c r="H4813" s="1" t="str">
        <f>IF(Table2[[#This Row],[Description]]="","",VLOOKUP(Table2[[#This Row],[Description]],$Q$1:$S$101,3,FALSE))</f>
        <v/>
      </c>
      <c r="I4813" s="1" t="str">
        <f>IF(Table2[[#This Row],[Description]]="","",IF(Table2[[#This Row],[Currency]]=$O$2,$P$2,HLOOKUP(Table2[[#This Row],[Date]],Funds!$C$10:$GV$11,2,FALSE)))</f>
        <v/>
      </c>
      <c r="J4813" s="215" t="str">
        <f>IF(Table2[[#This Row],[Description]]="","",Table2[[#This Row],[Value]]/Table2[[#This Row],[Conversion]])</f>
        <v/>
      </c>
      <c r="K4813" s="45" t="str">
        <f>IF(Table2[[#This Row],[Description]]="","",DATE(Table2[[#This Row],[Year]],Table2[[#This Row],[Month]],1))</f>
        <v/>
      </c>
    </row>
    <row r="4814" spans="7:11" x14ac:dyDescent="0.25">
      <c r="G4814" s="1" t="str">
        <f>IF(Table2[[#This Row],[Description]]="","",VLOOKUP(Table2[[#This Row],[Description]],$Q$1:$S$101,2,FALSE))</f>
        <v/>
      </c>
      <c r="H4814" s="1" t="str">
        <f>IF(Table2[[#This Row],[Description]]="","",VLOOKUP(Table2[[#This Row],[Description]],$Q$1:$S$101,3,FALSE))</f>
        <v/>
      </c>
      <c r="I4814" s="1" t="str">
        <f>IF(Table2[[#This Row],[Description]]="","",IF(Table2[[#This Row],[Currency]]=$O$2,$P$2,HLOOKUP(Table2[[#This Row],[Date]],Funds!$C$10:$GV$11,2,FALSE)))</f>
        <v/>
      </c>
      <c r="J4814" s="215" t="str">
        <f>IF(Table2[[#This Row],[Description]]="","",Table2[[#This Row],[Value]]/Table2[[#This Row],[Conversion]])</f>
        <v/>
      </c>
      <c r="K4814" s="45" t="str">
        <f>IF(Table2[[#This Row],[Description]]="","",DATE(Table2[[#This Row],[Year]],Table2[[#This Row],[Month]],1))</f>
        <v/>
      </c>
    </row>
    <row r="4815" spans="7:11" x14ac:dyDescent="0.25">
      <c r="G4815" s="1" t="str">
        <f>IF(Table2[[#This Row],[Description]]="","",VLOOKUP(Table2[[#This Row],[Description]],$Q$1:$S$101,2,FALSE))</f>
        <v/>
      </c>
      <c r="H4815" s="1" t="str">
        <f>IF(Table2[[#This Row],[Description]]="","",VLOOKUP(Table2[[#This Row],[Description]],$Q$1:$S$101,3,FALSE))</f>
        <v/>
      </c>
      <c r="I4815" s="1" t="str">
        <f>IF(Table2[[#This Row],[Description]]="","",IF(Table2[[#This Row],[Currency]]=$O$2,$P$2,HLOOKUP(Table2[[#This Row],[Date]],Funds!$C$10:$GV$11,2,FALSE)))</f>
        <v/>
      </c>
      <c r="J4815" s="215" t="str">
        <f>IF(Table2[[#This Row],[Description]]="","",Table2[[#This Row],[Value]]/Table2[[#This Row],[Conversion]])</f>
        <v/>
      </c>
      <c r="K4815" s="45" t="str">
        <f>IF(Table2[[#This Row],[Description]]="","",DATE(Table2[[#This Row],[Year]],Table2[[#This Row],[Month]],1))</f>
        <v/>
      </c>
    </row>
    <row r="4816" spans="7:11" x14ac:dyDescent="0.25">
      <c r="G4816" s="1" t="str">
        <f>IF(Table2[[#This Row],[Description]]="","",VLOOKUP(Table2[[#This Row],[Description]],$Q$1:$S$101,2,FALSE))</f>
        <v/>
      </c>
      <c r="H4816" s="1" t="str">
        <f>IF(Table2[[#This Row],[Description]]="","",VLOOKUP(Table2[[#This Row],[Description]],$Q$1:$S$101,3,FALSE))</f>
        <v/>
      </c>
      <c r="I4816" s="1" t="str">
        <f>IF(Table2[[#This Row],[Description]]="","",IF(Table2[[#This Row],[Currency]]=$O$2,$P$2,HLOOKUP(Table2[[#This Row],[Date]],Funds!$C$10:$GV$11,2,FALSE)))</f>
        <v/>
      </c>
      <c r="J4816" s="215" t="str">
        <f>IF(Table2[[#This Row],[Description]]="","",Table2[[#This Row],[Value]]/Table2[[#This Row],[Conversion]])</f>
        <v/>
      </c>
      <c r="K4816" s="45" t="str">
        <f>IF(Table2[[#This Row],[Description]]="","",DATE(Table2[[#This Row],[Year]],Table2[[#This Row],[Month]],1))</f>
        <v/>
      </c>
    </row>
    <row r="4817" spans="7:11" x14ac:dyDescent="0.25">
      <c r="G4817" s="1" t="str">
        <f>IF(Table2[[#This Row],[Description]]="","",VLOOKUP(Table2[[#This Row],[Description]],$Q$1:$S$101,2,FALSE))</f>
        <v/>
      </c>
      <c r="H4817" s="1" t="str">
        <f>IF(Table2[[#This Row],[Description]]="","",VLOOKUP(Table2[[#This Row],[Description]],$Q$1:$S$101,3,FALSE))</f>
        <v/>
      </c>
      <c r="I4817" s="1" t="str">
        <f>IF(Table2[[#This Row],[Description]]="","",IF(Table2[[#This Row],[Currency]]=$O$2,$P$2,HLOOKUP(Table2[[#This Row],[Date]],Funds!$C$10:$GV$11,2,FALSE)))</f>
        <v/>
      </c>
      <c r="J4817" s="215" t="str">
        <f>IF(Table2[[#This Row],[Description]]="","",Table2[[#This Row],[Value]]/Table2[[#This Row],[Conversion]])</f>
        <v/>
      </c>
      <c r="K4817" s="45" t="str">
        <f>IF(Table2[[#This Row],[Description]]="","",DATE(Table2[[#This Row],[Year]],Table2[[#This Row],[Month]],1))</f>
        <v/>
      </c>
    </row>
    <row r="4818" spans="7:11" x14ac:dyDescent="0.25">
      <c r="G4818" s="1" t="str">
        <f>IF(Table2[[#This Row],[Description]]="","",VLOOKUP(Table2[[#This Row],[Description]],$Q$1:$S$101,2,FALSE))</f>
        <v/>
      </c>
      <c r="H4818" s="1" t="str">
        <f>IF(Table2[[#This Row],[Description]]="","",VLOOKUP(Table2[[#This Row],[Description]],$Q$1:$S$101,3,FALSE))</f>
        <v/>
      </c>
      <c r="I4818" s="1" t="str">
        <f>IF(Table2[[#This Row],[Description]]="","",IF(Table2[[#This Row],[Currency]]=$O$2,$P$2,HLOOKUP(Table2[[#This Row],[Date]],Funds!$C$10:$GV$11,2,FALSE)))</f>
        <v/>
      </c>
      <c r="J4818" s="215" t="str">
        <f>IF(Table2[[#This Row],[Description]]="","",Table2[[#This Row],[Value]]/Table2[[#This Row],[Conversion]])</f>
        <v/>
      </c>
      <c r="K4818" s="45" t="str">
        <f>IF(Table2[[#This Row],[Description]]="","",DATE(Table2[[#This Row],[Year]],Table2[[#This Row],[Month]],1))</f>
        <v/>
      </c>
    </row>
    <row r="4819" spans="7:11" x14ac:dyDescent="0.25">
      <c r="G4819" s="1" t="str">
        <f>IF(Table2[[#This Row],[Description]]="","",VLOOKUP(Table2[[#This Row],[Description]],$Q$1:$S$101,2,FALSE))</f>
        <v/>
      </c>
      <c r="H4819" s="1" t="str">
        <f>IF(Table2[[#This Row],[Description]]="","",VLOOKUP(Table2[[#This Row],[Description]],$Q$1:$S$101,3,FALSE))</f>
        <v/>
      </c>
      <c r="I4819" s="1" t="str">
        <f>IF(Table2[[#This Row],[Description]]="","",IF(Table2[[#This Row],[Currency]]=$O$2,$P$2,HLOOKUP(Table2[[#This Row],[Date]],Funds!$C$10:$GV$11,2,FALSE)))</f>
        <v/>
      </c>
      <c r="J4819" s="215" t="str">
        <f>IF(Table2[[#This Row],[Description]]="","",Table2[[#This Row],[Value]]/Table2[[#This Row],[Conversion]])</f>
        <v/>
      </c>
      <c r="K4819" s="45" t="str">
        <f>IF(Table2[[#This Row],[Description]]="","",DATE(Table2[[#This Row],[Year]],Table2[[#This Row],[Month]],1))</f>
        <v/>
      </c>
    </row>
    <row r="4820" spans="7:11" x14ac:dyDescent="0.25">
      <c r="G4820" s="1" t="str">
        <f>IF(Table2[[#This Row],[Description]]="","",VLOOKUP(Table2[[#This Row],[Description]],$Q$1:$S$101,2,FALSE))</f>
        <v/>
      </c>
      <c r="H4820" s="1" t="str">
        <f>IF(Table2[[#This Row],[Description]]="","",VLOOKUP(Table2[[#This Row],[Description]],$Q$1:$S$101,3,FALSE))</f>
        <v/>
      </c>
      <c r="I4820" s="1" t="str">
        <f>IF(Table2[[#This Row],[Description]]="","",IF(Table2[[#This Row],[Currency]]=$O$2,$P$2,HLOOKUP(Table2[[#This Row],[Date]],Funds!$C$10:$GV$11,2,FALSE)))</f>
        <v/>
      </c>
      <c r="J4820" s="215" t="str">
        <f>IF(Table2[[#This Row],[Description]]="","",Table2[[#This Row],[Value]]/Table2[[#This Row],[Conversion]])</f>
        <v/>
      </c>
      <c r="K4820" s="45" t="str">
        <f>IF(Table2[[#This Row],[Description]]="","",DATE(Table2[[#This Row],[Year]],Table2[[#This Row],[Month]],1))</f>
        <v/>
      </c>
    </row>
    <row r="4821" spans="7:11" x14ac:dyDescent="0.25">
      <c r="G4821" s="1" t="str">
        <f>IF(Table2[[#This Row],[Description]]="","",VLOOKUP(Table2[[#This Row],[Description]],$Q$1:$S$101,2,FALSE))</f>
        <v/>
      </c>
      <c r="H4821" s="1" t="str">
        <f>IF(Table2[[#This Row],[Description]]="","",VLOOKUP(Table2[[#This Row],[Description]],$Q$1:$S$101,3,FALSE))</f>
        <v/>
      </c>
      <c r="I4821" s="1" t="str">
        <f>IF(Table2[[#This Row],[Description]]="","",IF(Table2[[#This Row],[Currency]]=$O$2,$P$2,HLOOKUP(Table2[[#This Row],[Date]],Funds!$C$10:$GV$11,2,FALSE)))</f>
        <v/>
      </c>
      <c r="J4821" s="215" t="str">
        <f>IF(Table2[[#This Row],[Description]]="","",Table2[[#This Row],[Value]]/Table2[[#This Row],[Conversion]])</f>
        <v/>
      </c>
      <c r="K4821" s="45" t="str">
        <f>IF(Table2[[#This Row],[Description]]="","",DATE(Table2[[#This Row],[Year]],Table2[[#This Row],[Month]],1))</f>
        <v/>
      </c>
    </row>
    <row r="4822" spans="7:11" x14ac:dyDescent="0.25">
      <c r="G4822" s="1" t="str">
        <f>IF(Table2[[#This Row],[Description]]="","",VLOOKUP(Table2[[#This Row],[Description]],$Q$1:$S$101,2,FALSE))</f>
        <v/>
      </c>
      <c r="H4822" s="1" t="str">
        <f>IF(Table2[[#This Row],[Description]]="","",VLOOKUP(Table2[[#This Row],[Description]],$Q$1:$S$101,3,FALSE))</f>
        <v/>
      </c>
      <c r="I4822" s="1" t="str">
        <f>IF(Table2[[#This Row],[Description]]="","",IF(Table2[[#This Row],[Currency]]=$O$2,$P$2,HLOOKUP(Table2[[#This Row],[Date]],Funds!$C$10:$GV$11,2,FALSE)))</f>
        <v/>
      </c>
      <c r="J4822" s="215" t="str">
        <f>IF(Table2[[#This Row],[Description]]="","",Table2[[#This Row],[Value]]/Table2[[#This Row],[Conversion]])</f>
        <v/>
      </c>
      <c r="K4822" s="45" t="str">
        <f>IF(Table2[[#This Row],[Description]]="","",DATE(Table2[[#This Row],[Year]],Table2[[#This Row],[Month]],1))</f>
        <v/>
      </c>
    </row>
    <row r="4823" spans="7:11" x14ac:dyDescent="0.25">
      <c r="G4823" s="1" t="str">
        <f>IF(Table2[[#This Row],[Description]]="","",VLOOKUP(Table2[[#This Row],[Description]],$Q$1:$S$101,2,FALSE))</f>
        <v/>
      </c>
      <c r="H4823" s="1" t="str">
        <f>IF(Table2[[#This Row],[Description]]="","",VLOOKUP(Table2[[#This Row],[Description]],$Q$1:$S$101,3,FALSE))</f>
        <v/>
      </c>
      <c r="I4823" s="1" t="str">
        <f>IF(Table2[[#This Row],[Description]]="","",IF(Table2[[#This Row],[Currency]]=$O$2,$P$2,HLOOKUP(Table2[[#This Row],[Date]],Funds!$C$10:$GV$11,2,FALSE)))</f>
        <v/>
      </c>
      <c r="J4823" s="215" t="str">
        <f>IF(Table2[[#This Row],[Description]]="","",Table2[[#This Row],[Value]]/Table2[[#This Row],[Conversion]])</f>
        <v/>
      </c>
      <c r="K4823" s="45" t="str">
        <f>IF(Table2[[#This Row],[Description]]="","",DATE(Table2[[#This Row],[Year]],Table2[[#This Row],[Month]],1))</f>
        <v/>
      </c>
    </row>
    <row r="4824" spans="7:11" x14ac:dyDescent="0.25">
      <c r="G4824" s="1" t="str">
        <f>IF(Table2[[#This Row],[Description]]="","",VLOOKUP(Table2[[#This Row],[Description]],$Q$1:$S$101,2,FALSE))</f>
        <v/>
      </c>
      <c r="H4824" s="1" t="str">
        <f>IF(Table2[[#This Row],[Description]]="","",VLOOKUP(Table2[[#This Row],[Description]],$Q$1:$S$101,3,FALSE))</f>
        <v/>
      </c>
      <c r="I4824" s="1" t="str">
        <f>IF(Table2[[#This Row],[Description]]="","",IF(Table2[[#This Row],[Currency]]=$O$2,$P$2,HLOOKUP(Table2[[#This Row],[Date]],Funds!$C$10:$GV$11,2,FALSE)))</f>
        <v/>
      </c>
      <c r="J4824" s="215" t="str">
        <f>IF(Table2[[#This Row],[Description]]="","",Table2[[#This Row],[Value]]/Table2[[#This Row],[Conversion]])</f>
        <v/>
      </c>
      <c r="K4824" s="45" t="str">
        <f>IF(Table2[[#This Row],[Description]]="","",DATE(Table2[[#This Row],[Year]],Table2[[#This Row],[Month]],1))</f>
        <v/>
      </c>
    </row>
    <row r="4825" spans="7:11" x14ac:dyDescent="0.25">
      <c r="G4825" s="1" t="str">
        <f>IF(Table2[[#This Row],[Description]]="","",VLOOKUP(Table2[[#This Row],[Description]],$Q$1:$S$101,2,FALSE))</f>
        <v/>
      </c>
      <c r="H4825" s="1" t="str">
        <f>IF(Table2[[#This Row],[Description]]="","",VLOOKUP(Table2[[#This Row],[Description]],$Q$1:$S$101,3,FALSE))</f>
        <v/>
      </c>
      <c r="I4825" s="1" t="str">
        <f>IF(Table2[[#This Row],[Description]]="","",IF(Table2[[#This Row],[Currency]]=$O$2,$P$2,HLOOKUP(Table2[[#This Row],[Date]],Funds!$C$10:$GV$11,2,FALSE)))</f>
        <v/>
      </c>
      <c r="J4825" s="215" t="str">
        <f>IF(Table2[[#This Row],[Description]]="","",Table2[[#This Row],[Value]]/Table2[[#This Row],[Conversion]])</f>
        <v/>
      </c>
      <c r="K4825" s="45" t="str">
        <f>IF(Table2[[#This Row],[Description]]="","",DATE(Table2[[#This Row],[Year]],Table2[[#This Row],[Month]],1))</f>
        <v/>
      </c>
    </row>
    <row r="4826" spans="7:11" x14ac:dyDescent="0.25">
      <c r="G4826" s="1" t="str">
        <f>IF(Table2[[#This Row],[Description]]="","",VLOOKUP(Table2[[#This Row],[Description]],$Q$1:$S$101,2,FALSE))</f>
        <v/>
      </c>
      <c r="H4826" s="1" t="str">
        <f>IF(Table2[[#This Row],[Description]]="","",VLOOKUP(Table2[[#This Row],[Description]],$Q$1:$S$101,3,FALSE))</f>
        <v/>
      </c>
      <c r="I4826" s="1" t="str">
        <f>IF(Table2[[#This Row],[Description]]="","",IF(Table2[[#This Row],[Currency]]=$O$2,$P$2,HLOOKUP(Table2[[#This Row],[Date]],Funds!$C$10:$GV$11,2,FALSE)))</f>
        <v/>
      </c>
      <c r="J4826" s="215" t="str">
        <f>IF(Table2[[#This Row],[Description]]="","",Table2[[#This Row],[Value]]/Table2[[#This Row],[Conversion]])</f>
        <v/>
      </c>
      <c r="K4826" s="45" t="str">
        <f>IF(Table2[[#This Row],[Description]]="","",DATE(Table2[[#This Row],[Year]],Table2[[#This Row],[Month]],1))</f>
        <v/>
      </c>
    </row>
    <row r="4827" spans="7:11" x14ac:dyDescent="0.25">
      <c r="G4827" s="1" t="str">
        <f>IF(Table2[[#This Row],[Description]]="","",VLOOKUP(Table2[[#This Row],[Description]],$Q$1:$S$101,2,FALSE))</f>
        <v/>
      </c>
      <c r="H4827" s="1" t="str">
        <f>IF(Table2[[#This Row],[Description]]="","",VLOOKUP(Table2[[#This Row],[Description]],$Q$1:$S$101,3,FALSE))</f>
        <v/>
      </c>
      <c r="I4827" s="1" t="str">
        <f>IF(Table2[[#This Row],[Description]]="","",IF(Table2[[#This Row],[Currency]]=$O$2,$P$2,HLOOKUP(Table2[[#This Row],[Date]],Funds!$C$10:$GV$11,2,FALSE)))</f>
        <v/>
      </c>
      <c r="J4827" s="215" t="str">
        <f>IF(Table2[[#This Row],[Description]]="","",Table2[[#This Row],[Value]]/Table2[[#This Row],[Conversion]])</f>
        <v/>
      </c>
      <c r="K4827" s="45" t="str">
        <f>IF(Table2[[#This Row],[Description]]="","",DATE(Table2[[#This Row],[Year]],Table2[[#This Row],[Month]],1))</f>
        <v/>
      </c>
    </row>
    <row r="4828" spans="7:11" x14ac:dyDescent="0.25">
      <c r="G4828" s="1" t="str">
        <f>IF(Table2[[#This Row],[Description]]="","",VLOOKUP(Table2[[#This Row],[Description]],$Q$1:$S$101,2,FALSE))</f>
        <v/>
      </c>
      <c r="H4828" s="1" t="str">
        <f>IF(Table2[[#This Row],[Description]]="","",VLOOKUP(Table2[[#This Row],[Description]],$Q$1:$S$101,3,FALSE))</f>
        <v/>
      </c>
      <c r="I4828" s="1" t="str">
        <f>IF(Table2[[#This Row],[Description]]="","",IF(Table2[[#This Row],[Currency]]=$O$2,$P$2,HLOOKUP(Table2[[#This Row],[Date]],Funds!$C$10:$GV$11,2,FALSE)))</f>
        <v/>
      </c>
      <c r="J4828" s="215" t="str">
        <f>IF(Table2[[#This Row],[Description]]="","",Table2[[#This Row],[Value]]/Table2[[#This Row],[Conversion]])</f>
        <v/>
      </c>
      <c r="K4828" s="45" t="str">
        <f>IF(Table2[[#This Row],[Description]]="","",DATE(Table2[[#This Row],[Year]],Table2[[#This Row],[Month]],1))</f>
        <v/>
      </c>
    </row>
    <row r="4829" spans="7:11" x14ac:dyDescent="0.25">
      <c r="G4829" s="1" t="str">
        <f>IF(Table2[[#This Row],[Description]]="","",VLOOKUP(Table2[[#This Row],[Description]],$Q$1:$S$101,2,FALSE))</f>
        <v/>
      </c>
      <c r="H4829" s="1" t="str">
        <f>IF(Table2[[#This Row],[Description]]="","",VLOOKUP(Table2[[#This Row],[Description]],$Q$1:$S$101,3,FALSE))</f>
        <v/>
      </c>
      <c r="I4829" s="1" t="str">
        <f>IF(Table2[[#This Row],[Description]]="","",IF(Table2[[#This Row],[Currency]]=$O$2,$P$2,HLOOKUP(Table2[[#This Row],[Date]],Funds!$C$10:$GV$11,2,FALSE)))</f>
        <v/>
      </c>
      <c r="J4829" s="215" t="str">
        <f>IF(Table2[[#This Row],[Description]]="","",Table2[[#This Row],[Value]]/Table2[[#This Row],[Conversion]])</f>
        <v/>
      </c>
      <c r="K4829" s="45" t="str">
        <f>IF(Table2[[#This Row],[Description]]="","",DATE(Table2[[#This Row],[Year]],Table2[[#This Row],[Month]],1))</f>
        <v/>
      </c>
    </row>
    <row r="4830" spans="7:11" x14ac:dyDescent="0.25">
      <c r="G4830" s="1" t="str">
        <f>IF(Table2[[#This Row],[Description]]="","",VLOOKUP(Table2[[#This Row],[Description]],$Q$1:$S$101,2,FALSE))</f>
        <v/>
      </c>
      <c r="H4830" s="1" t="str">
        <f>IF(Table2[[#This Row],[Description]]="","",VLOOKUP(Table2[[#This Row],[Description]],$Q$1:$S$101,3,FALSE))</f>
        <v/>
      </c>
      <c r="I4830" s="1" t="str">
        <f>IF(Table2[[#This Row],[Description]]="","",IF(Table2[[#This Row],[Currency]]=$O$2,$P$2,HLOOKUP(Table2[[#This Row],[Date]],Funds!$C$10:$GV$11,2,FALSE)))</f>
        <v/>
      </c>
      <c r="J4830" s="215" t="str">
        <f>IF(Table2[[#This Row],[Description]]="","",Table2[[#This Row],[Value]]/Table2[[#This Row],[Conversion]])</f>
        <v/>
      </c>
      <c r="K4830" s="45" t="str">
        <f>IF(Table2[[#This Row],[Description]]="","",DATE(Table2[[#This Row],[Year]],Table2[[#This Row],[Month]],1))</f>
        <v/>
      </c>
    </row>
    <row r="4831" spans="7:11" x14ac:dyDescent="0.25">
      <c r="G4831" s="1" t="str">
        <f>IF(Table2[[#This Row],[Description]]="","",VLOOKUP(Table2[[#This Row],[Description]],$Q$1:$S$101,2,FALSE))</f>
        <v/>
      </c>
      <c r="H4831" s="1" t="str">
        <f>IF(Table2[[#This Row],[Description]]="","",VLOOKUP(Table2[[#This Row],[Description]],$Q$1:$S$101,3,FALSE))</f>
        <v/>
      </c>
      <c r="I4831" s="1" t="str">
        <f>IF(Table2[[#This Row],[Description]]="","",IF(Table2[[#This Row],[Currency]]=$O$2,$P$2,HLOOKUP(Table2[[#This Row],[Date]],Funds!$C$10:$GV$11,2,FALSE)))</f>
        <v/>
      </c>
      <c r="J4831" s="215" t="str">
        <f>IF(Table2[[#This Row],[Description]]="","",Table2[[#This Row],[Value]]/Table2[[#This Row],[Conversion]])</f>
        <v/>
      </c>
      <c r="K4831" s="45" t="str">
        <f>IF(Table2[[#This Row],[Description]]="","",DATE(Table2[[#This Row],[Year]],Table2[[#This Row],[Month]],1))</f>
        <v/>
      </c>
    </row>
    <row r="4832" spans="7:11" x14ac:dyDescent="0.25">
      <c r="G4832" s="1" t="str">
        <f>IF(Table2[[#This Row],[Description]]="","",VLOOKUP(Table2[[#This Row],[Description]],$Q$1:$S$101,2,FALSE))</f>
        <v/>
      </c>
      <c r="H4832" s="1" t="str">
        <f>IF(Table2[[#This Row],[Description]]="","",VLOOKUP(Table2[[#This Row],[Description]],$Q$1:$S$101,3,FALSE))</f>
        <v/>
      </c>
      <c r="I4832" s="1" t="str">
        <f>IF(Table2[[#This Row],[Description]]="","",IF(Table2[[#This Row],[Currency]]=$O$2,$P$2,HLOOKUP(Table2[[#This Row],[Date]],Funds!$C$10:$GV$11,2,FALSE)))</f>
        <v/>
      </c>
      <c r="J4832" s="215" t="str">
        <f>IF(Table2[[#This Row],[Description]]="","",Table2[[#This Row],[Value]]/Table2[[#This Row],[Conversion]])</f>
        <v/>
      </c>
      <c r="K4832" s="45" t="str">
        <f>IF(Table2[[#This Row],[Description]]="","",DATE(Table2[[#This Row],[Year]],Table2[[#This Row],[Month]],1))</f>
        <v/>
      </c>
    </row>
    <row r="4833" spans="7:11" x14ac:dyDescent="0.25">
      <c r="G4833" s="1" t="str">
        <f>IF(Table2[[#This Row],[Description]]="","",VLOOKUP(Table2[[#This Row],[Description]],$Q$1:$S$101,2,FALSE))</f>
        <v/>
      </c>
      <c r="H4833" s="1" t="str">
        <f>IF(Table2[[#This Row],[Description]]="","",VLOOKUP(Table2[[#This Row],[Description]],$Q$1:$S$101,3,FALSE))</f>
        <v/>
      </c>
      <c r="I4833" s="1" t="str">
        <f>IF(Table2[[#This Row],[Description]]="","",IF(Table2[[#This Row],[Currency]]=$O$2,$P$2,HLOOKUP(Table2[[#This Row],[Date]],Funds!$C$10:$GV$11,2,FALSE)))</f>
        <v/>
      </c>
      <c r="J4833" s="215" t="str">
        <f>IF(Table2[[#This Row],[Description]]="","",Table2[[#This Row],[Value]]/Table2[[#This Row],[Conversion]])</f>
        <v/>
      </c>
      <c r="K4833" s="45" t="str">
        <f>IF(Table2[[#This Row],[Description]]="","",DATE(Table2[[#This Row],[Year]],Table2[[#This Row],[Month]],1))</f>
        <v/>
      </c>
    </row>
    <row r="4834" spans="7:11" x14ac:dyDescent="0.25">
      <c r="G4834" s="1" t="str">
        <f>IF(Table2[[#This Row],[Description]]="","",VLOOKUP(Table2[[#This Row],[Description]],$Q$1:$S$101,2,FALSE))</f>
        <v/>
      </c>
      <c r="H4834" s="1" t="str">
        <f>IF(Table2[[#This Row],[Description]]="","",VLOOKUP(Table2[[#This Row],[Description]],$Q$1:$S$101,3,FALSE))</f>
        <v/>
      </c>
      <c r="I4834" s="1" t="str">
        <f>IF(Table2[[#This Row],[Description]]="","",IF(Table2[[#This Row],[Currency]]=$O$2,$P$2,HLOOKUP(Table2[[#This Row],[Date]],Funds!$C$10:$GV$11,2,FALSE)))</f>
        <v/>
      </c>
      <c r="J4834" s="215" t="str">
        <f>IF(Table2[[#This Row],[Description]]="","",Table2[[#This Row],[Value]]/Table2[[#This Row],[Conversion]])</f>
        <v/>
      </c>
      <c r="K4834" s="45" t="str">
        <f>IF(Table2[[#This Row],[Description]]="","",DATE(Table2[[#This Row],[Year]],Table2[[#This Row],[Month]],1))</f>
        <v/>
      </c>
    </row>
    <row r="4835" spans="7:11" x14ac:dyDescent="0.25">
      <c r="G4835" s="1" t="str">
        <f>IF(Table2[[#This Row],[Description]]="","",VLOOKUP(Table2[[#This Row],[Description]],$Q$1:$S$101,2,FALSE))</f>
        <v/>
      </c>
      <c r="H4835" s="1" t="str">
        <f>IF(Table2[[#This Row],[Description]]="","",VLOOKUP(Table2[[#This Row],[Description]],$Q$1:$S$101,3,FALSE))</f>
        <v/>
      </c>
      <c r="I4835" s="1" t="str">
        <f>IF(Table2[[#This Row],[Description]]="","",IF(Table2[[#This Row],[Currency]]=$O$2,$P$2,HLOOKUP(Table2[[#This Row],[Date]],Funds!$C$10:$GV$11,2,FALSE)))</f>
        <v/>
      </c>
      <c r="J4835" s="215" t="str">
        <f>IF(Table2[[#This Row],[Description]]="","",Table2[[#This Row],[Value]]/Table2[[#This Row],[Conversion]])</f>
        <v/>
      </c>
      <c r="K4835" s="45" t="str">
        <f>IF(Table2[[#This Row],[Description]]="","",DATE(Table2[[#This Row],[Year]],Table2[[#This Row],[Month]],1))</f>
        <v/>
      </c>
    </row>
    <row r="4836" spans="7:11" x14ac:dyDescent="0.25">
      <c r="G4836" s="1" t="str">
        <f>IF(Table2[[#This Row],[Description]]="","",VLOOKUP(Table2[[#This Row],[Description]],$Q$1:$S$101,2,FALSE))</f>
        <v/>
      </c>
      <c r="H4836" s="1" t="str">
        <f>IF(Table2[[#This Row],[Description]]="","",VLOOKUP(Table2[[#This Row],[Description]],$Q$1:$S$101,3,FALSE))</f>
        <v/>
      </c>
      <c r="I4836" s="1" t="str">
        <f>IF(Table2[[#This Row],[Description]]="","",IF(Table2[[#This Row],[Currency]]=$O$2,$P$2,HLOOKUP(Table2[[#This Row],[Date]],Funds!$C$10:$GV$11,2,FALSE)))</f>
        <v/>
      </c>
      <c r="J4836" s="215" t="str">
        <f>IF(Table2[[#This Row],[Description]]="","",Table2[[#This Row],[Value]]/Table2[[#This Row],[Conversion]])</f>
        <v/>
      </c>
      <c r="K4836" s="45" t="str">
        <f>IF(Table2[[#This Row],[Description]]="","",DATE(Table2[[#This Row],[Year]],Table2[[#This Row],[Month]],1))</f>
        <v/>
      </c>
    </row>
    <row r="4837" spans="7:11" x14ac:dyDescent="0.25">
      <c r="G4837" s="1" t="str">
        <f>IF(Table2[[#This Row],[Description]]="","",VLOOKUP(Table2[[#This Row],[Description]],$Q$1:$S$101,2,FALSE))</f>
        <v/>
      </c>
      <c r="H4837" s="1" t="str">
        <f>IF(Table2[[#This Row],[Description]]="","",VLOOKUP(Table2[[#This Row],[Description]],$Q$1:$S$101,3,FALSE))</f>
        <v/>
      </c>
      <c r="I4837" s="1" t="str">
        <f>IF(Table2[[#This Row],[Description]]="","",IF(Table2[[#This Row],[Currency]]=$O$2,$P$2,HLOOKUP(Table2[[#This Row],[Date]],Funds!$C$10:$GV$11,2,FALSE)))</f>
        <v/>
      </c>
      <c r="J4837" s="215" t="str">
        <f>IF(Table2[[#This Row],[Description]]="","",Table2[[#This Row],[Value]]/Table2[[#This Row],[Conversion]])</f>
        <v/>
      </c>
      <c r="K4837" s="45" t="str">
        <f>IF(Table2[[#This Row],[Description]]="","",DATE(Table2[[#This Row],[Year]],Table2[[#This Row],[Month]],1))</f>
        <v/>
      </c>
    </row>
    <row r="4838" spans="7:11" x14ac:dyDescent="0.25">
      <c r="G4838" s="1" t="str">
        <f>IF(Table2[[#This Row],[Description]]="","",VLOOKUP(Table2[[#This Row],[Description]],$Q$1:$S$101,2,FALSE))</f>
        <v/>
      </c>
      <c r="H4838" s="1" t="str">
        <f>IF(Table2[[#This Row],[Description]]="","",VLOOKUP(Table2[[#This Row],[Description]],$Q$1:$S$101,3,FALSE))</f>
        <v/>
      </c>
      <c r="I4838" s="1" t="str">
        <f>IF(Table2[[#This Row],[Description]]="","",IF(Table2[[#This Row],[Currency]]=$O$2,$P$2,HLOOKUP(Table2[[#This Row],[Date]],Funds!$C$10:$GV$11,2,FALSE)))</f>
        <v/>
      </c>
      <c r="J4838" s="215" t="str">
        <f>IF(Table2[[#This Row],[Description]]="","",Table2[[#This Row],[Value]]/Table2[[#This Row],[Conversion]])</f>
        <v/>
      </c>
      <c r="K4838" s="45" t="str">
        <f>IF(Table2[[#This Row],[Description]]="","",DATE(Table2[[#This Row],[Year]],Table2[[#This Row],[Month]],1))</f>
        <v/>
      </c>
    </row>
    <row r="4839" spans="7:11" x14ac:dyDescent="0.25">
      <c r="G4839" s="1" t="str">
        <f>IF(Table2[[#This Row],[Description]]="","",VLOOKUP(Table2[[#This Row],[Description]],$Q$1:$S$101,2,FALSE))</f>
        <v/>
      </c>
      <c r="H4839" s="1" t="str">
        <f>IF(Table2[[#This Row],[Description]]="","",VLOOKUP(Table2[[#This Row],[Description]],$Q$1:$S$101,3,FALSE))</f>
        <v/>
      </c>
      <c r="I4839" s="1" t="str">
        <f>IF(Table2[[#This Row],[Description]]="","",IF(Table2[[#This Row],[Currency]]=$O$2,$P$2,HLOOKUP(Table2[[#This Row],[Date]],Funds!$C$10:$GV$11,2,FALSE)))</f>
        <v/>
      </c>
      <c r="J4839" s="215" t="str">
        <f>IF(Table2[[#This Row],[Description]]="","",Table2[[#This Row],[Value]]/Table2[[#This Row],[Conversion]])</f>
        <v/>
      </c>
      <c r="K4839" s="45" t="str">
        <f>IF(Table2[[#This Row],[Description]]="","",DATE(Table2[[#This Row],[Year]],Table2[[#This Row],[Month]],1))</f>
        <v/>
      </c>
    </row>
    <row r="4840" spans="7:11" x14ac:dyDescent="0.25">
      <c r="G4840" s="1" t="str">
        <f>IF(Table2[[#This Row],[Description]]="","",VLOOKUP(Table2[[#This Row],[Description]],$Q$1:$S$101,2,FALSE))</f>
        <v/>
      </c>
      <c r="H4840" s="1" t="str">
        <f>IF(Table2[[#This Row],[Description]]="","",VLOOKUP(Table2[[#This Row],[Description]],$Q$1:$S$101,3,FALSE))</f>
        <v/>
      </c>
      <c r="I4840" s="1" t="str">
        <f>IF(Table2[[#This Row],[Description]]="","",IF(Table2[[#This Row],[Currency]]=$O$2,$P$2,HLOOKUP(Table2[[#This Row],[Date]],Funds!$C$10:$GV$11,2,FALSE)))</f>
        <v/>
      </c>
      <c r="J4840" s="215" t="str">
        <f>IF(Table2[[#This Row],[Description]]="","",Table2[[#This Row],[Value]]/Table2[[#This Row],[Conversion]])</f>
        <v/>
      </c>
      <c r="K4840" s="45" t="str">
        <f>IF(Table2[[#This Row],[Description]]="","",DATE(Table2[[#This Row],[Year]],Table2[[#This Row],[Month]],1))</f>
        <v/>
      </c>
    </row>
    <row r="4841" spans="7:11" x14ac:dyDescent="0.25">
      <c r="G4841" s="1" t="str">
        <f>IF(Table2[[#This Row],[Description]]="","",VLOOKUP(Table2[[#This Row],[Description]],$Q$1:$S$101,2,FALSE))</f>
        <v/>
      </c>
      <c r="H4841" s="1" t="str">
        <f>IF(Table2[[#This Row],[Description]]="","",VLOOKUP(Table2[[#This Row],[Description]],$Q$1:$S$101,3,FALSE))</f>
        <v/>
      </c>
      <c r="I4841" s="1" t="str">
        <f>IF(Table2[[#This Row],[Description]]="","",IF(Table2[[#This Row],[Currency]]=$O$2,$P$2,HLOOKUP(Table2[[#This Row],[Date]],Funds!$C$10:$GV$11,2,FALSE)))</f>
        <v/>
      </c>
      <c r="J4841" s="215" t="str">
        <f>IF(Table2[[#This Row],[Description]]="","",Table2[[#This Row],[Value]]/Table2[[#This Row],[Conversion]])</f>
        <v/>
      </c>
      <c r="K4841" s="45" t="str">
        <f>IF(Table2[[#This Row],[Description]]="","",DATE(Table2[[#This Row],[Year]],Table2[[#This Row],[Month]],1))</f>
        <v/>
      </c>
    </row>
    <row r="4842" spans="7:11" x14ac:dyDescent="0.25">
      <c r="G4842" s="1" t="str">
        <f>IF(Table2[[#This Row],[Description]]="","",VLOOKUP(Table2[[#This Row],[Description]],$Q$1:$S$101,2,FALSE))</f>
        <v/>
      </c>
      <c r="H4842" s="1" t="str">
        <f>IF(Table2[[#This Row],[Description]]="","",VLOOKUP(Table2[[#This Row],[Description]],$Q$1:$S$101,3,FALSE))</f>
        <v/>
      </c>
      <c r="I4842" s="1" t="str">
        <f>IF(Table2[[#This Row],[Description]]="","",IF(Table2[[#This Row],[Currency]]=$O$2,$P$2,HLOOKUP(Table2[[#This Row],[Date]],Funds!$C$10:$GV$11,2,FALSE)))</f>
        <v/>
      </c>
      <c r="J4842" s="215" t="str">
        <f>IF(Table2[[#This Row],[Description]]="","",Table2[[#This Row],[Value]]/Table2[[#This Row],[Conversion]])</f>
        <v/>
      </c>
      <c r="K4842" s="45" t="str">
        <f>IF(Table2[[#This Row],[Description]]="","",DATE(Table2[[#This Row],[Year]],Table2[[#This Row],[Month]],1))</f>
        <v/>
      </c>
    </row>
    <row r="4843" spans="7:11" x14ac:dyDescent="0.25">
      <c r="G4843" s="1" t="str">
        <f>IF(Table2[[#This Row],[Description]]="","",VLOOKUP(Table2[[#This Row],[Description]],$Q$1:$S$101,2,FALSE))</f>
        <v/>
      </c>
      <c r="H4843" s="1" t="str">
        <f>IF(Table2[[#This Row],[Description]]="","",VLOOKUP(Table2[[#This Row],[Description]],$Q$1:$S$101,3,FALSE))</f>
        <v/>
      </c>
      <c r="I4843" s="1" t="str">
        <f>IF(Table2[[#This Row],[Description]]="","",IF(Table2[[#This Row],[Currency]]=$O$2,$P$2,HLOOKUP(Table2[[#This Row],[Date]],Funds!$C$10:$GV$11,2,FALSE)))</f>
        <v/>
      </c>
      <c r="J4843" s="215" t="str">
        <f>IF(Table2[[#This Row],[Description]]="","",Table2[[#This Row],[Value]]/Table2[[#This Row],[Conversion]])</f>
        <v/>
      </c>
      <c r="K4843" s="45" t="str">
        <f>IF(Table2[[#This Row],[Description]]="","",DATE(Table2[[#This Row],[Year]],Table2[[#This Row],[Month]],1))</f>
        <v/>
      </c>
    </row>
    <row r="4844" spans="7:11" x14ac:dyDescent="0.25">
      <c r="G4844" s="1" t="str">
        <f>IF(Table2[[#This Row],[Description]]="","",VLOOKUP(Table2[[#This Row],[Description]],$Q$1:$S$101,2,FALSE))</f>
        <v/>
      </c>
      <c r="H4844" s="1" t="str">
        <f>IF(Table2[[#This Row],[Description]]="","",VLOOKUP(Table2[[#This Row],[Description]],$Q$1:$S$101,3,FALSE))</f>
        <v/>
      </c>
      <c r="I4844" s="1" t="str">
        <f>IF(Table2[[#This Row],[Description]]="","",IF(Table2[[#This Row],[Currency]]=$O$2,$P$2,HLOOKUP(Table2[[#This Row],[Date]],Funds!$C$10:$GV$11,2,FALSE)))</f>
        <v/>
      </c>
      <c r="J4844" s="215" t="str">
        <f>IF(Table2[[#This Row],[Description]]="","",Table2[[#This Row],[Value]]/Table2[[#This Row],[Conversion]])</f>
        <v/>
      </c>
      <c r="K4844" s="45" t="str">
        <f>IF(Table2[[#This Row],[Description]]="","",DATE(Table2[[#This Row],[Year]],Table2[[#This Row],[Month]],1))</f>
        <v/>
      </c>
    </row>
    <row r="4845" spans="7:11" x14ac:dyDescent="0.25">
      <c r="G4845" s="1" t="str">
        <f>IF(Table2[[#This Row],[Description]]="","",VLOOKUP(Table2[[#This Row],[Description]],$Q$1:$S$101,2,FALSE))</f>
        <v/>
      </c>
      <c r="H4845" s="1" t="str">
        <f>IF(Table2[[#This Row],[Description]]="","",VLOOKUP(Table2[[#This Row],[Description]],$Q$1:$S$101,3,FALSE))</f>
        <v/>
      </c>
      <c r="I4845" s="1" t="str">
        <f>IF(Table2[[#This Row],[Description]]="","",IF(Table2[[#This Row],[Currency]]=$O$2,$P$2,HLOOKUP(Table2[[#This Row],[Date]],Funds!$C$10:$GV$11,2,FALSE)))</f>
        <v/>
      </c>
      <c r="J4845" s="215" t="str">
        <f>IF(Table2[[#This Row],[Description]]="","",Table2[[#This Row],[Value]]/Table2[[#This Row],[Conversion]])</f>
        <v/>
      </c>
      <c r="K4845" s="45" t="str">
        <f>IF(Table2[[#This Row],[Description]]="","",DATE(Table2[[#This Row],[Year]],Table2[[#This Row],[Month]],1))</f>
        <v/>
      </c>
    </row>
    <row r="4846" spans="7:11" x14ac:dyDescent="0.25">
      <c r="G4846" s="1" t="str">
        <f>IF(Table2[[#This Row],[Description]]="","",VLOOKUP(Table2[[#This Row],[Description]],$Q$1:$S$101,2,FALSE))</f>
        <v/>
      </c>
      <c r="H4846" s="1" t="str">
        <f>IF(Table2[[#This Row],[Description]]="","",VLOOKUP(Table2[[#This Row],[Description]],$Q$1:$S$101,3,FALSE))</f>
        <v/>
      </c>
      <c r="I4846" s="1" t="str">
        <f>IF(Table2[[#This Row],[Description]]="","",IF(Table2[[#This Row],[Currency]]=$O$2,$P$2,HLOOKUP(Table2[[#This Row],[Date]],Funds!$C$10:$GV$11,2,FALSE)))</f>
        <v/>
      </c>
      <c r="J4846" s="215" t="str">
        <f>IF(Table2[[#This Row],[Description]]="","",Table2[[#This Row],[Value]]/Table2[[#This Row],[Conversion]])</f>
        <v/>
      </c>
      <c r="K4846" s="45" t="str">
        <f>IF(Table2[[#This Row],[Description]]="","",DATE(Table2[[#This Row],[Year]],Table2[[#This Row],[Month]],1))</f>
        <v/>
      </c>
    </row>
    <row r="4847" spans="7:11" x14ac:dyDescent="0.25">
      <c r="G4847" s="1" t="str">
        <f>IF(Table2[[#This Row],[Description]]="","",VLOOKUP(Table2[[#This Row],[Description]],$Q$1:$S$101,2,FALSE))</f>
        <v/>
      </c>
      <c r="H4847" s="1" t="str">
        <f>IF(Table2[[#This Row],[Description]]="","",VLOOKUP(Table2[[#This Row],[Description]],$Q$1:$S$101,3,FALSE))</f>
        <v/>
      </c>
      <c r="I4847" s="1" t="str">
        <f>IF(Table2[[#This Row],[Description]]="","",IF(Table2[[#This Row],[Currency]]=$O$2,$P$2,HLOOKUP(Table2[[#This Row],[Date]],Funds!$C$10:$GV$11,2,FALSE)))</f>
        <v/>
      </c>
      <c r="J4847" s="215" t="str">
        <f>IF(Table2[[#This Row],[Description]]="","",Table2[[#This Row],[Value]]/Table2[[#This Row],[Conversion]])</f>
        <v/>
      </c>
      <c r="K4847" s="45" t="str">
        <f>IF(Table2[[#This Row],[Description]]="","",DATE(Table2[[#This Row],[Year]],Table2[[#This Row],[Month]],1))</f>
        <v/>
      </c>
    </row>
    <row r="4848" spans="7:11" x14ac:dyDescent="0.25">
      <c r="G4848" s="1" t="str">
        <f>IF(Table2[[#This Row],[Description]]="","",VLOOKUP(Table2[[#This Row],[Description]],$Q$1:$S$101,2,FALSE))</f>
        <v/>
      </c>
      <c r="H4848" s="1" t="str">
        <f>IF(Table2[[#This Row],[Description]]="","",VLOOKUP(Table2[[#This Row],[Description]],$Q$1:$S$101,3,FALSE))</f>
        <v/>
      </c>
      <c r="I4848" s="1" t="str">
        <f>IF(Table2[[#This Row],[Description]]="","",IF(Table2[[#This Row],[Currency]]=$O$2,$P$2,HLOOKUP(Table2[[#This Row],[Date]],Funds!$C$10:$GV$11,2,FALSE)))</f>
        <v/>
      </c>
      <c r="J4848" s="215" t="str">
        <f>IF(Table2[[#This Row],[Description]]="","",Table2[[#This Row],[Value]]/Table2[[#This Row],[Conversion]])</f>
        <v/>
      </c>
      <c r="K4848" s="45" t="str">
        <f>IF(Table2[[#This Row],[Description]]="","",DATE(Table2[[#This Row],[Year]],Table2[[#This Row],[Month]],1))</f>
        <v/>
      </c>
    </row>
    <row r="4849" spans="7:11" x14ac:dyDescent="0.25">
      <c r="G4849" s="1" t="str">
        <f>IF(Table2[[#This Row],[Description]]="","",VLOOKUP(Table2[[#This Row],[Description]],$Q$1:$S$101,2,FALSE))</f>
        <v/>
      </c>
      <c r="H4849" s="1" t="str">
        <f>IF(Table2[[#This Row],[Description]]="","",VLOOKUP(Table2[[#This Row],[Description]],$Q$1:$S$101,3,FALSE))</f>
        <v/>
      </c>
      <c r="I4849" s="1" t="str">
        <f>IF(Table2[[#This Row],[Description]]="","",IF(Table2[[#This Row],[Currency]]=$O$2,$P$2,HLOOKUP(Table2[[#This Row],[Date]],Funds!$C$10:$GV$11,2,FALSE)))</f>
        <v/>
      </c>
      <c r="J4849" s="215" t="str">
        <f>IF(Table2[[#This Row],[Description]]="","",Table2[[#This Row],[Value]]/Table2[[#This Row],[Conversion]])</f>
        <v/>
      </c>
      <c r="K4849" s="45" t="str">
        <f>IF(Table2[[#This Row],[Description]]="","",DATE(Table2[[#This Row],[Year]],Table2[[#This Row],[Month]],1))</f>
        <v/>
      </c>
    </row>
    <row r="4850" spans="7:11" x14ac:dyDescent="0.25">
      <c r="G4850" s="1" t="str">
        <f>IF(Table2[[#This Row],[Description]]="","",VLOOKUP(Table2[[#This Row],[Description]],$Q$1:$S$101,2,FALSE))</f>
        <v/>
      </c>
      <c r="H4850" s="1" t="str">
        <f>IF(Table2[[#This Row],[Description]]="","",VLOOKUP(Table2[[#This Row],[Description]],$Q$1:$S$101,3,FALSE))</f>
        <v/>
      </c>
      <c r="I4850" s="1" t="str">
        <f>IF(Table2[[#This Row],[Description]]="","",IF(Table2[[#This Row],[Currency]]=$O$2,$P$2,HLOOKUP(Table2[[#This Row],[Date]],Funds!$C$10:$GV$11,2,FALSE)))</f>
        <v/>
      </c>
      <c r="J4850" s="215" t="str">
        <f>IF(Table2[[#This Row],[Description]]="","",Table2[[#This Row],[Value]]/Table2[[#This Row],[Conversion]])</f>
        <v/>
      </c>
      <c r="K4850" s="45" t="str">
        <f>IF(Table2[[#This Row],[Description]]="","",DATE(Table2[[#This Row],[Year]],Table2[[#This Row],[Month]],1))</f>
        <v/>
      </c>
    </row>
    <row r="4851" spans="7:11" x14ac:dyDescent="0.25">
      <c r="G4851" s="1" t="str">
        <f>IF(Table2[[#This Row],[Description]]="","",VLOOKUP(Table2[[#This Row],[Description]],$Q$1:$S$101,2,FALSE))</f>
        <v/>
      </c>
      <c r="H4851" s="1" t="str">
        <f>IF(Table2[[#This Row],[Description]]="","",VLOOKUP(Table2[[#This Row],[Description]],$Q$1:$S$101,3,FALSE))</f>
        <v/>
      </c>
      <c r="I4851" s="1" t="str">
        <f>IF(Table2[[#This Row],[Description]]="","",IF(Table2[[#This Row],[Currency]]=$O$2,$P$2,HLOOKUP(Table2[[#This Row],[Date]],Funds!$C$10:$GV$11,2,FALSE)))</f>
        <v/>
      </c>
      <c r="J4851" s="215" t="str">
        <f>IF(Table2[[#This Row],[Description]]="","",Table2[[#This Row],[Value]]/Table2[[#This Row],[Conversion]])</f>
        <v/>
      </c>
      <c r="K4851" s="45" t="str">
        <f>IF(Table2[[#This Row],[Description]]="","",DATE(Table2[[#This Row],[Year]],Table2[[#This Row],[Month]],1))</f>
        <v/>
      </c>
    </row>
    <row r="4852" spans="7:11" x14ac:dyDescent="0.25">
      <c r="G4852" s="1" t="str">
        <f>IF(Table2[[#This Row],[Description]]="","",VLOOKUP(Table2[[#This Row],[Description]],$Q$1:$S$101,2,FALSE))</f>
        <v/>
      </c>
      <c r="H4852" s="1" t="str">
        <f>IF(Table2[[#This Row],[Description]]="","",VLOOKUP(Table2[[#This Row],[Description]],$Q$1:$S$101,3,FALSE))</f>
        <v/>
      </c>
      <c r="I4852" s="1" t="str">
        <f>IF(Table2[[#This Row],[Description]]="","",IF(Table2[[#This Row],[Currency]]=$O$2,$P$2,HLOOKUP(Table2[[#This Row],[Date]],Funds!$C$10:$GV$11,2,FALSE)))</f>
        <v/>
      </c>
      <c r="J4852" s="215" t="str">
        <f>IF(Table2[[#This Row],[Description]]="","",Table2[[#This Row],[Value]]/Table2[[#This Row],[Conversion]])</f>
        <v/>
      </c>
      <c r="K4852" s="45" t="str">
        <f>IF(Table2[[#This Row],[Description]]="","",DATE(Table2[[#This Row],[Year]],Table2[[#This Row],[Month]],1))</f>
        <v/>
      </c>
    </row>
    <row r="4853" spans="7:11" x14ac:dyDescent="0.25">
      <c r="G4853" s="1" t="str">
        <f>IF(Table2[[#This Row],[Description]]="","",VLOOKUP(Table2[[#This Row],[Description]],$Q$1:$S$101,2,FALSE))</f>
        <v/>
      </c>
      <c r="H4853" s="1" t="str">
        <f>IF(Table2[[#This Row],[Description]]="","",VLOOKUP(Table2[[#This Row],[Description]],$Q$1:$S$101,3,FALSE))</f>
        <v/>
      </c>
      <c r="I4853" s="1" t="str">
        <f>IF(Table2[[#This Row],[Description]]="","",IF(Table2[[#This Row],[Currency]]=$O$2,$P$2,HLOOKUP(Table2[[#This Row],[Date]],Funds!$C$10:$GV$11,2,FALSE)))</f>
        <v/>
      </c>
      <c r="J4853" s="215" t="str">
        <f>IF(Table2[[#This Row],[Description]]="","",Table2[[#This Row],[Value]]/Table2[[#This Row],[Conversion]])</f>
        <v/>
      </c>
      <c r="K4853" s="45" t="str">
        <f>IF(Table2[[#This Row],[Description]]="","",DATE(Table2[[#This Row],[Year]],Table2[[#This Row],[Month]],1))</f>
        <v/>
      </c>
    </row>
    <row r="4854" spans="7:11" x14ac:dyDescent="0.25">
      <c r="G4854" s="1" t="str">
        <f>IF(Table2[[#This Row],[Description]]="","",VLOOKUP(Table2[[#This Row],[Description]],$Q$1:$S$101,2,FALSE))</f>
        <v/>
      </c>
      <c r="H4854" s="1" t="str">
        <f>IF(Table2[[#This Row],[Description]]="","",VLOOKUP(Table2[[#This Row],[Description]],$Q$1:$S$101,3,FALSE))</f>
        <v/>
      </c>
      <c r="I4854" s="1" t="str">
        <f>IF(Table2[[#This Row],[Description]]="","",IF(Table2[[#This Row],[Currency]]=$O$2,$P$2,HLOOKUP(Table2[[#This Row],[Date]],Funds!$C$10:$GV$11,2,FALSE)))</f>
        <v/>
      </c>
      <c r="J4854" s="215" t="str">
        <f>IF(Table2[[#This Row],[Description]]="","",Table2[[#This Row],[Value]]/Table2[[#This Row],[Conversion]])</f>
        <v/>
      </c>
      <c r="K4854" s="45" t="str">
        <f>IF(Table2[[#This Row],[Description]]="","",DATE(Table2[[#This Row],[Year]],Table2[[#This Row],[Month]],1))</f>
        <v/>
      </c>
    </row>
    <row r="4855" spans="7:11" x14ac:dyDescent="0.25">
      <c r="G4855" s="1" t="str">
        <f>IF(Table2[[#This Row],[Description]]="","",VLOOKUP(Table2[[#This Row],[Description]],$Q$1:$S$101,2,FALSE))</f>
        <v/>
      </c>
      <c r="H4855" s="1" t="str">
        <f>IF(Table2[[#This Row],[Description]]="","",VLOOKUP(Table2[[#This Row],[Description]],$Q$1:$S$101,3,FALSE))</f>
        <v/>
      </c>
      <c r="I4855" s="1" t="str">
        <f>IF(Table2[[#This Row],[Description]]="","",IF(Table2[[#This Row],[Currency]]=$O$2,$P$2,HLOOKUP(Table2[[#This Row],[Date]],Funds!$C$10:$GV$11,2,FALSE)))</f>
        <v/>
      </c>
      <c r="J4855" s="215" t="str">
        <f>IF(Table2[[#This Row],[Description]]="","",Table2[[#This Row],[Value]]/Table2[[#This Row],[Conversion]])</f>
        <v/>
      </c>
      <c r="K4855" s="45" t="str">
        <f>IF(Table2[[#This Row],[Description]]="","",DATE(Table2[[#This Row],[Year]],Table2[[#This Row],[Month]],1))</f>
        <v/>
      </c>
    </row>
    <row r="4856" spans="7:11" x14ac:dyDescent="0.25">
      <c r="G4856" s="1" t="str">
        <f>IF(Table2[[#This Row],[Description]]="","",VLOOKUP(Table2[[#This Row],[Description]],$Q$1:$S$101,2,FALSE))</f>
        <v/>
      </c>
      <c r="H4856" s="1" t="str">
        <f>IF(Table2[[#This Row],[Description]]="","",VLOOKUP(Table2[[#This Row],[Description]],$Q$1:$S$101,3,FALSE))</f>
        <v/>
      </c>
      <c r="I4856" s="1" t="str">
        <f>IF(Table2[[#This Row],[Description]]="","",IF(Table2[[#This Row],[Currency]]=$O$2,$P$2,HLOOKUP(Table2[[#This Row],[Date]],Funds!$C$10:$GV$11,2,FALSE)))</f>
        <v/>
      </c>
      <c r="J4856" s="215" t="str">
        <f>IF(Table2[[#This Row],[Description]]="","",Table2[[#This Row],[Value]]/Table2[[#This Row],[Conversion]])</f>
        <v/>
      </c>
      <c r="K4856" s="45" t="str">
        <f>IF(Table2[[#This Row],[Description]]="","",DATE(Table2[[#This Row],[Year]],Table2[[#This Row],[Month]],1))</f>
        <v/>
      </c>
    </row>
    <row r="4857" spans="7:11" x14ac:dyDescent="0.25">
      <c r="G4857" s="1" t="str">
        <f>IF(Table2[[#This Row],[Description]]="","",VLOOKUP(Table2[[#This Row],[Description]],$Q$1:$S$101,2,FALSE))</f>
        <v/>
      </c>
      <c r="H4857" s="1" t="str">
        <f>IF(Table2[[#This Row],[Description]]="","",VLOOKUP(Table2[[#This Row],[Description]],$Q$1:$S$101,3,FALSE))</f>
        <v/>
      </c>
      <c r="I4857" s="1" t="str">
        <f>IF(Table2[[#This Row],[Description]]="","",IF(Table2[[#This Row],[Currency]]=$O$2,$P$2,HLOOKUP(Table2[[#This Row],[Date]],Funds!$C$10:$GV$11,2,FALSE)))</f>
        <v/>
      </c>
      <c r="J4857" s="215" t="str">
        <f>IF(Table2[[#This Row],[Description]]="","",Table2[[#This Row],[Value]]/Table2[[#This Row],[Conversion]])</f>
        <v/>
      </c>
      <c r="K4857" s="45" t="str">
        <f>IF(Table2[[#This Row],[Description]]="","",DATE(Table2[[#This Row],[Year]],Table2[[#This Row],[Month]],1))</f>
        <v/>
      </c>
    </row>
    <row r="4858" spans="7:11" x14ac:dyDescent="0.25">
      <c r="G4858" s="1" t="str">
        <f>IF(Table2[[#This Row],[Description]]="","",VLOOKUP(Table2[[#This Row],[Description]],$Q$1:$S$101,2,FALSE))</f>
        <v/>
      </c>
      <c r="H4858" s="1" t="str">
        <f>IF(Table2[[#This Row],[Description]]="","",VLOOKUP(Table2[[#This Row],[Description]],$Q$1:$S$101,3,FALSE))</f>
        <v/>
      </c>
      <c r="I4858" s="1" t="str">
        <f>IF(Table2[[#This Row],[Description]]="","",IF(Table2[[#This Row],[Currency]]=$O$2,$P$2,HLOOKUP(Table2[[#This Row],[Date]],Funds!$C$10:$GV$11,2,FALSE)))</f>
        <v/>
      </c>
      <c r="J4858" s="215" t="str">
        <f>IF(Table2[[#This Row],[Description]]="","",Table2[[#This Row],[Value]]/Table2[[#This Row],[Conversion]])</f>
        <v/>
      </c>
      <c r="K4858" s="45" t="str">
        <f>IF(Table2[[#This Row],[Description]]="","",DATE(Table2[[#This Row],[Year]],Table2[[#This Row],[Month]],1))</f>
        <v/>
      </c>
    </row>
    <row r="4859" spans="7:11" x14ac:dyDescent="0.25">
      <c r="G4859" s="1" t="str">
        <f>IF(Table2[[#This Row],[Description]]="","",VLOOKUP(Table2[[#This Row],[Description]],$Q$1:$S$101,2,FALSE))</f>
        <v/>
      </c>
      <c r="H4859" s="1" t="str">
        <f>IF(Table2[[#This Row],[Description]]="","",VLOOKUP(Table2[[#This Row],[Description]],$Q$1:$S$101,3,FALSE))</f>
        <v/>
      </c>
      <c r="I4859" s="1" t="str">
        <f>IF(Table2[[#This Row],[Description]]="","",IF(Table2[[#This Row],[Currency]]=$O$2,$P$2,HLOOKUP(Table2[[#This Row],[Date]],Funds!$C$10:$GV$11,2,FALSE)))</f>
        <v/>
      </c>
      <c r="J4859" s="215" t="str">
        <f>IF(Table2[[#This Row],[Description]]="","",Table2[[#This Row],[Value]]/Table2[[#This Row],[Conversion]])</f>
        <v/>
      </c>
      <c r="K4859" s="45" t="str">
        <f>IF(Table2[[#This Row],[Description]]="","",DATE(Table2[[#This Row],[Year]],Table2[[#This Row],[Month]],1))</f>
        <v/>
      </c>
    </row>
    <row r="4860" spans="7:11" x14ac:dyDescent="0.25">
      <c r="G4860" s="1" t="str">
        <f>IF(Table2[[#This Row],[Description]]="","",VLOOKUP(Table2[[#This Row],[Description]],$Q$1:$S$101,2,FALSE))</f>
        <v/>
      </c>
      <c r="H4860" s="1" t="str">
        <f>IF(Table2[[#This Row],[Description]]="","",VLOOKUP(Table2[[#This Row],[Description]],$Q$1:$S$101,3,FALSE))</f>
        <v/>
      </c>
      <c r="I4860" s="1" t="str">
        <f>IF(Table2[[#This Row],[Description]]="","",IF(Table2[[#This Row],[Currency]]=$O$2,$P$2,HLOOKUP(Table2[[#This Row],[Date]],Funds!$C$10:$GV$11,2,FALSE)))</f>
        <v/>
      </c>
      <c r="J4860" s="215" t="str">
        <f>IF(Table2[[#This Row],[Description]]="","",Table2[[#This Row],[Value]]/Table2[[#This Row],[Conversion]])</f>
        <v/>
      </c>
      <c r="K4860" s="45" t="str">
        <f>IF(Table2[[#This Row],[Description]]="","",DATE(Table2[[#This Row],[Year]],Table2[[#This Row],[Month]],1))</f>
        <v/>
      </c>
    </row>
    <row r="4861" spans="7:11" x14ac:dyDescent="0.25">
      <c r="G4861" s="1" t="str">
        <f>IF(Table2[[#This Row],[Description]]="","",VLOOKUP(Table2[[#This Row],[Description]],$Q$1:$S$101,2,FALSE))</f>
        <v/>
      </c>
      <c r="H4861" s="1" t="str">
        <f>IF(Table2[[#This Row],[Description]]="","",VLOOKUP(Table2[[#This Row],[Description]],$Q$1:$S$101,3,FALSE))</f>
        <v/>
      </c>
      <c r="I4861" s="1" t="str">
        <f>IF(Table2[[#This Row],[Description]]="","",IF(Table2[[#This Row],[Currency]]=$O$2,$P$2,HLOOKUP(Table2[[#This Row],[Date]],Funds!$C$10:$GV$11,2,FALSE)))</f>
        <v/>
      </c>
      <c r="J4861" s="215" t="str">
        <f>IF(Table2[[#This Row],[Description]]="","",Table2[[#This Row],[Value]]/Table2[[#This Row],[Conversion]])</f>
        <v/>
      </c>
      <c r="K4861" s="45" t="str">
        <f>IF(Table2[[#This Row],[Description]]="","",DATE(Table2[[#This Row],[Year]],Table2[[#This Row],[Month]],1))</f>
        <v/>
      </c>
    </row>
    <row r="4862" spans="7:11" x14ac:dyDescent="0.25">
      <c r="G4862" s="1" t="str">
        <f>IF(Table2[[#This Row],[Description]]="","",VLOOKUP(Table2[[#This Row],[Description]],$Q$1:$S$101,2,FALSE))</f>
        <v/>
      </c>
      <c r="H4862" s="1" t="str">
        <f>IF(Table2[[#This Row],[Description]]="","",VLOOKUP(Table2[[#This Row],[Description]],$Q$1:$S$101,3,FALSE))</f>
        <v/>
      </c>
      <c r="I4862" s="1" t="str">
        <f>IF(Table2[[#This Row],[Description]]="","",IF(Table2[[#This Row],[Currency]]=$O$2,$P$2,HLOOKUP(Table2[[#This Row],[Date]],Funds!$C$10:$GV$11,2,FALSE)))</f>
        <v/>
      </c>
      <c r="J4862" s="215" t="str">
        <f>IF(Table2[[#This Row],[Description]]="","",Table2[[#This Row],[Value]]/Table2[[#This Row],[Conversion]])</f>
        <v/>
      </c>
      <c r="K4862" s="45" t="str">
        <f>IF(Table2[[#This Row],[Description]]="","",DATE(Table2[[#This Row],[Year]],Table2[[#This Row],[Month]],1))</f>
        <v/>
      </c>
    </row>
    <row r="4863" spans="7:11" x14ac:dyDescent="0.25">
      <c r="G4863" s="1" t="str">
        <f>IF(Table2[[#This Row],[Description]]="","",VLOOKUP(Table2[[#This Row],[Description]],$Q$1:$S$101,2,FALSE))</f>
        <v/>
      </c>
      <c r="H4863" s="1" t="str">
        <f>IF(Table2[[#This Row],[Description]]="","",VLOOKUP(Table2[[#This Row],[Description]],$Q$1:$S$101,3,FALSE))</f>
        <v/>
      </c>
      <c r="I4863" s="1" t="str">
        <f>IF(Table2[[#This Row],[Description]]="","",IF(Table2[[#This Row],[Currency]]=$O$2,$P$2,HLOOKUP(Table2[[#This Row],[Date]],Funds!$C$10:$GV$11,2,FALSE)))</f>
        <v/>
      </c>
      <c r="J4863" s="215" t="str">
        <f>IF(Table2[[#This Row],[Description]]="","",Table2[[#This Row],[Value]]/Table2[[#This Row],[Conversion]])</f>
        <v/>
      </c>
      <c r="K4863" s="45" t="str">
        <f>IF(Table2[[#This Row],[Description]]="","",DATE(Table2[[#This Row],[Year]],Table2[[#This Row],[Month]],1))</f>
        <v/>
      </c>
    </row>
    <row r="4864" spans="7:11" x14ac:dyDescent="0.25">
      <c r="G4864" s="1" t="str">
        <f>IF(Table2[[#This Row],[Description]]="","",VLOOKUP(Table2[[#This Row],[Description]],$Q$1:$S$101,2,FALSE))</f>
        <v/>
      </c>
      <c r="H4864" s="1" t="str">
        <f>IF(Table2[[#This Row],[Description]]="","",VLOOKUP(Table2[[#This Row],[Description]],$Q$1:$S$101,3,FALSE))</f>
        <v/>
      </c>
      <c r="I4864" s="1" t="str">
        <f>IF(Table2[[#This Row],[Description]]="","",IF(Table2[[#This Row],[Currency]]=$O$2,$P$2,HLOOKUP(Table2[[#This Row],[Date]],Funds!$C$10:$GV$11,2,FALSE)))</f>
        <v/>
      </c>
      <c r="J4864" s="215" t="str">
        <f>IF(Table2[[#This Row],[Description]]="","",Table2[[#This Row],[Value]]/Table2[[#This Row],[Conversion]])</f>
        <v/>
      </c>
      <c r="K4864" s="45" t="str">
        <f>IF(Table2[[#This Row],[Description]]="","",DATE(Table2[[#This Row],[Year]],Table2[[#This Row],[Month]],1))</f>
        <v/>
      </c>
    </row>
    <row r="4865" spans="7:11" x14ac:dyDescent="0.25">
      <c r="G4865" s="1" t="str">
        <f>IF(Table2[[#This Row],[Description]]="","",VLOOKUP(Table2[[#This Row],[Description]],$Q$1:$S$101,2,FALSE))</f>
        <v/>
      </c>
      <c r="H4865" s="1" t="str">
        <f>IF(Table2[[#This Row],[Description]]="","",VLOOKUP(Table2[[#This Row],[Description]],$Q$1:$S$101,3,FALSE))</f>
        <v/>
      </c>
      <c r="I4865" s="1" t="str">
        <f>IF(Table2[[#This Row],[Description]]="","",IF(Table2[[#This Row],[Currency]]=$O$2,$P$2,HLOOKUP(Table2[[#This Row],[Date]],Funds!$C$10:$GV$11,2,FALSE)))</f>
        <v/>
      </c>
      <c r="J4865" s="215" t="str">
        <f>IF(Table2[[#This Row],[Description]]="","",Table2[[#This Row],[Value]]/Table2[[#This Row],[Conversion]])</f>
        <v/>
      </c>
      <c r="K4865" s="45" t="str">
        <f>IF(Table2[[#This Row],[Description]]="","",DATE(Table2[[#This Row],[Year]],Table2[[#This Row],[Month]],1))</f>
        <v/>
      </c>
    </row>
    <row r="4866" spans="7:11" x14ac:dyDescent="0.25">
      <c r="G4866" s="1" t="str">
        <f>IF(Table2[[#This Row],[Description]]="","",VLOOKUP(Table2[[#This Row],[Description]],$Q$1:$S$101,2,FALSE))</f>
        <v/>
      </c>
      <c r="H4866" s="1" t="str">
        <f>IF(Table2[[#This Row],[Description]]="","",VLOOKUP(Table2[[#This Row],[Description]],$Q$1:$S$101,3,FALSE))</f>
        <v/>
      </c>
      <c r="I4866" s="1" t="str">
        <f>IF(Table2[[#This Row],[Description]]="","",IF(Table2[[#This Row],[Currency]]=$O$2,$P$2,HLOOKUP(Table2[[#This Row],[Date]],Funds!$C$10:$GV$11,2,FALSE)))</f>
        <v/>
      </c>
      <c r="J4866" s="215" t="str">
        <f>IF(Table2[[#This Row],[Description]]="","",Table2[[#This Row],[Value]]/Table2[[#This Row],[Conversion]])</f>
        <v/>
      </c>
      <c r="K4866" s="45" t="str">
        <f>IF(Table2[[#This Row],[Description]]="","",DATE(Table2[[#This Row],[Year]],Table2[[#This Row],[Month]],1))</f>
        <v/>
      </c>
    </row>
    <row r="4867" spans="7:11" x14ac:dyDescent="0.25">
      <c r="G4867" s="1" t="str">
        <f>IF(Table2[[#This Row],[Description]]="","",VLOOKUP(Table2[[#This Row],[Description]],$Q$1:$S$101,2,FALSE))</f>
        <v/>
      </c>
      <c r="H4867" s="1" t="str">
        <f>IF(Table2[[#This Row],[Description]]="","",VLOOKUP(Table2[[#This Row],[Description]],$Q$1:$S$101,3,FALSE))</f>
        <v/>
      </c>
      <c r="I4867" s="1" t="str">
        <f>IF(Table2[[#This Row],[Description]]="","",IF(Table2[[#This Row],[Currency]]=$O$2,$P$2,HLOOKUP(Table2[[#This Row],[Date]],Funds!$C$10:$GV$11,2,FALSE)))</f>
        <v/>
      </c>
      <c r="J4867" s="215" t="str">
        <f>IF(Table2[[#This Row],[Description]]="","",Table2[[#This Row],[Value]]/Table2[[#This Row],[Conversion]])</f>
        <v/>
      </c>
      <c r="K4867" s="45" t="str">
        <f>IF(Table2[[#This Row],[Description]]="","",DATE(Table2[[#This Row],[Year]],Table2[[#This Row],[Month]],1))</f>
        <v/>
      </c>
    </row>
    <row r="4868" spans="7:11" x14ac:dyDescent="0.25">
      <c r="G4868" s="1" t="str">
        <f>IF(Table2[[#This Row],[Description]]="","",VLOOKUP(Table2[[#This Row],[Description]],$Q$1:$S$101,2,FALSE))</f>
        <v/>
      </c>
      <c r="H4868" s="1" t="str">
        <f>IF(Table2[[#This Row],[Description]]="","",VLOOKUP(Table2[[#This Row],[Description]],$Q$1:$S$101,3,FALSE))</f>
        <v/>
      </c>
      <c r="I4868" s="1" t="str">
        <f>IF(Table2[[#This Row],[Description]]="","",IF(Table2[[#This Row],[Currency]]=$O$2,$P$2,HLOOKUP(Table2[[#This Row],[Date]],Funds!$C$10:$GV$11,2,FALSE)))</f>
        <v/>
      </c>
      <c r="J4868" s="215" t="str">
        <f>IF(Table2[[#This Row],[Description]]="","",Table2[[#This Row],[Value]]/Table2[[#This Row],[Conversion]])</f>
        <v/>
      </c>
      <c r="K4868" s="45" t="str">
        <f>IF(Table2[[#This Row],[Description]]="","",DATE(Table2[[#This Row],[Year]],Table2[[#This Row],[Month]],1))</f>
        <v/>
      </c>
    </row>
    <row r="4869" spans="7:11" x14ac:dyDescent="0.25">
      <c r="G4869" s="1" t="str">
        <f>IF(Table2[[#This Row],[Description]]="","",VLOOKUP(Table2[[#This Row],[Description]],$Q$1:$S$101,2,FALSE))</f>
        <v/>
      </c>
      <c r="H4869" s="1" t="str">
        <f>IF(Table2[[#This Row],[Description]]="","",VLOOKUP(Table2[[#This Row],[Description]],$Q$1:$S$101,3,FALSE))</f>
        <v/>
      </c>
      <c r="I4869" s="1" t="str">
        <f>IF(Table2[[#This Row],[Description]]="","",IF(Table2[[#This Row],[Currency]]=$O$2,$P$2,HLOOKUP(Table2[[#This Row],[Date]],Funds!$C$10:$GV$11,2,FALSE)))</f>
        <v/>
      </c>
      <c r="J4869" s="215" t="str">
        <f>IF(Table2[[#This Row],[Description]]="","",Table2[[#This Row],[Value]]/Table2[[#This Row],[Conversion]])</f>
        <v/>
      </c>
      <c r="K4869" s="45" t="str">
        <f>IF(Table2[[#This Row],[Description]]="","",DATE(Table2[[#This Row],[Year]],Table2[[#This Row],[Month]],1))</f>
        <v/>
      </c>
    </row>
    <row r="4870" spans="7:11" x14ac:dyDescent="0.25">
      <c r="G4870" s="1" t="str">
        <f>IF(Table2[[#This Row],[Description]]="","",VLOOKUP(Table2[[#This Row],[Description]],$Q$1:$S$101,2,FALSE))</f>
        <v/>
      </c>
      <c r="H4870" s="1" t="str">
        <f>IF(Table2[[#This Row],[Description]]="","",VLOOKUP(Table2[[#This Row],[Description]],$Q$1:$S$101,3,FALSE))</f>
        <v/>
      </c>
      <c r="I4870" s="1" t="str">
        <f>IF(Table2[[#This Row],[Description]]="","",IF(Table2[[#This Row],[Currency]]=$O$2,$P$2,HLOOKUP(Table2[[#This Row],[Date]],Funds!$C$10:$GV$11,2,FALSE)))</f>
        <v/>
      </c>
      <c r="J4870" s="215" t="str">
        <f>IF(Table2[[#This Row],[Description]]="","",Table2[[#This Row],[Value]]/Table2[[#This Row],[Conversion]])</f>
        <v/>
      </c>
      <c r="K4870" s="45" t="str">
        <f>IF(Table2[[#This Row],[Description]]="","",DATE(Table2[[#This Row],[Year]],Table2[[#This Row],[Month]],1))</f>
        <v/>
      </c>
    </row>
    <row r="4871" spans="7:11" x14ac:dyDescent="0.25">
      <c r="G4871" s="1" t="str">
        <f>IF(Table2[[#This Row],[Description]]="","",VLOOKUP(Table2[[#This Row],[Description]],$Q$1:$S$101,2,FALSE))</f>
        <v/>
      </c>
      <c r="H4871" s="1" t="str">
        <f>IF(Table2[[#This Row],[Description]]="","",VLOOKUP(Table2[[#This Row],[Description]],$Q$1:$S$101,3,FALSE))</f>
        <v/>
      </c>
      <c r="I4871" s="1" t="str">
        <f>IF(Table2[[#This Row],[Description]]="","",IF(Table2[[#This Row],[Currency]]=$O$2,$P$2,HLOOKUP(Table2[[#This Row],[Date]],Funds!$C$10:$GV$11,2,FALSE)))</f>
        <v/>
      </c>
      <c r="J4871" s="215" t="str">
        <f>IF(Table2[[#This Row],[Description]]="","",Table2[[#This Row],[Value]]/Table2[[#This Row],[Conversion]])</f>
        <v/>
      </c>
      <c r="K4871" s="45" t="str">
        <f>IF(Table2[[#This Row],[Description]]="","",DATE(Table2[[#This Row],[Year]],Table2[[#This Row],[Month]],1))</f>
        <v/>
      </c>
    </row>
    <row r="4872" spans="7:11" x14ac:dyDescent="0.25">
      <c r="G4872" s="1" t="str">
        <f>IF(Table2[[#This Row],[Description]]="","",VLOOKUP(Table2[[#This Row],[Description]],$Q$1:$S$101,2,FALSE))</f>
        <v/>
      </c>
      <c r="H4872" s="1" t="str">
        <f>IF(Table2[[#This Row],[Description]]="","",VLOOKUP(Table2[[#This Row],[Description]],$Q$1:$S$101,3,FALSE))</f>
        <v/>
      </c>
      <c r="I4872" s="1" t="str">
        <f>IF(Table2[[#This Row],[Description]]="","",IF(Table2[[#This Row],[Currency]]=$O$2,$P$2,HLOOKUP(Table2[[#This Row],[Date]],Funds!$C$10:$GV$11,2,FALSE)))</f>
        <v/>
      </c>
      <c r="J4872" s="215" t="str">
        <f>IF(Table2[[#This Row],[Description]]="","",Table2[[#This Row],[Value]]/Table2[[#This Row],[Conversion]])</f>
        <v/>
      </c>
      <c r="K4872" s="45" t="str">
        <f>IF(Table2[[#This Row],[Description]]="","",DATE(Table2[[#This Row],[Year]],Table2[[#This Row],[Month]],1))</f>
        <v/>
      </c>
    </row>
    <row r="4873" spans="7:11" x14ac:dyDescent="0.25">
      <c r="G4873" s="1" t="str">
        <f>IF(Table2[[#This Row],[Description]]="","",VLOOKUP(Table2[[#This Row],[Description]],$Q$1:$S$101,2,FALSE))</f>
        <v/>
      </c>
      <c r="H4873" s="1" t="str">
        <f>IF(Table2[[#This Row],[Description]]="","",VLOOKUP(Table2[[#This Row],[Description]],$Q$1:$S$101,3,FALSE))</f>
        <v/>
      </c>
      <c r="I4873" s="1" t="str">
        <f>IF(Table2[[#This Row],[Description]]="","",IF(Table2[[#This Row],[Currency]]=$O$2,$P$2,HLOOKUP(Table2[[#This Row],[Date]],Funds!$C$10:$GV$11,2,FALSE)))</f>
        <v/>
      </c>
      <c r="J4873" s="215" t="str">
        <f>IF(Table2[[#This Row],[Description]]="","",Table2[[#This Row],[Value]]/Table2[[#This Row],[Conversion]])</f>
        <v/>
      </c>
      <c r="K4873" s="45" t="str">
        <f>IF(Table2[[#This Row],[Description]]="","",DATE(Table2[[#This Row],[Year]],Table2[[#This Row],[Month]],1))</f>
        <v/>
      </c>
    </row>
    <row r="4874" spans="7:11" x14ac:dyDescent="0.25">
      <c r="G4874" s="1" t="str">
        <f>IF(Table2[[#This Row],[Description]]="","",VLOOKUP(Table2[[#This Row],[Description]],$Q$1:$S$101,2,FALSE))</f>
        <v/>
      </c>
      <c r="H4874" s="1" t="str">
        <f>IF(Table2[[#This Row],[Description]]="","",VLOOKUP(Table2[[#This Row],[Description]],$Q$1:$S$101,3,FALSE))</f>
        <v/>
      </c>
      <c r="I4874" s="1" t="str">
        <f>IF(Table2[[#This Row],[Description]]="","",IF(Table2[[#This Row],[Currency]]=$O$2,$P$2,HLOOKUP(Table2[[#This Row],[Date]],Funds!$C$10:$GV$11,2,FALSE)))</f>
        <v/>
      </c>
      <c r="J4874" s="215" t="str">
        <f>IF(Table2[[#This Row],[Description]]="","",Table2[[#This Row],[Value]]/Table2[[#This Row],[Conversion]])</f>
        <v/>
      </c>
      <c r="K4874" s="45" t="str">
        <f>IF(Table2[[#This Row],[Description]]="","",DATE(Table2[[#This Row],[Year]],Table2[[#This Row],[Month]],1))</f>
        <v/>
      </c>
    </row>
    <row r="4875" spans="7:11" x14ac:dyDescent="0.25">
      <c r="G4875" s="1" t="str">
        <f>IF(Table2[[#This Row],[Description]]="","",VLOOKUP(Table2[[#This Row],[Description]],$Q$1:$S$101,2,FALSE))</f>
        <v/>
      </c>
      <c r="H4875" s="1" t="str">
        <f>IF(Table2[[#This Row],[Description]]="","",VLOOKUP(Table2[[#This Row],[Description]],$Q$1:$S$101,3,FALSE))</f>
        <v/>
      </c>
      <c r="I4875" s="1" t="str">
        <f>IF(Table2[[#This Row],[Description]]="","",IF(Table2[[#This Row],[Currency]]=$O$2,$P$2,HLOOKUP(Table2[[#This Row],[Date]],Funds!$C$10:$GV$11,2,FALSE)))</f>
        <v/>
      </c>
      <c r="J4875" s="215" t="str">
        <f>IF(Table2[[#This Row],[Description]]="","",Table2[[#This Row],[Value]]/Table2[[#This Row],[Conversion]])</f>
        <v/>
      </c>
      <c r="K4875" s="45" t="str">
        <f>IF(Table2[[#This Row],[Description]]="","",DATE(Table2[[#This Row],[Year]],Table2[[#This Row],[Month]],1))</f>
        <v/>
      </c>
    </row>
    <row r="4876" spans="7:11" x14ac:dyDescent="0.25">
      <c r="G4876" s="1" t="str">
        <f>IF(Table2[[#This Row],[Description]]="","",VLOOKUP(Table2[[#This Row],[Description]],$Q$1:$S$101,2,FALSE))</f>
        <v/>
      </c>
      <c r="H4876" s="1" t="str">
        <f>IF(Table2[[#This Row],[Description]]="","",VLOOKUP(Table2[[#This Row],[Description]],$Q$1:$S$101,3,FALSE))</f>
        <v/>
      </c>
      <c r="I4876" s="1" t="str">
        <f>IF(Table2[[#This Row],[Description]]="","",IF(Table2[[#This Row],[Currency]]=$O$2,$P$2,HLOOKUP(Table2[[#This Row],[Date]],Funds!$C$10:$GV$11,2,FALSE)))</f>
        <v/>
      </c>
      <c r="J4876" s="215" t="str">
        <f>IF(Table2[[#This Row],[Description]]="","",Table2[[#This Row],[Value]]/Table2[[#This Row],[Conversion]])</f>
        <v/>
      </c>
      <c r="K4876" s="45" t="str">
        <f>IF(Table2[[#This Row],[Description]]="","",DATE(Table2[[#This Row],[Year]],Table2[[#This Row],[Month]],1))</f>
        <v/>
      </c>
    </row>
    <row r="4877" spans="7:11" x14ac:dyDescent="0.25">
      <c r="G4877" s="1" t="str">
        <f>IF(Table2[[#This Row],[Description]]="","",VLOOKUP(Table2[[#This Row],[Description]],$Q$1:$S$101,2,FALSE))</f>
        <v/>
      </c>
      <c r="H4877" s="1" t="str">
        <f>IF(Table2[[#This Row],[Description]]="","",VLOOKUP(Table2[[#This Row],[Description]],$Q$1:$S$101,3,FALSE))</f>
        <v/>
      </c>
      <c r="I4877" s="1" t="str">
        <f>IF(Table2[[#This Row],[Description]]="","",IF(Table2[[#This Row],[Currency]]=$O$2,$P$2,HLOOKUP(Table2[[#This Row],[Date]],Funds!$C$10:$GV$11,2,FALSE)))</f>
        <v/>
      </c>
      <c r="J4877" s="215" t="str">
        <f>IF(Table2[[#This Row],[Description]]="","",Table2[[#This Row],[Value]]/Table2[[#This Row],[Conversion]])</f>
        <v/>
      </c>
      <c r="K4877" s="45" t="str">
        <f>IF(Table2[[#This Row],[Description]]="","",DATE(Table2[[#This Row],[Year]],Table2[[#This Row],[Month]],1))</f>
        <v/>
      </c>
    </row>
    <row r="4878" spans="7:11" x14ac:dyDescent="0.25">
      <c r="G4878" s="1" t="str">
        <f>IF(Table2[[#This Row],[Description]]="","",VLOOKUP(Table2[[#This Row],[Description]],$Q$1:$S$101,2,FALSE))</f>
        <v/>
      </c>
      <c r="H4878" s="1" t="str">
        <f>IF(Table2[[#This Row],[Description]]="","",VLOOKUP(Table2[[#This Row],[Description]],$Q$1:$S$101,3,FALSE))</f>
        <v/>
      </c>
      <c r="I4878" s="1" t="str">
        <f>IF(Table2[[#This Row],[Description]]="","",IF(Table2[[#This Row],[Currency]]=$O$2,$P$2,HLOOKUP(Table2[[#This Row],[Date]],Funds!$C$10:$GV$11,2,FALSE)))</f>
        <v/>
      </c>
      <c r="J4878" s="215" t="str">
        <f>IF(Table2[[#This Row],[Description]]="","",Table2[[#This Row],[Value]]/Table2[[#This Row],[Conversion]])</f>
        <v/>
      </c>
      <c r="K4878" s="45" t="str">
        <f>IF(Table2[[#This Row],[Description]]="","",DATE(Table2[[#This Row],[Year]],Table2[[#This Row],[Month]],1))</f>
        <v/>
      </c>
    </row>
    <row r="4879" spans="7:11" x14ac:dyDescent="0.25">
      <c r="G4879" s="1" t="str">
        <f>IF(Table2[[#This Row],[Description]]="","",VLOOKUP(Table2[[#This Row],[Description]],$Q$1:$S$101,2,FALSE))</f>
        <v/>
      </c>
      <c r="H4879" s="1" t="str">
        <f>IF(Table2[[#This Row],[Description]]="","",VLOOKUP(Table2[[#This Row],[Description]],$Q$1:$S$101,3,FALSE))</f>
        <v/>
      </c>
      <c r="I4879" s="1" t="str">
        <f>IF(Table2[[#This Row],[Description]]="","",IF(Table2[[#This Row],[Currency]]=$O$2,$P$2,HLOOKUP(Table2[[#This Row],[Date]],Funds!$C$10:$GV$11,2,FALSE)))</f>
        <v/>
      </c>
      <c r="J4879" s="215" t="str">
        <f>IF(Table2[[#This Row],[Description]]="","",Table2[[#This Row],[Value]]/Table2[[#This Row],[Conversion]])</f>
        <v/>
      </c>
      <c r="K4879" s="45" t="str">
        <f>IF(Table2[[#This Row],[Description]]="","",DATE(Table2[[#This Row],[Year]],Table2[[#This Row],[Month]],1))</f>
        <v/>
      </c>
    </row>
    <row r="4880" spans="7:11" x14ac:dyDescent="0.25">
      <c r="G4880" s="1" t="str">
        <f>IF(Table2[[#This Row],[Description]]="","",VLOOKUP(Table2[[#This Row],[Description]],$Q$1:$S$101,2,FALSE))</f>
        <v/>
      </c>
      <c r="H4880" s="1" t="str">
        <f>IF(Table2[[#This Row],[Description]]="","",VLOOKUP(Table2[[#This Row],[Description]],$Q$1:$S$101,3,FALSE))</f>
        <v/>
      </c>
      <c r="I4880" s="1" t="str">
        <f>IF(Table2[[#This Row],[Description]]="","",IF(Table2[[#This Row],[Currency]]=$O$2,$P$2,HLOOKUP(Table2[[#This Row],[Date]],Funds!$C$10:$GV$11,2,FALSE)))</f>
        <v/>
      </c>
      <c r="J4880" s="215" t="str">
        <f>IF(Table2[[#This Row],[Description]]="","",Table2[[#This Row],[Value]]/Table2[[#This Row],[Conversion]])</f>
        <v/>
      </c>
      <c r="K4880" s="45" t="str">
        <f>IF(Table2[[#This Row],[Description]]="","",DATE(Table2[[#This Row],[Year]],Table2[[#This Row],[Month]],1))</f>
        <v/>
      </c>
    </row>
    <row r="4881" spans="7:11" x14ac:dyDescent="0.25">
      <c r="G4881" s="1" t="str">
        <f>IF(Table2[[#This Row],[Description]]="","",VLOOKUP(Table2[[#This Row],[Description]],$Q$1:$S$101,2,FALSE))</f>
        <v/>
      </c>
      <c r="H4881" s="1" t="str">
        <f>IF(Table2[[#This Row],[Description]]="","",VLOOKUP(Table2[[#This Row],[Description]],$Q$1:$S$101,3,FALSE))</f>
        <v/>
      </c>
      <c r="I4881" s="1" t="str">
        <f>IF(Table2[[#This Row],[Description]]="","",IF(Table2[[#This Row],[Currency]]=$O$2,$P$2,HLOOKUP(Table2[[#This Row],[Date]],Funds!$C$10:$GV$11,2,FALSE)))</f>
        <v/>
      </c>
      <c r="J4881" s="215" t="str">
        <f>IF(Table2[[#This Row],[Description]]="","",Table2[[#This Row],[Value]]/Table2[[#This Row],[Conversion]])</f>
        <v/>
      </c>
      <c r="K4881" s="45" t="str">
        <f>IF(Table2[[#This Row],[Description]]="","",DATE(Table2[[#This Row],[Year]],Table2[[#This Row],[Month]],1))</f>
        <v/>
      </c>
    </row>
    <row r="4882" spans="7:11" x14ac:dyDescent="0.25">
      <c r="G4882" s="1" t="str">
        <f>IF(Table2[[#This Row],[Description]]="","",VLOOKUP(Table2[[#This Row],[Description]],$Q$1:$S$101,2,FALSE))</f>
        <v/>
      </c>
      <c r="H4882" s="1" t="str">
        <f>IF(Table2[[#This Row],[Description]]="","",VLOOKUP(Table2[[#This Row],[Description]],$Q$1:$S$101,3,FALSE))</f>
        <v/>
      </c>
      <c r="I4882" s="1" t="str">
        <f>IF(Table2[[#This Row],[Description]]="","",IF(Table2[[#This Row],[Currency]]=$O$2,$P$2,HLOOKUP(Table2[[#This Row],[Date]],Funds!$C$10:$GV$11,2,FALSE)))</f>
        <v/>
      </c>
      <c r="J4882" s="215" t="str">
        <f>IF(Table2[[#This Row],[Description]]="","",Table2[[#This Row],[Value]]/Table2[[#This Row],[Conversion]])</f>
        <v/>
      </c>
      <c r="K4882" s="45" t="str">
        <f>IF(Table2[[#This Row],[Description]]="","",DATE(Table2[[#This Row],[Year]],Table2[[#This Row],[Month]],1))</f>
        <v/>
      </c>
    </row>
    <row r="4883" spans="7:11" x14ac:dyDescent="0.25">
      <c r="G4883" s="1" t="str">
        <f>IF(Table2[[#This Row],[Description]]="","",VLOOKUP(Table2[[#This Row],[Description]],$Q$1:$S$101,2,FALSE))</f>
        <v/>
      </c>
      <c r="H4883" s="1" t="str">
        <f>IF(Table2[[#This Row],[Description]]="","",VLOOKUP(Table2[[#This Row],[Description]],$Q$1:$S$101,3,FALSE))</f>
        <v/>
      </c>
      <c r="I4883" s="1" t="str">
        <f>IF(Table2[[#This Row],[Description]]="","",IF(Table2[[#This Row],[Currency]]=$O$2,$P$2,HLOOKUP(Table2[[#This Row],[Date]],Funds!$C$10:$GV$11,2,FALSE)))</f>
        <v/>
      </c>
      <c r="J4883" s="215" t="str">
        <f>IF(Table2[[#This Row],[Description]]="","",Table2[[#This Row],[Value]]/Table2[[#This Row],[Conversion]])</f>
        <v/>
      </c>
      <c r="K4883" s="45" t="str">
        <f>IF(Table2[[#This Row],[Description]]="","",DATE(Table2[[#This Row],[Year]],Table2[[#This Row],[Month]],1))</f>
        <v/>
      </c>
    </row>
    <row r="4884" spans="7:11" x14ac:dyDescent="0.25">
      <c r="G4884" s="1" t="str">
        <f>IF(Table2[[#This Row],[Description]]="","",VLOOKUP(Table2[[#This Row],[Description]],$Q$1:$S$101,2,FALSE))</f>
        <v/>
      </c>
      <c r="H4884" s="1" t="str">
        <f>IF(Table2[[#This Row],[Description]]="","",VLOOKUP(Table2[[#This Row],[Description]],$Q$1:$S$101,3,FALSE))</f>
        <v/>
      </c>
      <c r="I4884" s="1" t="str">
        <f>IF(Table2[[#This Row],[Description]]="","",IF(Table2[[#This Row],[Currency]]=$O$2,$P$2,HLOOKUP(Table2[[#This Row],[Date]],Funds!$C$10:$GV$11,2,FALSE)))</f>
        <v/>
      </c>
      <c r="J4884" s="215" t="str">
        <f>IF(Table2[[#This Row],[Description]]="","",Table2[[#This Row],[Value]]/Table2[[#This Row],[Conversion]])</f>
        <v/>
      </c>
      <c r="K4884" s="45" t="str">
        <f>IF(Table2[[#This Row],[Description]]="","",DATE(Table2[[#This Row],[Year]],Table2[[#This Row],[Month]],1))</f>
        <v/>
      </c>
    </row>
    <row r="4885" spans="7:11" x14ac:dyDescent="0.25">
      <c r="G4885" s="1" t="str">
        <f>IF(Table2[[#This Row],[Description]]="","",VLOOKUP(Table2[[#This Row],[Description]],$Q$1:$S$101,2,FALSE))</f>
        <v/>
      </c>
      <c r="H4885" s="1" t="str">
        <f>IF(Table2[[#This Row],[Description]]="","",VLOOKUP(Table2[[#This Row],[Description]],$Q$1:$S$101,3,FALSE))</f>
        <v/>
      </c>
      <c r="I4885" s="1" t="str">
        <f>IF(Table2[[#This Row],[Description]]="","",IF(Table2[[#This Row],[Currency]]=$O$2,$P$2,HLOOKUP(Table2[[#This Row],[Date]],Funds!$C$10:$GV$11,2,FALSE)))</f>
        <v/>
      </c>
      <c r="J4885" s="215" t="str">
        <f>IF(Table2[[#This Row],[Description]]="","",Table2[[#This Row],[Value]]/Table2[[#This Row],[Conversion]])</f>
        <v/>
      </c>
      <c r="K4885" s="45" t="str">
        <f>IF(Table2[[#This Row],[Description]]="","",DATE(Table2[[#This Row],[Year]],Table2[[#This Row],[Month]],1))</f>
        <v/>
      </c>
    </row>
    <row r="4886" spans="7:11" x14ac:dyDescent="0.25">
      <c r="G4886" s="1" t="str">
        <f>IF(Table2[[#This Row],[Description]]="","",VLOOKUP(Table2[[#This Row],[Description]],$Q$1:$S$101,2,FALSE))</f>
        <v/>
      </c>
      <c r="H4886" s="1" t="str">
        <f>IF(Table2[[#This Row],[Description]]="","",VLOOKUP(Table2[[#This Row],[Description]],$Q$1:$S$101,3,FALSE))</f>
        <v/>
      </c>
      <c r="I4886" s="1" t="str">
        <f>IF(Table2[[#This Row],[Description]]="","",IF(Table2[[#This Row],[Currency]]=$O$2,$P$2,HLOOKUP(Table2[[#This Row],[Date]],Funds!$C$10:$GV$11,2,FALSE)))</f>
        <v/>
      </c>
      <c r="J4886" s="215" t="str">
        <f>IF(Table2[[#This Row],[Description]]="","",Table2[[#This Row],[Value]]/Table2[[#This Row],[Conversion]])</f>
        <v/>
      </c>
      <c r="K4886" s="45" t="str">
        <f>IF(Table2[[#This Row],[Description]]="","",DATE(Table2[[#This Row],[Year]],Table2[[#This Row],[Month]],1))</f>
        <v/>
      </c>
    </row>
    <row r="4887" spans="7:11" x14ac:dyDescent="0.25">
      <c r="G4887" s="1" t="str">
        <f>IF(Table2[[#This Row],[Description]]="","",VLOOKUP(Table2[[#This Row],[Description]],$Q$1:$S$101,2,FALSE))</f>
        <v/>
      </c>
      <c r="H4887" s="1" t="str">
        <f>IF(Table2[[#This Row],[Description]]="","",VLOOKUP(Table2[[#This Row],[Description]],$Q$1:$S$101,3,FALSE))</f>
        <v/>
      </c>
      <c r="I4887" s="1" t="str">
        <f>IF(Table2[[#This Row],[Description]]="","",IF(Table2[[#This Row],[Currency]]=$O$2,$P$2,HLOOKUP(Table2[[#This Row],[Date]],Funds!$C$10:$GV$11,2,FALSE)))</f>
        <v/>
      </c>
      <c r="J4887" s="215" t="str">
        <f>IF(Table2[[#This Row],[Description]]="","",Table2[[#This Row],[Value]]/Table2[[#This Row],[Conversion]])</f>
        <v/>
      </c>
      <c r="K4887" s="45" t="str">
        <f>IF(Table2[[#This Row],[Description]]="","",DATE(Table2[[#This Row],[Year]],Table2[[#This Row],[Month]],1))</f>
        <v/>
      </c>
    </row>
    <row r="4888" spans="7:11" x14ac:dyDescent="0.25">
      <c r="G4888" s="1" t="str">
        <f>IF(Table2[[#This Row],[Description]]="","",VLOOKUP(Table2[[#This Row],[Description]],$Q$1:$S$101,2,FALSE))</f>
        <v/>
      </c>
      <c r="H4888" s="1" t="str">
        <f>IF(Table2[[#This Row],[Description]]="","",VLOOKUP(Table2[[#This Row],[Description]],$Q$1:$S$101,3,FALSE))</f>
        <v/>
      </c>
      <c r="I4888" s="1" t="str">
        <f>IF(Table2[[#This Row],[Description]]="","",IF(Table2[[#This Row],[Currency]]=$O$2,$P$2,HLOOKUP(Table2[[#This Row],[Date]],Funds!$C$10:$GV$11,2,FALSE)))</f>
        <v/>
      </c>
      <c r="J4888" s="215" t="str">
        <f>IF(Table2[[#This Row],[Description]]="","",Table2[[#This Row],[Value]]/Table2[[#This Row],[Conversion]])</f>
        <v/>
      </c>
      <c r="K4888" s="45" t="str">
        <f>IF(Table2[[#This Row],[Description]]="","",DATE(Table2[[#This Row],[Year]],Table2[[#This Row],[Month]],1))</f>
        <v/>
      </c>
    </row>
    <row r="4889" spans="7:11" x14ac:dyDescent="0.25">
      <c r="G4889" s="1" t="str">
        <f>IF(Table2[[#This Row],[Description]]="","",VLOOKUP(Table2[[#This Row],[Description]],$Q$1:$S$101,2,FALSE))</f>
        <v/>
      </c>
      <c r="H4889" s="1" t="str">
        <f>IF(Table2[[#This Row],[Description]]="","",VLOOKUP(Table2[[#This Row],[Description]],$Q$1:$S$101,3,FALSE))</f>
        <v/>
      </c>
      <c r="I4889" s="1" t="str">
        <f>IF(Table2[[#This Row],[Description]]="","",IF(Table2[[#This Row],[Currency]]=$O$2,$P$2,HLOOKUP(Table2[[#This Row],[Date]],Funds!$C$10:$GV$11,2,FALSE)))</f>
        <v/>
      </c>
      <c r="J4889" s="215" t="str">
        <f>IF(Table2[[#This Row],[Description]]="","",Table2[[#This Row],[Value]]/Table2[[#This Row],[Conversion]])</f>
        <v/>
      </c>
      <c r="K4889" s="45" t="str">
        <f>IF(Table2[[#This Row],[Description]]="","",DATE(Table2[[#This Row],[Year]],Table2[[#This Row],[Month]],1))</f>
        <v/>
      </c>
    </row>
    <row r="4890" spans="7:11" x14ac:dyDescent="0.25">
      <c r="G4890" s="1" t="str">
        <f>IF(Table2[[#This Row],[Description]]="","",VLOOKUP(Table2[[#This Row],[Description]],$Q$1:$S$101,2,FALSE))</f>
        <v/>
      </c>
      <c r="H4890" s="1" t="str">
        <f>IF(Table2[[#This Row],[Description]]="","",VLOOKUP(Table2[[#This Row],[Description]],$Q$1:$S$101,3,FALSE))</f>
        <v/>
      </c>
      <c r="I4890" s="1" t="str">
        <f>IF(Table2[[#This Row],[Description]]="","",IF(Table2[[#This Row],[Currency]]=$O$2,$P$2,HLOOKUP(Table2[[#This Row],[Date]],Funds!$C$10:$GV$11,2,FALSE)))</f>
        <v/>
      </c>
      <c r="J4890" s="215" t="str">
        <f>IF(Table2[[#This Row],[Description]]="","",Table2[[#This Row],[Value]]/Table2[[#This Row],[Conversion]])</f>
        <v/>
      </c>
      <c r="K4890" s="45" t="str">
        <f>IF(Table2[[#This Row],[Description]]="","",DATE(Table2[[#This Row],[Year]],Table2[[#This Row],[Month]],1))</f>
        <v/>
      </c>
    </row>
    <row r="4891" spans="7:11" x14ac:dyDescent="0.25">
      <c r="G4891" s="1" t="str">
        <f>IF(Table2[[#This Row],[Description]]="","",VLOOKUP(Table2[[#This Row],[Description]],$Q$1:$S$101,2,FALSE))</f>
        <v/>
      </c>
      <c r="H4891" s="1" t="str">
        <f>IF(Table2[[#This Row],[Description]]="","",VLOOKUP(Table2[[#This Row],[Description]],$Q$1:$S$101,3,FALSE))</f>
        <v/>
      </c>
      <c r="I4891" s="1" t="str">
        <f>IF(Table2[[#This Row],[Description]]="","",IF(Table2[[#This Row],[Currency]]=$O$2,$P$2,HLOOKUP(Table2[[#This Row],[Date]],Funds!$C$10:$GV$11,2,FALSE)))</f>
        <v/>
      </c>
      <c r="J4891" s="215" t="str">
        <f>IF(Table2[[#This Row],[Description]]="","",Table2[[#This Row],[Value]]/Table2[[#This Row],[Conversion]])</f>
        <v/>
      </c>
      <c r="K4891" s="45" t="str">
        <f>IF(Table2[[#This Row],[Description]]="","",DATE(Table2[[#This Row],[Year]],Table2[[#This Row],[Month]],1))</f>
        <v/>
      </c>
    </row>
    <row r="4892" spans="7:11" x14ac:dyDescent="0.25">
      <c r="G4892" s="1" t="str">
        <f>IF(Table2[[#This Row],[Description]]="","",VLOOKUP(Table2[[#This Row],[Description]],$Q$1:$S$101,2,FALSE))</f>
        <v/>
      </c>
      <c r="H4892" s="1" t="str">
        <f>IF(Table2[[#This Row],[Description]]="","",VLOOKUP(Table2[[#This Row],[Description]],$Q$1:$S$101,3,FALSE))</f>
        <v/>
      </c>
      <c r="I4892" s="1" t="str">
        <f>IF(Table2[[#This Row],[Description]]="","",IF(Table2[[#This Row],[Currency]]=$O$2,$P$2,HLOOKUP(Table2[[#This Row],[Date]],Funds!$C$10:$GV$11,2,FALSE)))</f>
        <v/>
      </c>
      <c r="J4892" s="215" t="str">
        <f>IF(Table2[[#This Row],[Description]]="","",Table2[[#This Row],[Value]]/Table2[[#This Row],[Conversion]])</f>
        <v/>
      </c>
      <c r="K4892" s="45" t="str">
        <f>IF(Table2[[#This Row],[Description]]="","",DATE(Table2[[#This Row],[Year]],Table2[[#This Row],[Month]],1))</f>
        <v/>
      </c>
    </row>
    <row r="4893" spans="7:11" x14ac:dyDescent="0.25">
      <c r="G4893" s="1" t="str">
        <f>IF(Table2[[#This Row],[Description]]="","",VLOOKUP(Table2[[#This Row],[Description]],$Q$1:$S$101,2,FALSE))</f>
        <v/>
      </c>
      <c r="H4893" s="1" t="str">
        <f>IF(Table2[[#This Row],[Description]]="","",VLOOKUP(Table2[[#This Row],[Description]],$Q$1:$S$101,3,FALSE))</f>
        <v/>
      </c>
      <c r="I4893" s="1" t="str">
        <f>IF(Table2[[#This Row],[Description]]="","",IF(Table2[[#This Row],[Currency]]=$O$2,$P$2,HLOOKUP(Table2[[#This Row],[Date]],Funds!$C$10:$GV$11,2,FALSE)))</f>
        <v/>
      </c>
      <c r="J4893" s="215" t="str">
        <f>IF(Table2[[#This Row],[Description]]="","",Table2[[#This Row],[Value]]/Table2[[#This Row],[Conversion]])</f>
        <v/>
      </c>
      <c r="K4893" s="45" t="str">
        <f>IF(Table2[[#This Row],[Description]]="","",DATE(Table2[[#This Row],[Year]],Table2[[#This Row],[Month]],1))</f>
        <v/>
      </c>
    </row>
    <row r="4894" spans="7:11" x14ac:dyDescent="0.25">
      <c r="G4894" s="1" t="str">
        <f>IF(Table2[[#This Row],[Description]]="","",VLOOKUP(Table2[[#This Row],[Description]],$Q$1:$S$101,2,FALSE))</f>
        <v/>
      </c>
      <c r="H4894" s="1" t="str">
        <f>IF(Table2[[#This Row],[Description]]="","",VLOOKUP(Table2[[#This Row],[Description]],$Q$1:$S$101,3,FALSE))</f>
        <v/>
      </c>
      <c r="I4894" s="1" t="str">
        <f>IF(Table2[[#This Row],[Description]]="","",IF(Table2[[#This Row],[Currency]]=$O$2,$P$2,HLOOKUP(Table2[[#This Row],[Date]],Funds!$C$10:$GV$11,2,FALSE)))</f>
        <v/>
      </c>
      <c r="J4894" s="215" t="str">
        <f>IF(Table2[[#This Row],[Description]]="","",Table2[[#This Row],[Value]]/Table2[[#This Row],[Conversion]])</f>
        <v/>
      </c>
      <c r="K4894" s="45" t="str">
        <f>IF(Table2[[#This Row],[Description]]="","",DATE(Table2[[#This Row],[Year]],Table2[[#This Row],[Month]],1))</f>
        <v/>
      </c>
    </row>
    <row r="4895" spans="7:11" x14ac:dyDescent="0.25">
      <c r="G4895" s="1" t="str">
        <f>IF(Table2[[#This Row],[Description]]="","",VLOOKUP(Table2[[#This Row],[Description]],$Q$1:$S$101,2,FALSE))</f>
        <v/>
      </c>
      <c r="H4895" s="1" t="str">
        <f>IF(Table2[[#This Row],[Description]]="","",VLOOKUP(Table2[[#This Row],[Description]],$Q$1:$S$101,3,FALSE))</f>
        <v/>
      </c>
      <c r="I4895" s="1" t="str">
        <f>IF(Table2[[#This Row],[Description]]="","",IF(Table2[[#This Row],[Currency]]=$O$2,$P$2,HLOOKUP(Table2[[#This Row],[Date]],Funds!$C$10:$GV$11,2,FALSE)))</f>
        <v/>
      </c>
      <c r="J4895" s="215" t="str">
        <f>IF(Table2[[#This Row],[Description]]="","",Table2[[#This Row],[Value]]/Table2[[#This Row],[Conversion]])</f>
        <v/>
      </c>
      <c r="K4895" s="45" t="str">
        <f>IF(Table2[[#This Row],[Description]]="","",DATE(Table2[[#This Row],[Year]],Table2[[#This Row],[Month]],1))</f>
        <v/>
      </c>
    </row>
    <row r="4896" spans="7:11" x14ac:dyDescent="0.25">
      <c r="G4896" s="1" t="str">
        <f>IF(Table2[[#This Row],[Description]]="","",VLOOKUP(Table2[[#This Row],[Description]],$Q$1:$S$101,2,FALSE))</f>
        <v/>
      </c>
      <c r="H4896" s="1" t="str">
        <f>IF(Table2[[#This Row],[Description]]="","",VLOOKUP(Table2[[#This Row],[Description]],$Q$1:$S$101,3,FALSE))</f>
        <v/>
      </c>
      <c r="I4896" s="1" t="str">
        <f>IF(Table2[[#This Row],[Description]]="","",IF(Table2[[#This Row],[Currency]]=$O$2,$P$2,HLOOKUP(Table2[[#This Row],[Date]],Funds!$C$10:$GV$11,2,FALSE)))</f>
        <v/>
      </c>
      <c r="J4896" s="215" t="str">
        <f>IF(Table2[[#This Row],[Description]]="","",Table2[[#This Row],[Value]]/Table2[[#This Row],[Conversion]])</f>
        <v/>
      </c>
      <c r="K4896" s="45" t="str">
        <f>IF(Table2[[#This Row],[Description]]="","",DATE(Table2[[#This Row],[Year]],Table2[[#This Row],[Month]],1))</f>
        <v/>
      </c>
    </row>
    <row r="4897" spans="7:11" x14ac:dyDescent="0.25">
      <c r="G4897" s="1" t="str">
        <f>IF(Table2[[#This Row],[Description]]="","",VLOOKUP(Table2[[#This Row],[Description]],$Q$1:$S$101,2,FALSE))</f>
        <v/>
      </c>
      <c r="H4897" s="1" t="str">
        <f>IF(Table2[[#This Row],[Description]]="","",VLOOKUP(Table2[[#This Row],[Description]],$Q$1:$S$101,3,FALSE))</f>
        <v/>
      </c>
      <c r="I4897" s="1" t="str">
        <f>IF(Table2[[#This Row],[Description]]="","",IF(Table2[[#This Row],[Currency]]=$O$2,$P$2,HLOOKUP(Table2[[#This Row],[Date]],Funds!$C$10:$GV$11,2,FALSE)))</f>
        <v/>
      </c>
      <c r="J4897" s="215" t="str">
        <f>IF(Table2[[#This Row],[Description]]="","",Table2[[#This Row],[Value]]/Table2[[#This Row],[Conversion]])</f>
        <v/>
      </c>
      <c r="K4897" s="45" t="str">
        <f>IF(Table2[[#This Row],[Description]]="","",DATE(Table2[[#This Row],[Year]],Table2[[#This Row],[Month]],1))</f>
        <v/>
      </c>
    </row>
    <row r="4898" spans="7:11" x14ac:dyDescent="0.25">
      <c r="G4898" s="1" t="str">
        <f>IF(Table2[[#This Row],[Description]]="","",VLOOKUP(Table2[[#This Row],[Description]],$Q$1:$S$101,2,FALSE))</f>
        <v/>
      </c>
      <c r="H4898" s="1" t="str">
        <f>IF(Table2[[#This Row],[Description]]="","",VLOOKUP(Table2[[#This Row],[Description]],$Q$1:$S$101,3,FALSE))</f>
        <v/>
      </c>
      <c r="I4898" s="1" t="str">
        <f>IF(Table2[[#This Row],[Description]]="","",IF(Table2[[#This Row],[Currency]]=$O$2,$P$2,HLOOKUP(Table2[[#This Row],[Date]],Funds!$C$10:$GV$11,2,FALSE)))</f>
        <v/>
      </c>
      <c r="J4898" s="215" t="str">
        <f>IF(Table2[[#This Row],[Description]]="","",Table2[[#This Row],[Value]]/Table2[[#This Row],[Conversion]])</f>
        <v/>
      </c>
      <c r="K4898" s="45" t="str">
        <f>IF(Table2[[#This Row],[Description]]="","",DATE(Table2[[#This Row],[Year]],Table2[[#This Row],[Month]],1))</f>
        <v/>
      </c>
    </row>
    <row r="4899" spans="7:11" x14ac:dyDescent="0.25">
      <c r="G4899" s="1" t="str">
        <f>IF(Table2[[#This Row],[Description]]="","",VLOOKUP(Table2[[#This Row],[Description]],$Q$1:$S$101,2,FALSE))</f>
        <v/>
      </c>
      <c r="H4899" s="1" t="str">
        <f>IF(Table2[[#This Row],[Description]]="","",VLOOKUP(Table2[[#This Row],[Description]],$Q$1:$S$101,3,FALSE))</f>
        <v/>
      </c>
      <c r="I4899" s="1" t="str">
        <f>IF(Table2[[#This Row],[Description]]="","",IF(Table2[[#This Row],[Currency]]=$O$2,$P$2,HLOOKUP(Table2[[#This Row],[Date]],Funds!$C$10:$GV$11,2,FALSE)))</f>
        <v/>
      </c>
      <c r="J4899" s="215" t="str">
        <f>IF(Table2[[#This Row],[Description]]="","",Table2[[#This Row],[Value]]/Table2[[#This Row],[Conversion]])</f>
        <v/>
      </c>
      <c r="K4899" s="45" t="str">
        <f>IF(Table2[[#This Row],[Description]]="","",DATE(Table2[[#This Row],[Year]],Table2[[#This Row],[Month]],1))</f>
        <v/>
      </c>
    </row>
    <row r="4900" spans="7:11" x14ac:dyDescent="0.25">
      <c r="G4900" s="1" t="str">
        <f>IF(Table2[[#This Row],[Description]]="","",VLOOKUP(Table2[[#This Row],[Description]],$Q$1:$S$101,2,FALSE))</f>
        <v/>
      </c>
      <c r="H4900" s="1" t="str">
        <f>IF(Table2[[#This Row],[Description]]="","",VLOOKUP(Table2[[#This Row],[Description]],$Q$1:$S$101,3,FALSE))</f>
        <v/>
      </c>
      <c r="I4900" s="1" t="str">
        <f>IF(Table2[[#This Row],[Description]]="","",IF(Table2[[#This Row],[Currency]]=$O$2,$P$2,HLOOKUP(Table2[[#This Row],[Date]],Funds!$C$10:$GV$11,2,FALSE)))</f>
        <v/>
      </c>
      <c r="J4900" s="215" t="str">
        <f>IF(Table2[[#This Row],[Description]]="","",Table2[[#This Row],[Value]]/Table2[[#This Row],[Conversion]])</f>
        <v/>
      </c>
      <c r="K4900" s="45" t="str">
        <f>IF(Table2[[#This Row],[Description]]="","",DATE(Table2[[#This Row],[Year]],Table2[[#This Row],[Month]],1))</f>
        <v/>
      </c>
    </row>
    <row r="4901" spans="7:11" x14ac:dyDescent="0.25">
      <c r="G4901" s="1" t="str">
        <f>IF(Table2[[#This Row],[Description]]="","",VLOOKUP(Table2[[#This Row],[Description]],$Q$1:$S$101,2,FALSE))</f>
        <v/>
      </c>
      <c r="H4901" s="1" t="str">
        <f>IF(Table2[[#This Row],[Description]]="","",VLOOKUP(Table2[[#This Row],[Description]],$Q$1:$S$101,3,FALSE))</f>
        <v/>
      </c>
      <c r="I4901" s="1" t="str">
        <f>IF(Table2[[#This Row],[Description]]="","",IF(Table2[[#This Row],[Currency]]=$O$2,$P$2,HLOOKUP(Table2[[#This Row],[Date]],Funds!$C$10:$GV$11,2,FALSE)))</f>
        <v/>
      </c>
      <c r="J4901" s="215" t="str">
        <f>IF(Table2[[#This Row],[Description]]="","",Table2[[#This Row],[Value]]/Table2[[#This Row],[Conversion]])</f>
        <v/>
      </c>
      <c r="K4901" s="45" t="str">
        <f>IF(Table2[[#This Row],[Description]]="","",DATE(Table2[[#This Row],[Year]],Table2[[#This Row],[Month]],1))</f>
        <v/>
      </c>
    </row>
    <row r="4902" spans="7:11" x14ac:dyDescent="0.25">
      <c r="G4902" s="1" t="str">
        <f>IF(Table2[[#This Row],[Description]]="","",VLOOKUP(Table2[[#This Row],[Description]],$Q$1:$S$101,2,FALSE))</f>
        <v/>
      </c>
      <c r="H4902" s="1" t="str">
        <f>IF(Table2[[#This Row],[Description]]="","",VLOOKUP(Table2[[#This Row],[Description]],$Q$1:$S$101,3,FALSE))</f>
        <v/>
      </c>
      <c r="I4902" s="1" t="str">
        <f>IF(Table2[[#This Row],[Description]]="","",IF(Table2[[#This Row],[Currency]]=$O$2,$P$2,HLOOKUP(Table2[[#This Row],[Date]],Funds!$C$10:$GV$11,2,FALSE)))</f>
        <v/>
      </c>
      <c r="J4902" s="215" t="str">
        <f>IF(Table2[[#This Row],[Description]]="","",Table2[[#This Row],[Value]]/Table2[[#This Row],[Conversion]])</f>
        <v/>
      </c>
      <c r="K4902" s="45" t="str">
        <f>IF(Table2[[#This Row],[Description]]="","",DATE(Table2[[#This Row],[Year]],Table2[[#This Row],[Month]],1))</f>
        <v/>
      </c>
    </row>
    <row r="4903" spans="7:11" x14ac:dyDescent="0.25">
      <c r="G4903" s="1" t="str">
        <f>IF(Table2[[#This Row],[Description]]="","",VLOOKUP(Table2[[#This Row],[Description]],$Q$1:$S$101,2,FALSE))</f>
        <v/>
      </c>
      <c r="H4903" s="1" t="str">
        <f>IF(Table2[[#This Row],[Description]]="","",VLOOKUP(Table2[[#This Row],[Description]],$Q$1:$S$101,3,FALSE))</f>
        <v/>
      </c>
      <c r="I4903" s="1" t="str">
        <f>IF(Table2[[#This Row],[Description]]="","",IF(Table2[[#This Row],[Currency]]=$O$2,$P$2,HLOOKUP(Table2[[#This Row],[Date]],Funds!$C$10:$GV$11,2,FALSE)))</f>
        <v/>
      </c>
      <c r="J4903" s="215" t="str">
        <f>IF(Table2[[#This Row],[Description]]="","",Table2[[#This Row],[Value]]/Table2[[#This Row],[Conversion]])</f>
        <v/>
      </c>
      <c r="K4903" s="45" t="str">
        <f>IF(Table2[[#This Row],[Description]]="","",DATE(Table2[[#This Row],[Year]],Table2[[#This Row],[Month]],1))</f>
        <v/>
      </c>
    </row>
    <row r="4904" spans="7:11" x14ac:dyDescent="0.25">
      <c r="G4904" s="1" t="str">
        <f>IF(Table2[[#This Row],[Description]]="","",VLOOKUP(Table2[[#This Row],[Description]],$Q$1:$S$101,2,FALSE))</f>
        <v/>
      </c>
      <c r="H4904" s="1" t="str">
        <f>IF(Table2[[#This Row],[Description]]="","",VLOOKUP(Table2[[#This Row],[Description]],$Q$1:$S$101,3,FALSE))</f>
        <v/>
      </c>
      <c r="I4904" s="1" t="str">
        <f>IF(Table2[[#This Row],[Description]]="","",IF(Table2[[#This Row],[Currency]]=$O$2,$P$2,HLOOKUP(Table2[[#This Row],[Date]],Funds!$C$10:$GV$11,2,FALSE)))</f>
        <v/>
      </c>
      <c r="J4904" s="215" t="str">
        <f>IF(Table2[[#This Row],[Description]]="","",Table2[[#This Row],[Value]]/Table2[[#This Row],[Conversion]])</f>
        <v/>
      </c>
      <c r="K4904" s="45" t="str">
        <f>IF(Table2[[#This Row],[Description]]="","",DATE(Table2[[#This Row],[Year]],Table2[[#This Row],[Month]],1))</f>
        <v/>
      </c>
    </row>
    <row r="4905" spans="7:11" x14ac:dyDescent="0.25">
      <c r="G4905" s="1" t="str">
        <f>IF(Table2[[#This Row],[Description]]="","",VLOOKUP(Table2[[#This Row],[Description]],$Q$1:$S$101,2,FALSE))</f>
        <v/>
      </c>
      <c r="H4905" s="1" t="str">
        <f>IF(Table2[[#This Row],[Description]]="","",VLOOKUP(Table2[[#This Row],[Description]],$Q$1:$S$101,3,FALSE))</f>
        <v/>
      </c>
      <c r="I4905" s="1" t="str">
        <f>IF(Table2[[#This Row],[Description]]="","",IF(Table2[[#This Row],[Currency]]=$O$2,$P$2,HLOOKUP(Table2[[#This Row],[Date]],Funds!$C$10:$GV$11,2,FALSE)))</f>
        <v/>
      </c>
      <c r="J4905" s="215" t="str">
        <f>IF(Table2[[#This Row],[Description]]="","",Table2[[#This Row],[Value]]/Table2[[#This Row],[Conversion]])</f>
        <v/>
      </c>
      <c r="K4905" s="45" t="str">
        <f>IF(Table2[[#This Row],[Description]]="","",DATE(Table2[[#This Row],[Year]],Table2[[#This Row],[Month]],1))</f>
        <v/>
      </c>
    </row>
    <row r="4906" spans="7:11" x14ac:dyDescent="0.25">
      <c r="G4906" s="1" t="str">
        <f>IF(Table2[[#This Row],[Description]]="","",VLOOKUP(Table2[[#This Row],[Description]],$Q$1:$S$101,2,FALSE))</f>
        <v/>
      </c>
      <c r="H4906" s="1" t="str">
        <f>IF(Table2[[#This Row],[Description]]="","",VLOOKUP(Table2[[#This Row],[Description]],$Q$1:$S$101,3,FALSE))</f>
        <v/>
      </c>
      <c r="I4906" s="1" t="str">
        <f>IF(Table2[[#This Row],[Description]]="","",IF(Table2[[#This Row],[Currency]]=$O$2,$P$2,HLOOKUP(Table2[[#This Row],[Date]],Funds!$C$10:$GV$11,2,FALSE)))</f>
        <v/>
      </c>
      <c r="J4906" s="215" t="str">
        <f>IF(Table2[[#This Row],[Description]]="","",Table2[[#This Row],[Value]]/Table2[[#This Row],[Conversion]])</f>
        <v/>
      </c>
      <c r="K4906" s="45" t="str">
        <f>IF(Table2[[#This Row],[Description]]="","",DATE(Table2[[#This Row],[Year]],Table2[[#This Row],[Month]],1))</f>
        <v/>
      </c>
    </row>
    <row r="4907" spans="7:11" x14ac:dyDescent="0.25">
      <c r="G4907" s="1" t="str">
        <f>IF(Table2[[#This Row],[Description]]="","",VLOOKUP(Table2[[#This Row],[Description]],$Q$1:$S$101,2,FALSE))</f>
        <v/>
      </c>
      <c r="H4907" s="1" t="str">
        <f>IF(Table2[[#This Row],[Description]]="","",VLOOKUP(Table2[[#This Row],[Description]],$Q$1:$S$101,3,FALSE))</f>
        <v/>
      </c>
      <c r="I4907" s="1" t="str">
        <f>IF(Table2[[#This Row],[Description]]="","",IF(Table2[[#This Row],[Currency]]=$O$2,$P$2,HLOOKUP(Table2[[#This Row],[Date]],Funds!$C$10:$GV$11,2,FALSE)))</f>
        <v/>
      </c>
      <c r="J4907" s="215" t="str">
        <f>IF(Table2[[#This Row],[Description]]="","",Table2[[#This Row],[Value]]/Table2[[#This Row],[Conversion]])</f>
        <v/>
      </c>
      <c r="K4907" s="45" t="str">
        <f>IF(Table2[[#This Row],[Description]]="","",DATE(Table2[[#This Row],[Year]],Table2[[#This Row],[Month]],1))</f>
        <v/>
      </c>
    </row>
    <row r="4908" spans="7:11" x14ac:dyDescent="0.25">
      <c r="G4908" s="1" t="str">
        <f>IF(Table2[[#This Row],[Description]]="","",VLOOKUP(Table2[[#This Row],[Description]],$Q$1:$S$101,2,FALSE))</f>
        <v/>
      </c>
      <c r="H4908" s="1" t="str">
        <f>IF(Table2[[#This Row],[Description]]="","",VLOOKUP(Table2[[#This Row],[Description]],$Q$1:$S$101,3,FALSE))</f>
        <v/>
      </c>
      <c r="I4908" s="1" t="str">
        <f>IF(Table2[[#This Row],[Description]]="","",IF(Table2[[#This Row],[Currency]]=$O$2,$P$2,HLOOKUP(Table2[[#This Row],[Date]],Funds!$C$10:$GV$11,2,FALSE)))</f>
        <v/>
      </c>
      <c r="J4908" s="215" t="str">
        <f>IF(Table2[[#This Row],[Description]]="","",Table2[[#This Row],[Value]]/Table2[[#This Row],[Conversion]])</f>
        <v/>
      </c>
      <c r="K4908" s="45" t="str">
        <f>IF(Table2[[#This Row],[Description]]="","",DATE(Table2[[#This Row],[Year]],Table2[[#This Row],[Month]],1))</f>
        <v/>
      </c>
    </row>
    <row r="4909" spans="7:11" x14ac:dyDescent="0.25">
      <c r="G4909" s="1" t="str">
        <f>IF(Table2[[#This Row],[Description]]="","",VLOOKUP(Table2[[#This Row],[Description]],$Q$1:$S$101,2,FALSE))</f>
        <v/>
      </c>
      <c r="H4909" s="1" t="str">
        <f>IF(Table2[[#This Row],[Description]]="","",VLOOKUP(Table2[[#This Row],[Description]],$Q$1:$S$101,3,FALSE))</f>
        <v/>
      </c>
      <c r="I4909" s="1" t="str">
        <f>IF(Table2[[#This Row],[Description]]="","",IF(Table2[[#This Row],[Currency]]=$O$2,$P$2,HLOOKUP(Table2[[#This Row],[Date]],Funds!$C$10:$GV$11,2,FALSE)))</f>
        <v/>
      </c>
      <c r="J4909" s="215" t="str">
        <f>IF(Table2[[#This Row],[Description]]="","",Table2[[#This Row],[Value]]/Table2[[#This Row],[Conversion]])</f>
        <v/>
      </c>
      <c r="K4909" s="45" t="str">
        <f>IF(Table2[[#This Row],[Description]]="","",DATE(Table2[[#This Row],[Year]],Table2[[#This Row],[Month]],1))</f>
        <v/>
      </c>
    </row>
    <row r="4910" spans="7:11" x14ac:dyDescent="0.25">
      <c r="G4910" s="1" t="str">
        <f>IF(Table2[[#This Row],[Description]]="","",VLOOKUP(Table2[[#This Row],[Description]],$Q$1:$S$101,2,FALSE))</f>
        <v/>
      </c>
      <c r="H4910" s="1" t="str">
        <f>IF(Table2[[#This Row],[Description]]="","",VLOOKUP(Table2[[#This Row],[Description]],$Q$1:$S$101,3,FALSE))</f>
        <v/>
      </c>
      <c r="I4910" s="1" t="str">
        <f>IF(Table2[[#This Row],[Description]]="","",IF(Table2[[#This Row],[Currency]]=$O$2,$P$2,HLOOKUP(Table2[[#This Row],[Date]],Funds!$C$10:$GV$11,2,FALSE)))</f>
        <v/>
      </c>
      <c r="J4910" s="215" t="str">
        <f>IF(Table2[[#This Row],[Description]]="","",Table2[[#This Row],[Value]]/Table2[[#This Row],[Conversion]])</f>
        <v/>
      </c>
      <c r="K4910" s="45" t="str">
        <f>IF(Table2[[#This Row],[Description]]="","",DATE(Table2[[#This Row],[Year]],Table2[[#This Row],[Month]],1))</f>
        <v/>
      </c>
    </row>
    <row r="4911" spans="7:11" x14ac:dyDescent="0.25">
      <c r="G4911" s="1" t="str">
        <f>IF(Table2[[#This Row],[Description]]="","",VLOOKUP(Table2[[#This Row],[Description]],$Q$1:$S$101,2,FALSE))</f>
        <v/>
      </c>
      <c r="H4911" s="1" t="str">
        <f>IF(Table2[[#This Row],[Description]]="","",VLOOKUP(Table2[[#This Row],[Description]],$Q$1:$S$101,3,FALSE))</f>
        <v/>
      </c>
      <c r="I4911" s="1" t="str">
        <f>IF(Table2[[#This Row],[Description]]="","",IF(Table2[[#This Row],[Currency]]=$O$2,$P$2,HLOOKUP(Table2[[#This Row],[Date]],Funds!$C$10:$GV$11,2,FALSE)))</f>
        <v/>
      </c>
      <c r="J4911" s="215" t="str">
        <f>IF(Table2[[#This Row],[Description]]="","",Table2[[#This Row],[Value]]/Table2[[#This Row],[Conversion]])</f>
        <v/>
      </c>
      <c r="K4911" s="45" t="str">
        <f>IF(Table2[[#This Row],[Description]]="","",DATE(Table2[[#This Row],[Year]],Table2[[#This Row],[Month]],1))</f>
        <v/>
      </c>
    </row>
    <row r="4912" spans="7:11" x14ac:dyDescent="0.25">
      <c r="G4912" s="1" t="str">
        <f>IF(Table2[[#This Row],[Description]]="","",VLOOKUP(Table2[[#This Row],[Description]],$Q$1:$S$101,2,FALSE))</f>
        <v/>
      </c>
      <c r="H4912" s="1" t="str">
        <f>IF(Table2[[#This Row],[Description]]="","",VLOOKUP(Table2[[#This Row],[Description]],$Q$1:$S$101,3,FALSE))</f>
        <v/>
      </c>
      <c r="I4912" s="1" t="str">
        <f>IF(Table2[[#This Row],[Description]]="","",IF(Table2[[#This Row],[Currency]]=$O$2,$P$2,HLOOKUP(Table2[[#This Row],[Date]],Funds!$C$10:$GV$11,2,FALSE)))</f>
        <v/>
      </c>
      <c r="J4912" s="215" t="str">
        <f>IF(Table2[[#This Row],[Description]]="","",Table2[[#This Row],[Value]]/Table2[[#This Row],[Conversion]])</f>
        <v/>
      </c>
      <c r="K4912" s="45" t="str">
        <f>IF(Table2[[#This Row],[Description]]="","",DATE(Table2[[#This Row],[Year]],Table2[[#This Row],[Month]],1))</f>
        <v/>
      </c>
    </row>
    <row r="4913" spans="7:11" x14ac:dyDescent="0.25">
      <c r="G4913" s="1" t="str">
        <f>IF(Table2[[#This Row],[Description]]="","",VLOOKUP(Table2[[#This Row],[Description]],$Q$1:$S$101,2,FALSE))</f>
        <v/>
      </c>
      <c r="H4913" s="1" t="str">
        <f>IF(Table2[[#This Row],[Description]]="","",VLOOKUP(Table2[[#This Row],[Description]],$Q$1:$S$101,3,FALSE))</f>
        <v/>
      </c>
      <c r="I4913" s="1" t="str">
        <f>IF(Table2[[#This Row],[Description]]="","",IF(Table2[[#This Row],[Currency]]=$O$2,$P$2,HLOOKUP(Table2[[#This Row],[Date]],Funds!$C$10:$GV$11,2,FALSE)))</f>
        <v/>
      </c>
      <c r="J4913" s="215" t="str">
        <f>IF(Table2[[#This Row],[Description]]="","",Table2[[#This Row],[Value]]/Table2[[#This Row],[Conversion]])</f>
        <v/>
      </c>
      <c r="K4913" s="45" t="str">
        <f>IF(Table2[[#This Row],[Description]]="","",DATE(Table2[[#This Row],[Year]],Table2[[#This Row],[Month]],1))</f>
        <v/>
      </c>
    </row>
    <row r="4914" spans="7:11" x14ac:dyDescent="0.25">
      <c r="G4914" s="1" t="str">
        <f>IF(Table2[[#This Row],[Description]]="","",VLOOKUP(Table2[[#This Row],[Description]],$Q$1:$S$101,2,FALSE))</f>
        <v/>
      </c>
      <c r="H4914" s="1" t="str">
        <f>IF(Table2[[#This Row],[Description]]="","",VLOOKUP(Table2[[#This Row],[Description]],$Q$1:$S$101,3,FALSE))</f>
        <v/>
      </c>
      <c r="I4914" s="1" t="str">
        <f>IF(Table2[[#This Row],[Description]]="","",IF(Table2[[#This Row],[Currency]]=$O$2,$P$2,HLOOKUP(Table2[[#This Row],[Date]],Funds!$C$10:$GV$11,2,FALSE)))</f>
        <v/>
      </c>
      <c r="J4914" s="215" t="str">
        <f>IF(Table2[[#This Row],[Description]]="","",Table2[[#This Row],[Value]]/Table2[[#This Row],[Conversion]])</f>
        <v/>
      </c>
      <c r="K4914" s="45" t="str">
        <f>IF(Table2[[#This Row],[Description]]="","",DATE(Table2[[#This Row],[Year]],Table2[[#This Row],[Month]],1))</f>
        <v/>
      </c>
    </row>
    <row r="4915" spans="7:11" x14ac:dyDescent="0.25">
      <c r="G4915" s="1" t="str">
        <f>IF(Table2[[#This Row],[Description]]="","",VLOOKUP(Table2[[#This Row],[Description]],$Q$1:$S$101,2,FALSE))</f>
        <v/>
      </c>
      <c r="H4915" s="1" t="str">
        <f>IF(Table2[[#This Row],[Description]]="","",VLOOKUP(Table2[[#This Row],[Description]],$Q$1:$S$101,3,FALSE))</f>
        <v/>
      </c>
      <c r="I4915" s="1" t="str">
        <f>IF(Table2[[#This Row],[Description]]="","",IF(Table2[[#This Row],[Currency]]=$O$2,$P$2,HLOOKUP(Table2[[#This Row],[Date]],Funds!$C$10:$GV$11,2,FALSE)))</f>
        <v/>
      </c>
      <c r="J4915" s="215" t="str">
        <f>IF(Table2[[#This Row],[Description]]="","",Table2[[#This Row],[Value]]/Table2[[#This Row],[Conversion]])</f>
        <v/>
      </c>
      <c r="K4915" s="45" t="str">
        <f>IF(Table2[[#This Row],[Description]]="","",DATE(Table2[[#This Row],[Year]],Table2[[#This Row],[Month]],1))</f>
        <v/>
      </c>
    </row>
    <row r="4916" spans="7:11" x14ac:dyDescent="0.25">
      <c r="G4916" s="1" t="str">
        <f>IF(Table2[[#This Row],[Description]]="","",VLOOKUP(Table2[[#This Row],[Description]],$Q$1:$S$101,2,FALSE))</f>
        <v/>
      </c>
      <c r="H4916" s="1" t="str">
        <f>IF(Table2[[#This Row],[Description]]="","",VLOOKUP(Table2[[#This Row],[Description]],$Q$1:$S$101,3,FALSE))</f>
        <v/>
      </c>
      <c r="I4916" s="1" t="str">
        <f>IF(Table2[[#This Row],[Description]]="","",IF(Table2[[#This Row],[Currency]]=$O$2,$P$2,HLOOKUP(Table2[[#This Row],[Date]],Funds!$C$10:$GV$11,2,FALSE)))</f>
        <v/>
      </c>
      <c r="J4916" s="215" t="str">
        <f>IF(Table2[[#This Row],[Description]]="","",Table2[[#This Row],[Value]]/Table2[[#This Row],[Conversion]])</f>
        <v/>
      </c>
      <c r="K4916" s="45" t="str">
        <f>IF(Table2[[#This Row],[Description]]="","",DATE(Table2[[#This Row],[Year]],Table2[[#This Row],[Month]],1))</f>
        <v/>
      </c>
    </row>
    <row r="4917" spans="7:11" x14ac:dyDescent="0.25">
      <c r="G4917" s="1" t="str">
        <f>IF(Table2[[#This Row],[Description]]="","",VLOOKUP(Table2[[#This Row],[Description]],$Q$1:$S$101,2,FALSE))</f>
        <v/>
      </c>
      <c r="H4917" s="1" t="str">
        <f>IF(Table2[[#This Row],[Description]]="","",VLOOKUP(Table2[[#This Row],[Description]],$Q$1:$S$101,3,FALSE))</f>
        <v/>
      </c>
      <c r="I4917" s="1" t="str">
        <f>IF(Table2[[#This Row],[Description]]="","",IF(Table2[[#This Row],[Currency]]=$O$2,$P$2,HLOOKUP(Table2[[#This Row],[Date]],Funds!$C$10:$GV$11,2,FALSE)))</f>
        <v/>
      </c>
      <c r="J4917" s="215" t="str">
        <f>IF(Table2[[#This Row],[Description]]="","",Table2[[#This Row],[Value]]/Table2[[#This Row],[Conversion]])</f>
        <v/>
      </c>
      <c r="K4917" s="45" t="str">
        <f>IF(Table2[[#This Row],[Description]]="","",DATE(Table2[[#This Row],[Year]],Table2[[#This Row],[Month]],1))</f>
        <v/>
      </c>
    </row>
    <row r="4918" spans="7:11" x14ac:dyDescent="0.25">
      <c r="G4918" s="1" t="str">
        <f>IF(Table2[[#This Row],[Description]]="","",VLOOKUP(Table2[[#This Row],[Description]],$Q$1:$S$101,2,FALSE))</f>
        <v/>
      </c>
      <c r="H4918" s="1" t="str">
        <f>IF(Table2[[#This Row],[Description]]="","",VLOOKUP(Table2[[#This Row],[Description]],$Q$1:$S$101,3,FALSE))</f>
        <v/>
      </c>
      <c r="I4918" s="1" t="str">
        <f>IF(Table2[[#This Row],[Description]]="","",IF(Table2[[#This Row],[Currency]]=$O$2,$P$2,HLOOKUP(Table2[[#This Row],[Date]],Funds!$C$10:$GV$11,2,FALSE)))</f>
        <v/>
      </c>
      <c r="J4918" s="215" t="str">
        <f>IF(Table2[[#This Row],[Description]]="","",Table2[[#This Row],[Value]]/Table2[[#This Row],[Conversion]])</f>
        <v/>
      </c>
      <c r="K4918" s="45" t="str">
        <f>IF(Table2[[#This Row],[Description]]="","",DATE(Table2[[#This Row],[Year]],Table2[[#This Row],[Month]],1))</f>
        <v/>
      </c>
    </row>
    <row r="4919" spans="7:11" x14ac:dyDescent="0.25">
      <c r="G4919" s="1" t="str">
        <f>IF(Table2[[#This Row],[Description]]="","",VLOOKUP(Table2[[#This Row],[Description]],$Q$1:$S$101,2,FALSE))</f>
        <v/>
      </c>
      <c r="H4919" s="1" t="str">
        <f>IF(Table2[[#This Row],[Description]]="","",VLOOKUP(Table2[[#This Row],[Description]],$Q$1:$S$101,3,FALSE))</f>
        <v/>
      </c>
      <c r="I4919" s="1" t="str">
        <f>IF(Table2[[#This Row],[Description]]="","",IF(Table2[[#This Row],[Currency]]=$O$2,$P$2,HLOOKUP(Table2[[#This Row],[Date]],Funds!$C$10:$GV$11,2,FALSE)))</f>
        <v/>
      </c>
      <c r="J4919" s="215" t="str">
        <f>IF(Table2[[#This Row],[Description]]="","",Table2[[#This Row],[Value]]/Table2[[#This Row],[Conversion]])</f>
        <v/>
      </c>
      <c r="K4919" s="45" t="str">
        <f>IF(Table2[[#This Row],[Description]]="","",DATE(Table2[[#This Row],[Year]],Table2[[#This Row],[Month]],1))</f>
        <v/>
      </c>
    </row>
    <row r="4920" spans="7:11" x14ac:dyDescent="0.25">
      <c r="G4920" s="1" t="str">
        <f>IF(Table2[[#This Row],[Description]]="","",VLOOKUP(Table2[[#This Row],[Description]],$Q$1:$S$101,2,FALSE))</f>
        <v/>
      </c>
      <c r="H4920" s="1" t="str">
        <f>IF(Table2[[#This Row],[Description]]="","",VLOOKUP(Table2[[#This Row],[Description]],$Q$1:$S$101,3,FALSE))</f>
        <v/>
      </c>
      <c r="I4920" s="1" t="str">
        <f>IF(Table2[[#This Row],[Description]]="","",IF(Table2[[#This Row],[Currency]]=$O$2,$P$2,HLOOKUP(Table2[[#This Row],[Date]],Funds!$C$10:$GV$11,2,FALSE)))</f>
        <v/>
      </c>
      <c r="J4920" s="215" t="str">
        <f>IF(Table2[[#This Row],[Description]]="","",Table2[[#This Row],[Value]]/Table2[[#This Row],[Conversion]])</f>
        <v/>
      </c>
      <c r="K4920" s="45" t="str">
        <f>IF(Table2[[#This Row],[Description]]="","",DATE(Table2[[#This Row],[Year]],Table2[[#This Row],[Month]],1))</f>
        <v/>
      </c>
    </row>
    <row r="4921" spans="7:11" x14ac:dyDescent="0.25">
      <c r="G4921" s="1" t="str">
        <f>IF(Table2[[#This Row],[Description]]="","",VLOOKUP(Table2[[#This Row],[Description]],$Q$1:$S$101,2,FALSE))</f>
        <v/>
      </c>
      <c r="H4921" s="1" t="str">
        <f>IF(Table2[[#This Row],[Description]]="","",VLOOKUP(Table2[[#This Row],[Description]],$Q$1:$S$101,3,FALSE))</f>
        <v/>
      </c>
      <c r="I4921" s="1" t="str">
        <f>IF(Table2[[#This Row],[Description]]="","",IF(Table2[[#This Row],[Currency]]=$O$2,$P$2,HLOOKUP(Table2[[#This Row],[Date]],Funds!$C$10:$GV$11,2,FALSE)))</f>
        <v/>
      </c>
      <c r="J4921" s="215" t="str">
        <f>IF(Table2[[#This Row],[Description]]="","",Table2[[#This Row],[Value]]/Table2[[#This Row],[Conversion]])</f>
        <v/>
      </c>
      <c r="K4921" s="45" t="str">
        <f>IF(Table2[[#This Row],[Description]]="","",DATE(Table2[[#This Row],[Year]],Table2[[#This Row],[Month]],1))</f>
        <v/>
      </c>
    </row>
    <row r="4922" spans="7:11" x14ac:dyDescent="0.25">
      <c r="G4922" s="1" t="str">
        <f>IF(Table2[[#This Row],[Description]]="","",VLOOKUP(Table2[[#This Row],[Description]],$Q$1:$S$101,2,FALSE))</f>
        <v/>
      </c>
      <c r="H4922" s="1" t="str">
        <f>IF(Table2[[#This Row],[Description]]="","",VLOOKUP(Table2[[#This Row],[Description]],$Q$1:$S$101,3,FALSE))</f>
        <v/>
      </c>
      <c r="I4922" s="1" t="str">
        <f>IF(Table2[[#This Row],[Description]]="","",IF(Table2[[#This Row],[Currency]]=$O$2,$P$2,HLOOKUP(Table2[[#This Row],[Date]],Funds!$C$10:$GV$11,2,FALSE)))</f>
        <v/>
      </c>
      <c r="J4922" s="215" t="str">
        <f>IF(Table2[[#This Row],[Description]]="","",Table2[[#This Row],[Value]]/Table2[[#This Row],[Conversion]])</f>
        <v/>
      </c>
      <c r="K4922" s="45" t="str">
        <f>IF(Table2[[#This Row],[Description]]="","",DATE(Table2[[#This Row],[Year]],Table2[[#This Row],[Month]],1))</f>
        <v/>
      </c>
    </row>
    <row r="4923" spans="7:11" x14ac:dyDescent="0.25">
      <c r="G4923" s="1" t="str">
        <f>IF(Table2[[#This Row],[Description]]="","",VLOOKUP(Table2[[#This Row],[Description]],$Q$1:$S$101,2,FALSE))</f>
        <v/>
      </c>
      <c r="H4923" s="1" t="str">
        <f>IF(Table2[[#This Row],[Description]]="","",VLOOKUP(Table2[[#This Row],[Description]],$Q$1:$S$101,3,FALSE))</f>
        <v/>
      </c>
      <c r="I4923" s="1" t="str">
        <f>IF(Table2[[#This Row],[Description]]="","",IF(Table2[[#This Row],[Currency]]=$O$2,$P$2,HLOOKUP(Table2[[#This Row],[Date]],Funds!$C$10:$GV$11,2,FALSE)))</f>
        <v/>
      </c>
      <c r="J4923" s="215" t="str">
        <f>IF(Table2[[#This Row],[Description]]="","",Table2[[#This Row],[Value]]/Table2[[#This Row],[Conversion]])</f>
        <v/>
      </c>
      <c r="K4923" s="45" t="str">
        <f>IF(Table2[[#This Row],[Description]]="","",DATE(Table2[[#This Row],[Year]],Table2[[#This Row],[Month]],1))</f>
        <v/>
      </c>
    </row>
    <row r="4924" spans="7:11" x14ac:dyDescent="0.25">
      <c r="G4924" s="1" t="str">
        <f>IF(Table2[[#This Row],[Description]]="","",VLOOKUP(Table2[[#This Row],[Description]],$Q$1:$S$101,2,FALSE))</f>
        <v/>
      </c>
      <c r="H4924" s="1" t="str">
        <f>IF(Table2[[#This Row],[Description]]="","",VLOOKUP(Table2[[#This Row],[Description]],$Q$1:$S$101,3,FALSE))</f>
        <v/>
      </c>
      <c r="I4924" s="1" t="str">
        <f>IF(Table2[[#This Row],[Description]]="","",IF(Table2[[#This Row],[Currency]]=$O$2,$P$2,HLOOKUP(Table2[[#This Row],[Date]],Funds!$C$10:$GV$11,2,FALSE)))</f>
        <v/>
      </c>
      <c r="J4924" s="215" t="str">
        <f>IF(Table2[[#This Row],[Description]]="","",Table2[[#This Row],[Value]]/Table2[[#This Row],[Conversion]])</f>
        <v/>
      </c>
      <c r="K4924" s="45" t="str">
        <f>IF(Table2[[#This Row],[Description]]="","",DATE(Table2[[#This Row],[Year]],Table2[[#This Row],[Month]],1))</f>
        <v/>
      </c>
    </row>
    <row r="4925" spans="7:11" x14ac:dyDescent="0.25">
      <c r="G4925" s="1" t="str">
        <f>IF(Table2[[#This Row],[Description]]="","",VLOOKUP(Table2[[#This Row],[Description]],$Q$1:$S$101,2,FALSE))</f>
        <v/>
      </c>
      <c r="H4925" s="1" t="str">
        <f>IF(Table2[[#This Row],[Description]]="","",VLOOKUP(Table2[[#This Row],[Description]],$Q$1:$S$101,3,FALSE))</f>
        <v/>
      </c>
      <c r="I4925" s="1" t="str">
        <f>IF(Table2[[#This Row],[Description]]="","",IF(Table2[[#This Row],[Currency]]=$O$2,$P$2,HLOOKUP(Table2[[#This Row],[Date]],Funds!$C$10:$GV$11,2,FALSE)))</f>
        <v/>
      </c>
      <c r="J4925" s="215" t="str">
        <f>IF(Table2[[#This Row],[Description]]="","",Table2[[#This Row],[Value]]/Table2[[#This Row],[Conversion]])</f>
        <v/>
      </c>
      <c r="K4925" s="45" t="str">
        <f>IF(Table2[[#This Row],[Description]]="","",DATE(Table2[[#This Row],[Year]],Table2[[#This Row],[Month]],1))</f>
        <v/>
      </c>
    </row>
    <row r="4926" spans="7:11" x14ac:dyDescent="0.25">
      <c r="G4926" s="1" t="str">
        <f>IF(Table2[[#This Row],[Description]]="","",VLOOKUP(Table2[[#This Row],[Description]],$Q$1:$S$101,2,FALSE))</f>
        <v/>
      </c>
      <c r="H4926" s="1" t="str">
        <f>IF(Table2[[#This Row],[Description]]="","",VLOOKUP(Table2[[#This Row],[Description]],$Q$1:$S$101,3,FALSE))</f>
        <v/>
      </c>
      <c r="I4926" s="1" t="str">
        <f>IF(Table2[[#This Row],[Description]]="","",IF(Table2[[#This Row],[Currency]]=$O$2,$P$2,HLOOKUP(Table2[[#This Row],[Date]],Funds!$C$10:$GV$11,2,FALSE)))</f>
        <v/>
      </c>
      <c r="J4926" s="215" t="str">
        <f>IF(Table2[[#This Row],[Description]]="","",Table2[[#This Row],[Value]]/Table2[[#This Row],[Conversion]])</f>
        <v/>
      </c>
      <c r="K4926" s="45" t="str">
        <f>IF(Table2[[#This Row],[Description]]="","",DATE(Table2[[#This Row],[Year]],Table2[[#This Row],[Month]],1))</f>
        <v/>
      </c>
    </row>
    <row r="4927" spans="7:11" x14ac:dyDescent="0.25">
      <c r="G4927" s="1" t="str">
        <f>IF(Table2[[#This Row],[Description]]="","",VLOOKUP(Table2[[#This Row],[Description]],$Q$1:$S$101,2,FALSE))</f>
        <v/>
      </c>
      <c r="H4927" s="1" t="str">
        <f>IF(Table2[[#This Row],[Description]]="","",VLOOKUP(Table2[[#This Row],[Description]],$Q$1:$S$101,3,FALSE))</f>
        <v/>
      </c>
      <c r="I4927" s="1" t="str">
        <f>IF(Table2[[#This Row],[Description]]="","",IF(Table2[[#This Row],[Currency]]=$O$2,$P$2,HLOOKUP(Table2[[#This Row],[Date]],Funds!$C$10:$GV$11,2,FALSE)))</f>
        <v/>
      </c>
      <c r="J4927" s="215" t="str">
        <f>IF(Table2[[#This Row],[Description]]="","",Table2[[#This Row],[Value]]/Table2[[#This Row],[Conversion]])</f>
        <v/>
      </c>
      <c r="K4927" s="45" t="str">
        <f>IF(Table2[[#This Row],[Description]]="","",DATE(Table2[[#This Row],[Year]],Table2[[#This Row],[Month]],1))</f>
        <v/>
      </c>
    </row>
    <row r="4928" spans="7:11" x14ac:dyDescent="0.25">
      <c r="G4928" s="1" t="str">
        <f>IF(Table2[[#This Row],[Description]]="","",VLOOKUP(Table2[[#This Row],[Description]],$Q$1:$S$101,2,FALSE))</f>
        <v/>
      </c>
      <c r="H4928" s="1" t="str">
        <f>IF(Table2[[#This Row],[Description]]="","",VLOOKUP(Table2[[#This Row],[Description]],$Q$1:$S$101,3,FALSE))</f>
        <v/>
      </c>
      <c r="I4928" s="1" t="str">
        <f>IF(Table2[[#This Row],[Description]]="","",IF(Table2[[#This Row],[Currency]]=$O$2,$P$2,HLOOKUP(Table2[[#This Row],[Date]],Funds!$C$10:$GV$11,2,FALSE)))</f>
        <v/>
      </c>
      <c r="J4928" s="215" t="str">
        <f>IF(Table2[[#This Row],[Description]]="","",Table2[[#This Row],[Value]]/Table2[[#This Row],[Conversion]])</f>
        <v/>
      </c>
      <c r="K4928" s="45" t="str">
        <f>IF(Table2[[#This Row],[Description]]="","",DATE(Table2[[#This Row],[Year]],Table2[[#This Row],[Month]],1))</f>
        <v/>
      </c>
    </row>
    <row r="4929" spans="7:11" x14ac:dyDescent="0.25">
      <c r="G4929" s="1" t="str">
        <f>IF(Table2[[#This Row],[Description]]="","",VLOOKUP(Table2[[#This Row],[Description]],$Q$1:$S$101,2,FALSE))</f>
        <v/>
      </c>
      <c r="H4929" s="1" t="str">
        <f>IF(Table2[[#This Row],[Description]]="","",VLOOKUP(Table2[[#This Row],[Description]],$Q$1:$S$101,3,FALSE))</f>
        <v/>
      </c>
      <c r="I4929" s="1" t="str">
        <f>IF(Table2[[#This Row],[Description]]="","",IF(Table2[[#This Row],[Currency]]=$O$2,$P$2,HLOOKUP(Table2[[#This Row],[Date]],Funds!$C$10:$GV$11,2,FALSE)))</f>
        <v/>
      </c>
      <c r="J4929" s="215" t="str">
        <f>IF(Table2[[#This Row],[Description]]="","",Table2[[#This Row],[Value]]/Table2[[#This Row],[Conversion]])</f>
        <v/>
      </c>
      <c r="K4929" s="45" t="str">
        <f>IF(Table2[[#This Row],[Description]]="","",DATE(Table2[[#This Row],[Year]],Table2[[#This Row],[Month]],1))</f>
        <v/>
      </c>
    </row>
    <row r="4930" spans="7:11" x14ac:dyDescent="0.25">
      <c r="G4930" s="1" t="str">
        <f>IF(Table2[[#This Row],[Description]]="","",VLOOKUP(Table2[[#This Row],[Description]],$Q$1:$S$101,2,FALSE))</f>
        <v/>
      </c>
      <c r="H4930" s="1" t="str">
        <f>IF(Table2[[#This Row],[Description]]="","",VLOOKUP(Table2[[#This Row],[Description]],$Q$1:$S$101,3,FALSE))</f>
        <v/>
      </c>
      <c r="I4930" s="1" t="str">
        <f>IF(Table2[[#This Row],[Description]]="","",IF(Table2[[#This Row],[Currency]]=$O$2,$P$2,HLOOKUP(Table2[[#This Row],[Date]],Funds!$C$10:$GV$11,2,FALSE)))</f>
        <v/>
      </c>
      <c r="J4930" s="215" t="str">
        <f>IF(Table2[[#This Row],[Description]]="","",Table2[[#This Row],[Value]]/Table2[[#This Row],[Conversion]])</f>
        <v/>
      </c>
      <c r="K4930" s="45" t="str">
        <f>IF(Table2[[#This Row],[Description]]="","",DATE(Table2[[#This Row],[Year]],Table2[[#This Row],[Month]],1))</f>
        <v/>
      </c>
    </row>
    <row r="4931" spans="7:11" x14ac:dyDescent="0.25">
      <c r="G4931" s="1" t="str">
        <f>IF(Table2[[#This Row],[Description]]="","",VLOOKUP(Table2[[#This Row],[Description]],$Q$1:$S$101,2,FALSE))</f>
        <v/>
      </c>
      <c r="H4931" s="1" t="str">
        <f>IF(Table2[[#This Row],[Description]]="","",VLOOKUP(Table2[[#This Row],[Description]],$Q$1:$S$101,3,FALSE))</f>
        <v/>
      </c>
      <c r="I4931" s="1" t="str">
        <f>IF(Table2[[#This Row],[Description]]="","",IF(Table2[[#This Row],[Currency]]=$O$2,$P$2,HLOOKUP(Table2[[#This Row],[Date]],Funds!$C$10:$GV$11,2,FALSE)))</f>
        <v/>
      </c>
      <c r="J4931" s="215" t="str">
        <f>IF(Table2[[#This Row],[Description]]="","",Table2[[#This Row],[Value]]/Table2[[#This Row],[Conversion]])</f>
        <v/>
      </c>
      <c r="K4931" s="45" t="str">
        <f>IF(Table2[[#This Row],[Description]]="","",DATE(Table2[[#This Row],[Year]],Table2[[#This Row],[Month]],1))</f>
        <v/>
      </c>
    </row>
    <row r="4932" spans="7:11" x14ac:dyDescent="0.25">
      <c r="G4932" s="1" t="str">
        <f>IF(Table2[[#This Row],[Description]]="","",VLOOKUP(Table2[[#This Row],[Description]],$Q$1:$S$101,2,FALSE))</f>
        <v/>
      </c>
      <c r="H4932" s="1" t="str">
        <f>IF(Table2[[#This Row],[Description]]="","",VLOOKUP(Table2[[#This Row],[Description]],$Q$1:$S$101,3,FALSE))</f>
        <v/>
      </c>
      <c r="I4932" s="1" t="str">
        <f>IF(Table2[[#This Row],[Description]]="","",IF(Table2[[#This Row],[Currency]]=$O$2,$P$2,HLOOKUP(Table2[[#This Row],[Date]],Funds!$C$10:$GV$11,2,FALSE)))</f>
        <v/>
      </c>
      <c r="J4932" s="215" t="str">
        <f>IF(Table2[[#This Row],[Description]]="","",Table2[[#This Row],[Value]]/Table2[[#This Row],[Conversion]])</f>
        <v/>
      </c>
      <c r="K4932" s="45" t="str">
        <f>IF(Table2[[#This Row],[Description]]="","",DATE(Table2[[#This Row],[Year]],Table2[[#This Row],[Month]],1))</f>
        <v/>
      </c>
    </row>
    <row r="4933" spans="7:11" x14ac:dyDescent="0.25">
      <c r="G4933" s="1" t="str">
        <f>IF(Table2[[#This Row],[Description]]="","",VLOOKUP(Table2[[#This Row],[Description]],$Q$1:$S$101,2,FALSE))</f>
        <v/>
      </c>
      <c r="H4933" s="1" t="str">
        <f>IF(Table2[[#This Row],[Description]]="","",VLOOKUP(Table2[[#This Row],[Description]],$Q$1:$S$101,3,FALSE))</f>
        <v/>
      </c>
      <c r="I4933" s="1" t="str">
        <f>IF(Table2[[#This Row],[Description]]="","",IF(Table2[[#This Row],[Currency]]=$O$2,$P$2,HLOOKUP(Table2[[#This Row],[Date]],Funds!$C$10:$GV$11,2,FALSE)))</f>
        <v/>
      </c>
      <c r="J4933" s="215" t="str">
        <f>IF(Table2[[#This Row],[Description]]="","",Table2[[#This Row],[Value]]/Table2[[#This Row],[Conversion]])</f>
        <v/>
      </c>
      <c r="K4933" s="45" t="str">
        <f>IF(Table2[[#This Row],[Description]]="","",DATE(Table2[[#This Row],[Year]],Table2[[#This Row],[Month]],1))</f>
        <v/>
      </c>
    </row>
    <row r="4934" spans="7:11" x14ac:dyDescent="0.25">
      <c r="G4934" s="1" t="str">
        <f>IF(Table2[[#This Row],[Description]]="","",VLOOKUP(Table2[[#This Row],[Description]],$Q$1:$S$101,2,FALSE))</f>
        <v/>
      </c>
      <c r="H4934" s="1" t="str">
        <f>IF(Table2[[#This Row],[Description]]="","",VLOOKUP(Table2[[#This Row],[Description]],$Q$1:$S$101,3,FALSE))</f>
        <v/>
      </c>
      <c r="I4934" s="1" t="str">
        <f>IF(Table2[[#This Row],[Description]]="","",IF(Table2[[#This Row],[Currency]]=$O$2,$P$2,HLOOKUP(Table2[[#This Row],[Date]],Funds!$C$10:$GV$11,2,FALSE)))</f>
        <v/>
      </c>
      <c r="J4934" s="215" t="str">
        <f>IF(Table2[[#This Row],[Description]]="","",Table2[[#This Row],[Value]]/Table2[[#This Row],[Conversion]])</f>
        <v/>
      </c>
      <c r="K4934" s="45" t="str">
        <f>IF(Table2[[#This Row],[Description]]="","",DATE(Table2[[#This Row],[Year]],Table2[[#This Row],[Month]],1))</f>
        <v/>
      </c>
    </row>
    <row r="4935" spans="7:11" x14ac:dyDescent="0.25">
      <c r="G4935" s="1" t="str">
        <f>IF(Table2[[#This Row],[Description]]="","",VLOOKUP(Table2[[#This Row],[Description]],$Q$1:$S$101,2,FALSE))</f>
        <v/>
      </c>
      <c r="H4935" s="1" t="str">
        <f>IF(Table2[[#This Row],[Description]]="","",VLOOKUP(Table2[[#This Row],[Description]],$Q$1:$S$101,3,FALSE))</f>
        <v/>
      </c>
      <c r="I4935" s="1" t="str">
        <f>IF(Table2[[#This Row],[Description]]="","",IF(Table2[[#This Row],[Currency]]=$O$2,$P$2,HLOOKUP(Table2[[#This Row],[Date]],Funds!$C$10:$GV$11,2,FALSE)))</f>
        <v/>
      </c>
      <c r="J4935" s="215" t="str">
        <f>IF(Table2[[#This Row],[Description]]="","",Table2[[#This Row],[Value]]/Table2[[#This Row],[Conversion]])</f>
        <v/>
      </c>
      <c r="K4935" s="45" t="str">
        <f>IF(Table2[[#This Row],[Description]]="","",DATE(Table2[[#This Row],[Year]],Table2[[#This Row],[Month]],1))</f>
        <v/>
      </c>
    </row>
    <row r="4936" spans="7:11" x14ac:dyDescent="0.25">
      <c r="G4936" s="1" t="str">
        <f>IF(Table2[[#This Row],[Description]]="","",VLOOKUP(Table2[[#This Row],[Description]],$Q$1:$S$101,2,FALSE))</f>
        <v/>
      </c>
      <c r="H4936" s="1" t="str">
        <f>IF(Table2[[#This Row],[Description]]="","",VLOOKUP(Table2[[#This Row],[Description]],$Q$1:$S$101,3,FALSE))</f>
        <v/>
      </c>
      <c r="I4936" s="1" t="str">
        <f>IF(Table2[[#This Row],[Description]]="","",IF(Table2[[#This Row],[Currency]]=$O$2,$P$2,HLOOKUP(Table2[[#This Row],[Date]],Funds!$C$10:$GV$11,2,FALSE)))</f>
        <v/>
      </c>
      <c r="J4936" s="215" t="str">
        <f>IF(Table2[[#This Row],[Description]]="","",Table2[[#This Row],[Value]]/Table2[[#This Row],[Conversion]])</f>
        <v/>
      </c>
      <c r="K4936" s="45" t="str">
        <f>IF(Table2[[#This Row],[Description]]="","",DATE(Table2[[#This Row],[Year]],Table2[[#This Row],[Month]],1))</f>
        <v/>
      </c>
    </row>
    <row r="4937" spans="7:11" x14ac:dyDescent="0.25">
      <c r="G4937" s="1" t="str">
        <f>IF(Table2[[#This Row],[Description]]="","",VLOOKUP(Table2[[#This Row],[Description]],$Q$1:$S$101,2,FALSE))</f>
        <v/>
      </c>
      <c r="H4937" s="1" t="str">
        <f>IF(Table2[[#This Row],[Description]]="","",VLOOKUP(Table2[[#This Row],[Description]],$Q$1:$S$101,3,FALSE))</f>
        <v/>
      </c>
      <c r="I4937" s="1" t="str">
        <f>IF(Table2[[#This Row],[Description]]="","",IF(Table2[[#This Row],[Currency]]=$O$2,$P$2,HLOOKUP(Table2[[#This Row],[Date]],Funds!$C$10:$GV$11,2,FALSE)))</f>
        <v/>
      </c>
      <c r="J4937" s="215" t="str">
        <f>IF(Table2[[#This Row],[Description]]="","",Table2[[#This Row],[Value]]/Table2[[#This Row],[Conversion]])</f>
        <v/>
      </c>
      <c r="K4937" s="45" t="str">
        <f>IF(Table2[[#This Row],[Description]]="","",DATE(Table2[[#This Row],[Year]],Table2[[#This Row],[Month]],1))</f>
        <v/>
      </c>
    </row>
    <row r="4938" spans="7:11" x14ac:dyDescent="0.25">
      <c r="G4938" s="1" t="str">
        <f>IF(Table2[[#This Row],[Description]]="","",VLOOKUP(Table2[[#This Row],[Description]],$Q$1:$S$101,2,FALSE))</f>
        <v/>
      </c>
      <c r="H4938" s="1" t="str">
        <f>IF(Table2[[#This Row],[Description]]="","",VLOOKUP(Table2[[#This Row],[Description]],$Q$1:$S$101,3,FALSE))</f>
        <v/>
      </c>
      <c r="I4938" s="1" t="str">
        <f>IF(Table2[[#This Row],[Description]]="","",IF(Table2[[#This Row],[Currency]]=$O$2,$P$2,HLOOKUP(Table2[[#This Row],[Date]],Funds!$C$10:$GV$11,2,FALSE)))</f>
        <v/>
      </c>
      <c r="J4938" s="215" t="str">
        <f>IF(Table2[[#This Row],[Description]]="","",Table2[[#This Row],[Value]]/Table2[[#This Row],[Conversion]])</f>
        <v/>
      </c>
      <c r="K4938" s="45" t="str">
        <f>IF(Table2[[#This Row],[Description]]="","",DATE(Table2[[#This Row],[Year]],Table2[[#This Row],[Month]],1))</f>
        <v/>
      </c>
    </row>
    <row r="4939" spans="7:11" x14ac:dyDescent="0.25">
      <c r="G4939" s="1" t="str">
        <f>IF(Table2[[#This Row],[Description]]="","",VLOOKUP(Table2[[#This Row],[Description]],$Q$1:$S$101,2,FALSE))</f>
        <v/>
      </c>
      <c r="H4939" s="1" t="str">
        <f>IF(Table2[[#This Row],[Description]]="","",VLOOKUP(Table2[[#This Row],[Description]],$Q$1:$S$101,3,FALSE))</f>
        <v/>
      </c>
      <c r="I4939" s="1" t="str">
        <f>IF(Table2[[#This Row],[Description]]="","",IF(Table2[[#This Row],[Currency]]=$O$2,$P$2,HLOOKUP(Table2[[#This Row],[Date]],Funds!$C$10:$GV$11,2,FALSE)))</f>
        <v/>
      </c>
      <c r="J4939" s="215" t="str">
        <f>IF(Table2[[#This Row],[Description]]="","",Table2[[#This Row],[Value]]/Table2[[#This Row],[Conversion]])</f>
        <v/>
      </c>
      <c r="K4939" s="45" t="str">
        <f>IF(Table2[[#This Row],[Description]]="","",DATE(Table2[[#This Row],[Year]],Table2[[#This Row],[Month]],1))</f>
        <v/>
      </c>
    </row>
    <row r="4940" spans="7:11" x14ac:dyDescent="0.25">
      <c r="G4940" s="1" t="str">
        <f>IF(Table2[[#This Row],[Description]]="","",VLOOKUP(Table2[[#This Row],[Description]],$Q$1:$S$101,2,FALSE))</f>
        <v/>
      </c>
      <c r="H4940" s="1" t="str">
        <f>IF(Table2[[#This Row],[Description]]="","",VLOOKUP(Table2[[#This Row],[Description]],$Q$1:$S$101,3,FALSE))</f>
        <v/>
      </c>
      <c r="I4940" s="1" t="str">
        <f>IF(Table2[[#This Row],[Description]]="","",IF(Table2[[#This Row],[Currency]]=$O$2,$P$2,HLOOKUP(Table2[[#This Row],[Date]],Funds!$C$10:$GV$11,2,FALSE)))</f>
        <v/>
      </c>
      <c r="J4940" s="215" t="str">
        <f>IF(Table2[[#This Row],[Description]]="","",Table2[[#This Row],[Value]]/Table2[[#This Row],[Conversion]])</f>
        <v/>
      </c>
      <c r="K4940" s="45" t="str">
        <f>IF(Table2[[#This Row],[Description]]="","",DATE(Table2[[#This Row],[Year]],Table2[[#This Row],[Month]],1))</f>
        <v/>
      </c>
    </row>
    <row r="4941" spans="7:11" x14ac:dyDescent="0.25">
      <c r="G4941" s="1" t="str">
        <f>IF(Table2[[#This Row],[Description]]="","",VLOOKUP(Table2[[#This Row],[Description]],$Q$1:$S$101,2,FALSE))</f>
        <v/>
      </c>
      <c r="H4941" s="1" t="str">
        <f>IF(Table2[[#This Row],[Description]]="","",VLOOKUP(Table2[[#This Row],[Description]],$Q$1:$S$101,3,FALSE))</f>
        <v/>
      </c>
      <c r="I4941" s="1" t="str">
        <f>IF(Table2[[#This Row],[Description]]="","",IF(Table2[[#This Row],[Currency]]=$O$2,$P$2,HLOOKUP(Table2[[#This Row],[Date]],Funds!$C$10:$GV$11,2,FALSE)))</f>
        <v/>
      </c>
      <c r="J4941" s="215" t="str">
        <f>IF(Table2[[#This Row],[Description]]="","",Table2[[#This Row],[Value]]/Table2[[#This Row],[Conversion]])</f>
        <v/>
      </c>
      <c r="K4941" s="45" t="str">
        <f>IF(Table2[[#This Row],[Description]]="","",DATE(Table2[[#This Row],[Year]],Table2[[#This Row],[Month]],1))</f>
        <v/>
      </c>
    </row>
    <row r="4942" spans="7:11" x14ac:dyDescent="0.25">
      <c r="G4942" s="1" t="str">
        <f>IF(Table2[[#This Row],[Description]]="","",VLOOKUP(Table2[[#This Row],[Description]],$Q$1:$S$101,2,FALSE))</f>
        <v/>
      </c>
      <c r="H4942" s="1" t="str">
        <f>IF(Table2[[#This Row],[Description]]="","",VLOOKUP(Table2[[#This Row],[Description]],$Q$1:$S$101,3,FALSE))</f>
        <v/>
      </c>
      <c r="I4942" s="1" t="str">
        <f>IF(Table2[[#This Row],[Description]]="","",IF(Table2[[#This Row],[Currency]]=$O$2,$P$2,HLOOKUP(Table2[[#This Row],[Date]],Funds!$C$10:$GV$11,2,FALSE)))</f>
        <v/>
      </c>
      <c r="J4942" s="215" t="str">
        <f>IF(Table2[[#This Row],[Description]]="","",Table2[[#This Row],[Value]]/Table2[[#This Row],[Conversion]])</f>
        <v/>
      </c>
      <c r="K4942" s="45" t="str">
        <f>IF(Table2[[#This Row],[Description]]="","",DATE(Table2[[#This Row],[Year]],Table2[[#This Row],[Month]],1))</f>
        <v/>
      </c>
    </row>
    <row r="4943" spans="7:11" x14ac:dyDescent="0.25">
      <c r="G4943" s="1" t="str">
        <f>IF(Table2[[#This Row],[Description]]="","",VLOOKUP(Table2[[#This Row],[Description]],$Q$1:$S$101,2,FALSE))</f>
        <v/>
      </c>
      <c r="H4943" s="1" t="str">
        <f>IF(Table2[[#This Row],[Description]]="","",VLOOKUP(Table2[[#This Row],[Description]],$Q$1:$S$101,3,FALSE))</f>
        <v/>
      </c>
      <c r="I4943" s="1" t="str">
        <f>IF(Table2[[#This Row],[Description]]="","",IF(Table2[[#This Row],[Currency]]=$O$2,$P$2,HLOOKUP(Table2[[#This Row],[Date]],Funds!$C$10:$GV$11,2,FALSE)))</f>
        <v/>
      </c>
      <c r="J4943" s="215" t="str">
        <f>IF(Table2[[#This Row],[Description]]="","",Table2[[#This Row],[Value]]/Table2[[#This Row],[Conversion]])</f>
        <v/>
      </c>
      <c r="K4943" s="45" t="str">
        <f>IF(Table2[[#This Row],[Description]]="","",DATE(Table2[[#This Row],[Year]],Table2[[#This Row],[Month]],1))</f>
        <v/>
      </c>
    </row>
    <row r="4944" spans="7:11" x14ac:dyDescent="0.25">
      <c r="G4944" s="1" t="str">
        <f>IF(Table2[[#This Row],[Description]]="","",VLOOKUP(Table2[[#This Row],[Description]],$Q$1:$S$101,2,FALSE))</f>
        <v/>
      </c>
      <c r="H4944" s="1" t="str">
        <f>IF(Table2[[#This Row],[Description]]="","",VLOOKUP(Table2[[#This Row],[Description]],$Q$1:$S$101,3,FALSE))</f>
        <v/>
      </c>
      <c r="I4944" s="1" t="str">
        <f>IF(Table2[[#This Row],[Description]]="","",IF(Table2[[#This Row],[Currency]]=$O$2,$P$2,HLOOKUP(Table2[[#This Row],[Date]],Funds!$C$10:$GV$11,2,FALSE)))</f>
        <v/>
      </c>
      <c r="J4944" s="215" t="str">
        <f>IF(Table2[[#This Row],[Description]]="","",Table2[[#This Row],[Value]]/Table2[[#This Row],[Conversion]])</f>
        <v/>
      </c>
      <c r="K4944" s="45" t="str">
        <f>IF(Table2[[#This Row],[Description]]="","",DATE(Table2[[#This Row],[Year]],Table2[[#This Row],[Month]],1))</f>
        <v/>
      </c>
    </row>
    <row r="4945" spans="7:11" x14ac:dyDescent="0.25">
      <c r="G4945" s="1" t="str">
        <f>IF(Table2[[#This Row],[Description]]="","",VLOOKUP(Table2[[#This Row],[Description]],$Q$1:$S$101,2,FALSE))</f>
        <v/>
      </c>
      <c r="H4945" s="1" t="str">
        <f>IF(Table2[[#This Row],[Description]]="","",VLOOKUP(Table2[[#This Row],[Description]],$Q$1:$S$101,3,FALSE))</f>
        <v/>
      </c>
      <c r="I4945" s="1" t="str">
        <f>IF(Table2[[#This Row],[Description]]="","",IF(Table2[[#This Row],[Currency]]=$O$2,$P$2,HLOOKUP(Table2[[#This Row],[Date]],Funds!$C$10:$GV$11,2,FALSE)))</f>
        <v/>
      </c>
      <c r="J4945" s="215" t="str">
        <f>IF(Table2[[#This Row],[Description]]="","",Table2[[#This Row],[Value]]/Table2[[#This Row],[Conversion]])</f>
        <v/>
      </c>
      <c r="K4945" s="45" t="str">
        <f>IF(Table2[[#This Row],[Description]]="","",DATE(Table2[[#This Row],[Year]],Table2[[#This Row],[Month]],1))</f>
        <v/>
      </c>
    </row>
    <row r="4946" spans="7:11" x14ac:dyDescent="0.25">
      <c r="G4946" s="1" t="str">
        <f>IF(Table2[[#This Row],[Description]]="","",VLOOKUP(Table2[[#This Row],[Description]],$Q$1:$S$101,2,FALSE))</f>
        <v/>
      </c>
      <c r="H4946" s="1" t="str">
        <f>IF(Table2[[#This Row],[Description]]="","",VLOOKUP(Table2[[#This Row],[Description]],$Q$1:$S$101,3,FALSE))</f>
        <v/>
      </c>
      <c r="I4946" s="1" t="str">
        <f>IF(Table2[[#This Row],[Description]]="","",IF(Table2[[#This Row],[Currency]]=$O$2,$P$2,HLOOKUP(Table2[[#This Row],[Date]],Funds!$C$10:$GV$11,2,FALSE)))</f>
        <v/>
      </c>
      <c r="J4946" s="215" t="str">
        <f>IF(Table2[[#This Row],[Description]]="","",Table2[[#This Row],[Value]]/Table2[[#This Row],[Conversion]])</f>
        <v/>
      </c>
      <c r="K4946" s="45" t="str">
        <f>IF(Table2[[#This Row],[Description]]="","",DATE(Table2[[#This Row],[Year]],Table2[[#This Row],[Month]],1))</f>
        <v/>
      </c>
    </row>
    <row r="4947" spans="7:11" x14ac:dyDescent="0.25">
      <c r="G4947" s="1" t="str">
        <f>IF(Table2[[#This Row],[Description]]="","",VLOOKUP(Table2[[#This Row],[Description]],$Q$1:$S$101,2,FALSE))</f>
        <v/>
      </c>
      <c r="H4947" s="1" t="str">
        <f>IF(Table2[[#This Row],[Description]]="","",VLOOKUP(Table2[[#This Row],[Description]],$Q$1:$S$101,3,FALSE))</f>
        <v/>
      </c>
      <c r="I4947" s="1" t="str">
        <f>IF(Table2[[#This Row],[Description]]="","",IF(Table2[[#This Row],[Currency]]=$O$2,$P$2,HLOOKUP(Table2[[#This Row],[Date]],Funds!$C$10:$GV$11,2,FALSE)))</f>
        <v/>
      </c>
      <c r="J4947" s="215" t="str">
        <f>IF(Table2[[#This Row],[Description]]="","",Table2[[#This Row],[Value]]/Table2[[#This Row],[Conversion]])</f>
        <v/>
      </c>
      <c r="K4947" s="45" t="str">
        <f>IF(Table2[[#This Row],[Description]]="","",DATE(Table2[[#This Row],[Year]],Table2[[#This Row],[Month]],1))</f>
        <v/>
      </c>
    </row>
    <row r="4948" spans="7:11" x14ac:dyDescent="0.25">
      <c r="G4948" s="1" t="str">
        <f>IF(Table2[[#This Row],[Description]]="","",VLOOKUP(Table2[[#This Row],[Description]],$Q$1:$S$101,2,FALSE))</f>
        <v/>
      </c>
      <c r="H4948" s="1" t="str">
        <f>IF(Table2[[#This Row],[Description]]="","",VLOOKUP(Table2[[#This Row],[Description]],$Q$1:$S$101,3,FALSE))</f>
        <v/>
      </c>
      <c r="I4948" s="1" t="str">
        <f>IF(Table2[[#This Row],[Description]]="","",IF(Table2[[#This Row],[Currency]]=$O$2,$P$2,HLOOKUP(Table2[[#This Row],[Date]],Funds!$C$10:$GV$11,2,FALSE)))</f>
        <v/>
      </c>
      <c r="J4948" s="215" t="str">
        <f>IF(Table2[[#This Row],[Description]]="","",Table2[[#This Row],[Value]]/Table2[[#This Row],[Conversion]])</f>
        <v/>
      </c>
      <c r="K4948" s="45" t="str">
        <f>IF(Table2[[#This Row],[Description]]="","",DATE(Table2[[#This Row],[Year]],Table2[[#This Row],[Month]],1))</f>
        <v/>
      </c>
    </row>
    <row r="4949" spans="7:11" x14ac:dyDescent="0.25">
      <c r="G4949" s="1" t="str">
        <f>IF(Table2[[#This Row],[Description]]="","",VLOOKUP(Table2[[#This Row],[Description]],$Q$1:$S$101,2,FALSE))</f>
        <v/>
      </c>
      <c r="H4949" s="1" t="str">
        <f>IF(Table2[[#This Row],[Description]]="","",VLOOKUP(Table2[[#This Row],[Description]],$Q$1:$S$101,3,FALSE))</f>
        <v/>
      </c>
      <c r="I4949" s="1" t="str">
        <f>IF(Table2[[#This Row],[Description]]="","",IF(Table2[[#This Row],[Currency]]=$O$2,$P$2,HLOOKUP(Table2[[#This Row],[Date]],Funds!$C$10:$GV$11,2,FALSE)))</f>
        <v/>
      </c>
      <c r="J4949" s="215" t="str">
        <f>IF(Table2[[#This Row],[Description]]="","",Table2[[#This Row],[Value]]/Table2[[#This Row],[Conversion]])</f>
        <v/>
      </c>
      <c r="K4949" s="45" t="str">
        <f>IF(Table2[[#This Row],[Description]]="","",DATE(Table2[[#This Row],[Year]],Table2[[#This Row],[Month]],1))</f>
        <v/>
      </c>
    </row>
    <row r="4950" spans="7:11" x14ac:dyDescent="0.25">
      <c r="G4950" s="1" t="str">
        <f>IF(Table2[[#This Row],[Description]]="","",VLOOKUP(Table2[[#This Row],[Description]],$Q$1:$S$101,2,FALSE))</f>
        <v/>
      </c>
      <c r="H4950" s="1" t="str">
        <f>IF(Table2[[#This Row],[Description]]="","",VLOOKUP(Table2[[#This Row],[Description]],$Q$1:$S$101,3,FALSE))</f>
        <v/>
      </c>
      <c r="I4950" s="1" t="str">
        <f>IF(Table2[[#This Row],[Description]]="","",IF(Table2[[#This Row],[Currency]]=$O$2,$P$2,HLOOKUP(Table2[[#This Row],[Date]],Funds!$C$10:$GV$11,2,FALSE)))</f>
        <v/>
      </c>
      <c r="J4950" s="215" t="str">
        <f>IF(Table2[[#This Row],[Description]]="","",Table2[[#This Row],[Value]]/Table2[[#This Row],[Conversion]])</f>
        <v/>
      </c>
      <c r="K4950" s="45" t="str">
        <f>IF(Table2[[#This Row],[Description]]="","",DATE(Table2[[#This Row],[Year]],Table2[[#This Row],[Month]],1))</f>
        <v/>
      </c>
    </row>
    <row r="4951" spans="7:11" x14ac:dyDescent="0.25">
      <c r="G4951" s="1" t="str">
        <f>IF(Table2[[#This Row],[Description]]="","",VLOOKUP(Table2[[#This Row],[Description]],$Q$1:$S$101,2,FALSE))</f>
        <v/>
      </c>
      <c r="H4951" s="1" t="str">
        <f>IF(Table2[[#This Row],[Description]]="","",VLOOKUP(Table2[[#This Row],[Description]],$Q$1:$S$101,3,FALSE))</f>
        <v/>
      </c>
      <c r="I4951" s="1" t="str">
        <f>IF(Table2[[#This Row],[Description]]="","",IF(Table2[[#This Row],[Currency]]=$O$2,$P$2,HLOOKUP(Table2[[#This Row],[Date]],Funds!$C$10:$GV$11,2,FALSE)))</f>
        <v/>
      </c>
      <c r="J4951" s="215" t="str">
        <f>IF(Table2[[#This Row],[Description]]="","",Table2[[#This Row],[Value]]/Table2[[#This Row],[Conversion]])</f>
        <v/>
      </c>
      <c r="K4951" s="45" t="str">
        <f>IF(Table2[[#This Row],[Description]]="","",DATE(Table2[[#This Row],[Year]],Table2[[#This Row],[Month]],1))</f>
        <v/>
      </c>
    </row>
    <row r="4952" spans="7:11" x14ac:dyDescent="0.25">
      <c r="G4952" s="1" t="str">
        <f>IF(Table2[[#This Row],[Description]]="","",VLOOKUP(Table2[[#This Row],[Description]],$Q$1:$S$101,2,FALSE))</f>
        <v/>
      </c>
      <c r="H4952" s="1" t="str">
        <f>IF(Table2[[#This Row],[Description]]="","",VLOOKUP(Table2[[#This Row],[Description]],$Q$1:$S$101,3,FALSE))</f>
        <v/>
      </c>
      <c r="I4952" s="1" t="str">
        <f>IF(Table2[[#This Row],[Description]]="","",IF(Table2[[#This Row],[Currency]]=$O$2,$P$2,HLOOKUP(Table2[[#This Row],[Date]],Funds!$C$10:$GV$11,2,FALSE)))</f>
        <v/>
      </c>
      <c r="J4952" s="215" t="str">
        <f>IF(Table2[[#This Row],[Description]]="","",Table2[[#This Row],[Value]]/Table2[[#This Row],[Conversion]])</f>
        <v/>
      </c>
      <c r="K4952" s="45" t="str">
        <f>IF(Table2[[#This Row],[Description]]="","",DATE(Table2[[#This Row],[Year]],Table2[[#This Row],[Month]],1))</f>
        <v/>
      </c>
    </row>
    <row r="4953" spans="7:11" x14ac:dyDescent="0.25">
      <c r="G4953" s="1" t="str">
        <f>IF(Table2[[#This Row],[Description]]="","",VLOOKUP(Table2[[#This Row],[Description]],$Q$1:$S$101,2,FALSE))</f>
        <v/>
      </c>
      <c r="H4953" s="1" t="str">
        <f>IF(Table2[[#This Row],[Description]]="","",VLOOKUP(Table2[[#This Row],[Description]],$Q$1:$S$101,3,FALSE))</f>
        <v/>
      </c>
      <c r="I4953" s="1" t="str">
        <f>IF(Table2[[#This Row],[Description]]="","",IF(Table2[[#This Row],[Currency]]=$O$2,$P$2,HLOOKUP(Table2[[#This Row],[Date]],Funds!$C$10:$GV$11,2,FALSE)))</f>
        <v/>
      </c>
      <c r="J4953" s="215" t="str">
        <f>IF(Table2[[#This Row],[Description]]="","",Table2[[#This Row],[Value]]/Table2[[#This Row],[Conversion]])</f>
        <v/>
      </c>
      <c r="K4953" s="45" t="str">
        <f>IF(Table2[[#This Row],[Description]]="","",DATE(Table2[[#This Row],[Year]],Table2[[#This Row],[Month]],1))</f>
        <v/>
      </c>
    </row>
    <row r="4954" spans="7:11" x14ac:dyDescent="0.25">
      <c r="G4954" s="1" t="str">
        <f>IF(Table2[[#This Row],[Description]]="","",VLOOKUP(Table2[[#This Row],[Description]],$Q$1:$S$101,2,FALSE))</f>
        <v/>
      </c>
      <c r="H4954" s="1" t="str">
        <f>IF(Table2[[#This Row],[Description]]="","",VLOOKUP(Table2[[#This Row],[Description]],$Q$1:$S$101,3,FALSE))</f>
        <v/>
      </c>
      <c r="I4954" s="1" t="str">
        <f>IF(Table2[[#This Row],[Description]]="","",IF(Table2[[#This Row],[Currency]]=$O$2,$P$2,HLOOKUP(Table2[[#This Row],[Date]],Funds!$C$10:$GV$11,2,FALSE)))</f>
        <v/>
      </c>
      <c r="J4954" s="215" t="str">
        <f>IF(Table2[[#This Row],[Description]]="","",Table2[[#This Row],[Value]]/Table2[[#This Row],[Conversion]])</f>
        <v/>
      </c>
      <c r="K4954" s="45" t="str">
        <f>IF(Table2[[#This Row],[Description]]="","",DATE(Table2[[#This Row],[Year]],Table2[[#This Row],[Month]],1))</f>
        <v/>
      </c>
    </row>
    <row r="4955" spans="7:11" x14ac:dyDescent="0.25">
      <c r="G4955" s="1" t="str">
        <f>IF(Table2[[#This Row],[Description]]="","",VLOOKUP(Table2[[#This Row],[Description]],$Q$1:$S$101,2,FALSE))</f>
        <v/>
      </c>
      <c r="H4955" s="1" t="str">
        <f>IF(Table2[[#This Row],[Description]]="","",VLOOKUP(Table2[[#This Row],[Description]],$Q$1:$S$101,3,FALSE))</f>
        <v/>
      </c>
      <c r="I4955" s="1" t="str">
        <f>IF(Table2[[#This Row],[Description]]="","",IF(Table2[[#This Row],[Currency]]=$O$2,$P$2,HLOOKUP(Table2[[#This Row],[Date]],Funds!$C$10:$GV$11,2,FALSE)))</f>
        <v/>
      </c>
      <c r="J4955" s="215" t="str">
        <f>IF(Table2[[#This Row],[Description]]="","",Table2[[#This Row],[Value]]/Table2[[#This Row],[Conversion]])</f>
        <v/>
      </c>
      <c r="K4955" s="45" t="str">
        <f>IF(Table2[[#This Row],[Description]]="","",DATE(Table2[[#This Row],[Year]],Table2[[#This Row],[Month]],1))</f>
        <v/>
      </c>
    </row>
    <row r="4956" spans="7:11" x14ac:dyDescent="0.25">
      <c r="G4956" s="1" t="str">
        <f>IF(Table2[[#This Row],[Description]]="","",VLOOKUP(Table2[[#This Row],[Description]],$Q$1:$S$101,2,FALSE))</f>
        <v/>
      </c>
      <c r="H4956" s="1" t="str">
        <f>IF(Table2[[#This Row],[Description]]="","",VLOOKUP(Table2[[#This Row],[Description]],$Q$1:$S$101,3,FALSE))</f>
        <v/>
      </c>
      <c r="I4956" s="1" t="str">
        <f>IF(Table2[[#This Row],[Description]]="","",IF(Table2[[#This Row],[Currency]]=$O$2,$P$2,HLOOKUP(Table2[[#This Row],[Date]],Funds!$C$10:$GV$11,2,FALSE)))</f>
        <v/>
      </c>
      <c r="J4956" s="215" t="str">
        <f>IF(Table2[[#This Row],[Description]]="","",Table2[[#This Row],[Value]]/Table2[[#This Row],[Conversion]])</f>
        <v/>
      </c>
      <c r="K4956" s="45" t="str">
        <f>IF(Table2[[#This Row],[Description]]="","",DATE(Table2[[#This Row],[Year]],Table2[[#This Row],[Month]],1))</f>
        <v/>
      </c>
    </row>
    <row r="4957" spans="7:11" x14ac:dyDescent="0.25">
      <c r="G4957" s="1" t="str">
        <f>IF(Table2[[#This Row],[Description]]="","",VLOOKUP(Table2[[#This Row],[Description]],$Q$1:$S$101,2,FALSE))</f>
        <v/>
      </c>
      <c r="H4957" s="1" t="str">
        <f>IF(Table2[[#This Row],[Description]]="","",VLOOKUP(Table2[[#This Row],[Description]],$Q$1:$S$101,3,FALSE))</f>
        <v/>
      </c>
      <c r="I4957" s="1" t="str">
        <f>IF(Table2[[#This Row],[Description]]="","",IF(Table2[[#This Row],[Currency]]=$O$2,$P$2,HLOOKUP(Table2[[#This Row],[Date]],Funds!$C$10:$GV$11,2,FALSE)))</f>
        <v/>
      </c>
      <c r="J4957" s="215" t="str">
        <f>IF(Table2[[#This Row],[Description]]="","",Table2[[#This Row],[Value]]/Table2[[#This Row],[Conversion]])</f>
        <v/>
      </c>
      <c r="K4957" s="45" t="str">
        <f>IF(Table2[[#This Row],[Description]]="","",DATE(Table2[[#This Row],[Year]],Table2[[#This Row],[Month]],1))</f>
        <v/>
      </c>
    </row>
    <row r="4958" spans="7:11" x14ac:dyDescent="0.25">
      <c r="G4958" s="1" t="str">
        <f>IF(Table2[[#This Row],[Description]]="","",VLOOKUP(Table2[[#This Row],[Description]],$Q$1:$S$101,2,FALSE))</f>
        <v/>
      </c>
      <c r="H4958" s="1" t="str">
        <f>IF(Table2[[#This Row],[Description]]="","",VLOOKUP(Table2[[#This Row],[Description]],$Q$1:$S$101,3,FALSE))</f>
        <v/>
      </c>
      <c r="I4958" s="1" t="str">
        <f>IF(Table2[[#This Row],[Description]]="","",IF(Table2[[#This Row],[Currency]]=$O$2,$P$2,HLOOKUP(Table2[[#This Row],[Date]],Funds!$C$10:$GV$11,2,FALSE)))</f>
        <v/>
      </c>
      <c r="J4958" s="215" t="str">
        <f>IF(Table2[[#This Row],[Description]]="","",Table2[[#This Row],[Value]]/Table2[[#This Row],[Conversion]])</f>
        <v/>
      </c>
      <c r="K4958" s="45" t="str">
        <f>IF(Table2[[#This Row],[Description]]="","",DATE(Table2[[#This Row],[Year]],Table2[[#This Row],[Month]],1))</f>
        <v/>
      </c>
    </row>
    <row r="4959" spans="7:11" x14ac:dyDescent="0.25">
      <c r="G4959" s="1" t="str">
        <f>IF(Table2[[#This Row],[Description]]="","",VLOOKUP(Table2[[#This Row],[Description]],$Q$1:$S$101,2,FALSE))</f>
        <v/>
      </c>
      <c r="H4959" s="1" t="str">
        <f>IF(Table2[[#This Row],[Description]]="","",VLOOKUP(Table2[[#This Row],[Description]],$Q$1:$S$101,3,FALSE))</f>
        <v/>
      </c>
      <c r="I4959" s="1" t="str">
        <f>IF(Table2[[#This Row],[Description]]="","",IF(Table2[[#This Row],[Currency]]=$O$2,$P$2,HLOOKUP(Table2[[#This Row],[Date]],Funds!$C$10:$GV$11,2,FALSE)))</f>
        <v/>
      </c>
      <c r="J4959" s="215" t="str">
        <f>IF(Table2[[#This Row],[Description]]="","",Table2[[#This Row],[Value]]/Table2[[#This Row],[Conversion]])</f>
        <v/>
      </c>
      <c r="K4959" s="45" t="str">
        <f>IF(Table2[[#This Row],[Description]]="","",DATE(Table2[[#This Row],[Year]],Table2[[#This Row],[Month]],1))</f>
        <v/>
      </c>
    </row>
    <row r="4960" spans="7:11" x14ac:dyDescent="0.25">
      <c r="G4960" s="1" t="str">
        <f>IF(Table2[[#This Row],[Description]]="","",VLOOKUP(Table2[[#This Row],[Description]],$Q$1:$S$101,2,FALSE))</f>
        <v/>
      </c>
      <c r="H4960" s="1" t="str">
        <f>IF(Table2[[#This Row],[Description]]="","",VLOOKUP(Table2[[#This Row],[Description]],$Q$1:$S$101,3,FALSE))</f>
        <v/>
      </c>
      <c r="I4960" s="1" t="str">
        <f>IF(Table2[[#This Row],[Description]]="","",IF(Table2[[#This Row],[Currency]]=$O$2,$P$2,HLOOKUP(Table2[[#This Row],[Date]],Funds!$C$10:$GV$11,2,FALSE)))</f>
        <v/>
      </c>
      <c r="J4960" s="215" t="str">
        <f>IF(Table2[[#This Row],[Description]]="","",Table2[[#This Row],[Value]]/Table2[[#This Row],[Conversion]])</f>
        <v/>
      </c>
      <c r="K4960" s="45" t="str">
        <f>IF(Table2[[#This Row],[Description]]="","",DATE(Table2[[#This Row],[Year]],Table2[[#This Row],[Month]],1))</f>
        <v/>
      </c>
    </row>
    <row r="4961" spans="7:11" x14ac:dyDescent="0.25">
      <c r="G4961" s="1" t="str">
        <f>IF(Table2[[#This Row],[Description]]="","",VLOOKUP(Table2[[#This Row],[Description]],$Q$1:$S$101,2,FALSE))</f>
        <v/>
      </c>
      <c r="H4961" s="1" t="str">
        <f>IF(Table2[[#This Row],[Description]]="","",VLOOKUP(Table2[[#This Row],[Description]],$Q$1:$S$101,3,FALSE))</f>
        <v/>
      </c>
      <c r="I4961" s="1" t="str">
        <f>IF(Table2[[#This Row],[Description]]="","",IF(Table2[[#This Row],[Currency]]=$O$2,$P$2,HLOOKUP(Table2[[#This Row],[Date]],Funds!$C$10:$GV$11,2,FALSE)))</f>
        <v/>
      </c>
      <c r="J4961" s="215" t="str">
        <f>IF(Table2[[#This Row],[Description]]="","",Table2[[#This Row],[Value]]/Table2[[#This Row],[Conversion]])</f>
        <v/>
      </c>
      <c r="K4961" s="45" t="str">
        <f>IF(Table2[[#This Row],[Description]]="","",DATE(Table2[[#This Row],[Year]],Table2[[#This Row],[Month]],1))</f>
        <v/>
      </c>
    </row>
    <row r="4962" spans="7:11" x14ac:dyDescent="0.25">
      <c r="G4962" s="1" t="str">
        <f>IF(Table2[[#This Row],[Description]]="","",VLOOKUP(Table2[[#This Row],[Description]],$Q$1:$S$101,2,FALSE))</f>
        <v/>
      </c>
      <c r="H4962" s="1" t="str">
        <f>IF(Table2[[#This Row],[Description]]="","",VLOOKUP(Table2[[#This Row],[Description]],$Q$1:$S$101,3,FALSE))</f>
        <v/>
      </c>
      <c r="I4962" s="1" t="str">
        <f>IF(Table2[[#This Row],[Description]]="","",IF(Table2[[#This Row],[Currency]]=$O$2,$P$2,HLOOKUP(Table2[[#This Row],[Date]],Funds!$C$10:$GV$11,2,FALSE)))</f>
        <v/>
      </c>
      <c r="J4962" s="215" t="str">
        <f>IF(Table2[[#This Row],[Description]]="","",Table2[[#This Row],[Value]]/Table2[[#This Row],[Conversion]])</f>
        <v/>
      </c>
      <c r="K4962" s="45" t="str">
        <f>IF(Table2[[#This Row],[Description]]="","",DATE(Table2[[#This Row],[Year]],Table2[[#This Row],[Month]],1))</f>
        <v/>
      </c>
    </row>
    <row r="4963" spans="7:11" x14ac:dyDescent="0.25">
      <c r="G4963" s="1" t="str">
        <f>IF(Table2[[#This Row],[Description]]="","",VLOOKUP(Table2[[#This Row],[Description]],$Q$1:$S$101,2,FALSE))</f>
        <v/>
      </c>
      <c r="H4963" s="1" t="str">
        <f>IF(Table2[[#This Row],[Description]]="","",VLOOKUP(Table2[[#This Row],[Description]],$Q$1:$S$101,3,FALSE))</f>
        <v/>
      </c>
      <c r="I4963" s="1" t="str">
        <f>IF(Table2[[#This Row],[Description]]="","",IF(Table2[[#This Row],[Currency]]=$O$2,$P$2,HLOOKUP(Table2[[#This Row],[Date]],Funds!$C$10:$GV$11,2,FALSE)))</f>
        <v/>
      </c>
      <c r="J4963" s="215" t="str">
        <f>IF(Table2[[#This Row],[Description]]="","",Table2[[#This Row],[Value]]/Table2[[#This Row],[Conversion]])</f>
        <v/>
      </c>
      <c r="K4963" s="45" t="str">
        <f>IF(Table2[[#This Row],[Description]]="","",DATE(Table2[[#This Row],[Year]],Table2[[#This Row],[Month]],1))</f>
        <v/>
      </c>
    </row>
    <row r="4964" spans="7:11" x14ac:dyDescent="0.25">
      <c r="G4964" s="1" t="str">
        <f>IF(Table2[[#This Row],[Description]]="","",VLOOKUP(Table2[[#This Row],[Description]],$Q$1:$S$101,2,FALSE))</f>
        <v/>
      </c>
      <c r="H4964" s="1" t="str">
        <f>IF(Table2[[#This Row],[Description]]="","",VLOOKUP(Table2[[#This Row],[Description]],$Q$1:$S$101,3,FALSE))</f>
        <v/>
      </c>
      <c r="I4964" s="1" t="str">
        <f>IF(Table2[[#This Row],[Description]]="","",IF(Table2[[#This Row],[Currency]]=$O$2,$P$2,HLOOKUP(Table2[[#This Row],[Date]],Funds!$C$10:$GV$11,2,FALSE)))</f>
        <v/>
      </c>
      <c r="J4964" s="215" t="str">
        <f>IF(Table2[[#This Row],[Description]]="","",Table2[[#This Row],[Value]]/Table2[[#This Row],[Conversion]])</f>
        <v/>
      </c>
      <c r="K4964" s="45" t="str">
        <f>IF(Table2[[#This Row],[Description]]="","",DATE(Table2[[#This Row],[Year]],Table2[[#This Row],[Month]],1))</f>
        <v/>
      </c>
    </row>
    <row r="4965" spans="7:11" x14ac:dyDescent="0.25">
      <c r="G4965" s="1" t="str">
        <f>IF(Table2[[#This Row],[Description]]="","",VLOOKUP(Table2[[#This Row],[Description]],$Q$1:$S$101,2,FALSE))</f>
        <v/>
      </c>
      <c r="H4965" s="1" t="str">
        <f>IF(Table2[[#This Row],[Description]]="","",VLOOKUP(Table2[[#This Row],[Description]],$Q$1:$S$101,3,FALSE))</f>
        <v/>
      </c>
      <c r="I4965" s="1" t="str">
        <f>IF(Table2[[#This Row],[Description]]="","",IF(Table2[[#This Row],[Currency]]=$O$2,$P$2,HLOOKUP(Table2[[#This Row],[Date]],Funds!$C$10:$GV$11,2,FALSE)))</f>
        <v/>
      </c>
      <c r="J4965" s="215" t="str">
        <f>IF(Table2[[#This Row],[Description]]="","",Table2[[#This Row],[Value]]/Table2[[#This Row],[Conversion]])</f>
        <v/>
      </c>
      <c r="K4965" s="45" t="str">
        <f>IF(Table2[[#This Row],[Description]]="","",DATE(Table2[[#This Row],[Year]],Table2[[#This Row],[Month]],1))</f>
        <v/>
      </c>
    </row>
    <row r="4966" spans="7:11" x14ac:dyDescent="0.25">
      <c r="G4966" s="1" t="str">
        <f>IF(Table2[[#This Row],[Description]]="","",VLOOKUP(Table2[[#This Row],[Description]],$Q$1:$S$101,2,FALSE))</f>
        <v/>
      </c>
      <c r="H4966" s="1" t="str">
        <f>IF(Table2[[#This Row],[Description]]="","",VLOOKUP(Table2[[#This Row],[Description]],$Q$1:$S$101,3,FALSE))</f>
        <v/>
      </c>
      <c r="I4966" s="1" t="str">
        <f>IF(Table2[[#This Row],[Description]]="","",IF(Table2[[#This Row],[Currency]]=$O$2,$P$2,HLOOKUP(Table2[[#This Row],[Date]],Funds!$C$10:$GV$11,2,FALSE)))</f>
        <v/>
      </c>
      <c r="J4966" s="215" t="str">
        <f>IF(Table2[[#This Row],[Description]]="","",Table2[[#This Row],[Value]]/Table2[[#This Row],[Conversion]])</f>
        <v/>
      </c>
      <c r="K4966" s="45" t="str">
        <f>IF(Table2[[#This Row],[Description]]="","",DATE(Table2[[#This Row],[Year]],Table2[[#This Row],[Month]],1))</f>
        <v/>
      </c>
    </row>
    <row r="4967" spans="7:11" x14ac:dyDescent="0.25">
      <c r="G4967" s="1" t="str">
        <f>IF(Table2[[#This Row],[Description]]="","",VLOOKUP(Table2[[#This Row],[Description]],$Q$1:$S$101,2,FALSE))</f>
        <v/>
      </c>
      <c r="H4967" s="1" t="str">
        <f>IF(Table2[[#This Row],[Description]]="","",VLOOKUP(Table2[[#This Row],[Description]],$Q$1:$S$101,3,FALSE))</f>
        <v/>
      </c>
      <c r="I4967" s="1" t="str">
        <f>IF(Table2[[#This Row],[Description]]="","",IF(Table2[[#This Row],[Currency]]=$O$2,$P$2,HLOOKUP(Table2[[#This Row],[Date]],Funds!$C$10:$GV$11,2,FALSE)))</f>
        <v/>
      </c>
      <c r="J4967" s="215" t="str">
        <f>IF(Table2[[#This Row],[Description]]="","",Table2[[#This Row],[Value]]/Table2[[#This Row],[Conversion]])</f>
        <v/>
      </c>
      <c r="K4967" s="45" t="str">
        <f>IF(Table2[[#This Row],[Description]]="","",DATE(Table2[[#This Row],[Year]],Table2[[#This Row],[Month]],1))</f>
        <v/>
      </c>
    </row>
    <row r="4968" spans="7:11" x14ac:dyDescent="0.25">
      <c r="G4968" s="1" t="str">
        <f>IF(Table2[[#This Row],[Description]]="","",VLOOKUP(Table2[[#This Row],[Description]],$Q$1:$S$101,2,FALSE))</f>
        <v/>
      </c>
      <c r="H4968" s="1" t="str">
        <f>IF(Table2[[#This Row],[Description]]="","",VLOOKUP(Table2[[#This Row],[Description]],$Q$1:$S$101,3,FALSE))</f>
        <v/>
      </c>
      <c r="I4968" s="1" t="str">
        <f>IF(Table2[[#This Row],[Description]]="","",IF(Table2[[#This Row],[Currency]]=$O$2,$P$2,HLOOKUP(Table2[[#This Row],[Date]],Funds!$C$10:$GV$11,2,FALSE)))</f>
        <v/>
      </c>
      <c r="J4968" s="215" t="str">
        <f>IF(Table2[[#This Row],[Description]]="","",Table2[[#This Row],[Value]]/Table2[[#This Row],[Conversion]])</f>
        <v/>
      </c>
      <c r="K4968" s="45" t="str">
        <f>IF(Table2[[#This Row],[Description]]="","",DATE(Table2[[#This Row],[Year]],Table2[[#This Row],[Month]],1))</f>
        <v/>
      </c>
    </row>
    <row r="4969" spans="7:11" x14ac:dyDescent="0.25">
      <c r="G4969" s="1" t="str">
        <f>IF(Table2[[#This Row],[Description]]="","",VLOOKUP(Table2[[#This Row],[Description]],$Q$1:$S$101,2,FALSE))</f>
        <v/>
      </c>
      <c r="H4969" s="1" t="str">
        <f>IF(Table2[[#This Row],[Description]]="","",VLOOKUP(Table2[[#This Row],[Description]],$Q$1:$S$101,3,FALSE))</f>
        <v/>
      </c>
      <c r="I4969" s="1" t="str">
        <f>IF(Table2[[#This Row],[Description]]="","",IF(Table2[[#This Row],[Currency]]=$O$2,$P$2,HLOOKUP(Table2[[#This Row],[Date]],Funds!$C$10:$GV$11,2,FALSE)))</f>
        <v/>
      </c>
      <c r="J4969" s="215" t="str">
        <f>IF(Table2[[#This Row],[Description]]="","",Table2[[#This Row],[Value]]/Table2[[#This Row],[Conversion]])</f>
        <v/>
      </c>
      <c r="K4969" s="45" t="str">
        <f>IF(Table2[[#This Row],[Description]]="","",DATE(Table2[[#This Row],[Year]],Table2[[#This Row],[Month]],1))</f>
        <v/>
      </c>
    </row>
    <row r="4970" spans="7:11" x14ac:dyDescent="0.25">
      <c r="G4970" s="1" t="str">
        <f>IF(Table2[[#This Row],[Description]]="","",VLOOKUP(Table2[[#This Row],[Description]],$Q$1:$S$101,2,FALSE))</f>
        <v/>
      </c>
      <c r="H4970" s="1" t="str">
        <f>IF(Table2[[#This Row],[Description]]="","",VLOOKUP(Table2[[#This Row],[Description]],$Q$1:$S$101,3,FALSE))</f>
        <v/>
      </c>
      <c r="I4970" s="1" t="str">
        <f>IF(Table2[[#This Row],[Description]]="","",IF(Table2[[#This Row],[Currency]]=$O$2,$P$2,HLOOKUP(Table2[[#This Row],[Date]],Funds!$C$10:$GV$11,2,FALSE)))</f>
        <v/>
      </c>
      <c r="J4970" s="215" t="str">
        <f>IF(Table2[[#This Row],[Description]]="","",Table2[[#This Row],[Value]]/Table2[[#This Row],[Conversion]])</f>
        <v/>
      </c>
      <c r="K4970" s="45" t="str">
        <f>IF(Table2[[#This Row],[Description]]="","",DATE(Table2[[#This Row],[Year]],Table2[[#This Row],[Month]],1))</f>
        <v/>
      </c>
    </row>
    <row r="4971" spans="7:11" x14ac:dyDescent="0.25">
      <c r="G4971" s="1" t="str">
        <f>IF(Table2[[#This Row],[Description]]="","",VLOOKUP(Table2[[#This Row],[Description]],$Q$1:$S$101,2,FALSE))</f>
        <v/>
      </c>
      <c r="H4971" s="1" t="str">
        <f>IF(Table2[[#This Row],[Description]]="","",VLOOKUP(Table2[[#This Row],[Description]],$Q$1:$S$101,3,FALSE))</f>
        <v/>
      </c>
      <c r="I4971" s="1" t="str">
        <f>IF(Table2[[#This Row],[Description]]="","",IF(Table2[[#This Row],[Currency]]=$O$2,$P$2,HLOOKUP(Table2[[#This Row],[Date]],Funds!$C$10:$GV$11,2,FALSE)))</f>
        <v/>
      </c>
      <c r="J4971" s="215" t="str">
        <f>IF(Table2[[#This Row],[Description]]="","",Table2[[#This Row],[Value]]/Table2[[#This Row],[Conversion]])</f>
        <v/>
      </c>
      <c r="K4971" s="45" t="str">
        <f>IF(Table2[[#This Row],[Description]]="","",DATE(Table2[[#This Row],[Year]],Table2[[#This Row],[Month]],1))</f>
        <v/>
      </c>
    </row>
    <row r="4972" spans="7:11" x14ac:dyDescent="0.25">
      <c r="G4972" s="1" t="str">
        <f>IF(Table2[[#This Row],[Description]]="","",VLOOKUP(Table2[[#This Row],[Description]],$Q$1:$S$101,2,FALSE))</f>
        <v/>
      </c>
      <c r="H4972" s="1" t="str">
        <f>IF(Table2[[#This Row],[Description]]="","",VLOOKUP(Table2[[#This Row],[Description]],$Q$1:$S$101,3,FALSE))</f>
        <v/>
      </c>
      <c r="I4972" s="1" t="str">
        <f>IF(Table2[[#This Row],[Description]]="","",IF(Table2[[#This Row],[Currency]]=$O$2,$P$2,HLOOKUP(Table2[[#This Row],[Date]],Funds!$C$10:$GV$11,2,FALSE)))</f>
        <v/>
      </c>
      <c r="J4972" s="215" t="str">
        <f>IF(Table2[[#This Row],[Description]]="","",Table2[[#This Row],[Value]]/Table2[[#This Row],[Conversion]])</f>
        <v/>
      </c>
      <c r="K4972" s="45" t="str">
        <f>IF(Table2[[#This Row],[Description]]="","",DATE(Table2[[#This Row],[Year]],Table2[[#This Row],[Month]],1))</f>
        <v/>
      </c>
    </row>
    <row r="4973" spans="7:11" x14ac:dyDescent="0.25">
      <c r="G4973" s="1" t="str">
        <f>IF(Table2[[#This Row],[Description]]="","",VLOOKUP(Table2[[#This Row],[Description]],$Q$1:$S$101,2,FALSE))</f>
        <v/>
      </c>
      <c r="H4973" s="1" t="str">
        <f>IF(Table2[[#This Row],[Description]]="","",VLOOKUP(Table2[[#This Row],[Description]],$Q$1:$S$101,3,FALSE))</f>
        <v/>
      </c>
      <c r="I4973" s="1" t="str">
        <f>IF(Table2[[#This Row],[Description]]="","",IF(Table2[[#This Row],[Currency]]=$O$2,$P$2,HLOOKUP(Table2[[#This Row],[Date]],Funds!$C$10:$GV$11,2,FALSE)))</f>
        <v/>
      </c>
      <c r="J4973" s="215" t="str">
        <f>IF(Table2[[#This Row],[Description]]="","",Table2[[#This Row],[Value]]/Table2[[#This Row],[Conversion]])</f>
        <v/>
      </c>
      <c r="K4973" s="45" t="str">
        <f>IF(Table2[[#This Row],[Description]]="","",DATE(Table2[[#This Row],[Year]],Table2[[#This Row],[Month]],1))</f>
        <v/>
      </c>
    </row>
    <row r="4974" spans="7:11" x14ac:dyDescent="0.25">
      <c r="G4974" s="1" t="str">
        <f>IF(Table2[[#This Row],[Description]]="","",VLOOKUP(Table2[[#This Row],[Description]],$Q$1:$S$101,2,FALSE))</f>
        <v/>
      </c>
      <c r="H4974" s="1" t="str">
        <f>IF(Table2[[#This Row],[Description]]="","",VLOOKUP(Table2[[#This Row],[Description]],$Q$1:$S$101,3,FALSE))</f>
        <v/>
      </c>
      <c r="I4974" s="1" t="str">
        <f>IF(Table2[[#This Row],[Description]]="","",IF(Table2[[#This Row],[Currency]]=$O$2,$P$2,HLOOKUP(Table2[[#This Row],[Date]],Funds!$C$10:$GV$11,2,FALSE)))</f>
        <v/>
      </c>
      <c r="J4974" s="215" t="str">
        <f>IF(Table2[[#This Row],[Description]]="","",Table2[[#This Row],[Value]]/Table2[[#This Row],[Conversion]])</f>
        <v/>
      </c>
      <c r="K4974" s="45" t="str">
        <f>IF(Table2[[#This Row],[Description]]="","",DATE(Table2[[#This Row],[Year]],Table2[[#This Row],[Month]],1))</f>
        <v/>
      </c>
    </row>
    <row r="4975" spans="7:11" x14ac:dyDescent="0.25">
      <c r="G4975" s="1" t="str">
        <f>IF(Table2[[#This Row],[Description]]="","",VLOOKUP(Table2[[#This Row],[Description]],$Q$1:$S$101,2,FALSE))</f>
        <v/>
      </c>
      <c r="H4975" s="1" t="str">
        <f>IF(Table2[[#This Row],[Description]]="","",VLOOKUP(Table2[[#This Row],[Description]],$Q$1:$S$101,3,FALSE))</f>
        <v/>
      </c>
      <c r="I4975" s="1" t="str">
        <f>IF(Table2[[#This Row],[Description]]="","",IF(Table2[[#This Row],[Currency]]=$O$2,$P$2,HLOOKUP(Table2[[#This Row],[Date]],Funds!$C$10:$GV$11,2,FALSE)))</f>
        <v/>
      </c>
      <c r="J4975" s="215" t="str">
        <f>IF(Table2[[#This Row],[Description]]="","",Table2[[#This Row],[Value]]/Table2[[#This Row],[Conversion]])</f>
        <v/>
      </c>
      <c r="K4975" s="45" t="str">
        <f>IF(Table2[[#This Row],[Description]]="","",DATE(Table2[[#This Row],[Year]],Table2[[#This Row],[Month]],1))</f>
        <v/>
      </c>
    </row>
    <row r="4976" spans="7:11" x14ac:dyDescent="0.25">
      <c r="G4976" s="1" t="str">
        <f>IF(Table2[[#This Row],[Description]]="","",VLOOKUP(Table2[[#This Row],[Description]],$Q$1:$S$101,2,FALSE))</f>
        <v/>
      </c>
      <c r="H4976" s="1" t="str">
        <f>IF(Table2[[#This Row],[Description]]="","",VLOOKUP(Table2[[#This Row],[Description]],$Q$1:$S$101,3,FALSE))</f>
        <v/>
      </c>
      <c r="I4976" s="1" t="str">
        <f>IF(Table2[[#This Row],[Description]]="","",IF(Table2[[#This Row],[Currency]]=$O$2,$P$2,HLOOKUP(Table2[[#This Row],[Date]],Funds!$C$10:$GV$11,2,FALSE)))</f>
        <v/>
      </c>
      <c r="J4976" s="215" t="str">
        <f>IF(Table2[[#This Row],[Description]]="","",Table2[[#This Row],[Value]]/Table2[[#This Row],[Conversion]])</f>
        <v/>
      </c>
      <c r="K4976" s="45" t="str">
        <f>IF(Table2[[#This Row],[Description]]="","",DATE(Table2[[#This Row],[Year]],Table2[[#This Row],[Month]],1))</f>
        <v/>
      </c>
    </row>
    <row r="4977" spans="7:11" x14ac:dyDescent="0.25">
      <c r="G4977" s="1" t="str">
        <f>IF(Table2[[#This Row],[Description]]="","",VLOOKUP(Table2[[#This Row],[Description]],$Q$1:$S$101,2,FALSE))</f>
        <v/>
      </c>
      <c r="H4977" s="1" t="str">
        <f>IF(Table2[[#This Row],[Description]]="","",VLOOKUP(Table2[[#This Row],[Description]],$Q$1:$S$101,3,FALSE))</f>
        <v/>
      </c>
      <c r="I4977" s="1" t="str">
        <f>IF(Table2[[#This Row],[Description]]="","",IF(Table2[[#This Row],[Currency]]=$O$2,$P$2,HLOOKUP(Table2[[#This Row],[Date]],Funds!$C$10:$GV$11,2,FALSE)))</f>
        <v/>
      </c>
      <c r="J4977" s="215" t="str">
        <f>IF(Table2[[#This Row],[Description]]="","",Table2[[#This Row],[Value]]/Table2[[#This Row],[Conversion]])</f>
        <v/>
      </c>
      <c r="K4977" s="45" t="str">
        <f>IF(Table2[[#This Row],[Description]]="","",DATE(Table2[[#This Row],[Year]],Table2[[#This Row],[Month]],1))</f>
        <v/>
      </c>
    </row>
    <row r="4978" spans="7:11" x14ac:dyDescent="0.25">
      <c r="G4978" s="1" t="str">
        <f>IF(Table2[[#This Row],[Description]]="","",VLOOKUP(Table2[[#This Row],[Description]],$Q$1:$S$101,2,FALSE))</f>
        <v/>
      </c>
      <c r="H4978" s="1" t="str">
        <f>IF(Table2[[#This Row],[Description]]="","",VLOOKUP(Table2[[#This Row],[Description]],$Q$1:$S$101,3,FALSE))</f>
        <v/>
      </c>
      <c r="I4978" s="1" t="str">
        <f>IF(Table2[[#This Row],[Description]]="","",IF(Table2[[#This Row],[Currency]]=$O$2,$P$2,HLOOKUP(Table2[[#This Row],[Date]],Funds!$C$10:$GV$11,2,FALSE)))</f>
        <v/>
      </c>
      <c r="J4978" s="215" t="str">
        <f>IF(Table2[[#This Row],[Description]]="","",Table2[[#This Row],[Value]]/Table2[[#This Row],[Conversion]])</f>
        <v/>
      </c>
      <c r="K4978" s="45" t="str">
        <f>IF(Table2[[#This Row],[Description]]="","",DATE(Table2[[#This Row],[Year]],Table2[[#This Row],[Month]],1))</f>
        <v/>
      </c>
    </row>
    <row r="4979" spans="7:11" x14ac:dyDescent="0.25">
      <c r="G4979" s="1" t="str">
        <f>IF(Table2[[#This Row],[Description]]="","",VLOOKUP(Table2[[#This Row],[Description]],$Q$1:$S$101,2,FALSE))</f>
        <v/>
      </c>
      <c r="H4979" s="1" t="str">
        <f>IF(Table2[[#This Row],[Description]]="","",VLOOKUP(Table2[[#This Row],[Description]],$Q$1:$S$101,3,FALSE))</f>
        <v/>
      </c>
      <c r="I4979" s="1" t="str">
        <f>IF(Table2[[#This Row],[Description]]="","",IF(Table2[[#This Row],[Currency]]=$O$2,$P$2,HLOOKUP(Table2[[#This Row],[Date]],Funds!$C$10:$GV$11,2,FALSE)))</f>
        <v/>
      </c>
      <c r="J4979" s="215" t="str">
        <f>IF(Table2[[#This Row],[Description]]="","",Table2[[#This Row],[Value]]/Table2[[#This Row],[Conversion]])</f>
        <v/>
      </c>
      <c r="K4979" s="45" t="str">
        <f>IF(Table2[[#This Row],[Description]]="","",DATE(Table2[[#This Row],[Year]],Table2[[#This Row],[Month]],1))</f>
        <v/>
      </c>
    </row>
    <row r="4980" spans="7:11" x14ac:dyDescent="0.25">
      <c r="G4980" s="1" t="str">
        <f>IF(Table2[[#This Row],[Description]]="","",VLOOKUP(Table2[[#This Row],[Description]],$Q$1:$S$101,2,FALSE))</f>
        <v/>
      </c>
      <c r="H4980" s="1" t="str">
        <f>IF(Table2[[#This Row],[Description]]="","",VLOOKUP(Table2[[#This Row],[Description]],$Q$1:$S$101,3,FALSE))</f>
        <v/>
      </c>
      <c r="I4980" s="1" t="str">
        <f>IF(Table2[[#This Row],[Description]]="","",IF(Table2[[#This Row],[Currency]]=$O$2,$P$2,HLOOKUP(Table2[[#This Row],[Date]],Funds!$C$10:$GV$11,2,FALSE)))</f>
        <v/>
      </c>
      <c r="J4980" s="215" t="str">
        <f>IF(Table2[[#This Row],[Description]]="","",Table2[[#This Row],[Value]]/Table2[[#This Row],[Conversion]])</f>
        <v/>
      </c>
      <c r="K4980" s="45" t="str">
        <f>IF(Table2[[#This Row],[Description]]="","",DATE(Table2[[#This Row],[Year]],Table2[[#This Row],[Month]],1))</f>
        <v/>
      </c>
    </row>
    <row r="4981" spans="7:11" x14ac:dyDescent="0.25">
      <c r="G4981" s="1" t="str">
        <f>IF(Table2[[#This Row],[Description]]="","",VLOOKUP(Table2[[#This Row],[Description]],$Q$1:$S$101,2,FALSE))</f>
        <v/>
      </c>
      <c r="H4981" s="1" t="str">
        <f>IF(Table2[[#This Row],[Description]]="","",VLOOKUP(Table2[[#This Row],[Description]],$Q$1:$S$101,3,FALSE))</f>
        <v/>
      </c>
      <c r="I4981" s="1" t="str">
        <f>IF(Table2[[#This Row],[Description]]="","",IF(Table2[[#This Row],[Currency]]=$O$2,$P$2,HLOOKUP(Table2[[#This Row],[Date]],Funds!$C$10:$GV$11,2,FALSE)))</f>
        <v/>
      </c>
      <c r="J4981" s="215" t="str">
        <f>IF(Table2[[#This Row],[Description]]="","",Table2[[#This Row],[Value]]/Table2[[#This Row],[Conversion]])</f>
        <v/>
      </c>
      <c r="K4981" s="45" t="str">
        <f>IF(Table2[[#This Row],[Description]]="","",DATE(Table2[[#This Row],[Year]],Table2[[#This Row],[Month]],1))</f>
        <v/>
      </c>
    </row>
    <row r="4982" spans="7:11" x14ac:dyDescent="0.25">
      <c r="G4982" s="1" t="str">
        <f>IF(Table2[[#This Row],[Description]]="","",VLOOKUP(Table2[[#This Row],[Description]],$Q$1:$S$101,2,FALSE))</f>
        <v/>
      </c>
      <c r="H4982" s="1" t="str">
        <f>IF(Table2[[#This Row],[Description]]="","",VLOOKUP(Table2[[#This Row],[Description]],$Q$1:$S$101,3,FALSE))</f>
        <v/>
      </c>
      <c r="I4982" s="1" t="str">
        <f>IF(Table2[[#This Row],[Description]]="","",IF(Table2[[#This Row],[Currency]]=$O$2,$P$2,HLOOKUP(Table2[[#This Row],[Date]],Funds!$C$10:$GV$11,2,FALSE)))</f>
        <v/>
      </c>
      <c r="J4982" s="215" t="str">
        <f>IF(Table2[[#This Row],[Description]]="","",Table2[[#This Row],[Value]]/Table2[[#This Row],[Conversion]])</f>
        <v/>
      </c>
      <c r="K4982" s="45" t="str">
        <f>IF(Table2[[#This Row],[Description]]="","",DATE(Table2[[#This Row],[Year]],Table2[[#This Row],[Month]],1))</f>
        <v/>
      </c>
    </row>
    <row r="4983" spans="7:11" x14ac:dyDescent="0.25">
      <c r="G4983" s="1" t="str">
        <f>IF(Table2[[#This Row],[Description]]="","",VLOOKUP(Table2[[#This Row],[Description]],$Q$1:$S$101,2,FALSE))</f>
        <v/>
      </c>
      <c r="H4983" s="1" t="str">
        <f>IF(Table2[[#This Row],[Description]]="","",VLOOKUP(Table2[[#This Row],[Description]],$Q$1:$S$101,3,FALSE))</f>
        <v/>
      </c>
      <c r="I4983" s="1" t="str">
        <f>IF(Table2[[#This Row],[Description]]="","",IF(Table2[[#This Row],[Currency]]=$O$2,$P$2,HLOOKUP(Table2[[#This Row],[Date]],Funds!$C$10:$GV$11,2,FALSE)))</f>
        <v/>
      </c>
      <c r="J4983" s="215" t="str">
        <f>IF(Table2[[#This Row],[Description]]="","",Table2[[#This Row],[Value]]/Table2[[#This Row],[Conversion]])</f>
        <v/>
      </c>
      <c r="K4983" s="45" t="str">
        <f>IF(Table2[[#This Row],[Description]]="","",DATE(Table2[[#This Row],[Year]],Table2[[#This Row],[Month]],1))</f>
        <v/>
      </c>
    </row>
    <row r="4984" spans="7:11" x14ac:dyDescent="0.25">
      <c r="G4984" s="1" t="str">
        <f>IF(Table2[[#This Row],[Description]]="","",VLOOKUP(Table2[[#This Row],[Description]],$Q$1:$S$101,2,FALSE))</f>
        <v/>
      </c>
      <c r="H4984" s="1" t="str">
        <f>IF(Table2[[#This Row],[Description]]="","",VLOOKUP(Table2[[#This Row],[Description]],$Q$1:$S$101,3,FALSE))</f>
        <v/>
      </c>
      <c r="I4984" s="1" t="str">
        <f>IF(Table2[[#This Row],[Description]]="","",IF(Table2[[#This Row],[Currency]]=$O$2,$P$2,HLOOKUP(Table2[[#This Row],[Date]],Funds!$C$10:$GV$11,2,FALSE)))</f>
        <v/>
      </c>
      <c r="J4984" s="215" t="str">
        <f>IF(Table2[[#This Row],[Description]]="","",Table2[[#This Row],[Value]]/Table2[[#This Row],[Conversion]])</f>
        <v/>
      </c>
      <c r="K4984" s="45" t="str">
        <f>IF(Table2[[#This Row],[Description]]="","",DATE(Table2[[#This Row],[Year]],Table2[[#This Row],[Month]],1))</f>
        <v/>
      </c>
    </row>
    <row r="4985" spans="7:11" x14ac:dyDescent="0.25">
      <c r="G4985" s="1" t="str">
        <f>IF(Table2[[#This Row],[Description]]="","",VLOOKUP(Table2[[#This Row],[Description]],$Q$1:$S$101,2,FALSE))</f>
        <v/>
      </c>
      <c r="H4985" s="1" t="str">
        <f>IF(Table2[[#This Row],[Description]]="","",VLOOKUP(Table2[[#This Row],[Description]],$Q$1:$S$101,3,FALSE))</f>
        <v/>
      </c>
      <c r="I4985" s="1" t="str">
        <f>IF(Table2[[#This Row],[Description]]="","",IF(Table2[[#This Row],[Currency]]=$O$2,$P$2,HLOOKUP(Table2[[#This Row],[Date]],Funds!$C$10:$GV$11,2,FALSE)))</f>
        <v/>
      </c>
      <c r="J4985" s="215" t="str">
        <f>IF(Table2[[#This Row],[Description]]="","",Table2[[#This Row],[Value]]/Table2[[#This Row],[Conversion]])</f>
        <v/>
      </c>
      <c r="K4985" s="45" t="str">
        <f>IF(Table2[[#This Row],[Description]]="","",DATE(Table2[[#This Row],[Year]],Table2[[#This Row],[Month]],1))</f>
        <v/>
      </c>
    </row>
    <row r="4986" spans="7:11" x14ac:dyDescent="0.25">
      <c r="G4986" s="1" t="str">
        <f>IF(Table2[[#This Row],[Description]]="","",VLOOKUP(Table2[[#This Row],[Description]],$Q$1:$S$101,2,FALSE))</f>
        <v/>
      </c>
      <c r="H4986" s="1" t="str">
        <f>IF(Table2[[#This Row],[Description]]="","",VLOOKUP(Table2[[#This Row],[Description]],$Q$1:$S$101,3,FALSE))</f>
        <v/>
      </c>
      <c r="I4986" s="1" t="str">
        <f>IF(Table2[[#This Row],[Description]]="","",IF(Table2[[#This Row],[Currency]]=$O$2,$P$2,HLOOKUP(Table2[[#This Row],[Date]],Funds!$C$10:$GV$11,2,FALSE)))</f>
        <v/>
      </c>
      <c r="J4986" s="215" t="str">
        <f>IF(Table2[[#This Row],[Description]]="","",Table2[[#This Row],[Value]]/Table2[[#This Row],[Conversion]])</f>
        <v/>
      </c>
      <c r="K4986" s="45" t="str">
        <f>IF(Table2[[#This Row],[Description]]="","",DATE(Table2[[#This Row],[Year]],Table2[[#This Row],[Month]],1))</f>
        <v/>
      </c>
    </row>
    <row r="4987" spans="7:11" x14ac:dyDescent="0.25">
      <c r="G4987" s="1" t="str">
        <f>IF(Table2[[#This Row],[Description]]="","",VLOOKUP(Table2[[#This Row],[Description]],$Q$1:$S$101,2,FALSE))</f>
        <v/>
      </c>
      <c r="H4987" s="1" t="str">
        <f>IF(Table2[[#This Row],[Description]]="","",VLOOKUP(Table2[[#This Row],[Description]],$Q$1:$S$101,3,FALSE))</f>
        <v/>
      </c>
      <c r="I4987" s="1" t="str">
        <f>IF(Table2[[#This Row],[Description]]="","",IF(Table2[[#This Row],[Currency]]=$O$2,$P$2,HLOOKUP(Table2[[#This Row],[Date]],Funds!$C$10:$GV$11,2,FALSE)))</f>
        <v/>
      </c>
      <c r="J4987" s="215" t="str">
        <f>IF(Table2[[#This Row],[Description]]="","",Table2[[#This Row],[Value]]/Table2[[#This Row],[Conversion]])</f>
        <v/>
      </c>
      <c r="K4987" s="45" t="str">
        <f>IF(Table2[[#This Row],[Description]]="","",DATE(Table2[[#This Row],[Year]],Table2[[#This Row],[Month]],1))</f>
        <v/>
      </c>
    </row>
    <row r="4988" spans="7:11" x14ac:dyDescent="0.25">
      <c r="G4988" s="1" t="str">
        <f>IF(Table2[[#This Row],[Description]]="","",VLOOKUP(Table2[[#This Row],[Description]],$Q$1:$S$101,2,FALSE))</f>
        <v/>
      </c>
      <c r="H4988" s="1" t="str">
        <f>IF(Table2[[#This Row],[Description]]="","",VLOOKUP(Table2[[#This Row],[Description]],$Q$1:$S$101,3,FALSE))</f>
        <v/>
      </c>
      <c r="I4988" s="1" t="str">
        <f>IF(Table2[[#This Row],[Description]]="","",IF(Table2[[#This Row],[Currency]]=$O$2,$P$2,HLOOKUP(Table2[[#This Row],[Date]],Funds!$C$10:$GV$11,2,FALSE)))</f>
        <v/>
      </c>
      <c r="J4988" s="215" t="str">
        <f>IF(Table2[[#This Row],[Description]]="","",Table2[[#This Row],[Value]]/Table2[[#This Row],[Conversion]])</f>
        <v/>
      </c>
      <c r="K4988" s="45" t="str">
        <f>IF(Table2[[#This Row],[Description]]="","",DATE(Table2[[#This Row],[Year]],Table2[[#This Row],[Month]],1))</f>
        <v/>
      </c>
    </row>
    <row r="4989" spans="7:11" x14ac:dyDescent="0.25">
      <c r="G4989" s="1" t="str">
        <f>IF(Table2[[#This Row],[Description]]="","",VLOOKUP(Table2[[#This Row],[Description]],$Q$1:$S$101,2,FALSE))</f>
        <v/>
      </c>
      <c r="H4989" s="1" t="str">
        <f>IF(Table2[[#This Row],[Description]]="","",VLOOKUP(Table2[[#This Row],[Description]],$Q$1:$S$101,3,FALSE))</f>
        <v/>
      </c>
      <c r="I4989" s="1" t="str">
        <f>IF(Table2[[#This Row],[Description]]="","",IF(Table2[[#This Row],[Currency]]=$O$2,$P$2,HLOOKUP(Table2[[#This Row],[Date]],Funds!$C$10:$GV$11,2,FALSE)))</f>
        <v/>
      </c>
      <c r="J4989" s="215" t="str">
        <f>IF(Table2[[#This Row],[Description]]="","",Table2[[#This Row],[Value]]/Table2[[#This Row],[Conversion]])</f>
        <v/>
      </c>
      <c r="K4989" s="45" t="str">
        <f>IF(Table2[[#This Row],[Description]]="","",DATE(Table2[[#This Row],[Year]],Table2[[#This Row],[Month]],1))</f>
        <v/>
      </c>
    </row>
    <row r="4990" spans="7:11" x14ac:dyDescent="0.25">
      <c r="G4990" s="1" t="str">
        <f>IF(Table2[[#This Row],[Description]]="","",VLOOKUP(Table2[[#This Row],[Description]],$Q$1:$S$101,2,FALSE))</f>
        <v/>
      </c>
      <c r="H4990" s="1" t="str">
        <f>IF(Table2[[#This Row],[Description]]="","",VLOOKUP(Table2[[#This Row],[Description]],$Q$1:$S$101,3,FALSE))</f>
        <v/>
      </c>
      <c r="I4990" s="1" t="str">
        <f>IF(Table2[[#This Row],[Description]]="","",IF(Table2[[#This Row],[Currency]]=$O$2,$P$2,HLOOKUP(Table2[[#This Row],[Date]],Funds!$C$10:$GV$11,2,FALSE)))</f>
        <v/>
      </c>
      <c r="J4990" s="215" t="str">
        <f>IF(Table2[[#This Row],[Description]]="","",Table2[[#This Row],[Value]]/Table2[[#This Row],[Conversion]])</f>
        <v/>
      </c>
      <c r="K4990" s="45" t="str">
        <f>IF(Table2[[#This Row],[Description]]="","",DATE(Table2[[#This Row],[Year]],Table2[[#This Row],[Month]],1))</f>
        <v/>
      </c>
    </row>
    <row r="4991" spans="7:11" x14ac:dyDescent="0.25">
      <c r="G4991" s="1" t="str">
        <f>IF(Table2[[#This Row],[Description]]="","",VLOOKUP(Table2[[#This Row],[Description]],$Q$1:$S$101,2,FALSE))</f>
        <v/>
      </c>
      <c r="H4991" s="1" t="str">
        <f>IF(Table2[[#This Row],[Description]]="","",VLOOKUP(Table2[[#This Row],[Description]],$Q$1:$S$101,3,FALSE))</f>
        <v/>
      </c>
      <c r="I4991" s="1" t="str">
        <f>IF(Table2[[#This Row],[Description]]="","",IF(Table2[[#This Row],[Currency]]=$O$2,$P$2,HLOOKUP(Table2[[#This Row],[Date]],Funds!$C$10:$GV$11,2,FALSE)))</f>
        <v/>
      </c>
      <c r="J4991" s="215" t="str">
        <f>IF(Table2[[#This Row],[Description]]="","",Table2[[#This Row],[Value]]/Table2[[#This Row],[Conversion]])</f>
        <v/>
      </c>
      <c r="K4991" s="45" t="str">
        <f>IF(Table2[[#This Row],[Description]]="","",DATE(Table2[[#This Row],[Year]],Table2[[#This Row],[Month]],1))</f>
        <v/>
      </c>
    </row>
    <row r="4992" spans="7:11" x14ac:dyDescent="0.25">
      <c r="G4992" s="1" t="str">
        <f>IF(Table2[[#This Row],[Description]]="","",VLOOKUP(Table2[[#This Row],[Description]],$Q$1:$S$101,2,FALSE))</f>
        <v/>
      </c>
      <c r="H4992" s="1" t="str">
        <f>IF(Table2[[#This Row],[Description]]="","",VLOOKUP(Table2[[#This Row],[Description]],$Q$1:$S$101,3,FALSE))</f>
        <v/>
      </c>
      <c r="I4992" s="1" t="str">
        <f>IF(Table2[[#This Row],[Description]]="","",IF(Table2[[#This Row],[Currency]]=$O$2,$P$2,HLOOKUP(Table2[[#This Row],[Date]],Funds!$C$10:$GV$11,2,FALSE)))</f>
        <v/>
      </c>
      <c r="J4992" s="215" t="str">
        <f>IF(Table2[[#This Row],[Description]]="","",Table2[[#This Row],[Value]]/Table2[[#This Row],[Conversion]])</f>
        <v/>
      </c>
      <c r="K4992" s="45" t="str">
        <f>IF(Table2[[#This Row],[Description]]="","",DATE(Table2[[#This Row],[Year]],Table2[[#This Row],[Month]],1))</f>
        <v/>
      </c>
    </row>
    <row r="4993" spans="7:11" x14ac:dyDescent="0.25">
      <c r="G4993" s="1" t="str">
        <f>IF(Table2[[#This Row],[Description]]="","",VLOOKUP(Table2[[#This Row],[Description]],$Q$1:$S$101,2,FALSE))</f>
        <v/>
      </c>
      <c r="H4993" s="1" t="str">
        <f>IF(Table2[[#This Row],[Description]]="","",VLOOKUP(Table2[[#This Row],[Description]],$Q$1:$S$101,3,FALSE))</f>
        <v/>
      </c>
      <c r="I4993" s="1" t="str">
        <f>IF(Table2[[#This Row],[Description]]="","",IF(Table2[[#This Row],[Currency]]=$O$2,$P$2,HLOOKUP(Table2[[#This Row],[Date]],Funds!$C$10:$GV$11,2,FALSE)))</f>
        <v/>
      </c>
      <c r="J4993" s="215" t="str">
        <f>IF(Table2[[#This Row],[Description]]="","",Table2[[#This Row],[Value]]/Table2[[#This Row],[Conversion]])</f>
        <v/>
      </c>
      <c r="K4993" s="45" t="str">
        <f>IF(Table2[[#This Row],[Description]]="","",DATE(Table2[[#This Row],[Year]],Table2[[#This Row],[Month]],1))</f>
        <v/>
      </c>
    </row>
    <row r="4994" spans="7:11" x14ac:dyDescent="0.25">
      <c r="G4994" s="1" t="str">
        <f>IF(Table2[[#This Row],[Description]]="","",VLOOKUP(Table2[[#This Row],[Description]],$Q$1:$S$101,2,FALSE))</f>
        <v/>
      </c>
      <c r="H4994" s="1" t="str">
        <f>IF(Table2[[#This Row],[Description]]="","",VLOOKUP(Table2[[#This Row],[Description]],$Q$1:$S$101,3,FALSE))</f>
        <v/>
      </c>
      <c r="I4994" s="1" t="str">
        <f>IF(Table2[[#This Row],[Description]]="","",IF(Table2[[#This Row],[Currency]]=$O$2,$P$2,HLOOKUP(Table2[[#This Row],[Date]],Funds!$C$10:$GV$11,2,FALSE)))</f>
        <v/>
      </c>
      <c r="J4994" s="215" t="str">
        <f>IF(Table2[[#This Row],[Description]]="","",Table2[[#This Row],[Value]]/Table2[[#This Row],[Conversion]])</f>
        <v/>
      </c>
      <c r="K4994" s="45" t="str">
        <f>IF(Table2[[#This Row],[Description]]="","",DATE(Table2[[#This Row],[Year]],Table2[[#This Row],[Month]],1))</f>
        <v/>
      </c>
    </row>
    <row r="4995" spans="7:11" x14ac:dyDescent="0.25">
      <c r="G4995" s="1" t="str">
        <f>IF(Table2[[#This Row],[Description]]="","",VLOOKUP(Table2[[#This Row],[Description]],$Q$1:$S$101,2,FALSE))</f>
        <v/>
      </c>
      <c r="H4995" s="1" t="str">
        <f>IF(Table2[[#This Row],[Description]]="","",VLOOKUP(Table2[[#This Row],[Description]],$Q$1:$S$101,3,FALSE))</f>
        <v/>
      </c>
      <c r="I4995" s="1" t="str">
        <f>IF(Table2[[#This Row],[Description]]="","",IF(Table2[[#This Row],[Currency]]=$O$2,$P$2,HLOOKUP(Table2[[#This Row],[Date]],Funds!$C$10:$GV$11,2,FALSE)))</f>
        <v/>
      </c>
      <c r="J4995" s="215" t="str">
        <f>IF(Table2[[#This Row],[Description]]="","",Table2[[#This Row],[Value]]/Table2[[#This Row],[Conversion]])</f>
        <v/>
      </c>
      <c r="K4995" s="45" t="str">
        <f>IF(Table2[[#This Row],[Description]]="","",DATE(Table2[[#This Row],[Year]],Table2[[#This Row],[Month]],1))</f>
        <v/>
      </c>
    </row>
    <row r="4996" spans="7:11" x14ac:dyDescent="0.25">
      <c r="G4996" s="1" t="str">
        <f>IF(Table2[[#This Row],[Description]]="","",VLOOKUP(Table2[[#This Row],[Description]],$Q$1:$S$101,2,FALSE))</f>
        <v/>
      </c>
      <c r="H4996" s="1" t="str">
        <f>IF(Table2[[#This Row],[Description]]="","",VLOOKUP(Table2[[#This Row],[Description]],$Q$1:$S$101,3,FALSE))</f>
        <v/>
      </c>
      <c r="I4996" s="1" t="str">
        <f>IF(Table2[[#This Row],[Description]]="","",IF(Table2[[#This Row],[Currency]]=$O$2,$P$2,HLOOKUP(Table2[[#This Row],[Date]],Funds!$C$10:$GV$11,2,FALSE)))</f>
        <v/>
      </c>
      <c r="J4996" s="215" t="str">
        <f>IF(Table2[[#This Row],[Description]]="","",Table2[[#This Row],[Value]]/Table2[[#This Row],[Conversion]])</f>
        <v/>
      </c>
      <c r="K4996" s="45" t="str">
        <f>IF(Table2[[#This Row],[Description]]="","",DATE(Table2[[#This Row],[Year]],Table2[[#This Row],[Month]],1))</f>
        <v/>
      </c>
    </row>
    <row r="4997" spans="7:11" x14ac:dyDescent="0.25">
      <c r="G4997" s="1" t="str">
        <f>IF(Table2[[#This Row],[Description]]="","",VLOOKUP(Table2[[#This Row],[Description]],$Q$1:$S$101,2,FALSE))</f>
        <v/>
      </c>
      <c r="H4997" s="1" t="str">
        <f>IF(Table2[[#This Row],[Description]]="","",VLOOKUP(Table2[[#This Row],[Description]],$Q$1:$S$101,3,FALSE))</f>
        <v/>
      </c>
      <c r="I4997" s="1" t="str">
        <f>IF(Table2[[#This Row],[Description]]="","",IF(Table2[[#This Row],[Currency]]=$O$2,$P$2,HLOOKUP(Table2[[#This Row],[Date]],Funds!$C$10:$GV$11,2,FALSE)))</f>
        <v/>
      </c>
      <c r="J4997" s="215" t="str">
        <f>IF(Table2[[#This Row],[Description]]="","",Table2[[#This Row],[Value]]/Table2[[#This Row],[Conversion]])</f>
        <v/>
      </c>
      <c r="K4997" s="45" t="str">
        <f>IF(Table2[[#This Row],[Description]]="","",DATE(Table2[[#This Row],[Year]],Table2[[#This Row],[Month]],1))</f>
        <v/>
      </c>
    </row>
    <row r="4998" spans="7:11" x14ac:dyDescent="0.25">
      <c r="G4998" s="1" t="str">
        <f>IF(Table2[[#This Row],[Description]]="","",VLOOKUP(Table2[[#This Row],[Description]],$Q$1:$S$101,2,FALSE))</f>
        <v/>
      </c>
      <c r="H4998" s="1" t="str">
        <f>IF(Table2[[#This Row],[Description]]="","",VLOOKUP(Table2[[#This Row],[Description]],$Q$1:$S$101,3,FALSE))</f>
        <v/>
      </c>
      <c r="I4998" s="1" t="str">
        <f>IF(Table2[[#This Row],[Description]]="","",IF(Table2[[#This Row],[Currency]]=$O$2,$P$2,HLOOKUP(Table2[[#This Row],[Date]],Funds!$C$10:$GV$11,2,FALSE)))</f>
        <v/>
      </c>
      <c r="J4998" s="215" t="str">
        <f>IF(Table2[[#This Row],[Description]]="","",Table2[[#This Row],[Value]]/Table2[[#This Row],[Conversion]])</f>
        <v/>
      </c>
      <c r="K4998" s="45" t="str">
        <f>IF(Table2[[#This Row],[Description]]="","",DATE(Table2[[#This Row],[Year]],Table2[[#This Row],[Month]],1))</f>
        <v/>
      </c>
    </row>
    <row r="4999" spans="7:11" x14ac:dyDescent="0.25">
      <c r="G4999" s="1" t="str">
        <f>IF(Table2[[#This Row],[Description]]="","",VLOOKUP(Table2[[#This Row],[Description]],$Q$1:$S$101,2,FALSE))</f>
        <v/>
      </c>
      <c r="H4999" s="1" t="str">
        <f>IF(Table2[[#This Row],[Description]]="","",VLOOKUP(Table2[[#This Row],[Description]],$Q$1:$S$101,3,FALSE))</f>
        <v/>
      </c>
      <c r="I4999" s="1" t="str">
        <f>IF(Table2[[#This Row],[Description]]="","",IF(Table2[[#This Row],[Currency]]=$O$2,$P$2,HLOOKUP(Table2[[#This Row],[Date]],Funds!$C$10:$GV$11,2,FALSE)))</f>
        <v/>
      </c>
      <c r="J4999" s="215" t="str">
        <f>IF(Table2[[#This Row],[Description]]="","",Table2[[#This Row],[Value]]/Table2[[#This Row],[Conversion]])</f>
        <v/>
      </c>
      <c r="K4999" s="45" t="str">
        <f>IF(Table2[[#This Row],[Description]]="","",DATE(Table2[[#This Row],[Year]],Table2[[#This Row],[Month]],1))</f>
        <v/>
      </c>
    </row>
    <row r="5000" spans="7:11" x14ac:dyDescent="0.25">
      <c r="G5000" s="1" t="str">
        <f>IF(Table2[[#This Row],[Description]]="","",VLOOKUP(Table2[[#This Row],[Description]],$Q$1:$S$101,2,FALSE))</f>
        <v/>
      </c>
      <c r="H5000" s="1" t="str">
        <f>IF(Table2[[#This Row],[Description]]="","",VLOOKUP(Table2[[#This Row],[Description]],$Q$1:$S$101,3,FALSE))</f>
        <v/>
      </c>
      <c r="I5000" s="1" t="str">
        <f>IF(Table2[[#This Row],[Description]]="","",IF(Table2[[#This Row],[Currency]]=$O$2,$P$2,HLOOKUP(Table2[[#This Row],[Date]],Funds!$C$10:$GV$11,2,FALSE)))</f>
        <v/>
      </c>
      <c r="J5000" s="215" t="str">
        <f>IF(Table2[[#This Row],[Description]]="","",Table2[[#This Row],[Value]]/Table2[[#This Row],[Conversion]])</f>
        <v/>
      </c>
      <c r="K5000" s="45" t="str">
        <f>IF(Table2[[#This Row],[Description]]="","",DATE(Table2[[#This Row],[Year]],Table2[[#This Row],[Month]],1))</f>
        <v/>
      </c>
    </row>
    <row r="5001" spans="7:11" x14ac:dyDescent="0.25">
      <c r="G5001" s="1" t="str">
        <f>IF(Table2[[#This Row],[Description]]="","",VLOOKUP(Table2[[#This Row],[Description]],$Q$1:$S$101,2,FALSE))</f>
        <v/>
      </c>
      <c r="H5001" s="1" t="str">
        <f>IF(Table2[[#This Row],[Description]]="","",VLOOKUP(Table2[[#This Row],[Description]],$Q$1:$S$101,3,FALSE))</f>
        <v/>
      </c>
      <c r="I5001" s="1" t="str">
        <f>IF(Table2[[#This Row],[Description]]="","",IF(Table2[[#This Row],[Currency]]=$O$2,$P$2,HLOOKUP(Table2[[#This Row],[Date]],Funds!$C$10:$GV$11,2,FALSE)))</f>
        <v/>
      </c>
      <c r="J5001" s="215" t="str">
        <f>IF(Table2[[#This Row],[Description]]="","",Table2[[#This Row],[Value]]/Table2[[#This Row],[Conversion]])</f>
        <v/>
      </c>
      <c r="K5001" s="45" t="str">
        <f>IF(Table2[[#This Row],[Description]]="","",DATE(Table2[[#This Row],[Year]],Table2[[#This Row],[Month]],1))</f>
        <v/>
      </c>
    </row>
    <row r="5002" spans="7:11" x14ac:dyDescent="0.25">
      <c r="G5002" s="1" t="str">
        <f>IF(Table2[[#This Row],[Description]]="","",VLOOKUP(Table2[[#This Row],[Description]],$Q$1:$S$101,2,FALSE))</f>
        <v/>
      </c>
      <c r="H5002" s="1" t="str">
        <f>IF(Table2[[#This Row],[Description]]="","",VLOOKUP(Table2[[#This Row],[Description]],$Q$1:$S$101,3,FALSE))</f>
        <v/>
      </c>
      <c r="I5002" s="1" t="str">
        <f>IF(Table2[[#This Row],[Description]]="","",IF(Table2[[#This Row],[Currency]]=$O$2,$P$2,HLOOKUP(Table2[[#This Row],[Date]],Funds!$C$10:$GV$11,2,FALSE)))</f>
        <v/>
      </c>
      <c r="J5002" s="215" t="str">
        <f>IF(Table2[[#This Row],[Description]]="","",Table2[[#This Row],[Value]]/Table2[[#This Row],[Conversion]])</f>
        <v/>
      </c>
      <c r="K5002" s="45" t="str">
        <f>IF(Table2[[#This Row],[Description]]="","",DATE(Table2[[#This Row],[Year]],Table2[[#This Row],[Month]],1))</f>
        <v/>
      </c>
    </row>
    <row r="5003" spans="7:11" x14ac:dyDescent="0.25">
      <c r="G5003" s="1" t="str">
        <f>IF(Table2[[#This Row],[Description]]="","",VLOOKUP(Table2[[#This Row],[Description]],$Q$1:$S$101,2,FALSE))</f>
        <v/>
      </c>
      <c r="H5003" s="1" t="str">
        <f>IF(Table2[[#This Row],[Description]]="","",VLOOKUP(Table2[[#This Row],[Description]],$Q$1:$S$101,3,FALSE))</f>
        <v/>
      </c>
      <c r="I5003" s="1" t="str">
        <f>IF(Table2[[#This Row],[Description]]="","",IF(Table2[[#This Row],[Currency]]=$O$2,$P$2,HLOOKUP(Table2[[#This Row],[Date]],Funds!$C$10:$GV$11,2,FALSE)))</f>
        <v/>
      </c>
      <c r="J5003" s="215" t="str">
        <f>IF(Table2[[#This Row],[Description]]="","",Table2[[#This Row],[Value]]/Table2[[#This Row],[Conversion]])</f>
        <v/>
      </c>
      <c r="K5003" s="45" t="str">
        <f>IF(Table2[[#This Row],[Description]]="","",DATE(Table2[[#This Row],[Year]],Table2[[#This Row],[Month]],1))</f>
        <v/>
      </c>
    </row>
    <row r="5004" spans="7:11" x14ac:dyDescent="0.25">
      <c r="G5004" s="1" t="str">
        <f>IF(Table2[[#This Row],[Description]]="","",VLOOKUP(Table2[[#This Row],[Description]],$Q$1:$S$101,2,FALSE))</f>
        <v/>
      </c>
      <c r="H5004" s="1" t="str">
        <f>IF(Table2[[#This Row],[Description]]="","",VLOOKUP(Table2[[#This Row],[Description]],$Q$1:$S$101,3,FALSE))</f>
        <v/>
      </c>
      <c r="I5004" s="1" t="str">
        <f>IF(Table2[[#This Row],[Description]]="","",IF(Table2[[#This Row],[Currency]]=$O$2,$P$2,HLOOKUP(Table2[[#This Row],[Date]],Funds!$C$10:$GV$11,2,FALSE)))</f>
        <v/>
      </c>
      <c r="J5004" s="215" t="str">
        <f>IF(Table2[[#This Row],[Description]]="","",Table2[[#This Row],[Value]]/Table2[[#This Row],[Conversion]])</f>
        <v/>
      </c>
      <c r="K5004" s="45" t="str">
        <f>IF(Table2[[#This Row],[Description]]="","",DATE(Table2[[#This Row],[Year]],Table2[[#This Row],[Month]],1))</f>
        <v/>
      </c>
    </row>
    <row r="5005" spans="7:11" x14ac:dyDescent="0.25">
      <c r="G5005" s="1" t="str">
        <f>IF(Table2[[#This Row],[Description]]="","",VLOOKUP(Table2[[#This Row],[Description]],$Q$1:$S$101,2,FALSE))</f>
        <v/>
      </c>
      <c r="H5005" s="1" t="str">
        <f>IF(Table2[[#This Row],[Description]]="","",VLOOKUP(Table2[[#This Row],[Description]],$Q$1:$S$101,3,FALSE))</f>
        <v/>
      </c>
      <c r="I5005" s="1" t="str">
        <f>IF(Table2[[#This Row],[Description]]="","",IF(Table2[[#This Row],[Currency]]=$O$2,$P$2,HLOOKUP(Table2[[#This Row],[Date]],Funds!$C$10:$GV$11,2,FALSE)))</f>
        <v/>
      </c>
      <c r="J5005" s="215" t="str">
        <f>IF(Table2[[#This Row],[Description]]="","",Table2[[#This Row],[Value]]/Table2[[#This Row],[Conversion]])</f>
        <v/>
      </c>
      <c r="K5005" s="45" t="str">
        <f>IF(Table2[[#This Row],[Description]]="","",DATE(Table2[[#This Row],[Year]],Table2[[#This Row],[Month]],1))</f>
        <v/>
      </c>
    </row>
    <row r="5006" spans="7:11" x14ac:dyDescent="0.25">
      <c r="G5006" s="1" t="str">
        <f>IF(Table2[[#This Row],[Description]]="","",VLOOKUP(Table2[[#This Row],[Description]],$Q$1:$S$101,2,FALSE))</f>
        <v/>
      </c>
      <c r="H5006" s="1" t="str">
        <f>IF(Table2[[#This Row],[Description]]="","",VLOOKUP(Table2[[#This Row],[Description]],$Q$1:$S$101,3,FALSE))</f>
        <v/>
      </c>
      <c r="I5006" s="1" t="str">
        <f>IF(Table2[[#This Row],[Description]]="","",IF(Table2[[#This Row],[Currency]]=$O$2,$P$2,HLOOKUP(Table2[[#This Row],[Date]],Funds!$C$10:$GV$11,2,FALSE)))</f>
        <v/>
      </c>
      <c r="J5006" s="215" t="str">
        <f>IF(Table2[[#This Row],[Description]]="","",Table2[[#This Row],[Value]]/Table2[[#This Row],[Conversion]])</f>
        <v/>
      </c>
      <c r="K5006" s="45" t="str">
        <f>IF(Table2[[#This Row],[Description]]="","",DATE(Table2[[#This Row],[Year]],Table2[[#This Row],[Month]],1))</f>
        <v/>
      </c>
    </row>
    <row r="5007" spans="7:11" x14ac:dyDescent="0.25">
      <c r="G5007" s="1" t="str">
        <f>IF(Table2[[#This Row],[Description]]="","",VLOOKUP(Table2[[#This Row],[Description]],$Q$1:$S$101,2,FALSE))</f>
        <v/>
      </c>
      <c r="H5007" s="1" t="str">
        <f>IF(Table2[[#This Row],[Description]]="","",VLOOKUP(Table2[[#This Row],[Description]],$Q$1:$S$101,3,FALSE))</f>
        <v/>
      </c>
      <c r="I5007" s="1" t="str">
        <f>IF(Table2[[#This Row],[Description]]="","",IF(Table2[[#This Row],[Currency]]=$O$2,$P$2,HLOOKUP(Table2[[#This Row],[Date]],Funds!$C$10:$GV$11,2,FALSE)))</f>
        <v/>
      </c>
      <c r="J5007" s="215" t="str">
        <f>IF(Table2[[#This Row],[Description]]="","",Table2[[#This Row],[Value]]/Table2[[#This Row],[Conversion]])</f>
        <v/>
      </c>
      <c r="K5007" s="45" t="str">
        <f>IF(Table2[[#This Row],[Description]]="","",DATE(Table2[[#This Row],[Year]],Table2[[#This Row],[Month]],1))</f>
        <v/>
      </c>
    </row>
    <row r="5008" spans="7:11" x14ac:dyDescent="0.25">
      <c r="G5008" s="1" t="str">
        <f>IF(Table2[[#This Row],[Description]]="","",VLOOKUP(Table2[[#This Row],[Description]],$Q$1:$S$101,2,FALSE))</f>
        <v/>
      </c>
      <c r="H5008" s="1" t="str">
        <f>IF(Table2[[#This Row],[Description]]="","",VLOOKUP(Table2[[#This Row],[Description]],$Q$1:$S$101,3,FALSE))</f>
        <v/>
      </c>
      <c r="I5008" s="1" t="str">
        <f>IF(Table2[[#This Row],[Description]]="","",IF(Table2[[#This Row],[Currency]]=$O$2,$P$2,HLOOKUP(Table2[[#This Row],[Date]],Funds!$C$10:$GV$11,2,FALSE)))</f>
        <v/>
      </c>
      <c r="J5008" s="215" t="str">
        <f>IF(Table2[[#This Row],[Description]]="","",Table2[[#This Row],[Value]]/Table2[[#This Row],[Conversion]])</f>
        <v/>
      </c>
      <c r="K5008" s="45" t="str">
        <f>IF(Table2[[#This Row],[Description]]="","",DATE(Table2[[#This Row],[Year]],Table2[[#This Row],[Month]],1))</f>
        <v/>
      </c>
    </row>
    <row r="5009" spans="7:11" x14ac:dyDescent="0.25">
      <c r="G5009" s="1" t="str">
        <f>IF(Table2[[#This Row],[Description]]="","",VLOOKUP(Table2[[#This Row],[Description]],$Q$1:$S$101,2,FALSE))</f>
        <v/>
      </c>
      <c r="H5009" s="1" t="str">
        <f>IF(Table2[[#This Row],[Description]]="","",VLOOKUP(Table2[[#This Row],[Description]],$Q$1:$S$101,3,FALSE))</f>
        <v/>
      </c>
      <c r="I5009" s="1" t="str">
        <f>IF(Table2[[#This Row],[Description]]="","",IF(Table2[[#This Row],[Currency]]=$O$2,$P$2,HLOOKUP(Table2[[#This Row],[Date]],Funds!$C$10:$GV$11,2,FALSE)))</f>
        <v/>
      </c>
      <c r="J5009" s="215" t="str">
        <f>IF(Table2[[#This Row],[Description]]="","",Table2[[#This Row],[Value]]/Table2[[#This Row],[Conversion]])</f>
        <v/>
      </c>
      <c r="K5009" s="45" t="str">
        <f>IF(Table2[[#This Row],[Description]]="","",DATE(Table2[[#This Row],[Year]],Table2[[#This Row],[Month]],1))</f>
        <v/>
      </c>
    </row>
    <row r="5010" spans="7:11" x14ac:dyDescent="0.25">
      <c r="G5010" s="1" t="str">
        <f>IF(Table2[[#This Row],[Description]]="","",VLOOKUP(Table2[[#This Row],[Description]],$Q$1:$S$101,2,FALSE))</f>
        <v/>
      </c>
      <c r="H5010" s="1" t="str">
        <f>IF(Table2[[#This Row],[Description]]="","",VLOOKUP(Table2[[#This Row],[Description]],$Q$1:$S$101,3,FALSE))</f>
        <v/>
      </c>
      <c r="I5010" s="1" t="str">
        <f>IF(Table2[[#This Row],[Description]]="","",IF(Table2[[#This Row],[Currency]]=$O$2,$P$2,HLOOKUP(Table2[[#This Row],[Date]],Funds!$C$10:$GV$11,2,FALSE)))</f>
        <v/>
      </c>
      <c r="J5010" s="215" t="str">
        <f>IF(Table2[[#This Row],[Description]]="","",Table2[[#This Row],[Value]]/Table2[[#This Row],[Conversion]])</f>
        <v/>
      </c>
      <c r="K5010" s="45" t="str">
        <f>IF(Table2[[#This Row],[Description]]="","",DATE(Table2[[#This Row],[Year]],Table2[[#This Row],[Month]],1))</f>
        <v/>
      </c>
    </row>
    <row r="5011" spans="7:11" x14ac:dyDescent="0.25">
      <c r="G5011" s="1" t="str">
        <f>IF(Table2[[#This Row],[Description]]="","",VLOOKUP(Table2[[#This Row],[Description]],$Q$1:$S$101,2,FALSE))</f>
        <v/>
      </c>
      <c r="H5011" s="1" t="str">
        <f>IF(Table2[[#This Row],[Description]]="","",VLOOKUP(Table2[[#This Row],[Description]],$Q$1:$S$101,3,FALSE))</f>
        <v/>
      </c>
      <c r="I5011" s="1" t="str">
        <f>IF(Table2[[#This Row],[Description]]="","",IF(Table2[[#This Row],[Currency]]=$O$2,$P$2,HLOOKUP(Table2[[#This Row],[Date]],Funds!$C$10:$GV$11,2,FALSE)))</f>
        <v/>
      </c>
      <c r="J5011" s="215" t="str">
        <f>IF(Table2[[#This Row],[Description]]="","",Table2[[#This Row],[Value]]/Table2[[#This Row],[Conversion]])</f>
        <v/>
      </c>
      <c r="K5011" s="45" t="str">
        <f>IF(Table2[[#This Row],[Description]]="","",DATE(Table2[[#This Row],[Year]],Table2[[#This Row],[Month]],1))</f>
        <v/>
      </c>
    </row>
    <row r="5012" spans="7:11" x14ac:dyDescent="0.25">
      <c r="G5012" s="1" t="str">
        <f>IF(Table2[[#This Row],[Description]]="","",VLOOKUP(Table2[[#This Row],[Description]],$Q$1:$S$101,2,FALSE))</f>
        <v/>
      </c>
      <c r="H5012" s="1" t="str">
        <f>IF(Table2[[#This Row],[Description]]="","",VLOOKUP(Table2[[#This Row],[Description]],$Q$1:$S$101,3,FALSE))</f>
        <v/>
      </c>
      <c r="I5012" s="1" t="str">
        <f>IF(Table2[[#This Row],[Description]]="","",IF(Table2[[#This Row],[Currency]]=$O$2,$P$2,HLOOKUP(Table2[[#This Row],[Date]],Funds!$C$10:$GV$11,2,FALSE)))</f>
        <v/>
      </c>
      <c r="J5012" s="215" t="str">
        <f>IF(Table2[[#This Row],[Description]]="","",Table2[[#This Row],[Value]]/Table2[[#This Row],[Conversion]])</f>
        <v/>
      </c>
      <c r="K5012" s="45" t="str">
        <f>IF(Table2[[#This Row],[Description]]="","",DATE(Table2[[#This Row],[Year]],Table2[[#This Row],[Month]],1))</f>
        <v/>
      </c>
    </row>
    <row r="5013" spans="7:11" x14ac:dyDescent="0.25">
      <c r="G5013" s="1" t="str">
        <f>IF(Table2[[#This Row],[Description]]="","",VLOOKUP(Table2[[#This Row],[Description]],$Q$1:$S$101,2,FALSE))</f>
        <v/>
      </c>
      <c r="H5013" s="1" t="str">
        <f>IF(Table2[[#This Row],[Description]]="","",VLOOKUP(Table2[[#This Row],[Description]],$Q$1:$S$101,3,FALSE))</f>
        <v/>
      </c>
      <c r="I5013" s="1" t="str">
        <f>IF(Table2[[#This Row],[Description]]="","",IF(Table2[[#This Row],[Currency]]=$O$2,$P$2,HLOOKUP(Table2[[#This Row],[Date]],Funds!$C$10:$GV$11,2,FALSE)))</f>
        <v/>
      </c>
      <c r="J5013" s="215" t="str">
        <f>IF(Table2[[#This Row],[Description]]="","",Table2[[#This Row],[Value]]/Table2[[#This Row],[Conversion]])</f>
        <v/>
      </c>
      <c r="K5013" s="45" t="str">
        <f>IF(Table2[[#This Row],[Description]]="","",DATE(Table2[[#This Row],[Year]],Table2[[#This Row],[Month]],1))</f>
        <v/>
      </c>
    </row>
    <row r="5014" spans="7:11" x14ac:dyDescent="0.25">
      <c r="G5014" s="1" t="str">
        <f>IF(Table2[[#This Row],[Description]]="","",VLOOKUP(Table2[[#This Row],[Description]],$Q$1:$S$101,2,FALSE))</f>
        <v/>
      </c>
      <c r="H5014" s="1" t="str">
        <f>IF(Table2[[#This Row],[Description]]="","",VLOOKUP(Table2[[#This Row],[Description]],$Q$1:$S$101,3,FALSE))</f>
        <v/>
      </c>
      <c r="I5014" s="1" t="str">
        <f>IF(Table2[[#This Row],[Description]]="","",IF(Table2[[#This Row],[Currency]]=$O$2,$P$2,HLOOKUP(Table2[[#This Row],[Date]],Funds!$C$10:$GV$11,2,FALSE)))</f>
        <v/>
      </c>
      <c r="J5014" s="215" t="str">
        <f>IF(Table2[[#This Row],[Description]]="","",Table2[[#This Row],[Value]]/Table2[[#This Row],[Conversion]])</f>
        <v/>
      </c>
      <c r="K5014" s="45" t="str">
        <f>IF(Table2[[#This Row],[Description]]="","",DATE(Table2[[#This Row],[Year]],Table2[[#This Row],[Month]],1))</f>
        <v/>
      </c>
    </row>
    <row r="5015" spans="7:11" x14ac:dyDescent="0.25">
      <c r="G5015" s="1" t="str">
        <f>IF(Table2[[#This Row],[Description]]="","",VLOOKUP(Table2[[#This Row],[Description]],$Q$1:$S$101,2,FALSE))</f>
        <v/>
      </c>
      <c r="H5015" s="1" t="str">
        <f>IF(Table2[[#This Row],[Description]]="","",VLOOKUP(Table2[[#This Row],[Description]],$Q$1:$S$101,3,FALSE))</f>
        <v/>
      </c>
      <c r="I5015" s="1" t="str">
        <f>IF(Table2[[#This Row],[Description]]="","",IF(Table2[[#This Row],[Currency]]=$O$2,$P$2,HLOOKUP(Table2[[#This Row],[Date]],Funds!$C$10:$GV$11,2,FALSE)))</f>
        <v/>
      </c>
      <c r="J5015" s="215" t="str">
        <f>IF(Table2[[#This Row],[Description]]="","",Table2[[#This Row],[Value]]/Table2[[#This Row],[Conversion]])</f>
        <v/>
      </c>
      <c r="K5015" s="45" t="str">
        <f>IF(Table2[[#This Row],[Description]]="","",DATE(Table2[[#This Row],[Year]],Table2[[#This Row],[Month]],1))</f>
        <v/>
      </c>
    </row>
    <row r="5016" spans="7:11" x14ac:dyDescent="0.25">
      <c r="G5016" s="1" t="str">
        <f>IF(Table2[[#This Row],[Description]]="","",VLOOKUP(Table2[[#This Row],[Description]],$Q$1:$S$101,2,FALSE))</f>
        <v/>
      </c>
      <c r="H5016" s="1" t="str">
        <f>IF(Table2[[#This Row],[Description]]="","",VLOOKUP(Table2[[#This Row],[Description]],$Q$1:$S$101,3,FALSE))</f>
        <v/>
      </c>
      <c r="I5016" s="1" t="str">
        <f>IF(Table2[[#This Row],[Description]]="","",IF(Table2[[#This Row],[Currency]]=$O$2,$P$2,HLOOKUP(Table2[[#This Row],[Date]],Funds!$C$10:$GV$11,2,FALSE)))</f>
        <v/>
      </c>
      <c r="J5016" s="215" t="str">
        <f>IF(Table2[[#This Row],[Description]]="","",Table2[[#This Row],[Value]]/Table2[[#This Row],[Conversion]])</f>
        <v/>
      </c>
      <c r="K5016" s="45" t="str">
        <f>IF(Table2[[#This Row],[Description]]="","",DATE(Table2[[#This Row],[Year]],Table2[[#This Row],[Month]],1))</f>
        <v/>
      </c>
    </row>
    <row r="5017" spans="7:11" x14ac:dyDescent="0.25">
      <c r="G5017" s="1" t="str">
        <f>IF(Table2[[#This Row],[Description]]="","",VLOOKUP(Table2[[#This Row],[Description]],$Q$1:$S$101,2,FALSE))</f>
        <v/>
      </c>
      <c r="H5017" s="1" t="str">
        <f>IF(Table2[[#This Row],[Description]]="","",VLOOKUP(Table2[[#This Row],[Description]],$Q$1:$S$101,3,FALSE))</f>
        <v/>
      </c>
      <c r="I5017" s="1" t="str">
        <f>IF(Table2[[#This Row],[Description]]="","",IF(Table2[[#This Row],[Currency]]=$O$2,$P$2,HLOOKUP(Table2[[#This Row],[Date]],Funds!$C$10:$GV$11,2,FALSE)))</f>
        <v/>
      </c>
      <c r="J5017" s="215" t="str">
        <f>IF(Table2[[#This Row],[Description]]="","",Table2[[#This Row],[Value]]/Table2[[#This Row],[Conversion]])</f>
        <v/>
      </c>
      <c r="K5017" s="45" t="str">
        <f>IF(Table2[[#This Row],[Description]]="","",DATE(Table2[[#This Row],[Year]],Table2[[#This Row],[Month]],1))</f>
        <v/>
      </c>
    </row>
    <row r="5018" spans="7:11" x14ac:dyDescent="0.25">
      <c r="G5018" s="1" t="str">
        <f>IF(Table2[[#This Row],[Description]]="","",VLOOKUP(Table2[[#This Row],[Description]],$Q$1:$S$101,2,FALSE))</f>
        <v/>
      </c>
      <c r="H5018" s="1" t="str">
        <f>IF(Table2[[#This Row],[Description]]="","",VLOOKUP(Table2[[#This Row],[Description]],$Q$1:$S$101,3,FALSE))</f>
        <v/>
      </c>
      <c r="I5018" s="1" t="str">
        <f>IF(Table2[[#This Row],[Description]]="","",IF(Table2[[#This Row],[Currency]]=$O$2,$P$2,HLOOKUP(Table2[[#This Row],[Date]],Funds!$C$10:$GV$11,2,FALSE)))</f>
        <v/>
      </c>
      <c r="J5018" s="215" t="str">
        <f>IF(Table2[[#This Row],[Description]]="","",Table2[[#This Row],[Value]]/Table2[[#This Row],[Conversion]])</f>
        <v/>
      </c>
      <c r="K5018" s="45" t="str">
        <f>IF(Table2[[#This Row],[Description]]="","",DATE(Table2[[#This Row],[Year]],Table2[[#This Row],[Month]],1))</f>
        <v/>
      </c>
    </row>
    <row r="5019" spans="7:11" x14ac:dyDescent="0.25">
      <c r="G5019" s="1" t="str">
        <f>IF(Table2[[#This Row],[Description]]="","",VLOOKUP(Table2[[#This Row],[Description]],$Q$1:$S$101,2,FALSE))</f>
        <v/>
      </c>
      <c r="H5019" s="1" t="str">
        <f>IF(Table2[[#This Row],[Description]]="","",VLOOKUP(Table2[[#This Row],[Description]],$Q$1:$S$101,3,FALSE))</f>
        <v/>
      </c>
      <c r="I5019" s="1" t="str">
        <f>IF(Table2[[#This Row],[Description]]="","",IF(Table2[[#This Row],[Currency]]=$O$2,$P$2,HLOOKUP(Table2[[#This Row],[Date]],Funds!$C$10:$GV$11,2,FALSE)))</f>
        <v/>
      </c>
      <c r="J5019" s="215" t="str">
        <f>IF(Table2[[#This Row],[Description]]="","",Table2[[#This Row],[Value]]/Table2[[#This Row],[Conversion]])</f>
        <v/>
      </c>
      <c r="K5019" s="45" t="str">
        <f>IF(Table2[[#This Row],[Description]]="","",DATE(Table2[[#This Row],[Year]],Table2[[#This Row],[Month]],1))</f>
        <v/>
      </c>
    </row>
    <row r="5020" spans="7:11" x14ac:dyDescent="0.25">
      <c r="G5020" s="1" t="str">
        <f>IF(Table2[[#This Row],[Description]]="","",VLOOKUP(Table2[[#This Row],[Description]],$Q$1:$S$101,2,FALSE))</f>
        <v/>
      </c>
      <c r="H5020" s="1" t="str">
        <f>IF(Table2[[#This Row],[Description]]="","",VLOOKUP(Table2[[#This Row],[Description]],$Q$1:$S$101,3,FALSE))</f>
        <v/>
      </c>
      <c r="I5020" s="1" t="str">
        <f>IF(Table2[[#This Row],[Description]]="","",IF(Table2[[#This Row],[Currency]]=$O$2,$P$2,HLOOKUP(Table2[[#This Row],[Date]],Funds!$C$10:$GV$11,2,FALSE)))</f>
        <v/>
      </c>
      <c r="J5020" s="215" t="str">
        <f>IF(Table2[[#This Row],[Description]]="","",Table2[[#This Row],[Value]]/Table2[[#This Row],[Conversion]])</f>
        <v/>
      </c>
      <c r="K5020" s="45" t="str">
        <f>IF(Table2[[#This Row],[Description]]="","",DATE(Table2[[#This Row],[Year]],Table2[[#This Row],[Month]],1))</f>
        <v/>
      </c>
    </row>
    <row r="5021" spans="7:11" x14ac:dyDescent="0.25">
      <c r="G5021" s="1" t="str">
        <f>IF(Table2[[#This Row],[Description]]="","",VLOOKUP(Table2[[#This Row],[Description]],$Q$1:$S$101,2,FALSE))</f>
        <v/>
      </c>
      <c r="H5021" s="1" t="str">
        <f>IF(Table2[[#This Row],[Description]]="","",VLOOKUP(Table2[[#This Row],[Description]],$Q$1:$S$101,3,FALSE))</f>
        <v/>
      </c>
      <c r="I5021" s="1" t="str">
        <f>IF(Table2[[#This Row],[Description]]="","",IF(Table2[[#This Row],[Currency]]=$O$2,$P$2,HLOOKUP(Table2[[#This Row],[Date]],Funds!$C$10:$GV$11,2,FALSE)))</f>
        <v/>
      </c>
      <c r="J5021" s="215" t="str">
        <f>IF(Table2[[#This Row],[Description]]="","",Table2[[#This Row],[Value]]/Table2[[#This Row],[Conversion]])</f>
        <v/>
      </c>
      <c r="K5021" s="45" t="str">
        <f>IF(Table2[[#This Row],[Description]]="","",DATE(Table2[[#This Row],[Year]],Table2[[#This Row],[Month]],1))</f>
        <v/>
      </c>
    </row>
    <row r="5022" spans="7:11" x14ac:dyDescent="0.25">
      <c r="G5022" s="1" t="str">
        <f>IF(Table2[[#This Row],[Description]]="","",VLOOKUP(Table2[[#This Row],[Description]],$Q$1:$S$101,2,FALSE))</f>
        <v/>
      </c>
      <c r="H5022" s="1" t="str">
        <f>IF(Table2[[#This Row],[Description]]="","",VLOOKUP(Table2[[#This Row],[Description]],$Q$1:$S$101,3,FALSE))</f>
        <v/>
      </c>
      <c r="I5022" s="1" t="str">
        <f>IF(Table2[[#This Row],[Description]]="","",IF(Table2[[#This Row],[Currency]]=$O$2,$P$2,HLOOKUP(Table2[[#This Row],[Date]],Funds!$C$10:$GV$11,2,FALSE)))</f>
        <v/>
      </c>
      <c r="J5022" s="215" t="str">
        <f>IF(Table2[[#This Row],[Description]]="","",Table2[[#This Row],[Value]]/Table2[[#This Row],[Conversion]])</f>
        <v/>
      </c>
      <c r="K5022" s="45" t="str">
        <f>IF(Table2[[#This Row],[Description]]="","",DATE(Table2[[#This Row],[Year]],Table2[[#This Row],[Month]],1))</f>
        <v/>
      </c>
    </row>
    <row r="5023" spans="7:11" x14ac:dyDescent="0.25">
      <c r="G5023" s="1" t="str">
        <f>IF(Table2[[#This Row],[Description]]="","",VLOOKUP(Table2[[#This Row],[Description]],$Q$1:$S$101,2,FALSE))</f>
        <v/>
      </c>
      <c r="H5023" s="1" t="str">
        <f>IF(Table2[[#This Row],[Description]]="","",VLOOKUP(Table2[[#This Row],[Description]],$Q$1:$S$101,3,FALSE))</f>
        <v/>
      </c>
      <c r="I5023" s="1" t="str">
        <f>IF(Table2[[#This Row],[Description]]="","",IF(Table2[[#This Row],[Currency]]=$O$2,$P$2,HLOOKUP(Table2[[#This Row],[Date]],Funds!$C$10:$GV$11,2,FALSE)))</f>
        <v/>
      </c>
      <c r="J5023" s="215" t="str">
        <f>IF(Table2[[#This Row],[Description]]="","",Table2[[#This Row],[Value]]/Table2[[#This Row],[Conversion]])</f>
        <v/>
      </c>
      <c r="K5023" s="45" t="str">
        <f>IF(Table2[[#This Row],[Description]]="","",DATE(Table2[[#This Row],[Year]],Table2[[#This Row],[Month]],1))</f>
        <v/>
      </c>
    </row>
    <row r="5024" spans="7:11" x14ac:dyDescent="0.25">
      <c r="G5024" s="1" t="str">
        <f>IF(Table2[[#This Row],[Description]]="","",VLOOKUP(Table2[[#This Row],[Description]],$Q$1:$S$101,2,FALSE))</f>
        <v/>
      </c>
      <c r="H5024" s="1" t="str">
        <f>IF(Table2[[#This Row],[Description]]="","",VLOOKUP(Table2[[#This Row],[Description]],$Q$1:$S$101,3,FALSE))</f>
        <v/>
      </c>
      <c r="I5024" s="1" t="str">
        <f>IF(Table2[[#This Row],[Description]]="","",IF(Table2[[#This Row],[Currency]]=$O$2,$P$2,HLOOKUP(Table2[[#This Row],[Date]],Funds!$C$10:$GV$11,2,FALSE)))</f>
        <v/>
      </c>
      <c r="J5024" s="215" t="str">
        <f>IF(Table2[[#This Row],[Description]]="","",Table2[[#This Row],[Value]]/Table2[[#This Row],[Conversion]])</f>
        <v/>
      </c>
      <c r="K5024" s="45" t="str">
        <f>IF(Table2[[#This Row],[Description]]="","",DATE(Table2[[#This Row],[Year]],Table2[[#This Row],[Month]],1))</f>
        <v/>
      </c>
    </row>
    <row r="5025" spans="7:11" x14ac:dyDescent="0.25">
      <c r="G5025" s="1" t="str">
        <f>IF(Table2[[#This Row],[Description]]="","",VLOOKUP(Table2[[#This Row],[Description]],$Q$1:$S$101,2,FALSE))</f>
        <v/>
      </c>
      <c r="H5025" s="1" t="str">
        <f>IF(Table2[[#This Row],[Description]]="","",VLOOKUP(Table2[[#This Row],[Description]],$Q$1:$S$101,3,FALSE))</f>
        <v/>
      </c>
      <c r="I5025" s="1" t="str">
        <f>IF(Table2[[#This Row],[Description]]="","",IF(Table2[[#This Row],[Currency]]=$O$2,$P$2,HLOOKUP(Table2[[#This Row],[Date]],Funds!$C$10:$GV$11,2,FALSE)))</f>
        <v/>
      </c>
      <c r="J5025" s="215" t="str">
        <f>IF(Table2[[#This Row],[Description]]="","",Table2[[#This Row],[Value]]/Table2[[#This Row],[Conversion]])</f>
        <v/>
      </c>
      <c r="K5025" s="45" t="str">
        <f>IF(Table2[[#This Row],[Description]]="","",DATE(Table2[[#This Row],[Year]],Table2[[#This Row],[Month]],1))</f>
        <v/>
      </c>
    </row>
    <row r="5026" spans="7:11" x14ac:dyDescent="0.25">
      <c r="G5026" s="1" t="str">
        <f>IF(Table2[[#This Row],[Description]]="","",VLOOKUP(Table2[[#This Row],[Description]],$Q$1:$S$101,2,FALSE))</f>
        <v/>
      </c>
      <c r="H5026" s="1" t="str">
        <f>IF(Table2[[#This Row],[Description]]="","",VLOOKUP(Table2[[#This Row],[Description]],$Q$1:$S$101,3,FALSE))</f>
        <v/>
      </c>
      <c r="I5026" s="1" t="str">
        <f>IF(Table2[[#This Row],[Description]]="","",IF(Table2[[#This Row],[Currency]]=$O$2,$P$2,HLOOKUP(Table2[[#This Row],[Date]],Funds!$C$10:$GV$11,2,FALSE)))</f>
        <v/>
      </c>
      <c r="J5026" s="215" t="str">
        <f>IF(Table2[[#This Row],[Description]]="","",Table2[[#This Row],[Value]]/Table2[[#This Row],[Conversion]])</f>
        <v/>
      </c>
      <c r="K5026" s="45" t="str">
        <f>IF(Table2[[#This Row],[Description]]="","",DATE(Table2[[#This Row],[Year]],Table2[[#This Row],[Month]],1))</f>
        <v/>
      </c>
    </row>
    <row r="5027" spans="7:11" x14ac:dyDescent="0.25">
      <c r="G5027" s="1" t="str">
        <f>IF(Table2[[#This Row],[Description]]="","",VLOOKUP(Table2[[#This Row],[Description]],$Q$1:$S$101,2,FALSE))</f>
        <v/>
      </c>
      <c r="H5027" s="1" t="str">
        <f>IF(Table2[[#This Row],[Description]]="","",VLOOKUP(Table2[[#This Row],[Description]],$Q$1:$S$101,3,FALSE))</f>
        <v/>
      </c>
      <c r="I5027" s="1" t="str">
        <f>IF(Table2[[#This Row],[Description]]="","",IF(Table2[[#This Row],[Currency]]=$O$2,$P$2,HLOOKUP(Table2[[#This Row],[Date]],Funds!$C$10:$GV$11,2,FALSE)))</f>
        <v/>
      </c>
      <c r="J5027" s="215" t="str">
        <f>IF(Table2[[#This Row],[Description]]="","",Table2[[#This Row],[Value]]/Table2[[#This Row],[Conversion]])</f>
        <v/>
      </c>
      <c r="K5027" s="45" t="str">
        <f>IF(Table2[[#This Row],[Description]]="","",DATE(Table2[[#This Row],[Year]],Table2[[#This Row],[Month]],1))</f>
        <v/>
      </c>
    </row>
    <row r="5028" spans="7:11" x14ac:dyDescent="0.25">
      <c r="G5028" s="1" t="str">
        <f>IF(Table2[[#This Row],[Description]]="","",VLOOKUP(Table2[[#This Row],[Description]],$Q$1:$S$101,2,FALSE))</f>
        <v/>
      </c>
      <c r="H5028" s="1" t="str">
        <f>IF(Table2[[#This Row],[Description]]="","",VLOOKUP(Table2[[#This Row],[Description]],$Q$1:$S$101,3,FALSE))</f>
        <v/>
      </c>
      <c r="I5028" s="1" t="str">
        <f>IF(Table2[[#This Row],[Description]]="","",IF(Table2[[#This Row],[Currency]]=$O$2,$P$2,HLOOKUP(Table2[[#This Row],[Date]],Funds!$C$10:$GV$11,2,FALSE)))</f>
        <v/>
      </c>
      <c r="J5028" s="215" t="str">
        <f>IF(Table2[[#This Row],[Description]]="","",Table2[[#This Row],[Value]]/Table2[[#This Row],[Conversion]])</f>
        <v/>
      </c>
      <c r="K5028" s="45" t="str">
        <f>IF(Table2[[#This Row],[Description]]="","",DATE(Table2[[#This Row],[Year]],Table2[[#This Row],[Month]],1))</f>
        <v/>
      </c>
    </row>
    <row r="5029" spans="7:11" x14ac:dyDescent="0.25">
      <c r="G5029" s="1" t="str">
        <f>IF(Table2[[#This Row],[Description]]="","",VLOOKUP(Table2[[#This Row],[Description]],$Q$1:$S$101,2,FALSE))</f>
        <v/>
      </c>
      <c r="H5029" s="1" t="str">
        <f>IF(Table2[[#This Row],[Description]]="","",VLOOKUP(Table2[[#This Row],[Description]],$Q$1:$S$101,3,FALSE))</f>
        <v/>
      </c>
      <c r="I5029" s="1" t="str">
        <f>IF(Table2[[#This Row],[Description]]="","",IF(Table2[[#This Row],[Currency]]=$O$2,$P$2,HLOOKUP(Table2[[#This Row],[Date]],Funds!$C$10:$GV$11,2,FALSE)))</f>
        <v/>
      </c>
      <c r="J5029" s="215" t="str">
        <f>IF(Table2[[#This Row],[Description]]="","",Table2[[#This Row],[Value]]/Table2[[#This Row],[Conversion]])</f>
        <v/>
      </c>
      <c r="K5029" s="45" t="str">
        <f>IF(Table2[[#This Row],[Description]]="","",DATE(Table2[[#This Row],[Year]],Table2[[#This Row],[Month]],1))</f>
        <v/>
      </c>
    </row>
    <row r="5030" spans="7:11" x14ac:dyDescent="0.25">
      <c r="G5030" s="1" t="str">
        <f>IF(Table2[[#This Row],[Description]]="","",VLOOKUP(Table2[[#This Row],[Description]],$Q$1:$S$101,2,FALSE))</f>
        <v/>
      </c>
      <c r="H5030" s="1" t="str">
        <f>IF(Table2[[#This Row],[Description]]="","",VLOOKUP(Table2[[#This Row],[Description]],$Q$1:$S$101,3,FALSE))</f>
        <v/>
      </c>
      <c r="I5030" s="1" t="str">
        <f>IF(Table2[[#This Row],[Description]]="","",IF(Table2[[#This Row],[Currency]]=$O$2,$P$2,HLOOKUP(Table2[[#This Row],[Date]],Funds!$C$10:$GV$11,2,FALSE)))</f>
        <v/>
      </c>
      <c r="J5030" s="215" t="str">
        <f>IF(Table2[[#This Row],[Description]]="","",Table2[[#This Row],[Value]]/Table2[[#This Row],[Conversion]])</f>
        <v/>
      </c>
      <c r="K5030" s="45" t="str">
        <f>IF(Table2[[#This Row],[Description]]="","",DATE(Table2[[#This Row],[Year]],Table2[[#This Row],[Month]],1))</f>
        <v/>
      </c>
    </row>
    <row r="5031" spans="7:11" x14ac:dyDescent="0.25">
      <c r="G5031" s="1" t="str">
        <f>IF(Table2[[#This Row],[Description]]="","",VLOOKUP(Table2[[#This Row],[Description]],$Q$1:$S$101,2,FALSE))</f>
        <v/>
      </c>
      <c r="H5031" s="1" t="str">
        <f>IF(Table2[[#This Row],[Description]]="","",VLOOKUP(Table2[[#This Row],[Description]],$Q$1:$S$101,3,FALSE))</f>
        <v/>
      </c>
      <c r="I5031" s="1" t="str">
        <f>IF(Table2[[#This Row],[Description]]="","",IF(Table2[[#This Row],[Currency]]=$O$2,$P$2,HLOOKUP(Table2[[#This Row],[Date]],Funds!$C$10:$GV$11,2,FALSE)))</f>
        <v/>
      </c>
      <c r="J5031" s="215" t="str">
        <f>IF(Table2[[#This Row],[Description]]="","",Table2[[#This Row],[Value]]/Table2[[#This Row],[Conversion]])</f>
        <v/>
      </c>
      <c r="K5031" s="45" t="str">
        <f>IF(Table2[[#This Row],[Description]]="","",DATE(Table2[[#This Row],[Year]],Table2[[#This Row],[Month]],1))</f>
        <v/>
      </c>
    </row>
    <row r="5032" spans="7:11" x14ac:dyDescent="0.25">
      <c r="G5032" s="1" t="str">
        <f>IF(Table2[[#This Row],[Description]]="","",VLOOKUP(Table2[[#This Row],[Description]],$Q$1:$S$101,2,FALSE))</f>
        <v/>
      </c>
      <c r="H5032" s="1" t="str">
        <f>IF(Table2[[#This Row],[Description]]="","",VLOOKUP(Table2[[#This Row],[Description]],$Q$1:$S$101,3,FALSE))</f>
        <v/>
      </c>
      <c r="I5032" s="1" t="str">
        <f>IF(Table2[[#This Row],[Description]]="","",IF(Table2[[#This Row],[Currency]]=$O$2,$P$2,HLOOKUP(Table2[[#This Row],[Date]],Funds!$C$10:$GV$11,2,FALSE)))</f>
        <v/>
      </c>
      <c r="J5032" s="215" t="str">
        <f>IF(Table2[[#This Row],[Description]]="","",Table2[[#This Row],[Value]]/Table2[[#This Row],[Conversion]])</f>
        <v/>
      </c>
      <c r="K5032" s="45" t="str">
        <f>IF(Table2[[#This Row],[Description]]="","",DATE(Table2[[#This Row],[Year]],Table2[[#This Row],[Month]],1))</f>
        <v/>
      </c>
    </row>
    <row r="5033" spans="7:11" x14ac:dyDescent="0.25">
      <c r="G5033" s="1" t="str">
        <f>IF(Table2[[#This Row],[Description]]="","",VLOOKUP(Table2[[#This Row],[Description]],$Q$1:$S$101,2,FALSE))</f>
        <v/>
      </c>
      <c r="H5033" s="1" t="str">
        <f>IF(Table2[[#This Row],[Description]]="","",VLOOKUP(Table2[[#This Row],[Description]],$Q$1:$S$101,3,FALSE))</f>
        <v/>
      </c>
      <c r="I5033" s="1" t="str">
        <f>IF(Table2[[#This Row],[Description]]="","",IF(Table2[[#This Row],[Currency]]=$O$2,$P$2,HLOOKUP(Table2[[#This Row],[Date]],Funds!$C$10:$GV$11,2,FALSE)))</f>
        <v/>
      </c>
      <c r="J5033" s="215" t="str">
        <f>IF(Table2[[#This Row],[Description]]="","",Table2[[#This Row],[Value]]/Table2[[#This Row],[Conversion]])</f>
        <v/>
      </c>
      <c r="K5033" s="45" t="str">
        <f>IF(Table2[[#This Row],[Description]]="","",DATE(Table2[[#This Row],[Year]],Table2[[#This Row],[Month]],1))</f>
        <v/>
      </c>
    </row>
    <row r="5034" spans="7:11" x14ac:dyDescent="0.25">
      <c r="G5034" s="1" t="str">
        <f>IF(Table2[[#This Row],[Description]]="","",VLOOKUP(Table2[[#This Row],[Description]],$Q$1:$S$101,2,FALSE))</f>
        <v/>
      </c>
      <c r="H5034" s="1" t="str">
        <f>IF(Table2[[#This Row],[Description]]="","",VLOOKUP(Table2[[#This Row],[Description]],$Q$1:$S$101,3,FALSE))</f>
        <v/>
      </c>
      <c r="I5034" s="1" t="str">
        <f>IF(Table2[[#This Row],[Description]]="","",IF(Table2[[#This Row],[Currency]]=$O$2,$P$2,HLOOKUP(Table2[[#This Row],[Date]],Funds!$C$10:$GV$11,2,FALSE)))</f>
        <v/>
      </c>
      <c r="J5034" s="215" t="str">
        <f>IF(Table2[[#This Row],[Description]]="","",Table2[[#This Row],[Value]]/Table2[[#This Row],[Conversion]])</f>
        <v/>
      </c>
      <c r="K5034" s="45" t="str">
        <f>IF(Table2[[#This Row],[Description]]="","",DATE(Table2[[#This Row],[Year]],Table2[[#This Row],[Month]],1))</f>
        <v/>
      </c>
    </row>
    <row r="5035" spans="7:11" x14ac:dyDescent="0.25">
      <c r="G5035" s="1" t="str">
        <f>IF(Table2[[#This Row],[Description]]="","",VLOOKUP(Table2[[#This Row],[Description]],$Q$1:$S$101,2,FALSE))</f>
        <v/>
      </c>
      <c r="H5035" s="1" t="str">
        <f>IF(Table2[[#This Row],[Description]]="","",VLOOKUP(Table2[[#This Row],[Description]],$Q$1:$S$101,3,FALSE))</f>
        <v/>
      </c>
      <c r="I5035" s="1" t="str">
        <f>IF(Table2[[#This Row],[Description]]="","",IF(Table2[[#This Row],[Currency]]=$O$2,$P$2,HLOOKUP(Table2[[#This Row],[Date]],Funds!$C$10:$GV$11,2,FALSE)))</f>
        <v/>
      </c>
      <c r="J5035" s="215" t="str">
        <f>IF(Table2[[#This Row],[Description]]="","",Table2[[#This Row],[Value]]/Table2[[#This Row],[Conversion]])</f>
        <v/>
      </c>
      <c r="K5035" s="45" t="str">
        <f>IF(Table2[[#This Row],[Description]]="","",DATE(Table2[[#This Row],[Year]],Table2[[#This Row],[Month]],1))</f>
        <v/>
      </c>
    </row>
    <row r="5036" spans="7:11" x14ac:dyDescent="0.25">
      <c r="G5036" s="1" t="str">
        <f>IF(Table2[[#This Row],[Description]]="","",VLOOKUP(Table2[[#This Row],[Description]],$Q$1:$S$101,2,FALSE))</f>
        <v/>
      </c>
      <c r="H5036" s="1" t="str">
        <f>IF(Table2[[#This Row],[Description]]="","",VLOOKUP(Table2[[#This Row],[Description]],$Q$1:$S$101,3,FALSE))</f>
        <v/>
      </c>
      <c r="I5036" s="1" t="str">
        <f>IF(Table2[[#This Row],[Description]]="","",IF(Table2[[#This Row],[Currency]]=$O$2,$P$2,HLOOKUP(Table2[[#This Row],[Date]],Funds!$C$10:$GV$11,2,FALSE)))</f>
        <v/>
      </c>
      <c r="J5036" s="215" t="str">
        <f>IF(Table2[[#This Row],[Description]]="","",Table2[[#This Row],[Value]]/Table2[[#This Row],[Conversion]])</f>
        <v/>
      </c>
      <c r="K5036" s="45" t="str">
        <f>IF(Table2[[#This Row],[Description]]="","",DATE(Table2[[#This Row],[Year]],Table2[[#This Row],[Month]],1))</f>
        <v/>
      </c>
    </row>
    <row r="5037" spans="7:11" x14ac:dyDescent="0.25">
      <c r="G5037" s="1" t="str">
        <f>IF(Table2[[#This Row],[Description]]="","",VLOOKUP(Table2[[#This Row],[Description]],$Q$1:$S$101,2,FALSE))</f>
        <v/>
      </c>
      <c r="H5037" s="1" t="str">
        <f>IF(Table2[[#This Row],[Description]]="","",VLOOKUP(Table2[[#This Row],[Description]],$Q$1:$S$101,3,FALSE))</f>
        <v/>
      </c>
      <c r="I5037" s="1" t="str">
        <f>IF(Table2[[#This Row],[Description]]="","",IF(Table2[[#This Row],[Currency]]=$O$2,$P$2,HLOOKUP(Table2[[#This Row],[Date]],Funds!$C$10:$GV$11,2,FALSE)))</f>
        <v/>
      </c>
      <c r="J5037" s="215" t="str">
        <f>IF(Table2[[#This Row],[Description]]="","",Table2[[#This Row],[Value]]/Table2[[#This Row],[Conversion]])</f>
        <v/>
      </c>
      <c r="K5037" s="45" t="str">
        <f>IF(Table2[[#This Row],[Description]]="","",DATE(Table2[[#This Row],[Year]],Table2[[#This Row],[Month]],1))</f>
        <v/>
      </c>
    </row>
    <row r="5038" spans="7:11" x14ac:dyDescent="0.25">
      <c r="G5038" s="1" t="str">
        <f>IF(Table2[[#This Row],[Description]]="","",VLOOKUP(Table2[[#This Row],[Description]],$Q$1:$S$101,2,FALSE))</f>
        <v/>
      </c>
      <c r="H5038" s="1" t="str">
        <f>IF(Table2[[#This Row],[Description]]="","",VLOOKUP(Table2[[#This Row],[Description]],$Q$1:$S$101,3,FALSE))</f>
        <v/>
      </c>
      <c r="I5038" s="1" t="str">
        <f>IF(Table2[[#This Row],[Description]]="","",IF(Table2[[#This Row],[Currency]]=$O$2,$P$2,HLOOKUP(Table2[[#This Row],[Date]],Funds!$C$10:$GV$11,2,FALSE)))</f>
        <v/>
      </c>
      <c r="J5038" s="215" t="str">
        <f>IF(Table2[[#This Row],[Description]]="","",Table2[[#This Row],[Value]]/Table2[[#This Row],[Conversion]])</f>
        <v/>
      </c>
      <c r="K5038" s="45" t="str">
        <f>IF(Table2[[#This Row],[Description]]="","",DATE(Table2[[#This Row],[Year]],Table2[[#This Row],[Month]],1))</f>
        <v/>
      </c>
    </row>
    <row r="5039" spans="7:11" x14ac:dyDescent="0.25">
      <c r="G5039" s="1" t="str">
        <f>IF(Table2[[#This Row],[Description]]="","",VLOOKUP(Table2[[#This Row],[Description]],$Q$1:$S$101,2,FALSE))</f>
        <v/>
      </c>
      <c r="H5039" s="1" t="str">
        <f>IF(Table2[[#This Row],[Description]]="","",VLOOKUP(Table2[[#This Row],[Description]],$Q$1:$S$101,3,FALSE))</f>
        <v/>
      </c>
      <c r="I5039" s="1" t="str">
        <f>IF(Table2[[#This Row],[Description]]="","",IF(Table2[[#This Row],[Currency]]=$O$2,$P$2,HLOOKUP(Table2[[#This Row],[Date]],Funds!$C$10:$GV$11,2,FALSE)))</f>
        <v/>
      </c>
      <c r="J5039" s="215" t="str">
        <f>IF(Table2[[#This Row],[Description]]="","",Table2[[#This Row],[Value]]/Table2[[#This Row],[Conversion]])</f>
        <v/>
      </c>
      <c r="K5039" s="45" t="str">
        <f>IF(Table2[[#This Row],[Description]]="","",DATE(Table2[[#This Row],[Year]],Table2[[#This Row],[Month]],1))</f>
        <v/>
      </c>
    </row>
    <row r="5040" spans="7:11" x14ac:dyDescent="0.25">
      <c r="G5040" s="1" t="str">
        <f>IF(Table2[[#This Row],[Description]]="","",VLOOKUP(Table2[[#This Row],[Description]],$Q$1:$S$101,2,FALSE))</f>
        <v/>
      </c>
      <c r="H5040" s="1" t="str">
        <f>IF(Table2[[#This Row],[Description]]="","",VLOOKUP(Table2[[#This Row],[Description]],$Q$1:$S$101,3,FALSE))</f>
        <v/>
      </c>
      <c r="I5040" s="1" t="str">
        <f>IF(Table2[[#This Row],[Description]]="","",IF(Table2[[#This Row],[Currency]]=$O$2,$P$2,HLOOKUP(Table2[[#This Row],[Date]],Funds!$C$10:$GV$11,2,FALSE)))</f>
        <v/>
      </c>
      <c r="J5040" s="215" t="str">
        <f>IF(Table2[[#This Row],[Description]]="","",Table2[[#This Row],[Value]]/Table2[[#This Row],[Conversion]])</f>
        <v/>
      </c>
      <c r="K5040" s="45" t="str">
        <f>IF(Table2[[#This Row],[Description]]="","",DATE(Table2[[#This Row],[Year]],Table2[[#This Row],[Month]],1))</f>
        <v/>
      </c>
    </row>
    <row r="5041" spans="7:11" x14ac:dyDescent="0.25">
      <c r="G5041" s="1" t="str">
        <f>IF(Table2[[#This Row],[Description]]="","",VLOOKUP(Table2[[#This Row],[Description]],$Q$1:$S$101,2,FALSE))</f>
        <v/>
      </c>
      <c r="H5041" s="1" t="str">
        <f>IF(Table2[[#This Row],[Description]]="","",VLOOKUP(Table2[[#This Row],[Description]],$Q$1:$S$101,3,FALSE))</f>
        <v/>
      </c>
      <c r="I5041" s="1" t="str">
        <f>IF(Table2[[#This Row],[Description]]="","",IF(Table2[[#This Row],[Currency]]=$O$2,$P$2,HLOOKUP(Table2[[#This Row],[Date]],Funds!$C$10:$GV$11,2,FALSE)))</f>
        <v/>
      </c>
      <c r="J5041" s="215" t="str">
        <f>IF(Table2[[#This Row],[Description]]="","",Table2[[#This Row],[Value]]/Table2[[#This Row],[Conversion]])</f>
        <v/>
      </c>
      <c r="K5041" s="45" t="str">
        <f>IF(Table2[[#This Row],[Description]]="","",DATE(Table2[[#This Row],[Year]],Table2[[#This Row],[Month]],1))</f>
        <v/>
      </c>
    </row>
    <row r="5042" spans="7:11" x14ac:dyDescent="0.25">
      <c r="G5042" s="1" t="str">
        <f>IF(Table2[[#This Row],[Description]]="","",VLOOKUP(Table2[[#This Row],[Description]],$Q$1:$S$101,2,FALSE))</f>
        <v/>
      </c>
      <c r="H5042" s="1" t="str">
        <f>IF(Table2[[#This Row],[Description]]="","",VLOOKUP(Table2[[#This Row],[Description]],$Q$1:$S$101,3,FALSE))</f>
        <v/>
      </c>
      <c r="I5042" s="1" t="str">
        <f>IF(Table2[[#This Row],[Description]]="","",IF(Table2[[#This Row],[Currency]]=$O$2,$P$2,HLOOKUP(Table2[[#This Row],[Date]],Funds!$C$10:$GV$11,2,FALSE)))</f>
        <v/>
      </c>
      <c r="J5042" s="215" t="str">
        <f>IF(Table2[[#This Row],[Description]]="","",Table2[[#This Row],[Value]]/Table2[[#This Row],[Conversion]])</f>
        <v/>
      </c>
      <c r="K5042" s="45" t="str">
        <f>IF(Table2[[#This Row],[Description]]="","",DATE(Table2[[#This Row],[Year]],Table2[[#This Row],[Month]],1))</f>
        <v/>
      </c>
    </row>
    <row r="5043" spans="7:11" x14ac:dyDescent="0.25">
      <c r="G5043" s="1" t="str">
        <f>IF(Table2[[#This Row],[Description]]="","",VLOOKUP(Table2[[#This Row],[Description]],$Q$1:$S$101,2,FALSE))</f>
        <v/>
      </c>
      <c r="H5043" s="1" t="str">
        <f>IF(Table2[[#This Row],[Description]]="","",VLOOKUP(Table2[[#This Row],[Description]],$Q$1:$S$101,3,FALSE))</f>
        <v/>
      </c>
      <c r="I5043" s="1" t="str">
        <f>IF(Table2[[#This Row],[Description]]="","",IF(Table2[[#This Row],[Currency]]=$O$2,$P$2,HLOOKUP(Table2[[#This Row],[Date]],Funds!$C$10:$GV$11,2,FALSE)))</f>
        <v/>
      </c>
      <c r="J5043" s="215" t="str">
        <f>IF(Table2[[#This Row],[Description]]="","",Table2[[#This Row],[Value]]/Table2[[#This Row],[Conversion]])</f>
        <v/>
      </c>
      <c r="K5043" s="45" t="str">
        <f>IF(Table2[[#This Row],[Description]]="","",DATE(Table2[[#This Row],[Year]],Table2[[#This Row],[Month]],1))</f>
        <v/>
      </c>
    </row>
    <row r="5044" spans="7:11" x14ac:dyDescent="0.25">
      <c r="G5044" s="1" t="str">
        <f>IF(Table2[[#This Row],[Description]]="","",VLOOKUP(Table2[[#This Row],[Description]],$Q$1:$S$101,2,FALSE))</f>
        <v/>
      </c>
      <c r="H5044" s="1" t="str">
        <f>IF(Table2[[#This Row],[Description]]="","",VLOOKUP(Table2[[#This Row],[Description]],$Q$1:$S$101,3,FALSE))</f>
        <v/>
      </c>
      <c r="I5044" s="1" t="str">
        <f>IF(Table2[[#This Row],[Description]]="","",IF(Table2[[#This Row],[Currency]]=$O$2,$P$2,HLOOKUP(Table2[[#This Row],[Date]],Funds!$C$10:$GV$11,2,FALSE)))</f>
        <v/>
      </c>
      <c r="J5044" s="215" t="str">
        <f>IF(Table2[[#This Row],[Description]]="","",Table2[[#This Row],[Value]]/Table2[[#This Row],[Conversion]])</f>
        <v/>
      </c>
      <c r="K5044" s="45" t="str">
        <f>IF(Table2[[#This Row],[Description]]="","",DATE(Table2[[#This Row],[Year]],Table2[[#This Row],[Month]],1))</f>
        <v/>
      </c>
    </row>
    <row r="5045" spans="7:11" x14ac:dyDescent="0.25">
      <c r="G5045" s="1" t="str">
        <f>IF(Table2[[#This Row],[Description]]="","",VLOOKUP(Table2[[#This Row],[Description]],$Q$1:$S$101,2,FALSE))</f>
        <v/>
      </c>
      <c r="H5045" s="1" t="str">
        <f>IF(Table2[[#This Row],[Description]]="","",VLOOKUP(Table2[[#This Row],[Description]],$Q$1:$S$101,3,FALSE))</f>
        <v/>
      </c>
      <c r="I5045" s="1" t="str">
        <f>IF(Table2[[#This Row],[Description]]="","",IF(Table2[[#This Row],[Currency]]=$O$2,$P$2,HLOOKUP(Table2[[#This Row],[Date]],Funds!$C$10:$GV$11,2,FALSE)))</f>
        <v/>
      </c>
      <c r="J5045" s="215" t="str">
        <f>IF(Table2[[#This Row],[Description]]="","",Table2[[#This Row],[Value]]/Table2[[#This Row],[Conversion]])</f>
        <v/>
      </c>
      <c r="K5045" s="45" t="str">
        <f>IF(Table2[[#This Row],[Description]]="","",DATE(Table2[[#This Row],[Year]],Table2[[#This Row],[Month]],1))</f>
        <v/>
      </c>
    </row>
    <row r="5046" spans="7:11" x14ac:dyDescent="0.25">
      <c r="G5046" s="1" t="str">
        <f>IF(Table2[[#This Row],[Description]]="","",VLOOKUP(Table2[[#This Row],[Description]],$Q$1:$S$101,2,FALSE))</f>
        <v/>
      </c>
      <c r="H5046" s="1" t="str">
        <f>IF(Table2[[#This Row],[Description]]="","",VLOOKUP(Table2[[#This Row],[Description]],$Q$1:$S$101,3,FALSE))</f>
        <v/>
      </c>
      <c r="I5046" s="1" t="str">
        <f>IF(Table2[[#This Row],[Description]]="","",IF(Table2[[#This Row],[Currency]]=$O$2,$P$2,HLOOKUP(Table2[[#This Row],[Date]],Funds!$C$10:$GV$11,2,FALSE)))</f>
        <v/>
      </c>
      <c r="J5046" s="215" t="str">
        <f>IF(Table2[[#This Row],[Description]]="","",Table2[[#This Row],[Value]]/Table2[[#This Row],[Conversion]])</f>
        <v/>
      </c>
      <c r="K5046" s="45" t="str">
        <f>IF(Table2[[#This Row],[Description]]="","",DATE(Table2[[#This Row],[Year]],Table2[[#This Row],[Month]],1))</f>
        <v/>
      </c>
    </row>
    <row r="5047" spans="7:11" x14ac:dyDescent="0.25">
      <c r="G5047" s="1" t="str">
        <f>IF(Table2[[#This Row],[Description]]="","",VLOOKUP(Table2[[#This Row],[Description]],$Q$1:$S$101,2,FALSE))</f>
        <v/>
      </c>
      <c r="H5047" s="1" t="str">
        <f>IF(Table2[[#This Row],[Description]]="","",VLOOKUP(Table2[[#This Row],[Description]],$Q$1:$S$101,3,FALSE))</f>
        <v/>
      </c>
      <c r="I5047" s="1" t="str">
        <f>IF(Table2[[#This Row],[Description]]="","",IF(Table2[[#This Row],[Currency]]=$O$2,$P$2,HLOOKUP(Table2[[#This Row],[Date]],Funds!$C$10:$GV$11,2,FALSE)))</f>
        <v/>
      </c>
      <c r="J5047" s="215" t="str">
        <f>IF(Table2[[#This Row],[Description]]="","",Table2[[#This Row],[Value]]/Table2[[#This Row],[Conversion]])</f>
        <v/>
      </c>
      <c r="K5047" s="45" t="str">
        <f>IF(Table2[[#This Row],[Description]]="","",DATE(Table2[[#This Row],[Year]],Table2[[#This Row],[Month]],1))</f>
        <v/>
      </c>
    </row>
    <row r="5048" spans="7:11" x14ac:dyDescent="0.25">
      <c r="G5048" s="1" t="str">
        <f>IF(Table2[[#This Row],[Description]]="","",VLOOKUP(Table2[[#This Row],[Description]],$Q$1:$S$101,2,FALSE))</f>
        <v/>
      </c>
      <c r="H5048" s="1" t="str">
        <f>IF(Table2[[#This Row],[Description]]="","",VLOOKUP(Table2[[#This Row],[Description]],$Q$1:$S$101,3,FALSE))</f>
        <v/>
      </c>
      <c r="I5048" s="1" t="str">
        <f>IF(Table2[[#This Row],[Description]]="","",IF(Table2[[#This Row],[Currency]]=$O$2,$P$2,HLOOKUP(Table2[[#This Row],[Date]],Funds!$C$10:$GV$11,2,FALSE)))</f>
        <v/>
      </c>
      <c r="J5048" s="215" t="str">
        <f>IF(Table2[[#This Row],[Description]]="","",Table2[[#This Row],[Value]]/Table2[[#This Row],[Conversion]])</f>
        <v/>
      </c>
      <c r="K5048" s="45" t="str">
        <f>IF(Table2[[#This Row],[Description]]="","",DATE(Table2[[#This Row],[Year]],Table2[[#This Row],[Month]],1))</f>
        <v/>
      </c>
    </row>
    <row r="5049" spans="7:11" x14ac:dyDescent="0.25">
      <c r="G5049" s="1" t="str">
        <f>IF(Table2[[#This Row],[Description]]="","",VLOOKUP(Table2[[#This Row],[Description]],$Q$1:$S$101,2,FALSE))</f>
        <v/>
      </c>
      <c r="H5049" s="1" t="str">
        <f>IF(Table2[[#This Row],[Description]]="","",VLOOKUP(Table2[[#This Row],[Description]],$Q$1:$S$101,3,FALSE))</f>
        <v/>
      </c>
      <c r="I5049" s="1" t="str">
        <f>IF(Table2[[#This Row],[Description]]="","",IF(Table2[[#This Row],[Currency]]=$O$2,$P$2,HLOOKUP(Table2[[#This Row],[Date]],Funds!$C$10:$GV$11,2,FALSE)))</f>
        <v/>
      </c>
      <c r="J5049" s="215" t="str">
        <f>IF(Table2[[#This Row],[Description]]="","",Table2[[#This Row],[Value]]/Table2[[#This Row],[Conversion]])</f>
        <v/>
      </c>
      <c r="K5049" s="45" t="str">
        <f>IF(Table2[[#This Row],[Description]]="","",DATE(Table2[[#This Row],[Year]],Table2[[#This Row],[Month]],1))</f>
        <v/>
      </c>
    </row>
    <row r="5050" spans="7:11" x14ac:dyDescent="0.25">
      <c r="G5050" s="1" t="str">
        <f>IF(Table2[[#This Row],[Description]]="","",VLOOKUP(Table2[[#This Row],[Description]],$Q$1:$S$101,2,FALSE))</f>
        <v/>
      </c>
      <c r="H5050" s="1" t="str">
        <f>IF(Table2[[#This Row],[Description]]="","",VLOOKUP(Table2[[#This Row],[Description]],$Q$1:$S$101,3,FALSE))</f>
        <v/>
      </c>
      <c r="I5050" s="1" t="str">
        <f>IF(Table2[[#This Row],[Description]]="","",IF(Table2[[#This Row],[Currency]]=$O$2,$P$2,HLOOKUP(Table2[[#This Row],[Date]],Funds!$C$10:$GV$11,2,FALSE)))</f>
        <v/>
      </c>
      <c r="J5050" s="215" t="str">
        <f>IF(Table2[[#This Row],[Description]]="","",Table2[[#This Row],[Value]]/Table2[[#This Row],[Conversion]])</f>
        <v/>
      </c>
      <c r="K5050" s="45" t="str">
        <f>IF(Table2[[#This Row],[Description]]="","",DATE(Table2[[#This Row],[Year]],Table2[[#This Row],[Month]],1))</f>
        <v/>
      </c>
    </row>
    <row r="5051" spans="7:11" x14ac:dyDescent="0.25">
      <c r="G5051" s="1" t="str">
        <f>IF(Table2[[#This Row],[Description]]="","",VLOOKUP(Table2[[#This Row],[Description]],$Q$1:$S$101,2,FALSE))</f>
        <v/>
      </c>
      <c r="H5051" s="1" t="str">
        <f>IF(Table2[[#This Row],[Description]]="","",VLOOKUP(Table2[[#This Row],[Description]],$Q$1:$S$101,3,FALSE))</f>
        <v/>
      </c>
      <c r="I5051" s="1" t="str">
        <f>IF(Table2[[#This Row],[Description]]="","",IF(Table2[[#This Row],[Currency]]=$O$2,$P$2,HLOOKUP(Table2[[#This Row],[Date]],Funds!$C$10:$GV$11,2,FALSE)))</f>
        <v/>
      </c>
      <c r="J5051" s="215" t="str">
        <f>IF(Table2[[#This Row],[Description]]="","",Table2[[#This Row],[Value]]/Table2[[#This Row],[Conversion]])</f>
        <v/>
      </c>
      <c r="K5051" s="45" t="str">
        <f>IF(Table2[[#This Row],[Description]]="","",DATE(Table2[[#This Row],[Year]],Table2[[#This Row],[Month]],1))</f>
        <v/>
      </c>
    </row>
    <row r="5052" spans="7:11" x14ac:dyDescent="0.25">
      <c r="G5052" s="1" t="str">
        <f>IF(Table2[[#This Row],[Description]]="","",VLOOKUP(Table2[[#This Row],[Description]],$Q$1:$S$101,2,FALSE))</f>
        <v/>
      </c>
      <c r="H5052" s="1" t="str">
        <f>IF(Table2[[#This Row],[Description]]="","",VLOOKUP(Table2[[#This Row],[Description]],$Q$1:$S$101,3,FALSE))</f>
        <v/>
      </c>
      <c r="I5052" s="1" t="str">
        <f>IF(Table2[[#This Row],[Description]]="","",IF(Table2[[#This Row],[Currency]]=$O$2,$P$2,HLOOKUP(Table2[[#This Row],[Date]],Funds!$C$10:$GV$11,2,FALSE)))</f>
        <v/>
      </c>
      <c r="J5052" s="215" t="str">
        <f>IF(Table2[[#This Row],[Description]]="","",Table2[[#This Row],[Value]]/Table2[[#This Row],[Conversion]])</f>
        <v/>
      </c>
      <c r="K5052" s="45" t="str">
        <f>IF(Table2[[#This Row],[Description]]="","",DATE(Table2[[#This Row],[Year]],Table2[[#This Row],[Month]],1))</f>
        <v/>
      </c>
    </row>
    <row r="5053" spans="7:11" x14ac:dyDescent="0.25">
      <c r="G5053" s="1" t="str">
        <f>IF(Table2[[#This Row],[Description]]="","",VLOOKUP(Table2[[#This Row],[Description]],$Q$1:$S$101,2,FALSE))</f>
        <v/>
      </c>
      <c r="H5053" s="1" t="str">
        <f>IF(Table2[[#This Row],[Description]]="","",VLOOKUP(Table2[[#This Row],[Description]],$Q$1:$S$101,3,FALSE))</f>
        <v/>
      </c>
      <c r="I5053" s="1" t="str">
        <f>IF(Table2[[#This Row],[Description]]="","",IF(Table2[[#This Row],[Currency]]=$O$2,$P$2,HLOOKUP(Table2[[#This Row],[Date]],Funds!$C$10:$GV$11,2,FALSE)))</f>
        <v/>
      </c>
      <c r="J5053" s="215" t="str">
        <f>IF(Table2[[#This Row],[Description]]="","",Table2[[#This Row],[Value]]/Table2[[#This Row],[Conversion]])</f>
        <v/>
      </c>
      <c r="K5053" s="45" t="str">
        <f>IF(Table2[[#This Row],[Description]]="","",DATE(Table2[[#This Row],[Year]],Table2[[#This Row],[Month]],1))</f>
        <v/>
      </c>
    </row>
    <row r="5054" spans="7:11" x14ac:dyDescent="0.25">
      <c r="G5054" s="1" t="str">
        <f>IF(Table2[[#This Row],[Description]]="","",VLOOKUP(Table2[[#This Row],[Description]],$Q$1:$S$101,2,FALSE))</f>
        <v/>
      </c>
      <c r="H5054" s="1" t="str">
        <f>IF(Table2[[#This Row],[Description]]="","",VLOOKUP(Table2[[#This Row],[Description]],$Q$1:$S$101,3,FALSE))</f>
        <v/>
      </c>
      <c r="I5054" s="1" t="str">
        <f>IF(Table2[[#This Row],[Description]]="","",IF(Table2[[#This Row],[Currency]]=$O$2,$P$2,HLOOKUP(Table2[[#This Row],[Date]],Funds!$C$10:$GV$11,2,FALSE)))</f>
        <v/>
      </c>
      <c r="J5054" s="215" t="str">
        <f>IF(Table2[[#This Row],[Description]]="","",Table2[[#This Row],[Value]]/Table2[[#This Row],[Conversion]])</f>
        <v/>
      </c>
      <c r="K5054" s="45" t="str">
        <f>IF(Table2[[#This Row],[Description]]="","",DATE(Table2[[#This Row],[Year]],Table2[[#This Row],[Month]],1))</f>
        <v/>
      </c>
    </row>
    <row r="5055" spans="7:11" x14ac:dyDescent="0.25">
      <c r="G5055" s="1" t="str">
        <f>IF(Table2[[#This Row],[Description]]="","",VLOOKUP(Table2[[#This Row],[Description]],$Q$1:$S$101,2,FALSE))</f>
        <v/>
      </c>
      <c r="H5055" s="1" t="str">
        <f>IF(Table2[[#This Row],[Description]]="","",VLOOKUP(Table2[[#This Row],[Description]],$Q$1:$S$101,3,FALSE))</f>
        <v/>
      </c>
      <c r="I5055" s="1" t="str">
        <f>IF(Table2[[#This Row],[Description]]="","",IF(Table2[[#This Row],[Currency]]=$O$2,$P$2,HLOOKUP(Table2[[#This Row],[Date]],Funds!$C$10:$GV$11,2,FALSE)))</f>
        <v/>
      </c>
      <c r="J5055" s="215" t="str">
        <f>IF(Table2[[#This Row],[Description]]="","",Table2[[#This Row],[Value]]/Table2[[#This Row],[Conversion]])</f>
        <v/>
      </c>
      <c r="K5055" s="45" t="str">
        <f>IF(Table2[[#This Row],[Description]]="","",DATE(Table2[[#This Row],[Year]],Table2[[#This Row],[Month]],1))</f>
        <v/>
      </c>
    </row>
    <row r="5056" spans="7:11" x14ac:dyDescent="0.25">
      <c r="G5056" s="1" t="str">
        <f>IF(Table2[[#This Row],[Description]]="","",VLOOKUP(Table2[[#This Row],[Description]],$Q$1:$S$101,2,FALSE))</f>
        <v/>
      </c>
      <c r="H5056" s="1" t="str">
        <f>IF(Table2[[#This Row],[Description]]="","",VLOOKUP(Table2[[#This Row],[Description]],$Q$1:$S$101,3,FALSE))</f>
        <v/>
      </c>
      <c r="I5056" s="1" t="str">
        <f>IF(Table2[[#This Row],[Description]]="","",IF(Table2[[#This Row],[Currency]]=$O$2,$P$2,HLOOKUP(Table2[[#This Row],[Date]],Funds!$C$10:$GV$11,2,FALSE)))</f>
        <v/>
      </c>
      <c r="J5056" s="215" t="str">
        <f>IF(Table2[[#This Row],[Description]]="","",Table2[[#This Row],[Value]]/Table2[[#This Row],[Conversion]])</f>
        <v/>
      </c>
      <c r="K5056" s="45" t="str">
        <f>IF(Table2[[#This Row],[Description]]="","",DATE(Table2[[#This Row],[Year]],Table2[[#This Row],[Month]],1))</f>
        <v/>
      </c>
    </row>
    <row r="5057" spans="7:11" x14ac:dyDescent="0.25">
      <c r="G5057" s="1" t="str">
        <f>IF(Table2[[#This Row],[Description]]="","",VLOOKUP(Table2[[#This Row],[Description]],$Q$1:$S$101,2,FALSE))</f>
        <v/>
      </c>
      <c r="H5057" s="1" t="str">
        <f>IF(Table2[[#This Row],[Description]]="","",VLOOKUP(Table2[[#This Row],[Description]],$Q$1:$S$101,3,FALSE))</f>
        <v/>
      </c>
      <c r="I5057" s="1" t="str">
        <f>IF(Table2[[#This Row],[Description]]="","",IF(Table2[[#This Row],[Currency]]=$O$2,$P$2,HLOOKUP(Table2[[#This Row],[Date]],Funds!$C$10:$GV$11,2,FALSE)))</f>
        <v/>
      </c>
      <c r="J5057" s="215" t="str">
        <f>IF(Table2[[#This Row],[Description]]="","",Table2[[#This Row],[Value]]/Table2[[#This Row],[Conversion]])</f>
        <v/>
      </c>
      <c r="K5057" s="45" t="str">
        <f>IF(Table2[[#This Row],[Description]]="","",DATE(Table2[[#This Row],[Year]],Table2[[#This Row],[Month]],1))</f>
        <v/>
      </c>
    </row>
    <row r="5058" spans="7:11" x14ac:dyDescent="0.25">
      <c r="G5058" s="1" t="str">
        <f>IF(Table2[[#This Row],[Description]]="","",VLOOKUP(Table2[[#This Row],[Description]],$Q$1:$S$101,2,FALSE))</f>
        <v/>
      </c>
      <c r="H5058" s="1" t="str">
        <f>IF(Table2[[#This Row],[Description]]="","",VLOOKUP(Table2[[#This Row],[Description]],$Q$1:$S$101,3,FALSE))</f>
        <v/>
      </c>
      <c r="I5058" s="1" t="str">
        <f>IF(Table2[[#This Row],[Description]]="","",IF(Table2[[#This Row],[Currency]]=$O$2,$P$2,HLOOKUP(Table2[[#This Row],[Date]],Funds!$C$10:$GV$11,2,FALSE)))</f>
        <v/>
      </c>
      <c r="J5058" s="215" t="str">
        <f>IF(Table2[[#This Row],[Description]]="","",Table2[[#This Row],[Value]]/Table2[[#This Row],[Conversion]])</f>
        <v/>
      </c>
      <c r="K5058" s="45" t="str">
        <f>IF(Table2[[#This Row],[Description]]="","",DATE(Table2[[#This Row],[Year]],Table2[[#This Row],[Month]],1))</f>
        <v/>
      </c>
    </row>
    <row r="5059" spans="7:11" x14ac:dyDescent="0.25">
      <c r="G5059" s="1" t="str">
        <f>IF(Table2[[#This Row],[Description]]="","",VLOOKUP(Table2[[#This Row],[Description]],$Q$1:$S$101,2,FALSE))</f>
        <v/>
      </c>
      <c r="H5059" s="1" t="str">
        <f>IF(Table2[[#This Row],[Description]]="","",VLOOKUP(Table2[[#This Row],[Description]],$Q$1:$S$101,3,FALSE))</f>
        <v/>
      </c>
      <c r="I5059" s="1" t="str">
        <f>IF(Table2[[#This Row],[Description]]="","",IF(Table2[[#This Row],[Currency]]=$O$2,$P$2,HLOOKUP(Table2[[#This Row],[Date]],Funds!$C$10:$GV$11,2,FALSE)))</f>
        <v/>
      </c>
      <c r="J5059" s="215" t="str">
        <f>IF(Table2[[#This Row],[Description]]="","",Table2[[#This Row],[Value]]/Table2[[#This Row],[Conversion]])</f>
        <v/>
      </c>
      <c r="K5059" s="45" t="str">
        <f>IF(Table2[[#This Row],[Description]]="","",DATE(Table2[[#This Row],[Year]],Table2[[#This Row],[Month]],1))</f>
        <v/>
      </c>
    </row>
    <row r="5060" spans="7:11" x14ac:dyDescent="0.25">
      <c r="G5060" s="1" t="str">
        <f>IF(Table2[[#This Row],[Description]]="","",VLOOKUP(Table2[[#This Row],[Description]],$Q$1:$S$101,2,FALSE))</f>
        <v/>
      </c>
      <c r="H5060" s="1" t="str">
        <f>IF(Table2[[#This Row],[Description]]="","",VLOOKUP(Table2[[#This Row],[Description]],$Q$1:$S$101,3,FALSE))</f>
        <v/>
      </c>
      <c r="I5060" s="1" t="str">
        <f>IF(Table2[[#This Row],[Description]]="","",IF(Table2[[#This Row],[Currency]]=$O$2,$P$2,HLOOKUP(Table2[[#This Row],[Date]],Funds!$C$10:$GV$11,2,FALSE)))</f>
        <v/>
      </c>
      <c r="J5060" s="215" t="str">
        <f>IF(Table2[[#This Row],[Description]]="","",Table2[[#This Row],[Value]]/Table2[[#This Row],[Conversion]])</f>
        <v/>
      </c>
      <c r="K5060" s="45" t="str">
        <f>IF(Table2[[#This Row],[Description]]="","",DATE(Table2[[#This Row],[Year]],Table2[[#This Row],[Month]],1))</f>
        <v/>
      </c>
    </row>
    <row r="5061" spans="7:11" x14ac:dyDescent="0.25">
      <c r="G5061" s="1" t="str">
        <f>IF(Table2[[#This Row],[Description]]="","",VLOOKUP(Table2[[#This Row],[Description]],$Q$1:$S$101,2,FALSE))</f>
        <v/>
      </c>
      <c r="H5061" s="1" t="str">
        <f>IF(Table2[[#This Row],[Description]]="","",VLOOKUP(Table2[[#This Row],[Description]],$Q$1:$S$101,3,FALSE))</f>
        <v/>
      </c>
      <c r="I5061" s="1" t="str">
        <f>IF(Table2[[#This Row],[Description]]="","",IF(Table2[[#This Row],[Currency]]=$O$2,$P$2,HLOOKUP(Table2[[#This Row],[Date]],Funds!$C$10:$GV$11,2,FALSE)))</f>
        <v/>
      </c>
      <c r="J5061" s="215" t="str">
        <f>IF(Table2[[#This Row],[Description]]="","",Table2[[#This Row],[Value]]/Table2[[#This Row],[Conversion]])</f>
        <v/>
      </c>
      <c r="K5061" s="45" t="str">
        <f>IF(Table2[[#This Row],[Description]]="","",DATE(Table2[[#This Row],[Year]],Table2[[#This Row],[Month]],1))</f>
        <v/>
      </c>
    </row>
    <row r="5062" spans="7:11" x14ac:dyDescent="0.25">
      <c r="G5062" s="1" t="str">
        <f>IF(Table2[[#This Row],[Description]]="","",VLOOKUP(Table2[[#This Row],[Description]],$Q$1:$S$101,2,FALSE))</f>
        <v/>
      </c>
      <c r="H5062" s="1" t="str">
        <f>IF(Table2[[#This Row],[Description]]="","",VLOOKUP(Table2[[#This Row],[Description]],$Q$1:$S$101,3,FALSE))</f>
        <v/>
      </c>
      <c r="I5062" s="1" t="str">
        <f>IF(Table2[[#This Row],[Description]]="","",IF(Table2[[#This Row],[Currency]]=$O$2,$P$2,HLOOKUP(Table2[[#This Row],[Date]],Funds!$C$10:$GV$11,2,FALSE)))</f>
        <v/>
      </c>
      <c r="J5062" s="215" t="str">
        <f>IF(Table2[[#This Row],[Description]]="","",Table2[[#This Row],[Value]]/Table2[[#This Row],[Conversion]])</f>
        <v/>
      </c>
      <c r="K5062" s="45" t="str">
        <f>IF(Table2[[#This Row],[Description]]="","",DATE(Table2[[#This Row],[Year]],Table2[[#This Row],[Month]],1))</f>
        <v/>
      </c>
    </row>
    <row r="5063" spans="7:11" x14ac:dyDescent="0.25">
      <c r="G5063" s="1" t="str">
        <f>IF(Table2[[#This Row],[Description]]="","",VLOOKUP(Table2[[#This Row],[Description]],$Q$1:$S$101,2,FALSE))</f>
        <v/>
      </c>
      <c r="H5063" s="1" t="str">
        <f>IF(Table2[[#This Row],[Description]]="","",VLOOKUP(Table2[[#This Row],[Description]],$Q$1:$S$101,3,FALSE))</f>
        <v/>
      </c>
      <c r="I5063" s="1" t="str">
        <f>IF(Table2[[#This Row],[Description]]="","",IF(Table2[[#This Row],[Currency]]=$O$2,$P$2,HLOOKUP(Table2[[#This Row],[Date]],Funds!$C$10:$GV$11,2,FALSE)))</f>
        <v/>
      </c>
      <c r="J5063" s="215" t="str">
        <f>IF(Table2[[#This Row],[Description]]="","",Table2[[#This Row],[Value]]/Table2[[#This Row],[Conversion]])</f>
        <v/>
      </c>
      <c r="K5063" s="45" t="str">
        <f>IF(Table2[[#This Row],[Description]]="","",DATE(Table2[[#This Row],[Year]],Table2[[#This Row],[Month]],1))</f>
        <v/>
      </c>
    </row>
    <row r="5064" spans="7:11" x14ac:dyDescent="0.25">
      <c r="G5064" s="1" t="str">
        <f>IF(Table2[[#This Row],[Description]]="","",VLOOKUP(Table2[[#This Row],[Description]],$Q$1:$S$101,2,FALSE))</f>
        <v/>
      </c>
      <c r="H5064" s="1" t="str">
        <f>IF(Table2[[#This Row],[Description]]="","",VLOOKUP(Table2[[#This Row],[Description]],$Q$1:$S$101,3,FALSE))</f>
        <v/>
      </c>
      <c r="I5064" s="1" t="str">
        <f>IF(Table2[[#This Row],[Description]]="","",IF(Table2[[#This Row],[Currency]]=$O$2,$P$2,HLOOKUP(Table2[[#This Row],[Date]],Funds!$C$10:$GV$11,2,FALSE)))</f>
        <v/>
      </c>
      <c r="J5064" s="215" t="str">
        <f>IF(Table2[[#This Row],[Description]]="","",Table2[[#This Row],[Value]]/Table2[[#This Row],[Conversion]])</f>
        <v/>
      </c>
      <c r="K5064" s="45" t="str">
        <f>IF(Table2[[#This Row],[Description]]="","",DATE(Table2[[#This Row],[Year]],Table2[[#This Row],[Month]],1))</f>
        <v/>
      </c>
    </row>
    <row r="5065" spans="7:11" x14ac:dyDescent="0.25">
      <c r="G5065" s="1" t="str">
        <f>IF(Table2[[#This Row],[Description]]="","",VLOOKUP(Table2[[#This Row],[Description]],$Q$1:$S$101,2,FALSE))</f>
        <v/>
      </c>
      <c r="H5065" s="1" t="str">
        <f>IF(Table2[[#This Row],[Description]]="","",VLOOKUP(Table2[[#This Row],[Description]],$Q$1:$S$101,3,FALSE))</f>
        <v/>
      </c>
      <c r="I5065" s="1" t="str">
        <f>IF(Table2[[#This Row],[Description]]="","",IF(Table2[[#This Row],[Currency]]=$O$2,$P$2,HLOOKUP(Table2[[#This Row],[Date]],Funds!$C$10:$GV$11,2,FALSE)))</f>
        <v/>
      </c>
      <c r="J5065" s="215" t="str">
        <f>IF(Table2[[#This Row],[Description]]="","",Table2[[#This Row],[Value]]/Table2[[#This Row],[Conversion]])</f>
        <v/>
      </c>
      <c r="K5065" s="45" t="str">
        <f>IF(Table2[[#This Row],[Description]]="","",DATE(Table2[[#This Row],[Year]],Table2[[#This Row],[Month]],1))</f>
        <v/>
      </c>
    </row>
    <row r="5066" spans="7:11" x14ac:dyDescent="0.25">
      <c r="G5066" s="1" t="str">
        <f>IF(Table2[[#This Row],[Description]]="","",VLOOKUP(Table2[[#This Row],[Description]],$Q$1:$S$101,2,FALSE))</f>
        <v/>
      </c>
      <c r="H5066" s="1" t="str">
        <f>IF(Table2[[#This Row],[Description]]="","",VLOOKUP(Table2[[#This Row],[Description]],$Q$1:$S$101,3,FALSE))</f>
        <v/>
      </c>
      <c r="I5066" s="1" t="str">
        <f>IF(Table2[[#This Row],[Description]]="","",IF(Table2[[#This Row],[Currency]]=$O$2,$P$2,HLOOKUP(Table2[[#This Row],[Date]],Funds!$C$10:$GV$11,2,FALSE)))</f>
        <v/>
      </c>
      <c r="J5066" s="215" t="str">
        <f>IF(Table2[[#This Row],[Description]]="","",Table2[[#This Row],[Value]]/Table2[[#This Row],[Conversion]])</f>
        <v/>
      </c>
      <c r="K5066" s="45" t="str">
        <f>IF(Table2[[#This Row],[Description]]="","",DATE(Table2[[#This Row],[Year]],Table2[[#This Row],[Month]],1))</f>
        <v/>
      </c>
    </row>
    <row r="5067" spans="7:11" x14ac:dyDescent="0.25">
      <c r="G5067" s="1" t="str">
        <f>IF(Table2[[#This Row],[Description]]="","",VLOOKUP(Table2[[#This Row],[Description]],$Q$1:$S$101,2,FALSE))</f>
        <v/>
      </c>
      <c r="H5067" s="1" t="str">
        <f>IF(Table2[[#This Row],[Description]]="","",VLOOKUP(Table2[[#This Row],[Description]],$Q$1:$S$101,3,FALSE))</f>
        <v/>
      </c>
      <c r="I5067" s="1" t="str">
        <f>IF(Table2[[#This Row],[Description]]="","",IF(Table2[[#This Row],[Currency]]=$O$2,$P$2,HLOOKUP(Table2[[#This Row],[Date]],Funds!$C$10:$GV$11,2,FALSE)))</f>
        <v/>
      </c>
      <c r="J5067" s="215" t="str">
        <f>IF(Table2[[#This Row],[Description]]="","",Table2[[#This Row],[Value]]/Table2[[#This Row],[Conversion]])</f>
        <v/>
      </c>
      <c r="K5067" s="45" t="str">
        <f>IF(Table2[[#This Row],[Description]]="","",DATE(Table2[[#This Row],[Year]],Table2[[#This Row],[Month]],1))</f>
        <v/>
      </c>
    </row>
    <row r="5068" spans="7:11" x14ac:dyDescent="0.25">
      <c r="G5068" s="1" t="str">
        <f>IF(Table2[[#This Row],[Description]]="","",VLOOKUP(Table2[[#This Row],[Description]],$Q$1:$S$101,2,FALSE))</f>
        <v/>
      </c>
      <c r="H5068" s="1" t="str">
        <f>IF(Table2[[#This Row],[Description]]="","",VLOOKUP(Table2[[#This Row],[Description]],$Q$1:$S$101,3,FALSE))</f>
        <v/>
      </c>
      <c r="I5068" s="1" t="str">
        <f>IF(Table2[[#This Row],[Description]]="","",IF(Table2[[#This Row],[Currency]]=$O$2,$P$2,HLOOKUP(Table2[[#This Row],[Date]],Funds!$C$10:$GV$11,2,FALSE)))</f>
        <v/>
      </c>
      <c r="J5068" s="215" t="str">
        <f>IF(Table2[[#This Row],[Description]]="","",Table2[[#This Row],[Value]]/Table2[[#This Row],[Conversion]])</f>
        <v/>
      </c>
      <c r="K5068" s="45" t="str">
        <f>IF(Table2[[#This Row],[Description]]="","",DATE(Table2[[#This Row],[Year]],Table2[[#This Row],[Month]],1))</f>
        <v/>
      </c>
    </row>
    <row r="5069" spans="7:11" x14ac:dyDescent="0.25">
      <c r="G5069" s="1" t="str">
        <f>IF(Table2[[#This Row],[Description]]="","",VLOOKUP(Table2[[#This Row],[Description]],$Q$1:$S$101,2,FALSE))</f>
        <v/>
      </c>
      <c r="H5069" s="1" t="str">
        <f>IF(Table2[[#This Row],[Description]]="","",VLOOKUP(Table2[[#This Row],[Description]],$Q$1:$S$101,3,FALSE))</f>
        <v/>
      </c>
      <c r="I5069" s="1" t="str">
        <f>IF(Table2[[#This Row],[Description]]="","",IF(Table2[[#This Row],[Currency]]=$O$2,$P$2,HLOOKUP(Table2[[#This Row],[Date]],Funds!$C$10:$GV$11,2,FALSE)))</f>
        <v/>
      </c>
      <c r="J5069" s="215" t="str">
        <f>IF(Table2[[#This Row],[Description]]="","",Table2[[#This Row],[Value]]/Table2[[#This Row],[Conversion]])</f>
        <v/>
      </c>
      <c r="K5069" s="45" t="str">
        <f>IF(Table2[[#This Row],[Description]]="","",DATE(Table2[[#This Row],[Year]],Table2[[#This Row],[Month]],1))</f>
        <v/>
      </c>
    </row>
    <row r="5070" spans="7:11" x14ac:dyDescent="0.25">
      <c r="G5070" s="1" t="str">
        <f>IF(Table2[[#This Row],[Description]]="","",VLOOKUP(Table2[[#This Row],[Description]],$Q$1:$S$101,2,FALSE))</f>
        <v/>
      </c>
      <c r="H5070" s="1" t="str">
        <f>IF(Table2[[#This Row],[Description]]="","",VLOOKUP(Table2[[#This Row],[Description]],$Q$1:$S$101,3,FALSE))</f>
        <v/>
      </c>
      <c r="I5070" s="1" t="str">
        <f>IF(Table2[[#This Row],[Description]]="","",IF(Table2[[#This Row],[Currency]]=$O$2,$P$2,HLOOKUP(Table2[[#This Row],[Date]],Funds!$C$10:$GV$11,2,FALSE)))</f>
        <v/>
      </c>
      <c r="J5070" s="215" t="str">
        <f>IF(Table2[[#This Row],[Description]]="","",Table2[[#This Row],[Value]]/Table2[[#This Row],[Conversion]])</f>
        <v/>
      </c>
      <c r="K5070" s="45" t="str">
        <f>IF(Table2[[#This Row],[Description]]="","",DATE(Table2[[#This Row],[Year]],Table2[[#This Row],[Month]],1))</f>
        <v/>
      </c>
    </row>
    <row r="5071" spans="7:11" x14ac:dyDescent="0.25">
      <c r="G5071" s="1" t="str">
        <f>IF(Table2[[#This Row],[Description]]="","",VLOOKUP(Table2[[#This Row],[Description]],$Q$1:$S$101,2,FALSE))</f>
        <v/>
      </c>
      <c r="H5071" s="1" t="str">
        <f>IF(Table2[[#This Row],[Description]]="","",VLOOKUP(Table2[[#This Row],[Description]],$Q$1:$S$101,3,FALSE))</f>
        <v/>
      </c>
      <c r="I5071" s="1" t="str">
        <f>IF(Table2[[#This Row],[Description]]="","",IF(Table2[[#This Row],[Currency]]=$O$2,$P$2,HLOOKUP(Table2[[#This Row],[Date]],Funds!$C$10:$GV$11,2,FALSE)))</f>
        <v/>
      </c>
      <c r="J5071" s="215" t="str">
        <f>IF(Table2[[#This Row],[Description]]="","",Table2[[#This Row],[Value]]/Table2[[#This Row],[Conversion]])</f>
        <v/>
      </c>
      <c r="K5071" s="45" t="str">
        <f>IF(Table2[[#This Row],[Description]]="","",DATE(Table2[[#This Row],[Year]],Table2[[#This Row],[Month]],1))</f>
        <v/>
      </c>
    </row>
    <row r="5072" spans="7:11" x14ac:dyDescent="0.25">
      <c r="G5072" s="1" t="str">
        <f>IF(Table2[[#This Row],[Description]]="","",VLOOKUP(Table2[[#This Row],[Description]],$Q$1:$S$101,2,FALSE))</f>
        <v/>
      </c>
      <c r="H5072" s="1" t="str">
        <f>IF(Table2[[#This Row],[Description]]="","",VLOOKUP(Table2[[#This Row],[Description]],$Q$1:$S$101,3,FALSE))</f>
        <v/>
      </c>
      <c r="I5072" s="1" t="str">
        <f>IF(Table2[[#This Row],[Description]]="","",IF(Table2[[#This Row],[Currency]]=$O$2,$P$2,HLOOKUP(Table2[[#This Row],[Date]],Funds!$C$10:$GV$11,2,FALSE)))</f>
        <v/>
      </c>
      <c r="J5072" s="215" t="str">
        <f>IF(Table2[[#This Row],[Description]]="","",Table2[[#This Row],[Value]]/Table2[[#This Row],[Conversion]])</f>
        <v/>
      </c>
      <c r="K5072" s="45" t="str">
        <f>IF(Table2[[#This Row],[Description]]="","",DATE(Table2[[#This Row],[Year]],Table2[[#This Row],[Month]],1))</f>
        <v/>
      </c>
    </row>
    <row r="5073" spans="7:11" x14ac:dyDescent="0.25">
      <c r="G5073" s="1" t="str">
        <f>IF(Table2[[#This Row],[Description]]="","",VLOOKUP(Table2[[#This Row],[Description]],$Q$1:$S$101,2,FALSE))</f>
        <v/>
      </c>
      <c r="H5073" s="1" t="str">
        <f>IF(Table2[[#This Row],[Description]]="","",VLOOKUP(Table2[[#This Row],[Description]],$Q$1:$S$101,3,FALSE))</f>
        <v/>
      </c>
      <c r="I5073" s="1" t="str">
        <f>IF(Table2[[#This Row],[Description]]="","",IF(Table2[[#This Row],[Currency]]=$O$2,$P$2,HLOOKUP(Table2[[#This Row],[Date]],Funds!$C$10:$GV$11,2,FALSE)))</f>
        <v/>
      </c>
      <c r="J5073" s="215" t="str">
        <f>IF(Table2[[#This Row],[Description]]="","",Table2[[#This Row],[Value]]/Table2[[#This Row],[Conversion]])</f>
        <v/>
      </c>
      <c r="K5073" s="45" t="str">
        <f>IF(Table2[[#This Row],[Description]]="","",DATE(Table2[[#This Row],[Year]],Table2[[#This Row],[Month]],1))</f>
        <v/>
      </c>
    </row>
    <row r="5074" spans="7:11" x14ac:dyDescent="0.25">
      <c r="G5074" s="1" t="str">
        <f>IF(Table2[[#This Row],[Description]]="","",VLOOKUP(Table2[[#This Row],[Description]],$Q$1:$S$101,2,FALSE))</f>
        <v/>
      </c>
      <c r="H5074" s="1" t="str">
        <f>IF(Table2[[#This Row],[Description]]="","",VLOOKUP(Table2[[#This Row],[Description]],$Q$1:$S$101,3,FALSE))</f>
        <v/>
      </c>
      <c r="I5074" s="1" t="str">
        <f>IF(Table2[[#This Row],[Description]]="","",IF(Table2[[#This Row],[Currency]]=$O$2,$P$2,HLOOKUP(Table2[[#This Row],[Date]],Funds!$C$10:$GV$11,2,FALSE)))</f>
        <v/>
      </c>
      <c r="J5074" s="215" t="str">
        <f>IF(Table2[[#This Row],[Description]]="","",Table2[[#This Row],[Value]]/Table2[[#This Row],[Conversion]])</f>
        <v/>
      </c>
      <c r="K5074" s="45" t="str">
        <f>IF(Table2[[#This Row],[Description]]="","",DATE(Table2[[#This Row],[Year]],Table2[[#This Row],[Month]],1))</f>
        <v/>
      </c>
    </row>
    <row r="5075" spans="7:11" x14ac:dyDescent="0.25">
      <c r="G5075" s="1" t="str">
        <f>IF(Table2[[#This Row],[Description]]="","",VLOOKUP(Table2[[#This Row],[Description]],$Q$1:$S$101,2,FALSE))</f>
        <v/>
      </c>
      <c r="H5075" s="1" t="str">
        <f>IF(Table2[[#This Row],[Description]]="","",VLOOKUP(Table2[[#This Row],[Description]],$Q$1:$S$101,3,FALSE))</f>
        <v/>
      </c>
      <c r="I5075" s="1" t="str">
        <f>IF(Table2[[#This Row],[Description]]="","",IF(Table2[[#This Row],[Currency]]=$O$2,$P$2,HLOOKUP(Table2[[#This Row],[Date]],Funds!$C$10:$GV$11,2,FALSE)))</f>
        <v/>
      </c>
      <c r="J5075" s="215" t="str">
        <f>IF(Table2[[#This Row],[Description]]="","",Table2[[#This Row],[Value]]/Table2[[#This Row],[Conversion]])</f>
        <v/>
      </c>
      <c r="K5075" s="45" t="str">
        <f>IF(Table2[[#This Row],[Description]]="","",DATE(Table2[[#This Row],[Year]],Table2[[#This Row],[Month]],1))</f>
        <v/>
      </c>
    </row>
    <row r="5076" spans="7:11" x14ac:dyDescent="0.25">
      <c r="G5076" s="1" t="str">
        <f>IF(Table2[[#This Row],[Description]]="","",VLOOKUP(Table2[[#This Row],[Description]],$Q$1:$S$101,2,FALSE))</f>
        <v/>
      </c>
      <c r="H5076" s="1" t="str">
        <f>IF(Table2[[#This Row],[Description]]="","",VLOOKUP(Table2[[#This Row],[Description]],$Q$1:$S$101,3,FALSE))</f>
        <v/>
      </c>
      <c r="I5076" s="1" t="str">
        <f>IF(Table2[[#This Row],[Description]]="","",IF(Table2[[#This Row],[Currency]]=$O$2,$P$2,HLOOKUP(Table2[[#This Row],[Date]],Funds!$C$10:$GV$11,2,FALSE)))</f>
        <v/>
      </c>
      <c r="J5076" s="215" t="str">
        <f>IF(Table2[[#This Row],[Description]]="","",Table2[[#This Row],[Value]]/Table2[[#This Row],[Conversion]])</f>
        <v/>
      </c>
      <c r="K5076" s="45" t="str">
        <f>IF(Table2[[#This Row],[Description]]="","",DATE(Table2[[#This Row],[Year]],Table2[[#This Row],[Month]],1))</f>
        <v/>
      </c>
    </row>
    <row r="5077" spans="7:11" x14ac:dyDescent="0.25">
      <c r="G5077" s="1" t="str">
        <f>IF(Table2[[#This Row],[Description]]="","",VLOOKUP(Table2[[#This Row],[Description]],$Q$1:$S$101,2,FALSE))</f>
        <v/>
      </c>
      <c r="H5077" s="1" t="str">
        <f>IF(Table2[[#This Row],[Description]]="","",VLOOKUP(Table2[[#This Row],[Description]],$Q$1:$S$101,3,FALSE))</f>
        <v/>
      </c>
      <c r="I5077" s="1" t="str">
        <f>IF(Table2[[#This Row],[Description]]="","",IF(Table2[[#This Row],[Currency]]=$O$2,$P$2,HLOOKUP(Table2[[#This Row],[Date]],Funds!$C$10:$GV$11,2,FALSE)))</f>
        <v/>
      </c>
      <c r="J5077" s="215" t="str">
        <f>IF(Table2[[#This Row],[Description]]="","",Table2[[#This Row],[Value]]/Table2[[#This Row],[Conversion]])</f>
        <v/>
      </c>
      <c r="K5077" s="45" t="str">
        <f>IF(Table2[[#This Row],[Description]]="","",DATE(Table2[[#This Row],[Year]],Table2[[#This Row],[Month]],1))</f>
        <v/>
      </c>
    </row>
    <row r="5078" spans="7:11" x14ac:dyDescent="0.25">
      <c r="G5078" s="1" t="str">
        <f>IF(Table2[[#This Row],[Description]]="","",VLOOKUP(Table2[[#This Row],[Description]],$Q$1:$S$101,2,FALSE))</f>
        <v/>
      </c>
      <c r="H5078" s="1" t="str">
        <f>IF(Table2[[#This Row],[Description]]="","",VLOOKUP(Table2[[#This Row],[Description]],$Q$1:$S$101,3,FALSE))</f>
        <v/>
      </c>
      <c r="I5078" s="1" t="str">
        <f>IF(Table2[[#This Row],[Description]]="","",IF(Table2[[#This Row],[Currency]]=$O$2,$P$2,HLOOKUP(Table2[[#This Row],[Date]],Funds!$C$10:$GV$11,2,FALSE)))</f>
        <v/>
      </c>
      <c r="J5078" s="215" t="str">
        <f>IF(Table2[[#This Row],[Description]]="","",Table2[[#This Row],[Value]]/Table2[[#This Row],[Conversion]])</f>
        <v/>
      </c>
      <c r="K5078" s="45" t="str">
        <f>IF(Table2[[#This Row],[Description]]="","",DATE(Table2[[#This Row],[Year]],Table2[[#This Row],[Month]],1))</f>
        <v/>
      </c>
    </row>
    <row r="5079" spans="7:11" x14ac:dyDescent="0.25">
      <c r="G5079" s="1" t="str">
        <f>IF(Table2[[#This Row],[Description]]="","",VLOOKUP(Table2[[#This Row],[Description]],$Q$1:$S$101,2,FALSE))</f>
        <v/>
      </c>
      <c r="H5079" s="1" t="str">
        <f>IF(Table2[[#This Row],[Description]]="","",VLOOKUP(Table2[[#This Row],[Description]],$Q$1:$S$101,3,FALSE))</f>
        <v/>
      </c>
      <c r="I5079" s="1" t="str">
        <f>IF(Table2[[#This Row],[Description]]="","",IF(Table2[[#This Row],[Currency]]=$O$2,$P$2,HLOOKUP(Table2[[#This Row],[Date]],Funds!$C$10:$GV$11,2,FALSE)))</f>
        <v/>
      </c>
      <c r="J5079" s="215" t="str">
        <f>IF(Table2[[#This Row],[Description]]="","",Table2[[#This Row],[Value]]/Table2[[#This Row],[Conversion]])</f>
        <v/>
      </c>
      <c r="K5079" s="45" t="str">
        <f>IF(Table2[[#This Row],[Description]]="","",DATE(Table2[[#This Row],[Year]],Table2[[#This Row],[Month]],1))</f>
        <v/>
      </c>
    </row>
    <row r="5080" spans="7:11" x14ac:dyDescent="0.25">
      <c r="G5080" s="1" t="str">
        <f>IF(Table2[[#This Row],[Description]]="","",VLOOKUP(Table2[[#This Row],[Description]],$Q$1:$S$101,2,FALSE))</f>
        <v/>
      </c>
      <c r="H5080" s="1" t="str">
        <f>IF(Table2[[#This Row],[Description]]="","",VLOOKUP(Table2[[#This Row],[Description]],$Q$1:$S$101,3,FALSE))</f>
        <v/>
      </c>
      <c r="I5080" s="1" t="str">
        <f>IF(Table2[[#This Row],[Description]]="","",IF(Table2[[#This Row],[Currency]]=$O$2,$P$2,HLOOKUP(Table2[[#This Row],[Date]],Funds!$C$10:$GV$11,2,FALSE)))</f>
        <v/>
      </c>
      <c r="J5080" s="215" t="str">
        <f>IF(Table2[[#This Row],[Description]]="","",Table2[[#This Row],[Value]]/Table2[[#This Row],[Conversion]])</f>
        <v/>
      </c>
      <c r="K5080" s="45" t="str">
        <f>IF(Table2[[#This Row],[Description]]="","",DATE(Table2[[#This Row],[Year]],Table2[[#This Row],[Month]],1))</f>
        <v/>
      </c>
    </row>
    <row r="5081" spans="7:11" x14ac:dyDescent="0.25">
      <c r="G5081" s="1" t="str">
        <f>IF(Table2[[#This Row],[Description]]="","",VLOOKUP(Table2[[#This Row],[Description]],$Q$1:$S$101,2,FALSE))</f>
        <v/>
      </c>
      <c r="H5081" s="1" t="str">
        <f>IF(Table2[[#This Row],[Description]]="","",VLOOKUP(Table2[[#This Row],[Description]],$Q$1:$S$101,3,FALSE))</f>
        <v/>
      </c>
      <c r="I5081" s="1" t="str">
        <f>IF(Table2[[#This Row],[Description]]="","",IF(Table2[[#This Row],[Currency]]=$O$2,$P$2,HLOOKUP(Table2[[#This Row],[Date]],Funds!$C$10:$GV$11,2,FALSE)))</f>
        <v/>
      </c>
      <c r="J5081" s="215" t="str">
        <f>IF(Table2[[#This Row],[Description]]="","",Table2[[#This Row],[Value]]/Table2[[#This Row],[Conversion]])</f>
        <v/>
      </c>
      <c r="K5081" s="45" t="str">
        <f>IF(Table2[[#This Row],[Description]]="","",DATE(Table2[[#This Row],[Year]],Table2[[#This Row],[Month]],1))</f>
        <v/>
      </c>
    </row>
    <row r="5082" spans="7:11" x14ac:dyDescent="0.25">
      <c r="G5082" s="1" t="str">
        <f>IF(Table2[[#This Row],[Description]]="","",VLOOKUP(Table2[[#This Row],[Description]],$Q$1:$S$101,2,FALSE))</f>
        <v/>
      </c>
      <c r="H5082" s="1" t="str">
        <f>IF(Table2[[#This Row],[Description]]="","",VLOOKUP(Table2[[#This Row],[Description]],$Q$1:$S$101,3,FALSE))</f>
        <v/>
      </c>
      <c r="I5082" s="1" t="str">
        <f>IF(Table2[[#This Row],[Description]]="","",IF(Table2[[#This Row],[Currency]]=$O$2,$P$2,HLOOKUP(Table2[[#This Row],[Date]],Funds!$C$10:$GV$11,2,FALSE)))</f>
        <v/>
      </c>
      <c r="J5082" s="215" t="str">
        <f>IF(Table2[[#This Row],[Description]]="","",Table2[[#This Row],[Value]]/Table2[[#This Row],[Conversion]])</f>
        <v/>
      </c>
      <c r="K5082" s="45" t="str">
        <f>IF(Table2[[#This Row],[Description]]="","",DATE(Table2[[#This Row],[Year]],Table2[[#This Row],[Month]],1))</f>
        <v/>
      </c>
    </row>
    <row r="5083" spans="7:11" x14ac:dyDescent="0.25">
      <c r="G5083" s="1" t="str">
        <f>IF(Table2[[#This Row],[Description]]="","",VLOOKUP(Table2[[#This Row],[Description]],$Q$1:$S$101,2,FALSE))</f>
        <v/>
      </c>
      <c r="H5083" s="1" t="str">
        <f>IF(Table2[[#This Row],[Description]]="","",VLOOKUP(Table2[[#This Row],[Description]],$Q$1:$S$101,3,FALSE))</f>
        <v/>
      </c>
      <c r="I5083" s="1" t="str">
        <f>IF(Table2[[#This Row],[Description]]="","",IF(Table2[[#This Row],[Currency]]=$O$2,$P$2,HLOOKUP(Table2[[#This Row],[Date]],Funds!$C$10:$GV$11,2,FALSE)))</f>
        <v/>
      </c>
      <c r="J5083" s="215" t="str">
        <f>IF(Table2[[#This Row],[Description]]="","",Table2[[#This Row],[Value]]/Table2[[#This Row],[Conversion]])</f>
        <v/>
      </c>
      <c r="K5083" s="45" t="str">
        <f>IF(Table2[[#This Row],[Description]]="","",DATE(Table2[[#This Row],[Year]],Table2[[#This Row],[Month]],1))</f>
        <v/>
      </c>
    </row>
    <row r="5084" spans="7:11" x14ac:dyDescent="0.25">
      <c r="G5084" s="1" t="str">
        <f>IF(Table2[[#This Row],[Description]]="","",VLOOKUP(Table2[[#This Row],[Description]],$Q$1:$S$101,2,FALSE))</f>
        <v/>
      </c>
      <c r="H5084" s="1" t="str">
        <f>IF(Table2[[#This Row],[Description]]="","",VLOOKUP(Table2[[#This Row],[Description]],$Q$1:$S$101,3,FALSE))</f>
        <v/>
      </c>
      <c r="I5084" s="1" t="str">
        <f>IF(Table2[[#This Row],[Description]]="","",IF(Table2[[#This Row],[Currency]]=$O$2,$P$2,HLOOKUP(Table2[[#This Row],[Date]],Funds!$C$10:$GV$11,2,FALSE)))</f>
        <v/>
      </c>
      <c r="J5084" s="215" t="str">
        <f>IF(Table2[[#This Row],[Description]]="","",Table2[[#This Row],[Value]]/Table2[[#This Row],[Conversion]])</f>
        <v/>
      </c>
      <c r="K5084" s="45" t="str">
        <f>IF(Table2[[#This Row],[Description]]="","",DATE(Table2[[#This Row],[Year]],Table2[[#This Row],[Month]],1))</f>
        <v/>
      </c>
    </row>
    <row r="5085" spans="7:11" x14ac:dyDescent="0.25">
      <c r="G5085" s="1" t="str">
        <f>IF(Table2[[#This Row],[Description]]="","",VLOOKUP(Table2[[#This Row],[Description]],$Q$1:$S$101,2,FALSE))</f>
        <v/>
      </c>
      <c r="H5085" s="1" t="str">
        <f>IF(Table2[[#This Row],[Description]]="","",VLOOKUP(Table2[[#This Row],[Description]],$Q$1:$S$101,3,FALSE))</f>
        <v/>
      </c>
      <c r="I5085" s="1" t="str">
        <f>IF(Table2[[#This Row],[Description]]="","",IF(Table2[[#This Row],[Currency]]=$O$2,$P$2,HLOOKUP(Table2[[#This Row],[Date]],Funds!$C$10:$GV$11,2,FALSE)))</f>
        <v/>
      </c>
      <c r="J5085" s="215" t="str">
        <f>IF(Table2[[#This Row],[Description]]="","",Table2[[#This Row],[Value]]/Table2[[#This Row],[Conversion]])</f>
        <v/>
      </c>
      <c r="K5085" s="45" t="str">
        <f>IF(Table2[[#This Row],[Description]]="","",DATE(Table2[[#This Row],[Year]],Table2[[#This Row],[Month]],1))</f>
        <v/>
      </c>
    </row>
    <row r="5086" spans="7:11" x14ac:dyDescent="0.25">
      <c r="G5086" s="1" t="str">
        <f>IF(Table2[[#This Row],[Description]]="","",VLOOKUP(Table2[[#This Row],[Description]],$Q$1:$S$101,2,FALSE))</f>
        <v/>
      </c>
      <c r="H5086" s="1" t="str">
        <f>IF(Table2[[#This Row],[Description]]="","",VLOOKUP(Table2[[#This Row],[Description]],$Q$1:$S$101,3,FALSE))</f>
        <v/>
      </c>
      <c r="I5086" s="1" t="str">
        <f>IF(Table2[[#This Row],[Description]]="","",IF(Table2[[#This Row],[Currency]]=$O$2,$P$2,HLOOKUP(Table2[[#This Row],[Date]],Funds!$C$10:$GV$11,2,FALSE)))</f>
        <v/>
      </c>
      <c r="J5086" s="215" t="str">
        <f>IF(Table2[[#This Row],[Description]]="","",Table2[[#This Row],[Value]]/Table2[[#This Row],[Conversion]])</f>
        <v/>
      </c>
      <c r="K5086" s="45" t="str">
        <f>IF(Table2[[#This Row],[Description]]="","",DATE(Table2[[#This Row],[Year]],Table2[[#This Row],[Month]],1))</f>
        <v/>
      </c>
    </row>
    <row r="5087" spans="7:11" x14ac:dyDescent="0.25">
      <c r="G5087" s="1" t="str">
        <f>IF(Table2[[#This Row],[Description]]="","",VLOOKUP(Table2[[#This Row],[Description]],$Q$1:$S$101,2,FALSE))</f>
        <v/>
      </c>
      <c r="H5087" s="1" t="str">
        <f>IF(Table2[[#This Row],[Description]]="","",VLOOKUP(Table2[[#This Row],[Description]],$Q$1:$S$101,3,FALSE))</f>
        <v/>
      </c>
      <c r="I5087" s="1" t="str">
        <f>IF(Table2[[#This Row],[Description]]="","",IF(Table2[[#This Row],[Currency]]=$O$2,$P$2,HLOOKUP(Table2[[#This Row],[Date]],Funds!$C$10:$GV$11,2,FALSE)))</f>
        <v/>
      </c>
      <c r="J5087" s="215" t="str">
        <f>IF(Table2[[#This Row],[Description]]="","",Table2[[#This Row],[Value]]/Table2[[#This Row],[Conversion]])</f>
        <v/>
      </c>
      <c r="K5087" s="45" t="str">
        <f>IF(Table2[[#This Row],[Description]]="","",DATE(Table2[[#This Row],[Year]],Table2[[#This Row],[Month]],1))</f>
        <v/>
      </c>
    </row>
    <row r="5088" spans="7:11" x14ac:dyDescent="0.25">
      <c r="G5088" s="1" t="str">
        <f>IF(Table2[[#This Row],[Description]]="","",VLOOKUP(Table2[[#This Row],[Description]],$Q$1:$S$101,2,FALSE))</f>
        <v/>
      </c>
      <c r="H5088" s="1" t="str">
        <f>IF(Table2[[#This Row],[Description]]="","",VLOOKUP(Table2[[#This Row],[Description]],$Q$1:$S$101,3,FALSE))</f>
        <v/>
      </c>
      <c r="I5088" s="1" t="str">
        <f>IF(Table2[[#This Row],[Description]]="","",IF(Table2[[#This Row],[Currency]]=$O$2,$P$2,HLOOKUP(Table2[[#This Row],[Date]],Funds!$C$10:$GV$11,2,FALSE)))</f>
        <v/>
      </c>
      <c r="J5088" s="215" t="str">
        <f>IF(Table2[[#This Row],[Description]]="","",Table2[[#This Row],[Value]]/Table2[[#This Row],[Conversion]])</f>
        <v/>
      </c>
      <c r="K5088" s="45" t="str">
        <f>IF(Table2[[#This Row],[Description]]="","",DATE(Table2[[#This Row],[Year]],Table2[[#This Row],[Month]],1))</f>
        <v/>
      </c>
    </row>
    <row r="5089" spans="7:11" x14ac:dyDescent="0.25">
      <c r="G5089" s="1" t="str">
        <f>IF(Table2[[#This Row],[Description]]="","",VLOOKUP(Table2[[#This Row],[Description]],$Q$1:$S$101,2,FALSE))</f>
        <v/>
      </c>
      <c r="H5089" s="1" t="str">
        <f>IF(Table2[[#This Row],[Description]]="","",VLOOKUP(Table2[[#This Row],[Description]],$Q$1:$S$101,3,FALSE))</f>
        <v/>
      </c>
      <c r="I5089" s="1" t="str">
        <f>IF(Table2[[#This Row],[Description]]="","",IF(Table2[[#This Row],[Currency]]=$O$2,$P$2,HLOOKUP(Table2[[#This Row],[Date]],Funds!$C$10:$GV$11,2,FALSE)))</f>
        <v/>
      </c>
      <c r="J5089" s="215" t="str">
        <f>IF(Table2[[#This Row],[Description]]="","",Table2[[#This Row],[Value]]/Table2[[#This Row],[Conversion]])</f>
        <v/>
      </c>
      <c r="K5089" s="45" t="str">
        <f>IF(Table2[[#This Row],[Description]]="","",DATE(Table2[[#This Row],[Year]],Table2[[#This Row],[Month]],1))</f>
        <v/>
      </c>
    </row>
    <row r="5090" spans="7:11" x14ac:dyDescent="0.25">
      <c r="G5090" s="1" t="str">
        <f>IF(Table2[[#This Row],[Description]]="","",VLOOKUP(Table2[[#This Row],[Description]],$Q$1:$S$101,2,FALSE))</f>
        <v/>
      </c>
      <c r="H5090" s="1" t="str">
        <f>IF(Table2[[#This Row],[Description]]="","",VLOOKUP(Table2[[#This Row],[Description]],$Q$1:$S$101,3,FALSE))</f>
        <v/>
      </c>
      <c r="I5090" s="1" t="str">
        <f>IF(Table2[[#This Row],[Description]]="","",IF(Table2[[#This Row],[Currency]]=$O$2,$P$2,HLOOKUP(Table2[[#This Row],[Date]],Funds!$C$10:$GV$11,2,FALSE)))</f>
        <v/>
      </c>
      <c r="J5090" s="215" t="str">
        <f>IF(Table2[[#This Row],[Description]]="","",Table2[[#This Row],[Value]]/Table2[[#This Row],[Conversion]])</f>
        <v/>
      </c>
      <c r="K5090" s="45" t="str">
        <f>IF(Table2[[#This Row],[Description]]="","",DATE(Table2[[#This Row],[Year]],Table2[[#This Row],[Month]],1))</f>
        <v/>
      </c>
    </row>
    <row r="5091" spans="7:11" x14ac:dyDescent="0.25">
      <c r="G5091" s="1" t="str">
        <f>IF(Table2[[#This Row],[Description]]="","",VLOOKUP(Table2[[#This Row],[Description]],$Q$1:$S$101,2,FALSE))</f>
        <v/>
      </c>
      <c r="H5091" s="1" t="str">
        <f>IF(Table2[[#This Row],[Description]]="","",VLOOKUP(Table2[[#This Row],[Description]],$Q$1:$S$101,3,FALSE))</f>
        <v/>
      </c>
      <c r="I5091" s="1" t="str">
        <f>IF(Table2[[#This Row],[Description]]="","",IF(Table2[[#This Row],[Currency]]=$O$2,$P$2,HLOOKUP(Table2[[#This Row],[Date]],Funds!$C$10:$GV$11,2,FALSE)))</f>
        <v/>
      </c>
      <c r="J5091" s="215" t="str">
        <f>IF(Table2[[#This Row],[Description]]="","",Table2[[#This Row],[Value]]/Table2[[#This Row],[Conversion]])</f>
        <v/>
      </c>
      <c r="K5091" s="45" t="str">
        <f>IF(Table2[[#This Row],[Description]]="","",DATE(Table2[[#This Row],[Year]],Table2[[#This Row],[Month]],1))</f>
        <v/>
      </c>
    </row>
    <row r="5092" spans="7:11" x14ac:dyDescent="0.25">
      <c r="G5092" s="1" t="str">
        <f>IF(Table2[[#This Row],[Description]]="","",VLOOKUP(Table2[[#This Row],[Description]],$Q$1:$S$101,2,FALSE))</f>
        <v/>
      </c>
      <c r="H5092" s="1" t="str">
        <f>IF(Table2[[#This Row],[Description]]="","",VLOOKUP(Table2[[#This Row],[Description]],$Q$1:$S$101,3,FALSE))</f>
        <v/>
      </c>
      <c r="I5092" s="1" t="str">
        <f>IF(Table2[[#This Row],[Description]]="","",IF(Table2[[#This Row],[Currency]]=$O$2,$P$2,HLOOKUP(Table2[[#This Row],[Date]],Funds!$C$10:$GV$11,2,FALSE)))</f>
        <v/>
      </c>
      <c r="J5092" s="215" t="str">
        <f>IF(Table2[[#This Row],[Description]]="","",Table2[[#This Row],[Value]]/Table2[[#This Row],[Conversion]])</f>
        <v/>
      </c>
      <c r="K5092" s="45" t="str">
        <f>IF(Table2[[#This Row],[Description]]="","",DATE(Table2[[#This Row],[Year]],Table2[[#This Row],[Month]],1))</f>
        <v/>
      </c>
    </row>
    <row r="5093" spans="7:11" x14ac:dyDescent="0.25">
      <c r="G5093" s="1" t="str">
        <f>IF(Table2[[#This Row],[Description]]="","",VLOOKUP(Table2[[#This Row],[Description]],$Q$1:$S$101,2,FALSE))</f>
        <v/>
      </c>
      <c r="H5093" s="1" t="str">
        <f>IF(Table2[[#This Row],[Description]]="","",VLOOKUP(Table2[[#This Row],[Description]],$Q$1:$S$101,3,FALSE))</f>
        <v/>
      </c>
      <c r="I5093" s="1" t="str">
        <f>IF(Table2[[#This Row],[Description]]="","",IF(Table2[[#This Row],[Currency]]=$O$2,$P$2,HLOOKUP(Table2[[#This Row],[Date]],Funds!$C$10:$GV$11,2,FALSE)))</f>
        <v/>
      </c>
      <c r="J5093" s="215" t="str">
        <f>IF(Table2[[#This Row],[Description]]="","",Table2[[#This Row],[Value]]/Table2[[#This Row],[Conversion]])</f>
        <v/>
      </c>
      <c r="K5093" s="45" t="str">
        <f>IF(Table2[[#This Row],[Description]]="","",DATE(Table2[[#This Row],[Year]],Table2[[#This Row],[Month]],1))</f>
        <v/>
      </c>
    </row>
    <row r="5094" spans="7:11" x14ac:dyDescent="0.25">
      <c r="G5094" s="1" t="str">
        <f>IF(Table2[[#This Row],[Description]]="","",VLOOKUP(Table2[[#This Row],[Description]],$Q$1:$S$101,2,FALSE))</f>
        <v/>
      </c>
      <c r="H5094" s="1" t="str">
        <f>IF(Table2[[#This Row],[Description]]="","",VLOOKUP(Table2[[#This Row],[Description]],$Q$1:$S$101,3,FALSE))</f>
        <v/>
      </c>
      <c r="I5094" s="1" t="str">
        <f>IF(Table2[[#This Row],[Description]]="","",IF(Table2[[#This Row],[Currency]]=$O$2,$P$2,HLOOKUP(Table2[[#This Row],[Date]],Funds!$C$10:$GV$11,2,FALSE)))</f>
        <v/>
      </c>
      <c r="J5094" s="215" t="str">
        <f>IF(Table2[[#This Row],[Description]]="","",Table2[[#This Row],[Value]]/Table2[[#This Row],[Conversion]])</f>
        <v/>
      </c>
      <c r="K5094" s="45" t="str">
        <f>IF(Table2[[#This Row],[Description]]="","",DATE(Table2[[#This Row],[Year]],Table2[[#This Row],[Month]],1))</f>
        <v/>
      </c>
    </row>
    <row r="5095" spans="7:11" x14ac:dyDescent="0.25">
      <c r="G5095" s="1" t="str">
        <f>IF(Table2[[#This Row],[Description]]="","",VLOOKUP(Table2[[#This Row],[Description]],$Q$1:$S$101,2,FALSE))</f>
        <v/>
      </c>
      <c r="H5095" s="1" t="str">
        <f>IF(Table2[[#This Row],[Description]]="","",VLOOKUP(Table2[[#This Row],[Description]],$Q$1:$S$101,3,FALSE))</f>
        <v/>
      </c>
      <c r="I5095" s="1" t="str">
        <f>IF(Table2[[#This Row],[Description]]="","",IF(Table2[[#This Row],[Currency]]=$O$2,$P$2,HLOOKUP(Table2[[#This Row],[Date]],Funds!$C$10:$GV$11,2,FALSE)))</f>
        <v/>
      </c>
      <c r="J5095" s="215" t="str">
        <f>IF(Table2[[#This Row],[Description]]="","",Table2[[#This Row],[Value]]/Table2[[#This Row],[Conversion]])</f>
        <v/>
      </c>
      <c r="K5095" s="45" t="str">
        <f>IF(Table2[[#This Row],[Description]]="","",DATE(Table2[[#This Row],[Year]],Table2[[#This Row],[Month]],1))</f>
        <v/>
      </c>
    </row>
    <row r="5096" spans="7:11" x14ac:dyDescent="0.25">
      <c r="G5096" s="1" t="str">
        <f>IF(Table2[[#This Row],[Description]]="","",VLOOKUP(Table2[[#This Row],[Description]],$Q$1:$S$101,2,FALSE))</f>
        <v/>
      </c>
      <c r="H5096" s="1" t="str">
        <f>IF(Table2[[#This Row],[Description]]="","",VLOOKUP(Table2[[#This Row],[Description]],$Q$1:$S$101,3,FALSE))</f>
        <v/>
      </c>
      <c r="I5096" s="1" t="str">
        <f>IF(Table2[[#This Row],[Description]]="","",IF(Table2[[#This Row],[Currency]]=$O$2,$P$2,HLOOKUP(Table2[[#This Row],[Date]],Funds!$C$10:$GV$11,2,FALSE)))</f>
        <v/>
      </c>
      <c r="J5096" s="215" t="str">
        <f>IF(Table2[[#This Row],[Description]]="","",Table2[[#This Row],[Value]]/Table2[[#This Row],[Conversion]])</f>
        <v/>
      </c>
      <c r="K5096" s="45" t="str">
        <f>IF(Table2[[#This Row],[Description]]="","",DATE(Table2[[#This Row],[Year]],Table2[[#This Row],[Month]],1))</f>
        <v/>
      </c>
    </row>
    <row r="5097" spans="7:11" x14ac:dyDescent="0.25">
      <c r="G5097" s="1" t="str">
        <f>IF(Table2[[#This Row],[Description]]="","",VLOOKUP(Table2[[#This Row],[Description]],$Q$1:$S$101,2,FALSE))</f>
        <v/>
      </c>
      <c r="H5097" s="1" t="str">
        <f>IF(Table2[[#This Row],[Description]]="","",VLOOKUP(Table2[[#This Row],[Description]],$Q$1:$S$101,3,FALSE))</f>
        <v/>
      </c>
      <c r="I5097" s="1" t="str">
        <f>IF(Table2[[#This Row],[Description]]="","",IF(Table2[[#This Row],[Currency]]=$O$2,$P$2,HLOOKUP(Table2[[#This Row],[Date]],Funds!$C$10:$GV$11,2,FALSE)))</f>
        <v/>
      </c>
      <c r="J5097" s="215" t="str">
        <f>IF(Table2[[#This Row],[Description]]="","",Table2[[#This Row],[Value]]/Table2[[#This Row],[Conversion]])</f>
        <v/>
      </c>
      <c r="K5097" s="45" t="str">
        <f>IF(Table2[[#This Row],[Description]]="","",DATE(Table2[[#This Row],[Year]],Table2[[#This Row],[Month]],1))</f>
        <v/>
      </c>
    </row>
    <row r="5098" spans="7:11" x14ac:dyDescent="0.25">
      <c r="G5098" s="1" t="str">
        <f>IF(Table2[[#This Row],[Description]]="","",VLOOKUP(Table2[[#This Row],[Description]],$Q$1:$S$101,2,FALSE))</f>
        <v/>
      </c>
      <c r="H5098" s="1" t="str">
        <f>IF(Table2[[#This Row],[Description]]="","",VLOOKUP(Table2[[#This Row],[Description]],$Q$1:$S$101,3,FALSE))</f>
        <v/>
      </c>
      <c r="I5098" s="1" t="str">
        <f>IF(Table2[[#This Row],[Description]]="","",IF(Table2[[#This Row],[Currency]]=$O$2,$P$2,HLOOKUP(Table2[[#This Row],[Date]],Funds!$C$10:$GV$11,2,FALSE)))</f>
        <v/>
      </c>
      <c r="J5098" s="215" t="str">
        <f>IF(Table2[[#This Row],[Description]]="","",Table2[[#This Row],[Value]]/Table2[[#This Row],[Conversion]])</f>
        <v/>
      </c>
      <c r="K5098" s="45" t="str">
        <f>IF(Table2[[#This Row],[Description]]="","",DATE(Table2[[#This Row],[Year]],Table2[[#This Row],[Month]],1))</f>
        <v/>
      </c>
    </row>
    <row r="5099" spans="7:11" x14ac:dyDescent="0.25">
      <c r="G5099" s="1" t="str">
        <f>IF(Table2[[#This Row],[Description]]="","",VLOOKUP(Table2[[#This Row],[Description]],$Q$1:$S$101,2,FALSE))</f>
        <v/>
      </c>
      <c r="H5099" s="1" t="str">
        <f>IF(Table2[[#This Row],[Description]]="","",VLOOKUP(Table2[[#This Row],[Description]],$Q$1:$S$101,3,FALSE))</f>
        <v/>
      </c>
      <c r="I5099" s="1" t="str">
        <f>IF(Table2[[#This Row],[Description]]="","",IF(Table2[[#This Row],[Currency]]=$O$2,$P$2,HLOOKUP(Table2[[#This Row],[Date]],Funds!$C$10:$GV$11,2,FALSE)))</f>
        <v/>
      </c>
      <c r="J5099" s="215" t="str">
        <f>IF(Table2[[#This Row],[Description]]="","",Table2[[#This Row],[Value]]/Table2[[#This Row],[Conversion]])</f>
        <v/>
      </c>
      <c r="K5099" s="45" t="str">
        <f>IF(Table2[[#This Row],[Description]]="","",DATE(Table2[[#This Row],[Year]],Table2[[#This Row],[Month]],1))</f>
        <v/>
      </c>
    </row>
    <row r="5100" spans="7:11" x14ac:dyDescent="0.25">
      <c r="G5100" s="1" t="str">
        <f>IF(Table2[[#This Row],[Description]]="","",VLOOKUP(Table2[[#This Row],[Description]],$Q$1:$S$101,2,FALSE))</f>
        <v/>
      </c>
      <c r="H5100" s="1" t="str">
        <f>IF(Table2[[#This Row],[Description]]="","",VLOOKUP(Table2[[#This Row],[Description]],$Q$1:$S$101,3,FALSE))</f>
        <v/>
      </c>
      <c r="I5100" s="1" t="str">
        <f>IF(Table2[[#This Row],[Description]]="","",IF(Table2[[#This Row],[Currency]]=$O$2,$P$2,HLOOKUP(Table2[[#This Row],[Date]],Funds!$C$10:$GV$11,2,FALSE)))</f>
        <v/>
      </c>
      <c r="J5100" s="215" t="str">
        <f>IF(Table2[[#This Row],[Description]]="","",Table2[[#This Row],[Value]]/Table2[[#This Row],[Conversion]])</f>
        <v/>
      </c>
      <c r="K5100" s="45" t="str">
        <f>IF(Table2[[#This Row],[Description]]="","",DATE(Table2[[#This Row],[Year]],Table2[[#This Row],[Month]],1))</f>
        <v/>
      </c>
    </row>
    <row r="5101" spans="7:11" x14ac:dyDescent="0.25">
      <c r="G5101" s="1" t="str">
        <f>IF(Table2[[#This Row],[Description]]="","",VLOOKUP(Table2[[#This Row],[Description]],$Q$1:$S$101,2,FALSE))</f>
        <v/>
      </c>
      <c r="H5101" s="1" t="str">
        <f>IF(Table2[[#This Row],[Description]]="","",VLOOKUP(Table2[[#This Row],[Description]],$Q$1:$S$101,3,FALSE))</f>
        <v/>
      </c>
      <c r="I5101" s="1" t="str">
        <f>IF(Table2[[#This Row],[Description]]="","",IF(Table2[[#This Row],[Currency]]=$O$2,$P$2,HLOOKUP(Table2[[#This Row],[Date]],Funds!$C$10:$GV$11,2,FALSE)))</f>
        <v/>
      </c>
      <c r="J5101" s="215" t="str">
        <f>IF(Table2[[#This Row],[Description]]="","",Table2[[#This Row],[Value]]/Table2[[#This Row],[Conversion]])</f>
        <v/>
      </c>
      <c r="K5101" s="45" t="str">
        <f>IF(Table2[[#This Row],[Description]]="","",DATE(Table2[[#This Row],[Year]],Table2[[#This Row],[Month]],1))</f>
        <v/>
      </c>
    </row>
    <row r="5102" spans="7:11" x14ac:dyDescent="0.25">
      <c r="G5102" s="1" t="str">
        <f>IF(Table2[[#This Row],[Description]]="","",VLOOKUP(Table2[[#This Row],[Description]],$Q$1:$S$101,2,FALSE))</f>
        <v/>
      </c>
      <c r="H5102" s="1" t="str">
        <f>IF(Table2[[#This Row],[Description]]="","",VLOOKUP(Table2[[#This Row],[Description]],$Q$1:$S$101,3,FALSE))</f>
        <v/>
      </c>
      <c r="I5102" s="1" t="str">
        <f>IF(Table2[[#This Row],[Description]]="","",IF(Table2[[#This Row],[Currency]]=$O$2,$P$2,HLOOKUP(Table2[[#This Row],[Date]],Funds!$C$10:$GV$11,2,FALSE)))</f>
        <v/>
      </c>
      <c r="J5102" s="215" t="str">
        <f>IF(Table2[[#This Row],[Description]]="","",Table2[[#This Row],[Value]]/Table2[[#This Row],[Conversion]])</f>
        <v/>
      </c>
      <c r="K5102" s="45" t="str">
        <f>IF(Table2[[#This Row],[Description]]="","",DATE(Table2[[#This Row],[Year]],Table2[[#This Row],[Month]],1))</f>
        <v/>
      </c>
    </row>
    <row r="5103" spans="7:11" x14ac:dyDescent="0.25">
      <c r="G5103" s="1" t="str">
        <f>IF(Table2[[#This Row],[Description]]="","",VLOOKUP(Table2[[#This Row],[Description]],$Q$1:$S$101,2,FALSE))</f>
        <v/>
      </c>
      <c r="H5103" s="1" t="str">
        <f>IF(Table2[[#This Row],[Description]]="","",VLOOKUP(Table2[[#This Row],[Description]],$Q$1:$S$101,3,FALSE))</f>
        <v/>
      </c>
      <c r="I5103" s="1" t="str">
        <f>IF(Table2[[#This Row],[Description]]="","",IF(Table2[[#This Row],[Currency]]=$O$2,$P$2,HLOOKUP(Table2[[#This Row],[Date]],Funds!$C$10:$GV$11,2,FALSE)))</f>
        <v/>
      </c>
      <c r="J5103" s="215" t="str">
        <f>IF(Table2[[#This Row],[Description]]="","",Table2[[#This Row],[Value]]/Table2[[#This Row],[Conversion]])</f>
        <v/>
      </c>
      <c r="K5103" s="45" t="str">
        <f>IF(Table2[[#This Row],[Description]]="","",DATE(Table2[[#This Row],[Year]],Table2[[#This Row],[Month]],1))</f>
        <v/>
      </c>
    </row>
    <row r="5104" spans="7:11" x14ac:dyDescent="0.25">
      <c r="G5104" s="1" t="str">
        <f>IF(Table2[[#This Row],[Description]]="","",VLOOKUP(Table2[[#This Row],[Description]],$Q$1:$S$101,2,FALSE))</f>
        <v/>
      </c>
      <c r="H5104" s="1" t="str">
        <f>IF(Table2[[#This Row],[Description]]="","",VLOOKUP(Table2[[#This Row],[Description]],$Q$1:$S$101,3,FALSE))</f>
        <v/>
      </c>
      <c r="I5104" s="1" t="str">
        <f>IF(Table2[[#This Row],[Description]]="","",IF(Table2[[#This Row],[Currency]]=$O$2,$P$2,HLOOKUP(Table2[[#This Row],[Date]],Funds!$C$10:$GV$11,2,FALSE)))</f>
        <v/>
      </c>
      <c r="J5104" s="215" t="str">
        <f>IF(Table2[[#This Row],[Description]]="","",Table2[[#This Row],[Value]]/Table2[[#This Row],[Conversion]])</f>
        <v/>
      </c>
      <c r="K5104" s="45" t="str">
        <f>IF(Table2[[#This Row],[Description]]="","",DATE(Table2[[#This Row],[Year]],Table2[[#This Row],[Month]],1))</f>
        <v/>
      </c>
    </row>
    <row r="5105" spans="7:11" x14ac:dyDescent="0.25">
      <c r="G5105" s="1" t="str">
        <f>IF(Table2[[#This Row],[Description]]="","",VLOOKUP(Table2[[#This Row],[Description]],$Q$1:$S$101,2,FALSE))</f>
        <v/>
      </c>
      <c r="H5105" s="1" t="str">
        <f>IF(Table2[[#This Row],[Description]]="","",VLOOKUP(Table2[[#This Row],[Description]],$Q$1:$S$101,3,FALSE))</f>
        <v/>
      </c>
      <c r="I5105" s="1" t="str">
        <f>IF(Table2[[#This Row],[Description]]="","",IF(Table2[[#This Row],[Currency]]=$O$2,$P$2,HLOOKUP(Table2[[#This Row],[Date]],Funds!$C$10:$GV$11,2,FALSE)))</f>
        <v/>
      </c>
      <c r="J5105" s="215" t="str">
        <f>IF(Table2[[#This Row],[Description]]="","",Table2[[#This Row],[Value]]/Table2[[#This Row],[Conversion]])</f>
        <v/>
      </c>
      <c r="K5105" s="45" t="str">
        <f>IF(Table2[[#This Row],[Description]]="","",DATE(Table2[[#This Row],[Year]],Table2[[#This Row],[Month]],1))</f>
        <v/>
      </c>
    </row>
    <row r="5106" spans="7:11" x14ac:dyDescent="0.25">
      <c r="G5106" s="1" t="str">
        <f>IF(Table2[[#This Row],[Description]]="","",VLOOKUP(Table2[[#This Row],[Description]],$Q$1:$S$101,2,FALSE))</f>
        <v/>
      </c>
      <c r="H5106" s="1" t="str">
        <f>IF(Table2[[#This Row],[Description]]="","",VLOOKUP(Table2[[#This Row],[Description]],$Q$1:$S$101,3,FALSE))</f>
        <v/>
      </c>
      <c r="I5106" s="1" t="str">
        <f>IF(Table2[[#This Row],[Description]]="","",IF(Table2[[#This Row],[Currency]]=$O$2,$P$2,HLOOKUP(Table2[[#This Row],[Date]],Funds!$C$10:$GV$11,2,FALSE)))</f>
        <v/>
      </c>
      <c r="J5106" s="215" t="str">
        <f>IF(Table2[[#This Row],[Description]]="","",Table2[[#This Row],[Value]]/Table2[[#This Row],[Conversion]])</f>
        <v/>
      </c>
      <c r="K5106" s="45" t="str">
        <f>IF(Table2[[#This Row],[Description]]="","",DATE(Table2[[#This Row],[Year]],Table2[[#This Row],[Month]],1))</f>
        <v/>
      </c>
    </row>
    <row r="5107" spans="7:11" x14ac:dyDescent="0.25">
      <c r="G5107" s="1" t="str">
        <f>IF(Table2[[#This Row],[Description]]="","",VLOOKUP(Table2[[#This Row],[Description]],$Q$1:$S$101,2,FALSE))</f>
        <v/>
      </c>
      <c r="H5107" s="1" t="str">
        <f>IF(Table2[[#This Row],[Description]]="","",VLOOKUP(Table2[[#This Row],[Description]],$Q$1:$S$101,3,FALSE))</f>
        <v/>
      </c>
      <c r="I5107" s="1" t="str">
        <f>IF(Table2[[#This Row],[Description]]="","",IF(Table2[[#This Row],[Currency]]=$O$2,$P$2,HLOOKUP(Table2[[#This Row],[Date]],Funds!$C$10:$GV$11,2,FALSE)))</f>
        <v/>
      </c>
      <c r="J5107" s="215" t="str">
        <f>IF(Table2[[#This Row],[Description]]="","",Table2[[#This Row],[Value]]/Table2[[#This Row],[Conversion]])</f>
        <v/>
      </c>
      <c r="K5107" s="45" t="str">
        <f>IF(Table2[[#This Row],[Description]]="","",DATE(Table2[[#This Row],[Year]],Table2[[#This Row],[Month]],1))</f>
        <v/>
      </c>
    </row>
    <row r="5108" spans="7:11" x14ac:dyDescent="0.25">
      <c r="G5108" s="1" t="str">
        <f>IF(Table2[[#This Row],[Description]]="","",VLOOKUP(Table2[[#This Row],[Description]],$Q$1:$S$101,2,FALSE))</f>
        <v/>
      </c>
      <c r="H5108" s="1" t="str">
        <f>IF(Table2[[#This Row],[Description]]="","",VLOOKUP(Table2[[#This Row],[Description]],$Q$1:$S$101,3,FALSE))</f>
        <v/>
      </c>
      <c r="I5108" s="1" t="str">
        <f>IF(Table2[[#This Row],[Description]]="","",IF(Table2[[#This Row],[Currency]]=$O$2,$P$2,HLOOKUP(Table2[[#This Row],[Date]],Funds!$C$10:$GV$11,2,FALSE)))</f>
        <v/>
      </c>
      <c r="J5108" s="215" t="str">
        <f>IF(Table2[[#This Row],[Description]]="","",Table2[[#This Row],[Value]]/Table2[[#This Row],[Conversion]])</f>
        <v/>
      </c>
      <c r="K5108" s="45" t="str">
        <f>IF(Table2[[#This Row],[Description]]="","",DATE(Table2[[#This Row],[Year]],Table2[[#This Row],[Month]],1))</f>
        <v/>
      </c>
    </row>
    <row r="5109" spans="7:11" x14ac:dyDescent="0.25">
      <c r="G5109" s="1" t="str">
        <f>IF(Table2[[#This Row],[Description]]="","",VLOOKUP(Table2[[#This Row],[Description]],$Q$1:$S$101,2,FALSE))</f>
        <v/>
      </c>
      <c r="H5109" s="1" t="str">
        <f>IF(Table2[[#This Row],[Description]]="","",VLOOKUP(Table2[[#This Row],[Description]],$Q$1:$S$101,3,FALSE))</f>
        <v/>
      </c>
      <c r="I5109" s="1" t="str">
        <f>IF(Table2[[#This Row],[Description]]="","",IF(Table2[[#This Row],[Currency]]=$O$2,$P$2,HLOOKUP(Table2[[#This Row],[Date]],Funds!$C$10:$GV$11,2,FALSE)))</f>
        <v/>
      </c>
      <c r="J5109" s="215" t="str">
        <f>IF(Table2[[#This Row],[Description]]="","",Table2[[#This Row],[Value]]/Table2[[#This Row],[Conversion]])</f>
        <v/>
      </c>
      <c r="K5109" s="45" t="str">
        <f>IF(Table2[[#This Row],[Description]]="","",DATE(Table2[[#This Row],[Year]],Table2[[#This Row],[Month]],1))</f>
        <v/>
      </c>
    </row>
    <row r="5110" spans="7:11" x14ac:dyDescent="0.25">
      <c r="G5110" s="1" t="str">
        <f>IF(Table2[[#This Row],[Description]]="","",VLOOKUP(Table2[[#This Row],[Description]],$Q$1:$S$101,2,FALSE))</f>
        <v/>
      </c>
      <c r="H5110" s="1" t="str">
        <f>IF(Table2[[#This Row],[Description]]="","",VLOOKUP(Table2[[#This Row],[Description]],$Q$1:$S$101,3,FALSE))</f>
        <v/>
      </c>
      <c r="I5110" s="1" t="str">
        <f>IF(Table2[[#This Row],[Description]]="","",IF(Table2[[#This Row],[Currency]]=$O$2,$P$2,HLOOKUP(Table2[[#This Row],[Date]],Funds!$C$10:$GV$11,2,FALSE)))</f>
        <v/>
      </c>
      <c r="J5110" s="215" t="str">
        <f>IF(Table2[[#This Row],[Description]]="","",Table2[[#This Row],[Value]]/Table2[[#This Row],[Conversion]])</f>
        <v/>
      </c>
      <c r="K5110" s="45" t="str">
        <f>IF(Table2[[#This Row],[Description]]="","",DATE(Table2[[#This Row],[Year]],Table2[[#This Row],[Month]],1))</f>
        <v/>
      </c>
    </row>
    <row r="5111" spans="7:11" x14ac:dyDescent="0.25">
      <c r="G5111" s="1" t="str">
        <f>IF(Table2[[#This Row],[Description]]="","",VLOOKUP(Table2[[#This Row],[Description]],$Q$1:$S$101,2,FALSE))</f>
        <v/>
      </c>
      <c r="H5111" s="1" t="str">
        <f>IF(Table2[[#This Row],[Description]]="","",VLOOKUP(Table2[[#This Row],[Description]],$Q$1:$S$101,3,FALSE))</f>
        <v/>
      </c>
      <c r="I5111" s="1" t="str">
        <f>IF(Table2[[#This Row],[Description]]="","",IF(Table2[[#This Row],[Currency]]=$O$2,$P$2,HLOOKUP(Table2[[#This Row],[Date]],Funds!$C$10:$GV$11,2,FALSE)))</f>
        <v/>
      </c>
      <c r="J5111" s="215" t="str">
        <f>IF(Table2[[#This Row],[Description]]="","",Table2[[#This Row],[Value]]/Table2[[#This Row],[Conversion]])</f>
        <v/>
      </c>
      <c r="K5111" s="45" t="str">
        <f>IF(Table2[[#This Row],[Description]]="","",DATE(Table2[[#This Row],[Year]],Table2[[#This Row],[Month]],1))</f>
        <v/>
      </c>
    </row>
    <row r="5112" spans="7:11" x14ac:dyDescent="0.25">
      <c r="G5112" s="1" t="str">
        <f>IF(Table2[[#This Row],[Description]]="","",VLOOKUP(Table2[[#This Row],[Description]],$Q$1:$S$101,2,FALSE))</f>
        <v/>
      </c>
      <c r="H5112" s="1" t="str">
        <f>IF(Table2[[#This Row],[Description]]="","",VLOOKUP(Table2[[#This Row],[Description]],$Q$1:$S$101,3,FALSE))</f>
        <v/>
      </c>
      <c r="I5112" s="1" t="str">
        <f>IF(Table2[[#This Row],[Description]]="","",IF(Table2[[#This Row],[Currency]]=$O$2,$P$2,HLOOKUP(Table2[[#This Row],[Date]],Funds!$C$10:$GV$11,2,FALSE)))</f>
        <v/>
      </c>
      <c r="J5112" s="215" t="str">
        <f>IF(Table2[[#This Row],[Description]]="","",Table2[[#This Row],[Value]]/Table2[[#This Row],[Conversion]])</f>
        <v/>
      </c>
      <c r="K5112" s="45" t="str">
        <f>IF(Table2[[#This Row],[Description]]="","",DATE(Table2[[#This Row],[Year]],Table2[[#This Row],[Month]],1))</f>
        <v/>
      </c>
    </row>
    <row r="5113" spans="7:11" x14ac:dyDescent="0.25">
      <c r="G5113" s="1" t="str">
        <f>IF(Table2[[#This Row],[Description]]="","",VLOOKUP(Table2[[#This Row],[Description]],$Q$1:$S$101,2,FALSE))</f>
        <v/>
      </c>
      <c r="H5113" s="1" t="str">
        <f>IF(Table2[[#This Row],[Description]]="","",VLOOKUP(Table2[[#This Row],[Description]],$Q$1:$S$101,3,FALSE))</f>
        <v/>
      </c>
      <c r="I5113" s="1" t="str">
        <f>IF(Table2[[#This Row],[Description]]="","",IF(Table2[[#This Row],[Currency]]=$O$2,$P$2,HLOOKUP(Table2[[#This Row],[Date]],Funds!$C$10:$GV$11,2,FALSE)))</f>
        <v/>
      </c>
      <c r="J5113" s="215" t="str">
        <f>IF(Table2[[#This Row],[Description]]="","",Table2[[#This Row],[Value]]/Table2[[#This Row],[Conversion]])</f>
        <v/>
      </c>
      <c r="K5113" s="45" t="str">
        <f>IF(Table2[[#This Row],[Description]]="","",DATE(Table2[[#This Row],[Year]],Table2[[#This Row],[Month]],1))</f>
        <v/>
      </c>
    </row>
    <row r="5114" spans="7:11" x14ac:dyDescent="0.25">
      <c r="G5114" s="1" t="str">
        <f>IF(Table2[[#This Row],[Description]]="","",VLOOKUP(Table2[[#This Row],[Description]],$Q$1:$S$101,2,FALSE))</f>
        <v/>
      </c>
      <c r="H5114" s="1" t="str">
        <f>IF(Table2[[#This Row],[Description]]="","",VLOOKUP(Table2[[#This Row],[Description]],$Q$1:$S$101,3,FALSE))</f>
        <v/>
      </c>
      <c r="I5114" s="1" t="str">
        <f>IF(Table2[[#This Row],[Description]]="","",IF(Table2[[#This Row],[Currency]]=$O$2,$P$2,HLOOKUP(Table2[[#This Row],[Date]],Funds!$C$10:$GV$11,2,FALSE)))</f>
        <v/>
      </c>
      <c r="J5114" s="215" t="str">
        <f>IF(Table2[[#This Row],[Description]]="","",Table2[[#This Row],[Value]]/Table2[[#This Row],[Conversion]])</f>
        <v/>
      </c>
      <c r="K5114" s="45" t="str">
        <f>IF(Table2[[#This Row],[Description]]="","",DATE(Table2[[#This Row],[Year]],Table2[[#This Row],[Month]],1))</f>
        <v/>
      </c>
    </row>
    <row r="5115" spans="7:11" x14ac:dyDescent="0.25">
      <c r="G5115" s="1" t="str">
        <f>IF(Table2[[#This Row],[Description]]="","",VLOOKUP(Table2[[#This Row],[Description]],$Q$1:$S$101,2,FALSE))</f>
        <v/>
      </c>
      <c r="H5115" s="1" t="str">
        <f>IF(Table2[[#This Row],[Description]]="","",VLOOKUP(Table2[[#This Row],[Description]],$Q$1:$S$101,3,FALSE))</f>
        <v/>
      </c>
      <c r="I5115" s="1" t="str">
        <f>IF(Table2[[#This Row],[Description]]="","",IF(Table2[[#This Row],[Currency]]=$O$2,$P$2,HLOOKUP(Table2[[#This Row],[Date]],Funds!$C$10:$GV$11,2,FALSE)))</f>
        <v/>
      </c>
      <c r="J5115" s="215" t="str">
        <f>IF(Table2[[#This Row],[Description]]="","",Table2[[#This Row],[Value]]/Table2[[#This Row],[Conversion]])</f>
        <v/>
      </c>
      <c r="K5115" s="45" t="str">
        <f>IF(Table2[[#This Row],[Description]]="","",DATE(Table2[[#This Row],[Year]],Table2[[#This Row],[Month]],1))</f>
        <v/>
      </c>
    </row>
    <row r="5116" spans="7:11" x14ac:dyDescent="0.25">
      <c r="G5116" s="1" t="str">
        <f>IF(Table2[[#This Row],[Description]]="","",VLOOKUP(Table2[[#This Row],[Description]],$Q$1:$S$101,2,FALSE))</f>
        <v/>
      </c>
      <c r="H5116" s="1" t="str">
        <f>IF(Table2[[#This Row],[Description]]="","",VLOOKUP(Table2[[#This Row],[Description]],$Q$1:$S$101,3,FALSE))</f>
        <v/>
      </c>
      <c r="I5116" s="1" t="str">
        <f>IF(Table2[[#This Row],[Description]]="","",IF(Table2[[#This Row],[Currency]]=$O$2,$P$2,HLOOKUP(Table2[[#This Row],[Date]],Funds!$C$10:$GV$11,2,FALSE)))</f>
        <v/>
      </c>
      <c r="J5116" s="215" t="str">
        <f>IF(Table2[[#This Row],[Description]]="","",Table2[[#This Row],[Value]]/Table2[[#This Row],[Conversion]])</f>
        <v/>
      </c>
      <c r="K5116" s="45" t="str">
        <f>IF(Table2[[#This Row],[Description]]="","",DATE(Table2[[#This Row],[Year]],Table2[[#This Row],[Month]],1))</f>
        <v/>
      </c>
    </row>
    <row r="5117" spans="7:11" x14ac:dyDescent="0.25">
      <c r="G5117" s="1" t="str">
        <f>IF(Table2[[#This Row],[Description]]="","",VLOOKUP(Table2[[#This Row],[Description]],$Q$1:$S$101,2,FALSE))</f>
        <v/>
      </c>
      <c r="H5117" s="1" t="str">
        <f>IF(Table2[[#This Row],[Description]]="","",VLOOKUP(Table2[[#This Row],[Description]],$Q$1:$S$101,3,FALSE))</f>
        <v/>
      </c>
      <c r="I5117" s="1" t="str">
        <f>IF(Table2[[#This Row],[Description]]="","",IF(Table2[[#This Row],[Currency]]=$O$2,$P$2,HLOOKUP(Table2[[#This Row],[Date]],Funds!$C$10:$GV$11,2,FALSE)))</f>
        <v/>
      </c>
      <c r="J5117" s="215" t="str">
        <f>IF(Table2[[#This Row],[Description]]="","",Table2[[#This Row],[Value]]/Table2[[#This Row],[Conversion]])</f>
        <v/>
      </c>
      <c r="K5117" s="45" t="str">
        <f>IF(Table2[[#This Row],[Description]]="","",DATE(Table2[[#This Row],[Year]],Table2[[#This Row],[Month]],1))</f>
        <v/>
      </c>
    </row>
    <row r="5118" spans="7:11" x14ac:dyDescent="0.25">
      <c r="G5118" s="1" t="str">
        <f>IF(Table2[[#This Row],[Description]]="","",VLOOKUP(Table2[[#This Row],[Description]],$Q$1:$S$101,2,FALSE))</f>
        <v/>
      </c>
      <c r="H5118" s="1" t="str">
        <f>IF(Table2[[#This Row],[Description]]="","",VLOOKUP(Table2[[#This Row],[Description]],$Q$1:$S$101,3,FALSE))</f>
        <v/>
      </c>
      <c r="I5118" s="1" t="str">
        <f>IF(Table2[[#This Row],[Description]]="","",IF(Table2[[#This Row],[Currency]]=$O$2,$P$2,HLOOKUP(Table2[[#This Row],[Date]],Funds!$C$10:$GV$11,2,FALSE)))</f>
        <v/>
      </c>
      <c r="J5118" s="215" t="str">
        <f>IF(Table2[[#This Row],[Description]]="","",Table2[[#This Row],[Value]]/Table2[[#This Row],[Conversion]])</f>
        <v/>
      </c>
      <c r="K5118" s="45" t="str">
        <f>IF(Table2[[#This Row],[Description]]="","",DATE(Table2[[#This Row],[Year]],Table2[[#This Row],[Month]],1))</f>
        <v/>
      </c>
    </row>
    <row r="5119" spans="7:11" x14ac:dyDescent="0.25">
      <c r="G5119" s="1" t="str">
        <f>IF(Table2[[#This Row],[Description]]="","",VLOOKUP(Table2[[#This Row],[Description]],$Q$1:$S$101,2,FALSE))</f>
        <v/>
      </c>
      <c r="H5119" s="1" t="str">
        <f>IF(Table2[[#This Row],[Description]]="","",VLOOKUP(Table2[[#This Row],[Description]],$Q$1:$S$101,3,FALSE))</f>
        <v/>
      </c>
      <c r="I5119" s="1" t="str">
        <f>IF(Table2[[#This Row],[Description]]="","",IF(Table2[[#This Row],[Currency]]=$O$2,$P$2,HLOOKUP(Table2[[#This Row],[Date]],Funds!$C$10:$GV$11,2,FALSE)))</f>
        <v/>
      </c>
      <c r="J5119" s="215" t="str">
        <f>IF(Table2[[#This Row],[Description]]="","",Table2[[#This Row],[Value]]/Table2[[#This Row],[Conversion]])</f>
        <v/>
      </c>
      <c r="K5119" s="45" t="str">
        <f>IF(Table2[[#This Row],[Description]]="","",DATE(Table2[[#This Row],[Year]],Table2[[#This Row],[Month]],1))</f>
        <v/>
      </c>
    </row>
    <row r="5120" spans="7:11" x14ac:dyDescent="0.25">
      <c r="G5120" s="1" t="str">
        <f>IF(Table2[[#This Row],[Description]]="","",VLOOKUP(Table2[[#This Row],[Description]],$Q$1:$S$101,2,FALSE))</f>
        <v/>
      </c>
      <c r="H5120" s="1" t="str">
        <f>IF(Table2[[#This Row],[Description]]="","",VLOOKUP(Table2[[#This Row],[Description]],$Q$1:$S$101,3,FALSE))</f>
        <v/>
      </c>
      <c r="I5120" s="1" t="str">
        <f>IF(Table2[[#This Row],[Description]]="","",IF(Table2[[#This Row],[Currency]]=$O$2,$P$2,HLOOKUP(Table2[[#This Row],[Date]],Funds!$C$10:$GV$11,2,FALSE)))</f>
        <v/>
      </c>
      <c r="J5120" s="215" t="str">
        <f>IF(Table2[[#This Row],[Description]]="","",Table2[[#This Row],[Value]]/Table2[[#This Row],[Conversion]])</f>
        <v/>
      </c>
      <c r="K5120" s="45" t="str">
        <f>IF(Table2[[#This Row],[Description]]="","",DATE(Table2[[#This Row],[Year]],Table2[[#This Row],[Month]],1))</f>
        <v/>
      </c>
    </row>
    <row r="5121" spans="7:11" x14ac:dyDescent="0.25">
      <c r="G5121" s="1" t="str">
        <f>IF(Table2[[#This Row],[Description]]="","",VLOOKUP(Table2[[#This Row],[Description]],$Q$1:$S$101,2,FALSE))</f>
        <v/>
      </c>
      <c r="H5121" s="1" t="str">
        <f>IF(Table2[[#This Row],[Description]]="","",VLOOKUP(Table2[[#This Row],[Description]],$Q$1:$S$101,3,FALSE))</f>
        <v/>
      </c>
      <c r="I5121" s="1" t="str">
        <f>IF(Table2[[#This Row],[Description]]="","",IF(Table2[[#This Row],[Currency]]=$O$2,$P$2,HLOOKUP(Table2[[#This Row],[Date]],Funds!$C$10:$GV$11,2,FALSE)))</f>
        <v/>
      </c>
      <c r="J5121" s="215" t="str">
        <f>IF(Table2[[#This Row],[Description]]="","",Table2[[#This Row],[Value]]/Table2[[#This Row],[Conversion]])</f>
        <v/>
      </c>
      <c r="K5121" s="45" t="str">
        <f>IF(Table2[[#This Row],[Description]]="","",DATE(Table2[[#This Row],[Year]],Table2[[#This Row],[Month]],1))</f>
        <v/>
      </c>
    </row>
    <row r="5122" spans="7:11" x14ac:dyDescent="0.25">
      <c r="G5122" s="1" t="str">
        <f>IF(Table2[[#This Row],[Description]]="","",VLOOKUP(Table2[[#This Row],[Description]],$Q$1:$S$101,2,FALSE))</f>
        <v/>
      </c>
      <c r="H5122" s="1" t="str">
        <f>IF(Table2[[#This Row],[Description]]="","",VLOOKUP(Table2[[#This Row],[Description]],$Q$1:$S$101,3,FALSE))</f>
        <v/>
      </c>
      <c r="I5122" s="1" t="str">
        <f>IF(Table2[[#This Row],[Description]]="","",IF(Table2[[#This Row],[Currency]]=$O$2,$P$2,HLOOKUP(Table2[[#This Row],[Date]],Funds!$C$10:$GV$11,2,FALSE)))</f>
        <v/>
      </c>
      <c r="J5122" s="215" t="str">
        <f>IF(Table2[[#This Row],[Description]]="","",Table2[[#This Row],[Value]]/Table2[[#This Row],[Conversion]])</f>
        <v/>
      </c>
      <c r="K5122" s="45" t="str">
        <f>IF(Table2[[#This Row],[Description]]="","",DATE(Table2[[#This Row],[Year]],Table2[[#This Row],[Month]],1))</f>
        <v/>
      </c>
    </row>
    <row r="5123" spans="7:11" x14ac:dyDescent="0.25">
      <c r="G5123" s="1" t="str">
        <f>IF(Table2[[#This Row],[Description]]="","",VLOOKUP(Table2[[#This Row],[Description]],$Q$1:$S$101,2,FALSE))</f>
        <v/>
      </c>
      <c r="H5123" s="1" t="str">
        <f>IF(Table2[[#This Row],[Description]]="","",VLOOKUP(Table2[[#This Row],[Description]],$Q$1:$S$101,3,FALSE))</f>
        <v/>
      </c>
      <c r="I5123" s="1" t="str">
        <f>IF(Table2[[#This Row],[Description]]="","",IF(Table2[[#This Row],[Currency]]=$O$2,$P$2,HLOOKUP(Table2[[#This Row],[Date]],Funds!$C$10:$GV$11,2,FALSE)))</f>
        <v/>
      </c>
      <c r="J5123" s="215" t="str">
        <f>IF(Table2[[#This Row],[Description]]="","",Table2[[#This Row],[Value]]/Table2[[#This Row],[Conversion]])</f>
        <v/>
      </c>
      <c r="K5123" s="45" t="str">
        <f>IF(Table2[[#This Row],[Description]]="","",DATE(Table2[[#This Row],[Year]],Table2[[#This Row],[Month]],1))</f>
        <v/>
      </c>
    </row>
    <row r="5124" spans="7:11" x14ac:dyDescent="0.25">
      <c r="G5124" s="1" t="str">
        <f>IF(Table2[[#This Row],[Description]]="","",VLOOKUP(Table2[[#This Row],[Description]],$Q$1:$S$101,2,FALSE))</f>
        <v/>
      </c>
      <c r="H5124" s="1" t="str">
        <f>IF(Table2[[#This Row],[Description]]="","",VLOOKUP(Table2[[#This Row],[Description]],$Q$1:$S$101,3,FALSE))</f>
        <v/>
      </c>
      <c r="I5124" s="1" t="str">
        <f>IF(Table2[[#This Row],[Description]]="","",IF(Table2[[#This Row],[Currency]]=$O$2,$P$2,HLOOKUP(Table2[[#This Row],[Date]],Funds!$C$10:$GV$11,2,FALSE)))</f>
        <v/>
      </c>
      <c r="J5124" s="215" t="str">
        <f>IF(Table2[[#This Row],[Description]]="","",Table2[[#This Row],[Value]]/Table2[[#This Row],[Conversion]])</f>
        <v/>
      </c>
      <c r="K5124" s="45" t="str">
        <f>IF(Table2[[#This Row],[Description]]="","",DATE(Table2[[#This Row],[Year]],Table2[[#This Row],[Month]],1))</f>
        <v/>
      </c>
    </row>
    <row r="5125" spans="7:11" x14ac:dyDescent="0.25">
      <c r="G5125" s="1" t="str">
        <f>IF(Table2[[#This Row],[Description]]="","",VLOOKUP(Table2[[#This Row],[Description]],$Q$1:$S$101,2,FALSE))</f>
        <v/>
      </c>
      <c r="H5125" s="1" t="str">
        <f>IF(Table2[[#This Row],[Description]]="","",VLOOKUP(Table2[[#This Row],[Description]],$Q$1:$S$101,3,FALSE))</f>
        <v/>
      </c>
      <c r="I5125" s="1" t="str">
        <f>IF(Table2[[#This Row],[Description]]="","",IF(Table2[[#This Row],[Currency]]=$O$2,$P$2,HLOOKUP(Table2[[#This Row],[Date]],Funds!$C$10:$GV$11,2,FALSE)))</f>
        <v/>
      </c>
      <c r="J5125" s="215" t="str">
        <f>IF(Table2[[#This Row],[Description]]="","",Table2[[#This Row],[Value]]/Table2[[#This Row],[Conversion]])</f>
        <v/>
      </c>
      <c r="K5125" s="45" t="str">
        <f>IF(Table2[[#This Row],[Description]]="","",DATE(Table2[[#This Row],[Year]],Table2[[#This Row],[Month]],1))</f>
        <v/>
      </c>
    </row>
    <row r="5126" spans="7:11" x14ac:dyDescent="0.25">
      <c r="G5126" s="1" t="str">
        <f>IF(Table2[[#This Row],[Description]]="","",VLOOKUP(Table2[[#This Row],[Description]],$Q$1:$S$101,2,FALSE))</f>
        <v/>
      </c>
      <c r="H5126" s="1" t="str">
        <f>IF(Table2[[#This Row],[Description]]="","",VLOOKUP(Table2[[#This Row],[Description]],$Q$1:$S$101,3,FALSE))</f>
        <v/>
      </c>
      <c r="I5126" s="1" t="str">
        <f>IF(Table2[[#This Row],[Description]]="","",IF(Table2[[#This Row],[Currency]]=$O$2,$P$2,HLOOKUP(Table2[[#This Row],[Date]],Funds!$C$10:$GV$11,2,FALSE)))</f>
        <v/>
      </c>
      <c r="J5126" s="215" t="str">
        <f>IF(Table2[[#This Row],[Description]]="","",Table2[[#This Row],[Value]]/Table2[[#This Row],[Conversion]])</f>
        <v/>
      </c>
      <c r="K5126" s="45" t="str">
        <f>IF(Table2[[#This Row],[Description]]="","",DATE(Table2[[#This Row],[Year]],Table2[[#This Row],[Month]],1))</f>
        <v/>
      </c>
    </row>
    <row r="5127" spans="7:11" x14ac:dyDescent="0.25">
      <c r="G5127" s="1" t="str">
        <f>IF(Table2[[#This Row],[Description]]="","",VLOOKUP(Table2[[#This Row],[Description]],$Q$1:$S$101,2,FALSE))</f>
        <v/>
      </c>
      <c r="H5127" s="1" t="str">
        <f>IF(Table2[[#This Row],[Description]]="","",VLOOKUP(Table2[[#This Row],[Description]],$Q$1:$S$101,3,FALSE))</f>
        <v/>
      </c>
      <c r="I5127" s="1" t="str">
        <f>IF(Table2[[#This Row],[Description]]="","",IF(Table2[[#This Row],[Currency]]=$O$2,$P$2,HLOOKUP(Table2[[#This Row],[Date]],Funds!$C$10:$GV$11,2,FALSE)))</f>
        <v/>
      </c>
      <c r="J5127" s="215" t="str">
        <f>IF(Table2[[#This Row],[Description]]="","",Table2[[#This Row],[Value]]/Table2[[#This Row],[Conversion]])</f>
        <v/>
      </c>
      <c r="K5127" s="45" t="str">
        <f>IF(Table2[[#This Row],[Description]]="","",DATE(Table2[[#This Row],[Year]],Table2[[#This Row],[Month]],1))</f>
        <v/>
      </c>
    </row>
    <row r="5128" spans="7:11" x14ac:dyDescent="0.25">
      <c r="G5128" s="1" t="str">
        <f>IF(Table2[[#This Row],[Description]]="","",VLOOKUP(Table2[[#This Row],[Description]],$Q$1:$S$101,2,FALSE))</f>
        <v/>
      </c>
      <c r="H5128" s="1" t="str">
        <f>IF(Table2[[#This Row],[Description]]="","",VLOOKUP(Table2[[#This Row],[Description]],$Q$1:$S$101,3,FALSE))</f>
        <v/>
      </c>
      <c r="I5128" s="1" t="str">
        <f>IF(Table2[[#This Row],[Description]]="","",IF(Table2[[#This Row],[Currency]]=$O$2,$P$2,HLOOKUP(Table2[[#This Row],[Date]],Funds!$C$10:$GV$11,2,FALSE)))</f>
        <v/>
      </c>
      <c r="J5128" s="215" t="str">
        <f>IF(Table2[[#This Row],[Description]]="","",Table2[[#This Row],[Value]]/Table2[[#This Row],[Conversion]])</f>
        <v/>
      </c>
      <c r="K5128" s="45" t="str">
        <f>IF(Table2[[#This Row],[Description]]="","",DATE(Table2[[#This Row],[Year]],Table2[[#This Row],[Month]],1))</f>
        <v/>
      </c>
    </row>
    <row r="5129" spans="7:11" x14ac:dyDescent="0.25">
      <c r="G5129" s="1" t="str">
        <f>IF(Table2[[#This Row],[Description]]="","",VLOOKUP(Table2[[#This Row],[Description]],$Q$1:$S$101,2,FALSE))</f>
        <v/>
      </c>
      <c r="H5129" s="1" t="str">
        <f>IF(Table2[[#This Row],[Description]]="","",VLOOKUP(Table2[[#This Row],[Description]],$Q$1:$S$101,3,FALSE))</f>
        <v/>
      </c>
      <c r="I5129" s="1" t="str">
        <f>IF(Table2[[#This Row],[Description]]="","",IF(Table2[[#This Row],[Currency]]=$O$2,$P$2,HLOOKUP(Table2[[#This Row],[Date]],Funds!$C$10:$GV$11,2,FALSE)))</f>
        <v/>
      </c>
      <c r="J5129" s="215" t="str">
        <f>IF(Table2[[#This Row],[Description]]="","",Table2[[#This Row],[Value]]/Table2[[#This Row],[Conversion]])</f>
        <v/>
      </c>
      <c r="K5129" s="45" t="str">
        <f>IF(Table2[[#This Row],[Description]]="","",DATE(Table2[[#This Row],[Year]],Table2[[#This Row],[Month]],1))</f>
        <v/>
      </c>
    </row>
    <row r="5130" spans="7:11" x14ac:dyDescent="0.25">
      <c r="G5130" s="1" t="str">
        <f>IF(Table2[[#This Row],[Description]]="","",VLOOKUP(Table2[[#This Row],[Description]],$Q$1:$S$101,2,FALSE))</f>
        <v/>
      </c>
      <c r="H5130" s="1" t="str">
        <f>IF(Table2[[#This Row],[Description]]="","",VLOOKUP(Table2[[#This Row],[Description]],$Q$1:$S$101,3,FALSE))</f>
        <v/>
      </c>
      <c r="I5130" s="1" t="str">
        <f>IF(Table2[[#This Row],[Description]]="","",IF(Table2[[#This Row],[Currency]]=$O$2,$P$2,HLOOKUP(Table2[[#This Row],[Date]],Funds!$C$10:$GV$11,2,FALSE)))</f>
        <v/>
      </c>
      <c r="J5130" s="215" t="str">
        <f>IF(Table2[[#This Row],[Description]]="","",Table2[[#This Row],[Value]]/Table2[[#This Row],[Conversion]])</f>
        <v/>
      </c>
      <c r="K5130" s="45" t="str">
        <f>IF(Table2[[#This Row],[Description]]="","",DATE(Table2[[#This Row],[Year]],Table2[[#This Row],[Month]],1))</f>
        <v/>
      </c>
    </row>
    <row r="5131" spans="7:11" x14ac:dyDescent="0.25">
      <c r="G5131" s="1" t="str">
        <f>IF(Table2[[#This Row],[Description]]="","",VLOOKUP(Table2[[#This Row],[Description]],$Q$1:$S$101,2,FALSE))</f>
        <v/>
      </c>
      <c r="H5131" s="1" t="str">
        <f>IF(Table2[[#This Row],[Description]]="","",VLOOKUP(Table2[[#This Row],[Description]],$Q$1:$S$101,3,FALSE))</f>
        <v/>
      </c>
      <c r="I5131" s="1" t="str">
        <f>IF(Table2[[#This Row],[Description]]="","",IF(Table2[[#This Row],[Currency]]=$O$2,$P$2,HLOOKUP(Table2[[#This Row],[Date]],Funds!$C$10:$GV$11,2,FALSE)))</f>
        <v/>
      </c>
      <c r="J5131" s="215" t="str">
        <f>IF(Table2[[#This Row],[Description]]="","",Table2[[#This Row],[Value]]/Table2[[#This Row],[Conversion]])</f>
        <v/>
      </c>
      <c r="K5131" s="45" t="str">
        <f>IF(Table2[[#This Row],[Description]]="","",DATE(Table2[[#This Row],[Year]],Table2[[#This Row],[Month]],1))</f>
        <v/>
      </c>
    </row>
    <row r="5132" spans="7:11" x14ac:dyDescent="0.25">
      <c r="G5132" s="1" t="str">
        <f>IF(Table2[[#This Row],[Description]]="","",VLOOKUP(Table2[[#This Row],[Description]],$Q$1:$S$101,2,FALSE))</f>
        <v/>
      </c>
      <c r="H5132" s="1" t="str">
        <f>IF(Table2[[#This Row],[Description]]="","",VLOOKUP(Table2[[#This Row],[Description]],$Q$1:$S$101,3,FALSE))</f>
        <v/>
      </c>
      <c r="I5132" s="1" t="str">
        <f>IF(Table2[[#This Row],[Description]]="","",IF(Table2[[#This Row],[Currency]]=$O$2,$P$2,HLOOKUP(Table2[[#This Row],[Date]],Funds!$C$10:$GV$11,2,FALSE)))</f>
        <v/>
      </c>
      <c r="J5132" s="215" t="str">
        <f>IF(Table2[[#This Row],[Description]]="","",Table2[[#This Row],[Value]]/Table2[[#This Row],[Conversion]])</f>
        <v/>
      </c>
      <c r="K5132" s="45" t="str">
        <f>IF(Table2[[#This Row],[Description]]="","",DATE(Table2[[#This Row],[Year]],Table2[[#This Row],[Month]],1))</f>
        <v/>
      </c>
    </row>
    <row r="5133" spans="7:11" x14ac:dyDescent="0.25">
      <c r="G5133" s="1" t="str">
        <f>IF(Table2[[#This Row],[Description]]="","",VLOOKUP(Table2[[#This Row],[Description]],$Q$1:$S$101,2,FALSE))</f>
        <v/>
      </c>
      <c r="H5133" s="1" t="str">
        <f>IF(Table2[[#This Row],[Description]]="","",VLOOKUP(Table2[[#This Row],[Description]],$Q$1:$S$101,3,FALSE))</f>
        <v/>
      </c>
      <c r="I5133" s="1" t="str">
        <f>IF(Table2[[#This Row],[Description]]="","",IF(Table2[[#This Row],[Currency]]=$O$2,$P$2,HLOOKUP(Table2[[#This Row],[Date]],Funds!$C$10:$GV$11,2,FALSE)))</f>
        <v/>
      </c>
      <c r="J5133" s="215" t="str">
        <f>IF(Table2[[#This Row],[Description]]="","",Table2[[#This Row],[Value]]/Table2[[#This Row],[Conversion]])</f>
        <v/>
      </c>
      <c r="K5133" s="45" t="str">
        <f>IF(Table2[[#This Row],[Description]]="","",DATE(Table2[[#This Row],[Year]],Table2[[#This Row],[Month]],1))</f>
        <v/>
      </c>
    </row>
    <row r="5134" spans="7:11" x14ac:dyDescent="0.25">
      <c r="G5134" s="1" t="str">
        <f>IF(Table2[[#This Row],[Description]]="","",VLOOKUP(Table2[[#This Row],[Description]],$Q$1:$S$101,2,FALSE))</f>
        <v/>
      </c>
      <c r="H5134" s="1" t="str">
        <f>IF(Table2[[#This Row],[Description]]="","",VLOOKUP(Table2[[#This Row],[Description]],$Q$1:$S$101,3,FALSE))</f>
        <v/>
      </c>
      <c r="I5134" s="1" t="str">
        <f>IF(Table2[[#This Row],[Description]]="","",IF(Table2[[#This Row],[Currency]]=$O$2,$P$2,HLOOKUP(Table2[[#This Row],[Date]],Funds!$C$10:$GV$11,2,FALSE)))</f>
        <v/>
      </c>
      <c r="J5134" s="215" t="str">
        <f>IF(Table2[[#This Row],[Description]]="","",Table2[[#This Row],[Value]]/Table2[[#This Row],[Conversion]])</f>
        <v/>
      </c>
      <c r="K5134" s="45" t="str">
        <f>IF(Table2[[#This Row],[Description]]="","",DATE(Table2[[#This Row],[Year]],Table2[[#This Row],[Month]],1))</f>
        <v/>
      </c>
    </row>
    <row r="5135" spans="7:11" x14ac:dyDescent="0.25">
      <c r="G5135" s="1" t="str">
        <f>IF(Table2[[#This Row],[Description]]="","",VLOOKUP(Table2[[#This Row],[Description]],$Q$1:$S$101,2,FALSE))</f>
        <v/>
      </c>
      <c r="H5135" s="1" t="str">
        <f>IF(Table2[[#This Row],[Description]]="","",VLOOKUP(Table2[[#This Row],[Description]],$Q$1:$S$101,3,FALSE))</f>
        <v/>
      </c>
      <c r="I5135" s="1" t="str">
        <f>IF(Table2[[#This Row],[Description]]="","",IF(Table2[[#This Row],[Currency]]=$O$2,$P$2,HLOOKUP(Table2[[#This Row],[Date]],Funds!$C$10:$GV$11,2,FALSE)))</f>
        <v/>
      </c>
      <c r="J5135" s="215" t="str">
        <f>IF(Table2[[#This Row],[Description]]="","",Table2[[#This Row],[Value]]/Table2[[#This Row],[Conversion]])</f>
        <v/>
      </c>
      <c r="K5135" s="45" t="str">
        <f>IF(Table2[[#This Row],[Description]]="","",DATE(Table2[[#This Row],[Year]],Table2[[#This Row],[Month]],1))</f>
        <v/>
      </c>
    </row>
    <row r="5136" spans="7:11" x14ac:dyDescent="0.25">
      <c r="G5136" s="1" t="str">
        <f>IF(Table2[[#This Row],[Description]]="","",VLOOKUP(Table2[[#This Row],[Description]],$Q$1:$S$101,2,FALSE))</f>
        <v/>
      </c>
      <c r="H5136" s="1" t="str">
        <f>IF(Table2[[#This Row],[Description]]="","",VLOOKUP(Table2[[#This Row],[Description]],$Q$1:$S$101,3,FALSE))</f>
        <v/>
      </c>
      <c r="I5136" s="1" t="str">
        <f>IF(Table2[[#This Row],[Description]]="","",IF(Table2[[#This Row],[Currency]]=$O$2,$P$2,HLOOKUP(Table2[[#This Row],[Date]],Funds!$C$10:$GV$11,2,FALSE)))</f>
        <v/>
      </c>
      <c r="J5136" s="215" t="str">
        <f>IF(Table2[[#This Row],[Description]]="","",Table2[[#This Row],[Value]]/Table2[[#This Row],[Conversion]])</f>
        <v/>
      </c>
      <c r="K5136" s="45" t="str">
        <f>IF(Table2[[#This Row],[Description]]="","",DATE(Table2[[#This Row],[Year]],Table2[[#This Row],[Month]],1))</f>
        <v/>
      </c>
    </row>
    <row r="5137" spans="7:11" x14ac:dyDescent="0.25">
      <c r="G5137" s="1" t="str">
        <f>IF(Table2[[#This Row],[Description]]="","",VLOOKUP(Table2[[#This Row],[Description]],$Q$1:$S$101,2,FALSE))</f>
        <v/>
      </c>
      <c r="H5137" s="1" t="str">
        <f>IF(Table2[[#This Row],[Description]]="","",VLOOKUP(Table2[[#This Row],[Description]],$Q$1:$S$101,3,FALSE))</f>
        <v/>
      </c>
      <c r="I5137" s="1" t="str">
        <f>IF(Table2[[#This Row],[Description]]="","",IF(Table2[[#This Row],[Currency]]=$O$2,$P$2,HLOOKUP(Table2[[#This Row],[Date]],Funds!$C$10:$GV$11,2,FALSE)))</f>
        <v/>
      </c>
      <c r="J5137" s="215" t="str">
        <f>IF(Table2[[#This Row],[Description]]="","",Table2[[#This Row],[Value]]/Table2[[#This Row],[Conversion]])</f>
        <v/>
      </c>
      <c r="K5137" s="45" t="str">
        <f>IF(Table2[[#This Row],[Description]]="","",DATE(Table2[[#This Row],[Year]],Table2[[#This Row],[Month]],1))</f>
        <v/>
      </c>
    </row>
    <row r="5138" spans="7:11" x14ac:dyDescent="0.25">
      <c r="G5138" s="1" t="str">
        <f>IF(Table2[[#This Row],[Description]]="","",VLOOKUP(Table2[[#This Row],[Description]],$Q$1:$S$101,2,FALSE))</f>
        <v/>
      </c>
      <c r="H5138" s="1" t="str">
        <f>IF(Table2[[#This Row],[Description]]="","",VLOOKUP(Table2[[#This Row],[Description]],$Q$1:$S$101,3,FALSE))</f>
        <v/>
      </c>
      <c r="I5138" s="1" t="str">
        <f>IF(Table2[[#This Row],[Description]]="","",IF(Table2[[#This Row],[Currency]]=$O$2,$P$2,HLOOKUP(Table2[[#This Row],[Date]],Funds!$C$10:$GV$11,2,FALSE)))</f>
        <v/>
      </c>
      <c r="J5138" s="215" t="str">
        <f>IF(Table2[[#This Row],[Description]]="","",Table2[[#This Row],[Value]]/Table2[[#This Row],[Conversion]])</f>
        <v/>
      </c>
      <c r="K5138" s="45" t="str">
        <f>IF(Table2[[#This Row],[Description]]="","",DATE(Table2[[#This Row],[Year]],Table2[[#This Row],[Month]],1))</f>
        <v/>
      </c>
    </row>
    <row r="5139" spans="7:11" x14ac:dyDescent="0.25">
      <c r="G5139" s="1" t="str">
        <f>IF(Table2[[#This Row],[Description]]="","",VLOOKUP(Table2[[#This Row],[Description]],$Q$1:$S$101,2,FALSE))</f>
        <v/>
      </c>
      <c r="H5139" s="1" t="str">
        <f>IF(Table2[[#This Row],[Description]]="","",VLOOKUP(Table2[[#This Row],[Description]],$Q$1:$S$101,3,FALSE))</f>
        <v/>
      </c>
      <c r="I5139" s="1" t="str">
        <f>IF(Table2[[#This Row],[Description]]="","",IF(Table2[[#This Row],[Currency]]=$O$2,$P$2,HLOOKUP(Table2[[#This Row],[Date]],Funds!$C$10:$GV$11,2,FALSE)))</f>
        <v/>
      </c>
      <c r="J5139" s="215" t="str">
        <f>IF(Table2[[#This Row],[Description]]="","",Table2[[#This Row],[Value]]/Table2[[#This Row],[Conversion]])</f>
        <v/>
      </c>
      <c r="K5139" s="45" t="str">
        <f>IF(Table2[[#This Row],[Description]]="","",DATE(Table2[[#This Row],[Year]],Table2[[#This Row],[Month]],1))</f>
        <v/>
      </c>
    </row>
    <row r="5140" spans="7:11" x14ac:dyDescent="0.25">
      <c r="G5140" s="1" t="str">
        <f>IF(Table2[[#This Row],[Description]]="","",VLOOKUP(Table2[[#This Row],[Description]],$Q$1:$S$101,2,FALSE))</f>
        <v/>
      </c>
      <c r="H5140" s="1" t="str">
        <f>IF(Table2[[#This Row],[Description]]="","",VLOOKUP(Table2[[#This Row],[Description]],$Q$1:$S$101,3,FALSE))</f>
        <v/>
      </c>
      <c r="I5140" s="1" t="str">
        <f>IF(Table2[[#This Row],[Description]]="","",IF(Table2[[#This Row],[Currency]]=$O$2,$P$2,HLOOKUP(Table2[[#This Row],[Date]],Funds!$C$10:$GV$11,2,FALSE)))</f>
        <v/>
      </c>
      <c r="J5140" s="215" t="str">
        <f>IF(Table2[[#This Row],[Description]]="","",Table2[[#This Row],[Value]]/Table2[[#This Row],[Conversion]])</f>
        <v/>
      </c>
      <c r="K5140" s="45" t="str">
        <f>IF(Table2[[#This Row],[Description]]="","",DATE(Table2[[#This Row],[Year]],Table2[[#This Row],[Month]],1))</f>
        <v/>
      </c>
    </row>
    <row r="5141" spans="7:11" x14ac:dyDescent="0.25">
      <c r="G5141" s="1" t="str">
        <f>IF(Table2[[#This Row],[Description]]="","",VLOOKUP(Table2[[#This Row],[Description]],$Q$1:$S$101,2,FALSE))</f>
        <v/>
      </c>
      <c r="H5141" s="1" t="str">
        <f>IF(Table2[[#This Row],[Description]]="","",VLOOKUP(Table2[[#This Row],[Description]],$Q$1:$S$101,3,FALSE))</f>
        <v/>
      </c>
      <c r="I5141" s="1" t="str">
        <f>IF(Table2[[#This Row],[Description]]="","",IF(Table2[[#This Row],[Currency]]=$O$2,$P$2,HLOOKUP(Table2[[#This Row],[Date]],Funds!$C$10:$GV$11,2,FALSE)))</f>
        <v/>
      </c>
      <c r="J5141" s="215" t="str">
        <f>IF(Table2[[#This Row],[Description]]="","",Table2[[#This Row],[Value]]/Table2[[#This Row],[Conversion]])</f>
        <v/>
      </c>
      <c r="K5141" s="45" t="str">
        <f>IF(Table2[[#This Row],[Description]]="","",DATE(Table2[[#This Row],[Year]],Table2[[#This Row],[Month]],1))</f>
        <v/>
      </c>
    </row>
    <row r="5142" spans="7:11" x14ac:dyDescent="0.25">
      <c r="G5142" s="1" t="str">
        <f>IF(Table2[[#This Row],[Description]]="","",VLOOKUP(Table2[[#This Row],[Description]],$Q$1:$S$101,2,FALSE))</f>
        <v/>
      </c>
      <c r="H5142" s="1" t="str">
        <f>IF(Table2[[#This Row],[Description]]="","",VLOOKUP(Table2[[#This Row],[Description]],$Q$1:$S$101,3,FALSE))</f>
        <v/>
      </c>
      <c r="I5142" s="1" t="str">
        <f>IF(Table2[[#This Row],[Description]]="","",IF(Table2[[#This Row],[Currency]]=$O$2,$P$2,HLOOKUP(Table2[[#This Row],[Date]],Funds!$C$10:$GV$11,2,FALSE)))</f>
        <v/>
      </c>
      <c r="J5142" s="215" t="str">
        <f>IF(Table2[[#This Row],[Description]]="","",Table2[[#This Row],[Value]]/Table2[[#This Row],[Conversion]])</f>
        <v/>
      </c>
      <c r="K5142" s="45" t="str">
        <f>IF(Table2[[#This Row],[Description]]="","",DATE(Table2[[#This Row],[Year]],Table2[[#This Row],[Month]],1))</f>
        <v/>
      </c>
    </row>
    <row r="5143" spans="7:11" x14ac:dyDescent="0.25">
      <c r="G5143" s="1" t="str">
        <f>IF(Table2[[#This Row],[Description]]="","",VLOOKUP(Table2[[#This Row],[Description]],$Q$1:$S$101,2,FALSE))</f>
        <v/>
      </c>
      <c r="H5143" s="1" t="str">
        <f>IF(Table2[[#This Row],[Description]]="","",VLOOKUP(Table2[[#This Row],[Description]],$Q$1:$S$101,3,FALSE))</f>
        <v/>
      </c>
      <c r="I5143" s="1" t="str">
        <f>IF(Table2[[#This Row],[Description]]="","",IF(Table2[[#This Row],[Currency]]=$O$2,$P$2,HLOOKUP(Table2[[#This Row],[Date]],Funds!$C$10:$GV$11,2,FALSE)))</f>
        <v/>
      </c>
      <c r="J5143" s="215" t="str">
        <f>IF(Table2[[#This Row],[Description]]="","",Table2[[#This Row],[Value]]/Table2[[#This Row],[Conversion]])</f>
        <v/>
      </c>
      <c r="K5143" s="45" t="str">
        <f>IF(Table2[[#This Row],[Description]]="","",DATE(Table2[[#This Row],[Year]],Table2[[#This Row],[Month]],1))</f>
        <v/>
      </c>
    </row>
    <row r="5144" spans="7:11" x14ac:dyDescent="0.25">
      <c r="G5144" s="1" t="str">
        <f>IF(Table2[[#This Row],[Description]]="","",VLOOKUP(Table2[[#This Row],[Description]],$Q$1:$S$101,2,FALSE))</f>
        <v/>
      </c>
      <c r="H5144" s="1" t="str">
        <f>IF(Table2[[#This Row],[Description]]="","",VLOOKUP(Table2[[#This Row],[Description]],$Q$1:$S$101,3,FALSE))</f>
        <v/>
      </c>
      <c r="I5144" s="1" t="str">
        <f>IF(Table2[[#This Row],[Description]]="","",IF(Table2[[#This Row],[Currency]]=$O$2,$P$2,HLOOKUP(Table2[[#This Row],[Date]],Funds!$C$10:$GV$11,2,FALSE)))</f>
        <v/>
      </c>
      <c r="J5144" s="215" t="str">
        <f>IF(Table2[[#This Row],[Description]]="","",Table2[[#This Row],[Value]]/Table2[[#This Row],[Conversion]])</f>
        <v/>
      </c>
      <c r="K5144" s="45" t="str">
        <f>IF(Table2[[#This Row],[Description]]="","",DATE(Table2[[#This Row],[Year]],Table2[[#This Row],[Month]],1))</f>
        <v/>
      </c>
    </row>
    <row r="5145" spans="7:11" x14ac:dyDescent="0.25">
      <c r="G5145" s="1" t="str">
        <f>IF(Table2[[#This Row],[Description]]="","",VLOOKUP(Table2[[#This Row],[Description]],$Q$1:$S$101,2,FALSE))</f>
        <v/>
      </c>
      <c r="H5145" s="1" t="str">
        <f>IF(Table2[[#This Row],[Description]]="","",VLOOKUP(Table2[[#This Row],[Description]],$Q$1:$S$101,3,FALSE))</f>
        <v/>
      </c>
      <c r="I5145" s="1" t="str">
        <f>IF(Table2[[#This Row],[Description]]="","",IF(Table2[[#This Row],[Currency]]=$O$2,$P$2,HLOOKUP(Table2[[#This Row],[Date]],Funds!$C$10:$GV$11,2,FALSE)))</f>
        <v/>
      </c>
      <c r="J5145" s="215" t="str">
        <f>IF(Table2[[#This Row],[Description]]="","",Table2[[#This Row],[Value]]/Table2[[#This Row],[Conversion]])</f>
        <v/>
      </c>
      <c r="K5145" s="45" t="str">
        <f>IF(Table2[[#This Row],[Description]]="","",DATE(Table2[[#This Row],[Year]],Table2[[#This Row],[Month]],1))</f>
        <v/>
      </c>
    </row>
    <row r="5146" spans="7:11" x14ac:dyDescent="0.25">
      <c r="G5146" s="1" t="str">
        <f>IF(Table2[[#This Row],[Description]]="","",VLOOKUP(Table2[[#This Row],[Description]],$Q$1:$S$101,2,FALSE))</f>
        <v/>
      </c>
      <c r="H5146" s="1" t="str">
        <f>IF(Table2[[#This Row],[Description]]="","",VLOOKUP(Table2[[#This Row],[Description]],$Q$1:$S$101,3,FALSE))</f>
        <v/>
      </c>
      <c r="I5146" s="1" t="str">
        <f>IF(Table2[[#This Row],[Description]]="","",IF(Table2[[#This Row],[Currency]]=$O$2,$P$2,HLOOKUP(Table2[[#This Row],[Date]],Funds!$C$10:$GV$11,2,FALSE)))</f>
        <v/>
      </c>
      <c r="J5146" s="215" t="str">
        <f>IF(Table2[[#This Row],[Description]]="","",Table2[[#This Row],[Value]]/Table2[[#This Row],[Conversion]])</f>
        <v/>
      </c>
      <c r="K5146" s="45" t="str">
        <f>IF(Table2[[#This Row],[Description]]="","",DATE(Table2[[#This Row],[Year]],Table2[[#This Row],[Month]],1))</f>
        <v/>
      </c>
    </row>
    <row r="5147" spans="7:11" x14ac:dyDescent="0.25">
      <c r="G5147" s="1" t="str">
        <f>IF(Table2[[#This Row],[Description]]="","",VLOOKUP(Table2[[#This Row],[Description]],$Q$1:$S$101,2,FALSE))</f>
        <v/>
      </c>
      <c r="H5147" s="1" t="str">
        <f>IF(Table2[[#This Row],[Description]]="","",VLOOKUP(Table2[[#This Row],[Description]],$Q$1:$S$101,3,FALSE))</f>
        <v/>
      </c>
      <c r="I5147" s="1" t="str">
        <f>IF(Table2[[#This Row],[Description]]="","",IF(Table2[[#This Row],[Currency]]=$O$2,$P$2,HLOOKUP(Table2[[#This Row],[Date]],Funds!$C$10:$GV$11,2,FALSE)))</f>
        <v/>
      </c>
      <c r="J5147" s="215" t="str">
        <f>IF(Table2[[#This Row],[Description]]="","",Table2[[#This Row],[Value]]/Table2[[#This Row],[Conversion]])</f>
        <v/>
      </c>
      <c r="K5147" s="45" t="str">
        <f>IF(Table2[[#This Row],[Description]]="","",DATE(Table2[[#This Row],[Year]],Table2[[#This Row],[Month]],1))</f>
        <v/>
      </c>
    </row>
    <row r="5148" spans="7:11" x14ac:dyDescent="0.25">
      <c r="G5148" s="1" t="str">
        <f>IF(Table2[[#This Row],[Description]]="","",VLOOKUP(Table2[[#This Row],[Description]],$Q$1:$S$101,2,FALSE))</f>
        <v/>
      </c>
      <c r="H5148" s="1" t="str">
        <f>IF(Table2[[#This Row],[Description]]="","",VLOOKUP(Table2[[#This Row],[Description]],$Q$1:$S$101,3,FALSE))</f>
        <v/>
      </c>
      <c r="I5148" s="1" t="str">
        <f>IF(Table2[[#This Row],[Description]]="","",IF(Table2[[#This Row],[Currency]]=$O$2,$P$2,HLOOKUP(Table2[[#This Row],[Date]],Funds!$C$10:$GV$11,2,FALSE)))</f>
        <v/>
      </c>
      <c r="J5148" s="215" t="str">
        <f>IF(Table2[[#This Row],[Description]]="","",Table2[[#This Row],[Value]]/Table2[[#This Row],[Conversion]])</f>
        <v/>
      </c>
      <c r="K5148" s="45" t="str">
        <f>IF(Table2[[#This Row],[Description]]="","",DATE(Table2[[#This Row],[Year]],Table2[[#This Row],[Month]],1))</f>
        <v/>
      </c>
    </row>
    <row r="5149" spans="7:11" x14ac:dyDescent="0.25">
      <c r="G5149" s="1" t="str">
        <f>IF(Table2[[#This Row],[Description]]="","",VLOOKUP(Table2[[#This Row],[Description]],$Q$1:$S$101,2,FALSE))</f>
        <v/>
      </c>
      <c r="H5149" s="1" t="str">
        <f>IF(Table2[[#This Row],[Description]]="","",VLOOKUP(Table2[[#This Row],[Description]],$Q$1:$S$101,3,FALSE))</f>
        <v/>
      </c>
      <c r="I5149" s="1" t="str">
        <f>IF(Table2[[#This Row],[Description]]="","",IF(Table2[[#This Row],[Currency]]=$O$2,$P$2,HLOOKUP(Table2[[#This Row],[Date]],Funds!$C$10:$GV$11,2,FALSE)))</f>
        <v/>
      </c>
      <c r="J5149" s="215" t="str">
        <f>IF(Table2[[#This Row],[Description]]="","",Table2[[#This Row],[Value]]/Table2[[#This Row],[Conversion]])</f>
        <v/>
      </c>
      <c r="K5149" s="45" t="str">
        <f>IF(Table2[[#This Row],[Description]]="","",DATE(Table2[[#This Row],[Year]],Table2[[#This Row],[Month]],1))</f>
        <v/>
      </c>
    </row>
    <row r="5150" spans="7:11" x14ac:dyDescent="0.25">
      <c r="G5150" s="1" t="str">
        <f>IF(Table2[[#This Row],[Description]]="","",VLOOKUP(Table2[[#This Row],[Description]],$Q$1:$S$101,2,FALSE))</f>
        <v/>
      </c>
      <c r="H5150" s="1" t="str">
        <f>IF(Table2[[#This Row],[Description]]="","",VLOOKUP(Table2[[#This Row],[Description]],$Q$1:$S$101,3,FALSE))</f>
        <v/>
      </c>
      <c r="I5150" s="1" t="str">
        <f>IF(Table2[[#This Row],[Description]]="","",IF(Table2[[#This Row],[Currency]]=$O$2,$P$2,HLOOKUP(Table2[[#This Row],[Date]],Funds!$C$10:$GV$11,2,FALSE)))</f>
        <v/>
      </c>
      <c r="J5150" s="215" t="str">
        <f>IF(Table2[[#This Row],[Description]]="","",Table2[[#This Row],[Value]]/Table2[[#This Row],[Conversion]])</f>
        <v/>
      </c>
      <c r="K5150" s="45" t="str">
        <f>IF(Table2[[#This Row],[Description]]="","",DATE(Table2[[#This Row],[Year]],Table2[[#This Row],[Month]],1))</f>
        <v/>
      </c>
    </row>
    <row r="5151" spans="7:11" x14ac:dyDescent="0.25">
      <c r="G5151" s="1" t="str">
        <f>IF(Table2[[#This Row],[Description]]="","",VLOOKUP(Table2[[#This Row],[Description]],$Q$1:$S$101,2,FALSE))</f>
        <v/>
      </c>
      <c r="H5151" s="1" t="str">
        <f>IF(Table2[[#This Row],[Description]]="","",VLOOKUP(Table2[[#This Row],[Description]],$Q$1:$S$101,3,FALSE))</f>
        <v/>
      </c>
      <c r="I5151" s="1" t="str">
        <f>IF(Table2[[#This Row],[Description]]="","",IF(Table2[[#This Row],[Currency]]=$O$2,$P$2,HLOOKUP(Table2[[#This Row],[Date]],Funds!$C$10:$GV$11,2,FALSE)))</f>
        <v/>
      </c>
      <c r="J5151" s="215" t="str">
        <f>IF(Table2[[#This Row],[Description]]="","",Table2[[#This Row],[Value]]/Table2[[#This Row],[Conversion]])</f>
        <v/>
      </c>
      <c r="K5151" s="45" t="str">
        <f>IF(Table2[[#This Row],[Description]]="","",DATE(Table2[[#This Row],[Year]],Table2[[#This Row],[Month]],1))</f>
        <v/>
      </c>
    </row>
    <row r="5152" spans="7:11" x14ac:dyDescent="0.25">
      <c r="G5152" s="1" t="str">
        <f>IF(Table2[[#This Row],[Description]]="","",VLOOKUP(Table2[[#This Row],[Description]],$Q$1:$S$101,2,FALSE))</f>
        <v/>
      </c>
      <c r="H5152" s="1" t="str">
        <f>IF(Table2[[#This Row],[Description]]="","",VLOOKUP(Table2[[#This Row],[Description]],$Q$1:$S$101,3,FALSE))</f>
        <v/>
      </c>
      <c r="I5152" s="1" t="str">
        <f>IF(Table2[[#This Row],[Description]]="","",IF(Table2[[#This Row],[Currency]]=$O$2,$P$2,HLOOKUP(Table2[[#This Row],[Date]],Funds!$C$10:$GV$11,2,FALSE)))</f>
        <v/>
      </c>
      <c r="J5152" s="215" t="str">
        <f>IF(Table2[[#This Row],[Description]]="","",Table2[[#This Row],[Value]]/Table2[[#This Row],[Conversion]])</f>
        <v/>
      </c>
      <c r="K5152" s="45" t="str">
        <f>IF(Table2[[#This Row],[Description]]="","",DATE(Table2[[#This Row],[Year]],Table2[[#This Row],[Month]],1))</f>
        <v/>
      </c>
    </row>
    <row r="5153" spans="7:11" x14ac:dyDescent="0.25">
      <c r="G5153" s="1" t="str">
        <f>IF(Table2[[#This Row],[Description]]="","",VLOOKUP(Table2[[#This Row],[Description]],$Q$1:$S$101,2,FALSE))</f>
        <v/>
      </c>
      <c r="H5153" s="1" t="str">
        <f>IF(Table2[[#This Row],[Description]]="","",VLOOKUP(Table2[[#This Row],[Description]],$Q$1:$S$101,3,FALSE))</f>
        <v/>
      </c>
      <c r="I5153" s="1" t="str">
        <f>IF(Table2[[#This Row],[Description]]="","",IF(Table2[[#This Row],[Currency]]=$O$2,$P$2,HLOOKUP(Table2[[#This Row],[Date]],Funds!$C$10:$GV$11,2,FALSE)))</f>
        <v/>
      </c>
      <c r="J5153" s="215" t="str">
        <f>IF(Table2[[#This Row],[Description]]="","",Table2[[#This Row],[Value]]/Table2[[#This Row],[Conversion]])</f>
        <v/>
      </c>
      <c r="K5153" s="45" t="str">
        <f>IF(Table2[[#This Row],[Description]]="","",DATE(Table2[[#This Row],[Year]],Table2[[#This Row],[Month]],1))</f>
        <v/>
      </c>
    </row>
    <row r="5154" spans="7:11" x14ac:dyDescent="0.25">
      <c r="G5154" s="1" t="str">
        <f>IF(Table2[[#This Row],[Description]]="","",VLOOKUP(Table2[[#This Row],[Description]],$Q$1:$S$101,2,FALSE))</f>
        <v/>
      </c>
      <c r="H5154" s="1" t="str">
        <f>IF(Table2[[#This Row],[Description]]="","",VLOOKUP(Table2[[#This Row],[Description]],$Q$1:$S$101,3,FALSE))</f>
        <v/>
      </c>
      <c r="I5154" s="1" t="str">
        <f>IF(Table2[[#This Row],[Description]]="","",IF(Table2[[#This Row],[Currency]]=$O$2,$P$2,HLOOKUP(Table2[[#This Row],[Date]],Funds!$C$10:$GV$11,2,FALSE)))</f>
        <v/>
      </c>
      <c r="J5154" s="215" t="str">
        <f>IF(Table2[[#This Row],[Description]]="","",Table2[[#This Row],[Value]]/Table2[[#This Row],[Conversion]])</f>
        <v/>
      </c>
      <c r="K5154" s="45" t="str">
        <f>IF(Table2[[#This Row],[Description]]="","",DATE(Table2[[#This Row],[Year]],Table2[[#This Row],[Month]],1))</f>
        <v/>
      </c>
    </row>
    <row r="5155" spans="7:11" x14ac:dyDescent="0.25">
      <c r="G5155" s="1" t="str">
        <f>IF(Table2[[#This Row],[Description]]="","",VLOOKUP(Table2[[#This Row],[Description]],$Q$1:$S$101,2,FALSE))</f>
        <v/>
      </c>
      <c r="H5155" s="1" t="str">
        <f>IF(Table2[[#This Row],[Description]]="","",VLOOKUP(Table2[[#This Row],[Description]],$Q$1:$S$101,3,FALSE))</f>
        <v/>
      </c>
      <c r="I5155" s="1" t="str">
        <f>IF(Table2[[#This Row],[Description]]="","",IF(Table2[[#This Row],[Currency]]=$O$2,$P$2,HLOOKUP(Table2[[#This Row],[Date]],Funds!$C$10:$GV$11,2,FALSE)))</f>
        <v/>
      </c>
      <c r="J5155" s="215" t="str">
        <f>IF(Table2[[#This Row],[Description]]="","",Table2[[#This Row],[Value]]/Table2[[#This Row],[Conversion]])</f>
        <v/>
      </c>
      <c r="K5155" s="45" t="str">
        <f>IF(Table2[[#This Row],[Description]]="","",DATE(Table2[[#This Row],[Year]],Table2[[#This Row],[Month]],1))</f>
        <v/>
      </c>
    </row>
    <row r="5156" spans="7:11" x14ac:dyDescent="0.25">
      <c r="G5156" s="1" t="str">
        <f>IF(Table2[[#This Row],[Description]]="","",VLOOKUP(Table2[[#This Row],[Description]],$Q$1:$S$101,2,FALSE))</f>
        <v/>
      </c>
      <c r="H5156" s="1" t="str">
        <f>IF(Table2[[#This Row],[Description]]="","",VLOOKUP(Table2[[#This Row],[Description]],$Q$1:$S$101,3,FALSE))</f>
        <v/>
      </c>
      <c r="I5156" s="1" t="str">
        <f>IF(Table2[[#This Row],[Description]]="","",IF(Table2[[#This Row],[Currency]]=$O$2,$P$2,HLOOKUP(Table2[[#This Row],[Date]],Funds!$C$10:$GV$11,2,FALSE)))</f>
        <v/>
      </c>
      <c r="J5156" s="215" t="str">
        <f>IF(Table2[[#This Row],[Description]]="","",Table2[[#This Row],[Value]]/Table2[[#This Row],[Conversion]])</f>
        <v/>
      </c>
      <c r="K5156" s="45" t="str">
        <f>IF(Table2[[#This Row],[Description]]="","",DATE(Table2[[#This Row],[Year]],Table2[[#This Row],[Month]],1))</f>
        <v/>
      </c>
    </row>
    <row r="5157" spans="7:11" x14ac:dyDescent="0.25">
      <c r="G5157" s="1" t="str">
        <f>IF(Table2[[#This Row],[Description]]="","",VLOOKUP(Table2[[#This Row],[Description]],$Q$1:$S$101,2,FALSE))</f>
        <v/>
      </c>
      <c r="H5157" s="1" t="str">
        <f>IF(Table2[[#This Row],[Description]]="","",VLOOKUP(Table2[[#This Row],[Description]],$Q$1:$S$101,3,FALSE))</f>
        <v/>
      </c>
      <c r="I5157" s="1" t="str">
        <f>IF(Table2[[#This Row],[Description]]="","",IF(Table2[[#This Row],[Currency]]=$O$2,$P$2,HLOOKUP(Table2[[#This Row],[Date]],Funds!$C$10:$GV$11,2,FALSE)))</f>
        <v/>
      </c>
      <c r="J5157" s="215" t="str">
        <f>IF(Table2[[#This Row],[Description]]="","",Table2[[#This Row],[Value]]/Table2[[#This Row],[Conversion]])</f>
        <v/>
      </c>
      <c r="K5157" s="45" t="str">
        <f>IF(Table2[[#This Row],[Description]]="","",DATE(Table2[[#This Row],[Year]],Table2[[#This Row],[Month]],1))</f>
        <v/>
      </c>
    </row>
    <row r="5158" spans="7:11" x14ac:dyDescent="0.25">
      <c r="G5158" s="1" t="str">
        <f>IF(Table2[[#This Row],[Description]]="","",VLOOKUP(Table2[[#This Row],[Description]],$Q$1:$S$101,2,FALSE))</f>
        <v/>
      </c>
      <c r="H5158" s="1" t="str">
        <f>IF(Table2[[#This Row],[Description]]="","",VLOOKUP(Table2[[#This Row],[Description]],$Q$1:$S$101,3,FALSE))</f>
        <v/>
      </c>
      <c r="I5158" s="1" t="str">
        <f>IF(Table2[[#This Row],[Description]]="","",IF(Table2[[#This Row],[Currency]]=$O$2,$P$2,HLOOKUP(Table2[[#This Row],[Date]],Funds!$C$10:$GV$11,2,FALSE)))</f>
        <v/>
      </c>
      <c r="J5158" s="215" t="str">
        <f>IF(Table2[[#This Row],[Description]]="","",Table2[[#This Row],[Value]]/Table2[[#This Row],[Conversion]])</f>
        <v/>
      </c>
      <c r="K5158" s="45" t="str">
        <f>IF(Table2[[#This Row],[Description]]="","",DATE(Table2[[#This Row],[Year]],Table2[[#This Row],[Month]],1))</f>
        <v/>
      </c>
    </row>
    <row r="5159" spans="7:11" x14ac:dyDescent="0.25">
      <c r="G5159" s="1" t="str">
        <f>IF(Table2[[#This Row],[Description]]="","",VLOOKUP(Table2[[#This Row],[Description]],$Q$1:$S$101,2,FALSE))</f>
        <v/>
      </c>
      <c r="H5159" s="1" t="str">
        <f>IF(Table2[[#This Row],[Description]]="","",VLOOKUP(Table2[[#This Row],[Description]],$Q$1:$S$101,3,FALSE))</f>
        <v/>
      </c>
      <c r="I5159" s="1" t="str">
        <f>IF(Table2[[#This Row],[Description]]="","",IF(Table2[[#This Row],[Currency]]=$O$2,$P$2,HLOOKUP(Table2[[#This Row],[Date]],Funds!$C$10:$GV$11,2,FALSE)))</f>
        <v/>
      </c>
      <c r="J5159" s="215" t="str">
        <f>IF(Table2[[#This Row],[Description]]="","",Table2[[#This Row],[Value]]/Table2[[#This Row],[Conversion]])</f>
        <v/>
      </c>
      <c r="K5159" s="45" t="str">
        <f>IF(Table2[[#This Row],[Description]]="","",DATE(Table2[[#This Row],[Year]],Table2[[#This Row],[Month]],1))</f>
        <v/>
      </c>
    </row>
    <row r="5160" spans="7:11" x14ac:dyDescent="0.25">
      <c r="G5160" s="1" t="str">
        <f>IF(Table2[[#This Row],[Description]]="","",VLOOKUP(Table2[[#This Row],[Description]],$Q$1:$S$101,2,FALSE))</f>
        <v/>
      </c>
      <c r="H5160" s="1" t="str">
        <f>IF(Table2[[#This Row],[Description]]="","",VLOOKUP(Table2[[#This Row],[Description]],$Q$1:$S$101,3,FALSE))</f>
        <v/>
      </c>
      <c r="I5160" s="1" t="str">
        <f>IF(Table2[[#This Row],[Description]]="","",IF(Table2[[#This Row],[Currency]]=$O$2,$P$2,HLOOKUP(Table2[[#This Row],[Date]],Funds!$C$10:$GV$11,2,FALSE)))</f>
        <v/>
      </c>
      <c r="J5160" s="215" t="str">
        <f>IF(Table2[[#This Row],[Description]]="","",Table2[[#This Row],[Value]]/Table2[[#This Row],[Conversion]])</f>
        <v/>
      </c>
      <c r="K5160" s="45" t="str">
        <f>IF(Table2[[#This Row],[Description]]="","",DATE(Table2[[#This Row],[Year]],Table2[[#This Row],[Month]],1))</f>
        <v/>
      </c>
    </row>
    <row r="5161" spans="7:11" x14ac:dyDescent="0.25">
      <c r="G5161" s="1" t="str">
        <f>IF(Table2[[#This Row],[Description]]="","",VLOOKUP(Table2[[#This Row],[Description]],$Q$1:$S$101,2,FALSE))</f>
        <v/>
      </c>
      <c r="H5161" s="1" t="str">
        <f>IF(Table2[[#This Row],[Description]]="","",VLOOKUP(Table2[[#This Row],[Description]],$Q$1:$S$101,3,FALSE))</f>
        <v/>
      </c>
      <c r="I5161" s="1" t="str">
        <f>IF(Table2[[#This Row],[Description]]="","",IF(Table2[[#This Row],[Currency]]=$O$2,$P$2,HLOOKUP(Table2[[#This Row],[Date]],Funds!$C$10:$GV$11,2,FALSE)))</f>
        <v/>
      </c>
      <c r="J5161" s="215" t="str">
        <f>IF(Table2[[#This Row],[Description]]="","",Table2[[#This Row],[Value]]/Table2[[#This Row],[Conversion]])</f>
        <v/>
      </c>
      <c r="K5161" s="45" t="str">
        <f>IF(Table2[[#This Row],[Description]]="","",DATE(Table2[[#This Row],[Year]],Table2[[#This Row],[Month]],1))</f>
        <v/>
      </c>
    </row>
    <row r="5162" spans="7:11" x14ac:dyDescent="0.25">
      <c r="G5162" s="1" t="str">
        <f>IF(Table2[[#This Row],[Description]]="","",VLOOKUP(Table2[[#This Row],[Description]],$Q$1:$S$101,2,FALSE))</f>
        <v/>
      </c>
      <c r="H5162" s="1" t="str">
        <f>IF(Table2[[#This Row],[Description]]="","",VLOOKUP(Table2[[#This Row],[Description]],$Q$1:$S$101,3,FALSE))</f>
        <v/>
      </c>
      <c r="I5162" s="1" t="str">
        <f>IF(Table2[[#This Row],[Description]]="","",IF(Table2[[#This Row],[Currency]]=$O$2,$P$2,HLOOKUP(Table2[[#This Row],[Date]],Funds!$C$10:$GV$11,2,FALSE)))</f>
        <v/>
      </c>
      <c r="J5162" s="215" t="str">
        <f>IF(Table2[[#This Row],[Description]]="","",Table2[[#This Row],[Value]]/Table2[[#This Row],[Conversion]])</f>
        <v/>
      </c>
      <c r="K5162" s="45" t="str">
        <f>IF(Table2[[#This Row],[Description]]="","",DATE(Table2[[#This Row],[Year]],Table2[[#This Row],[Month]],1))</f>
        <v/>
      </c>
    </row>
    <row r="5163" spans="7:11" x14ac:dyDescent="0.25">
      <c r="G5163" s="1" t="str">
        <f>IF(Table2[[#This Row],[Description]]="","",VLOOKUP(Table2[[#This Row],[Description]],$Q$1:$S$101,2,FALSE))</f>
        <v/>
      </c>
      <c r="H5163" s="1" t="str">
        <f>IF(Table2[[#This Row],[Description]]="","",VLOOKUP(Table2[[#This Row],[Description]],$Q$1:$S$101,3,FALSE))</f>
        <v/>
      </c>
      <c r="I5163" s="1" t="str">
        <f>IF(Table2[[#This Row],[Description]]="","",IF(Table2[[#This Row],[Currency]]=$O$2,$P$2,HLOOKUP(Table2[[#This Row],[Date]],Funds!$C$10:$GV$11,2,FALSE)))</f>
        <v/>
      </c>
      <c r="J5163" s="215" t="str">
        <f>IF(Table2[[#This Row],[Description]]="","",Table2[[#This Row],[Value]]/Table2[[#This Row],[Conversion]])</f>
        <v/>
      </c>
      <c r="K5163" s="45" t="str">
        <f>IF(Table2[[#This Row],[Description]]="","",DATE(Table2[[#This Row],[Year]],Table2[[#This Row],[Month]],1))</f>
        <v/>
      </c>
    </row>
    <row r="5164" spans="7:11" x14ac:dyDescent="0.25">
      <c r="G5164" s="1" t="str">
        <f>IF(Table2[[#This Row],[Description]]="","",VLOOKUP(Table2[[#This Row],[Description]],$Q$1:$S$101,2,FALSE))</f>
        <v/>
      </c>
      <c r="H5164" s="1" t="str">
        <f>IF(Table2[[#This Row],[Description]]="","",VLOOKUP(Table2[[#This Row],[Description]],$Q$1:$S$101,3,FALSE))</f>
        <v/>
      </c>
      <c r="I5164" s="1" t="str">
        <f>IF(Table2[[#This Row],[Description]]="","",IF(Table2[[#This Row],[Currency]]=$O$2,$P$2,HLOOKUP(Table2[[#This Row],[Date]],Funds!$C$10:$GV$11,2,FALSE)))</f>
        <v/>
      </c>
      <c r="J5164" s="215" t="str">
        <f>IF(Table2[[#This Row],[Description]]="","",Table2[[#This Row],[Value]]/Table2[[#This Row],[Conversion]])</f>
        <v/>
      </c>
      <c r="K5164" s="45" t="str">
        <f>IF(Table2[[#This Row],[Description]]="","",DATE(Table2[[#This Row],[Year]],Table2[[#This Row],[Month]],1))</f>
        <v/>
      </c>
    </row>
    <row r="5165" spans="7:11" x14ac:dyDescent="0.25">
      <c r="G5165" s="1" t="str">
        <f>IF(Table2[[#This Row],[Description]]="","",VLOOKUP(Table2[[#This Row],[Description]],$Q$1:$S$101,2,FALSE))</f>
        <v/>
      </c>
      <c r="H5165" s="1" t="str">
        <f>IF(Table2[[#This Row],[Description]]="","",VLOOKUP(Table2[[#This Row],[Description]],$Q$1:$S$101,3,FALSE))</f>
        <v/>
      </c>
      <c r="I5165" s="1" t="str">
        <f>IF(Table2[[#This Row],[Description]]="","",IF(Table2[[#This Row],[Currency]]=$O$2,$P$2,HLOOKUP(Table2[[#This Row],[Date]],Funds!$C$10:$GV$11,2,FALSE)))</f>
        <v/>
      </c>
      <c r="J5165" s="215" t="str">
        <f>IF(Table2[[#This Row],[Description]]="","",Table2[[#This Row],[Value]]/Table2[[#This Row],[Conversion]])</f>
        <v/>
      </c>
      <c r="K5165" s="45" t="str">
        <f>IF(Table2[[#This Row],[Description]]="","",DATE(Table2[[#This Row],[Year]],Table2[[#This Row],[Month]],1))</f>
        <v/>
      </c>
    </row>
    <row r="5166" spans="7:11" x14ac:dyDescent="0.25">
      <c r="G5166" s="1" t="str">
        <f>IF(Table2[[#This Row],[Description]]="","",VLOOKUP(Table2[[#This Row],[Description]],$Q$1:$S$101,2,FALSE))</f>
        <v/>
      </c>
      <c r="H5166" s="1" t="str">
        <f>IF(Table2[[#This Row],[Description]]="","",VLOOKUP(Table2[[#This Row],[Description]],$Q$1:$S$101,3,FALSE))</f>
        <v/>
      </c>
      <c r="I5166" s="1" t="str">
        <f>IF(Table2[[#This Row],[Description]]="","",IF(Table2[[#This Row],[Currency]]=$O$2,$P$2,HLOOKUP(Table2[[#This Row],[Date]],Funds!$C$10:$GV$11,2,FALSE)))</f>
        <v/>
      </c>
      <c r="J5166" s="215" t="str">
        <f>IF(Table2[[#This Row],[Description]]="","",Table2[[#This Row],[Value]]/Table2[[#This Row],[Conversion]])</f>
        <v/>
      </c>
      <c r="K5166" s="45" t="str">
        <f>IF(Table2[[#This Row],[Description]]="","",DATE(Table2[[#This Row],[Year]],Table2[[#This Row],[Month]],1))</f>
        <v/>
      </c>
    </row>
    <row r="5167" spans="7:11" x14ac:dyDescent="0.25">
      <c r="G5167" s="1" t="str">
        <f>IF(Table2[[#This Row],[Description]]="","",VLOOKUP(Table2[[#This Row],[Description]],$Q$1:$S$101,2,FALSE))</f>
        <v/>
      </c>
      <c r="H5167" s="1" t="str">
        <f>IF(Table2[[#This Row],[Description]]="","",VLOOKUP(Table2[[#This Row],[Description]],$Q$1:$S$101,3,FALSE))</f>
        <v/>
      </c>
      <c r="I5167" s="1" t="str">
        <f>IF(Table2[[#This Row],[Description]]="","",IF(Table2[[#This Row],[Currency]]=$O$2,$P$2,HLOOKUP(Table2[[#This Row],[Date]],Funds!$C$10:$GV$11,2,FALSE)))</f>
        <v/>
      </c>
      <c r="J5167" s="215" t="str">
        <f>IF(Table2[[#This Row],[Description]]="","",Table2[[#This Row],[Value]]/Table2[[#This Row],[Conversion]])</f>
        <v/>
      </c>
      <c r="K5167" s="45" t="str">
        <f>IF(Table2[[#This Row],[Description]]="","",DATE(Table2[[#This Row],[Year]],Table2[[#This Row],[Month]],1))</f>
        <v/>
      </c>
    </row>
    <row r="5168" spans="7:11" x14ac:dyDescent="0.25">
      <c r="G5168" s="1" t="str">
        <f>IF(Table2[[#This Row],[Description]]="","",VLOOKUP(Table2[[#This Row],[Description]],$Q$1:$S$101,2,FALSE))</f>
        <v/>
      </c>
      <c r="H5168" s="1" t="str">
        <f>IF(Table2[[#This Row],[Description]]="","",VLOOKUP(Table2[[#This Row],[Description]],$Q$1:$S$101,3,FALSE))</f>
        <v/>
      </c>
      <c r="I5168" s="1" t="str">
        <f>IF(Table2[[#This Row],[Description]]="","",IF(Table2[[#This Row],[Currency]]=$O$2,$P$2,HLOOKUP(Table2[[#This Row],[Date]],Funds!$C$10:$GV$11,2,FALSE)))</f>
        <v/>
      </c>
      <c r="J5168" s="215" t="str">
        <f>IF(Table2[[#This Row],[Description]]="","",Table2[[#This Row],[Value]]/Table2[[#This Row],[Conversion]])</f>
        <v/>
      </c>
      <c r="K5168" s="45" t="str">
        <f>IF(Table2[[#This Row],[Description]]="","",DATE(Table2[[#This Row],[Year]],Table2[[#This Row],[Month]],1))</f>
        <v/>
      </c>
    </row>
    <row r="5169" spans="7:11" x14ac:dyDescent="0.25">
      <c r="G5169" s="1" t="str">
        <f>IF(Table2[[#This Row],[Description]]="","",VLOOKUP(Table2[[#This Row],[Description]],$Q$1:$S$101,2,FALSE))</f>
        <v/>
      </c>
      <c r="H5169" s="1" t="str">
        <f>IF(Table2[[#This Row],[Description]]="","",VLOOKUP(Table2[[#This Row],[Description]],$Q$1:$S$101,3,FALSE))</f>
        <v/>
      </c>
      <c r="I5169" s="1" t="str">
        <f>IF(Table2[[#This Row],[Description]]="","",IF(Table2[[#This Row],[Currency]]=$O$2,$P$2,HLOOKUP(Table2[[#This Row],[Date]],Funds!$C$10:$GV$11,2,FALSE)))</f>
        <v/>
      </c>
      <c r="J5169" s="215" t="str">
        <f>IF(Table2[[#This Row],[Description]]="","",Table2[[#This Row],[Value]]/Table2[[#This Row],[Conversion]])</f>
        <v/>
      </c>
      <c r="K5169" s="45" t="str">
        <f>IF(Table2[[#This Row],[Description]]="","",DATE(Table2[[#This Row],[Year]],Table2[[#This Row],[Month]],1))</f>
        <v/>
      </c>
    </row>
    <row r="5170" spans="7:11" x14ac:dyDescent="0.25">
      <c r="G5170" s="1" t="str">
        <f>IF(Table2[[#This Row],[Description]]="","",VLOOKUP(Table2[[#This Row],[Description]],$Q$1:$S$101,2,FALSE))</f>
        <v/>
      </c>
      <c r="H5170" s="1" t="str">
        <f>IF(Table2[[#This Row],[Description]]="","",VLOOKUP(Table2[[#This Row],[Description]],$Q$1:$S$101,3,FALSE))</f>
        <v/>
      </c>
      <c r="I5170" s="1" t="str">
        <f>IF(Table2[[#This Row],[Description]]="","",IF(Table2[[#This Row],[Currency]]=$O$2,$P$2,HLOOKUP(Table2[[#This Row],[Date]],Funds!$C$10:$GV$11,2,FALSE)))</f>
        <v/>
      </c>
      <c r="J5170" s="215" t="str">
        <f>IF(Table2[[#This Row],[Description]]="","",Table2[[#This Row],[Value]]/Table2[[#This Row],[Conversion]])</f>
        <v/>
      </c>
      <c r="K5170" s="45" t="str">
        <f>IF(Table2[[#This Row],[Description]]="","",DATE(Table2[[#This Row],[Year]],Table2[[#This Row],[Month]],1))</f>
        <v/>
      </c>
    </row>
    <row r="5171" spans="7:11" x14ac:dyDescent="0.25">
      <c r="G5171" s="1" t="str">
        <f>IF(Table2[[#This Row],[Description]]="","",VLOOKUP(Table2[[#This Row],[Description]],$Q$1:$S$101,2,FALSE))</f>
        <v/>
      </c>
      <c r="H5171" s="1" t="str">
        <f>IF(Table2[[#This Row],[Description]]="","",VLOOKUP(Table2[[#This Row],[Description]],$Q$1:$S$101,3,FALSE))</f>
        <v/>
      </c>
      <c r="I5171" s="1" t="str">
        <f>IF(Table2[[#This Row],[Description]]="","",IF(Table2[[#This Row],[Currency]]=$O$2,$P$2,HLOOKUP(Table2[[#This Row],[Date]],Funds!$C$10:$GV$11,2,FALSE)))</f>
        <v/>
      </c>
      <c r="J5171" s="215" t="str">
        <f>IF(Table2[[#This Row],[Description]]="","",Table2[[#This Row],[Value]]/Table2[[#This Row],[Conversion]])</f>
        <v/>
      </c>
      <c r="K5171" s="45" t="str">
        <f>IF(Table2[[#This Row],[Description]]="","",DATE(Table2[[#This Row],[Year]],Table2[[#This Row],[Month]],1))</f>
        <v/>
      </c>
    </row>
    <row r="5172" spans="7:11" x14ac:dyDescent="0.25">
      <c r="G5172" s="1" t="str">
        <f>IF(Table2[[#This Row],[Description]]="","",VLOOKUP(Table2[[#This Row],[Description]],$Q$1:$S$101,2,FALSE))</f>
        <v/>
      </c>
      <c r="H5172" s="1" t="str">
        <f>IF(Table2[[#This Row],[Description]]="","",VLOOKUP(Table2[[#This Row],[Description]],$Q$1:$S$101,3,FALSE))</f>
        <v/>
      </c>
      <c r="I5172" s="1" t="str">
        <f>IF(Table2[[#This Row],[Description]]="","",IF(Table2[[#This Row],[Currency]]=$O$2,$P$2,HLOOKUP(Table2[[#This Row],[Date]],Funds!$C$10:$GV$11,2,FALSE)))</f>
        <v/>
      </c>
      <c r="J5172" s="215" t="str">
        <f>IF(Table2[[#This Row],[Description]]="","",Table2[[#This Row],[Value]]/Table2[[#This Row],[Conversion]])</f>
        <v/>
      </c>
      <c r="K5172" s="45" t="str">
        <f>IF(Table2[[#This Row],[Description]]="","",DATE(Table2[[#This Row],[Year]],Table2[[#This Row],[Month]],1))</f>
        <v/>
      </c>
    </row>
    <row r="5173" spans="7:11" x14ac:dyDescent="0.25">
      <c r="G5173" s="1" t="str">
        <f>IF(Table2[[#This Row],[Description]]="","",VLOOKUP(Table2[[#This Row],[Description]],$Q$1:$S$101,2,FALSE))</f>
        <v/>
      </c>
      <c r="H5173" s="1" t="str">
        <f>IF(Table2[[#This Row],[Description]]="","",VLOOKUP(Table2[[#This Row],[Description]],$Q$1:$S$101,3,FALSE))</f>
        <v/>
      </c>
      <c r="I5173" s="1" t="str">
        <f>IF(Table2[[#This Row],[Description]]="","",IF(Table2[[#This Row],[Currency]]=$O$2,$P$2,HLOOKUP(Table2[[#This Row],[Date]],Funds!$C$10:$GV$11,2,FALSE)))</f>
        <v/>
      </c>
      <c r="J5173" s="215" t="str">
        <f>IF(Table2[[#This Row],[Description]]="","",Table2[[#This Row],[Value]]/Table2[[#This Row],[Conversion]])</f>
        <v/>
      </c>
      <c r="K5173" s="45" t="str">
        <f>IF(Table2[[#This Row],[Description]]="","",DATE(Table2[[#This Row],[Year]],Table2[[#This Row],[Month]],1))</f>
        <v/>
      </c>
    </row>
    <row r="5174" spans="7:11" x14ac:dyDescent="0.25">
      <c r="G5174" s="1" t="str">
        <f>IF(Table2[[#This Row],[Description]]="","",VLOOKUP(Table2[[#This Row],[Description]],$Q$1:$S$101,2,FALSE))</f>
        <v/>
      </c>
      <c r="H5174" s="1" t="str">
        <f>IF(Table2[[#This Row],[Description]]="","",VLOOKUP(Table2[[#This Row],[Description]],$Q$1:$S$101,3,FALSE))</f>
        <v/>
      </c>
      <c r="I5174" s="1" t="str">
        <f>IF(Table2[[#This Row],[Description]]="","",IF(Table2[[#This Row],[Currency]]=$O$2,$P$2,HLOOKUP(Table2[[#This Row],[Date]],Funds!$C$10:$GV$11,2,FALSE)))</f>
        <v/>
      </c>
      <c r="J5174" s="215" t="str">
        <f>IF(Table2[[#This Row],[Description]]="","",Table2[[#This Row],[Value]]/Table2[[#This Row],[Conversion]])</f>
        <v/>
      </c>
      <c r="K5174" s="45" t="str">
        <f>IF(Table2[[#This Row],[Description]]="","",DATE(Table2[[#This Row],[Year]],Table2[[#This Row],[Month]],1))</f>
        <v/>
      </c>
    </row>
    <row r="5175" spans="7:11" x14ac:dyDescent="0.25">
      <c r="G5175" s="1" t="str">
        <f>IF(Table2[[#This Row],[Description]]="","",VLOOKUP(Table2[[#This Row],[Description]],$Q$1:$S$101,2,FALSE))</f>
        <v/>
      </c>
      <c r="H5175" s="1" t="str">
        <f>IF(Table2[[#This Row],[Description]]="","",VLOOKUP(Table2[[#This Row],[Description]],$Q$1:$S$101,3,FALSE))</f>
        <v/>
      </c>
      <c r="I5175" s="1" t="str">
        <f>IF(Table2[[#This Row],[Description]]="","",IF(Table2[[#This Row],[Currency]]=$O$2,$P$2,HLOOKUP(Table2[[#This Row],[Date]],Funds!$C$10:$GV$11,2,FALSE)))</f>
        <v/>
      </c>
      <c r="J5175" s="215" t="str">
        <f>IF(Table2[[#This Row],[Description]]="","",Table2[[#This Row],[Value]]/Table2[[#This Row],[Conversion]])</f>
        <v/>
      </c>
      <c r="K5175" s="45" t="str">
        <f>IF(Table2[[#This Row],[Description]]="","",DATE(Table2[[#This Row],[Year]],Table2[[#This Row],[Month]],1))</f>
        <v/>
      </c>
    </row>
    <row r="5176" spans="7:11" x14ac:dyDescent="0.25">
      <c r="G5176" s="1" t="str">
        <f>IF(Table2[[#This Row],[Description]]="","",VLOOKUP(Table2[[#This Row],[Description]],$Q$1:$S$101,2,FALSE))</f>
        <v/>
      </c>
      <c r="H5176" s="1" t="str">
        <f>IF(Table2[[#This Row],[Description]]="","",VLOOKUP(Table2[[#This Row],[Description]],$Q$1:$S$101,3,FALSE))</f>
        <v/>
      </c>
      <c r="I5176" s="1" t="str">
        <f>IF(Table2[[#This Row],[Description]]="","",IF(Table2[[#This Row],[Currency]]=$O$2,$P$2,HLOOKUP(Table2[[#This Row],[Date]],Funds!$C$10:$GV$11,2,FALSE)))</f>
        <v/>
      </c>
      <c r="J5176" s="215" t="str">
        <f>IF(Table2[[#This Row],[Description]]="","",Table2[[#This Row],[Value]]/Table2[[#This Row],[Conversion]])</f>
        <v/>
      </c>
      <c r="K5176" s="45" t="str">
        <f>IF(Table2[[#This Row],[Description]]="","",DATE(Table2[[#This Row],[Year]],Table2[[#This Row],[Month]],1))</f>
        <v/>
      </c>
    </row>
    <row r="5177" spans="7:11" x14ac:dyDescent="0.25">
      <c r="G5177" s="1" t="str">
        <f>IF(Table2[[#This Row],[Description]]="","",VLOOKUP(Table2[[#This Row],[Description]],$Q$1:$S$101,2,FALSE))</f>
        <v/>
      </c>
      <c r="H5177" s="1" t="str">
        <f>IF(Table2[[#This Row],[Description]]="","",VLOOKUP(Table2[[#This Row],[Description]],$Q$1:$S$101,3,FALSE))</f>
        <v/>
      </c>
      <c r="I5177" s="1" t="str">
        <f>IF(Table2[[#This Row],[Description]]="","",IF(Table2[[#This Row],[Currency]]=$O$2,$P$2,HLOOKUP(Table2[[#This Row],[Date]],Funds!$C$10:$GV$11,2,FALSE)))</f>
        <v/>
      </c>
      <c r="J5177" s="215" t="str">
        <f>IF(Table2[[#This Row],[Description]]="","",Table2[[#This Row],[Value]]/Table2[[#This Row],[Conversion]])</f>
        <v/>
      </c>
      <c r="K5177" s="45" t="str">
        <f>IF(Table2[[#This Row],[Description]]="","",DATE(Table2[[#This Row],[Year]],Table2[[#This Row],[Month]],1))</f>
        <v/>
      </c>
    </row>
    <row r="5178" spans="7:11" x14ac:dyDescent="0.25">
      <c r="G5178" s="1" t="str">
        <f>IF(Table2[[#This Row],[Description]]="","",VLOOKUP(Table2[[#This Row],[Description]],$Q$1:$S$101,2,FALSE))</f>
        <v/>
      </c>
      <c r="H5178" s="1" t="str">
        <f>IF(Table2[[#This Row],[Description]]="","",VLOOKUP(Table2[[#This Row],[Description]],$Q$1:$S$101,3,FALSE))</f>
        <v/>
      </c>
      <c r="I5178" s="1" t="str">
        <f>IF(Table2[[#This Row],[Description]]="","",IF(Table2[[#This Row],[Currency]]=$O$2,$P$2,HLOOKUP(Table2[[#This Row],[Date]],Funds!$C$10:$GV$11,2,FALSE)))</f>
        <v/>
      </c>
      <c r="J5178" s="215" t="str">
        <f>IF(Table2[[#This Row],[Description]]="","",Table2[[#This Row],[Value]]/Table2[[#This Row],[Conversion]])</f>
        <v/>
      </c>
      <c r="K5178" s="45" t="str">
        <f>IF(Table2[[#This Row],[Description]]="","",DATE(Table2[[#This Row],[Year]],Table2[[#This Row],[Month]],1))</f>
        <v/>
      </c>
    </row>
    <row r="5179" spans="7:11" x14ac:dyDescent="0.25">
      <c r="G5179" s="1" t="str">
        <f>IF(Table2[[#This Row],[Description]]="","",VLOOKUP(Table2[[#This Row],[Description]],$Q$1:$S$101,2,FALSE))</f>
        <v/>
      </c>
      <c r="H5179" s="1" t="str">
        <f>IF(Table2[[#This Row],[Description]]="","",VLOOKUP(Table2[[#This Row],[Description]],$Q$1:$S$101,3,FALSE))</f>
        <v/>
      </c>
      <c r="I5179" s="1" t="str">
        <f>IF(Table2[[#This Row],[Description]]="","",IF(Table2[[#This Row],[Currency]]=$O$2,$P$2,HLOOKUP(Table2[[#This Row],[Date]],Funds!$C$10:$GV$11,2,FALSE)))</f>
        <v/>
      </c>
      <c r="J5179" s="215" t="str">
        <f>IF(Table2[[#This Row],[Description]]="","",Table2[[#This Row],[Value]]/Table2[[#This Row],[Conversion]])</f>
        <v/>
      </c>
      <c r="K5179" s="45" t="str">
        <f>IF(Table2[[#This Row],[Description]]="","",DATE(Table2[[#This Row],[Year]],Table2[[#This Row],[Month]],1))</f>
        <v/>
      </c>
    </row>
    <row r="5180" spans="7:11" x14ac:dyDescent="0.25">
      <c r="G5180" s="1" t="str">
        <f>IF(Table2[[#This Row],[Description]]="","",VLOOKUP(Table2[[#This Row],[Description]],$Q$1:$S$101,2,FALSE))</f>
        <v/>
      </c>
      <c r="H5180" s="1" t="str">
        <f>IF(Table2[[#This Row],[Description]]="","",VLOOKUP(Table2[[#This Row],[Description]],$Q$1:$S$101,3,FALSE))</f>
        <v/>
      </c>
      <c r="I5180" s="1" t="str">
        <f>IF(Table2[[#This Row],[Description]]="","",IF(Table2[[#This Row],[Currency]]=$O$2,$P$2,HLOOKUP(Table2[[#This Row],[Date]],Funds!$C$10:$GV$11,2,FALSE)))</f>
        <v/>
      </c>
      <c r="J5180" s="215" t="str">
        <f>IF(Table2[[#This Row],[Description]]="","",Table2[[#This Row],[Value]]/Table2[[#This Row],[Conversion]])</f>
        <v/>
      </c>
      <c r="K5180" s="45" t="str">
        <f>IF(Table2[[#This Row],[Description]]="","",DATE(Table2[[#This Row],[Year]],Table2[[#This Row],[Month]],1))</f>
        <v/>
      </c>
    </row>
    <row r="5181" spans="7:11" x14ac:dyDescent="0.25">
      <c r="G5181" s="1" t="str">
        <f>IF(Table2[[#This Row],[Description]]="","",VLOOKUP(Table2[[#This Row],[Description]],$Q$1:$S$101,2,FALSE))</f>
        <v/>
      </c>
      <c r="H5181" s="1" t="str">
        <f>IF(Table2[[#This Row],[Description]]="","",VLOOKUP(Table2[[#This Row],[Description]],$Q$1:$S$101,3,FALSE))</f>
        <v/>
      </c>
      <c r="I5181" s="1" t="str">
        <f>IF(Table2[[#This Row],[Description]]="","",IF(Table2[[#This Row],[Currency]]=$O$2,$P$2,HLOOKUP(Table2[[#This Row],[Date]],Funds!$C$10:$GV$11,2,FALSE)))</f>
        <v/>
      </c>
      <c r="J5181" s="215" t="str">
        <f>IF(Table2[[#This Row],[Description]]="","",Table2[[#This Row],[Value]]/Table2[[#This Row],[Conversion]])</f>
        <v/>
      </c>
      <c r="K5181" s="45" t="str">
        <f>IF(Table2[[#This Row],[Description]]="","",DATE(Table2[[#This Row],[Year]],Table2[[#This Row],[Month]],1))</f>
        <v/>
      </c>
    </row>
    <row r="5182" spans="7:11" x14ac:dyDescent="0.25">
      <c r="G5182" s="1" t="str">
        <f>IF(Table2[[#This Row],[Description]]="","",VLOOKUP(Table2[[#This Row],[Description]],$Q$1:$S$101,2,FALSE))</f>
        <v/>
      </c>
      <c r="H5182" s="1" t="str">
        <f>IF(Table2[[#This Row],[Description]]="","",VLOOKUP(Table2[[#This Row],[Description]],$Q$1:$S$101,3,FALSE))</f>
        <v/>
      </c>
      <c r="I5182" s="1" t="str">
        <f>IF(Table2[[#This Row],[Description]]="","",IF(Table2[[#This Row],[Currency]]=$O$2,$P$2,HLOOKUP(Table2[[#This Row],[Date]],Funds!$C$10:$GV$11,2,FALSE)))</f>
        <v/>
      </c>
      <c r="J5182" s="215" t="str">
        <f>IF(Table2[[#This Row],[Description]]="","",Table2[[#This Row],[Value]]/Table2[[#This Row],[Conversion]])</f>
        <v/>
      </c>
      <c r="K5182" s="45" t="str">
        <f>IF(Table2[[#This Row],[Description]]="","",DATE(Table2[[#This Row],[Year]],Table2[[#This Row],[Month]],1))</f>
        <v/>
      </c>
    </row>
    <row r="5183" spans="7:11" x14ac:dyDescent="0.25">
      <c r="G5183" s="1" t="str">
        <f>IF(Table2[[#This Row],[Description]]="","",VLOOKUP(Table2[[#This Row],[Description]],$Q$1:$S$101,2,FALSE))</f>
        <v/>
      </c>
      <c r="H5183" s="1" t="str">
        <f>IF(Table2[[#This Row],[Description]]="","",VLOOKUP(Table2[[#This Row],[Description]],$Q$1:$S$101,3,FALSE))</f>
        <v/>
      </c>
      <c r="I5183" s="1" t="str">
        <f>IF(Table2[[#This Row],[Description]]="","",IF(Table2[[#This Row],[Currency]]=$O$2,$P$2,HLOOKUP(Table2[[#This Row],[Date]],Funds!$C$10:$GV$11,2,FALSE)))</f>
        <v/>
      </c>
      <c r="J5183" s="215" t="str">
        <f>IF(Table2[[#This Row],[Description]]="","",Table2[[#This Row],[Value]]/Table2[[#This Row],[Conversion]])</f>
        <v/>
      </c>
      <c r="K5183" s="45" t="str">
        <f>IF(Table2[[#This Row],[Description]]="","",DATE(Table2[[#This Row],[Year]],Table2[[#This Row],[Month]],1))</f>
        <v/>
      </c>
    </row>
    <row r="5184" spans="7:11" x14ac:dyDescent="0.25">
      <c r="G5184" s="1" t="str">
        <f>IF(Table2[[#This Row],[Description]]="","",VLOOKUP(Table2[[#This Row],[Description]],$Q$1:$S$101,2,FALSE))</f>
        <v/>
      </c>
      <c r="H5184" s="1" t="str">
        <f>IF(Table2[[#This Row],[Description]]="","",VLOOKUP(Table2[[#This Row],[Description]],$Q$1:$S$101,3,FALSE))</f>
        <v/>
      </c>
      <c r="I5184" s="1" t="str">
        <f>IF(Table2[[#This Row],[Description]]="","",IF(Table2[[#This Row],[Currency]]=$O$2,$P$2,HLOOKUP(Table2[[#This Row],[Date]],Funds!$C$10:$GV$11,2,FALSE)))</f>
        <v/>
      </c>
      <c r="J5184" s="215" t="str">
        <f>IF(Table2[[#This Row],[Description]]="","",Table2[[#This Row],[Value]]/Table2[[#This Row],[Conversion]])</f>
        <v/>
      </c>
      <c r="K5184" s="45" t="str">
        <f>IF(Table2[[#This Row],[Description]]="","",DATE(Table2[[#This Row],[Year]],Table2[[#This Row],[Month]],1))</f>
        <v/>
      </c>
    </row>
    <row r="5185" spans="7:11" x14ac:dyDescent="0.25">
      <c r="G5185" s="1" t="str">
        <f>IF(Table2[[#This Row],[Description]]="","",VLOOKUP(Table2[[#This Row],[Description]],$Q$1:$S$101,2,FALSE))</f>
        <v/>
      </c>
      <c r="H5185" s="1" t="str">
        <f>IF(Table2[[#This Row],[Description]]="","",VLOOKUP(Table2[[#This Row],[Description]],$Q$1:$S$101,3,FALSE))</f>
        <v/>
      </c>
      <c r="I5185" s="1" t="str">
        <f>IF(Table2[[#This Row],[Description]]="","",IF(Table2[[#This Row],[Currency]]=$O$2,$P$2,HLOOKUP(Table2[[#This Row],[Date]],Funds!$C$10:$GV$11,2,FALSE)))</f>
        <v/>
      </c>
      <c r="J5185" s="215" t="str">
        <f>IF(Table2[[#This Row],[Description]]="","",Table2[[#This Row],[Value]]/Table2[[#This Row],[Conversion]])</f>
        <v/>
      </c>
      <c r="K5185" s="45" t="str">
        <f>IF(Table2[[#This Row],[Description]]="","",DATE(Table2[[#This Row],[Year]],Table2[[#This Row],[Month]],1))</f>
        <v/>
      </c>
    </row>
    <row r="5186" spans="7:11" x14ac:dyDescent="0.25">
      <c r="G5186" s="1" t="str">
        <f>IF(Table2[[#This Row],[Description]]="","",VLOOKUP(Table2[[#This Row],[Description]],$Q$1:$S$101,2,FALSE))</f>
        <v/>
      </c>
      <c r="H5186" s="1" t="str">
        <f>IF(Table2[[#This Row],[Description]]="","",VLOOKUP(Table2[[#This Row],[Description]],$Q$1:$S$101,3,FALSE))</f>
        <v/>
      </c>
      <c r="I5186" s="1" t="str">
        <f>IF(Table2[[#This Row],[Description]]="","",IF(Table2[[#This Row],[Currency]]=$O$2,$P$2,HLOOKUP(Table2[[#This Row],[Date]],Funds!$C$10:$GV$11,2,FALSE)))</f>
        <v/>
      </c>
      <c r="J5186" s="215" t="str">
        <f>IF(Table2[[#This Row],[Description]]="","",Table2[[#This Row],[Value]]/Table2[[#This Row],[Conversion]])</f>
        <v/>
      </c>
      <c r="K5186" s="45" t="str">
        <f>IF(Table2[[#This Row],[Description]]="","",DATE(Table2[[#This Row],[Year]],Table2[[#This Row],[Month]],1))</f>
        <v/>
      </c>
    </row>
    <row r="5187" spans="7:11" x14ac:dyDescent="0.25">
      <c r="G5187" s="1" t="str">
        <f>IF(Table2[[#This Row],[Description]]="","",VLOOKUP(Table2[[#This Row],[Description]],$Q$1:$S$101,2,FALSE))</f>
        <v/>
      </c>
      <c r="H5187" s="1" t="str">
        <f>IF(Table2[[#This Row],[Description]]="","",VLOOKUP(Table2[[#This Row],[Description]],$Q$1:$S$101,3,FALSE))</f>
        <v/>
      </c>
      <c r="I5187" s="1" t="str">
        <f>IF(Table2[[#This Row],[Description]]="","",IF(Table2[[#This Row],[Currency]]=$O$2,$P$2,HLOOKUP(Table2[[#This Row],[Date]],Funds!$C$10:$GV$11,2,FALSE)))</f>
        <v/>
      </c>
      <c r="J5187" s="215" t="str">
        <f>IF(Table2[[#This Row],[Description]]="","",Table2[[#This Row],[Value]]/Table2[[#This Row],[Conversion]])</f>
        <v/>
      </c>
      <c r="K5187" s="45" t="str">
        <f>IF(Table2[[#This Row],[Description]]="","",DATE(Table2[[#This Row],[Year]],Table2[[#This Row],[Month]],1))</f>
        <v/>
      </c>
    </row>
    <row r="5188" spans="7:11" x14ac:dyDescent="0.25">
      <c r="G5188" s="1" t="str">
        <f>IF(Table2[[#This Row],[Description]]="","",VLOOKUP(Table2[[#This Row],[Description]],$Q$1:$S$101,2,FALSE))</f>
        <v/>
      </c>
      <c r="H5188" s="1" t="str">
        <f>IF(Table2[[#This Row],[Description]]="","",VLOOKUP(Table2[[#This Row],[Description]],$Q$1:$S$101,3,FALSE))</f>
        <v/>
      </c>
      <c r="I5188" s="1" t="str">
        <f>IF(Table2[[#This Row],[Description]]="","",IF(Table2[[#This Row],[Currency]]=$O$2,$P$2,HLOOKUP(Table2[[#This Row],[Date]],Funds!$C$10:$GV$11,2,FALSE)))</f>
        <v/>
      </c>
      <c r="J5188" s="215" t="str">
        <f>IF(Table2[[#This Row],[Description]]="","",Table2[[#This Row],[Value]]/Table2[[#This Row],[Conversion]])</f>
        <v/>
      </c>
      <c r="K5188" s="45" t="str">
        <f>IF(Table2[[#This Row],[Description]]="","",DATE(Table2[[#This Row],[Year]],Table2[[#This Row],[Month]],1))</f>
        <v/>
      </c>
    </row>
    <row r="5189" spans="7:11" x14ac:dyDescent="0.25">
      <c r="G5189" s="1" t="str">
        <f>IF(Table2[[#This Row],[Description]]="","",VLOOKUP(Table2[[#This Row],[Description]],$Q$1:$S$101,2,FALSE))</f>
        <v/>
      </c>
      <c r="H5189" s="1" t="str">
        <f>IF(Table2[[#This Row],[Description]]="","",VLOOKUP(Table2[[#This Row],[Description]],$Q$1:$S$101,3,FALSE))</f>
        <v/>
      </c>
      <c r="I5189" s="1" t="str">
        <f>IF(Table2[[#This Row],[Description]]="","",IF(Table2[[#This Row],[Currency]]=$O$2,$P$2,HLOOKUP(Table2[[#This Row],[Date]],Funds!$C$10:$GV$11,2,FALSE)))</f>
        <v/>
      </c>
      <c r="J5189" s="215" t="str">
        <f>IF(Table2[[#This Row],[Description]]="","",Table2[[#This Row],[Value]]/Table2[[#This Row],[Conversion]])</f>
        <v/>
      </c>
      <c r="K5189" s="45" t="str">
        <f>IF(Table2[[#This Row],[Description]]="","",DATE(Table2[[#This Row],[Year]],Table2[[#This Row],[Month]],1))</f>
        <v/>
      </c>
    </row>
    <row r="5190" spans="7:11" x14ac:dyDescent="0.25">
      <c r="G5190" s="1" t="str">
        <f>IF(Table2[[#This Row],[Description]]="","",VLOOKUP(Table2[[#This Row],[Description]],$Q$1:$S$101,2,FALSE))</f>
        <v/>
      </c>
      <c r="H5190" s="1" t="str">
        <f>IF(Table2[[#This Row],[Description]]="","",VLOOKUP(Table2[[#This Row],[Description]],$Q$1:$S$101,3,FALSE))</f>
        <v/>
      </c>
      <c r="I5190" s="1" t="str">
        <f>IF(Table2[[#This Row],[Description]]="","",IF(Table2[[#This Row],[Currency]]=$O$2,$P$2,HLOOKUP(Table2[[#This Row],[Date]],Funds!$C$10:$GV$11,2,FALSE)))</f>
        <v/>
      </c>
      <c r="J5190" s="215" t="str">
        <f>IF(Table2[[#This Row],[Description]]="","",Table2[[#This Row],[Value]]/Table2[[#This Row],[Conversion]])</f>
        <v/>
      </c>
      <c r="K5190" s="45" t="str">
        <f>IF(Table2[[#This Row],[Description]]="","",DATE(Table2[[#This Row],[Year]],Table2[[#This Row],[Month]],1))</f>
        <v/>
      </c>
    </row>
    <row r="5191" spans="7:11" x14ac:dyDescent="0.25">
      <c r="G5191" s="1" t="str">
        <f>IF(Table2[[#This Row],[Description]]="","",VLOOKUP(Table2[[#This Row],[Description]],$Q$1:$S$101,2,FALSE))</f>
        <v/>
      </c>
      <c r="H5191" s="1" t="str">
        <f>IF(Table2[[#This Row],[Description]]="","",VLOOKUP(Table2[[#This Row],[Description]],$Q$1:$S$101,3,FALSE))</f>
        <v/>
      </c>
      <c r="I5191" s="1" t="str">
        <f>IF(Table2[[#This Row],[Description]]="","",IF(Table2[[#This Row],[Currency]]=$O$2,$P$2,HLOOKUP(Table2[[#This Row],[Date]],Funds!$C$10:$GV$11,2,FALSE)))</f>
        <v/>
      </c>
      <c r="J5191" s="215" t="str">
        <f>IF(Table2[[#This Row],[Description]]="","",Table2[[#This Row],[Value]]/Table2[[#This Row],[Conversion]])</f>
        <v/>
      </c>
      <c r="K5191" s="45" t="str">
        <f>IF(Table2[[#This Row],[Description]]="","",DATE(Table2[[#This Row],[Year]],Table2[[#This Row],[Month]],1))</f>
        <v/>
      </c>
    </row>
    <row r="5192" spans="7:11" x14ac:dyDescent="0.25">
      <c r="G5192" s="1" t="str">
        <f>IF(Table2[[#This Row],[Description]]="","",VLOOKUP(Table2[[#This Row],[Description]],$Q$1:$S$101,2,FALSE))</f>
        <v/>
      </c>
      <c r="H5192" s="1" t="str">
        <f>IF(Table2[[#This Row],[Description]]="","",VLOOKUP(Table2[[#This Row],[Description]],$Q$1:$S$101,3,FALSE))</f>
        <v/>
      </c>
      <c r="I5192" s="1" t="str">
        <f>IF(Table2[[#This Row],[Description]]="","",IF(Table2[[#This Row],[Currency]]=$O$2,$P$2,HLOOKUP(Table2[[#This Row],[Date]],Funds!$C$10:$GV$11,2,FALSE)))</f>
        <v/>
      </c>
      <c r="J5192" s="215" t="str">
        <f>IF(Table2[[#This Row],[Description]]="","",Table2[[#This Row],[Value]]/Table2[[#This Row],[Conversion]])</f>
        <v/>
      </c>
      <c r="K5192" s="45" t="str">
        <f>IF(Table2[[#This Row],[Description]]="","",DATE(Table2[[#This Row],[Year]],Table2[[#This Row],[Month]],1))</f>
        <v/>
      </c>
    </row>
    <row r="5193" spans="7:11" x14ac:dyDescent="0.25">
      <c r="G5193" s="1" t="str">
        <f>IF(Table2[[#This Row],[Description]]="","",VLOOKUP(Table2[[#This Row],[Description]],$Q$1:$S$101,2,FALSE))</f>
        <v/>
      </c>
      <c r="H5193" s="1" t="str">
        <f>IF(Table2[[#This Row],[Description]]="","",VLOOKUP(Table2[[#This Row],[Description]],$Q$1:$S$101,3,FALSE))</f>
        <v/>
      </c>
      <c r="I5193" s="1" t="str">
        <f>IF(Table2[[#This Row],[Description]]="","",IF(Table2[[#This Row],[Currency]]=$O$2,$P$2,HLOOKUP(Table2[[#This Row],[Date]],Funds!$C$10:$GV$11,2,FALSE)))</f>
        <v/>
      </c>
      <c r="J5193" s="215" t="str">
        <f>IF(Table2[[#This Row],[Description]]="","",Table2[[#This Row],[Value]]/Table2[[#This Row],[Conversion]])</f>
        <v/>
      </c>
      <c r="K5193" s="45" t="str">
        <f>IF(Table2[[#This Row],[Description]]="","",DATE(Table2[[#This Row],[Year]],Table2[[#This Row],[Month]],1))</f>
        <v/>
      </c>
    </row>
    <row r="5194" spans="7:11" x14ac:dyDescent="0.25">
      <c r="G5194" s="1" t="str">
        <f>IF(Table2[[#This Row],[Description]]="","",VLOOKUP(Table2[[#This Row],[Description]],$Q$1:$S$101,2,FALSE))</f>
        <v/>
      </c>
      <c r="H5194" s="1" t="str">
        <f>IF(Table2[[#This Row],[Description]]="","",VLOOKUP(Table2[[#This Row],[Description]],$Q$1:$S$101,3,FALSE))</f>
        <v/>
      </c>
      <c r="I5194" s="1" t="str">
        <f>IF(Table2[[#This Row],[Description]]="","",IF(Table2[[#This Row],[Currency]]=$O$2,$P$2,HLOOKUP(Table2[[#This Row],[Date]],Funds!$C$10:$GV$11,2,FALSE)))</f>
        <v/>
      </c>
      <c r="J5194" s="215" t="str">
        <f>IF(Table2[[#This Row],[Description]]="","",Table2[[#This Row],[Value]]/Table2[[#This Row],[Conversion]])</f>
        <v/>
      </c>
      <c r="K5194" s="45" t="str">
        <f>IF(Table2[[#This Row],[Description]]="","",DATE(Table2[[#This Row],[Year]],Table2[[#This Row],[Month]],1))</f>
        <v/>
      </c>
    </row>
    <row r="5195" spans="7:11" x14ac:dyDescent="0.25">
      <c r="G5195" s="1" t="str">
        <f>IF(Table2[[#This Row],[Description]]="","",VLOOKUP(Table2[[#This Row],[Description]],$Q$1:$S$101,2,FALSE))</f>
        <v/>
      </c>
      <c r="H5195" s="1" t="str">
        <f>IF(Table2[[#This Row],[Description]]="","",VLOOKUP(Table2[[#This Row],[Description]],$Q$1:$S$101,3,FALSE))</f>
        <v/>
      </c>
      <c r="I5195" s="1" t="str">
        <f>IF(Table2[[#This Row],[Description]]="","",IF(Table2[[#This Row],[Currency]]=$O$2,$P$2,HLOOKUP(Table2[[#This Row],[Date]],Funds!$C$10:$GV$11,2,FALSE)))</f>
        <v/>
      </c>
      <c r="J5195" s="215" t="str">
        <f>IF(Table2[[#This Row],[Description]]="","",Table2[[#This Row],[Value]]/Table2[[#This Row],[Conversion]])</f>
        <v/>
      </c>
      <c r="K5195" s="45" t="str">
        <f>IF(Table2[[#This Row],[Description]]="","",DATE(Table2[[#This Row],[Year]],Table2[[#This Row],[Month]],1))</f>
        <v/>
      </c>
    </row>
    <row r="5196" spans="7:11" x14ac:dyDescent="0.25">
      <c r="G5196" s="1" t="str">
        <f>IF(Table2[[#This Row],[Description]]="","",VLOOKUP(Table2[[#This Row],[Description]],$Q$1:$S$101,2,FALSE))</f>
        <v/>
      </c>
      <c r="H5196" s="1" t="str">
        <f>IF(Table2[[#This Row],[Description]]="","",VLOOKUP(Table2[[#This Row],[Description]],$Q$1:$S$101,3,FALSE))</f>
        <v/>
      </c>
      <c r="I5196" s="1" t="str">
        <f>IF(Table2[[#This Row],[Description]]="","",IF(Table2[[#This Row],[Currency]]=$O$2,$P$2,HLOOKUP(Table2[[#This Row],[Date]],Funds!$C$10:$GV$11,2,FALSE)))</f>
        <v/>
      </c>
      <c r="J5196" s="215" t="str">
        <f>IF(Table2[[#This Row],[Description]]="","",Table2[[#This Row],[Value]]/Table2[[#This Row],[Conversion]])</f>
        <v/>
      </c>
      <c r="K5196" s="45" t="str">
        <f>IF(Table2[[#This Row],[Description]]="","",DATE(Table2[[#This Row],[Year]],Table2[[#This Row],[Month]],1))</f>
        <v/>
      </c>
    </row>
    <row r="5197" spans="7:11" x14ac:dyDescent="0.25">
      <c r="G5197" s="1" t="str">
        <f>IF(Table2[[#This Row],[Description]]="","",VLOOKUP(Table2[[#This Row],[Description]],$Q$1:$S$101,2,FALSE))</f>
        <v/>
      </c>
      <c r="H5197" s="1" t="str">
        <f>IF(Table2[[#This Row],[Description]]="","",VLOOKUP(Table2[[#This Row],[Description]],$Q$1:$S$101,3,FALSE))</f>
        <v/>
      </c>
      <c r="I5197" s="1" t="str">
        <f>IF(Table2[[#This Row],[Description]]="","",IF(Table2[[#This Row],[Currency]]=$O$2,$P$2,HLOOKUP(Table2[[#This Row],[Date]],Funds!$C$10:$GV$11,2,FALSE)))</f>
        <v/>
      </c>
      <c r="J5197" s="215" t="str">
        <f>IF(Table2[[#This Row],[Description]]="","",Table2[[#This Row],[Value]]/Table2[[#This Row],[Conversion]])</f>
        <v/>
      </c>
      <c r="K5197" s="45" t="str">
        <f>IF(Table2[[#This Row],[Description]]="","",DATE(Table2[[#This Row],[Year]],Table2[[#This Row],[Month]],1))</f>
        <v/>
      </c>
    </row>
    <row r="5198" spans="7:11" x14ac:dyDescent="0.25">
      <c r="G5198" s="1" t="str">
        <f>IF(Table2[[#This Row],[Description]]="","",VLOOKUP(Table2[[#This Row],[Description]],$Q$1:$S$101,2,FALSE))</f>
        <v/>
      </c>
      <c r="H5198" s="1" t="str">
        <f>IF(Table2[[#This Row],[Description]]="","",VLOOKUP(Table2[[#This Row],[Description]],$Q$1:$S$101,3,FALSE))</f>
        <v/>
      </c>
      <c r="I5198" s="1" t="str">
        <f>IF(Table2[[#This Row],[Description]]="","",IF(Table2[[#This Row],[Currency]]=$O$2,$P$2,HLOOKUP(Table2[[#This Row],[Date]],Funds!$C$10:$GV$11,2,FALSE)))</f>
        <v/>
      </c>
      <c r="J5198" s="215" t="str">
        <f>IF(Table2[[#This Row],[Description]]="","",Table2[[#This Row],[Value]]/Table2[[#This Row],[Conversion]])</f>
        <v/>
      </c>
      <c r="K5198" s="45" t="str">
        <f>IF(Table2[[#This Row],[Description]]="","",DATE(Table2[[#This Row],[Year]],Table2[[#This Row],[Month]],1))</f>
        <v/>
      </c>
    </row>
    <row r="5199" spans="7:11" x14ac:dyDescent="0.25">
      <c r="G5199" s="1" t="str">
        <f>IF(Table2[[#This Row],[Description]]="","",VLOOKUP(Table2[[#This Row],[Description]],$Q$1:$S$101,2,FALSE))</f>
        <v/>
      </c>
      <c r="H5199" s="1" t="str">
        <f>IF(Table2[[#This Row],[Description]]="","",VLOOKUP(Table2[[#This Row],[Description]],$Q$1:$S$101,3,FALSE))</f>
        <v/>
      </c>
      <c r="I5199" s="1" t="str">
        <f>IF(Table2[[#This Row],[Description]]="","",IF(Table2[[#This Row],[Currency]]=$O$2,$P$2,HLOOKUP(Table2[[#This Row],[Date]],Funds!$C$10:$GV$11,2,FALSE)))</f>
        <v/>
      </c>
      <c r="J5199" s="215" t="str">
        <f>IF(Table2[[#This Row],[Description]]="","",Table2[[#This Row],[Value]]/Table2[[#This Row],[Conversion]])</f>
        <v/>
      </c>
      <c r="K5199" s="45" t="str">
        <f>IF(Table2[[#This Row],[Description]]="","",DATE(Table2[[#This Row],[Year]],Table2[[#This Row],[Month]],1))</f>
        <v/>
      </c>
    </row>
    <row r="5200" spans="7:11" x14ac:dyDescent="0.25">
      <c r="G5200" s="1" t="str">
        <f>IF(Table2[[#This Row],[Description]]="","",VLOOKUP(Table2[[#This Row],[Description]],$Q$1:$S$101,2,FALSE))</f>
        <v/>
      </c>
      <c r="H5200" s="1" t="str">
        <f>IF(Table2[[#This Row],[Description]]="","",VLOOKUP(Table2[[#This Row],[Description]],$Q$1:$S$101,3,FALSE))</f>
        <v/>
      </c>
      <c r="I5200" s="1" t="str">
        <f>IF(Table2[[#This Row],[Description]]="","",IF(Table2[[#This Row],[Currency]]=$O$2,$P$2,HLOOKUP(Table2[[#This Row],[Date]],Funds!$C$10:$GV$11,2,FALSE)))</f>
        <v/>
      </c>
      <c r="J5200" s="215" t="str">
        <f>IF(Table2[[#This Row],[Description]]="","",Table2[[#This Row],[Value]]/Table2[[#This Row],[Conversion]])</f>
        <v/>
      </c>
      <c r="K5200" s="45" t="str">
        <f>IF(Table2[[#This Row],[Description]]="","",DATE(Table2[[#This Row],[Year]],Table2[[#This Row],[Month]],1))</f>
        <v/>
      </c>
    </row>
    <row r="5201" spans="7:11" x14ac:dyDescent="0.25">
      <c r="G5201" s="1" t="str">
        <f>IF(Table2[[#This Row],[Description]]="","",VLOOKUP(Table2[[#This Row],[Description]],$Q$1:$S$101,2,FALSE))</f>
        <v/>
      </c>
      <c r="H5201" s="1" t="str">
        <f>IF(Table2[[#This Row],[Description]]="","",VLOOKUP(Table2[[#This Row],[Description]],$Q$1:$S$101,3,FALSE))</f>
        <v/>
      </c>
      <c r="I5201" s="1" t="str">
        <f>IF(Table2[[#This Row],[Description]]="","",IF(Table2[[#This Row],[Currency]]=$O$2,$P$2,HLOOKUP(Table2[[#This Row],[Date]],Funds!$C$10:$GV$11,2,FALSE)))</f>
        <v/>
      </c>
      <c r="J5201" s="215" t="str">
        <f>IF(Table2[[#This Row],[Description]]="","",Table2[[#This Row],[Value]]/Table2[[#This Row],[Conversion]])</f>
        <v/>
      </c>
      <c r="K5201" s="45" t="str">
        <f>IF(Table2[[#This Row],[Description]]="","",DATE(Table2[[#This Row],[Year]],Table2[[#This Row],[Month]],1))</f>
        <v/>
      </c>
    </row>
    <row r="5202" spans="7:11" x14ac:dyDescent="0.25">
      <c r="G5202" s="1" t="str">
        <f>IF(Table2[[#This Row],[Description]]="","",VLOOKUP(Table2[[#This Row],[Description]],$Q$1:$S$101,2,FALSE))</f>
        <v/>
      </c>
      <c r="H5202" s="1" t="str">
        <f>IF(Table2[[#This Row],[Description]]="","",VLOOKUP(Table2[[#This Row],[Description]],$Q$1:$S$101,3,FALSE))</f>
        <v/>
      </c>
      <c r="I5202" s="1" t="str">
        <f>IF(Table2[[#This Row],[Description]]="","",IF(Table2[[#This Row],[Currency]]=$O$2,$P$2,HLOOKUP(Table2[[#This Row],[Date]],Funds!$C$10:$GV$11,2,FALSE)))</f>
        <v/>
      </c>
      <c r="J5202" s="215" t="str">
        <f>IF(Table2[[#This Row],[Description]]="","",Table2[[#This Row],[Value]]/Table2[[#This Row],[Conversion]])</f>
        <v/>
      </c>
      <c r="K5202" s="45" t="str">
        <f>IF(Table2[[#This Row],[Description]]="","",DATE(Table2[[#This Row],[Year]],Table2[[#This Row],[Month]],1))</f>
        <v/>
      </c>
    </row>
    <row r="5203" spans="7:11" x14ac:dyDescent="0.25">
      <c r="G5203" s="1" t="str">
        <f>IF(Table2[[#This Row],[Description]]="","",VLOOKUP(Table2[[#This Row],[Description]],$Q$1:$S$101,2,FALSE))</f>
        <v/>
      </c>
      <c r="H5203" s="1" t="str">
        <f>IF(Table2[[#This Row],[Description]]="","",VLOOKUP(Table2[[#This Row],[Description]],$Q$1:$S$101,3,FALSE))</f>
        <v/>
      </c>
      <c r="I5203" s="1" t="str">
        <f>IF(Table2[[#This Row],[Description]]="","",IF(Table2[[#This Row],[Currency]]=$O$2,$P$2,HLOOKUP(Table2[[#This Row],[Date]],Funds!$C$10:$GV$11,2,FALSE)))</f>
        <v/>
      </c>
      <c r="J5203" s="215" t="str">
        <f>IF(Table2[[#This Row],[Description]]="","",Table2[[#This Row],[Value]]/Table2[[#This Row],[Conversion]])</f>
        <v/>
      </c>
      <c r="K5203" s="45" t="str">
        <f>IF(Table2[[#This Row],[Description]]="","",DATE(Table2[[#This Row],[Year]],Table2[[#This Row],[Month]],1))</f>
        <v/>
      </c>
    </row>
    <row r="5204" spans="7:11" x14ac:dyDescent="0.25">
      <c r="G5204" s="1" t="str">
        <f>IF(Table2[[#This Row],[Description]]="","",VLOOKUP(Table2[[#This Row],[Description]],$Q$1:$S$101,2,FALSE))</f>
        <v/>
      </c>
      <c r="H5204" s="1" t="str">
        <f>IF(Table2[[#This Row],[Description]]="","",VLOOKUP(Table2[[#This Row],[Description]],$Q$1:$S$101,3,FALSE))</f>
        <v/>
      </c>
      <c r="I5204" s="1" t="str">
        <f>IF(Table2[[#This Row],[Description]]="","",IF(Table2[[#This Row],[Currency]]=$O$2,$P$2,HLOOKUP(Table2[[#This Row],[Date]],Funds!$C$10:$GV$11,2,FALSE)))</f>
        <v/>
      </c>
      <c r="J5204" s="215" t="str">
        <f>IF(Table2[[#This Row],[Description]]="","",Table2[[#This Row],[Value]]/Table2[[#This Row],[Conversion]])</f>
        <v/>
      </c>
      <c r="K5204" s="45" t="str">
        <f>IF(Table2[[#This Row],[Description]]="","",DATE(Table2[[#This Row],[Year]],Table2[[#This Row],[Month]],1))</f>
        <v/>
      </c>
    </row>
    <row r="5205" spans="7:11" x14ac:dyDescent="0.25">
      <c r="G5205" s="1" t="str">
        <f>IF(Table2[[#This Row],[Description]]="","",VLOOKUP(Table2[[#This Row],[Description]],$Q$1:$S$101,2,FALSE))</f>
        <v/>
      </c>
      <c r="H5205" s="1" t="str">
        <f>IF(Table2[[#This Row],[Description]]="","",VLOOKUP(Table2[[#This Row],[Description]],$Q$1:$S$101,3,FALSE))</f>
        <v/>
      </c>
      <c r="I5205" s="1" t="str">
        <f>IF(Table2[[#This Row],[Description]]="","",IF(Table2[[#This Row],[Currency]]=$O$2,$P$2,HLOOKUP(Table2[[#This Row],[Date]],Funds!$C$10:$GV$11,2,FALSE)))</f>
        <v/>
      </c>
      <c r="J5205" s="215" t="str">
        <f>IF(Table2[[#This Row],[Description]]="","",Table2[[#This Row],[Value]]/Table2[[#This Row],[Conversion]])</f>
        <v/>
      </c>
      <c r="K5205" s="45" t="str">
        <f>IF(Table2[[#This Row],[Description]]="","",DATE(Table2[[#This Row],[Year]],Table2[[#This Row],[Month]],1))</f>
        <v/>
      </c>
    </row>
    <row r="5206" spans="7:11" x14ac:dyDescent="0.25">
      <c r="G5206" s="1" t="str">
        <f>IF(Table2[[#This Row],[Description]]="","",VLOOKUP(Table2[[#This Row],[Description]],$Q$1:$S$101,2,FALSE))</f>
        <v/>
      </c>
      <c r="H5206" s="1" t="str">
        <f>IF(Table2[[#This Row],[Description]]="","",VLOOKUP(Table2[[#This Row],[Description]],$Q$1:$S$101,3,FALSE))</f>
        <v/>
      </c>
      <c r="I5206" s="1" t="str">
        <f>IF(Table2[[#This Row],[Description]]="","",IF(Table2[[#This Row],[Currency]]=$O$2,$P$2,HLOOKUP(Table2[[#This Row],[Date]],Funds!$C$10:$GV$11,2,FALSE)))</f>
        <v/>
      </c>
      <c r="J5206" s="215" t="str">
        <f>IF(Table2[[#This Row],[Description]]="","",Table2[[#This Row],[Value]]/Table2[[#This Row],[Conversion]])</f>
        <v/>
      </c>
      <c r="K5206" s="45" t="str">
        <f>IF(Table2[[#This Row],[Description]]="","",DATE(Table2[[#This Row],[Year]],Table2[[#This Row],[Month]],1))</f>
        <v/>
      </c>
    </row>
    <row r="5207" spans="7:11" x14ac:dyDescent="0.25">
      <c r="G5207" s="1" t="str">
        <f>IF(Table2[[#This Row],[Description]]="","",VLOOKUP(Table2[[#This Row],[Description]],$Q$1:$S$101,2,FALSE))</f>
        <v/>
      </c>
      <c r="H5207" s="1" t="str">
        <f>IF(Table2[[#This Row],[Description]]="","",VLOOKUP(Table2[[#This Row],[Description]],$Q$1:$S$101,3,FALSE))</f>
        <v/>
      </c>
      <c r="I5207" s="1" t="str">
        <f>IF(Table2[[#This Row],[Description]]="","",IF(Table2[[#This Row],[Currency]]=$O$2,$P$2,HLOOKUP(Table2[[#This Row],[Date]],Funds!$C$10:$GV$11,2,FALSE)))</f>
        <v/>
      </c>
      <c r="J5207" s="215" t="str">
        <f>IF(Table2[[#This Row],[Description]]="","",Table2[[#This Row],[Value]]/Table2[[#This Row],[Conversion]])</f>
        <v/>
      </c>
      <c r="K5207" s="45" t="str">
        <f>IF(Table2[[#This Row],[Description]]="","",DATE(Table2[[#This Row],[Year]],Table2[[#This Row],[Month]],1))</f>
        <v/>
      </c>
    </row>
    <row r="5208" spans="7:11" x14ac:dyDescent="0.25">
      <c r="G5208" s="1" t="str">
        <f>IF(Table2[[#This Row],[Description]]="","",VLOOKUP(Table2[[#This Row],[Description]],$Q$1:$S$101,2,FALSE))</f>
        <v/>
      </c>
      <c r="H5208" s="1" t="str">
        <f>IF(Table2[[#This Row],[Description]]="","",VLOOKUP(Table2[[#This Row],[Description]],$Q$1:$S$101,3,FALSE))</f>
        <v/>
      </c>
      <c r="I5208" s="1" t="str">
        <f>IF(Table2[[#This Row],[Description]]="","",IF(Table2[[#This Row],[Currency]]=$O$2,$P$2,HLOOKUP(Table2[[#This Row],[Date]],Funds!$C$10:$GV$11,2,FALSE)))</f>
        <v/>
      </c>
      <c r="J5208" s="215" t="str">
        <f>IF(Table2[[#This Row],[Description]]="","",Table2[[#This Row],[Value]]/Table2[[#This Row],[Conversion]])</f>
        <v/>
      </c>
      <c r="K5208" s="45" t="str">
        <f>IF(Table2[[#This Row],[Description]]="","",DATE(Table2[[#This Row],[Year]],Table2[[#This Row],[Month]],1))</f>
        <v/>
      </c>
    </row>
    <row r="5209" spans="7:11" x14ac:dyDescent="0.25">
      <c r="G5209" s="1" t="str">
        <f>IF(Table2[[#This Row],[Description]]="","",VLOOKUP(Table2[[#This Row],[Description]],$Q$1:$S$101,2,FALSE))</f>
        <v/>
      </c>
      <c r="H5209" s="1" t="str">
        <f>IF(Table2[[#This Row],[Description]]="","",VLOOKUP(Table2[[#This Row],[Description]],$Q$1:$S$101,3,FALSE))</f>
        <v/>
      </c>
      <c r="I5209" s="1" t="str">
        <f>IF(Table2[[#This Row],[Description]]="","",IF(Table2[[#This Row],[Currency]]=$O$2,$P$2,HLOOKUP(Table2[[#This Row],[Date]],Funds!$C$10:$GV$11,2,FALSE)))</f>
        <v/>
      </c>
      <c r="J5209" s="215" t="str">
        <f>IF(Table2[[#This Row],[Description]]="","",Table2[[#This Row],[Value]]/Table2[[#This Row],[Conversion]])</f>
        <v/>
      </c>
      <c r="K5209" s="45" t="str">
        <f>IF(Table2[[#This Row],[Description]]="","",DATE(Table2[[#This Row],[Year]],Table2[[#This Row],[Month]],1))</f>
        <v/>
      </c>
    </row>
    <row r="5210" spans="7:11" x14ac:dyDescent="0.25">
      <c r="G5210" s="1" t="str">
        <f>IF(Table2[[#This Row],[Description]]="","",VLOOKUP(Table2[[#This Row],[Description]],$Q$1:$S$101,2,FALSE))</f>
        <v/>
      </c>
      <c r="H5210" s="1" t="str">
        <f>IF(Table2[[#This Row],[Description]]="","",VLOOKUP(Table2[[#This Row],[Description]],$Q$1:$S$101,3,FALSE))</f>
        <v/>
      </c>
      <c r="I5210" s="1" t="str">
        <f>IF(Table2[[#This Row],[Description]]="","",IF(Table2[[#This Row],[Currency]]=$O$2,$P$2,HLOOKUP(Table2[[#This Row],[Date]],Funds!$C$10:$GV$11,2,FALSE)))</f>
        <v/>
      </c>
      <c r="J5210" s="215" t="str">
        <f>IF(Table2[[#This Row],[Description]]="","",Table2[[#This Row],[Value]]/Table2[[#This Row],[Conversion]])</f>
        <v/>
      </c>
      <c r="K5210" s="45" t="str">
        <f>IF(Table2[[#This Row],[Description]]="","",DATE(Table2[[#This Row],[Year]],Table2[[#This Row],[Month]],1))</f>
        <v/>
      </c>
    </row>
    <row r="5211" spans="7:11" x14ac:dyDescent="0.25">
      <c r="G5211" s="1" t="str">
        <f>IF(Table2[[#This Row],[Description]]="","",VLOOKUP(Table2[[#This Row],[Description]],$Q$1:$S$101,2,FALSE))</f>
        <v/>
      </c>
      <c r="H5211" s="1" t="str">
        <f>IF(Table2[[#This Row],[Description]]="","",VLOOKUP(Table2[[#This Row],[Description]],$Q$1:$S$101,3,FALSE))</f>
        <v/>
      </c>
      <c r="I5211" s="1" t="str">
        <f>IF(Table2[[#This Row],[Description]]="","",IF(Table2[[#This Row],[Currency]]=$O$2,$P$2,HLOOKUP(Table2[[#This Row],[Date]],Funds!$C$10:$GV$11,2,FALSE)))</f>
        <v/>
      </c>
      <c r="J5211" s="215" t="str">
        <f>IF(Table2[[#This Row],[Description]]="","",Table2[[#This Row],[Value]]/Table2[[#This Row],[Conversion]])</f>
        <v/>
      </c>
      <c r="K5211" s="45" t="str">
        <f>IF(Table2[[#This Row],[Description]]="","",DATE(Table2[[#This Row],[Year]],Table2[[#This Row],[Month]],1))</f>
        <v/>
      </c>
    </row>
    <row r="5212" spans="7:11" x14ac:dyDescent="0.25">
      <c r="G5212" s="1" t="str">
        <f>IF(Table2[[#This Row],[Description]]="","",VLOOKUP(Table2[[#This Row],[Description]],$Q$1:$S$101,2,FALSE))</f>
        <v/>
      </c>
      <c r="H5212" s="1" t="str">
        <f>IF(Table2[[#This Row],[Description]]="","",VLOOKUP(Table2[[#This Row],[Description]],$Q$1:$S$101,3,FALSE))</f>
        <v/>
      </c>
      <c r="I5212" s="1" t="str">
        <f>IF(Table2[[#This Row],[Description]]="","",IF(Table2[[#This Row],[Currency]]=$O$2,$P$2,HLOOKUP(Table2[[#This Row],[Date]],Funds!$C$10:$GV$11,2,FALSE)))</f>
        <v/>
      </c>
      <c r="J5212" s="215" t="str">
        <f>IF(Table2[[#This Row],[Description]]="","",Table2[[#This Row],[Value]]/Table2[[#This Row],[Conversion]])</f>
        <v/>
      </c>
      <c r="K5212" s="45" t="str">
        <f>IF(Table2[[#This Row],[Description]]="","",DATE(Table2[[#This Row],[Year]],Table2[[#This Row],[Month]],1))</f>
        <v/>
      </c>
    </row>
    <row r="5213" spans="7:11" x14ac:dyDescent="0.25">
      <c r="G5213" s="1" t="str">
        <f>IF(Table2[[#This Row],[Description]]="","",VLOOKUP(Table2[[#This Row],[Description]],$Q$1:$S$101,2,FALSE))</f>
        <v/>
      </c>
      <c r="H5213" s="1" t="str">
        <f>IF(Table2[[#This Row],[Description]]="","",VLOOKUP(Table2[[#This Row],[Description]],$Q$1:$S$101,3,FALSE))</f>
        <v/>
      </c>
      <c r="I5213" s="1" t="str">
        <f>IF(Table2[[#This Row],[Description]]="","",IF(Table2[[#This Row],[Currency]]=$O$2,$P$2,HLOOKUP(Table2[[#This Row],[Date]],Funds!$C$10:$GV$11,2,FALSE)))</f>
        <v/>
      </c>
      <c r="J5213" s="215" t="str">
        <f>IF(Table2[[#This Row],[Description]]="","",Table2[[#This Row],[Value]]/Table2[[#This Row],[Conversion]])</f>
        <v/>
      </c>
      <c r="K5213" s="45" t="str">
        <f>IF(Table2[[#This Row],[Description]]="","",DATE(Table2[[#This Row],[Year]],Table2[[#This Row],[Month]],1))</f>
        <v/>
      </c>
    </row>
    <row r="5214" spans="7:11" x14ac:dyDescent="0.25">
      <c r="G5214" s="1" t="str">
        <f>IF(Table2[[#This Row],[Description]]="","",VLOOKUP(Table2[[#This Row],[Description]],$Q$1:$S$101,2,FALSE))</f>
        <v/>
      </c>
      <c r="H5214" s="1" t="str">
        <f>IF(Table2[[#This Row],[Description]]="","",VLOOKUP(Table2[[#This Row],[Description]],$Q$1:$S$101,3,FALSE))</f>
        <v/>
      </c>
      <c r="I5214" s="1" t="str">
        <f>IF(Table2[[#This Row],[Description]]="","",IF(Table2[[#This Row],[Currency]]=$O$2,$P$2,HLOOKUP(Table2[[#This Row],[Date]],Funds!$C$10:$GV$11,2,FALSE)))</f>
        <v/>
      </c>
      <c r="J5214" s="215" t="str">
        <f>IF(Table2[[#This Row],[Description]]="","",Table2[[#This Row],[Value]]/Table2[[#This Row],[Conversion]])</f>
        <v/>
      </c>
      <c r="K5214" s="45" t="str">
        <f>IF(Table2[[#This Row],[Description]]="","",DATE(Table2[[#This Row],[Year]],Table2[[#This Row],[Month]],1))</f>
        <v/>
      </c>
    </row>
    <row r="5215" spans="7:11" x14ac:dyDescent="0.25">
      <c r="G5215" s="1" t="str">
        <f>IF(Table2[[#This Row],[Description]]="","",VLOOKUP(Table2[[#This Row],[Description]],$Q$1:$S$101,2,FALSE))</f>
        <v/>
      </c>
      <c r="H5215" s="1" t="str">
        <f>IF(Table2[[#This Row],[Description]]="","",VLOOKUP(Table2[[#This Row],[Description]],$Q$1:$S$101,3,FALSE))</f>
        <v/>
      </c>
      <c r="I5215" s="1" t="str">
        <f>IF(Table2[[#This Row],[Description]]="","",IF(Table2[[#This Row],[Currency]]=$O$2,$P$2,HLOOKUP(Table2[[#This Row],[Date]],Funds!$C$10:$GV$11,2,FALSE)))</f>
        <v/>
      </c>
      <c r="J5215" s="215" t="str">
        <f>IF(Table2[[#This Row],[Description]]="","",Table2[[#This Row],[Value]]/Table2[[#This Row],[Conversion]])</f>
        <v/>
      </c>
      <c r="K5215" s="45" t="str">
        <f>IF(Table2[[#This Row],[Description]]="","",DATE(Table2[[#This Row],[Year]],Table2[[#This Row],[Month]],1))</f>
        <v/>
      </c>
    </row>
    <row r="5216" spans="7:11" x14ac:dyDescent="0.25">
      <c r="G5216" s="1" t="str">
        <f>IF(Table2[[#This Row],[Description]]="","",VLOOKUP(Table2[[#This Row],[Description]],$Q$1:$S$101,2,FALSE))</f>
        <v/>
      </c>
      <c r="H5216" s="1" t="str">
        <f>IF(Table2[[#This Row],[Description]]="","",VLOOKUP(Table2[[#This Row],[Description]],$Q$1:$S$101,3,FALSE))</f>
        <v/>
      </c>
      <c r="I5216" s="1" t="str">
        <f>IF(Table2[[#This Row],[Description]]="","",IF(Table2[[#This Row],[Currency]]=$O$2,$P$2,HLOOKUP(Table2[[#This Row],[Date]],Funds!$C$10:$GV$11,2,FALSE)))</f>
        <v/>
      </c>
      <c r="J5216" s="215" t="str">
        <f>IF(Table2[[#This Row],[Description]]="","",Table2[[#This Row],[Value]]/Table2[[#This Row],[Conversion]])</f>
        <v/>
      </c>
      <c r="K5216" s="45" t="str">
        <f>IF(Table2[[#This Row],[Description]]="","",DATE(Table2[[#This Row],[Year]],Table2[[#This Row],[Month]],1))</f>
        <v/>
      </c>
    </row>
    <row r="5217" spans="7:11" x14ac:dyDescent="0.25">
      <c r="G5217" s="1" t="str">
        <f>IF(Table2[[#This Row],[Description]]="","",VLOOKUP(Table2[[#This Row],[Description]],$Q$1:$S$101,2,FALSE))</f>
        <v/>
      </c>
      <c r="H5217" s="1" t="str">
        <f>IF(Table2[[#This Row],[Description]]="","",VLOOKUP(Table2[[#This Row],[Description]],$Q$1:$S$101,3,FALSE))</f>
        <v/>
      </c>
      <c r="I5217" s="1" t="str">
        <f>IF(Table2[[#This Row],[Description]]="","",IF(Table2[[#This Row],[Currency]]=$O$2,$P$2,HLOOKUP(Table2[[#This Row],[Date]],Funds!$C$10:$GV$11,2,FALSE)))</f>
        <v/>
      </c>
      <c r="J5217" s="215" t="str">
        <f>IF(Table2[[#This Row],[Description]]="","",Table2[[#This Row],[Value]]/Table2[[#This Row],[Conversion]])</f>
        <v/>
      </c>
      <c r="K5217" s="45" t="str">
        <f>IF(Table2[[#This Row],[Description]]="","",DATE(Table2[[#This Row],[Year]],Table2[[#This Row],[Month]],1))</f>
        <v/>
      </c>
    </row>
    <row r="5218" spans="7:11" x14ac:dyDescent="0.25">
      <c r="G5218" s="1" t="str">
        <f>IF(Table2[[#This Row],[Description]]="","",VLOOKUP(Table2[[#This Row],[Description]],$Q$1:$S$101,2,FALSE))</f>
        <v/>
      </c>
      <c r="H5218" s="1" t="str">
        <f>IF(Table2[[#This Row],[Description]]="","",VLOOKUP(Table2[[#This Row],[Description]],$Q$1:$S$101,3,FALSE))</f>
        <v/>
      </c>
      <c r="I5218" s="1" t="str">
        <f>IF(Table2[[#This Row],[Description]]="","",IF(Table2[[#This Row],[Currency]]=$O$2,$P$2,HLOOKUP(Table2[[#This Row],[Date]],Funds!$C$10:$GV$11,2,FALSE)))</f>
        <v/>
      </c>
      <c r="J5218" s="215" t="str">
        <f>IF(Table2[[#This Row],[Description]]="","",Table2[[#This Row],[Value]]/Table2[[#This Row],[Conversion]])</f>
        <v/>
      </c>
      <c r="K5218" s="45" t="str">
        <f>IF(Table2[[#This Row],[Description]]="","",DATE(Table2[[#This Row],[Year]],Table2[[#This Row],[Month]],1))</f>
        <v/>
      </c>
    </row>
    <row r="5219" spans="7:11" x14ac:dyDescent="0.25">
      <c r="G5219" s="1" t="str">
        <f>IF(Table2[[#This Row],[Description]]="","",VLOOKUP(Table2[[#This Row],[Description]],$Q$1:$S$101,2,FALSE))</f>
        <v/>
      </c>
      <c r="H5219" s="1" t="str">
        <f>IF(Table2[[#This Row],[Description]]="","",VLOOKUP(Table2[[#This Row],[Description]],$Q$1:$S$101,3,FALSE))</f>
        <v/>
      </c>
      <c r="I5219" s="1" t="str">
        <f>IF(Table2[[#This Row],[Description]]="","",IF(Table2[[#This Row],[Currency]]=$O$2,$P$2,HLOOKUP(Table2[[#This Row],[Date]],Funds!$C$10:$GV$11,2,FALSE)))</f>
        <v/>
      </c>
      <c r="J5219" s="215" t="str">
        <f>IF(Table2[[#This Row],[Description]]="","",Table2[[#This Row],[Value]]/Table2[[#This Row],[Conversion]])</f>
        <v/>
      </c>
      <c r="K5219" s="45" t="str">
        <f>IF(Table2[[#This Row],[Description]]="","",DATE(Table2[[#This Row],[Year]],Table2[[#This Row],[Month]],1))</f>
        <v/>
      </c>
    </row>
    <row r="5220" spans="7:11" x14ac:dyDescent="0.25">
      <c r="G5220" s="1" t="str">
        <f>IF(Table2[[#This Row],[Description]]="","",VLOOKUP(Table2[[#This Row],[Description]],$Q$1:$S$101,2,FALSE))</f>
        <v/>
      </c>
      <c r="H5220" s="1" t="str">
        <f>IF(Table2[[#This Row],[Description]]="","",VLOOKUP(Table2[[#This Row],[Description]],$Q$1:$S$101,3,FALSE))</f>
        <v/>
      </c>
      <c r="I5220" s="1" t="str">
        <f>IF(Table2[[#This Row],[Description]]="","",IF(Table2[[#This Row],[Currency]]=$O$2,$P$2,HLOOKUP(Table2[[#This Row],[Date]],Funds!$C$10:$GV$11,2,FALSE)))</f>
        <v/>
      </c>
      <c r="J5220" s="215" t="str">
        <f>IF(Table2[[#This Row],[Description]]="","",Table2[[#This Row],[Value]]/Table2[[#This Row],[Conversion]])</f>
        <v/>
      </c>
      <c r="K5220" s="45" t="str">
        <f>IF(Table2[[#This Row],[Description]]="","",DATE(Table2[[#This Row],[Year]],Table2[[#This Row],[Month]],1))</f>
        <v/>
      </c>
    </row>
    <row r="5221" spans="7:11" x14ac:dyDescent="0.25">
      <c r="G5221" s="1" t="str">
        <f>IF(Table2[[#This Row],[Description]]="","",VLOOKUP(Table2[[#This Row],[Description]],$Q$1:$S$101,2,FALSE))</f>
        <v/>
      </c>
      <c r="H5221" s="1" t="str">
        <f>IF(Table2[[#This Row],[Description]]="","",VLOOKUP(Table2[[#This Row],[Description]],$Q$1:$S$101,3,FALSE))</f>
        <v/>
      </c>
      <c r="I5221" s="1" t="str">
        <f>IF(Table2[[#This Row],[Description]]="","",IF(Table2[[#This Row],[Currency]]=$O$2,$P$2,HLOOKUP(Table2[[#This Row],[Date]],Funds!$C$10:$GV$11,2,FALSE)))</f>
        <v/>
      </c>
      <c r="J5221" s="215" t="str">
        <f>IF(Table2[[#This Row],[Description]]="","",Table2[[#This Row],[Value]]/Table2[[#This Row],[Conversion]])</f>
        <v/>
      </c>
      <c r="K5221" s="45" t="str">
        <f>IF(Table2[[#This Row],[Description]]="","",DATE(Table2[[#This Row],[Year]],Table2[[#This Row],[Month]],1))</f>
        <v/>
      </c>
    </row>
    <row r="5222" spans="7:11" x14ac:dyDescent="0.25">
      <c r="G5222" s="1" t="str">
        <f>IF(Table2[[#This Row],[Description]]="","",VLOOKUP(Table2[[#This Row],[Description]],$Q$1:$S$101,2,FALSE))</f>
        <v/>
      </c>
      <c r="H5222" s="1" t="str">
        <f>IF(Table2[[#This Row],[Description]]="","",VLOOKUP(Table2[[#This Row],[Description]],$Q$1:$S$101,3,FALSE))</f>
        <v/>
      </c>
      <c r="I5222" s="1" t="str">
        <f>IF(Table2[[#This Row],[Description]]="","",IF(Table2[[#This Row],[Currency]]=$O$2,$P$2,HLOOKUP(Table2[[#This Row],[Date]],Funds!$C$10:$GV$11,2,FALSE)))</f>
        <v/>
      </c>
      <c r="J5222" s="215" t="str">
        <f>IF(Table2[[#This Row],[Description]]="","",Table2[[#This Row],[Value]]/Table2[[#This Row],[Conversion]])</f>
        <v/>
      </c>
      <c r="K5222" s="45" t="str">
        <f>IF(Table2[[#This Row],[Description]]="","",DATE(Table2[[#This Row],[Year]],Table2[[#This Row],[Month]],1))</f>
        <v/>
      </c>
    </row>
    <row r="5223" spans="7:11" x14ac:dyDescent="0.25">
      <c r="G5223" s="1" t="str">
        <f>IF(Table2[[#This Row],[Description]]="","",VLOOKUP(Table2[[#This Row],[Description]],$Q$1:$S$101,2,FALSE))</f>
        <v/>
      </c>
      <c r="H5223" s="1" t="str">
        <f>IF(Table2[[#This Row],[Description]]="","",VLOOKUP(Table2[[#This Row],[Description]],$Q$1:$S$101,3,FALSE))</f>
        <v/>
      </c>
      <c r="I5223" s="1" t="str">
        <f>IF(Table2[[#This Row],[Description]]="","",IF(Table2[[#This Row],[Currency]]=$O$2,$P$2,HLOOKUP(Table2[[#This Row],[Date]],Funds!$C$10:$GV$11,2,FALSE)))</f>
        <v/>
      </c>
      <c r="J5223" s="215" t="str">
        <f>IF(Table2[[#This Row],[Description]]="","",Table2[[#This Row],[Value]]/Table2[[#This Row],[Conversion]])</f>
        <v/>
      </c>
      <c r="K5223" s="45" t="str">
        <f>IF(Table2[[#This Row],[Description]]="","",DATE(Table2[[#This Row],[Year]],Table2[[#This Row],[Month]],1))</f>
        <v/>
      </c>
    </row>
    <row r="5224" spans="7:11" x14ac:dyDescent="0.25">
      <c r="G5224" s="1" t="str">
        <f>IF(Table2[[#This Row],[Description]]="","",VLOOKUP(Table2[[#This Row],[Description]],$Q$1:$S$101,2,FALSE))</f>
        <v/>
      </c>
      <c r="H5224" s="1" t="str">
        <f>IF(Table2[[#This Row],[Description]]="","",VLOOKUP(Table2[[#This Row],[Description]],$Q$1:$S$101,3,FALSE))</f>
        <v/>
      </c>
      <c r="I5224" s="1" t="str">
        <f>IF(Table2[[#This Row],[Description]]="","",IF(Table2[[#This Row],[Currency]]=$O$2,$P$2,HLOOKUP(Table2[[#This Row],[Date]],Funds!$C$10:$GV$11,2,FALSE)))</f>
        <v/>
      </c>
      <c r="J5224" s="215" t="str">
        <f>IF(Table2[[#This Row],[Description]]="","",Table2[[#This Row],[Value]]/Table2[[#This Row],[Conversion]])</f>
        <v/>
      </c>
      <c r="K5224" s="45" t="str">
        <f>IF(Table2[[#This Row],[Description]]="","",DATE(Table2[[#This Row],[Year]],Table2[[#This Row],[Month]],1))</f>
        <v/>
      </c>
    </row>
    <row r="5225" spans="7:11" x14ac:dyDescent="0.25">
      <c r="G5225" s="1" t="str">
        <f>IF(Table2[[#This Row],[Description]]="","",VLOOKUP(Table2[[#This Row],[Description]],$Q$1:$S$101,2,FALSE))</f>
        <v/>
      </c>
      <c r="H5225" s="1" t="str">
        <f>IF(Table2[[#This Row],[Description]]="","",VLOOKUP(Table2[[#This Row],[Description]],$Q$1:$S$101,3,FALSE))</f>
        <v/>
      </c>
      <c r="I5225" s="1" t="str">
        <f>IF(Table2[[#This Row],[Description]]="","",IF(Table2[[#This Row],[Currency]]=$O$2,$P$2,HLOOKUP(Table2[[#This Row],[Date]],Funds!$C$10:$GV$11,2,FALSE)))</f>
        <v/>
      </c>
      <c r="J5225" s="215" t="str">
        <f>IF(Table2[[#This Row],[Description]]="","",Table2[[#This Row],[Value]]/Table2[[#This Row],[Conversion]])</f>
        <v/>
      </c>
      <c r="K5225" s="45" t="str">
        <f>IF(Table2[[#This Row],[Description]]="","",DATE(Table2[[#This Row],[Year]],Table2[[#This Row],[Month]],1))</f>
        <v/>
      </c>
    </row>
    <row r="5226" spans="7:11" x14ac:dyDescent="0.25">
      <c r="G5226" s="1" t="str">
        <f>IF(Table2[[#This Row],[Description]]="","",VLOOKUP(Table2[[#This Row],[Description]],$Q$1:$S$101,2,FALSE))</f>
        <v/>
      </c>
      <c r="H5226" s="1" t="str">
        <f>IF(Table2[[#This Row],[Description]]="","",VLOOKUP(Table2[[#This Row],[Description]],$Q$1:$S$101,3,FALSE))</f>
        <v/>
      </c>
      <c r="I5226" s="1" t="str">
        <f>IF(Table2[[#This Row],[Description]]="","",IF(Table2[[#This Row],[Currency]]=$O$2,$P$2,HLOOKUP(Table2[[#This Row],[Date]],Funds!$C$10:$GV$11,2,FALSE)))</f>
        <v/>
      </c>
      <c r="J5226" s="215" t="str">
        <f>IF(Table2[[#This Row],[Description]]="","",Table2[[#This Row],[Value]]/Table2[[#This Row],[Conversion]])</f>
        <v/>
      </c>
      <c r="K5226" s="45" t="str">
        <f>IF(Table2[[#This Row],[Description]]="","",DATE(Table2[[#This Row],[Year]],Table2[[#This Row],[Month]],1))</f>
        <v/>
      </c>
    </row>
    <row r="5227" spans="7:11" x14ac:dyDescent="0.25">
      <c r="G5227" s="1" t="str">
        <f>IF(Table2[[#This Row],[Description]]="","",VLOOKUP(Table2[[#This Row],[Description]],$Q$1:$S$101,2,FALSE))</f>
        <v/>
      </c>
      <c r="H5227" s="1" t="str">
        <f>IF(Table2[[#This Row],[Description]]="","",VLOOKUP(Table2[[#This Row],[Description]],$Q$1:$S$101,3,FALSE))</f>
        <v/>
      </c>
      <c r="I5227" s="1" t="str">
        <f>IF(Table2[[#This Row],[Description]]="","",IF(Table2[[#This Row],[Currency]]=$O$2,$P$2,HLOOKUP(Table2[[#This Row],[Date]],Funds!$C$10:$GV$11,2,FALSE)))</f>
        <v/>
      </c>
      <c r="J5227" s="215" t="str">
        <f>IF(Table2[[#This Row],[Description]]="","",Table2[[#This Row],[Value]]/Table2[[#This Row],[Conversion]])</f>
        <v/>
      </c>
      <c r="K5227" s="45" t="str">
        <f>IF(Table2[[#This Row],[Description]]="","",DATE(Table2[[#This Row],[Year]],Table2[[#This Row],[Month]],1))</f>
        <v/>
      </c>
    </row>
    <row r="5228" spans="7:11" x14ac:dyDescent="0.25">
      <c r="G5228" s="1" t="str">
        <f>IF(Table2[[#This Row],[Description]]="","",VLOOKUP(Table2[[#This Row],[Description]],$Q$1:$S$101,2,FALSE))</f>
        <v/>
      </c>
      <c r="H5228" s="1" t="str">
        <f>IF(Table2[[#This Row],[Description]]="","",VLOOKUP(Table2[[#This Row],[Description]],$Q$1:$S$101,3,FALSE))</f>
        <v/>
      </c>
      <c r="I5228" s="1" t="str">
        <f>IF(Table2[[#This Row],[Description]]="","",IF(Table2[[#This Row],[Currency]]=$O$2,$P$2,HLOOKUP(Table2[[#This Row],[Date]],Funds!$C$10:$GV$11,2,FALSE)))</f>
        <v/>
      </c>
      <c r="J5228" s="215" t="str">
        <f>IF(Table2[[#This Row],[Description]]="","",Table2[[#This Row],[Value]]/Table2[[#This Row],[Conversion]])</f>
        <v/>
      </c>
      <c r="K5228" s="45" t="str">
        <f>IF(Table2[[#This Row],[Description]]="","",DATE(Table2[[#This Row],[Year]],Table2[[#This Row],[Month]],1))</f>
        <v/>
      </c>
    </row>
    <row r="5229" spans="7:11" x14ac:dyDescent="0.25">
      <c r="G5229" s="1" t="str">
        <f>IF(Table2[[#This Row],[Description]]="","",VLOOKUP(Table2[[#This Row],[Description]],$Q$1:$S$101,2,FALSE))</f>
        <v/>
      </c>
      <c r="H5229" s="1" t="str">
        <f>IF(Table2[[#This Row],[Description]]="","",VLOOKUP(Table2[[#This Row],[Description]],$Q$1:$S$101,3,FALSE))</f>
        <v/>
      </c>
      <c r="I5229" s="1" t="str">
        <f>IF(Table2[[#This Row],[Description]]="","",IF(Table2[[#This Row],[Currency]]=$O$2,$P$2,HLOOKUP(Table2[[#This Row],[Date]],Funds!$C$10:$GV$11,2,FALSE)))</f>
        <v/>
      </c>
      <c r="J5229" s="215" t="str">
        <f>IF(Table2[[#This Row],[Description]]="","",Table2[[#This Row],[Value]]/Table2[[#This Row],[Conversion]])</f>
        <v/>
      </c>
      <c r="K5229" s="45" t="str">
        <f>IF(Table2[[#This Row],[Description]]="","",DATE(Table2[[#This Row],[Year]],Table2[[#This Row],[Month]],1))</f>
        <v/>
      </c>
    </row>
    <row r="5230" spans="7:11" x14ac:dyDescent="0.25">
      <c r="G5230" s="1" t="str">
        <f>IF(Table2[[#This Row],[Description]]="","",VLOOKUP(Table2[[#This Row],[Description]],$Q$1:$S$101,2,FALSE))</f>
        <v/>
      </c>
      <c r="H5230" s="1" t="str">
        <f>IF(Table2[[#This Row],[Description]]="","",VLOOKUP(Table2[[#This Row],[Description]],$Q$1:$S$101,3,FALSE))</f>
        <v/>
      </c>
      <c r="I5230" s="1" t="str">
        <f>IF(Table2[[#This Row],[Description]]="","",IF(Table2[[#This Row],[Currency]]=$O$2,$P$2,HLOOKUP(Table2[[#This Row],[Date]],Funds!$C$10:$GV$11,2,FALSE)))</f>
        <v/>
      </c>
      <c r="J5230" s="215" t="str">
        <f>IF(Table2[[#This Row],[Description]]="","",Table2[[#This Row],[Value]]/Table2[[#This Row],[Conversion]])</f>
        <v/>
      </c>
      <c r="K5230" s="45" t="str">
        <f>IF(Table2[[#This Row],[Description]]="","",DATE(Table2[[#This Row],[Year]],Table2[[#This Row],[Month]],1))</f>
        <v/>
      </c>
    </row>
    <row r="5231" spans="7:11" x14ac:dyDescent="0.25">
      <c r="G5231" s="1" t="str">
        <f>IF(Table2[[#This Row],[Description]]="","",VLOOKUP(Table2[[#This Row],[Description]],$Q$1:$S$101,2,FALSE))</f>
        <v/>
      </c>
      <c r="H5231" s="1" t="str">
        <f>IF(Table2[[#This Row],[Description]]="","",VLOOKUP(Table2[[#This Row],[Description]],$Q$1:$S$101,3,FALSE))</f>
        <v/>
      </c>
      <c r="I5231" s="1" t="str">
        <f>IF(Table2[[#This Row],[Description]]="","",IF(Table2[[#This Row],[Currency]]=$O$2,$P$2,HLOOKUP(Table2[[#This Row],[Date]],Funds!$C$10:$GV$11,2,FALSE)))</f>
        <v/>
      </c>
      <c r="J5231" s="215" t="str">
        <f>IF(Table2[[#This Row],[Description]]="","",Table2[[#This Row],[Value]]/Table2[[#This Row],[Conversion]])</f>
        <v/>
      </c>
      <c r="K5231" s="45" t="str">
        <f>IF(Table2[[#This Row],[Description]]="","",DATE(Table2[[#This Row],[Year]],Table2[[#This Row],[Month]],1))</f>
        <v/>
      </c>
    </row>
    <row r="5232" spans="7:11" x14ac:dyDescent="0.25">
      <c r="G5232" s="1" t="str">
        <f>IF(Table2[[#This Row],[Description]]="","",VLOOKUP(Table2[[#This Row],[Description]],$Q$1:$S$101,2,FALSE))</f>
        <v/>
      </c>
      <c r="H5232" s="1" t="str">
        <f>IF(Table2[[#This Row],[Description]]="","",VLOOKUP(Table2[[#This Row],[Description]],$Q$1:$S$101,3,FALSE))</f>
        <v/>
      </c>
      <c r="I5232" s="1" t="str">
        <f>IF(Table2[[#This Row],[Description]]="","",IF(Table2[[#This Row],[Currency]]=$O$2,$P$2,HLOOKUP(Table2[[#This Row],[Date]],Funds!$C$10:$GV$11,2,FALSE)))</f>
        <v/>
      </c>
      <c r="J5232" s="215" t="str">
        <f>IF(Table2[[#This Row],[Description]]="","",Table2[[#This Row],[Value]]/Table2[[#This Row],[Conversion]])</f>
        <v/>
      </c>
      <c r="K5232" s="45" t="str">
        <f>IF(Table2[[#This Row],[Description]]="","",DATE(Table2[[#This Row],[Year]],Table2[[#This Row],[Month]],1))</f>
        <v/>
      </c>
    </row>
    <row r="5233" spans="7:11" x14ac:dyDescent="0.25">
      <c r="G5233" s="1" t="str">
        <f>IF(Table2[[#This Row],[Description]]="","",VLOOKUP(Table2[[#This Row],[Description]],$Q$1:$S$101,2,FALSE))</f>
        <v/>
      </c>
      <c r="H5233" s="1" t="str">
        <f>IF(Table2[[#This Row],[Description]]="","",VLOOKUP(Table2[[#This Row],[Description]],$Q$1:$S$101,3,FALSE))</f>
        <v/>
      </c>
      <c r="I5233" s="1" t="str">
        <f>IF(Table2[[#This Row],[Description]]="","",IF(Table2[[#This Row],[Currency]]=$O$2,$P$2,HLOOKUP(Table2[[#This Row],[Date]],Funds!$C$10:$GV$11,2,FALSE)))</f>
        <v/>
      </c>
      <c r="J5233" s="215" t="str">
        <f>IF(Table2[[#This Row],[Description]]="","",Table2[[#This Row],[Value]]/Table2[[#This Row],[Conversion]])</f>
        <v/>
      </c>
      <c r="K5233" s="45" t="str">
        <f>IF(Table2[[#This Row],[Description]]="","",DATE(Table2[[#This Row],[Year]],Table2[[#This Row],[Month]],1))</f>
        <v/>
      </c>
    </row>
    <row r="5234" spans="7:11" x14ac:dyDescent="0.25">
      <c r="G5234" s="1" t="str">
        <f>IF(Table2[[#This Row],[Description]]="","",VLOOKUP(Table2[[#This Row],[Description]],$Q$1:$S$101,2,FALSE))</f>
        <v/>
      </c>
      <c r="H5234" s="1" t="str">
        <f>IF(Table2[[#This Row],[Description]]="","",VLOOKUP(Table2[[#This Row],[Description]],$Q$1:$S$101,3,FALSE))</f>
        <v/>
      </c>
      <c r="I5234" s="1" t="str">
        <f>IF(Table2[[#This Row],[Description]]="","",IF(Table2[[#This Row],[Currency]]=$O$2,$P$2,HLOOKUP(Table2[[#This Row],[Date]],Funds!$C$10:$GV$11,2,FALSE)))</f>
        <v/>
      </c>
      <c r="J5234" s="215" t="str">
        <f>IF(Table2[[#This Row],[Description]]="","",Table2[[#This Row],[Value]]/Table2[[#This Row],[Conversion]])</f>
        <v/>
      </c>
      <c r="K5234" s="45" t="str">
        <f>IF(Table2[[#This Row],[Description]]="","",DATE(Table2[[#This Row],[Year]],Table2[[#This Row],[Month]],1))</f>
        <v/>
      </c>
    </row>
    <row r="5235" spans="7:11" x14ac:dyDescent="0.25">
      <c r="G5235" s="1" t="str">
        <f>IF(Table2[[#This Row],[Description]]="","",VLOOKUP(Table2[[#This Row],[Description]],$Q$1:$S$101,2,FALSE))</f>
        <v/>
      </c>
      <c r="H5235" s="1" t="str">
        <f>IF(Table2[[#This Row],[Description]]="","",VLOOKUP(Table2[[#This Row],[Description]],$Q$1:$S$101,3,FALSE))</f>
        <v/>
      </c>
      <c r="I5235" s="1" t="str">
        <f>IF(Table2[[#This Row],[Description]]="","",IF(Table2[[#This Row],[Currency]]=$O$2,$P$2,HLOOKUP(Table2[[#This Row],[Date]],Funds!$C$10:$GV$11,2,FALSE)))</f>
        <v/>
      </c>
      <c r="J5235" s="215" t="str">
        <f>IF(Table2[[#This Row],[Description]]="","",Table2[[#This Row],[Value]]/Table2[[#This Row],[Conversion]])</f>
        <v/>
      </c>
      <c r="K5235" s="45" t="str">
        <f>IF(Table2[[#This Row],[Description]]="","",DATE(Table2[[#This Row],[Year]],Table2[[#This Row],[Month]],1))</f>
        <v/>
      </c>
    </row>
    <row r="5236" spans="7:11" x14ac:dyDescent="0.25">
      <c r="G5236" s="1" t="str">
        <f>IF(Table2[[#This Row],[Description]]="","",VLOOKUP(Table2[[#This Row],[Description]],$Q$1:$S$101,2,FALSE))</f>
        <v/>
      </c>
      <c r="H5236" s="1" t="str">
        <f>IF(Table2[[#This Row],[Description]]="","",VLOOKUP(Table2[[#This Row],[Description]],$Q$1:$S$101,3,FALSE))</f>
        <v/>
      </c>
      <c r="I5236" s="1" t="str">
        <f>IF(Table2[[#This Row],[Description]]="","",IF(Table2[[#This Row],[Currency]]=$O$2,$P$2,HLOOKUP(Table2[[#This Row],[Date]],Funds!$C$10:$GV$11,2,FALSE)))</f>
        <v/>
      </c>
      <c r="J5236" s="215" t="str">
        <f>IF(Table2[[#This Row],[Description]]="","",Table2[[#This Row],[Value]]/Table2[[#This Row],[Conversion]])</f>
        <v/>
      </c>
      <c r="K5236" s="45" t="str">
        <f>IF(Table2[[#This Row],[Description]]="","",DATE(Table2[[#This Row],[Year]],Table2[[#This Row],[Month]],1))</f>
        <v/>
      </c>
    </row>
    <row r="5237" spans="7:11" x14ac:dyDescent="0.25">
      <c r="G5237" s="1" t="str">
        <f>IF(Table2[[#This Row],[Description]]="","",VLOOKUP(Table2[[#This Row],[Description]],$Q$1:$S$101,2,FALSE))</f>
        <v/>
      </c>
      <c r="H5237" s="1" t="str">
        <f>IF(Table2[[#This Row],[Description]]="","",VLOOKUP(Table2[[#This Row],[Description]],$Q$1:$S$101,3,FALSE))</f>
        <v/>
      </c>
      <c r="I5237" s="1" t="str">
        <f>IF(Table2[[#This Row],[Description]]="","",IF(Table2[[#This Row],[Currency]]=$O$2,$P$2,HLOOKUP(Table2[[#This Row],[Date]],Funds!$C$10:$GV$11,2,FALSE)))</f>
        <v/>
      </c>
      <c r="J5237" s="215" t="str">
        <f>IF(Table2[[#This Row],[Description]]="","",Table2[[#This Row],[Value]]/Table2[[#This Row],[Conversion]])</f>
        <v/>
      </c>
      <c r="K5237" s="45" t="str">
        <f>IF(Table2[[#This Row],[Description]]="","",DATE(Table2[[#This Row],[Year]],Table2[[#This Row],[Month]],1))</f>
        <v/>
      </c>
    </row>
    <row r="5238" spans="7:11" x14ac:dyDescent="0.25">
      <c r="G5238" s="1" t="str">
        <f>IF(Table2[[#This Row],[Description]]="","",VLOOKUP(Table2[[#This Row],[Description]],$Q$1:$S$101,2,FALSE))</f>
        <v/>
      </c>
      <c r="H5238" s="1" t="str">
        <f>IF(Table2[[#This Row],[Description]]="","",VLOOKUP(Table2[[#This Row],[Description]],$Q$1:$S$101,3,FALSE))</f>
        <v/>
      </c>
      <c r="I5238" s="1" t="str">
        <f>IF(Table2[[#This Row],[Description]]="","",IF(Table2[[#This Row],[Currency]]=$O$2,$P$2,HLOOKUP(Table2[[#This Row],[Date]],Funds!$C$10:$GV$11,2,FALSE)))</f>
        <v/>
      </c>
      <c r="J5238" s="215" t="str">
        <f>IF(Table2[[#This Row],[Description]]="","",Table2[[#This Row],[Value]]/Table2[[#This Row],[Conversion]])</f>
        <v/>
      </c>
      <c r="K5238" s="45" t="str">
        <f>IF(Table2[[#This Row],[Description]]="","",DATE(Table2[[#This Row],[Year]],Table2[[#This Row],[Month]],1))</f>
        <v/>
      </c>
    </row>
    <row r="5239" spans="7:11" x14ac:dyDescent="0.25">
      <c r="G5239" s="1" t="str">
        <f>IF(Table2[[#This Row],[Description]]="","",VLOOKUP(Table2[[#This Row],[Description]],$Q$1:$S$101,2,FALSE))</f>
        <v/>
      </c>
      <c r="H5239" s="1" t="str">
        <f>IF(Table2[[#This Row],[Description]]="","",VLOOKUP(Table2[[#This Row],[Description]],$Q$1:$S$101,3,FALSE))</f>
        <v/>
      </c>
      <c r="I5239" s="1" t="str">
        <f>IF(Table2[[#This Row],[Description]]="","",IF(Table2[[#This Row],[Currency]]=$O$2,$P$2,HLOOKUP(Table2[[#This Row],[Date]],Funds!$C$10:$GV$11,2,FALSE)))</f>
        <v/>
      </c>
      <c r="J5239" s="215" t="str">
        <f>IF(Table2[[#This Row],[Description]]="","",Table2[[#This Row],[Value]]/Table2[[#This Row],[Conversion]])</f>
        <v/>
      </c>
      <c r="K5239" s="45" t="str">
        <f>IF(Table2[[#This Row],[Description]]="","",DATE(Table2[[#This Row],[Year]],Table2[[#This Row],[Month]],1))</f>
        <v/>
      </c>
    </row>
    <row r="5240" spans="7:11" x14ac:dyDescent="0.25">
      <c r="G5240" s="1" t="str">
        <f>IF(Table2[[#This Row],[Description]]="","",VLOOKUP(Table2[[#This Row],[Description]],$Q$1:$S$101,2,FALSE))</f>
        <v/>
      </c>
      <c r="H5240" s="1" t="str">
        <f>IF(Table2[[#This Row],[Description]]="","",VLOOKUP(Table2[[#This Row],[Description]],$Q$1:$S$101,3,FALSE))</f>
        <v/>
      </c>
      <c r="I5240" s="1" t="str">
        <f>IF(Table2[[#This Row],[Description]]="","",IF(Table2[[#This Row],[Currency]]=$O$2,$P$2,HLOOKUP(Table2[[#This Row],[Date]],Funds!$C$10:$GV$11,2,FALSE)))</f>
        <v/>
      </c>
      <c r="J5240" s="215" t="str">
        <f>IF(Table2[[#This Row],[Description]]="","",Table2[[#This Row],[Value]]/Table2[[#This Row],[Conversion]])</f>
        <v/>
      </c>
      <c r="K5240" s="45" t="str">
        <f>IF(Table2[[#This Row],[Description]]="","",DATE(Table2[[#This Row],[Year]],Table2[[#This Row],[Month]],1))</f>
        <v/>
      </c>
    </row>
    <row r="5241" spans="7:11" x14ac:dyDescent="0.25">
      <c r="G5241" s="1" t="str">
        <f>IF(Table2[[#This Row],[Description]]="","",VLOOKUP(Table2[[#This Row],[Description]],$Q$1:$S$101,2,FALSE))</f>
        <v/>
      </c>
      <c r="H5241" s="1" t="str">
        <f>IF(Table2[[#This Row],[Description]]="","",VLOOKUP(Table2[[#This Row],[Description]],$Q$1:$S$101,3,FALSE))</f>
        <v/>
      </c>
      <c r="I5241" s="1" t="str">
        <f>IF(Table2[[#This Row],[Description]]="","",IF(Table2[[#This Row],[Currency]]=$O$2,$P$2,HLOOKUP(Table2[[#This Row],[Date]],Funds!$C$10:$GV$11,2,FALSE)))</f>
        <v/>
      </c>
      <c r="J5241" s="215" t="str">
        <f>IF(Table2[[#This Row],[Description]]="","",Table2[[#This Row],[Value]]/Table2[[#This Row],[Conversion]])</f>
        <v/>
      </c>
      <c r="K5241" s="45" t="str">
        <f>IF(Table2[[#This Row],[Description]]="","",DATE(Table2[[#This Row],[Year]],Table2[[#This Row],[Month]],1))</f>
        <v/>
      </c>
    </row>
    <row r="5242" spans="7:11" x14ac:dyDescent="0.25">
      <c r="G5242" s="1" t="str">
        <f>IF(Table2[[#This Row],[Description]]="","",VLOOKUP(Table2[[#This Row],[Description]],$Q$1:$S$101,2,FALSE))</f>
        <v/>
      </c>
      <c r="H5242" s="1" t="str">
        <f>IF(Table2[[#This Row],[Description]]="","",VLOOKUP(Table2[[#This Row],[Description]],$Q$1:$S$101,3,FALSE))</f>
        <v/>
      </c>
      <c r="I5242" s="1" t="str">
        <f>IF(Table2[[#This Row],[Description]]="","",IF(Table2[[#This Row],[Currency]]=$O$2,$P$2,HLOOKUP(Table2[[#This Row],[Date]],Funds!$C$10:$GV$11,2,FALSE)))</f>
        <v/>
      </c>
      <c r="J5242" s="215" t="str">
        <f>IF(Table2[[#This Row],[Description]]="","",Table2[[#This Row],[Value]]/Table2[[#This Row],[Conversion]])</f>
        <v/>
      </c>
      <c r="K5242" s="45" t="str">
        <f>IF(Table2[[#This Row],[Description]]="","",DATE(Table2[[#This Row],[Year]],Table2[[#This Row],[Month]],1))</f>
        <v/>
      </c>
    </row>
    <row r="5243" spans="7:11" x14ac:dyDescent="0.25">
      <c r="G5243" s="1" t="str">
        <f>IF(Table2[[#This Row],[Description]]="","",VLOOKUP(Table2[[#This Row],[Description]],$Q$1:$S$101,2,FALSE))</f>
        <v/>
      </c>
      <c r="H5243" s="1" t="str">
        <f>IF(Table2[[#This Row],[Description]]="","",VLOOKUP(Table2[[#This Row],[Description]],$Q$1:$S$101,3,FALSE))</f>
        <v/>
      </c>
      <c r="I5243" s="1" t="str">
        <f>IF(Table2[[#This Row],[Description]]="","",IF(Table2[[#This Row],[Currency]]=$O$2,$P$2,HLOOKUP(Table2[[#This Row],[Date]],Funds!$C$10:$GV$11,2,FALSE)))</f>
        <v/>
      </c>
      <c r="J5243" s="215" t="str">
        <f>IF(Table2[[#This Row],[Description]]="","",Table2[[#This Row],[Value]]/Table2[[#This Row],[Conversion]])</f>
        <v/>
      </c>
      <c r="K5243" s="45" t="str">
        <f>IF(Table2[[#This Row],[Description]]="","",DATE(Table2[[#This Row],[Year]],Table2[[#This Row],[Month]],1))</f>
        <v/>
      </c>
    </row>
    <row r="5244" spans="7:11" x14ac:dyDescent="0.25">
      <c r="G5244" s="1" t="str">
        <f>IF(Table2[[#This Row],[Description]]="","",VLOOKUP(Table2[[#This Row],[Description]],$Q$1:$S$101,2,FALSE))</f>
        <v/>
      </c>
      <c r="H5244" s="1" t="str">
        <f>IF(Table2[[#This Row],[Description]]="","",VLOOKUP(Table2[[#This Row],[Description]],$Q$1:$S$101,3,FALSE))</f>
        <v/>
      </c>
      <c r="I5244" s="1" t="str">
        <f>IF(Table2[[#This Row],[Description]]="","",IF(Table2[[#This Row],[Currency]]=$O$2,$P$2,HLOOKUP(Table2[[#This Row],[Date]],Funds!$C$10:$GV$11,2,FALSE)))</f>
        <v/>
      </c>
      <c r="J5244" s="215" t="str">
        <f>IF(Table2[[#This Row],[Description]]="","",Table2[[#This Row],[Value]]/Table2[[#This Row],[Conversion]])</f>
        <v/>
      </c>
      <c r="K5244" s="45" t="str">
        <f>IF(Table2[[#This Row],[Description]]="","",DATE(Table2[[#This Row],[Year]],Table2[[#This Row],[Month]],1))</f>
        <v/>
      </c>
    </row>
    <row r="5245" spans="7:11" x14ac:dyDescent="0.25">
      <c r="G5245" s="1" t="str">
        <f>IF(Table2[[#This Row],[Description]]="","",VLOOKUP(Table2[[#This Row],[Description]],$Q$1:$S$101,2,FALSE))</f>
        <v/>
      </c>
      <c r="H5245" s="1" t="str">
        <f>IF(Table2[[#This Row],[Description]]="","",VLOOKUP(Table2[[#This Row],[Description]],$Q$1:$S$101,3,FALSE))</f>
        <v/>
      </c>
      <c r="I5245" s="1" t="str">
        <f>IF(Table2[[#This Row],[Description]]="","",IF(Table2[[#This Row],[Currency]]=$O$2,$P$2,HLOOKUP(Table2[[#This Row],[Date]],Funds!$C$10:$GV$11,2,FALSE)))</f>
        <v/>
      </c>
      <c r="J5245" s="215" t="str">
        <f>IF(Table2[[#This Row],[Description]]="","",Table2[[#This Row],[Value]]/Table2[[#This Row],[Conversion]])</f>
        <v/>
      </c>
      <c r="K5245" s="45" t="str">
        <f>IF(Table2[[#This Row],[Description]]="","",DATE(Table2[[#This Row],[Year]],Table2[[#This Row],[Month]],1))</f>
        <v/>
      </c>
    </row>
    <row r="5246" spans="7:11" x14ac:dyDescent="0.25">
      <c r="G5246" s="1" t="str">
        <f>IF(Table2[[#This Row],[Description]]="","",VLOOKUP(Table2[[#This Row],[Description]],$Q$1:$S$101,2,FALSE))</f>
        <v/>
      </c>
      <c r="H5246" s="1" t="str">
        <f>IF(Table2[[#This Row],[Description]]="","",VLOOKUP(Table2[[#This Row],[Description]],$Q$1:$S$101,3,FALSE))</f>
        <v/>
      </c>
      <c r="I5246" s="1" t="str">
        <f>IF(Table2[[#This Row],[Description]]="","",IF(Table2[[#This Row],[Currency]]=$O$2,$P$2,HLOOKUP(Table2[[#This Row],[Date]],Funds!$C$10:$GV$11,2,FALSE)))</f>
        <v/>
      </c>
      <c r="J5246" s="215" t="str">
        <f>IF(Table2[[#This Row],[Description]]="","",Table2[[#This Row],[Value]]/Table2[[#This Row],[Conversion]])</f>
        <v/>
      </c>
      <c r="K5246" s="45" t="str">
        <f>IF(Table2[[#This Row],[Description]]="","",DATE(Table2[[#This Row],[Year]],Table2[[#This Row],[Month]],1))</f>
        <v/>
      </c>
    </row>
    <row r="5247" spans="7:11" x14ac:dyDescent="0.25">
      <c r="G5247" s="1" t="str">
        <f>IF(Table2[[#This Row],[Description]]="","",VLOOKUP(Table2[[#This Row],[Description]],$Q$1:$S$101,2,FALSE))</f>
        <v/>
      </c>
      <c r="H5247" s="1" t="str">
        <f>IF(Table2[[#This Row],[Description]]="","",VLOOKUP(Table2[[#This Row],[Description]],$Q$1:$S$101,3,FALSE))</f>
        <v/>
      </c>
      <c r="I5247" s="1" t="str">
        <f>IF(Table2[[#This Row],[Description]]="","",IF(Table2[[#This Row],[Currency]]=$O$2,$P$2,HLOOKUP(Table2[[#This Row],[Date]],Funds!$C$10:$GV$11,2,FALSE)))</f>
        <v/>
      </c>
      <c r="J5247" s="215" t="str">
        <f>IF(Table2[[#This Row],[Description]]="","",Table2[[#This Row],[Value]]/Table2[[#This Row],[Conversion]])</f>
        <v/>
      </c>
      <c r="K5247" s="45" t="str">
        <f>IF(Table2[[#This Row],[Description]]="","",DATE(Table2[[#This Row],[Year]],Table2[[#This Row],[Month]],1))</f>
        <v/>
      </c>
    </row>
    <row r="5248" spans="7:11" x14ac:dyDescent="0.25">
      <c r="G5248" s="1" t="str">
        <f>IF(Table2[[#This Row],[Description]]="","",VLOOKUP(Table2[[#This Row],[Description]],$Q$1:$S$101,2,FALSE))</f>
        <v/>
      </c>
      <c r="H5248" s="1" t="str">
        <f>IF(Table2[[#This Row],[Description]]="","",VLOOKUP(Table2[[#This Row],[Description]],$Q$1:$S$101,3,FALSE))</f>
        <v/>
      </c>
      <c r="I5248" s="1" t="str">
        <f>IF(Table2[[#This Row],[Description]]="","",IF(Table2[[#This Row],[Currency]]=$O$2,$P$2,HLOOKUP(Table2[[#This Row],[Date]],Funds!$C$10:$GV$11,2,FALSE)))</f>
        <v/>
      </c>
      <c r="J5248" s="215" t="str">
        <f>IF(Table2[[#This Row],[Description]]="","",Table2[[#This Row],[Value]]/Table2[[#This Row],[Conversion]])</f>
        <v/>
      </c>
      <c r="K5248" s="45" t="str">
        <f>IF(Table2[[#This Row],[Description]]="","",DATE(Table2[[#This Row],[Year]],Table2[[#This Row],[Month]],1))</f>
        <v/>
      </c>
    </row>
    <row r="5249" spans="7:11" x14ac:dyDescent="0.25">
      <c r="G5249" s="1" t="str">
        <f>IF(Table2[[#This Row],[Description]]="","",VLOOKUP(Table2[[#This Row],[Description]],$Q$1:$S$101,2,FALSE))</f>
        <v/>
      </c>
      <c r="H5249" s="1" t="str">
        <f>IF(Table2[[#This Row],[Description]]="","",VLOOKUP(Table2[[#This Row],[Description]],$Q$1:$S$101,3,FALSE))</f>
        <v/>
      </c>
      <c r="I5249" s="1" t="str">
        <f>IF(Table2[[#This Row],[Description]]="","",IF(Table2[[#This Row],[Currency]]=$O$2,$P$2,HLOOKUP(Table2[[#This Row],[Date]],Funds!$C$10:$GV$11,2,FALSE)))</f>
        <v/>
      </c>
      <c r="J5249" s="215" t="str">
        <f>IF(Table2[[#This Row],[Description]]="","",Table2[[#This Row],[Value]]/Table2[[#This Row],[Conversion]])</f>
        <v/>
      </c>
      <c r="K5249" s="45" t="str">
        <f>IF(Table2[[#This Row],[Description]]="","",DATE(Table2[[#This Row],[Year]],Table2[[#This Row],[Month]],1))</f>
        <v/>
      </c>
    </row>
    <row r="5250" spans="7:11" x14ac:dyDescent="0.25">
      <c r="G5250" s="1" t="str">
        <f>IF(Table2[[#This Row],[Description]]="","",VLOOKUP(Table2[[#This Row],[Description]],$Q$1:$S$101,2,FALSE))</f>
        <v/>
      </c>
      <c r="H5250" s="1" t="str">
        <f>IF(Table2[[#This Row],[Description]]="","",VLOOKUP(Table2[[#This Row],[Description]],$Q$1:$S$101,3,FALSE))</f>
        <v/>
      </c>
      <c r="I5250" s="1" t="str">
        <f>IF(Table2[[#This Row],[Description]]="","",IF(Table2[[#This Row],[Currency]]=$O$2,$P$2,HLOOKUP(Table2[[#This Row],[Date]],Funds!$C$10:$GV$11,2,FALSE)))</f>
        <v/>
      </c>
      <c r="J5250" s="215" t="str">
        <f>IF(Table2[[#This Row],[Description]]="","",Table2[[#This Row],[Value]]/Table2[[#This Row],[Conversion]])</f>
        <v/>
      </c>
      <c r="K5250" s="45" t="str">
        <f>IF(Table2[[#This Row],[Description]]="","",DATE(Table2[[#This Row],[Year]],Table2[[#This Row],[Month]],1))</f>
        <v/>
      </c>
    </row>
    <row r="5251" spans="7:11" x14ac:dyDescent="0.25">
      <c r="G5251" s="1" t="str">
        <f>IF(Table2[[#This Row],[Description]]="","",VLOOKUP(Table2[[#This Row],[Description]],$Q$1:$S$101,2,FALSE))</f>
        <v/>
      </c>
      <c r="H5251" s="1" t="str">
        <f>IF(Table2[[#This Row],[Description]]="","",VLOOKUP(Table2[[#This Row],[Description]],$Q$1:$S$101,3,FALSE))</f>
        <v/>
      </c>
      <c r="I5251" s="1" t="str">
        <f>IF(Table2[[#This Row],[Description]]="","",IF(Table2[[#This Row],[Currency]]=$O$2,$P$2,HLOOKUP(Table2[[#This Row],[Date]],Funds!$C$10:$GV$11,2,FALSE)))</f>
        <v/>
      </c>
      <c r="J5251" s="215" t="str">
        <f>IF(Table2[[#This Row],[Description]]="","",Table2[[#This Row],[Value]]/Table2[[#This Row],[Conversion]])</f>
        <v/>
      </c>
      <c r="K5251" s="45" t="str">
        <f>IF(Table2[[#This Row],[Description]]="","",DATE(Table2[[#This Row],[Year]],Table2[[#This Row],[Month]],1))</f>
        <v/>
      </c>
    </row>
    <row r="5252" spans="7:11" x14ac:dyDescent="0.25">
      <c r="G5252" s="1" t="str">
        <f>IF(Table2[[#This Row],[Description]]="","",VLOOKUP(Table2[[#This Row],[Description]],$Q$1:$S$101,2,FALSE))</f>
        <v/>
      </c>
      <c r="H5252" s="1" t="str">
        <f>IF(Table2[[#This Row],[Description]]="","",VLOOKUP(Table2[[#This Row],[Description]],$Q$1:$S$101,3,FALSE))</f>
        <v/>
      </c>
      <c r="I5252" s="1" t="str">
        <f>IF(Table2[[#This Row],[Description]]="","",IF(Table2[[#This Row],[Currency]]=$O$2,$P$2,HLOOKUP(Table2[[#This Row],[Date]],Funds!$C$10:$GV$11,2,FALSE)))</f>
        <v/>
      </c>
      <c r="J5252" s="215" t="str">
        <f>IF(Table2[[#This Row],[Description]]="","",Table2[[#This Row],[Value]]/Table2[[#This Row],[Conversion]])</f>
        <v/>
      </c>
      <c r="K5252" s="45" t="str">
        <f>IF(Table2[[#This Row],[Description]]="","",DATE(Table2[[#This Row],[Year]],Table2[[#This Row],[Month]],1))</f>
        <v/>
      </c>
    </row>
    <row r="5253" spans="7:11" x14ac:dyDescent="0.25">
      <c r="G5253" s="1" t="str">
        <f>IF(Table2[[#This Row],[Description]]="","",VLOOKUP(Table2[[#This Row],[Description]],$Q$1:$S$101,2,FALSE))</f>
        <v/>
      </c>
      <c r="H5253" s="1" t="str">
        <f>IF(Table2[[#This Row],[Description]]="","",VLOOKUP(Table2[[#This Row],[Description]],$Q$1:$S$101,3,FALSE))</f>
        <v/>
      </c>
      <c r="I5253" s="1" t="str">
        <f>IF(Table2[[#This Row],[Description]]="","",IF(Table2[[#This Row],[Currency]]=$O$2,$P$2,HLOOKUP(Table2[[#This Row],[Date]],Funds!$C$10:$GV$11,2,FALSE)))</f>
        <v/>
      </c>
      <c r="J5253" s="215" t="str">
        <f>IF(Table2[[#This Row],[Description]]="","",Table2[[#This Row],[Value]]/Table2[[#This Row],[Conversion]])</f>
        <v/>
      </c>
      <c r="K5253" s="45" t="str">
        <f>IF(Table2[[#This Row],[Description]]="","",DATE(Table2[[#This Row],[Year]],Table2[[#This Row],[Month]],1))</f>
        <v/>
      </c>
    </row>
    <row r="5254" spans="7:11" x14ac:dyDescent="0.25">
      <c r="G5254" s="1" t="str">
        <f>IF(Table2[[#This Row],[Description]]="","",VLOOKUP(Table2[[#This Row],[Description]],$Q$1:$S$101,2,FALSE))</f>
        <v/>
      </c>
      <c r="H5254" s="1" t="str">
        <f>IF(Table2[[#This Row],[Description]]="","",VLOOKUP(Table2[[#This Row],[Description]],$Q$1:$S$101,3,FALSE))</f>
        <v/>
      </c>
      <c r="I5254" s="1" t="str">
        <f>IF(Table2[[#This Row],[Description]]="","",IF(Table2[[#This Row],[Currency]]=$O$2,$P$2,HLOOKUP(Table2[[#This Row],[Date]],Funds!$C$10:$GV$11,2,FALSE)))</f>
        <v/>
      </c>
      <c r="J5254" s="215" t="str">
        <f>IF(Table2[[#This Row],[Description]]="","",Table2[[#This Row],[Value]]/Table2[[#This Row],[Conversion]])</f>
        <v/>
      </c>
      <c r="K5254" s="45" t="str">
        <f>IF(Table2[[#This Row],[Description]]="","",DATE(Table2[[#This Row],[Year]],Table2[[#This Row],[Month]],1))</f>
        <v/>
      </c>
    </row>
    <row r="5255" spans="7:11" x14ac:dyDescent="0.25">
      <c r="G5255" s="1" t="str">
        <f>IF(Table2[[#This Row],[Description]]="","",VLOOKUP(Table2[[#This Row],[Description]],$Q$1:$S$101,2,FALSE))</f>
        <v/>
      </c>
      <c r="H5255" s="1" t="str">
        <f>IF(Table2[[#This Row],[Description]]="","",VLOOKUP(Table2[[#This Row],[Description]],$Q$1:$S$101,3,FALSE))</f>
        <v/>
      </c>
      <c r="I5255" s="1" t="str">
        <f>IF(Table2[[#This Row],[Description]]="","",IF(Table2[[#This Row],[Currency]]=$O$2,$P$2,HLOOKUP(Table2[[#This Row],[Date]],Funds!$C$10:$GV$11,2,FALSE)))</f>
        <v/>
      </c>
      <c r="J5255" s="215" t="str">
        <f>IF(Table2[[#This Row],[Description]]="","",Table2[[#This Row],[Value]]/Table2[[#This Row],[Conversion]])</f>
        <v/>
      </c>
      <c r="K5255" s="45" t="str">
        <f>IF(Table2[[#This Row],[Description]]="","",DATE(Table2[[#This Row],[Year]],Table2[[#This Row],[Month]],1))</f>
        <v/>
      </c>
    </row>
    <row r="5256" spans="7:11" x14ac:dyDescent="0.25">
      <c r="G5256" s="1" t="str">
        <f>IF(Table2[[#This Row],[Description]]="","",VLOOKUP(Table2[[#This Row],[Description]],$Q$1:$S$101,2,FALSE))</f>
        <v/>
      </c>
      <c r="H5256" s="1" t="str">
        <f>IF(Table2[[#This Row],[Description]]="","",VLOOKUP(Table2[[#This Row],[Description]],$Q$1:$S$101,3,FALSE))</f>
        <v/>
      </c>
      <c r="I5256" s="1" t="str">
        <f>IF(Table2[[#This Row],[Description]]="","",IF(Table2[[#This Row],[Currency]]=$O$2,$P$2,HLOOKUP(Table2[[#This Row],[Date]],Funds!$C$10:$GV$11,2,FALSE)))</f>
        <v/>
      </c>
      <c r="J5256" s="215" t="str">
        <f>IF(Table2[[#This Row],[Description]]="","",Table2[[#This Row],[Value]]/Table2[[#This Row],[Conversion]])</f>
        <v/>
      </c>
      <c r="K5256" s="45" t="str">
        <f>IF(Table2[[#This Row],[Description]]="","",DATE(Table2[[#This Row],[Year]],Table2[[#This Row],[Month]],1))</f>
        <v/>
      </c>
    </row>
    <row r="5257" spans="7:11" x14ac:dyDescent="0.25">
      <c r="G5257" s="1" t="str">
        <f>IF(Table2[[#This Row],[Description]]="","",VLOOKUP(Table2[[#This Row],[Description]],$Q$1:$S$101,2,FALSE))</f>
        <v/>
      </c>
      <c r="H5257" s="1" t="str">
        <f>IF(Table2[[#This Row],[Description]]="","",VLOOKUP(Table2[[#This Row],[Description]],$Q$1:$S$101,3,FALSE))</f>
        <v/>
      </c>
      <c r="I5257" s="1" t="str">
        <f>IF(Table2[[#This Row],[Description]]="","",IF(Table2[[#This Row],[Currency]]=$O$2,$P$2,HLOOKUP(Table2[[#This Row],[Date]],Funds!$C$10:$GV$11,2,FALSE)))</f>
        <v/>
      </c>
      <c r="J5257" s="215" t="str">
        <f>IF(Table2[[#This Row],[Description]]="","",Table2[[#This Row],[Value]]/Table2[[#This Row],[Conversion]])</f>
        <v/>
      </c>
      <c r="K5257" s="45" t="str">
        <f>IF(Table2[[#This Row],[Description]]="","",DATE(Table2[[#This Row],[Year]],Table2[[#This Row],[Month]],1))</f>
        <v/>
      </c>
    </row>
    <row r="5258" spans="7:11" x14ac:dyDescent="0.25">
      <c r="G5258" s="1" t="str">
        <f>IF(Table2[[#This Row],[Description]]="","",VLOOKUP(Table2[[#This Row],[Description]],$Q$1:$S$101,2,FALSE))</f>
        <v/>
      </c>
      <c r="H5258" s="1" t="str">
        <f>IF(Table2[[#This Row],[Description]]="","",VLOOKUP(Table2[[#This Row],[Description]],$Q$1:$S$101,3,FALSE))</f>
        <v/>
      </c>
      <c r="I5258" s="1" t="str">
        <f>IF(Table2[[#This Row],[Description]]="","",IF(Table2[[#This Row],[Currency]]=$O$2,$P$2,HLOOKUP(Table2[[#This Row],[Date]],Funds!$C$10:$GV$11,2,FALSE)))</f>
        <v/>
      </c>
      <c r="J5258" s="215" t="str">
        <f>IF(Table2[[#This Row],[Description]]="","",Table2[[#This Row],[Value]]/Table2[[#This Row],[Conversion]])</f>
        <v/>
      </c>
      <c r="K5258" s="45" t="str">
        <f>IF(Table2[[#This Row],[Description]]="","",DATE(Table2[[#This Row],[Year]],Table2[[#This Row],[Month]],1))</f>
        <v/>
      </c>
    </row>
    <row r="5259" spans="7:11" x14ac:dyDescent="0.25">
      <c r="G5259" s="1" t="str">
        <f>IF(Table2[[#This Row],[Description]]="","",VLOOKUP(Table2[[#This Row],[Description]],$Q$1:$S$101,2,FALSE))</f>
        <v/>
      </c>
      <c r="H5259" s="1" t="str">
        <f>IF(Table2[[#This Row],[Description]]="","",VLOOKUP(Table2[[#This Row],[Description]],$Q$1:$S$101,3,FALSE))</f>
        <v/>
      </c>
      <c r="I5259" s="1" t="str">
        <f>IF(Table2[[#This Row],[Description]]="","",IF(Table2[[#This Row],[Currency]]=$O$2,$P$2,HLOOKUP(Table2[[#This Row],[Date]],Funds!$C$10:$GV$11,2,FALSE)))</f>
        <v/>
      </c>
      <c r="J5259" s="215" t="str">
        <f>IF(Table2[[#This Row],[Description]]="","",Table2[[#This Row],[Value]]/Table2[[#This Row],[Conversion]])</f>
        <v/>
      </c>
      <c r="K5259" s="45" t="str">
        <f>IF(Table2[[#This Row],[Description]]="","",DATE(Table2[[#This Row],[Year]],Table2[[#This Row],[Month]],1))</f>
        <v/>
      </c>
    </row>
    <row r="5260" spans="7:11" x14ac:dyDescent="0.25">
      <c r="G5260" s="1" t="str">
        <f>IF(Table2[[#This Row],[Description]]="","",VLOOKUP(Table2[[#This Row],[Description]],$Q$1:$S$101,2,FALSE))</f>
        <v/>
      </c>
      <c r="H5260" s="1" t="str">
        <f>IF(Table2[[#This Row],[Description]]="","",VLOOKUP(Table2[[#This Row],[Description]],$Q$1:$S$101,3,FALSE))</f>
        <v/>
      </c>
      <c r="I5260" s="1" t="str">
        <f>IF(Table2[[#This Row],[Description]]="","",IF(Table2[[#This Row],[Currency]]=$O$2,$P$2,HLOOKUP(Table2[[#This Row],[Date]],Funds!$C$10:$GV$11,2,FALSE)))</f>
        <v/>
      </c>
      <c r="J5260" s="215" t="str">
        <f>IF(Table2[[#This Row],[Description]]="","",Table2[[#This Row],[Value]]/Table2[[#This Row],[Conversion]])</f>
        <v/>
      </c>
      <c r="K5260" s="45" t="str">
        <f>IF(Table2[[#This Row],[Description]]="","",DATE(Table2[[#This Row],[Year]],Table2[[#This Row],[Month]],1))</f>
        <v/>
      </c>
    </row>
    <row r="5261" spans="7:11" x14ac:dyDescent="0.25">
      <c r="G5261" s="1" t="str">
        <f>IF(Table2[[#This Row],[Description]]="","",VLOOKUP(Table2[[#This Row],[Description]],$Q$1:$S$101,2,FALSE))</f>
        <v/>
      </c>
      <c r="H5261" s="1" t="str">
        <f>IF(Table2[[#This Row],[Description]]="","",VLOOKUP(Table2[[#This Row],[Description]],$Q$1:$S$101,3,FALSE))</f>
        <v/>
      </c>
      <c r="I5261" s="1" t="str">
        <f>IF(Table2[[#This Row],[Description]]="","",IF(Table2[[#This Row],[Currency]]=$O$2,$P$2,HLOOKUP(Table2[[#This Row],[Date]],Funds!$C$10:$GV$11,2,FALSE)))</f>
        <v/>
      </c>
      <c r="J5261" s="215" t="str">
        <f>IF(Table2[[#This Row],[Description]]="","",Table2[[#This Row],[Value]]/Table2[[#This Row],[Conversion]])</f>
        <v/>
      </c>
      <c r="K5261" s="45" t="str">
        <f>IF(Table2[[#This Row],[Description]]="","",DATE(Table2[[#This Row],[Year]],Table2[[#This Row],[Month]],1))</f>
        <v/>
      </c>
    </row>
    <row r="5262" spans="7:11" x14ac:dyDescent="0.25">
      <c r="G5262" s="1" t="str">
        <f>IF(Table2[[#This Row],[Description]]="","",VLOOKUP(Table2[[#This Row],[Description]],$Q$1:$S$101,2,FALSE))</f>
        <v/>
      </c>
      <c r="H5262" s="1" t="str">
        <f>IF(Table2[[#This Row],[Description]]="","",VLOOKUP(Table2[[#This Row],[Description]],$Q$1:$S$101,3,FALSE))</f>
        <v/>
      </c>
      <c r="I5262" s="1" t="str">
        <f>IF(Table2[[#This Row],[Description]]="","",IF(Table2[[#This Row],[Currency]]=$O$2,$P$2,HLOOKUP(Table2[[#This Row],[Date]],Funds!$C$10:$GV$11,2,FALSE)))</f>
        <v/>
      </c>
      <c r="J5262" s="215" t="str">
        <f>IF(Table2[[#This Row],[Description]]="","",Table2[[#This Row],[Value]]/Table2[[#This Row],[Conversion]])</f>
        <v/>
      </c>
      <c r="K5262" s="45" t="str">
        <f>IF(Table2[[#This Row],[Description]]="","",DATE(Table2[[#This Row],[Year]],Table2[[#This Row],[Month]],1))</f>
        <v/>
      </c>
    </row>
    <row r="5263" spans="7:11" x14ac:dyDescent="0.25">
      <c r="G5263" s="1" t="str">
        <f>IF(Table2[[#This Row],[Description]]="","",VLOOKUP(Table2[[#This Row],[Description]],$Q$1:$S$101,2,FALSE))</f>
        <v/>
      </c>
      <c r="H5263" s="1" t="str">
        <f>IF(Table2[[#This Row],[Description]]="","",VLOOKUP(Table2[[#This Row],[Description]],$Q$1:$S$101,3,FALSE))</f>
        <v/>
      </c>
      <c r="I5263" s="1" t="str">
        <f>IF(Table2[[#This Row],[Description]]="","",IF(Table2[[#This Row],[Currency]]=$O$2,$P$2,HLOOKUP(Table2[[#This Row],[Date]],Funds!$C$10:$GV$11,2,FALSE)))</f>
        <v/>
      </c>
      <c r="J5263" s="215" t="str">
        <f>IF(Table2[[#This Row],[Description]]="","",Table2[[#This Row],[Value]]/Table2[[#This Row],[Conversion]])</f>
        <v/>
      </c>
      <c r="K5263" s="45" t="str">
        <f>IF(Table2[[#This Row],[Description]]="","",DATE(Table2[[#This Row],[Year]],Table2[[#This Row],[Month]],1))</f>
        <v/>
      </c>
    </row>
    <row r="5264" spans="7:11" x14ac:dyDescent="0.25">
      <c r="G5264" s="1" t="str">
        <f>IF(Table2[[#This Row],[Description]]="","",VLOOKUP(Table2[[#This Row],[Description]],$Q$1:$S$101,2,FALSE))</f>
        <v/>
      </c>
      <c r="H5264" s="1" t="str">
        <f>IF(Table2[[#This Row],[Description]]="","",VLOOKUP(Table2[[#This Row],[Description]],$Q$1:$S$101,3,FALSE))</f>
        <v/>
      </c>
      <c r="I5264" s="1" t="str">
        <f>IF(Table2[[#This Row],[Description]]="","",IF(Table2[[#This Row],[Currency]]=$O$2,$P$2,HLOOKUP(Table2[[#This Row],[Date]],Funds!$C$10:$GV$11,2,FALSE)))</f>
        <v/>
      </c>
      <c r="J5264" s="215" t="str">
        <f>IF(Table2[[#This Row],[Description]]="","",Table2[[#This Row],[Value]]/Table2[[#This Row],[Conversion]])</f>
        <v/>
      </c>
      <c r="K5264" s="45" t="str">
        <f>IF(Table2[[#This Row],[Description]]="","",DATE(Table2[[#This Row],[Year]],Table2[[#This Row],[Month]],1))</f>
        <v/>
      </c>
    </row>
    <row r="5265" spans="7:11" x14ac:dyDescent="0.25">
      <c r="G5265" s="1" t="str">
        <f>IF(Table2[[#This Row],[Description]]="","",VLOOKUP(Table2[[#This Row],[Description]],$Q$1:$S$101,2,FALSE))</f>
        <v/>
      </c>
      <c r="H5265" s="1" t="str">
        <f>IF(Table2[[#This Row],[Description]]="","",VLOOKUP(Table2[[#This Row],[Description]],$Q$1:$S$101,3,FALSE))</f>
        <v/>
      </c>
      <c r="I5265" s="1" t="str">
        <f>IF(Table2[[#This Row],[Description]]="","",IF(Table2[[#This Row],[Currency]]=$O$2,$P$2,HLOOKUP(Table2[[#This Row],[Date]],Funds!$C$10:$GV$11,2,FALSE)))</f>
        <v/>
      </c>
      <c r="J5265" s="215" t="str">
        <f>IF(Table2[[#This Row],[Description]]="","",Table2[[#This Row],[Value]]/Table2[[#This Row],[Conversion]])</f>
        <v/>
      </c>
      <c r="K5265" s="45" t="str">
        <f>IF(Table2[[#This Row],[Description]]="","",DATE(Table2[[#This Row],[Year]],Table2[[#This Row],[Month]],1))</f>
        <v/>
      </c>
    </row>
    <row r="5266" spans="7:11" x14ac:dyDescent="0.25">
      <c r="G5266" s="1" t="str">
        <f>IF(Table2[[#This Row],[Description]]="","",VLOOKUP(Table2[[#This Row],[Description]],$Q$1:$S$101,2,FALSE))</f>
        <v/>
      </c>
      <c r="H5266" s="1" t="str">
        <f>IF(Table2[[#This Row],[Description]]="","",VLOOKUP(Table2[[#This Row],[Description]],$Q$1:$S$101,3,FALSE))</f>
        <v/>
      </c>
      <c r="I5266" s="1" t="str">
        <f>IF(Table2[[#This Row],[Description]]="","",IF(Table2[[#This Row],[Currency]]=$O$2,$P$2,HLOOKUP(Table2[[#This Row],[Date]],Funds!$C$10:$GV$11,2,FALSE)))</f>
        <v/>
      </c>
      <c r="J5266" s="215" t="str">
        <f>IF(Table2[[#This Row],[Description]]="","",Table2[[#This Row],[Value]]/Table2[[#This Row],[Conversion]])</f>
        <v/>
      </c>
      <c r="K5266" s="45" t="str">
        <f>IF(Table2[[#This Row],[Description]]="","",DATE(Table2[[#This Row],[Year]],Table2[[#This Row],[Month]],1))</f>
        <v/>
      </c>
    </row>
    <row r="5267" spans="7:11" x14ac:dyDescent="0.25">
      <c r="G5267" s="1" t="str">
        <f>IF(Table2[[#This Row],[Description]]="","",VLOOKUP(Table2[[#This Row],[Description]],$Q$1:$S$101,2,FALSE))</f>
        <v/>
      </c>
      <c r="H5267" s="1" t="str">
        <f>IF(Table2[[#This Row],[Description]]="","",VLOOKUP(Table2[[#This Row],[Description]],$Q$1:$S$101,3,FALSE))</f>
        <v/>
      </c>
      <c r="I5267" s="1" t="str">
        <f>IF(Table2[[#This Row],[Description]]="","",IF(Table2[[#This Row],[Currency]]=$O$2,$P$2,HLOOKUP(Table2[[#This Row],[Date]],Funds!$C$10:$GV$11,2,FALSE)))</f>
        <v/>
      </c>
      <c r="J5267" s="215" t="str">
        <f>IF(Table2[[#This Row],[Description]]="","",Table2[[#This Row],[Value]]/Table2[[#This Row],[Conversion]])</f>
        <v/>
      </c>
      <c r="K5267" s="45" t="str">
        <f>IF(Table2[[#This Row],[Description]]="","",DATE(Table2[[#This Row],[Year]],Table2[[#This Row],[Month]],1))</f>
        <v/>
      </c>
    </row>
    <row r="5268" spans="7:11" x14ac:dyDescent="0.25">
      <c r="G5268" s="1" t="str">
        <f>IF(Table2[[#This Row],[Description]]="","",VLOOKUP(Table2[[#This Row],[Description]],$Q$1:$S$101,2,FALSE))</f>
        <v/>
      </c>
      <c r="H5268" s="1" t="str">
        <f>IF(Table2[[#This Row],[Description]]="","",VLOOKUP(Table2[[#This Row],[Description]],$Q$1:$S$101,3,FALSE))</f>
        <v/>
      </c>
      <c r="I5268" s="1" t="str">
        <f>IF(Table2[[#This Row],[Description]]="","",IF(Table2[[#This Row],[Currency]]=$O$2,$P$2,HLOOKUP(Table2[[#This Row],[Date]],Funds!$C$10:$GV$11,2,FALSE)))</f>
        <v/>
      </c>
      <c r="J5268" s="215" t="str">
        <f>IF(Table2[[#This Row],[Description]]="","",Table2[[#This Row],[Value]]/Table2[[#This Row],[Conversion]])</f>
        <v/>
      </c>
      <c r="K5268" s="45" t="str">
        <f>IF(Table2[[#This Row],[Description]]="","",DATE(Table2[[#This Row],[Year]],Table2[[#This Row],[Month]],1))</f>
        <v/>
      </c>
    </row>
    <row r="5269" spans="7:11" x14ac:dyDescent="0.25">
      <c r="G5269" s="1" t="str">
        <f>IF(Table2[[#This Row],[Description]]="","",VLOOKUP(Table2[[#This Row],[Description]],$Q$1:$S$101,2,FALSE))</f>
        <v/>
      </c>
      <c r="H5269" s="1" t="str">
        <f>IF(Table2[[#This Row],[Description]]="","",VLOOKUP(Table2[[#This Row],[Description]],$Q$1:$S$101,3,FALSE))</f>
        <v/>
      </c>
      <c r="I5269" s="1" t="str">
        <f>IF(Table2[[#This Row],[Description]]="","",IF(Table2[[#This Row],[Currency]]=$O$2,$P$2,HLOOKUP(Table2[[#This Row],[Date]],Funds!$C$10:$GV$11,2,FALSE)))</f>
        <v/>
      </c>
      <c r="J5269" s="215" t="str">
        <f>IF(Table2[[#This Row],[Description]]="","",Table2[[#This Row],[Value]]/Table2[[#This Row],[Conversion]])</f>
        <v/>
      </c>
      <c r="K5269" s="45" t="str">
        <f>IF(Table2[[#This Row],[Description]]="","",DATE(Table2[[#This Row],[Year]],Table2[[#This Row],[Month]],1))</f>
        <v/>
      </c>
    </row>
    <row r="5270" spans="7:11" x14ac:dyDescent="0.25">
      <c r="G5270" s="1" t="str">
        <f>IF(Table2[[#This Row],[Description]]="","",VLOOKUP(Table2[[#This Row],[Description]],$Q$1:$S$101,2,FALSE))</f>
        <v/>
      </c>
      <c r="H5270" s="1" t="str">
        <f>IF(Table2[[#This Row],[Description]]="","",VLOOKUP(Table2[[#This Row],[Description]],$Q$1:$S$101,3,FALSE))</f>
        <v/>
      </c>
      <c r="I5270" s="1" t="str">
        <f>IF(Table2[[#This Row],[Description]]="","",IF(Table2[[#This Row],[Currency]]=$O$2,$P$2,HLOOKUP(Table2[[#This Row],[Date]],Funds!$C$10:$GV$11,2,FALSE)))</f>
        <v/>
      </c>
      <c r="J5270" s="215" t="str">
        <f>IF(Table2[[#This Row],[Description]]="","",Table2[[#This Row],[Value]]/Table2[[#This Row],[Conversion]])</f>
        <v/>
      </c>
      <c r="K5270" s="45" t="str">
        <f>IF(Table2[[#This Row],[Description]]="","",DATE(Table2[[#This Row],[Year]],Table2[[#This Row],[Month]],1))</f>
        <v/>
      </c>
    </row>
    <row r="5271" spans="7:11" x14ac:dyDescent="0.25">
      <c r="G5271" s="1" t="str">
        <f>IF(Table2[[#This Row],[Description]]="","",VLOOKUP(Table2[[#This Row],[Description]],$Q$1:$S$101,2,FALSE))</f>
        <v/>
      </c>
      <c r="H5271" s="1" t="str">
        <f>IF(Table2[[#This Row],[Description]]="","",VLOOKUP(Table2[[#This Row],[Description]],$Q$1:$S$101,3,FALSE))</f>
        <v/>
      </c>
      <c r="I5271" s="1" t="str">
        <f>IF(Table2[[#This Row],[Description]]="","",IF(Table2[[#This Row],[Currency]]=$O$2,$P$2,HLOOKUP(Table2[[#This Row],[Date]],Funds!$C$10:$GV$11,2,FALSE)))</f>
        <v/>
      </c>
      <c r="J5271" s="215" t="str">
        <f>IF(Table2[[#This Row],[Description]]="","",Table2[[#This Row],[Value]]/Table2[[#This Row],[Conversion]])</f>
        <v/>
      </c>
      <c r="K5271" s="45" t="str">
        <f>IF(Table2[[#This Row],[Description]]="","",DATE(Table2[[#This Row],[Year]],Table2[[#This Row],[Month]],1))</f>
        <v/>
      </c>
    </row>
    <row r="5272" spans="7:11" x14ac:dyDescent="0.25">
      <c r="G5272" s="1" t="str">
        <f>IF(Table2[[#This Row],[Description]]="","",VLOOKUP(Table2[[#This Row],[Description]],$Q$1:$S$101,2,FALSE))</f>
        <v/>
      </c>
      <c r="H5272" s="1" t="str">
        <f>IF(Table2[[#This Row],[Description]]="","",VLOOKUP(Table2[[#This Row],[Description]],$Q$1:$S$101,3,FALSE))</f>
        <v/>
      </c>
      <c r="I5272" s="1" t="str">
        <f>IF(Table2[[#This Row],[Description]]="","",IF(Table2[[#This Row],[Currency]]=$O$2,$P$2,HLOOKUP(Table2[[#This Row],[Date]],Funds!$C$10:$GV$11,2,FALSE)))</f>
        <v/>
      </c>
      <c r="J5272" s="215" t="str">
        <f>IF(Table2[[#This Row],[Description]]="","",Table2[[#This Row],[Value]]/Table2[[#This Row],[Conversion]])</f>
        <v/>
      </c>
      <c r="K5272" s="45" t="str">
        <f>IF(Table2[[#This Row],[Description]]="","",DATE(Table2[[#This Row],[Year]],Table2[[#This Row],[Month]],1))</f>
        <v/>
      </c>
    </row>
    <row r="5273" spans="7:11" x14ac:dyDescent="0.25">
      <c r="G5273" s="1" t="str">
        <f>IF(Table2[[#This Row],[Description]]="","",VLOOKUP(Table2[[#This Row],[Description]],$Q$1:$S$101,2,FALSE))</f>
        <v/>
      </c>
      <c r="H5273" s="1" t="str">
        <f>IF(Table2[[#This Row],[Description]]="","",VLOOKUP(Table2[[#This Row],[Description]],$Q$1:$S$101,3,FALSE))</f>
        <v/>
      </c>
      <c r="I5273" s="1" t="str">
        <f>IF(Table2[[#This Row],[Description]]="","",IF(Table2[[#This Row],[Currency]]=$O$2,$P$2,HLOOKUP(Table2[[#This Row],[Date]],Funds!$C$10:$GV$11,2,FALSE)))</f>
        <v/>
      </c>
      <c r="J5273" s="215" t="str">
        <f>IF(Table2[[#This Row],[Description]]="","",Table2[[#This Row],[Value]]/Table2[[#This Row],[Conversion]])</f>
        <v/>
      </c>
      <c r="K5273" s="45" t="str">
        <f>IF(Table2[[#This Row],[Description]]="","",DATE(Table2[[#This Row],[Year]],Table2[[#This Row],[Month]],1))</f>
        <v/>
      </c>
    </row>
    <row r="5274" spans="7:11" x14ac:dyDescent="0.25">
      <c r="G5274" s="1" t="str">
        <f>IF(Table2[[#This Row],[Description]]="","",VLOOKUP(Table2[[#This Row],[Description]],$Q$1:$S$101,2,FALSE))</f>
        <v/>
      </c>
      <c r="H5274" s="1" t="str">
        <f>IF(Table2[[#This Row],[Description]]="","",VLOOKUP(Table2[[#This Row],[Description]],$Q$1:$S$101,3,FALSE))</f>
        <v/>
      </c>
      <c r="I5274" s="1" t="str">
        <f>IF(Table2[[#This Row],[Description]]="","",IF(Table2[[#This Row],[Currency]]=$O$2,$P$2,HLOOKUP(Table2[[#This Row],[Date]],Funds!$C$10:$GV$11,2,FALSE)))</f>
        <v/>
      </c>
      <c r="J5274" s="215" t="str">
        <f>IF(Table2[[#This Row],[Description]]="","",Table2[[#This Row],[Value]]/Table2[[#This Row],[Conversion]])</f>
        <v/>
      </c>
      <c r="K5274" s="45" t="str">
        <f>IF(Table2[[#This Row],[Description]]="","",DATE(Table2[[#This Row],[Year]],Table2[[#This Row],[Month]],1))</f>
        <v/>
      </c>
    </row>
    <row r="5275" spans="7:11" x14ac:dyDescent="0.25">
      <c r="G5275" s="1" t="str">
        <f>IF(Table2[[#This Row],[Description]]="","",VLOOKUP(Table2[[#This Row],[Description]],$Q$1:$S$101,2,FALSE))</f>
        <v/>
      </c>
      <c r="H5275" s="1" t="str">
        <f>IF(Table2[[#This Row],[Description]]="","",VLOOKUP(Table2[[#This Row],[Description]],$Q$1:$S$101,3,FALSE))</f>
        <v/>
      </c>
      <c r="I5275" s="1" t="str">
        <f>IF(Table2[[#This Row],[Description]]="","",IF(Table2[[#This Row],[Currency]]=$O$2,$P$2,HLOOKUP(Table2[[#This Row],[Date]],Funds!$C$10:$GV$11,2,FALSE)))</f>
        <v/>
      </c>
      <c r="J5275" s="215" t="str">
        <f>IF(Table2[[#This Row],[Description]]="","",Table2[[#This Row],[Value]]/Table2[[#This Row],[Conversion]])</f>
        <v/>
      </c>
      <c r="K5275" s="45" t="str">
        <f>IF(Table2[[#This Row],[Description]]="","",DATE(Table2[[#This Row],[Year]],Table2[[#This Row],[Month]],1))</f>
        <v/>
      </c>
    </row>
    <row r="5276" spans="7:11" x14ac:dyDescent="0.25">
      <c r="G5276" s="1" t="str">
        <f>IF(Table2[[#This Row],[Description]]="","",VLOOKUP(Table2[[#This Row],[Description]],$Q$1:$S$101,2,FALSE))</f>
        <v/>
      </c>
      <c r="H5276" s="1" t="str">
        <f>IF(Table2[[#This Row],[Description]]="","",VLOOKUP(Table2[[#This Row],[Description]],$Q$1:$S$101,3,FALSE))</f>
        <v/>
      </c>
      <c r="I5276" s="1" t="str">
        <f>IF(Table2[[#This Row],[Description]]="","",IF(Table2[[#This Row],[Currency]]=$O$2,$P$2,HLOOKUP(Table2[[#This Row],[Date]],Funds!$C$10:$GV$11,2,FALSE)))</f>
        <v/>
      </c>
      <c r="J5276" s="215" t="str">
        <f>IF(Table2[[#This Row],[Description]]="","",Table2[[#This Row],[Value]]/Table2[[#This Row],[Conversion]])</f>
        <v/>
      </c>
      <c r="K5276" s="45" t="str">
        <f>IF(Table2[[#This Row],[Description]]="","",DATE(Table2[[#This Row],[Year]],Table2[[#This Row],[Month]],1))</f>
        <v/>
      </c>
    </row>
    <row r="5277" spans="7:11" x14ac:dyDescent="0.25">
      <c r="G5277" s="1" t="str">
        <f>IF(Table2[[#This Row],[Description]]="","",VLOOKUP(Table2[[#This Row],[Description]],$Q$1:$S$101,2,FALSE))</f>
        <v/>
      </c>
      <c r="H5277" s="1" t="str">
        <f>IF(Table2[[#This Row],[Description]]="","",VLOOKUP(Table2[[#This Row],[Description]],$Q$1:$S$101,3,FALSE))</f>
        <v/>
      </c>
      <c r="I5277" s="1" t="str">
        <f>IF(Table2[[#This Row],[Description]]="","",IF(Table2[[#This Row],[Currency]]=$O$2,$P$2,HLOOKUP(Table2[[#This Row],[Date]],Funds!$C$10:$GV$11,2,FALSE)))</f>
        <v/>
      </c>
      <c r="J5277" s="215" t="str">
        <f>IF(Table2[[#This Row],[Description]]="","",Table2[[#This Row],[Value]]/Table2[[#This Row],[Conversion]])</f>
        <v/>
      </c>
      <c r="K5277" s="45" t="str">
        <f>IF(Table2[[#This Row],[Description]]="","",DATE(Table2[[#This Row],[Year]],Table2[[#This Row],[Month]],1))</f>
        <v/>
      </c>
    </row>
    <row r="5278" spans="7:11" x14ac:dyDescent="0.25">
      <c r="G5278" s="1" t="str">
        <f>IF(Table2[[#This Row],[Description]]="","",VLOOKUP(Table2[[#This Row],[Description]],$Q$1:$S$101,2,FALSE))</f>
        <v/>
      </c>
      <c r="H5278" s="1" t="str">
        <f>IF(Table2[[#This Row],[Description]]="","",VLOOKUP(Table2[[#This Row],[Description]],$Q$1:$S$101,3,FALSE))</f>
        <v/>
      </c>
      <c r="I5278" s="1" t="str">
        <f>IF(Table2[[#This Row],[Description]]="","",IF(Table2[[#This Row],[Currency]]=$O$2,$P$2,HLOOKUP(Table2[[#This Row],[Date]],Funds!$C$10:$GV$11,2,FALSE)))</f>
        <v/>
      </c>
      <c r="J5278" s="215" t="str">
        <f>IF(Table2[[#This Row],[Description]]="","",Table2[[#This Row],[Value]]/Table2[[#This Row],[Conversion]])</f>
        <v/>
      </c>
      <c r="K5278" s="45" t="str">
        <f>IF(Table2[[#This Row],[Description]]="","",DATE(Table2[[#This Row],[Year]],Table2[[#This Row],[Month]],1))</f>
        <v/>
      </c>
    </row>
    <row r="5279" spans="7:11" x14ac:dyDescent="0.25">
      <c r="G5279" s="1" t="str">
        <f>IF(Table2[[#This Row],[Description]]="","",VLOOKUP(Table2[[#This Row],[Description]],$Q$1:$S$101,2,FALSE))</f>
        <v/>
      </c>
      <c r="H5279" s="1" t="str">
        <f>IF(Table2[[#This Row],[Description]]="","",VLOOKUP(Table2[[#This Row],[Description]],$Q$1:$S$101,3,FALSE))</f>
        <v/>
      </c>
      <c r="I5279" s="1" t="str">
        <f>IF(Table2[[#This Row],[Description]]="","",IF(Table2[[#This Row],[Currency]]=$O$2,$P$2,HLOOKUP(Table2[[#This Row],[Date]],Funds!$C$10:$GV$11,2,FALSE)))</f>
        <v/>
      </c>
      <c r="J5279" s="215" t="str">
        <f>IF(Table2[[#This Row],[Description]]="","",Table2[[#This Row],[Value]]/Table2[[#This Row],[Conversion]])</f>
        <v/>
      </c>
      <c r="K5279" s="45" t="str">
        <f>IF(Table2[[#This Row],[Description]]="","",DATE(Table2[[#This Row],[Year]],Table2[[#This Row],[Month]],1))</f>
        <v/>
      </c>
    </row>
    <row r="5280" spans="7:11" x14ac:dyDescent="0.25">
      <c r="G5280" s="1" t="str">
        <f>IF(Table2[[#This Row],[Description]]="","",VLOOKUP(Table2[[#This Row],[Description]],$Q$1:$S$101,2,FALSE))</f>
        <v/>
      </c>
      <c r="H5280" s="1" t="str">
        <f>IF(Table2[[#This Row],[Description]]="","",VLOOKUP(Table2[[#This Row],[Description]],$Q$1:$S$101,3,FALSE))</f>
        <v/>
      </c>
      <c r="I5280" s="1" t="str">
        <f>IF(Table2[[#This Row],[Description]]="","",IF(Table2[[#This Row],[Currency]]=$O$2,$P$2,HLOOKUP(Table2[[#This Row],[Date]],Funds!$C$10:$GV$11,2,FALSE)))</f>
        <v/>
      </c>
      <c r="J5280" s="215" t="str">
        <f>IF(Table2[[#This Row],[Description]]="","",Table2[[#This Row],[Value]]/Table2[[#This Row],[Conversion]])</f>
        <v/>
      </c>
      <c r="K5280" s="45" t="str">
        <f>IF(Table2[[#This Row],[Description]]="","",DATE(Table2[[#This Row],[Year]],Table2[[#This Row],[Month]],1))</f>
        <v/>
      </c>
    </row>
    <row r="5281" spans="7:11" x14ac:dyDescent="0.25">
      <c r="G5281" s="1" t="str">
        <f>IF(Table2[[#This Row],[Description]]="","",VLOOKUP(Table2[[#This Row],[Description]],$Q$1:$S$101,2,FALSE))</f>
        <v/>
      </c>
      <c r="H5281" s="1" t="str">
        <f>IF(Table2[[#This Row],[Description]]="","",VLOOKUP(Table2[[#This Row],[Description]],$Q$1:$S$101,3,FALSE))</f>
        <v/>
      </c>
      <c r="I5281" s="1" t="str">
        <f>IF(Table2[[#This Row],[Description]]="","",IF(Table2[[#This Row],[Currency]]=$O$2,$P$2,HLOOKUP(Table2[[#This Row],[Date]],Funds!$C$10:$GV$11,2,FALSE)))</f>
        <v/>
      </c>
      <c r="J5281" s="215" t="str">
        <f>IF(Table2[[#This Row],[Description]]="","",Table2[[#This Row],[Value]]/Table2[[#This Row],[Conversion]])</f>
        <v/>
      </c>
      <c r="K5281" s="45" t="str">
        <f>IF(Table2[[#This Row],[Description]]="","",DATE(Table2[[#This Row],[Year]],Table2[[#This Row],[Month]],1))</f>
        <v/>
      </c>
    </row>
    <row r="5282" spans="7:11" x14ac:dyDescent="0.25">
      <c r="G5282" s="1" t="str">
        <f>IF(Table2[[#This Row],[Description]]="","",VLOOKUP(Table2[[#This Row],[Description]],$Q$1:$S$101,2,FALSE))</f>
        <v/>
      </c>
      <c r="H5282" s="1" t="str">
        <f>IF(Table2[[#This Row],[Description]]="","",VLOOKUP(Table2[[#This Row],[Description]],$Q$1:$S$101,3,FALSE))</f>
        <v/>
      </c>
      <c r="I5282" s="1" t="str">
        <f>IF(Table2[[#This Row],[Description]]="","",IF(Table2[[#This Row],[Currency]]=$O$2,$P$2,HLOOKUP(Table2[[#This Row],[Date]],Funds!$C$10:$GV$11,2,FALSE)))</f>
        <v/>
      </c>
      <c r="J5282" s="215" t="str">
        <f>IF(Table2[[#This Row],[Description]]="","",Table2[[#This Row],[Value]]/Table2[[#This Row],[Conversion]])</f>
        <v/>
      </c>
      <c r="K5282" s="45" t="str">
        <f>IF(Table2[[#This Row],[Description]]="","",DATE(Table2[[#This Row],[Year]],Table2[[#This Row],[Month]],1))</f>
        <v/>
      </c>
    </row>
    <row r="5283" spans="7:11" x14ac:dyDescent="0.25">
      <c r="G5283" s="1" t="str">
        <f>IF(Table2[[#This Row],[Description]]="","",VLOOKUP(Table2[[#This Row],[Description]],$Q$1:$S$101,2,FALSE))</f>
        <v/>
      </c>
      <c r="H5283" s="1" t="str">
        <f>IF(Table2[[#This Row],[Description]]="","",VLOOKUP(Table2[[#This Row],[Description]],$Q$1:$S$101,3,FALSE))</f>
        <v/>
      </c>
      <c r="I5283" s="1" t="str">
        <f>IF(Table2[[#This Row],[Description]]="","",IF(Table2[[#This Row],[Currency]]=$O$2,$P$2,HLOOKUP(Table2[[#This Row],[Date]],Funds!$C$10:$GV$11,2,FALSE)))</f>
        <v/>
      </c>
      <c r="J5283" s="215" t="str">
        <f>IF(Table2[[#This Row],[Description]]="","",Table2[[#This Row],[Value]]/Table2[[#This Row],[Conversion]])</f>
        <v/>
      </c>
      <c r="K5283" s="45" t="str">
        <f>IF(Table2[[#This Row],[Description]]="","",DATE(Table2[[#This Row],[Year]],Table2[[#This Row],[Month]],1))</f>
        <v/>
      </c>
    </row>
    <row r="5284" spans="7:11" x14ac:dyDescent="0.25">
      <c r="G5284" s="1" t="str">
        <f>IF(Table2[[#This Row],[Description]]="","",VLOOKUP(Table2[[#This Row],[Description]],$Q$1:$S$101,2,FALSE))</f>
        <v/>
      </c>
      <c r="H5284" s="1" t="str">
        <f>IF(Table2[[#This Row],[Description]]="","",VLOOKUP(Table2[[#This Row],[Description]],$Q$1:$S$101,3,FALSE))</f>
        <v/>
      </c>
      <c r="I5284" s="1" t="str">
        <f>IF(Table2[[#This Row],[Description]]="","",IF(Table2[[#This Row],[Currency]]=$O$2,$P$2,HLOOKUP(Table2[[#This Row],[Date]],Funds!$C$10:$GV$11,2,FALSE)))</f>
        <v/>
      </c>
      <c r="J5284" s="215" t="str">
        <f>IF(Table2[[#This Row],[Description]]="","",Table2[[#This Row],[Value]]/Table2[[#This Row],[Conversion]])</f>
        <v/>
      </c>
      <c r="K5284" s="45" t="str">
        <f>IF(Table2[[#This Row],[Description]]="","",DATE(Table2[[#This Row],[Year]],Table2[[#This Row],[Month]],1))</f>
        <v/>
      </c>
    </row>
    <row r="5285" spans="7:11" x14ac:dyDescent="0.25">
      <c r="G5285" s="1" t="str">
        <f>IF(Table2[[#This Row],[Description]]="","",VLOOKUP(Table2[[#This Row],[Description]],$Q$1:$S$101,2,FALSE))</f>
        <v/>
      </c>
      <c r="H5285" s="1" t="str">
        <f>IF(Table2[[#This Row],[Description]]="","",VLOOKUP(Table2[[#This Row],[Description]],$Q$1:$S$101,3,FALSE))</f>
        <v/>
      </c>
      <c r="I5285" s="1" t="str">
        <f>IF(Table2[[#This Row],[Description]]="","",IF(Table2[[#This Row],[Currency]]=$O$2,$P$2,HLOOKUP(Table2[[#This Row],[Date]],Funds!$C$10:$GV$11,2,FALSE)))</f>
        <v/>
      </c>
      <c r="J5285" s="215" t="str">
        <f>IF(Table2[[#This Row],[Description]]="","",Table2[[#This Row],[Value]]/Table2[[#This Row],[Conversion]])</f>
        <v/>
      </c>
      <c r="K5285" s="45" t="str">
        <f>IF(Table2[[#This Row],[Description]]="","",DATE(Table2[[#This Row],[Year]],Table2[[#This Row],[Month]],1))</f>
        <v/>
      </c>
    </row>
    <row r="5286" spans="7:11" x14ac:dyDescent="0.25">
      <c r="G5286" s="1" t="str">
        <f>IF(Table2[[#This Row],[Description]]="","",VLOOKUP(Table2[[#This Row],[Description]],$Q$1:$S$101,2,FALSE))</f>
        <v/>
      </c>
      <c r="H5286" s="1" t="str">
        <f>IF(Table2[[#This Row],[Description]]="","",VLOOKUP(Table2[[#This Row],[Description]],$Q$1:$S$101,3,FALSE))</f>
        <v/>
      </c>
      <c r="I5286" s="1" t="str">
        <f>IF(Table2[[#This Row],[Description]]="","",IF(Table2[[#This Row],[Currency]]=$O$2,$P$2,HLOOKUP(Table2[[#This Row],[Date]],Funds!$C$10:$GV$11,2,FALSE)))</f>
        <v/>
      </c>
      <c r="J5286" s="215" t="str">
        <f>IF(Table2[[#This Row],[Description]]="","",Table2[[#This Row],[Value]]/Table2[[#This Row],[Conversion]])</f>
        <v/>
      </c>
      <c r="K5286" s="45" t="str">
        <f>IF(Table2[[#This Row],[Description]]="","",DATE(Table2[[#This Row],[Year]],Table2[[#This Row],[Month]],1))</f>
        <v/>
      </c>
    </row>
    <row r="5287" spans="7:11" x14ac:dyDescent="0.25">
      <c r="G5287" s="1" t="str">
        <f>IF(Table2[[#This Row],[Description]]="","",VLOOKUP(Table2[[#This Row],[Description]],$Q$1:$S$101,2,FALSE))</f>
        <v/>
      </c>
      <c r="H5287" s="1" t="str">
        <f>IF(Table2[[#This Row],[Description]]="","",VLOOKUP(Table2[[#This Row],[Description]],$Q$1:$S$101,3,FALSE))</f>
        <v/>
      </c>
      <c r="I5287" s="1" t="str">
        <f>IF(Table2[[#This Row],[Description]]="","",IF(Table2[[#This Row],[Currency]]=$O$2,$P$2,HLOOKUP(Table2[[#This Row],[Date]],Funds!$C$10:$GV$11,2,FALSE)))</f>
        <v/>
      </c>
      <c r="J5287" s="215" t="str">
        <f>IF(Table2[[#This Row],[Description]]="","",Table2[[#This Row],[Value]]/Table2[[#This Row],[Conversion]])</f>
        <v/>
      </c>
      <c r="K5287" s="45" t="str">
        <f>IF(Table2[[#This Row],[Description]]="","",DATE(Table2[[#This Row],[Year]],Table2[[#This Row],[Month]],1))</f>
        <v/>
      </c>
    </row>
    <row r="5288" spans="7:11" x14ac:dyDescent="0.25">
      <c r="G5288" s="1" t="str">
        <f>IF(Table2[[#This Row],[Description]]="","",VLOOKUP(Table2[[#This Row],[Description]],$Q$1:$S$101,2,FALSE))</f>
        <v/>
      </c>
      <c r="H5288" s="1" t="str">
        <f>IF(Table2[[#This Row],[Description]]="","",VLOOKUP(Table2[[#This Row],[Description]],$Q$1:$S$101,3,FALSE))</f>
        <v/>
      </c>
      <c r="I5288" s="1" t="str">
        <f>IF(Table2[[#This Row],[Description]]="","",IF(Table2[[#This Row],[Currency]]=$O$2,$P$2,HLOOKUP(Table2[[#This Row],[Date]],Funds!$C$10:$GV$11,2,FALSE)))</f>
        <v/>
      </c>
      <c r="J5288" s="215" t="str">
        <f>IF(Table2[[#This Row],[Description]]="","",Table2[[#This Row],[Value]]/Table2[[#This Row],[Conversion]])</f>
        <v/>
      </c>
      <c r="K5288" s="45" t="str">
        <f>IF(Table2[[#This Row],[Description]]="","",DATE(Table2[[#This Row],[Year]],Table2[[#This Row],[Month]],1))</f>
        <v/>
      </c>
    </row>
    <row r="5289" spans="7:11" x14ac:dyDescent="0.25">
      <c r="G5289" s="1" t="str">
        <f>IF(Table2[[#This Row],[Description]]="","",VLOOKUP(Table2[[#This Row],[Description]],$Q$1:$S$101,2,FALSE))</f>
        <v/>
      </c>
      <c r="H5289" s="1" t="str">
        <f>IF(Table2[[#This Row],[Description]]="","",VLOOKUP(Table2[[#This Row],[Description]],$Q$1:$S$101,3,FALSE))</f>
        <v/>
      </c>
      <c r="I5289" s="1" t="str">
        <f>IF(Table2[[#This Row],[Description]]="","",IF(Table2[[#This Row],[Currency]]=$O$2,$P$2,HLOOKUP(Table2[[#This Row],[Date]],Funds!$C$10:$GV$11,2,FALSE)))</f>
        <v/>
      </c>
      <c r="J5289" s="215" t="str">
        <f>IF(Table2[[#This Row],[Description]]="","",Table2[[#This Row],[Value]]/Table2[[#This Row],[Conversion]])</f>
        <v/>
      </c>
      <c r="K5289" s="45" t="str">
        <f>IF(Table2[[#This Row],[Description]]="","",DATE(Table2[[#This Row],[Year]],Table2[[#This Row],[Month]],1))</f>
        <v/>
      </c>
    </row>
    <row r="5290" spans="7:11" x14ac:dyDescent="0.25">
      <c r="G5290" s="1" t="str">
        <f>IF(Table2[[#This Row],[Description]]="","",VLOOKUP(Table2[[#This Row],[Description]],$Q$1:$S$101,2,FALSE))</f>
        <v/>
      </c>
      <c r="H5290" s="1" t="str">
        <f>IF(Table2[[#This Row],[Description]]="","",VLOOKUP(Table2[[#This Row],[Description]],$Q$1:$S$101,3,FALSE))</f>
        <v/>
      </c>
      <c r="I5290" s="1" t="str">
        <f>IF(Table2[[#This Row],[Description]]="","",IF(Table2[[#This Row],[Currency]]=$O$2,$P$2,HLOOKUP(Table2[[#This Row],[Date]],Funds!$C$10:$GV$11,2,FALSE)))</f>
        <v/>
      </c>
      <c r="J5290" s="215" t="str">
        <f>IF(Table2[[#This Row],[Description]]="","",Table2[[#This Row],[Value]]/Table2[[#This Row],[Conversion]])</f>
        <v/>
      </c>
      <c r="K5290" s="45" t="str">
        <f>IF(Table2[[#This Row],[Description]]="","",DATE(Table2[[#This Row],[Year]],Table2[[#This Row],[Month]],1))</f>
        <v/>
      </c>
    </row>
    <row r="5291" spans="7:11" x14ac:dyDescent="0.25">
      <c r="G5291" s="1" t="str">
        <f>IF(Table2[[#This Row],[Description]]="","",VLOOKUP(Table2[[#This Row],[Description]],$Q$1:$S$101,2,FALSE))</f>
        <v/>
      </c>
      <c r="H5291" s="1" t="str">
        <f>IF(Table2[[#This Row],[Description]]="","",VLOOKUP(Table2[[#This Row],[Description]],$Q$1:$S$101,3,FALSE))</f>
        <v/>
      </c>
      <c r="I5291" s="1" t="str">
        <f>IF(Table2[[#This Row],[Description]]="","",IF(Table2[[#This Row],[Currency]]=$O$2,$P$2,HLOOKUP(Table2[[#This Row],[Date]],Funds!$C$10:$GV$11,2,FALSE)))</f>
        <v/>
      </c>
      <c r="J5291" s="215" t="str">
        <f>IF(Table2[[#This Row],[Description]]="","",Table2[[#This Row],[Value]]/Table2[[#This Row],[Conversion]])</f>
        <v/>
      </c>
      <c r="K5291" s="45" t="str">
        <f>IF(Table2[[#This Row],[Description]]="","",DATE(Table2[[#This Row],[Year]],Table2[[#This Row],[Month]],1))</f>
        <v/>
      </c>
    </row>
    <row r="5292" spans="7:11" x14ac:dyDescent="0.25">
      <c r="G5292" s="1" t="str">
        <f>IF(Table2[[#This Row],[Description]]="","",VLOOKUP(Table2[[#This Row],[Description]],$Q$1:$S$101,2,FALSE))</f>
        <v/>
      </c>
      <c r="H5292" s="1" t="str">
        <f>IF(Table2[[#This Row],[Description]]="","",VLOOKUP(Table2[[#This Row],[Description]],$Q$1:$S$101,3,FALSE))</f>
        <v/>
      </c>
      <c r="I5292" s="1" t="str">
        <f>IF(Table2[[#This Row],[Description]]="","",IF(Table2[[#This Row],[Currency]]=$O$2,$P$2,HLOOKUP(Table2[[#This Row],[Date]],Funds!$C$10:$GV$11,2,FALSE)))</f>
        <v/>
      </c>
      <c r="J5292" s="215" t="str">
        <f>IF(Table2[[#This Row],[Description]]="","",Table2[[#This Row],[Value]]/Table2[[#This Row],[Conversion]])</f>
        <v/>
      </c>
      <c r="K5292" s="45" t="str">
        <f>IF(Table2[[#This Row],[Description]]="","",DATE(Table2[[#This Row],[Year]],Table2[[#This Row],[Month]],1))</f>
        <v/>
      </c>
    </row>
    <row r="5293" spans="7:11" x14ac:dyDescent="0.25">
      <c r="G5293" s="1" t="str">
        <f>IF(Table2[[#This Row],[Description]]="","",VLOOKUP(Table2[[#This Row],[Description]],$Q$1:$S$101,2,FALSE))</f>
        <v/>
      </c>
      <c r="H5293" s="1" t="str">
        <f>IF(Table2[[#This Row],[Description]]="","",VLOOKUP(Table2[[#This Row],[Description]],$Q$1:$S$101,3,FALSE))</f>
        <v/>
      </c>
      <c r="I5293" s="1" t="str">
        <f>IF(Table2[[#This Row],[Description]]="","",IF(Table2[[#This Row],[Currency]]=$O$2,$P$2,HLOOKUP(Table2[[#This Row],[Date]],Funds!$C$10:$GV$11,2,FALSE)))</f>
        <v/>
      </c>
      <c r="J5293" s="215" t="str">
        <f>IF(Table2[[#This Row],[Description]]="","",Table2[[#This Row],[Value]]/Table2[[#This Row],[Conversion]])</f>
        <v/>
      </c>
      <c r="K5293" s="45" t="str">
        <f>IF(Table2[[#This Row],[Description]]="","",DATE(Table2[[#This Row],[Year]],Table2[[#This Row],[Month]],1))</f>
        <v/>
      </c>
    </row>
    <row r="5294" spans="7:11" x14ac:dyDescent="0.25">
      <c r="G5294" s="1" t="str">
        <f>IF(Table2[[#This Row],[Description]]="","",VLOOKUP(Table2[[#This Row],[Description]],$Q$1:$S$101,2,FALSE))</f>
        <v/>
      </c>
      <c r="H5294" s="1" t="str">
        <f>IF(Table2[[#This Row],[Description]]="","",VLOOKUP(Table2[[#This Row],[Description]],$Q$1:$S$101,3,FALSE))</f>
        <v/>
      </c>
      <c r="I5294" s="1" t="str">
        <f>IF(Table2[[#This Row],[Description]]="","",IF(Table2[[#This Row],[Currency]]=$O$2,$P$2,HLOOKUP(Table2[[#This Row],[Date]],Funds!$C$10:$GV$11,2,FALSE)))</f>
        <v/>
      </c>
      <c r="J5294" s="215" t="str">
        <f>IF(Table2[[#This Row],[Description]]="","",Table2[[#This Row],[Value]]/Table2[[#This Row],[Conversion]])</f>
        <v/>
      </c>
      <c r="K5294" s="45" t="str">
        <f>IF(Table2[[#This Row],[Description]]="","",DATE(Table2[[#This Row],[Year]],Table2[[#This Row],[Month]],1))</f>
        <v/>
      </c>
    </row>
    <row r="5295" spans="7:11" x14ac:dyDescent="0.25">
      <c r="G5295" s="1" t="str">
        <f>IF(Table2[[#This Row],[Description]]="","",VLOOKUP(Table2[[#This Row],[Description]],$Q$1:$S$101,2,FALSE))</f>
        <v/>
      </c>
      <c r="H5295" s="1" t="str">
        <f>IF(Table2[[#This Row],[Description]]="","",VLOOKUP(Table2[[#This Row],[Description]],$Q$1:$S$101,3,FALSE))</f>
        <v/>
      </c>
      <c r="I5295" s="1" t="str">
        <f>IF(Table2[[#This Row],[Description]]="","",IF(Table2[[#This Row],[Currency]]=$O$2,$P$2,HLOOKUP(Table2[[#This Row],[Date]],Funds!$C$10:$GV$11,2,FALSE)))</f>
        <v/>
      </c>
      <c r="J5295" s="215" t="str">
        <f>IF(Table2[[#This Row],[Description]]="","",Table2[[#This Row],[Value]]/Table2[[#This Row],[Conversion]])</f>
        <v/>
      </c>
      <c r="K5295" s="45" t="str">
        <f>IF(Table2[[#This Row],[Description]]="","",DATE(Table2[[#This Row],[Year]],Table2[[#This Row],[Month]],1))</f>
        <v/>
      </c>
    </row>
    <row r="5296" spans="7:11" x14ac:dyDescent="0.25">
      <c r="G5296" s="1" t="str">
        <f>IF(Table2[[#This Row],[Description]]="","",VLOOKUP(Table2[[#This Row],[Description]],$Q$1:$S$101,2,FALSE))</f>
        <v/>
      </c>
      <c r="H5296" s="1" t="str">
        <f>IF(Table2[[#This Row],[Description]]="","",VLOOKUP(Table2[[#This Row],[Description]],$Q$1:$S$101,3,FALSE))</f>
        <v/>
      </c>
      <c r="I5296" s="1" t="str">
        <f>IF(Table2[[#This Row],[Description]]="","",IF(Table2[[#This Row],[Currency]]=$O$2,$P$2,HLOOKUP(Table2[[#This Row],[Date]],Funds!$C$10:$GV$11,2,FALSE)))</f>
        <v/>
      </c>
      <c r="J5296" s="215" t="str">
        <f>IF(Table2[[#This Row],[Description]]="","",Table2[[#This Row],[Value]]/Table2[[#This Row],[Conversion]])</f>
        <v/>
      </c>
      <c r="K5296" s="45" t="str">
        <f>IF(Table2[[#This Row],[Description]]="","",DATE(Table2[[#This Row],[Year]],Table2[[#This Row],[Month]],1))</f>
        <v/>
      </c>
    </row>
    <row r="5297" spans="7:11" x14ac:dyDescent="0.25">
      <c r="G5297" s="1" t="str">
        <f>IF(Table2[[#This Row],[Description]]="","",VLOOKUP(Table2[[#This Row],[Description]],$Q$1:$S$101,2,FALSE))</f>
        <v/>
      </c>
      <c r="H5297" s="1" t="str">
        <f>IF(Table2[[#This Row],[Description]]="","",VLOOKUP(Table2[[#This Row],[Description]],$Q$1:$S$101,3,FALSE))</f>
        <v/>
      </c>
      <c r="I5297" s="1" t="str">
        <f>IF(Table2[[#This Row],[Description]]="","",IF(Table2[[#This Row],[Currency]]=$O$2,$P$2,HLOOKUP(Table2[[#This Row],[Date]],Funds!$C$10:$GV$11,2,FALSE)))</f>
        <v/>
      </c>
      <c r="J5297" s="215" t="str">
        <f>IF(Table2[[#This Row],[Description]]="","",Table2[[#This Row],[Value]]/Table2[[#This Row],[Conversion]])</f>
        <v/>
      </c>
      <c r="K5297" s="45" t="str">
        <f>IF(Table2[[#This Row],[Description]]="","",DATE(Table2[[#This Row],[Year]],Table2[[#This Row],[Month]],1))</f>
        <v/>
      </c>
    </row>
    <row r="5298" spans="7:11" x14ac:dyDescent="0.25">
      <c r="G5298" s="1" t="str">
        <f>IF(Table2[[#This Row],[Description]]="","",VLOOKUP(Table2[[#This Row],[Description]],$Q$1:$S$101,2,FALSE))</f>
        <v/>
      </c>
      <c r="H5298" s="1" t="str">
        <f>IF(Table2[[#This Row],[Description]]="","",VLOOKUP(Table2[[#This Row],[Description]],$Q$1:$S$101,3,FALSE))</f>
        <v/>
      </c>
      <c r="I5298" s="1" t="str">
        <f>IF(Table2[[#This Row],[Description]]="","",IF(Table2[[#This Row],[Currency]]=$O$2,$P$2,HLOOKUP(Table2[[#This Row],[Date]],Funds!$C$10:$GV$11,2,FALSE)))</f>
        <v/>
      </c>
      <c r="J5298" s="215" t="str">
        <f>IF(Table2[[#This Row],[Description]]="","",Table2[[#This Row],[Value]]/Table2[[#This Row],[Conversion]])</f>
        <v/>
      </c>
      <c r="K5298" s="45" t="str">
        <f>IF(Table2[[#This Row],[Description]]="","",DATE(Table2[[#This Row],[Year]],Table2[[#This Row],[Month]],1))</f>
        <v/>
      </c>
    </row>
    <row r="5299" spans="7:11" x14ac:dyDescent="0.25">
      <c r="G5299" s="1" t="str">
        <f>IF(Table2[[#This Row],[Description]]="","",VLOOKUP(Table2[[#This Row],[Description]],$Q$1:$S$101,2,FALSE))</f>
        <v/>
      </c>
      <c r="H5299" s="1" t="str">
        <f>IF(Table2[[#This Row],[Description]]="","",VLOOKUP(Table2[[#This Row],[Description]],$Q$1:$S$101,3,FALSE))</f>
        <v/>
      </c>
      <c r="I5299" s="1" t="str">
        <f>IF(Table2[[#This Row],[Description]]="","",IF(Table2[[#This Row],[Currency]]=$O$2,$P$2,HLOOKUP(Table2[[#This Row],[Date]],Funds!$C$10:$GV$11,2,FALSE)))</f>
        <v/>
      </c>
      <c r="J5299" s="215" t="str">
        <f>IF(Table2[[#This Row],[Description]]="","",Table2[[#This Row],[Value]]/Table2[[#This Row],[Conversion]])</f>
        <v/>
      </c>
      <c r="K5299" s="45" t="str">
        <f>IF(Table2[[#This Row],[Description]]="","",DATE(Table2[[#This Row],[Year]],Table2[[#This Row],[Month]],1))</f>
        <v/>
      </c>
    </row>
    <row r="5300" spans="7:11" x14ac:dyDescent="0.25">
      <c r="G5300" s="1" t="str">
        <f>IF(Table2[[#This Row],[Description]]="","",VLOOKUP(Table2[[#This Row],[Description]],$Q$1:$S$101,2,FALSE))</f>
        <v/>
      </c>
      <c r="H5300" s="1" t="str">
        <f>IF(Table2[[#This Row],[Description]]="","",VLOOKUP(Table2[[#This Row],[Description]],$Q$1:$S$101,3,FALSE))</f>
        <v/>
      </c>
      <c r="I5300" s="1" t="str">
        <f>IF(Table2[[#This Row],[Description]]="","",IF(Table2[[#This Row],[Currency]]=$O$2,$P$2,HLOOKUP(Table2[[#This Row],[Date]],Funds!$C$10:$GV$11,2,FALSE)))</f>
        <v/>
      </c>
      <c r="J5300" s="215" t="str">
        <f>IF(Table2[[#This Row],[Description]]="","",Table2[[#This Row],[Value]]/Table2[[#This Row],[Conversion]])</f>
        <v/>
      </c>
      <c r="K5300" s="45" t="str">
        <f>IF(Table2[[#This Row],[Description]]="","",DATE(Table2[[#This Row],[Year]],Table2[[#This Row],[Month]],1))</f>
        <v/>
      </c>
    </row>
    <row r="5301" spans="7:11" x14ac:dyDescent="0.25">
      <c r="G5301" s="1" t="str">
        <f>IF(Table2[[#This Row],[Description]]="","",VLOOKUP(Table2[[#This Row],[Description]],$Q$1:$S$101,2,FALSE))</f>
        <v/>
      </c>
      <c r="H5301" s="1" t="str">
        <f>IF(Table2[[#This Row],[Description]]="","",VLOOKUP(Table2[[#This Row],[Description]],$Q$1:$S$101,3,FALSE))</f>
        <v/>
      </c>
      <c r="I5301" s="1" t="str">
        <f>IF(Table2[[#This Row],[Description]]="","",IF(Table2[[#This Row],[Currency]]=$O$2,$P$2,HLOOKUP(Table2[[#This Row],[Date]],Funds!$C$10:$GV$11,2,FALSE)))</f>
        <v/>
      </c>
      <c r="J5301" s="215" t="str">
        <f>IF(Table2[[#This Row],[Description]]="","",Table2[[#This Row],[Value]]/Table2[[#This Row],[Conversion]])</f>
        <v/>
      </c>
      <c r="K5301" s="45" t="str">
        <f>IF(Table2[[#This Row],[Description]]="","",DATE(Table2[[#This Row],[Year]],Table2[[#This Row],[Month]],1))</f>
        <v/>
      </c>
    </row>
    <row r="5302" spans="7:11" x14ac:dyDescent="0.25">
      <c r="G5302" s="1" t="str">
        <f>IF(Table2[[#This Row],[Description]]="","",VLOOKUP(Table2[[#This Row],[Description]],$Q$1:$S$101,2,FALSE))</f>
        <v/>
      </c>
      <c r="H5302" s="1" t="str">
        <f>IF(Table2[[#This Row],[Description]]="","",VLOOKUP(Table2[[#This Row],[Description]],$Q$1:$S$101,3,FALSE))</f>
        <v/>
      </c>
      <c r="I5302" s="1" t="str">
        <f>IF(Table2[[#This Row],[Description]]="","",IF(Table2[[#This Row],[Currency]]=$O$2,$P$2,HLOOKUP(Table2[[#This Row],[Date]],Funds!$C$10:$GV$11,2,FALSE)))</f>
        <v/>
      </c>
      <c r="J5302" s="215" t="str">
        <f>IF(Table2[[#This Row],[Description]]="","",Table2[[#This Row],[Value]]/Table2[[#This Row],[Conversion]])</f>
        <v/>
      </c>
      <c r="K5302" s="45" t="str">
        <f>IF(Table2[[#This Row],[Description]]="","",DATE(Table2[[#This Row],[Year]],Table2[[#This Row],[Month]],1))</f>
        <v/>
      </c>
    </row>
    <row r="5303" spans="7:11" x14ac:dyDescent="0.25">
      <c r="G5303" s="1" t="str">
        <f>IF(Table2[[#This Row],[Description]]="","",VLOOKUP(Table2[[#This Row],[Description]],$Q$1:$S$101,2,FALSE))</f>
        <v/>
      </c>
      <c r="H5303" s="1" t="str">
        <f>IF(Table2[[#This Row],[Description]]="","",VLOOKUP(Table2[[#This Row],[Description]],$Q$1:$S$101,3,FALSE))</f>
        <v/>
      </c>
      <c r="I5303" s="1" t="str">
        <f>IF(Table2[[#This Row],[Description]]="","",IF(Table2[[#This Row],[Currency]]=$O$2,$P$2,HLOOKUP(Table2[[#This Row],[Date]],Funds!$C$10:$GV$11,2,FALSE)))</f>
        <v/>
      </c>
      <c r="J5303" s="215" t="str">
        <f>IF(Table2[[#This Row],[Description]]="","",Table2[[#This Row],[Value]]/Table2[[#This Row],[Conversion]])</f>
        <v/>
      </c>
      <c r="K5303" s="45" t="str">
        <f>IF(Table2[[#This Row],[Description]]="","",DATE(Table2[[#This Row],[Year]],Table2[[#This Row],[Month]],1))</f>
        <v/>
      </c>
    </row>
    <row r="5304" spans="7:11" x14ac:dyDescent="0.25">
      <c r="G5304" s="1" t="str">
        <f>IF(Table2[[#This Row],[Description]]="","",VLOOKUP(Table2[[#This Row],[Description]],$Q$1:$S$101,2,FALSE))</f>
        <v/>
      </c>
      <c r="H5304" s="1" t="str">
        <f>IF(Table2[[#This Row],[Description]]="","",VLOOKUP(Table2[[#This Row],[Description]],$Q$1:$S$101,3,FALSE))</f>
        <v/>
      </c>
      <c r="I5304" s="1" t="str">
        <f>IF(Table2[[#This Row],[Description]]="","",IF(Table2[[#This Row],[Currency]]=$O$2,$P$2,HLOOKUP(Table2[[#This Row],[Date]],Funds!$C$10:$GV$11,2,FALSE)))</f>
        <v/>
      </c>
      <c r="J5304" s="215" t="str">
        <f>IF(Table2[[#This Row],[Description]]="","",Table2[[#This Row],[Value]]/Table2[[#This Row],[Conversion]])</f>
        <v/>
      </c>
      <c r="K5304" s="45" t="str">
        <f>IF(Table2[[#This Row],[Description]]="","",DATE(Table2[[#This Row],[Year]],Table2[[#This Row],[Month]],1))</f>
        <v/>
      </c>
    </row>
    <row r="5305" spans="7:11" x14ac:dyDescent="0.25">
      <c r="G5305" s="1" t="str">
        <f>IF(Table2[[#This Row],[Description]]="","",VLOOKUP(Table2[[#This Row],[Description]],$Q$1:$S$101,2,FALSE))</f>
        <v/>
      </c>
      <c r="H5305" s="1" t="str">
        <f>IF(Table2[[#This Row],[Description]]="","",VLOOKUP(Table2[[#This Row],[Description]],$Q$1:$S$101,3,FALSE))</f>
        <v/>
      </c>
      <c r="I5305" s="1" t="str">
        <f>IF(Table2[[#This Row],[Description]]="","",IF(Table2[[#This Row],[Currency]]=$O$2,$P$2,HLOOKUP(Table2[[#This Row],[Date]],Funds!$C$10:$GV$11,2,FALSE)))</f>
        <v/>
      </c>
      <c r="J5305" s="215" t="str">
        <f>IF(Table2[[#This Row],[Description]]="","",Table2[[#This Row],[Value]]/Table2[[#This Row],[Conversion]])</f>
        <v/>
      </c>
      <c r="K5305" s="45" t="str">
        <f>IF(Table2[[#This Row],[Description]]="","",DATE(Table2[[#This Row],[Year]],Table2[[#This Row],[Month]],1))</f>
        <v/>
      </c>
    </row>
    <row r="5306" spans="7:11" x14ac:dyDescent="0.25">
      <c r="G5306" s="1" t="str">
        <f>IF(Table2[[#This Row],[Description]]="","",VLOOKUP(Table2[[#This Row],[Description]],$Q$1:$S$101,2,FALSE))</f>
        <v/>
      </c>
      <c r="H5306" s="1" t="str">
        <f>IF(Table2[[#This Row],[Description]]="","",VLOOKUP(Table2[[#This Row],[Description]],$Q$1:$S$101,3,FALSE))</f>
        <v/>
      </c>
      <c r="I5306" s="1" t="str">
        <f>IF(Table2[[#This Row],[Description]]="","",IF(Table2[[#This Row],[Currency]]=$O$2,$P$2,HLOOKUP(Table2[[#This Row],[Date]],Funds!$C$10:$GV$11,2,FALSE)))</f>
        <v/>
      </c>
      <c r="J5306" s="215" t="str">
        <f>IF(Table2[[#This Row],[Description]]="","",Table2[[#This Row],[Value]]/Table2[[#This Row],[Conversion]])</f>
        <v/>
      </c>
      <c r="K5306" s="45" t="str">
        <f>IF(Table2[[#This Row],[Description]]="","",DATE(Table2[[#This Row],[Year]],Table2[[#This Row],[Month]],1))</f>
        <v/>
      </c>
    </row>
    <row r="5307" spans="7:11" x14ac:dyDescent="0.25">
      <c r="G5307" s="1" t="str">
        <f>IF(Table2[[#This Row],[Description]]="","",VLOOKUP(Table2[[#This Row],[Description]],$Q$1:$S$101,2,FALSE))</f>
        <v/>
      </c>
      <c r="H5307" s="1" t="str">
        <f>IF(Table2[[#This Row],[Description]]="","",VLOOKUP(Table2[[#This Row],[Description]],$Q$1:$S$101,3,FALSE))</f>
        <v/>
      </c>
      <c r="I5307" s="1" t="str">
        <f>IF(Table2[[#This Row],[Description]]="","",IF(Table2[[#This Row],[Currency]]=$O$2,$P$2,HLOOKUP(Table2[[#This Row],[Date]],Funds!$C$10:$GV$11,2,FALSE)))</f>
        <v/>
      </c>
      <c r="J5307" s="215" t="str">
        <f>IF(Table2[[#This Row],[Description]]="","",Table2[[#This Row],[Value]]/Table2[[#This Row],[Conversion]])</f>
        <v/>
      </c>
      <c r="K5307" s="45" t="str">
        <f>IF(Table2[[#This Row],[Description]]="","",DATE(Table2[[#This Row],[Year]],Table2[[#This Row],[Month]],1))</f>
        <v/>
      </c>
    </row>
    <row r="5308" spans="7:11" x14ac:dyDescent="0.25">
      <c r="G5308" s="1" t="str">
        <f>IF(Table2[[#This Row],[Description]]="","",VLOOKUP(Table2[[#This Row],[Description]],$Q$1:$S$101,2,FALSE))</f>
        <v/>
      </c>
      <c r="H5308" s="1" t="str">
        <f>IF(Table2[[#This Row],[Description]]="","",VLOOKUP(Table2[[#This Row],[Description]],$Q$1:$S$101,3,FALSE))</f>
        <v/>
      </c>
      <c r="I5308" s="1" t="str">
        <f>IF(Table2[[#This Row],[Description]]="","",IF(Table2[[#This Row],[Currency]]=$O$2,$P$2,HLOOKUP(Table2[[#This Row],[Date]],Funds!$C$10:$GV$11,2,FALSE)))</f>
        <v/>
      </c>
      <c r="J5308" s="215" t="str">
        <f>IF(Table2[[#This Row],[Description]]="","",Table2[[#This Row],[Value]]/Table2[[#This Row],[Conversion]])</f>
        <v/>
      </c>
      <c r="K5308" s="45" t="str">
        <f>IF(Table2[[#This Row],[Description]]="","",DATE(Table2[[#This Row],[Year]],Table2[[#This Row],[Month]],1))</f>
        <v/>
      </c>
    </row>
    <row r="5309" spans="7:11" x14ac:dyDescent="0.25">
      <c r="G5309" s="1" t="str">
        <f>IF(Table2[[#This Row],[Description]]="","",VLOOKUP(Table2[[#This Row],[Description]],$Q$1:$S$101,2,FALSE))</f>
        <v/>
      </c>
      <c r="H5309" s="1" t="str">
        <f>IF(Table2[[#This Row],[Description]]="","",VLOOKUP(Table2[[#This Row],[Description]],$Q$1:$S$101,3,FALSE))</f>
        <v/>
      </c>
      <c r="I5309" s="1" t="str">
        <f>IF(Table2[[#This Row],[Description]]="","",IF(Table2[[#This Row],[Currency]]=$O$2,$P$2,HLOOKUP(Table2[[#This Row],[Date]],Funds!$C$10:$GV$11,2,FALSE)))</f>
        <v/>
      </c>
      <c r="J5309" s="215" t="str">
        <f>IF(Table2[[#This Row],[Description]]="","",Table2[[#This Row],[Value]]/Table2[[#This Row],[Conversion]])</f>
        <v/>
      </c>
      <c r="K5309" s="45" t="str">
        <f>IF(Table2[[#This Row],[Description]]="","",DATE(Table2[[#This Row],[Year]],Table2[[#This Row],[Month]],1))</f>
        <v/>
      </c>
    </row>
    <row r="5310" spans="7:11" x14ac:dyDescent="0.25">
      <c r="G5310" s="1" t="str">
        <f>IF(Table2[[#This Row],[Description]]="","",VLOOKUP(Table2[[#This Row],[Description]],$Q$1:$S$101,2,FALSE))</f>
        <v/>
      </c>
      <c r="H5310" s="1" t="str">
        <f>IF(Table2[[#This Row],[Description]]="","",VLOOKUP(Table2[[#This Row],[Description]],$Q$1:$S$101,3,FALSE))</f>
        <v/>
      </c>
      <c r="I5310" s="1" t="str">
        <f>IF(Table2[[#This Row],[Description]]="","",IF(Table2[[#This Row],[Currency]]=$O$2,$P$2,HLOOKUP(Table2[[#This Row],[Date]],Funds!$C$10:$GV$11,2,FALSE)))</f>
        <v/>
      </c>
      <c r="J5310" s="215" t="str">
        <f>IF(Table2[[#This Row],[Description]]="","",Table2[[#This Row],[Value]]/Table2[[#This Row],[Conversion]])</f>
        <v/>
      </c>
      <c r="K5310" s="45" t="str">
        <f>IF(Table2[[#This Row],[Description]]="","",DATE(Table2[[#This Row],[Year]],Table2[[#This Row],[Month]],1))</f>
        <v/>
      </c>
    </row>
    <row r="5311" spans="7:11" x14ac:dyDescent="0.25">
      <c r="G5311" s="1" t="str">
        <f>IF(Table2[[#This Row],[Description]]="","",VLOOKUP(Table2[[#This Row],[Description]],$Q$1:$S$101,2,FALSE))</f>
        <v/>
      </c>
      <c r="H5311" s="1" t="str">
        <f>IF(Table2[[#This Row],[Description]]="","",VLOOKUP(Table2[[#This Row],[Description]],$Q$1:$S$101,3,FALSE))</f>
        <v/>
      </c>
      <c r="I5311" s="1" t="str">
        <f>IF(Table2[[#This Row],[Description]]="","",IF(Table2[[#This Row],[Currency]]=$O$2,$P$2,HLOOKUP(Table2[[#This Row],[Date]],Funds!$C$10:$GV$11,2,FALSE)))</f>
        <v/>
      </c>
      <c r="J5311" s="215" t="str">
        <f>IF(Table2[[#This Row],[Description]]="","",Table2[[#This Row],[Value]]/Table2[[#This Row],[Conversion]])</f>
        <v/>
      </c>
      <c r="K5311" s="45" t="str">
        <f>IF(Table2[[#This Row],[Description]]="","",DATE(Table2[[#This Row],[Year]],Table2[[#This Row],[Month]],1))</f>
        <v/>
      </c>
    </row>
    <row r="5312" spans="7:11" x14ac:dyDescent="0.25">
      <c r="G5312" s="1" t="str">
        <f>IF(Table2[[#This Row],[Description]]="","",VLOOKUP(Table2[[#This Row],[Description]],$Q$1:$S$101,2,FALSE))</f>
        <v/>
      </c>
      <c r="H5312" s="1" t="str">
        <f>IF(Table2[[#This Row],[Description]]="","",VLOOKUP(Table2[[#This Row],[Description]],$Q$1:$S$101,3,FALSE))</f>
        <v/>
      </c>
      <c r="I5312" s="1" t="str">
        <f>IF(Table2[[#This Row],[Description]]="","",IF(Table2[[#This Row],[Currency]]=$O$2,$P$2,HLOOKUP(Table2[[#This Row],[Date]],Funds!$C$10:$GV$11,2,FALSE)))</f>
        <v/>
      </c>
      <c r="J5312" s="215" t="str">
        <f>IF(Table2[[#This Row],[Description]]="","",Table2[[#This Row],[Value]]/Table2[[#This Row],[Conversion]])</f>
        <v/>
      </c>
      <c r="K5312" s="45" t="str">
        <f>IF(Table2[[#This Row],[Description]]="","",DATE(Table2[[#This Row],[Year]],Table2[[#This Row],[Month]],1))</f>
        <v/>
      </c>
    </row>
    <row r="5313" spans="7:11" x14ac:dyDescent="0.25">
      <c r="G5313" s="1" t="str">
        <f>IF(Table2[[#This Row],[Description]]="","",VLOOKUP(Table2[[#This Row],[Description]],$Q$1:$S$101,2,FALSE))</f>
        <v/>
      </c>
      <c r="H5313" s="1" t="str">
        <f>IF(Table2[[#This Row],[Description]]="","",VLOOKUP(Table2[[#This Row],[Description]],$Q$1:$S$101,3,FALSE))</f>
        <v/>
      </c>
      <c r="I5313" s="1" t="str">
        <f>IF(Table2[[#This Row],[Description]]="","",IF(Table2[[#This Row],[Currency]]=$O$2,$P$2,HLOOKUP(Table2[[#This Row],[Date]],Funds!$C$10:$GV$11,2,FALSE)))</f>
        <v/>
      </c>
      <c r="J5313" s="215" t="str">
        <f>IF(Table2[[#This Row],[Description]]="","",Table2[[#This Row],[Value]]/Table2[[#This Row],[Conversion]])</f>
        <v/>
      </c>
      <c r="K5313" s="45" t="str">
        <f>IF(Table2[[#This Row],[Description]]="","",DATE(Table2[[#This Row],[Year]],Table2[[#This Row],[Month]],1))</f>
        <v/>
      </c>
    </row>
    <row r="5314" spans="7:11" x14ac:dyDescent="0.25">
      <c r="G5314" s="1" t="str">
        <f>IF(Table2[[#This Row],[Description]]="","",VLOOKUP(Table2[[#This Row],[Description]],$Q$1:$S$101,2,FALSE))</f>
        <v/>
      </c>
      <c r="H5314" s="1" t="str">
        <f>IF(Table2[[#This Row],[Description]]="","",VLOOKUP(Table2[[#This Row],[Description]],$Q$1:$S$101,3,FALSE))</f>
        <v/>
      </c>
      <c r="I5314" s="1" t="str">
        <f>IF(Table2[[#This Row],[Description]]="","",IF(Table2[[#This Row],[Currency]]=$O$2,$P$2,HLOOKUP(Table2[[#This Row],[Date]],Funds!$C$10:$GV$11,2,FALSE)))</f>
        <v/>
      </c>
      <c r="J5314" s="215" t="str">
        <f>IF(Table2[[#This Row],[Description]]="","",Table2[[#This Row],[Value]]/Table2[[#This Row],[Conversion]])</f>
        <v/>
      </c>
      <c r="K5314" s="45" t="str">
        <f>IF(Table2[[#This Row],[Description]]="","",DATE(Table2[[#This Row],[Year]],Table2[[#This Row],[Month]],1))</f>
        <v/>
      </c>
    </row>
    <row r="5315" spans="7:11" x14ac:dyDescent="0.25">
      <c r="G5315" s="1" t="str">
        <f>IF(Table2[[#This Row],[Description]]="","",VLOOKUP(Table2[[#This Row],[Description]],$Q$1:$S$101,2,FALSE))</f>
        <v/>
      </c>
      <c r="H5315" s="1" t="str">
        <f>IF(Table2[[#This Row],[Description]]="","",VLOOKUP(Table2[[#This Row],[Description]],$Q$1:$S$101,3,FALSE))</f>
        <v/>
      </c>
      <c r="I5315" s="1" t="str">
        <f>IF(Table2[[#This Row],[Description]]="","",IF(Table2[[#This Row],[Currency]]=$O$2,$P$2,HLOOKUP(Table2[[#This Row],[Date]],Funds!$C$10:$GV$11,2,FALSE)))</f>
        <v/>
      </c>
      <c r="J5315" s="215" t="str">
        <f>IF(Table2[[#This Row],[Description]]="","",Table2[[#This Row],[Value]]/Table2[[#This Row],[Conversion]])</f>
        <v/>
      </c>
      <c r="K5315" s="45" t="str">
        <f>IF(Table2[[#This Row],[Description]]="","",DATE(Table2[[#This Row],[Year]],Table2[[#This Row],[Month]],1))</f>
        <v/>
      </c>
    </row>
    <row r="5316" spans="7:11" x14ac:dyDescent="0.25">
      <c r="G5316" s="1" t="str">
        <f>IF(Table2[[#This Row],[Description]]="","",VLOOKUP(Table2[[#This Row],[Description]],$Q$1:$S$101,2,FALSE))</f>
        <v/>
      </c>
      <c r="H5316" s="1" t="str">
        <f>IF(Table2[[#This Row],[Description]]="","",VLOOKUP(Table2[[#This Row],[Description]],$Q$1:$S$101,3,FALSE))</f>
        <v/>
      </c>
      <c r="I5316" s="1" t="str">
        <f>IF(Table2[[#This Row],[Description]]="","",IF(Table2[[#This Row],[Currency]]=$O$2,$P$2,HLOOKUP(Table2[[#This Row],[Date]],Funds!$C$10:$GV$11,2,FALSE)))</f>
        <v/>
      </c>
      <c r="J5316" s="215" t="str">
        <f>IF(Table2[[#This Row],[Description]]="","",Table2[[#This Row],[Value]]/Table2[[#This Row],[Conversion]])</f>
        <v/>
      </c>
      <c r="K5316" s="45" t="str">
        <f>IF(Table2[[#This Row],[Description]]="","",DATE(Table2[[#This Row],[Year]],Table2[[#This Row],[Month]],1))</f>
        <v/>
      </c>
    </row>
    <row r="5317" spans="7:11" x14ac:dyDescent="0.25">
      <c r="G5317" s="1" t="str">
        <f>IF(Table2[[#This Row],[Description]]="","",VLOOKUP(Table2[[#This Row],[Description]],$Q$1:$S$101,2,FALSE))</f>
        <v/>
      </c>
      <c r="H5317" s="1" t="str">
        <f>IF(Table2[[#This Row],[Description]]="","",VLOOKUP(Table2[[#This Row],[Description]],$Q$1:$S$101,3,FALSE))</f>
        <v/>
      </c>
      <c r="I5317" s="1" t="str">
        <f>IF(Table2[[#This Row],[Description]]="","",IF(Table2[[#This Row],[Currency]]=$O$2,$P$2,HLOOKUP(Table2[[#This Row],[Date]],Funds!$C$10:$GV$11,2,FALSE)))</f>
        <v/>
      </c>
      <c r="J5317" s="215" t="str">
        <f>IF(Table2[[#This Row],[Description]]="","",Table2[[#This Row],[Value]]/Table2[[#This Row],[Conversion]])</f>
        <v/>
      </c>
      <c r="K5317" s="45" t="str">
        <f>IF(Table2[[#This Row],[Description]]="","",DATE(Table2[[#This Row],[Year]],Table2[[#This Row],[Month]],1))</f>
        <v/>
      </c>
    </row>
    <row r="5318" spans="7:11" x14ac:dyDescent="0.25">
      <c r="G5318" s="1" t="str">
        <f>IF(Table2[[#This Row],[Description]]="","",VLOOKUP(Table2[[#This Row],[Description]],$Q$1:$S$101,2,FALSE))</f>
        <v/>
      </c>
      <c r="H5318" s="1" t="str">
        <f>IF(Table2[[#This Row],[Description]]="","",VLOOKUP(Table2[[#This Row],[Description]],$Q$1:$S$101,3,FALSE))</f>
        <v/>
      </c>
      <c r="I5318" s="1" t="str">
        <f>IF(Table2[[#This Row],[Description]]="","",IF(Table2[[#This Row],[Currency]]=$O$2,$P$2,HLOOKUP(Table2[[#This Row],[Date]],Funds!$C$10:$GV$11,2,FALSE)))</f>
        <v/>
      </c>
      <c r="J5318" s="215" t="str">
        <f>IF(Table2[[#This Row],[Description]]="","",Table2[[#This Row],[Value]]/Table2[[#This Row],[Conversion]])</f>
        <v/>
      </c>
      <c r="K5318" s="45" t="str">
        <f>IF(Table2[[#This Row],[Description]]="","",DATE(Table2[[#This Row],[Year]],Table2[[#This Row],[Month]],1))</f>
        <v/>
      </c>
    </row>
    <row r="5319" spans="7:11" x14ac:dyDescent="0.25">
      <c r="G5319" s="1" t="str">
        <f>IF(Table2[[#This Row],[Description]]="","",VLOOKUP(Table2[[#This Row],[Description]],$Q$1:$S$101,2,FALSE))</f>
        <v/>
      </c>
      <c r="H5319" s="1" t="str">
        <f>IF(Table2[[#This Row],[Description]]="","",VLOOKUP(Table2[[#This Row],[Description]],$Q$1:$S$101,3,FALSE))</f>
        <v/>
      </c>
      <c r="I5319" s="1" t="str">
        <f>IF(Table2[[#This Row],[Description]]="","",IF(Table2[[#This Row],[Currency]]=$O$2,$P$2,HLOOKUP(Table2[[#This Row],[Date]],Funds!$C$10:$GV$11,2,FALSE)))</f>
        <v/>
      </c>
      <c r="J5319" s="215" t="str">
        <f>IF(Table2[[#This Row],[Description]]="","",Table2[[#This Row],[Value]]/Table2[[#This Row],[Conversion]])</f>
        <v/>
      </c>
      <c r="K5319" s="45" t="str">
        <f>IF(Table2[[#This Row],[Description]]="","",DATE(Table2[[#This Row],[Year]],Table2[[#This Row],[Month]],1))</f>
        <v/>
      </c>
    </row>
    <row r="5320" spans="7:11" x14ac:dyDescent="0.25">
      <c r="G5320" s="1" t="str">
        <f>IF(Table2[[#This Row],[Description]]="","",VLOOKUP(Table2[[#This Row],[Description]],$Q$1:$S$101,2,FALSE))</f>
        <v/>
      </c>
      <c r="H5320" s="1" t="str">
        <f>IF(Table2[[#This Row],[Description]]="","",VLOOKUP(Table2[[#This Row],[Description]],$Q$1:$S$101,3,FALSE))</f>
        <v/>
      </c>
      <c r="I5320" s="1" t="str">
        <f>IF(Table2[[#This Row],[Description]]="","",IF(Table2[[#This Row],[Currency]]=$O$2,$P$2,HLOOKUP(Table2[[#This Row],[Date]],Funds!$C$10:$GV$11,2,FALSE)))</f>
        <v/>
      </c>
      <c r="J5320" s="215" t="str">
        <f>IF(Table2[[#This Row],[Description]]="","",Table2[[#This Row],[Value]]/Table2[[#This Row],[Conversion]])</f>
        <v/>
      </c>
      <c r="K5320" s="45" t="str">
        <f>IF(Table2[[#This Row],[Description]]="","",DATE(Table2[[#This Row],[Year]],Table2[[#This Row],[Month]],1))</f>
        <v/>
      </c>
    </row>
    <row r="5321" spans="7:11" x14ac:dyDescent="0.25">
      <c r="G5321" s="1" t="str">
        <f>IF(Table2[[#This Row],[Description]]="","",VLOOKUP(Table2[[#This Row],[Description]],$Q$1:$S$101,2,FALSE))</f>
        <v/>
      </c>
      <c r="H5321" s="1" t="str">
        <f>IF(Table2[[#This Row],[Description]]="","",VLOOKUP(Table2[[#This Row],[Description]],$Q$1:$S$101,3,FALSE))</f>
        <v/>
      </c>
      <c r="I5321" s="1" t="str">
        <f>IF(Table2[[#This Row],[Description]]="","",IF(Table2[[#This Row],[Currency]]=$O$2,$P$2,HLOOKUP(Table2[[#This Row],[Date]],Funds!$C$10:$GV$11,2,FALSE)))</f>
        <v/>
      </c>
      <c r="J5321" s="215" t="str">
        <f>IF(Table2[[#This Row],[Description]]="","",Table2[[#This Row],[Value]]/Table2[[#This Row],[Conversion]])</f>
        <v/>
      </c>
      <c r="K5321" s="45" t="str">
        <f>IF(Table2[[#This Row],[Description]]="","",DATE(Table2[[#This Row],[Year]],Table2[[#This Row],[Month]],1))</f>
        <v/>
      </c>
    </row>
    <row r="5322" spans="7:11" x14ac:dyDescent="0.25">
      <c r="G5322" s="1" t="str">
        <f>IF(Table2[[#This Row],[Description]]="","",VLOOKUP(Table2[[#This Row],[Description]],$Q$1:$S$101,2,FALSE))</f>
        <v/>
      </c>
      <c r="H5322" s="1" t="str">
        <f>IF(Table2[[#This Row],[Description]]="","",VLOOKUP(Table2[[#This Row],[Description]],$Q$1:$S$101,3,FALSE))</f>
        <v/>
      </c>
      <c r="I5322" s="1" t="str">
        <f>IF(Table2[[#This Row],[Description]]="","",IF(Table2[[#This Row],[Currency]]=$O$2,$P$2,HLOOKUP(Table2[[#This Row],[Date]],Funds!$C$10:$GV$11,2,FALSE)))</f>
        <v/>
      </c>
      <c r="J5322" s="215" t="str">
        <f>IF(Table2[[#This Row],[Description]]="","",Table2[[#This Row],[Value]]/Table2[[#This Row],[Conversion]])</f>
        <v/>
      </c>
      <c r="K5322" s="45" t="str">
        <f>IF(Table2[[#This Row],[Description]]="","",DATE(Table2[[#This Row],[Year]],Table2[[#This Row],[Month]],1))</f>
        <v/>
      </c>
    </row>
    <row r="5323" spans="7:11" x14ac:dyDescent="0.25">
      <c r="G5323" s="1" t="str">
        <f>IF(Table2[[#This Row],[Description]]="","",VLOOKUP(Table2[[#This Row],[Description]],$Q$1:$S$101,2,FALSE))</f>
        <v/>
      </c>
      <c r="H5323" s="1" t="str">
        <f>IF(Table2[[#This Row],[Description]]="","",VLOOKUP(Table2[[#This Row],[Description]],$Q$1:$S$101,3,FALSE))</f>
        <v/>
      </c>
      <c r="I5323" s="1" t="str">
        <f>IF(Table2[[#This Row],[Description]]="","",IF(Table2[[#This Row],[Currency]]=$O$2,$P$2,HLOOKUP(Table2[[#This Row],[Date]],Funds!$C$10:$GV$11,2,FALSE)))</f>
        <v/>
      </c>
      <c r="J5323" s="215" t="str">
        <f>IF(Table2[[#This Row],[Description]]="","",Table2[[#This Row],[Value]]/Table2[[#This Row],[Conversion]])</f>
        <v/>
      </c>
      <c r="K5323" s="45" t="str">
        <f>IF(Table2[[#This Row],[Description]]="","",DATE(Table2[[#This Row],[Year]],Table2[[#This Row],[Month]],1))</f>
        <v/>
      </c>
    </row>
    <row r="5324" spans="7:11" x14ac:dyDescent="0.25">
      <c r="G5324" s="1" t="str">
        <f>IF(Table2[[#This Row],[Description]]="","",VLOOKUP(Table2[[#This Row],[Description]],$Q$1:$S$101,2,FALSE))</f>
        <v/>
      </c>
      <c r="H5324" s="1" t="str">
        <f>IF(Table2[[#This Row],[Description]]="","",VLOOKUP(Table2[[#This Row],[Description]],$Q$1:$S$101,3,FALSE))</f>
        <v/>
      </c>
      <c r="I5324" s="1" t="str">
        <f>IF(Table2[[#This Row],[Description]]="","",IF(Table2[[#This Row],[Currency]]=$O$2,$P$2,HLOOKUP(Table2[[#This Row],[Date]],Funds!$C$10:$GV$11,2,FALSE)))</f>
        <v/>
      </c>
      <c r="J5324" s="215" t="str">
        <f>IF(Table2[[#This Row],[Description]]="","",Table2[[#This Row],[Value]]/Table2[[#This Row],[Conversion]])</f>
        <v/>
      </c>
      <c r="K5324" s="45" t="str">
        <f>IF(Table2[[#This Row],[Description]]="","",DATE(Table2[[#This Row],[Year]],Table2[[#This Row],[Month]],1))</f>
        <v/>
      </c>
    </row>
    <row r="5325" spans="7:11" x14ac:dyDescent="0.25">
      <c r="G5325" s="1" t="str">
        <f>IF(Table2[[#This Row],[Description]]="","",VLOOKUP(Table2[[#This Row],[Description]],$Q$1:$S$101,2,FALSE))</f>
        <v/>
      </c>
      <c r="H5325" s="1" t="str">
        <f>IF(Table2[[#This Row],[Description]]="","",VLOOKUP(Table2[[#This Row],[Description]],$Q$1:$S$101,3,FALSE))</f>
        <v/>
      </c>
      <c r="I5325" s="1" t="str">
        <f>IF(Table2[[#This Row],[Description]]="","",IF(Table2[[#This Row],[Currency]]=$O$2,$P$2,HLOOKUP(Table2[[#This Row],[Date]],Funds!$C$10:$GV$11,2,FALSE)))</f>
        <v/>
      </c>
      <c r="J5325" s="215" t="str">
        <f>IF(Table2[[#This Row],[Description]]="","",Table2[[#This Row],[Value]]/Table2[[#This Row],[Conversion]])</f>
        <v/>
      </c>
      <c r="K5325" s="45" t="str">
        <f>IF(Table2[[#This Row],[Description]]="","",DATE(Table2[[#This Row],[Year]],Table2[[#This Row],[Month]],1))</f>
        <v/>
      </c>
    </row>
    <row r="5326" spans="7:11" x14ac:dyDescent="0.25">
      <c r="G5326" s="1" t="str">
        <f>IF(Table2[[#This Row],[Description]]="","",VLOOKUP(Table2[[#This Row],[Description]],$Q$1:$S$101,2,FALSE))</f>
        <v/>
      </c>
      <c r="H5326" s="1" t="str">
        <f>IF(Table2[[#This Row],[Description]]="","",VLOOKUP(Table2[[#This Row],[Description]],$Q$1:$S$101,3,FALSE))</f>
        <v/>
      </c>
      <c r="I5326" s="1" t="str">
        <f>IF(Table2[[#This Row],[Description]]="","",IF(Table2[[#This Row],[Currency]]=$O$2,$P$2,HLOOKUP(Table2[[#This Row],[Date]],Funds!$C$10:$GV$11,2,FALSE)))</f>
        <v/>
      </c>
      <c r="J5326" s="215" t="str">
        <f>IF(Table2[[#This Row],[Description]]="","",Table2[[#This Row],[Value]]/Table2[[#This Row],[Conversion]])</f>
        <v/>
      </c>
      <c r="K5326" s="45" t="str">
        <f>IF(Table2[[#This Row],[Description]]="","",DATE(Table2[[#This Row],[Year]],Table2[[#This Row],[Month]],1))</f>
        <v/>
      </c>
    </row>
    <row r="5327" spans="7:11" x14ac:dyDescent="0.25">
      <c r="G5327" s="1" t="str">
        <f>IF(Table2[[#This Row],[Description]]="","",VLOOKUP(Table2[[#This Row],[Description]],$Q$1:$S$101,2,FALSE))</f>
        <v/>
      </c>
      <c r="H5327" s="1" t="str">
        <f>IF(Table2[[#This Row],[Description]]="","",VLOOKUP(Table2[[#This Row],[Description]],$Q$1:$S$101,3,FALSE))</f>
        <v/>
      </c>
      <c r="I5327" s="1" t="str">
        <f>IF(Table2[[#This Row],[Description]]="","",IF(Table2[[#This Row],[Currency]]=$O$2,$P$2,HLOOKUP(Table2[[#This Row],[Date]],Funds!$C$10:$GV$11,2,FALSE)))</f>
        <v/>
      </c>
      <c r="J5327" s="215" t="str">
        <f>IF(Table2[[#This Row],[Description]]="","",Table2[[#This Row],[Value]]/Table2[[#This Row],[Conversion]])</f>
        <v/>
      </c>
      <c r="K5327" s="45" t="str">
        <f>IF(Table2[[#This Row],[Description]]="","",DATE(Table2[[#This Row],[Year]],Table2[[#This Row],[Month]],1))</f>
        <v/>
      </c>
    </row>
    <row r="5328" spans="7:11" x14ac:dyDescent="0.25">
      <c r="G5328" s="1" t="str">
        <f>IF(Table2[[#This Row],[Description]]="","",VLOOKUP(Table2[[#This Row],[Description]],$Q$1:$S$101,2,FALSE))</f>
        <v/>
      </c>
      <c r="H5328" s="1" t="str">
        <f>IF(Table2[[#This Row],[Description]]="","",VLOOKUP(Table2[[#This Row],[Description]],$Q$1:$S$101,3,FALSE))</f>
        <v/>
      </c>
      <c r="I5328" s="1" t="str">
        <f>IF(Table2[[#This Row],[Description]]="","",IF(Table2[[#This Row],[Currency]]=$O$2,$P$2,HLOOKUP(Table2[[#This Row],[Date]],Funds!$C$10:$GV$11,2,FALSE)))</f>
        <v/>
      </c>
      <c r="J5328" s="215" t="str">
        <f>IF(Table2[[#This Row],[Description]]="","",Table2[[#This Row],[Value]]/Table2[[#This Row],[Conversion]])</f>
        <v/>
      </c>
      <c r="K5328" s="45" t="str">
        <f>IF(Table2[[#This Row],[Description]]="","",DATE(Table2[[#This Row],[Year]],Table2[[#This Row],[Month]],1))</f>
        <v/>
      </c>
    </row>
    <row r="5329" spans="7:11" x14ac:dyDescent="0.25">
      <c r="G5329" s="1" t="str">
        <f>IF(Table2[[#This Row],[Description]]="","",VLOOKUP(Table2[[#This Row],[Description]],$Q$1:$S$101,2,FALSE))</f>
        <v/>
      </c>
      <c r="H5329" s="1" t="str">
        <f>IF(Table2[[#This Row],[Description]]="","",VLOOKUP(Table2[[#This Row],[Description]],$Q$1:$S$101,3,FALSE))</f>
        <v/>
      </c>
      <c r="I5329" s="1" t="str">
        <f>IF(Table2[[#This Row],[Description]]="","",IF(Table2[[#This Row],[Currency]]=$O$2,$P$2,HLOOKUP(Table2[[#This Row],[Date]],Funds!$C$10:$GV$11,2,FALSE)))</f>
        <v/>
      </c>
      <c r="J5329" s="215" t="str">
        <f>IF(Table2[[#This Row],[Description]]="","",Table2[[#This Row],[Value]]/Table2[[#This Row],[Conversion]])</f>
        <v/>
      </c>
      <c r="K5329" s="45" t="str">
        <f>IF(Table2[[#This Row],[Description]]="","",DATE(Table2[[#This Row],[Year]],Table2[[#This Row],[Month]],1))</f>
        <v/>
      </c>
    </row>
    <row r="5330" spans="7:11" x14ac:dyDescent="0.25">
      <c r="G5330" s="1" t="str">
        <f>IF(Table2[[#This Row],[Description]]="","",VLOOKUP(Table2[[#This Row],[Description]],$Q$1:$S$101,2,FALSE))</f>
        <v/>
      </c>
      <c r="H5330" s="1" t="str">
        <f>IF(Table2[[#This Row],[Description]]="","",VLOOKUP(Table2[[#This Row],[Description]],$Q$1:$S$101,3,FALSE))</f>
        <v/>
      </c>
      <c r="I5330" s="1" t="str">
        <f>IF(Table2[[#This Row],[Description]]="","",IF(Table2[[#This Row],[Currency]]=$O$2,$P$2,HLOOKUP(Table2[[#This Row],[Date]],Funds!$C$10:$GV$11,2,FALSE)))</f>
        <v/>
      </c>
      <c r="J5330" s="215" t="str">
        <f>IF(Table2[[#This Row],[Description]]="","",Table2[[#This Row],[Value]]/Table2[[#This Row],[Conversion]])</f>
        <v/>
      </c>
      <c r="K5330" s="45" t="str">
        <f>IF(Table2[[#This Row],[Description]]="","",DATE(Table2[[#This Row],[Year]],Table2[[#This Row],[Month]],1))</f>
        <v/>
      </c>
    </row>
    <row r="5331" spans="7:11" x14ac:dyDescent="0.25">
      <c r="G5331" s="1" t="str">
        <f>IF(Table2[[#This Row],[Description]]="","",VLOOKUP(Table2[[#This Row],[Description]],$Q$1:$S$101,2,FALSE))</f>
        <v/>
      </c>
      <c r="H5331" s="1" t="str">
        <f>IF(Table2[[#This Row],[Description]]="","",VLOOKUP(Table2[[#This Row],[Description]],$Q$1:$S$101,3,FALSE))</f>
        <v/>
      </c>
      <c r="I5331" s="1" t="str">
        <f>IF(Table2[[#This Row],[Description]]="","",IF(Table2[[#This Row],[Currency]]=$O$2,$P$2,HLOOKUP(Table2[[#This Row],[Date]],Funds!$C$10:$GV$11,2,FALSE)))</f>
        <v/>
      </c>
      <c r="J5331" s="215" t="str">
        <f>IF(Table2[[#This Row],[Description]]="","",Table2[[#This Row],[Value]]/Table2[[#This Row],[Conversion]])</f>
        <v/>
      </c>
      <c r="K5331" s="45" t="str">
        <f>IF(Table2[[#This Row],[Description]]="","",DATE(Table2[[#This Row],[Year]],Table2[[#This Row],[Month]],1))</f>
        <v/>
      </c>
    </row>
    <row r="5332" spans="7:11" x14ac:dyDescent="0.25">
      <c r="G5332" s="1" t="str">
        <f>IF(Table2[[#This Row],[Description]]="","",VLOOKUP(Table2[[#This Row],[Description]],$Q$1:$S$101,2,FALSE))</f>
        <v/>
      </c>
      <c r="H5332" s="1" t="str">
        <f>IF(Table2[[#This Row],[Description]]="","",VLOOKUP(Table2[[#This Row],[Description]],$Q$1:$S$101,3,FALSE))</f>
        <v/>
      </c>
      <c r="I5332" s="1" t="str">
        <f>IF(Table2[[#This Row],[Description]]="","",IF(Table2[[#This Row],[Currency]]=$O$2,$P$2,HLOOKUP(Table2[[#This Row],[Date]],Funds!$C$10:$GV$11,2,FALSE)))</f>
        <v/>
      </c>
      <c r="J5332" s="215" t="str">
        <f>IF(Table2[[#This Row],[Description]]="","",Table2[[#This Row],[Value]]/Table2[[#This Row],[Conversion]])</f>
        <v/>
      </c>
      <c r="K5332" s="45" t="str">
        <f>IF(Table2[[#This Row],[Description]]="","",DATE(Table2[[#This Row],[Year]],Table2[[#This Row],[Month]],1))</f>
        <v/>
      </c>
    </row>
    <row r="5333" spans="7:11" x14ac:dyDescent="0.25">
      <c r="G5333" s="1" t="str">
        <f>IF(Table2[[#This Row],[Description]]="","",VLOOKUP(Table2[[#This Row],[Description]],$Q$1:$S$101,2,FALSE))</f>
        <v/>
      </c>
      <c r="H5333" s="1" t="str">
        <f>IF(Table2[[#This Row],[Description]]="","",VLOOKUP(Table2[[#This Row],[Description]],$Q$1:$S$101,3,FALSE))</f>
        <v/>
      </c>
      <c r="I5333" s="1" t="str">
        <f>IF(Table2[[#This Row],[Description]]="","",IF(Table2[[#This Row],[Currency]]=$O$2,$P$2,HLOOKUP(Table2[[#This Row],[Date]],Funds!$C$10:$GV$11,2,FALSE)))</f>
        <v/>
      </c>
      <c r="J5333" s="215" t="str">
        <f>IF(Table2[[#This Row],[Description]]="","",Table2[[#This Row],[Value]]/Table2[[#This Row],[Conversion]])</f>
        <v/>
      </c>
      <c r="K5333" s="45" t="str">
        <f>IF(Table2[[#This Row],[Description]]="","",DATE(Table2[[#This Row],[Year]],Table2[[#This Row],[Month]],1))</f>
        <v/>
      </c>
    </row>
    <row r="5334" spans="7:11" x14ac:dyDescent="0.25">
      <c r="G5334" s="1" t="str">
        <f>IF(Table2[[#This Row],[Description]]="","",VLOOKUP(Table2[[#This Row],[Description]],$Q$1:$S$101,2,FALSE))</f>
        <v/>
      </c>
      <c r="H5334" s="1" t="str">
        <f>IF(Table2[[#This Row],[Description]]="","",VLOOKUP(Table2[[#This Row],[Description]],$Q$1:$S$101,3,FALSE))</f>
        <v/>
      </c>
      <c r="I5334" s="1" t="str">
        <f>IF(Table2[[#This Row],[Description]]="","",IF(Table2[[#This Row],[Currency]]=$O$2,$P$2,HLOOKUP(Table2[[#This Row],[Date]],Funds!$C$10:$GV$11,2,FALSE)))</f>
        <v/>
      </c>
      <c r="J5334" s="215" t="str">
        <f>IF(Table2[[#This Row],[Description]]="","",Table2[[#This Row],[Value]]/Table2[[#This Row],[Conversion]])</f>
        <v/>
      </c>
      <c r="K5334" s="45" t="str">
        <f>IF(Table2[[#This Row],[Description]]="","",DATE(Table2[[#This Row],[Year]],Table2[[#This Row],[Month]],1))</f>
        <v/>
      </c>
    </row>
    <row r="5335" spans="7:11" x14ac:dyDescent="0.25">
      <c r="G5335" s="1" t="str">
        <f>IF(Table2[[#This Row],[Description]]="","",VLOOKUP(Table2[[#This Row],[Description]],$Q$1:$S$101,2,FALSE))</f>
        <v/>
      </c>
      <c r="H5335" s="1" t="str">
        <f>IF(Table2[[#This Row],[Description]]="","",VLOOKUP(Table2[[#This Row],[Description]],$Q$1:$S$101,3,FALSE))</f>
        <v/>
      </c>
      <c r="I5335" s="1" t="str">
        <f>IF(Table2[[#This Row],[Description]]="","",IF(Table2[[#This Row],[Currency]]=$O$2,$P$2,HLOOKUP(Table2[[#This Row],[Date]],Funds!$C$10:$GV$11,2,FALSE)))</f>
        <v/>
      </c>
      <c r="J5335" s="215" t="str">
        <f>IF(Table2[[#This Row],[Description]]="","",Table2[[#This Row],[Value]]/Table2[[#This Row],[Conversion]])</f>
        <v/>
      </c>
      <c r="K5335" s="45" t="str">
        <f>IF(Table2[[#This Row],[Description]]="","",DATE(Table2[[#This Row],[Year]],Table2[[#This Row],[Month]],1))</f>
        <v/>
      </c>
    </row>
    <row r="5336" spans="7:11" x14ac:dyDescent="0.25">
      <c r="G5336" s="1" t="str">
        <f>IF(Table2[[#This Row],[Description]]="","",VLOOKUP(Table2[[#This Row],[Description]],$Q$1:$S$101,2,FALSE))</f>
        <v/>
      </c>
      <c r="H5336" s="1" t="str">
        <f>IF(Table2[[#This Row],[Description]]="","",VLOOKUP(Table2[[#This Row],[Description]],$Q$1:$S$101,3,FALSE))</f>
        <v/>
      </c>
      <c r="I5336" s="1" t="str">
        <f>IF(Table2[[#This Row],[Description]]="","",IF(Table2[[#This Row],[Currency]]=$O$2,$P$2,HLOOKUP(Table2[[#This Row],[Date]],Funds!$C$10:$GV$11,2,FALSE)))</f>
        <v/>
      </c>
      <c r="J5336" s="215" t="str">
        <f>IF(Table2[[#This Row],[Description]]="","",Table2[[#This Row],[Value]]/Table2[[#This Row],[Conversion]])</f>
        <v/>
      </c>
      <c r="K5336" s="45" t="str">
        <f>IF(Table2[[#This Row],[Description]]="","",DATE(Table2[[#This Row],[Year]],Table2[[#This Row],[Month]],1))</f>
        <v/>
      </c>
    </row>
    <row r="5337" spans="7:11" x14ac:dyDescent="0.25">
      <c r="G5337" s="1" t="str">
        <f>IF(Table2[[#This Row],[Description]]="","",VLOOKUP(Table2[[#This Row],[Description]],$Q$1:$S$101,2,FALSE))</f>
        <v/>
      </c>
      <c r="H5337" s="1" t="str">
        <f>IF(Table2[[#This Row],[Description]]="","",VLOOKUP(Table2[[#This Row],[Description]],$Q$1:$S$101,3,FALSE))</f>
        <v/>
      </c>
      <c r="I5337" s="1" t="str">
        <f>IF(Table2[[#This Row],[Description]]="","",IF(Table2[[#This Row],[Currency]]=$O$2,$P$2,HLOOKUP(Table2[[#This Row],[Date]],Funds!$C$10:$GV$11,2,FALSE)))</f>
        <v/>
      </c>
      <c r="J5337" s="215" t="str">
        <f>IF(Table2[[#This Row],[Description]]="","",Table2[[#This Row],[Value]]/Table2[[#This Row],[Conversion]])</f>
        <v/>
      </c>
      <c r="K5337" s="45" t="str">
        <f>IF(Table2[[#This Row],[Description]]="","",DATE(Table2[[#This Row],[Year]],Table2[[#This Row],[Month]],1))</f>
        <v/>
      </c>
    </row>
    <row r="5338" spans="7:11" x14ac:dyDescent="0.25">
      <c r="G5338" s="1" t="str">
        <f>IF(Table2[[#This Row],[Description]]="","",VLOOKUP(Table2[[#This Row],[Description]],$Q$1:$S$101,2,FALSE))</f>
        <v/>
      </c>
      <c r="H5338" s="1" t="str">
        <f>IF(Table2[[#This Row],[Description]]="","",VLOOKUP(Table2[[#This Row],[Description]],$Q$1:$S$101,3,FALSE))</f>
        <v/>
      </c>
      <c r="I5338" s="1" t="str">
        <f>IF(Table2[[#This Row],[Description]]="","",IF(Table2[[#This Row],[Currency]]=$O$2,$P$2,HLOOKUP(Table2[[#This Row],[Date]],Funds!$C$10:$GV$11,2,FALSE)))</f>
        <v/>
      </c>
      <c r="J5338" s="215" t="str">
        <f>IF(Table2[[#This Row],[Description]]="","",Table2[[#This Row],[Value]]/Table2[[#This Row],[Conversion]])</f>
        <v/>
      </c>
      <c r="K5338" s="45" t="str">
        <f>IF(Table2[[#This Row],[Description]]="","",DATE(Table2[[#This Row],[Year]],Table2[[#This Row],[Month]],1))</f>
        <v/>
      </c>
    </row>
    <row r="5339" spans="7:11" x14ac:dyDescent="0.25">
      <c r="G5339" s="1" t="str">
        <f>IF(Table2[[#This Row],[Description]]="","",VLOOKUP(Table2[[#This Row],[Description]],$Q$1:$S$101,2,FALSE))</f>
        <v/>
      </c>
      <c r="H5339" s="1" t="str">
        <f>IF(Table2[[#This Row],[Description]]="","",VLOOKUP(Table2[[#This Row],[Description]],$Q$1:$S$101,3,FALSE))</f>
        <v/>
      </c>
      <c r="I5339" s="1" t="str">
        <f>IF(Table2[[#This Row],[Description]]="","",IF(Table2[[#This Row],[Currency]]=$O$2,$P$2,HLOOKUP(Table2[[#This Row],[Date]],Funds!$C$10:$GV$11,2,FALSE)))</f>
        <v/>
      </c>
      <c r="J5339" s="215" t="str">
        <f>IF(Table2[[#This Row],[Description]]="","",Table2[[#This Row],[Value]]/Table2[[#This Row],[Conversion]])</f>
        <v/>
      </c>
      <c r="K5339" s="45" t="str">
        <f>IF(Table2[[#This Row],[Description]]="","",DATE(Table2[[#This Row],[Year]],Table2[[#This Row],[Month]],1))</f>
        <v/>
      </c>
    </row>
    <row r="5340" spans="7:11" x14ac:dyDescent="0.25">
      <c r="G5340" s="1" t="str">
        <f>IF(Table2[[#This Row],[Description]]="","",VLOOKUP(Table2[[#This Row],[Description]],$Q$1:$S$101,2,FALSE))</f>
        <v/>
      </c>
      <c r="H5340" s="1" t="str">
        <f>IF(Table2[[#This Row],[Description]]="","",VLOOKUP(Table2[[#This Row],[Description]],$Q$1:$S$101,3,FALSE))</f>
        <v/>
      </c>
      <c r="I5340" s="1" t="str">
        <f>IF(Table2[[#This Row],[Description]]="","",IF(Table2[[#This Row],[Currency]]=$O$2,$P$2,HLOOKUP(Table2[[#This Row],[Date]],Funds!$C$10:$GV$11,2,FALSE)))</f>
        <v/>
      </c>
      <c r="J5340" s="215" t="str">
        <f>IF(Table2[[#This Row],[Description]]="","",Table2[[#This Row],[Value]]/Table2[[#This Row],[Conversion]])</f>
        <v/>
      </c>
      <c r="K5340" s="45" t="str">
        <f>IF(Table2[[#This Row],[Description]]="","",DATE(Table2[[#This Row],[Year]],Table2[[#This Row],[Month]],1))</f>
        <v/>
      </c>
    </row>
    <row r="5341" spans="7:11" x14ac:dyDescent="0.25">
      <c r="G5341" s="1" t="str">
        <f>IF(Table2[[#This Row],[Description]]="","",VLOOKUP(Table2[[#This Row],[Description]],$Q$1:$S$101,2,FALSE))</f>
        <v/>
      </c>
      <c r="H5341" s="1" t="str">
        <f>IF(Table2[[#This Row],[Description]]="","",VLOOKUP(Table2[[#This Row],[Description]],$Q$1:$S$101,3,FALSE))</f>
        <v/>
      </c>
      <c r="I5341" s="1" t="str">
        <f>IF(Table2[[#This Row],[Description]]="","",IF(Table2[[#This Row],[Currency]]=$O$2,$P$2,HLOOKUP(Table2[[#This Row],[Date]],Funds!$C$10:$GV$11,2,FALSE)))</f>
        <v/>
      </c>
      <c r="J5341" s="215" t="str">
        <f>IF(Table2[[#This Row],[Description]]="","",Table2[[#This Row],[Value]]/Table2[[#This Row],[Conversion]])</f>
        <v/>
      </c>
      <c r="K5341" s="45" t="str">
        <f>IF(Table2[[#This Row],[Description]]="","",DATE(Table2[[#This Row],[Year]],Table2[[#This Row],[Month]],1))</f>
        <v/>
      </c>
    </row>
    <row r="5342" spans="7:11" x14ac:dyDescent="0.25">
      <c r="G5342" s="1" t="str">
        <f>IF(Table2[[#This Row],[Description]]="","",VLOOKUP(Table2[[#This Row],[Description]],$Q$1:$S$101,2,FALSE))</f>
        <v/>
      </c>
      <c r="H5342" s="1" t="str">
        <f>IF(Table2[[#This Row],[Description]]="","",VLOOKUP(Table2[[#This Row],[Description]],$Q$1:$S$101,3,FALSE))</f>
        <v/>
      </c>
      <c r="I5342" s="1" t="str">
        <f>IF(Table2[[#This Row],[Description]]="","",IF(Table2[[#This Row],[Currency]]=$O$2,$P$2,HLOOKUP(Table2[[#This Row],[Date]],Funds!$C$10:$GV$11,2,FALSE)))</f>
        <v/>
      </c>
      <c r="J5342" s="215" t="str">
        <f>IF(Table2[[#This Row],[Description]]="","",Table2[[#This Row],[Value]]/Table2[[#This Row],[Conversion]])</f>
        <v/>
      </c>
      <c r="K5342" s="45" t="str">
        <f>IF(Table2[[#This Row],[Description]]="","",DATE(Table2[[#This Row],[Year]],Table2[[#This Row],[Month]],1))</f>
        <v/>
      </c>
    </row>
    <row r="5343" spans="7:11" x14ac:dyDescent="0.25">
      <c r="G5343" s="1" t="str">
        <f>IF(Table2[[#This Row],[Description]]="","",VLOOKUP(Table2[[#This Row],[Description]],$Q$1:$S$101,2,FALSE))</f>
        <v/>
      </c>
      <c r="H5343" s="1" t="str">
        <f>IF(Table2[[#This Row],[Description]]="","",VLOOKUP(Table2[[#This Row],[Description]],$Q$1:$S$101,3,FALSE))</f>
        <v/>
      </c>
      <c r="I5343" s="1" t="str">
        <f>IF(Table2[[#This Row],[Description]]="","",IF(Table2[[#This Row],[Currency]]=$O$2,$P$2,HLOOKUP(Table2[[#This Row],[Date]],Funds!$C$10:$GV$11,2,FALSE)))</f>
        <v/>
      </c>
      <c r="J5343" s="215" t="str">
        <f>IF(Table2[[#This Row],[Description]]="","",Table2[[#This Row],[Value]]/Table2[[#This Row],[Conversion]])</f>
        <v/>
      </c>
      <c r="K5343" s="45" t="str">
        <f>IF(Table2[[#This Row],[Description]]="","",DATE(Table2[[#This Row],[Year]],Table2[[#This Row],[Month]],1))</f>
        <v/>
      </c>
    </row>
    <row r="5344" spans="7:11" x14ac:dyDescent="0.25">
      <c r="G5344" s="1" t="str">
        <f>IF(Table2[[#This Row],[Description]]="","",VLOOKUP(Table2[[#This Row],[Description]],$Q$1:$S$101,2,FALSE))</f>
        <v/>
      </c>
      <c r="H5344" s="1" t="str">
        <f>IF(Table2[[#This Row],[Description]]="","",VLOOKUP(Table2[[#This Row],[Description]],$Q$1:$S$101,3,FALSE))</f>
        <v/>
      </c>
      <c r="I5344" s="1" t="str">
        <f>IF(Table2[[#This Row],[Description]]="","",IF(Table2[[#This Row],[Currency]]=$O$2,$P$2,HLOOKUP(Table2[[#This Row],[Date]],Funds!$C$10:$GV$11,2,FALSE)))</f>
        <v/>
      </c>
      <c r="J5344" s="215" t="str">
        <f>IF(Table2[[#This Row],[Description]]="","",Table2[[#This Row],[Value]]/Table2[[#This Row],[Conversion]])</f>
        <v/>
      </c>
      <c r="K5344" s="45" t="str">
        <f>IF(Table2[[#This Row],[Description]]="","",DATE(Table2[[#This Row],[Year]],Table2[[#This Row],[Month]],1))</f>
        <v/>
      </c>
    </row>
    <row r="5345" spans="7:11" x14ac:dyDescent="0.25">
      <c r="G5345" s="1" t="str">
        <f>IF(Table2[[#This Row],[Description]]="","",VLOOKUP(Table2[[#This Row],[Description]],$Q$1:$S$101,2,FALSE))</f>
        <v/>
      </c>
      <c r="H5345" s="1" t="str">
        <f>IF(Table2[[#This Row],[Description]]="","",VLOOKUP(Table2[[#This Row],[Description]],$Q$1:$S$101,3,FALSE))</f>
        <v/>
      </c>
      <c r="I5345" s="1" t="str">
        <f>IF(Table2[[#This Row],[Description]]="","",IF(Table2[[#This Row],[Currency]]=$O$2,$P$2,HLOOKUP(Table2[[#This Row],[Date]],Funds!$C$10:$GV$11,2,FALSE)))</f>
        <v/>
      </c>
      <c r="J5345" s="215" t="str">
        <f>IF(Table2[[#This Row],[Description]]="","",Table2[[#This Row],[Value]]/Table2[[#This Row],[Conversion]])</f>
        <v/>
      </c>
      <c r="K5345" s="45" t="str">
        <f>IF(Table2[[#This Row],[Description]]="","",DATE(Table2[[#This Row],[Year]],Table2[[#This Row],[Month]],1))</f>
        <v/>
      </c>
    </row>
    <row r="5346" spans="7:11" x14ac:dyDescent="0.25">
      <c r="G5346" s="1" t="str">
        <f>IF(Table2[[#This Row],[Description]]="","",VLOOKUP(Table2[[#This Row],[Description]],$Q$1:$S$101,2,FALSE))</f>
        <v/>
      </c>
      <c r="H5346" s="1" t="str">
        <f>IF(Table2[[#This Row],[Description]]="","",VLOOKUP(Table2[[#This Row],[Description]],$Q$1:$S$101,3,FALSE))</f>
        <v/>
      </c>
      <c r="I5346" s="1" t="str">
        <f>IF(Table2[[#This Row],[Description]]="","",IF(Table2[[#This Row],[Currency]]=$O$2,$P$2,HLOOKUP(Table2[[#This Row],[Date]],Funds!$C$10:$GV$11,2,FALSE)))</f>
        <v/>
      </c>
      <c r="J5346" s="215" t="str">
        <f>IF(Table2[[#This Row],[Description]]="","",Table2[[#This Row],[Value]]/Table2[[#This Row],[Conversion]])</f>
        <v/>
      </c>
      <c r="K5346" s="45" t="str">
        <f>IF(Table2[[#This Row],[Description]]="","",DATE(Table2[[#This Row],[Year]],Table2[[#This Row],[Month]],1))</f>
        <v/>
      </c>
    </row>
    <row r="5347" spans="7:11" x14ac:dyDescent="0.25">
      <c r="G5347" s="1" t="str">
        <f>IF(Table2[[#This Row],[Description]]="","",VLOOKUP(Table2[[#This Row],[Description]],$Q$1:$S$101,2,FALSE))</f>
        <v/>
      </c>
      <c r="H5347" s="1" t="str">
        <f>IF(Table2[[#This Row],[Description]]="","",VLOOKUP(Table2[[#This Row],[Description]],$Q$1:$S$101,3,FALSE))</f>
        <v/>
      </c>
      <c r="I5347" s="1" t="str">
        <f>IF(Table2[[#This Row],[Description]]="","",IF(Table2[[#This Row],[Currency]]=$O$2,$P$2,HLOOKUP(Table2[[#This Row],[Date]],Funds!$C$10:$GV$11,2,FALSE)))</f>
        <v/>
      </c>
      <c r="J5347" s="215" t="str">
        <f>IF(Table2[[#This Row],[Description]]="","",Table2[[#This Row],[Value]]/Table2[[#This Row],[Conversion]])</f>
        <v/>
      </c>
      <c r="K5347" s="45" t="str">
        <f>IF(Table2[[#This Row],[Description]]="","",DATE(Table2[[#This Row],[Year]],Table2[[#This Row],[Month]],1))</f>
        <v/>
      </c>
    </row>
    <row r="5348" spans="7:11" x14ac:dyDescent="0.25">
      <c r="G5348" s="1" t="str">
        <f>IF(Table2[[#This Row],[Description]]="","",VLOOKUP(Table2[[#This Row],[Description]],$Q$1:$S$101,2,FALSE))</f>
        <v/>
      </c>
      <c r="H5348" s="1" t="str">
        <f>IF(Table2[[#This Row],[Description]]="","",VLOOKUP(Table2[[#This Row],[Description]],$Q$1:$S$101,3,FALSE))</f>
        <v/>
      </c>
      <c r="I5348" s="1" t="str">
        <f>IF(Table2[[#This Row],[Description]]="","",IF(Table2[[#This Row],[Currency]]=$O$2,$P$2,HLOOKUP(Table2[[#This Row],[Date]],Funds!$C$10:$GV$11,2,FALSE)))</f>
        <v/>
      </c>
      <c r="J5348" s="215" t="str">
        <f>IF(Table2[[#This Row],[Description]]="","",Table2[[#This Row],[Value]]/Table2[[#This Row],[Conversion]])</f>
        <v/>
      </c>
      <c r="K5348" s="45" t="str">
        <f>IF(Table2[[#This Row],[Description]]="","",DATE(Table2[[#This Row],[Year]],Table2[[#This Row],[Month]],1))</f>
        <v/>
      </c>
    </row>
    <row r="5349" spans="7:11" x14ac:dyDescent="0.25">
      <c r="G5349" s="1" t="str">
        <f>IF(Table2[[#This Row],[Description]]="","",VLOOKUP(Table2[[#This Row],[Description]],$Q$1:$S$101,2,FALSE))</f>
        <v/>
      </c>
      <c r="H5349" s="1" t="str">
        <f>IF(Table2[[#This Row],[Description]]="","",VLOOKUP(Table2[[#This Row],[Description]],$Q$1:$S$101,3,FALSE))</f>
        <v/>
      </c>
      <c r="I5349" s="1" t="str">
        <f>IF(Table2[[#This Row],[Description]]="","",IF(Table2[[#This Row],[Currency]]=$O$2,$P$2,HLOOKUP(Table2[[#This Row],[Date]],Funds!$C$10:$GV$11,2,FALSE)))</f>
        <v/>
      </c>
      <c r="J5349" s="215" t="str">
        <f>IF(Table2[[#This Row],[Description]]="","",Table2[[#This Row],[Value]]/Table2[[#This Row],[Conversion]])</f>
        <v/>
      </c>
      <c r="K5349" s="45" t="str">
        <f>IF(Table2[[#This Row],[Description]]="","",DATE(Table2[[#This Row],[Year]],Table2[[#This Row],[Month]],1))</f>
        <v/>
      </c>
    </row>
    <row r="5350" spans="7:11" x14ac:dyDescent="0.25">
      <c r="G5350" s="1" t="str">
        <f>IF(Table2[[#This Row],[Description]]="","",VLOOKUP(Table2[[#This Row],[Description]],$Q$1:$S$101,2,FALSE))</f>
        <v/>
      </c>
      <c r="H5350" s="1" t="str">
        <f>IF(Table2[[#This Row],[Description]]="","",VLOOKUP(Table2[[#This Row],[Description]],$Q$1:$S$101,3,FALSE))</f>
        <v/>
      </c>
      <c r="I5350" s="1" t="str">
        <f>IF(Table2[[#This Row],[Description]]="","",IF(Table2[[#This Row],[Currency]]=$O$2,$P$2,HLOOKUP(Table2[[#This Row],[Date]],Funds!$C$10:$GV$11,2,FALSE)))</f>
        <v/>
      </c>
      <c r="J5350" s="215" t="str">
        <f>IF(Table2[[#This Row],[Description]]="","",Table2[[#This Row],[Value]]/Table2[[#This Row],[Conversion]])</f>
        <v/>
      </c>
      <c r="K5350" s="45" t="str">
        <f>IF(Table2[[#This Row],[Description]]="","",DATE(Table2[[#This Row],[Year]],Table2[[#This Row],[Month]],1))</f>
        <v/>
      </c>
    </row>
    <row r="5351" spans="7:11" x14ac:dyDescent="0.25">
      <c r="G5351" s="1" t="str">
        <f>IF(Table2[[#This Row],[Description]]="","",VLOOKUP(Table2[[#This Row],[Description]],$Q$1:$S$101,2,FALSE))</f>
        <v/>
      </c>
      <c r="H5351" s="1" t="str">
        <f>IF(Table2[[#This Row],[Description]]="","",VLOOKUP(Table2[[#This Row],[Description]],$Q$1:$S$101,3,FALSE))</f>
        <v/>
      </c>
      <c r="I5351" s="1" t="str">
        <f>IF(Table2[[#This Row],[Description]]="","",IF(Table2[[#This Row],[Currency]]=$O$2,$P$2,HLOOKUP(Table2[[#This Row],[Date]],Funds!$C$10:$GV$11,2,FALSE)))</f>
        <v/>
      </c>
      <c r="J5351" s="215" t="str">
        <f>IF(Table2[[#This Row],[Description]]="","",Table2[[#This Row],[Value]]/Table2[[#This Row],[Conversion]])</f>
        <v/>
      </c>
      <c r="K5351" s="45" t="str">
        <f>IF(Table2[[#This Row],[Description]]="","",DATE(Table2[[#This Row],[Year]],Table2[[#This Row],[Month]],1))</f>
        <v/>
      </c>
    </row>
    <row r="5352" spans="7:11" x14ac:dyDescent="0.25">
      <c r="G5352" s="1" t="str">
        <f>IF(Table2[[#This Row],[Description]]="","",VLOOKUP(Table2[[#This Row],[Description]],$Q$1:$S$101,2,FALSE))</f>
        <v/>
      </c>
      <c r="H5352" s="1" t="str">
        <f>IF(Table2[[#This Row],[Description]]="","",VLOOKUP(Table2[[#This Row],[Description]],$Q$1:$S$101,3,FALSE))</f>
        <v/>
      </c>
      <c r="I5352" s="1" t="str">
        <f>IF(Table2[[#This Row],[Description]]="","",IF(Table2[[#This Row],[Currency]]=$O$2,$P$2,HLOOKUP(Table2[[#This Row],[Date]],Funds!$C$10:$GV$11,2,FALSE)))</f>
        <v/>
      </c>
      <c r="J5352" s="215" t="str">
        <f>IF(Table2[[#This Row],[Description]]="","",Table2[[#This Row],[Value]]/Table2[[#This Row],[Conversion]])</f>
        <v/>
      </c>
      <c r="K5352" s="45" t="str">
        <f>IF(Table2[[#This Row],[Description]]="","",DATE(Table2[[#This Row],[Year]],Table2[[#This Row],[Month]],1))</f>
        <v/>
      </c>
    </row>
    <row r="5353" spans="7:11" x14ac:dyDescent="0.25">
      <c r="G5353" s="1" t="str">
        <f>IF(Table2[[#This Row],[Description]]="","",VLOOKUP(Table2[[#This Row],[Description]],$Q$1:$S$101,2,FALSE))</f>
        <v/>
      </c>
      <c r="H5353" s="1" t="str">
        <f>IF(Table2[[#This Row],[Description]]="","",VLOOKUP(Table2[[#This Row],[Description]],$Q$1:$S$101,3,FALSE))</f>
        <v/>
      </c>
      <c r="I5353" s="1" t="str">
        <f>IF(Table2[[#This Row],[Description]]="","",IF(Table2[[#This Row],[Currency]]=$O$2,$P$2,HLOOKUP(Table2[[#This Row],[Date]],Funds!$C$10:$GV$11,2,FALSE)))</f>
        <v/>
      </c>
      <c r="J5353" s="215" t="str">
        <f>IF(Table2[[#This Row],[Description]]="","",Table2[[#This Row],[Value]]/Table2[[#This Row],[Conversion]])</f>
        <v/>
      </c>
      <c r="K5353" s="45" t="str">
        <f>IF(Table2[[#This Row],[Description]]="","",DATE(Table2[[#This Row],[Year]],Table2[[#This Row],[Month]],1))</f>
        <v/>
      </c>
    </row>
    <row r="5354" spans="7:11" x14ac:dyDescent="0.25">
      <c r="G5354" s="1" t="str">
        <f>IF(Table2[[#This Row],[Description]]="","",VLOOKUP(Table2[[#This Row],[Description]],$Q$1:$S$101,2,FALSE))</f>
        <v/>
      </c>
      <c r="H5354" s="1" t="str">
        <f>IF(Table2[[#This Row],[Description]]="","",VLOOKUP(Table2[[#This Row],[Description]],$Q$1:$S$101,3,FALSE))</f>
        <v/>
      </c>
      <c r="I5354" s="1" t="str">
        <f>IF(Table2[[#This Row],[Description]]="","",IF(Table2[[#This Row],[Currency]]=$O$2,$P$2,HLOOKUP(Table2[[#This Row],[Date]],Funds!$C$10:$GV$11,2,FALSE)))</f>
        <v/>
      </c>
      <c r="J5354" s="215" t="str">
        <f>IF(Table2[[#This Row],[Description]]="","",Table2[[#This Row],[Value]]/Table2[[#This Row],[Conversion]])</f>
        <v/>
      </c>
      <c r="K5354" s="45" t="str">
        <f>IF(Table2[[#This Row],[Description]]="","",DATE(Table2[[#This Row],[Year]],Table2[[#This Row],[Month]],1))</f>
        <v/>
      </c>
    </row>
    <row r="5355" spans="7:11" x14ac:dyDescent="0.25">
      <c r="G5355" s="1" t="str">
        <f>IF(Table2[[#This Row],[Description]]="","",VLOOKUP(Table2[[#This Row],[Description]],$Q$1:$S$101,2,FALSE))</f>
        <v/>
      </c>
      <c r="H5355" s="1" t="str">
        <f>IF(Table2[[#This Row],[Description]]="","",VLOOKUP(Table2[[#This Row],[Description]],$Q$1:$S$101,3,FALSE))</f>
        <v/>
      </c>
      <c r="I5355" s="1" t="str">
        <f>IF(Table2[[#This Row],[Description]]="","",IF(Table2[[#This Row],[Currency]]=$O$2,$P$2,HLOOKUP(Table2[[#This Row],[Date]],Funds!$C$10:$GV$11,2,FALSE)))</f>
        <v/>
      </c>
      <c r="J5355" s="215" t="str">
        <f>IF(Table2[[#This Row],[Description]]="","",Table2[[#This Row],[Value]]/Table2[[#This Row],[Conversion]])</f>
        <v/>
      </c>
      <c r="K5355" s="45" t="str">
        <f>IF(Table2[[#This Row],[Description]]="","",DATE(Table2[[#This Row],[Year]],Table2[[#This Row],[Month]],1))</f>
        <v/>
      </c>
    </row>
    <row r="5356" spans="7:11" x14ac:dyDescent="0.25">
      <c r="G5356" s="1" t="str">
        <f>IF(Table2[[#This Row],[Description]]="","",VLOOKUP(Table2[[#This Row],[Description]],$Q$1:$S$101,2,FALSE))</f>
        <v/>
      </c>
      <c r="H5356" s="1" t="str">
        <f>IF(Table2[[#This Row],[Description]]="","",VLOOKUP(Table2[[#This Row],[Description]],$Q$1:$S$101,3,FALSE))</f>
        <v/>
      </c>
      <c r="I5356" s="1" t="str">
        <f>IF(Table2[[#This Row],[Description]]="","",IF(Table2[[#This Row],[Currency]]=$O$2,$P$2,HLOOKUP(Table2[[#This Row],[Date]],Funds!$C$10:$GV$11,2,FALSE)))</f>
        <v/>
      </c>
      <c r="J5356" s="215" t="str">
        <f>IF(Table2[[#This Row],[Description]]="","",Table2[[#This Row],[Value]]/Table2[[#This Row],[Conversion]])</f>
        <v/>
      </c>
      <c r="K5356" s="45" t="str">
        <f>IF(Table2[[#This Row],[Description]]="","",DATE(Table2[[#This Row],[Year]],Table2[[#This Row],[Month]],1))</f>
        <v/>
      </c>
    </row>
    <row r="5357" spans="7:11" x14ac:dyDescent="0.25">
      <c r="G5357" s="1" t="str">
        <f>IF(Table2[[#This Row],[Description]]="","",VLOOKUP(Table2[[#This Row],[Description]],$Q$1:$S$101,2,FALSE))</f>
        <v/>
      </c>
      <c r="H5357" s="1" t="str">
        <f>IF(Table2[[#This Row],[Description]]="","",VLOOKUP(Table2[[#This Row],[Description]],$Q$1:$S$101,3,FALSE))</f>
        <v/>
      </c>
      <c r="I5357" s="1" t="str">
        <f>IF(Table2[[#This Row],[Description]]="","",IF(Table2[[#This Row],[Currency]]=$O$2,$P$2,HLOOKUP(Table2[[#This Row],[Date]],Funds!$C$10:$GV$11,2,FALSE)))</f>
        <v/>
      </c>
      <c r="J5357" s="215" t="str">
        <f>IF(Table2[[#This Row],[Description]]="","",Table2[[#This Row],[Value]]/Table2[[#This Row],[Conversion]])</f>
        <v/>
      </c>
      <c r="K5357" s="45" t="str">
        <f>IF(Table2[[#This Row],[Description]]="","",DATE(Table2[[#This Row],[Year]],Table2[[#This Row],[Month]],1))</f>
        <v/>
      </c>
    </row>
    <row r="5358" spans="7:11" x14ac:dyDescent="0.25">
      <c r="G5358" s="1" t="str">
        <f>IF(Table2[[#This Row],[Description]]="","",VLOOKUP(Table2[[#This Row],[Description]],$Q$1:$S$101,2,FALSE))</f>
        <v/>
      </c>
      <c r="H5358" s="1" t="str">
        <f>IF(Table2[[#This Row],[Description]]="","",VLOOKUP(Table2[[#This Row],[Description]],$Q$1:$S$101,3,FALSE))</f>
        <v/>
      </c>
      <c r="I5358" s="1" t="str">
        <f>IF(Table2[[#This Row],[Description]]="","",IF(Table2[[#This Row],[Currency]]=$O$2,$P$2,HLOOKUP(Table2[[#This Row],[Date]],Funds!$C$10:$GV$11,2,FALSE)))</f>
        <v/>
      </c>
      <c r="J5358" s="215" t="str">
        <f>IF(Table2[[#This Row],[Description]]="","",Table2[[#This Row],[Value]]/Table2[[#This Row],[Conversion]])</f>
        <v/>
      </c>
      <c r="K5358" s="45" t="str">
        <f>IF(Table2[[#This Row],[Description]]="","",DATE(Table2[[#This Row],[Year]],Table2[[#This Row],[Month]],1))</f>
        <v/>
      </c>
    </row>
    <row r="5359" spans="7:11" x14ac:dyDescent="0.25">
      <c r="G5359" s="1" t="str">
        <f>IF(Table2[[#This Row],[Description]]="","",VLOOKUP(Table2[[#This Row],[Description]],$Q$1:$S$101,2,FALSE))</f>
        <v/>
      </c>
      <c r="H5359" s="1" t="str">
        <f>IF(Table2[[#This Row],[Description]]="","",VLOOKUP(Table2[[#This Row],[Description]],$Q$1:$S$101,3,FALSE))</f>
        <v/>
      </c>
      <c r="I5359" s="1" t="str">
        <f>IF(Table2[[#This Row],[Description]]="","",IF(Table2[[#This Row],[Currency]]=$O$2,$P$2,HLOOKUP(Table2[[#This Row],[Date]],Funds!$C$10:$GV$11,2,FALSE)))</f>
        <v/>
      </c>
      <c r="J5359" s="215" t="str">
        <f>IF(Table2[[#This Row],[Description]]="","",Table2[[#This Row],[Value]]/Table2[[#This Row],[Conversion]])</f>
        <v/>
      </c>
      <c r="K5359" s="45" t="str">
        <f>IF(Table2[[#This Row],[Description]]="","",DATE(Table2[[#This Row],[Year]],Table2[[#This Row],[Month]],1))</f>
        <v/>
      </c>
    </row>
    <row r="5360" spans="7:11" x14ac:dyDescent="0.25">
      <c r="G5360" s="1" t="str">
        <f>IF(Table2[[#This Row],[Description]]="","",VLOOKUP(Table2[[#This Row],[Description]],$Q$1:$S$101,2,FALSE))</f>
        <v/>
      </c>
      <c r="H5360" s="1" t="str">
        <f>IF(Table2[[#This Row],[Description]]="","",VLOOKUP(Table2[[#This Row],[Description]],$Q$1:$S$101,3,FALSE))</f>
        <v/>
      </c>
      <c r="I5360" s="1" t="str">
        <f>IF(Table2[[#This Row],[Description]]="","",IF(Table2[[#This Row],[Currency]]=$O$2,$P$2,HLOOKUP(Table2[[#This Row],[Date]],Funds!$C$10:$GV$11,2,FALSE)))</f>
        <v/>
      </c>
      <c r="J5360" s="215" t="str">
        <f>IF(Table2[[#This Row],[Description]]="","",Table2[[#This Row],[Value]]/Table2[[#This Row],[Conversion]])</f>
        <v/>
      </c>
      <c r="K5360" s="45" t="str">
        <f>IF(Table2[[#This Row],[Description]]="","",DATE(Table2[[#This Row],[Year]],Table2[[#This Row],[Month]],1))</f>
        <v/>
      </c>
    </row>
    <row r="5361" spans="7:11" x14ac:dyDescent="0.25">
      <c r="G5361" s="1" t="str">
        <f>IF(Table2[[#This Row],[Description]]="","",VLOOKUP(Table2[[#This Row],[Description]],$Q$1:$S$101,2,FALSE))</f>
        <v/>
      </c>
      <c r="H5361" s="1" t="str">
        <f>IF(Table2[[#This Row],[Description]]="","",VLOOKUP(Table2[[#This Row],[Description]],$Q$1:$S$101,3,FALSE))</f>
        <v/>
      </c>
      <c r="I5361" s="1" t="str">
        <f>IF(Table2[[#This Row],[Description]]="","",IF(Table2[[#This Row],[Currency]]=$O$2,$P$2,HLOOKUP(Table2[[#This Row],[Date]],Funds!$C$10:$GV$11,2,FALSE)))</f>
        <v/>
      </c>
      <c r="J5361" s="215" t="str">
        <f>IF(Table2[[#This Row],[Description]]="","",Table2[[#This Row],[Value]]/Table2[[#This Row],[Conversion]])</f>
        <v/>
      </c>
      <c r="K5361" s="45" t="str">
        <f>IF(Table2[[#This Row],[Description]]="","",DATE(Table2[[#This Row],[Year]],Table2[[#This Row],[Month]],1))</f>
        <v/>
      </c>
    </row>
    <row r="5362" spans="7:11" x14ac:dyDescent="0.25">
      <c r="G5362" s="1" t="str">
        <f>IF(Table2[[#This Row],[Description]]="","",VLOOKUP(Table2[[#This Row],[Description]],$Q$1:$S$101,2,FALSE))</f>
        <v/>
      </c>
      <c r="H5362" s="1" t="str">
        <f>IF(Table2[[#This Row],[Description]]="","",VLOOKUP(Table2[[#This Row],[Description]],$Q$1:$S$101,3,FALSE))</f>
        <v/>
      </c>
      <c r="I5362" s="1" t="str">
        <f>IF(Table2[[#This Row],[Description]]="","",IF(Table2[[#This Row],[Currency]]=$O$2,$P$2,HLOOKUP(Table2[[#This Row],[Date]],Funds!$C$10:$GV$11,2,FALSE)))</f>
        <v/>
      </c>
      <c r="J5362" s="215" t="str">
        <f>IF(Table2[[#This Row],[Description]]="","",Table2[[#This Row],[Value]]/Table2[[#This Row],[Conversion]])</f>
        <v/>
      </c>
      <c r="K5362" s="45" t="str">
        <f>IF(Table2[[#This Row],[Description]]="","",DATE(Table2[[#This Row],[Year]],Table2[[#This Row],[Month]],1))</f>
        <v/>
      </c>
    </row>
    <row r="5363" spans="7:11" x14ac:dyDescent="0.25">
      <c r="G5363" s="1" t="str">
        <f>IF(Table2[[#This Row],[Description]]="","",VLOOKUP(Table2[[#This Row],[Description]],$Q$1:$S$101,2,FALSE))</f>
        <v/>
      </c>
      <c r="H5363" s="1" t="str">
        <f>IF(Table2[[#This Row],[Description]]="","",VLOOKUP(Table2[[#This Row],[Description]],$Q$1:$S$101,3,FALSE))</f>
        <v/>
      </c>
      <c r="I5363" s="1" t="str">
        <f>IF(Table2[[#This Row],[Description]]="","",IF(Table2[[#This Row],[Currency]]=$O$2,$P$2,HLOOKUP(Table2[[#This Row],[Date]],Funds!$C$10:$GV$11,2,FALSE)))</f>
        <v/>
      </c>
      <c r="J5363" s="215" t="str">
        <f>IF(Table2[[#This Row],[Description]]="","",Table2[[#This Row],[Value]]/Table2[[#This Row],[Conversion]])</f>
        <v/>
      </c>
      <c r="K5363" s="45" t="str">
        <f>IF(Table2[[#This Row],[Description]]="","",DATE(Table2[[#This Row],[Year]],Table2[[#This Row],[Month]],1))</f>
        <v/>
      </c>
    </row>
    <row r="5364" spans="7:11" x14ac:dyDescent="0.25">
      <c r="G5364" s="1" t="str">
        <f>IF(Table2[[#This Row],[Description]]="","",VLOOKUP(Table2[[#This Row],[Description]],$Q$1:$S$101,2,FALSE))</f>
        <v/>
      </c>
      <c r="H5364" s="1" t="str">
        <f>IF(Table2[[#This Row],[Description]]="","",VLOOKUP(Table2[[#This Row],[Description]],$Q$1:$S$101,3,FALSE))</f>
        <v/>
      </c>
      <c r="I5364" s="1" t="str">
        <f>IF(Table2[[#This Row],[Description]]="","",IF(Table2[[#This Row],[Currency]]=$O$2,$P$2,HLOOKUP(Table2[[#This Row],[Date]],Funds!$C$10:$GV$11,2,FALSE)))</f>
        <v/>
      </c>
      <c r="J5364" s="215" t="str">
        <f>IF(Table2[[#This Row],[Description]]="","",Table2[[#This Row],[Value]]/Table2[[#This Row],[Conversion]])</f>
        <v/>
      </c>
      <c r="K5364" s="45" t="str">
        <f>IF(Table2[[#This Row],[Description]]="","",DATE(Table2[[#This Row],[Year]],Table2[[#This Row],[Month]],1))</f>
        <v/>
      </c>
    </row>
    <row r="5365" spans="7:11" x14ac:dyDescent="0.25">
      <c r="G5365" s="1" t="str">
        <f>IF(Table2[[#This Row],[Description]]="","",VLOOKUP(Table2[[#This Row],[Description]],$Q$1:$S$101,2,FALSE))</f>
        <v/>
      </c>
      <c r="H5365" s="1" t="str">
        <f>IF(Table2[[#This Row],[Description]]="","",VLOOKUP(Table2[[#This Row],[Description]],$Q$1:$S$101,3,FALSE))</f>
        <v/>
      </c>
      <c r="I5365" s="1" t="str">
        <f>IF(Table2[[#This Row],[Description]]="","",IF(Table2[[#This Row],[Currency]]=$O$2,$P$2,HLOOKUP(Table2[[#This Row],[Date]],Funds!$C$10:$GV$11,2,FALSE)))</f>
        <v/>
      </c>
      <c r="J5365" s="215" t="str">
        <f>IF(Table2[[#This Row],[Description]]="","",Table2[[#This Row],[Value]]/Table2[[#This Row],[Conversion]])</f>
        <v/>
      </c>
      <c r="K5365" s="45" t="str">
        <f>IF(Table2[[#This Row],[Description]]="","",DATE(Table2[[#This Row],[Year]],Table2[[#This Row],[Month]],1))</f>
        <v/>
      </c>
    </row>
    <row r="5366" spans="7:11" x14ac:dyDescent="0.25">
      <c r="G5366" s="1" t="str">
        <f>IF(Table2[[#This Row],[Description]]="","",VLOOKUP(Table2[[#This Row],[Description]],$Q$1:$S$101,2,FALSE))</f>
        <v/>
      </c>
      <c r="H5366" s="1" t="str">
        <f>IF(Table2[[#This Row],[Description]]="","",VLOOKUP(Table2[[#This Row],[Description]],$Q$1:$S$101,3,FALSE))</f>
        <v/>
      </c>
      <c r="I5366" s="1" t="str">
        <f>IF(Table2[[#This Row],[Description]]="","",IF(Table2[[#This Row],[Currency]]=$O$2,$P$2,HLOOKUP(Table2[[#This Row],[Date]],Funds!$C$10:$GV$11,2,FALSE)))</f>
        <v/>
      </c>
      <c r="J5366" s="215" t="str">
        <f>IF(Table2[[#This Row],[Description]]="","",Table2[[#This Row],[Value]]/Table2[[#This Row],[Conversion]])</f>
        <v/>
      </c>
      <c r="K5366" s="45" t="str">
        <f>IF(Table2[[#This Row],[Description]]="","",DATE(Table2[[#This Row],[Year]],Table2[[#This Row],[Month]],1))</f>
        <v/>
      </c>
    </row>
    <row r="5367" spans="7:11" x14ac:dyDescent="0.25">
      <c r="G5367" s="1" t="str">
        <f>IF(Table2[[#This Row],[Description]]="","",VLOOKUP(Table2[[#This Row],[Description]],$Q$1:$S$101,2,FALSE))</f>
        <v/>
      </c>
      <c r="H5367" s="1" t="str">
        <f>IF(Table2[[#This Row],[Description]]="","",VLOOKUP(Table2[[#This Row],[Description]],$Q$1:$S$101,3,FALSE))</f>
        <v/>
      </c>
      <c r="I5367" s="1" t="str">
        <f>IF(Table2[[#This Row],[Description]]="","",IF(Table2[[#This Row],[Currency]]=$O$2,$P$2,HLOOKUP(Table2[[#This Row],[Date]],Funds!$C$10:$GV$11,2,FALSE)))</f>
        <v/>
      </c>
      <c r="J5367" s="215" t="str">
        <f>IF(Table2[[#This Row],[Description]]="","",Table2[[#This Row],[Value]]/Table2[[#This Row],[Conversion]])</f>
        <v/>
      </c>
      <c r="K5367" s="45" t="str">
        <f>IF(Table2[[#This Row],[Description]]="","",DATE(Table2[[#This Row],[Year]],Table2[[#This Row],[Month]],1))</f>
        <v/>
      </c>
    </row>
    <row r="5368" spans="7:11" x14ac:dyDescent="0.25">
      <c r="G5368" s="1" t="str">
        <f>IF(Table2[[#This Row],[Description]]="","",VLOOKUP(Table2[[#This Row],[Description]],$Q$1:$S$101,2,FALSE))</f>
        <v/>
      </c>
      <c r="H5368" s="1" t="str">
        <f>IF(Table2[[#This Row],[Description]]="","",VLOOKUP(Table2[[#This Row],[Description]],$Q$1:$S$101,3,FALSE))</f>
        <v/>
      </c>
      <c r="I5368" s="1" t="str">
        <f>IF(Table2[[#This Row],[Description]]="","",IF(Table2[[#This Row],[Currency]]=$O$2,$P$2,HLOOKUP(Table2[[#This Row],[Date]],Funds!$C$10:$GV$11,2,FALSE)))</f>
        <v/>
      </c>
      <c r="J5368" s="215" t="str">
        <f>IF(Table2[[#This Row],[Description]]="","",Table2[[#This Row],[Value]]/Table2[[#This Row],[Conversion]])</f>
        <v/>
      </c>
      <c r="K5368" s="45" t="str">
        <f>IF(Table2[[#This Row],[Description]]="","",DATE(Table2[[#This Row],[Year]],Table2[[#This Row],[Month]],1))</f>
        <v/>
      </c>
    </row>
    <row r="5369" spans="7:11" x14ac:dyDescent="0.25">
      <c r="G5369" s="1" t="str">
        <f>IF(Table2[[#This Row],[Description]]="","",VLOOKUP(Table2[[#This Row],[Description]],$Q$1:$S$101,2,FALSE))</f>
        <v/>
      </c>
      <c r="H5369" s="1" t="str">
        <f>IF(Table2[[#This Row],[Description]]="","",VLOOKUP(Table2[[#This Row],[Description]],$Q$1:$S$101,3,FALSE))</f>
        <v/>
      </c>
      <c r="I5369" s="1" t="str">
        <f>IF(Table2[[#This Row],[Description]]="","",IF(Table2[[#This Row],[Currency]]=$O$2,$P$2,HLOOKUP(Table2[[#This Row],[Date]],Funds!$C$10:$GV$11,2,FALSE)))</f>
        <v/>
      </c>
      <c r="J5369" s="215" t="str">
        <f>IF(Table2[[#This Row],[Description]]="","",Table2[[#This Row],[Value]]/Table2[[#This Row],[Conversion]])</f>
        <v/>
      </c>
      <c r="K5369" s="45" t="str">
        <f>IF(Table2[[#This Row],[Description]]="","",DATE(Table2[[#This Row],[Year]],Table2[[#This Row],[Month]],1))</f>
        <v/>
      </c>
    </row>
    <row r="5370" spans="7:11" x14ac:dyDescent="0.25">
      <c r="G5370" s="1" t="str">
        <f>IF(Table2[[#This Row],[Description]]="","",VLOOKUP(Table2[[#This Row],[Description]],$Q$1:$S$101,2,FALSE))</f>
        <v/>
      </c>
      <c r="H5370" s="1" t="str">
        <f>IF(Table2[[#This Row],[Description]]="","",VLOOKUP(Table2[[#This Row],[Description]],$Q$1:$S$101,3,FALSE))</f>
        <v/>
      </c>
      <c r="I5370" s="1" t="str">
        <f>IF(Table2[[#This Row],[Description]]="","",IF(Table2[[#This Row],[Currency]]=$O$2,$P$2,HLOOKUP(Table2[[#This Row],[Date]],Funds!$C$10:$GV$11,2,FALSE)))</f>
        <v/>
      </c>
      <c r="J5370" s="215" t="str">
        <f>IF(Table2[[#This Row],[Description]]="","",Table2[[#This Row],[Value]]/Table2[[#This Row],[Conversion]])</f>
        <v/>
      </c>
      <c r="K5370" s="45" t="str">
        <f>IF(Table2[[#This Row],[Description]]="","",DATE(Table2[[#This Row],[Year]],Table2[[#This Row],[Month]],1))</f>
        <v/>
      </c>
    </row>
    <row r="5371" spans="7:11" x14ac:dyDescent="0.25">
      <c r="G5371" s="1" t="str">
        <f>IF(Table2[[#This Row],[Description]]="","",VLOOKUP(Table2[[#This Row],[Description]],$Q$1:$S$101,2,FALSE))</f>
        <v/>
      </c>
      <c r="H5371" s="1" t="str">
        <f>IF(Table2[[#This Row],[Description]]="","",VLOOKUP(Table2[[#This Row],[Description]],$Q$1:$S$101,3,FALSE))</f>
        <v/>
      </c>
      <c r="I5371" s="1" t="str">
        <f>IF(Table2[[#This Row],[Description]]="","",IF(Table2[[#This Row],[Currency]]=$O$2,$P$2,HLOOKUP(Table2[[#This Row],[Date]],Funds!$C$10:$GV$11,2,FALSE)))</f>
        <v/>
      </c>
      <c r="J5371" s="215" t="str">
        <f>IF(Table2[[#This Row],[Description]]="","",Table2[[#This Row],[Value]]/Table2[[#This Row],[Conversion]])</f>
        <v/>
      </c>
      <c r="K5371" s="45" t="str">
        <f>IF(Table2[[#This Row],[Description]]="","",DATE(Table2[[#This Row],[Year]],Table2[[#This Row],[Month]],1))</f>
        <v/>
      </c>
    </row>
    <row r="5372" spans="7:11" x14ac:dyDescent="0.25">
      <c r="G5372" s="1" t="str">
        <f>IF(Table2[[#This Row],[Description]]="","",VLOOKUP(Table2[[#This Row],[Description]],$Q$1:$S$101,2,FALSE))</f>
        <v/>
      </c>
      <c r="H5372" s="1" t="str">
        <f>IF(Table2[[#This Row],[Description]]="","",VLOOKUP(Table2[[#This Row],[Description]],$Q$1:$S$101,3,FALSE))</f>
        <v/>
      </c>
      <c r="I5372" s="1" t="str">
        <f>IF(Table2[[#This Row],[Description]]="","",IF(Table2[[#This Row],[Currency]]=$O$2,$P$2,HLOOKUP(Table2[[#This Row],[Date]],Funds!$C$10:$GV$11,2,FALSE)))</f>
        <v/>
      </c>
      <c r="J5372" s="215" t="str">
        <f>IF(Table2[[#This Row],[Description]]="","",Table2[[#This Row],[Value]]/Table2[[#This Row],[Conversion]])</f>
        <v/>
      </c>
      <c r="K5372" s="45" t="str">
        <f>IF(Table2[[#This Row],[Description]]="","",DATE(Table2[[#This Row],[Year]],Table2[[#This Row],[Month]],1))</f>
        <v/>
      </c>
    </row>
    <row r="5373" spans="7:11" x14ac:dyDescent="0.25">
      <c r="G5373" s="1" t="str">
        <f>IF(Table2[[#This Row],[Description]]="","",VLOOKUP(Table2[[#This Row],[Description]],$Q$1:$S$101,2,FALSE))</f>
        <v/>
      </c>
      <c r="H5373" s="1" t="str">
        <f>IF(Table2[[#This Row],[Description]]="","",VLOOKUP(Table2[[#This Row],[Description]],$Q$1:$S$101,3,FALSE))</f>
        <v/>
      </c>
      <c r="I5373" s="1" t="str">
        <f>IF(Table2[[#This Row],[Description]]="","",IF(Table2[[#This Row],[Currency]]=$O$2,$P$2,HLOOKUP(Table2[[#This Row],[Date]],Funds!$C$10:$GV$11,2,FALSE)))</f>
        <v/>
      </c>
      <c r="J5373" s="215" t="str">
        <f>IF(Table2[[#This Row],[Description]]="","",Table2[[#This Row],[Value]]/Table2[[#This Row],[Conversion]])</f>
        <v/>
      </c>
      <c r="K5373" s="45" t="str">
        <f>IF(Table2[[#This Row],[Description]]="","",DATE(Table2[[#This Row],[Year]],Table2[[#This Row],[Month]],1))</f>
        <v/>
      </c>
    </row>
    <row r="5374" spans="7:11" x14ac:dyDescent="0.25">
      <c r="G5374" s="1" t="str">
        <f>IF(Table2[[#This Row],[Description]]="","",VLOOKUP(Table2[[#This Row],[Description]],$Q$1:$S$101,2,FALSE))</f>
        <v/>
      </c>
      <c r="H5374" s="1" t="str">
        <f>IF(Table2[[#This Row],[Description]]="","",VLOOKUP(Table2[[#This Row],[Description]],$Q$1:$S$101,3,FALSE))</f>
        <v/>
      </c>
      <c r="I5374" s="1" t="str">
        <f>IF(Table2[[#This Row],[Description]]="","",IF(Table2[[#This Row],[Currency]]=$O$2,$P$2,HLOOKUP(Table2[[#This Row],[Date]],Funds!$C$10:$GV$11,2,FALSE)))</f>
        <v/>
      </c>
      <c r="J5374" s="215" t="str">
        <f>IF(Table2[[#This Row],[Description]]="","",Table2[[#This Row],[Value]]/Table2[[#This Row],[Conversion]])</f>
        <v/>
      </c>
      <c r="K5374" s="45" t="str">
        <f>IF(Table2[[#This Row],[Description]]="","",DATE(Table2[[#This Row],[Year]],Table2[[#This Row],[Month]],1))</f>
        <v/>
      </c>
    </row>
    <row r="5375" spans="7:11" x14ac:dyDescent="0.25">
      <c r="G5375" s="1" t="str">
        <f>IF(Table2[[#This Row],[Description]]="","",VLOOKUP(Table2[[#This Row],[Description]],$Q$1:$S$101,2,FALSE))</f>
        <v/>
      </c>
      <c r="H5375" s="1" t="str">
        <f>IF(Table2[[#This Row],[Description]]="","",VLOOKUP(Table2[[#This Row],[Description]],$Q$1:$S$101,3,FALSE))</f>
        <v/>
      </c>
      <c r="I5375" s="1" t="str">
        <f>IF(Table2[[#This Row],[Description]]="","",IF(Table2[[#This Row],[Currency]]=$O$2,$P$2,HLOOKUP(Table2[[#This Row],[Date]],Funds!$C$10:$GV$11,2,FALSE)))</f>
        <v/>
      </c>
      <c r="J5375" s="215" t="str">
        <f>IF(Table2[[#This Row],[Description]]="","",Table2[[#This Row],[Value]]/Table2[[#This Row],[Conversion]])</f>
        <v/>
      </c>
      <c r="K5375" s="45" t="str">
        <f>IF(Table2[[#This Row],[Description]]="","",DATE(Table2[[#This Row],[Year]],Table2[[#This Row],[Month]],1))</f>
        <v/>
      </c>
    </row>
    <row r="5376" spans="7:11" x14ac:dyDescent="0.25">
      <c r="G5376" s="1" t="str">
        <f>IF(Table2[[#This Row],[Description]]="","",VLOOKUP(Table2[[#This Row],[Description]],$Q$1:$S$101,2,FALSE))</f>
        <v/>
      </c>
      <c r="H5376" s="1" t="str">
        <f>IF(Table2[[#This Row],[Description]]="","",VLOOKUP(Table2[[#This Row],[Description]],$Q$1:$S$101,3,FALSE))</f>
        <v/>
      </c>
      <c r="I5376" s="1" t="str">
        <f>IF(Table2[[#This Row],[Description]]="","",IF(Table2[[#This Row],[Currency]]=$O$2,$P$2,HLOOKUP(Table2[[#This Row],[Date]],Funds!$C$10:$GV$11,2,FALSE)))</f>
        <v/>
      </c>
      <c r="J5376" s="215" t="str">
        <f>IF(Table2[[#This Row],[Description]]="","",Table2[[#This Row],[Value]]/Table2[[#This Row],[Conversion]])</f>
        <v/>
      </c>
      <c r="K5376" s="45" t="str">
        <f>IF(Table2[[#This Row],[Description]]="","",DATE(Table2[[#This Row],[Year]],Table2[[#This Row],[Month]],1))</f>
        <v/>
      </c>
    </row>
    <row r="5377" spans="7:11" x14ac:dyDescent="0.25">
      <c r="G5377" s="1" t="str">
        <f>IF(Table2[[#This Row],[Description]]="","",VLOOKUP(Table2[[#This Row],[Description]],$Q$1:$S$101,2,FALSE))</f>
        <v/>
      </c>
      <c r="H5377" s="1" t="str">
        <f>IF(Table2[[#This Row],[Description]]="","",VLOOKUP(Table2[[#This Row],[Description]],$Q$1:$S$101,3,FALSE))</f>
        <v/>
      </c>
      <c r="I5377" s="1" t="str">
        <f>IF(Table2[[#This Row],[Description]]="","",IF(Table2[[#This Row],[Currency]]=$O$2,$P$2,HLOOKUP(Table2[[#This Row],[Date]],Funds!$C$10:$GV$11,2,FALSE)))</f>
        <v/>
      </c>
      <c r="J5377" s="215" t="str">
        <f>IF(Table2[[#This Row],[Description]]="","",Table2[[#This Row],[Value]]/Table2[[#This Row],[Conversion]])</f>
        <v/>
      </c>
      <c r="K5377" s="45" t="str">
        <f>IF(Table2[[#This Row],[Description]]="","",DATE(Table2[[#This Row],[Year]],Table2[[#This Row],[Month]],1))</f>
        <v/>
      </c>
    </row>
    <row r="5378" spans="7:11" x14ac:dyDescent="0.25">
      <c r="G5378" s="1" t="str">
        <f>IF(Table2[[#This Row],[Description]]="","",VLOOKUP(Table2[[#This Row],[Description]],$Q$1:$S$101,2,FALSE))</f>
        <v/>
      </c>
      <c r="H5378" s="1" t="str">
        <f>IF(Table2[[#This Row],[Description]]="","",VLOOKUP(Table2[[#This Row],[Description]],$Q$1:$S$101,3,FALSE))</f>
        <v/>
      </c>
      <c r="I5378" s="1" t="str">
        <f>IF(Table2[[#This Row],[Description]]="","",IF(Table2[[#This Row],[Currency]]=$O$2,$P$2,HLOOKUP(Table2[[#This Row],[Date]],Funds!$C$10:$GV$11,2,FALSE)))</f>
        <v/>
      </c>
      <c r="J5378" s="215" t="str">
        <f>IF(Table2[[#This Row],[Description]]="","",Table2[[#This Row],[Value]]/Table2[[#This Row],[Conversion]])</f>
        <v/>
      </c>
      <c r="K5378" s="45" t="str">
        <f>IF(Table2[[#This Row],[Description]]="","",DATE(Table2[[#This Row],[Year]],Table2[[#This Row],[Month]],1))</f>
        <v/>
      </c>
    </row>
    <row r="5379" spans="7:11" x14ac:dyDescent="0.25">
      <c r="G5379" s="1" t="str">
        <f>IF(Table2[[#This Row],[Description]]="","",VLOOKUP(Table2[[#This Row],[Description]],$Q$1:$S$101,2,FALSE))</f>
        <v/>
      </c>
      <c r="H5379" s="1" t="str">
        <f>IF(Table2[[#This Row],[Description]]="","",VLOOKUP(Table2[[#This Row],[Description]],$Q$1:$S$101,3,FALSE))</f>
        <v/>
      </c>
      <c r="I5379" s="1" t="str">
        <f>IF(Table2[[#This Row],[Description]]="","",IF(Table2[[#This Row],[Currency]]=$O$2,$P$2,HLOOKUP(Table2[[#This Row],[Date]],Funds!$C$10:$GV$11,2,FALSE)))</f>
        <v/>
      </c>
      <c r="J5379" s="215" t="str">
        <f>IF(Table2[[#This Row],[Description]]="","",Table2[[#This Row],[Value]]/Table2[[#This Row],[Conversion]])</f>
        <v/>
      </c>
      <c r="K5379" s="45" t="str">
        <f>IF(Table2[[#This Row],[Description]]="","",DATE(Table2[[#This Row],[Year]],Table2[[#This Row],[Month]],1))</f>
        <v/>
      </c>
    </row>
    <row r="5380" spans="7:11" x14ac:dyDescent="0.25">
      <c r="G5380" s="1" t="str">
        <f>IF(Table2[[#This Row],[Description]]="","",VLOOKUP(Table2[[#This Row],[Description]],$Q$1:$S$101,2,FALSE))</f>
        <v/>
      </c>
      <c r="H5380" s="1" t="str">
        <f>IF(Table2[[#This Row],[Description]]="","",VLOOKUP(Table2[[#This Row],[Description]],$Q$1:$S$101,3,FALSE))</f>
        <v/>
      </c>
      <c r="I5380" s="1" t="str">
        <f>IF(Table2[[#This Row],[Description]]="","",IF(Table2[[#This Row],[Currency]]=$O$2,$P$2,HLOOKUP(Table2[[#This Row],[Date]],Funds!$C$10:$GV$11,2,FALSE)))</f>
        <v/>
      </c>
      <c r="J5380" s="215" t="str">
        <f>IF(Table2[[#This Row],[Description]]="","",Table2[[#This Row],[Value]]/Table2[[#This Row],[Conversion]])</f>
        <v/>
      </c>
      <c r="K5380" s="45" t="str">
        <f>IF(Table2[[#This Row],[Description]]="","",DATE(Table2[[#This Row],[Year]],Table2[[#This Row],[Month]],1))</f>
        <v/>
      </c>
    </row>
    <row r="5381" spans="7:11" x14ac:dyDescent="0.25">
      <c r="G5381" s="1" t="str">
        <f>IF(Table2[[#This Row],[Description]]="","",VLOOKUP(Table2[[#This Row],[Description]],$Q$1:$S$101,2,FALSE))</f>
        <v/>
      </c>
      <c r="H5381" s="1" t="str">
        <f>IF(Table2[[#This Row],[Description]]="","",VLOOKUP(Table2[[#This Row],[Description]],$Q$1:$S$101,3,FALSE))</f>
        <v/>
      </c>
      <c r="I5381" s="1" t="str">
        <f>IF(Table2[[#This Row],[Description]]="","",IF(Table2[[#This Row],[Currency]]=$O$2,$P$2,HLOOKUP(Table2[[#This Row],[Date]],Funds!$C$10:$GV$11,2,FALSE)))</f>
        <v/>
      </c>
      <c r="J5381" s="215" t="str">
        <f>IF(Table2[[#This Row],[Description]]="","",Table2[[#This Row],[Value]]/Table2[[#This Row],[Conversion]])</f>
        <v/>
      </c>
      <c r="K5381" s="45" t="str">
        <f>IF(Table2[[#This Row],[Description]]="","",DATE(Table2[[#This Row],[Year]],Table2[[#This Row],[Month]],1))</f>
        <v/>
      </c>
    </row>
    <row r="5382" spans="7:11" x14ac:dyDescent="0.25">
      <c r="G5382" s="1" t="str">
        <f>IF(Table2[[#This Row],[Description]]="","",VLOOKUP(Table2[[#This Row],[Description]],$Q$1:$S$101,2,FALSE))</f>
        <v/>
      </c>
      <c r="H5382" s="1" t="str">
        <f>IF(Table2[[#This Row],[Description]]="","",VLOOKUP(Table2[[#This Row],[Description]],$Q$1:$S$101,3,FALSE))</f>
        <v/>
      </c>
      <c r="I5382" s="1" t="str">
        <f>IF(Table2[[#This Row],[Description]]="","",IF(Table2[[#This Row],[Currency]]=$O$2,$P$2,HLOOKUP(Table2[[#This Row],[Date]],Funds!$C$10:$GV$11,2,FALSE)))</f>
        <v/>
      </c>
      <c r="J5382" s="215" t="str">
        <f>IF(Table2[[#This Row],[Description]]="","",Table2[[#This Row],[Value]]/Table2[[#This Row],[Conversion]])</f>
        <v/>
      </c>
      <c r="K5382" s="45" t="str">
        <f>IF(Table2[[#This Row],[Description]]="","",DATE(Table2[[#This Row],[Year]],Table2[[#This Row],[Month]],1))</f>
        <v/>
      </c>
    </row>
    <row r="5383" spans="7:11" x14ac:dyDescent="0.25">
      <c r="G5383" s="1" t="str">
        <f>IF(Table2[[#This Row],[Description]]="","",VLOOKUP(Table2[[#This Row],[Description]],$Q$1:$S$101,2,FALSE))</f>
        <v/>
      </c>
      <c r="H5383" s="1" t="str">
        <f>IF(Table2[[#This Row],[Description]]="","",VLOOKUP(Table2[[#This Row],[Description]],$Q$1:$S$101,3,FALSE))</f>
        <v/>
      </c>
      <c r="I5383" s="1" t="str">
        <f>IF(Table2[[#This Row],[Description]]="","",IF(Table2[[#This Row],[Currency]]=$O$2,$P$2,HLOOKUP(Table2[[#This Row],[Date]],Funds!$C$10:$GV$11,2,FALSE)))</f>
        <v/>
      </c>
      <c r="J5383" s="215" t="str">
        <f>IF(Table2[[#This Row],[Description]]="","",Table2[[#This Row],[Value]]/Table2[[#This Row],[Conversion]])</f>
        <v/>
      </c>
      <c r="K5383" s="45" t="str">
        <f>IF(Table2[[#This Row],[Description]]="","",DATE(Table2[[#This Row],[Year]],Table2[[#This Row],[Month]],1))</f>
        <v/>
      </c>
    </row>
    <row r="5384" spans="7:11" x14ac:dyDescent="0.25">
      <c r="G5384" s="1" t="str">
        <f>IF(Table2[[#This Row],[Description]]="","",VLOOKUP(Table2[[#This Row],[Description]],$Q$1:$S$101,2,FALSE))</f>
        <v/>
      </c>
      <c r="H5384" s="1" t="str">
        <f>IF(Table2[[#This Row],[Description]]="","",VLOOKUP(Table2[[#This Row],[Description]],$Q$1:$S$101,3,FALSE))</f>
        <v/>
      </c>
      <c r="I5384" s="1" t="str">
        <f>IF(Table2[[#This Row],[Description]]="","",IF(Table2[[#This Row],[Currency]]=$O$2,$P$2,HLOOKUP(Table2[[#This Row],[Date]],Funds!$C$10:$GV$11,2,FALSE)))</f>
        <v/>
      </c>
      <c r="J5384" s="215" t="str">
        <f>IF(Table2[[#This Row],[Description]]="","",Table2[[#This Row],[Value]]/Table2[[#This Row],[Conversion]])</f>
        <v/>
      </c>
      <c r="K5384" s="45" t="str">
        <f>IF(Table2[[#This Row],[Description]]="","",DATE(Table2[[#This Row],[Year]],Table2[[#This Row],[Month]],1))</f>
        <v/>
      </c>
    </row>
    <row r="5385" spans="7:11" x14ac:dyDescent="0.25">
      <c r="G5385" s="1" t="str">
        <f>IF(Table2[[#This Row],[Description]]="","",VLOOKUP(Table2[[#This Row],[Description]],$Q$1:$S$101,2,FALSE))</f>
        <v/>
      </c>
      <c r="H5385" s="1" t="str">
        <f>IF(Table2[[#This Row],[Description]]="","",VLOOKUP(Table2[[#This Row],[Description]],$Q$1:$S$101,3,FALSE))</f>
        <v/>
      </c>
      <c r="I5385" s="1" t="str">
        <f>IF(Table2[[#This Row],[Description]]="","",IF(Table2[[#This Row],[Currency]]=$O$2,$P$2,HLOOKUP(Table2[[#This Row],[Date]],Funds!$C$10:$GV$11,2,FALSE)))</f>
        <v/>
      </c>
      <c r="J5385" s="215" t="str">
        <f>IF(Table2[[#This Row],[Description]]="","",Table2[[#This Row],[Value]]/Table2[[#This Row],[Conversion]])</f>
        <v/>
      </c>
      <c r="K5385" s="45" t="str">
        <f>IF(Table2[[#This Row],[Description]]="","",DATE(Table2[[#This Row],[Year]],Table2[[#This Row],[Month]],1))</f>
        <v/>
      </c>
    </row>
    <row r="5386" spans="7:11" x14ac:dyDescent="0.25">
      <c r="G5386" s="1" t="str">
        <f>IF(Table2[[#This Row],[Description]]="","",VLOOKUP(Table2[[#This Row],[Description]],$Q$1:$S$101,2,FALSE))</f>
        <v/>
      </c>
      <c r="H5386" s="1" t="str">
        <f>IF(Table2[[#This Row],[Description]]="","",VLOOKUP(Table2[[#This Row],[Description]],$Q$1:$S$101,3,FALSE))</f>
        <v/>
      </c>
      <c r="I5386" s="1" t="str">
        <f>IF(Table2[[#This Row],[Description]]="","",IF(Table2[[#This Row],[Currency]]=$O$2,$P$2,HLOOKUP(Table2[[#This Row],[Date]],Funds!$C$10:$GV$11,2,FALSE)))</f>
        <v/>
      </c>
      <c r="J5386" s="215" t="str">
        <f>IF(Table2[[#This Row],[Description]]="","",Table2[[#This Row],[Value]]/Table2[[#This Row],[Conversion]])</f>
        <v/>
      </c>
      <c r="K5386" s="45" t="str">
        <f>IF(Table2[[#This Row],[Description]]="","",DATE(Table2[[#This Row],[Year]],Table2[[#This Row],[Month]],1))</f>
        <v/>
      </c>
    </row>
    <row r="5387" spans="7:11" x14ac:dyDescent="0.25">
      <c r="G5387" s="1" t="str">
        <f>IF(Table2[[#This Row],[Description]]="","",VLOOKUP(Table2[[#This Row],[Description]],$Q$1:$S$101,2,FALSE))</f>
        <v/>
      </c>
      <c r="H5387" s="1" t="str">
        <f>IF(Table2[[#This Row],[Description]]="","",VLOOKUP(Table2[[#This Row],[Description]],$Q$1:$S$101,3,FALSE))</f>
        <v/>
      </c>
      <c r="I5387" s="1" t="str">
        <f>IF(Table2[[#This Row],[Description]]="","",IF(Table2[[#This Row],[Currency]]=$O$2,$P$2,HLOOKUP(Table2[[#This Row],[Date]],Funds!$C$10:$GV$11,2,FALSE)))</f>
        <v/>
      </c>
      <c r="J5387" s="215" t="str">
        <f>IF(Table2[[#This Row],[Description]]="","",Table2[[#This Row],[Value]]/Table2[[#This Row],[Conversion]])</f>
        <v/>
      </c>
      <c r="K5387" s="45" t="str">
        <f>IF(Table2[[#This Row],[Description]]="","",DATE(Table2[[#This Row],[Year]],Table2[[#This Row],[Month]],1))</f>
        <v/>
      </c>
    </row>
    <row r="5388" spans="7:11" x14ac:dyDescent="0.25">
      <c r="G5388" s="1" t="str">
        <f>IF(Table2[[#This Row],[Description]]="","",VLOOKUP(Table2[[#This Row],[Description]],$Q$1:$S$101,2,FALSE))</f>
        <v/>
      </c>
      <c r="H5388" s="1" t="str">
        <f>IF(Table2[[#This Row],[Description]]="","",VLOOKUP(Table2[[#This Row],[Description]],$Q$1:$S$101,3,FALSE))</f>
        <v/>
      </c>
      <c r="I5388" s="1" t="str">
        <f>IF(Table2[[#This Row],[Description]]="","",IF(Table2[[#This Row],[Currency]]=$O$2,$P$2,HLOOKUP(Table2[[#This Row],[Date]],Funds!$C$10:$GV$11,2,FALSE)))</f>
        <v/>
      </c>
      <c r="J5388" s="215" t="str">
        <f>IF(Table2[[#This Row],[Description]]="","",Table2[[#This Row],[Value]]/Table2[[#This Row],[Conversion]])</f>
        <v/>
      </c>
      <c r="K5388" s="45" t="str">
        <f>IF(Table2[[#This Row],[Description]]="","",DATE(Table2[[#This Row],[Year]],Table2[[#This Row],[Month]],1))</f>
        <v/>
      </c>
    </row>
    <row r="5389" spans="7:11" x14ac:dyDescent="0.25">
      <c r="G5389" s="1" t="str">
        <f>IF(Table2[[#This Row],[Description]]="","",VLOOKUP(Table2[[#This Row],[Description]],$Q$1:$S$101,2,FALSE))</f>
        <v/>
      </c>
      <c r="H5389" s="1" t="str">
        <f>IF(Table2[[#This Row],[Description]]="","",VLOOKUP(Table2[[#This Row],[Description]],$Q$1:$S$101,3,FALSE))</f>
        <v/>
      </c>
      <c r="I5389" s="1" t="str">
        <f>IF(Table2[[#This Row],[Description]]="","",IF(Table2[[#This Row],[Currency]]=$O$2,$P$2,HLOOKUP(Table2[[#This Row],[Date]],Funds!$C$10:$GV$11,2,FALSE)))</f>
        <v/>
      </c>
      <c r="J5389" s="215" t="str">
        <f>IF(Table2[[#This Row],[Description]]="","",Table2[[#This Row],[Value]]/Table2[[#This Row],[Conversion]])</f>
        <v/>
      </c>
      <c r="K5389" s="45" t="str">
        <f>IF(Table2[[#This Row],[Description]]="","",DATE(Table2[[#This Row],[Year]],Table2[[#This Row],[Month]],1))</f>
        <v/>
      </c>
    </row>
    <row r="5390" spans="7:11" x14ac:dyDescent="0.25">
      <c r="G5390" s="1" t="str">
        <f>IF(Table2[[#This Row],[Description]]="","",VLOOKUP(Table2[[#This Row],[Description]],$Q$1:$S$101,2,FALSE))</f>
        <v/>
      </c>
      <c r="H5390" s="1" t="str">
        <f>IF(Table2[[#This Row],[Description]]="","",VLOOKUP(Table2[[#This Row],[Description]],$Q$1:$S$101,3,FALSE))</f>
        <v/>
      </c>
      <c r="I5390" s="1" t="str">
        <f>IF(Table2[[#This Row],[Description]]="","",IF(Table2[[#This Row],[Currency]]=$O$2,$P$2,HLOOKUP(Table2[[#This Row],[Date]],Funds!$C$10:$GV$11,2,FALSE)))</f>
        <v/>
      </c>
      <c r="J5390" s="215" t="str">
        <f>IF(Table2[[#This Row],[Description]]="","",Table2[[#This Row],[Value]]/Table2[[#This Row],[Conversion]])</f>
        <v/>
      </c>
      <c r="K5390" s="45" t="str">
        <f>IF(Table2[[#This Row],[Description]]="","",DATE(Table2[[#This Row],[Year]],Table2[[#This Row],[Month]],1))</f>
        <v/>
      </c>
    </row>
    <row r="5391" spans="7:11" x14ac:dyDescent="0.25">
      <c r="G5391" s="1" t="str">
        <f>IF(Table2[[#This Row],[Description]]="","",VLOOKUP(Table2[[#This Row],[Description]],$Q$1:$S$101,2,FALSE))</f>
        <v/>
      </c>
      <c r="H5391" s="1" t="str">
        <f>IF(Table2[[#This Row],[Description]]="","",VLOOKUP(Table2[[#This Row],[Description]],$Q$1:$S$101,3,FALSE))</f>
        <v/>
      </c>
      <c r="I5391" s="1" t="str">
        <f>IF(Table2[[#This Row],[Description]]="","",IF(Table2[[#This Row],[Currency]]=$O$2,$P$2,HLOOKUP(Table2[[#This Row],[Date]],Funds!$C$10:$GV$11,2,FALSE)))</f>
        <v/>
      </c>
      <c r="J5391" s="215" t="str">
        <f>IF(Table2[[#This Row],[Description]]="","",Table2[[#This Row],[Value]]/Table2[[#This Row],[Conversion]])</f>
        <v/>
      </c>
      <c r="K5391" s="45" t="str">
        <f>IF(Table2[[#This Row],[Description]]="","",DATE(Table2[[#This Row],[Year]],Table2[[#This Row],[Month]],1))</f>
        <v/>
      </c>
    </row>
    <row r="5392" spans="7:11" x14ac:dyDescent="0.25">
      <c r="G5392" s="1" t="str">
        <f>IF(Table2[[#This Row],[Description]]="","",VLOOKUP(Table2[[#This Row],[Description]],$Q$1:$S$101,2,FALSE))</f>
        <v/>
      </c>
      <c r="H5392" s="1" t="str">
        <f>IF(Table2[[#This Row],[Description]]="","",VLOOKUP(Table2[[#This Row],[Description]],$Q$1:$S$101,3,FALSE))</f>
        <v/>
      </c>
      <c r="I5392" s="1" t="str">
        <f>IF(Table2[[#This Row],[Description]]="","",IF(Table2[[#This Row],[Currency]]=$O$2,$P$2,HLOOKUP(Table2[[#This Row],[Date]],Funds!$C$10:$GV$11,2,FALSE)))</f>
        <v/>
      </c>
      <c r="J5392" s="215" t="str">
        <f>IF(Table2[[#This Row],[Description]]="","",Table2[[#This Row],[Value]]/Table2[[#This Row],[Conversion]])</f>
        <v/>
      </c>
      <c r="K5392" s="45" t="str">
        <f>IF(Table2[[#This Row],[Description]]="","",DATE(Table2[[#This Row],[Year]],Table2[[#This Row],[Month]],1))</f>
        <v/>
      </c>
    </row>
    <row r="5393" spans="7:11" x14ac:dyDescent="0.25">
      <c r="G5393" s="1" t="str">
        <f>IF(Table2[[#This Row],[Description]]="","",VLOOKUP(Table2[[#This Row],[Description]],$Q$1:$S$101,2,FALSE))</f>
        <v/>
      </c>
      <c r="H5393" s="1" t="str">
        <f>IF(Table2[[#This Row],[Description]]="","",VLOOKUP(Table2[[#This Row],[Description]],$Q$1:$S$101,3,FALSE))</f>
        <v/>
      </c>
      <c r="I5393" s="1" t="str">
        <f>IF(Table2[[#This Row],[Description]]="","",IF(Table2[[#This Row],[Currency]]=$O$2,$P$2,HLOOKUP(Table2[[#This Row],[Date]],Funds!$C$10:$GV$11,2,FALSE)))</f>
        <v/>
      </c>
      <c r="J5393" s="215" t="str">
        <f>IF(Table2[[#This Row],[Description]]="","",Table2[[#This Row],[Value]]/Table2[[#This Row],[Conversion]])</f>
        <v/>
      </c>
      <c r="K5393" s="45" t="str">
        <f>IF(Table2[[#This Row],[Description]]="","",DATE(Table2[[#This Row],[Year]],Table2[[#This Row],[Month]],1))</f>
        <v/>
      </c>
    </row>
    <row r="5394" spans="7:11" x14ac:dyDescent="0.25">
      <c r="G5394" s="1" t="str">
        <f>IF(Table2[[#This Row],[Description]]="","",VLOOKUP(Table2[[#This Row],[Description]],$Q$1:$S$101,2,FALSE))</f>
        <v/>
      </c>
      <c r="H5394" s="1" t="str">
        <f>IF(Table2[[#This Row],[Description]]="","",VLOOKUP(Table2[[#This Row],[Description]],$Q$1:$S$101,3,FALSE))</f>
        <v/>
      </c>
      <c r="I5394" s="1" t="str">
        <f>IF(Table2[[#This Row],[Description]]="","",IF(Table2[[#This Row],[Currency]]=$O$2,$P$2,HLOOKUP(Table2[[#This Row],[Date]],Funds!$C$10:$GV$11,2,FALSE)))</f>
        <v/>
      </c>
      <c r="J5394" s="215" t="str">
        <f>IF(Table2[[#This Row],[Description]]="","",Table2[[#This Row],[Value]]/Table2[[#This Row],[Conversion]])</f>
        <v/>
      </c>
      <c r="K5394" s="45" t="str">
        <f>IF(Table2[[#This Row],[Description]]="","",DATE(Table2[[#This Row],[Year]],Table2[[#This Row],[Month]],1))</f>
        <v/>
      </c>
    </row>
    <row r="5395" spans="7:11" x14ac:dyDescent="0.25">
      <c r="G5395" s="1" t="str">
        <f>IF(Table2[[#This Row],[Description]]="","",VLOOKUP(Table2[[#This Row],[Description]],$Q$1:$S$101,2,FALSE))</f>
        <v/>
      </c>
      <c r="H5395" s="1" t="str">
        <f>IF(Table2[[#This Row],[Description]]="","",VLOOKUP(Table2[[#This Row],[Description]],$Q$1:$S$101,3,FALSE))</f>
        <v/>
      </c>
      <c r="I5395" s="1" t="str">
        <f>IF(Table2[[#This Row],[Description]]="","",IF(Table2[[#This Row],[Currency]]=$O$2,$P$2,HLOOKUP(Table2[[#This Row],[Date]],Funds!$C$10:$GV$11,2,FALSE)))</f>
        <v/>
      </c>
      <c r="J5395" s="215" t="str">
        <f>IF(Table2[[#This Row],[Description]]="","",Table2[[#This Row],[Value]]/Table2[[#This Row],[Conversion]])</f>
        <v/>
      </c>
      <c r="K5395" s="45" t="str">
        <f>IF(Table2[[#This Row],[Description]]="","",DATE(Table2[[#This Row],[Year]],Table2[[#This Row],[Month]],1))</f>
        <v/>
      </c>
    </row>
    <row r="5396" spans="7:11" x14ac:dyDescent="0.25">
      <c r="G5396" s="1" t="str">
        <f>IF(Table2[[#This Row],[Description]]="","",VLOOKUP(Table2[[#This Row],[Description]],$Q$1:$S$101,2,FALSE))</f>
        <v/>
      </c>
      <c r="H5396" s="1" t="str">
        <f>IF(Table2[[#This Row],[Description]]="","",VLOOKUP(Table2[[#This Row],[Description]],$Q$1:$S$101,3,FALSE))</f>
        <v/>
      </c>
      <c r="I5396" s="1" t="str">
        <f>IF(Table2[[#This Row],[Description]]="","",IF(Table2[[#This Row],[Currency]]=$O$2,$P$2,HLOOKUP(Table2[[#This Row],[Date]],Funds!$C$10:$GV$11,2,FALSE)))</f>
        <v/>
      </c>
      <c r="J5396" s="215" t="str">
        <f>IF(Table2[[#This Row],[Description]]="","",Table2[[#This Row],[Value]]/Table2[[#This Row],[Conversion]])</f>
        <v/>
      </c>
      <c r="K5396" s="45" t="str">
        <f>IF(Table2[[#This Row],[Description]]="","",DATE(Table2[[#This Row],[Year]],Table2[[#This Row],[Month]],1))</f>
        <v/>
      </c>
    </row>
    <row r="5397" spans="7:11" x14ac:dyDescent="0.25">
      <c r="G5397" s="1" t="str">
        <f>IF(Table2[[#This Row],[Description]]="","",VLOOKUP(Table2[[#This Row],[Description]],$Q$1:$S$101,2,FALSE))</f>
        <v/>
      </c>
      <c r="H5397" s="1" t="str">
        <f>IF(Table2[[#This Row],[Description]]="","",VLOOKUP(Table2[[#This Row],[Description]],$Q$1:$S$101,3,FALSE))</f>
        <v/>
      </c>
      <c r="I5397" s="1" t="str">
        <f>IF(Table2[[#This Row],[Description]]="","",IF(Table2[[#This Row],[Currency]]=$O$2,$P$2,HLOOKUP(Table2[[#This Row],[Date]],Funds!$C$10:$GV$11,2,FALSE)))</f>
        <v/>
      </c>
      <c r="J5397" s="215" t="str">
        <f>IF(Table2[[#This Row],[Description]]="","",Table2[[#This Row],[Value]]/Table2[[#This Row],[Conversion]])</f>
        <v/>
      </c>
      <c r="K5397" s="45" t="str">
        <f>IF(Table2[[#This Row],[Description]]="","",DATE(Table2[[#This Row],[Year]],Table2[[#This Row],[Month]],1))</f>
        <v/>
      </c>
    </row>
    <row r="5398" spans="7:11" x14ac:dyDescent="0.25">
      <c r="G5398" s="1" t="str">
        <f>IF(Table2[[#This Row],[Description]]="","",VLOOKUP(Table2[[#This Row],[Description]],$Q$1:$S$101,2,FALSE))</f>
        <v/>
      </c>
      <c r="H5398" s="1" t="str">
        <f>IF(Table2[[#This Row],[Description]]="","",VLOOKUP(Table2[[#This Row],[Description]],$Q$1:$S$101,3,FALSE))</f>
        <v/>
      </c>
      <c r="I5398" s="1" t="str">
        <f>IF(Table2[[#This Row],[Description]]="","",IF(Table2[[#This Row],[Currency]]=$O$2,$P$2,HLOOKUP(Table2[[#This Row],[Date]],Funds!$C$10:$GV$11,2,FALSE)))</f>
        <v/>
      </c>
      <c r="J5398" s="215" t="str">
        <f>IF(Table2[[#This Row],[Description]]="","",Table2[[#This Row],[Value]]/Table2[[#This Row],[Conversion]])</f>
        <v/>
      </c>
      <c r="K5398" s="45" t="str">
        <f>IF(Table2[[#This Row],[Description]]="","",DATE(Table2[[#This Row],[Year]],Table2[[#This Row],[Month]],1))</f>
        <v/>
      </c>
    </row>
    <row r="5399" spans="7:11" x14ac:dyDescent="0.25">
      <c r="G5399" s="1" t="str">
        <f>IF(Table2[[#This Row],[Description]]="","",VLOOKUP(Table2[[#This Row],[Description]],$Q$1:$S$101,2,FALSE))</f>
        <v/>
      </c>
      <c r="H5399" s="1" t="str">
        <f>IF(Table2[[#This Row],[Description]]="","",VLOOKUP(Table2[[#This Row],[Description]],$Q$1:$S$101,3,FALSE))</f>
        <v/>
      </c>
      <c r="I5399" s="1" t="str">
        <f>IF(Table2[[#This Row],[Description]]="","",IF(Table2[[#This Row],[Currency]]=$O$2,$P$2,HLOOKUP(Table2[[#This Row],[Date]],Funds!$C$10:$GV$11,2,FALSE)))</f>
        <v/>
      </c>
      <c r="J5399" s="215" t="str">
        <f>IF(Table2[[#This Row],[Description]]="","",Table2[[#This Row],[Value]]/Table2[[#This Row],[Conversion]])</f>
        <v/>
      </c>
      <c r="K5399" s="45" t="str">
        <f>IF(Table2[[#This Row],[Description]]="","",DATE(Table2[[#This Row],[Year]],Table2[[#This Row],[Month]],1))</f>
        <v/>
      </c>
    </row>
    <row r="5400" spans="7:11" x14ac:dyDescent="0.25">
      <c r="G5400" s="1" t="str">
        <f>IF(Table2[[#This Row],[Description]]="","",VLOOKUP(Table2[[#This Row],[Description]],$Q$1:$S$101,2,FALSE))</f>
        <v/>
      </c>
      <c r="H5400" s="1" t="str">
        <f>IF(Table2[[#This Row],[Description]]="","",VLOOKUP(Table2[[#This Row],[Description]],$Q$1:$S$101,3,FALSE))</f>
        <v/>
      </c>
      <c r="I5400" s="1" t="str">
        <f>IF(Table2[[#This Row],[Description]]="","",IF(Table2[[#This Row],[Currency]]=$O$2,$P$2,HLOOKUP(Table2[[#This Row],[Date]],Funds!$C$10:$GV$11,2,FALSE)))</f>
        <v/>
      </c>
      <c r="J5400" s="215" t="str">
        <f>IF(Table2[[#This Row],[Description]]="","",Table2[[#This Row],[Value]]/Table2[[#This Row],[Conversion]])</f>
        <v/>
      </c>
      <c r="K5400" s="45" t="str">
        <f>IF(Table2[[#This Row],[Description]]="","",DATE(Table2[[#This Row],[Year]],Table2[[#This Row],[Month]],1))</f>
        <v/>
      </c>
    </row>
    <row r="5401" spans="7:11" x14ac:dyDescent="0.25">
      <c r="G5401" s="1" t="str">
        <f>IF(Table2[[#This Row],[Description]]="","",VLOOKUP(Table2[[#This Row],[Description]],$Q$1:$S$101,2,FALSE))</f>
        <v/>
      </c>
      <c r="H5401" s="1" t="str">
        <f>IF(Table2[[#This Row],[Description]]="","",VLOOKUP(Table2[[#This Row],[Description]],$Q$1:$S$101,3,FALSE))</f>
        <v/>
      </c>
      <c r="I5401" s="1" t="str">
        <f>IF(Table2[[#This Row],[Description]]="","",IF(Table2[[#This Row],[Currency]]=$O$2,$P$2,HLOOKUP(Table2[[#This Row],[Date]],Funds!$C$10:$GV$11,2,FALSE)))</f>
        <v/>
      </c>
      <c r="J5401" s="215" t="str">
        <f>IF(Table2[[#This Row],[Description]]="","",Table2[[#This Row],[Value]]/Table2[[#This Row],[Conversion]])</f>
        <v/>
      </c>
      <c r="K5401" s="45" t="str">
        <f>IF(Table2[[#This Row],[Description]]="","",DATE(Table2[[#This Row],[Year]],Table2[[#This Row],[Month]],1))</f>
        <v/>
      </c>
    </row>
    <row r="5402" spans="7:11" x14ac:dyDescent="0.25">
      <c r="G5402" s="1" t="str">
        <f>IF(Table2[[#This Row],[Description]]="","",VLOOKUP(Table2[[#This Row],[Description]],$Q$1:$S$101,2,FALSE))</f>
        <v/>
      </c>
      <c r="H5402" s="1" t="str">
        <f>IF(Table2[[#This Row],[Description]]="","",VLOOKUP(Table2[[#This Row],[Description]],$Q$1:$S$101,3,FALSE))</f>
        <v/>
      </c>
      <c r="I5402" s="1" t="str">
        <f>IF(Table2[[#This Row],[Description]]="","",IF(Table2[[#This Row],[Currency]]=$O$2,$P$2,HLOOKUP(Table2[[#This Row],[Date]],Funds!$C$10:$GV$11,2,FALSE)))</f>
        <v/>
      </c>
      <c r="J5402" s="215" t="str">
        <f>IF(Table2[[#This Row],[Description]]="","",Table2[[#This Row],[Value]]/Table2[[#This Row],[Conversion]])</f>
        <v/>
      </c>
      <c r="K5402" s="45" t="str">
        <f>IF(Table2[[#This Row],[Description]]="","",DATE(Table2[[#This Row],[Year]],Table2[[#This Row],[Month]],1))</f>
        <v/>
      </c>
    </row>
    <row r="5403" spans="7:11" x14ac:dyDescent="0.25">
      <c r="G5403" s="1" t="str">
        <f>IF(Table2[[#This Row],[Description]]="","",VLOOKUP(Table2[[#This Row],[Description]],$Q$1:$S$101,2,FALSE))</f>
        <v/>
      </c>
      <c r="H5403" s="1" t="str">
        <f>IF(Table2[[#This Row],[Description]]="","",VLOOKUP(Table2[[#This Row],[Description]],$Q$1:$S$101,3,FALSE))</f>
        <v/>
      </c>
      <c r="I5403" s="1" t="str">
        <f>IF(Table2[[#This Row],[Description]]="","",IF(Table2[[#This Row],[Currency]]=$O$2,$P$2,HLOOKUP(Table2[[#This Row],[Date]],Funds!$C$10:$GV$11,2,FALSE)))</f>
        <v/>
      </c>
      <c r="J5403" s="215" t="str">
        <f>IF(Table2[[#This Row],[Description]]="","",Table2[[#This Row],[Value]]/Table2[[#This Row],[Conversion]])</f>
        <v/>
      </c>
      <c r="K5403" s="45" t="str">
        <f>IF(Table2[[#This Row],[Description]]="","",DATE(Table2[[#This Row],[Year]],Table2[[#This Row],[Month]],1))</f>
        <v/>
      </c>
    </row>
    <row r="5404" spans="7:11" x14ac:dyDescent="0.25">
      <c r="G5404" s="1" t="str">
        <f>IF(Table2[[#This Row],[Description]]="","",VLOOKUP(Table2[[#This Row],[Description]],$Q$1:$S$101,2,FALSE))</f>
        <v/>
      </c>
      <c r="H5404" s="1" t="str">
        <f>IF(Table2[[#This Row],[Description]]="","",VLOOKUP(Table2[[#This Row],[Description]],$Q$1:$S$101,3,FALSE))</f>
        <v/>
      </c>
      <c r="I5404" s="1" t="str">
        <f>IF(Table2[[#This Row],[Description]]="","",IF(Table2[[#This Row],[Currency]]=$O$2,$P$2,HLOOKUP(Table2[[#This Row],[Date]],Funds!$C$10:$GV$11,2,FALSE)))</f>
        <v/>
      </c>
      <c r="J5404" s="215" t="str">
        <f>IF(Table2[[#This Row],[Description]]="","",Table2[[#This Row],[Value]]/Table2[[#This Row],[Conversion]])</f>
        <v/>
      </c>
      <c r="K5404" s="45" t="str">
        <f>IF(Table2[[#This Row],[Description]]="","",DATE(Table2[[#This Row],[Year]],Table2[[#This Row],[Month]],1))</f>
        <v/>
      </c>
    </row>
    <row r="5405" spans="7:11" x14ac:dyDescent="0.25">
      <c r="G5405" s="1" t="str">
        <f>IF(Table2[[#This Row],[Description]]="","",VLOOKUP(Table2[[#This Row],[Description]],$Q$1:$S$101,2,FALSE))</f>
        <v/>
      </c>
      <c r="H5405" s="1" t="str">
        <f>IF(Table2[[#This Row],[Description]]="","",VLOOKUP(Table2[[#This Row],[Description]],$Q$1:$S$101,3,FALSE))</f>
        <v/>
      </c>
      <c r="I5405" s="1" t="str">
        <f>IF(Table2[[#This Row],[Description]]="","",IF(Table2[[#This Row],[Currency]]=$O$2,$P$2,HLOOKUP(Table2[[#This Row],[Date]],Funds!$C$10:$GV$11,2,FALSE)))</f>
        <v/>
      </c>
      <c r="J5405" s="215" t="str">
        <f>IF(Table2[[#This Row],[Description]]="","",Table2[[#This Row],[Value]]/Table2[[#This Row],[Conversion]])</f>
        <v/>
      </c>
      <c r="K5405" s="45" t="str">
        <f>IF(Table2[[#This Row],[Description]]="","",DATE(Table2[[#This Row],[Year]],Table2[[#This Row],[Month]],1))</f>
        <v/>
      </c>
    </row>
    <row r="5406" spans="7:11" x14ac:dyDescent="0.25">
      <c r="G5406" s="1" t="str">
        <f>IF(Table2[[#This Row],[Description]]="","",VLOOKUP(Table2[[#This Row],[Description]],$Q$1:$S$101,2,FALSE))</f>
        <v/>
      </c>
      <c r="H5406" s="1" t="str">
        <f>IF(Table2[[#This Row],[Description]]="","",VLOOKUP(Table2[[#This Row],[Description]],$Q$1:$S$101,3,FALSE))</f>
        <v/>
      </c>
      <c r="I5406" s="1" t="str">
        <f>IF(Table2[[#This Row],[Description]]="","",IF(Table2[[#This Row],[Currency]]=$O$2,$P$2,HLOOKUP(Table2[[#This Row],[Date]],Funds!$C$10:$GV$11,2,FALSE)))</f>
        <v/>
      </c>
      <c r="J5406" s="215" t="str">
        <f>IF(Table2[[#This Row],[Description]]="","",Table2[[#This Row],[Value]]/Table2[[#This Row],[Conversion]])</f>
        <v/>
      </c>
      <c r="K5406" s="45" t="str">
        <f>IF(Table2[[#This Row],[Description]]="","",DATE(Table2[[#This Row],[Year]],Table2[[#This Row],[Month]],1))</f>
        <v/>
      </c>
    </row>
    <row r="5407" spans="7:11" x14ac:dyDescent="0.25">
      <c r="G5407" s="1" t="str">
        <f>IF(Table2[[#This Row],[Description]]="","",VLOOKUP(Table2[[#This Row],[Description]],$Q$1:$S$101,2,FALSE))</f>
        <v/>
      </c>
      <c r="H5407" s="1" t="str">
        <f>IF(Table2[[#This Row],[Description]]="","",VLOOKUP(Table2[[#This Row],[Description]],$Q$1:$S$101,3,FALSE))</f>
        <v/>
      </c>
      <c r="I5407" s="1" t="str">
        <f>IF(Table2[[#This Row],[Description]]="","",IF(Table2[[#This Row],[Currency]]=$O$2,$P$2,HLOOKUP(Table2[[#This Row],[Date]],Funds!$C$10:$GV$11,2,FALSE)))</f>
        <v/>
      </c>
      <c r="J5407" s="215" t="str">
        <f>IF(Table2[[#This Row],[Description]]="","",Table2[[#This Row],[Value]]/Table2[[#This Row],[Conversion]])</f>
        <v/>
      </c>
      <c r="K5407" s="45" t="str">
        <f>IF(Table2[[#This Row],[Description]]="","",DATE(Table2[[#This Row],[Year]],Table2[[#This Row],[Month]],1))</f>
        <v/>
      </c>
    </row>
    <row r="5408" spans="7:11" x14ac:dyDescent="0.25">
      <c r="G5408" s="1" t="str">
        <f>IF(Table2[[#This Row],[Description]]="","",VLOOKUP(Table2[[#This Row],[Description]],$Q$1:$S$101,2,FALSE))</f>
        <v/>
      </c>
      <c r="H5408" s="1" t="str">
        <f>IF(Table2[[#This Row],[Description]]="","",VLOOKUP(Table2[[#This Row],[Description]],$Q$1:$S$101,3,FALSE))</f>
        <v/>
      </c>
      <c r="I5408" s="1" t="str">
        <f>IF(Table2[[#This Row],[Description]]="","",IF(Table2[[#This Row],[Currency]]=$O$2,$P$2,HLOOKUP(Table2[[#This Row],[Date]],Funds!$C$10:$GV$11,2,FALSE)))</f>
        <v/>
      </c>
      <c r="J5408" s="215" t="str">
        <f>IF(Table2[[#This Row],[Description]]="","",Table2[[#This Row],[Value]]/Table2[[#This Row],[Conversion]])</f>
        <v/>
      </c>
      <c r="K5408" s="45" t="str">
        <f>IF(Table2[[#This Row],[Description]]="","",DATE(Table2[[#This Row],[Year]],Table2[[#This Row],[Month]],1))</f>
        <v/>
      </c>
    </row>
    <row r="5409" spans="7:11" x14ac:dyDescent="0.25">
      <c r="G5409" s="1" t="str">
        <f>IF(Table2[[#This Row],[Description]]="","",VLOOKUP(Table2[[#This Row],[Description]],$Q$1:$S$101,2,FALSE))</f>
        <v/>
      </c>
      <c r="H5409" s="1" t="str">
        <f>IF(Table2[[#This Row],[Description]]="","",VLOOKUP(Table2[[#This Row],[Description]],$Q$1:$S$101,3,FALSE))</f>
        <v/>
      </c>
      <c r="I5409" s="1" t="str">
        <f>IF(Table2[[#This Row],[Description]]="","",IF(Table2[[#This Row],[Currency]]=$O$2,$P$2,HLOOKUP(Table2[[#This Row],[Date]],Funds!$C$10:$GV$11,2,FALSE)))</f>
        <v/>
      </c>
      <c r="J5409" s="215" t="str">
        <f>IF(Table2[[#This Row],[Description]]="","",Table2[[#This Row],[Value]]/Table2[[#This Row],[Conversion]])</f>
        <v/>
      </c>
      <c r="K5409" s="45" t="str">
        <f>IF(Table2[[#This Row],[Description]]="","",DATE(Table2[[#This Row],[Year]],Table2[[#This Row],[Month]],1))</f>
        <v/>
      </c>
    </row>
    <row r="5410" spans="7:11" x14ac:dyDescent="0.25">
      <c r="G5410" s="1" t="str">
        <f>IF(Table2[[#This Row],[Description]]="","",VLOOKUP(Table2[[#This Row],[Description]],$Q$1:$S$101,2,FALSE))</f>
        <v/>
      </c>
      <c r="H5410" s="1" t="str">
        <f>IF(Table2[[#This Row],[Description]]="","",VLOOKUP(Table2[[#This Row],[Description]],$Q$1:$S$101,3,FALSE))</f>
        <v/>
      </c>
      <c r="I5410" s="1" t="str">
        <f>IF(Table2[[#This Row],[Description]]="","",IF(Table2[[#This Row],[Currency]]=$O$2,$P$2,HLOOKUP(Table2[[#This Row],[Date]],Funds!$C$10:$GV$11,2,FALSE)))</f>
        <v/>
      </c>
      <c r="J5410" s="215" t="str">
        <f>IF(Table2[[#This Row],[Description]]="","",Table2[[#This Row],[Value]]/Table2[[#This Row],[Conversion]])</f>
        <v/>
      </c>
      <c r="K5410" s="45" t="str">
        <f>IF(Table2[[#This Row],[Description]]="","",DATE(Table2[[#This Row],[Year]],Table2[[#This Row],[Month]],1))</f>
        <v/>
      </c>
    </row>
    <row r="5411" spans="7:11" x14ac:dyDescent="0.25">
      <c r="G5411" s="1" t="str">
        <f>IF(Table2[[#This Row],[Description]]="","",VLOOKUP(Table2[[#This Row],[Description]],$Q$1:$S$101,2,FALSE))</f>
        <v/>
      </c>
      <c r="H5411" s="1" t="str">
        <f>IF(Table2[[#This Row],[Description]]="","",VLOOKUP(Table2[[#This Row],[Description]],$Q$1:$S$101,3,FALSE))</f>
        <v/>
      </c>
      <c r="I5411" s="1" t="str">
        <f>IF(Table2[[#This Row],[Description]]="","",IF(Table2[[#This Row],[Currency]]=$O$2,$P$2,HLOOKUP(Table2[[#This Row],[Date]],Funds!$C$10:$GV$11,2,FALSE)))</f>
        <v/>
      </c>
      <c r="J5411" s="215" t="str">
        <f>IF(Table2[[#This Row],[Description]]="","",Table2[[#This Row],[Value]]/Table2[[#This Row],[Conversion]])</f>
        <v/>
      </c>
      <c r="K5411" s="45" t="str">
        <f>IF(Table2[[#This Row],[Description]]="","",DATE(Table2[[#This Row],[Year]],Table2[[#This Row],[Month]],1))</f>
        <v/>
      </c>
    </row>
    <row r="5412" spans="7:11" x14ac:dyDescent="0.25">
      <c r="G5412" s="1" t="str">
        <f>IF(Table2[[#This Row],[Description]]="","",VLOOKUP(Table2[[#This Row],[Description]],$Q$1:$S$101,2,FALSE))</f>
        <v/>
      </c>
      <c r="H5412" s="1" t="str">
        <f>IF(Table2[[#This Row],[Description]]="","",VLOOKUP(Table2[[#This Row],[Description]],$Q$1:$S$101,3,FALSE))</f>
        <v/>
      </c>
      <c r="I5412" s="1" t="str">
        <f>IF(Table2[[#This Row],[Description]]="","",IF(Table2[[#This Row],[Currency]]=$O$2,$P$2,HLOOKUP(Table2[[#This Row],[Date]],Funds!$C$10:$GV$11,2,FALSE)))</f>
        <v/>
      </c>
      <c r="J5412" s="215" t="str">
        <f>IF(Table2[[#This Row],[Description]]="","",Table2[[#This Row],[Value]]/Table2[[#This Row],[Conversion]])</f>
        <v/>
      </c>
      <c r="K5412" s="45" t="str">
        <f>IF(Table2[[#This Row],[Description]]="","",DATE(Table2[[#This Row],[Year]],Table2[[#This Row],[Month]],1))</f>
        <v/>
      </c>
    </row>
    <row r="5413" spans="7:11" x14ac:dyDescent="0.25">
      <c r="G5413" s="1" t="str">
        <f>IF(Table2[[#This Row],[Description]]="","",VLOOKUP(Table2[[#This Row],[Description]],$Q$1:$S$101,2,FALSE))</f>
        <v/>
      </c>
      <c r="H5413" s="1" t="str">
        <f>IF(Table2[[#This Row],[Description]]="","",VLOOKUP(Table2[[#This Row],[Description]],$Q$1:$S$101,3,FALSE))</f>
        <v/>
      </c>
      <c r="I5413" s="1" t="str">
        <f>IF(Table2[[#This Row],[Description]]="","",IF(Table2[[#This Row],[Currency]]=$O$2,$P$2,HLOOKUP(Table2[[#This Row],[Date]],Funds!$C$10:$GV$11,2,FALSE)))</f>
        <v/>
      </c>
      <c r="J5413" s="215" t="str">
        <f>IF(Table2[[#This Row],[Description]]="","",Table2[[#This Row],[Value]]/Table2[[#This Row],[Conversion]])</f>
        <v/>
      </c>
      <c r="K5413" s="45" t="str">
        <f>IF(Table2[[#This Row],[Description]]="","",DATE(Table2[[#This Row],[Year]],Table2[[#This Row],[Month]],1))</f>
        <v/>
      </c>
    </row>
    <row r="5414" spans="7:11" x14ac:dyDescent="0.25">
      <c r="G5414" s="1" t="str">
        <f>IF(Table2[[#This Row],[Description]]="","",VLOOKUP(Table2[[#This Row],[Description]],$Q$1:$S$101,2,FALSE))</f>
        <v/>
      </c>
      <c r="H5414" s="1" t="str">
        <f>IF(Table2[[#This Row],[Description]]="","",VLOOKUP(Table2[[#This Row],[Description]],$Q$1:$S$101,3,FALSE))</f>
        <v/>
      </c>
      <c r="I5414" s="1" t="str">
        <f>IF(Table2[[#This Row],[Description]]="","",IF(Table2[[#This Row],[Currency]]=$O$2,$P$2,HLOOKUP(Table2[[#This Row],[Date]],Funds!$C$10:$GV$11,2,FALSE)))</f>
        <v/>
      </c>
      <c r="J5414" s="215" t="str">
        <f>IF(Table2[[#This Row],[Description]]="","",Table2[[#This Row],[Value]]/Table2[[#This Row],[Conversion]])</f>
        <v/>
      </c>
      <c r="K5414" s="45" t="str">
        <f>IF(Table2[[#This Row],[Description]]="","",DATE(Table2[[#This Row],[Year]],Table2[[#This Row],[Month]],1))</f>
        <v/>
      </c>
    </row>
    <row r="5415" spans="7:11" x14ac:dyDescent="0.25">
      <c r="G5415" s="1" t="str">
        <f>IF(Table2[[#This Row],[Description]]="","",VLOOKUP(Table2[[#This Row],[Description]],$Q$1:$S$101,2,FALSE))</f>
        <v/>
      </c>
      <c r="H5415" s="1" t="str">
        <f>IF(Table2[[#This Row],[Description]]="","",VLOOKUP(Table2[[#This Row],[Description]],$Q$1:$S$101,3,FALSE))</f>
        <v/>
      </c>
      <c r="I5415" s="1" t="str">
        <f>IF(Table2[[#This Row],[Description]]="","",IF(Table2[[#This Row],[Currency]]=$O$2,$P$2,HLOOKUP(Table2[[#This Row],[Date]],Funds!$C$10:$GV$11,2,FALSE)))</f>
        <v/>
      </c>
      <c r="J5415" s="215" t="str">
        <f>IF(Table2[[#This Row],[Description]]="","",Table2[[#This Row],[Value]]/Table2[[#This Row],[Conversion]])</f>
        <v/>
      </c>
      <c r="K5415" s="45" t="str">
        <f>IF(Table2[[#This Row],[Description]]="","",DATE(Table2[[#This Row],[Year]],Table2[[#This Row],[Month]],1))</f>
        <v/>
      </c>
    </row>
    <row r="5416" spans="7:11" x14ac:dyDescent="0.25">
      <c r="G5416" s="1" t="str">
        <f>IF(Table2[[#This Row],[Description]]="","",VLOOKUP(Table2[[#This Row],[Description]],$Q$1:$S$101,2,FALSE))</f>
        <v/>
      </c>
      <c r="H5416" s="1" t="str">
        <f>IF(Table2[[#This Row],[Description]]="","",VLOOKUP(Table2[[#This Row],[Description]],$Q$1:$S$101,3,FALSE))</f>
        <v/>
      </c>
      <c r="I5416" s="1" t="str">
        <f>IF(Table2[[#This Row],[Description]]="","",IF(Table2[[#This Row],[Currency]]=$O$2,$P$2,HLOOKUP(Table2[[#This Row],[Date]],Funds!$C$10:$GV$11,2,FALSE)))</f>
        <v/>
      </c>
      <c r="J5416" s="215" t="str">
        <f>IF(Table2[[#This Row],[Description]]="","",Table2[[#This Row],[Value]]/Table2[[#This Row],[Conversion]])</f>
        <v/>
      </c>
      <c r="K5416" s="45" t="str">
        <f>IF(Table2[[#This Row],[Description]]="","",DATE(Table2[[#This Row],[Year]],Table2[[#This Row],[Month]],1))</f>
        <v/>
      </c>
    </row>
    <row r="5417" spans="7:11" x14ac:dyDescent="0.25">
      <c r="G5417" s="1" t="str">
        <f>IF(Table2[[#This Row],[Description]]="","",VLOOKUP(Table2[[#This Row],[Description]],$Q$1:$S$101,2,FALSE))</f>
        <v/>
      </c>
      <c r="H5417" s="1" t="str">
        <f>IF(Table2[[#This Row],[Description]]="","",VLOOKUP(Table2[[#This Row],[Description]],$Q$1:$S$101,3,FALSE))</f>
        <v/>
      </c>
      <c r="I5417" s="1" t="str">
        <f>IF(Table2[[#This Row],[Description]]="","",IF(Table2[[#This Row],[Currency]]=$O$2,$P$2,HLOOKUP(Table2[[#This Row],[Date]],Funds!$C$10:$GV$11,2,FALSE)))</f>
        <v/>
      </c>
      <c r="J5417" s="215" t="str">
        <f>IF(Table2[[#This Row],[Description]]="","",Table2[[#This Row],[Value]]/Table2[[#This Row],[Conversion]])</f>
        <v/>
      </c>
      <c r="K5417" s="45" t="str">
        <f>IF(Table2[[#This Row],[Description]]="","",DATE(Table2[[#This Row],[Year]],Table2[[#This Row],[Month]],1))</f>
        <v/>
      </c>
    </row>
    <row r="5418" spans="7:11" x14ac:dyDescent="0.25">
      <c r="G5418" s="1" t="str">
        <f>IF(Table2[[#This Row],[Description]]="","",VLOOKUP(Table2[[#This Row],[Description]],$Q$1:$S$101,2,FALSE))</f>
        <v/>
      </c>
      <c r="H5418" s="1" t="str">
        <f>IF(Table2[[#This Row],[Description]]="","",VLOOKUP(Table2[[#This Row],[Description]],$Q$1:$S$101,3,FALSE))</f>
        <v/>
      </c>
      <c r="I5418" s="1" t="str">
        <f>IF(Table2[[#This Row],[Description]]="","",IF(Table2[[#This Row],[Currency]]=$O$2,$P$2,HLOOKUP(Table2[[#This Row],[Date]],Funds!$C$10:$GV$11,2,FALSE)))</f>
        <v/>
      </c>
      <c r="J5418" s="215" t="str">
        <f>IF(Table2[[#This Row],[Description]]="","",Table2[[#This Row],[Value]]/Table2[[#This Row],[Conversion]])</f>
        <v/>
      </c>
      <c r="K5418" s="45" t="str">
        <f>IF(Table2[[#This Row],[Description]]="","",DATE(Table2[[#This Row],[Year]],Table2[[#This Row],[Month]],1))</f>
        <v/>
      </c>
    </row>
    <row r="5419" spans="7:11" x14ac:dyDescent="0.25">
      <c r="G5419" s="1" t="str">
        <f>IF(Table2[[#This Row],[Description]]="","",VLOOKUP(Table2[[#This Row],[Description]],$Q$1:$S$101,2,FALSE))</f>
        <v/>
      </c>
      <c r="H5419" s="1" t="str">
        <f>IF(Table2[[#This Row],[Description]]="","",VLOOKUP(Table2[[#This Row],[Description]],$Q$1:$S$101,3,FALSE))</f>
        <v/>
      </c>
      <c r="I5419" s="1" t="str">
        <f>IF(Table2[[#This Row],[Description]]="","",IF(Table2[[#This Row],[Currency]]=$O$2,$P$2,HLOOKUP(Table2[[#This Row],[Date]],Funds!$C$10:$GV$11,2,FALSE)))</f>
        <v/>
      </c>
      <c r="J5419" s="215" t="str">
        <f>IF(Table2[[#This Row],[Description]]="","",Table2[[#This Row],[Value]]/Table2[[#This Row],[Conversion]])</f>
        <v/>
      </c>
      <c r="K5419" s="45" t="str">
        <f>IF(Table2[[#This Row],[Description]]="","",DATE(Table2[[#This Row],[Year]],Table2[[#This Row],[Month]],1))</f>
        <v/>
      </c>
    </row>
    <row r="5420" spans="7:11" x14ac:dyDescent="0.25">
      <c r="G5420" s="1" t="str">
        <f>IF(Table2[[#This Row],[Description]]="","",VLOOKUP(Table2[[#This Row],[Description]],$Q$1:$S$101,2,FALSE))</f>
        <v/>
      </c>
      <c r="H5420" s="1" t="str">
        <f>IF(Table2[[#This Row],[Description]]="","",VLOOKUP(Table2[[#This Row],[Description]],$Q$1:$S$101,3,FALSE))</f>
        <v/>
      </c>
      <c r="I5420" s="1" t="str">
        <f>IF(Table2[[#This Row],[Description]]="","",IF(Table2[[#This Row],[Currency]]=$O$2,$P$2,HLOOKUP(Table2[[#This Row],[Date]],Funds!$C$10:$GV$11,2,FALSE)))</f>
        <v/>
      </c>
      <c r="J5420" s="215" t="str">
        <f>IF(Table2[[#This Row],[Description]]="","",Table2[[#This Row],[Value]]/Table2[[#This Row],[Conversion]])</f>
        <v/>
      </c>
      <c r="K5420" s="45" t="str">
        <f>IF(Table2[[#This Row],[Description]]="","",DATE(Table2[[#This Row],[Year]],Table2[[#This Row],[Month]],1))</f>
        <v/>
      </c>
    </row>
    <row r="5421" spans="7:11" x14ac:dyDescent="0.25">
      <c r="G5421" s="1" t="str">
        <f>IF(Table2[[#This Row],[Description]]="","",VLOOKUP(Table2[[#This Row],[Description]],$Q$1:$S$101,2,FALSE))</f>
        <v/>
      </c>
      <c r="H5421" s="1" t="str">
        <f>IF(Table2[[#This Row],[Description]]="","",VLOOKUP(Table2[[#This Row],[Description]],$Q$1:$S$101,3,FALSE))</f>
        <v/>
      </c>
      <c r="I5421" s="1" t="str">
        <f>IF(Table2[[#This Row],[Description]]="","",IF(Table2[[#This Row],[Currency]]=$O$2,$P$2,HLOOKUP(Table2[[#This Row],[Date]],Funds!$C$10:$GV$11,2,FALSE)))</f>
        <v/>
      </c>
      <c r="J5421" s="215" t="str">
        <f>IF(Table2[[#This Row],[Description]]="","",Table2[[#This Row],[Value]]/Table2[[#This Row],[Conversion]])</f>
        <v/>
      </c>
      <c r="K5421" s="45" t="str">
        <f>IF(Table2[[#This Row],[Description]]="","",DATE(Table2[[#This Row],[Year]],Table2[[#This Row],[Month]],1))</f>
        <v/>
      </c>
    </row>
    <row r="5422" spans="7:11" x14ac:dyDescent="0.25">
      <c r="G5422" s="1" t="str">
        <f>IF(Table2[[#This Row],[Description]]="","",VLOOKUP(Table2[[#This Row],[Description]],$Q$1:$S$101,2,FALSE))</f>
        <v/>
      </c>
      <c r="H5422" s="1" t="str">
        <f>IF(Table2[[#This Row],[Description]]="","",VLOOKUP(Table2[[#This Row],[Description]],$Q$1:$S$101,3,FALSE))</f>
        <v/>
      </c>
      <c r="I5422" s="1" t="str">
        <f>IF(Table2[[#This Row],[Description]]="","",IF(Table2[[#This Row],[Currency]]=$O$2,$P$2,HLOOKUP(Table2[[#This Row],[Date]],Funds!$C$10:$GV$11,2,FALSE)))</f>
        <v/>
      </c>
      <c r="J5422" s="215" t="str">
        <f>IF(Table2[[#This Row],[Description]]="","",Table2[[#This Row],[Value]]/Table2[[#This Row],[Conversion]])</f>
        <v/>
      </c>
      <c r="K5422" s="45" t="str">
        <f>IF(Table2[[#This Row],[Description]]="","",DATE(Table2[[#This Row],[Year]],Table2[[#This Row],[Month]],1))</f>
        <v/>
      </c>
    </row>
    <row r="5423" spans="7:11" x14ac:dyDescent="0.25">
      <c r="G5423" s="1" t="str">
        <f>IF(Table2[[#This Row],[Description]]="","",VLOOKUP(Table2[[#This Row],[Description]],$Q$1:$S$101,2,FALSE))</f>
        <v/>
      </c>
      <c r="H5423" s="1" t="str">
        <f>IF(Table2[[#This Row],[Description]]="","",VLOOKUP(Table2[[#This Row],[Description]],$Q$1:$S$101,3,FALSE))</f>
        <v/>
      </c>
      <c r="I5423" s="1" t="str">
        <f>IF(Table2[[#This Row],[Description]]="","",IF(Table2[[#This Row],[Currency]]=$O$2,$P$2,HLOOKUP(Table2[[#This Row],[Date]],Funds!$C$10:$GV$11,2,FALSE)))</f>
        <v/>
      </c>
      <c r="J5423" s="215" t="str">
        <f>IF(Table2[[#This Row],[Description]]="","",Table2[[#This Row],[Value]]/Table2[[#This Row],[Conversion]])</f>
        <v/>
      </c>
      <c r="K5423" s="45" t="str">
        <f>IF(Table2[[#This Row],[Description]]="","",DATE(Table2[[#This Row],[Year]],Table2[[#This Row],[Month]],1))</f>
        <v/>
      </c>
    </row>
    <row r="5424" spans="7:11" x14ac:dyDescent="0.25">
      <c r="G5424" s="1" t="str">
        <f>IF(Table2[[#This Row],[Description]]="","",VLOOKUP(Table2[[#This Row],[Description]],$Q$1:$S$101,2,FALSE))</f>
        <v/>
      </c>
      <c r="H5424" s="1" t="str">
        <f>IF(Table2[[#This Row],[Description]]="","",VLOOKUP(Table2[[#This Row],[Description]],$Q$1:$S$101,3,FALSE))</f>
        <v/>
      </c>
      <c r="I5424" s="1" t="str">
        <f>IF(Table2[[#This Row],[Description]]="","",IF(Table2[[#This Row],[Currency]]=$O$2,$P$2,HLOOKUP(Table2[[#This Row],[Date]],Funds!$C$10:$GV$11,2,FALSE)))</f>
        <v/>
      </c>
      <c r="J5424" s="215" t="str">
        <f>IF(Table2[[#This Row],[Description]]="","",Table2[[#This Row],[Value]]/Table2[[#This Row],[Conversion]])</f>
        <v/>
      </c>
      <c r="K5424" s="45" t="str">
        <f>IF(Table2[[#This Row],[Description]]="","",DATE(Table2[[#This Row],[Year]],Table2[[#This Row],[Month]],1))</f>
        <v/>
      </c>
    </row>
    <row r="5425" spans="7:11" x14ac:dyDescent="0.25">
      <c r="G5425" s="1" t="str">
        <f>IF(Table2[[#This Row],[Description]]="","",VLOOKUP(Table2[[#This Row],[Description]],$Q$1:$S$101,2,FALSE))</f>
        <v/>
      </c>
      <c r="H5425" s="1" t="str">
        <f>IF(Table2[[#This Row],[Description]]="","",VLOOKUP(Table2[[#This Row],[Description]],$Q$1:$S$101,3,FALSE))</f>
        <v/>
      </c>
      <c r="I5425" s="1" t="str">
        <f>IF(Table2[[#This Row],[Description]]="","",IF(Table2[[#This Row],[Currency]]=$O$2,$P$2,HLOOKUP(Table2[[#This Row],[Date]],Funds!$C$10:$GV$11,2,FALSE)))</f>
        <v/>
      </c>
      <c r="J5425" s="215" t="str">
        <f>IF(Table2[[#This Row],[Description]]="","",Table2[[#This Row],[Value]]/Table2[[#This Row],[Conversion]])</f>
        <v/>
      </c>
      <c r="K5425" s="45" t="str">
        <f>IF(Table2[[#This Row],[Description]]="","",DATE(Table2[[#This Row],[Year]],Table2[[#This Row],[Month]],1))</f>
        <v/>
      </c>
    </row>
    <row r="5426" spans="7:11" x14ac:dyDescent="0.25">
      <c r="G5426" s="1" t="str">
        <f>IF(Table2[[#This Row],[Description]]="","",VLOOKUP(Table2[[#This Row],[Description]],$Q$1:$S$101,2,FALSE))</f>
        <v/>
      </c>
      <c r="H5426" s="1" t="str">
        <f>IF(Table2[[#This Row],[Description]]="","",VLOOKUP(Table2[[#This Row],[Description]],$Q$1:$S$101,3,FALSE))</f>
        <v/>
      </c>
      <c r="I5426" s="1" t="str">
        <f>IF(Table2[[#This Row],[Description]]="","",IF(Table2[[#This Row],[Currency]]=$O$2,$P$2,HLOOKUP(Table2[[#This Row],[Date]],Funds!$C$10:$GV$11,2,FALSE)))</f>
        <v/>
      </c>
      <c r="J5426" s="215" t="str">
        <f>IF(Table2[[#This Row],[Description]]="","",Table2[[#This Row],[Value]]/Table2[[#This Row],[Conversion]])</f>
        <v/>
      </c>
      <c r="K5426" s="45" t="str">
        <f>IF(Table2[[#This Row],[Description]]="","",DATE(Table2[[#This Row],[Year]],Table2[[#This Row],[Month]],1))</f>
        <v/>
      </c>
    </row>
    <row r="5427" spans="7:11" x14ac:dyDescent="0.25">
      <c r="G5427" s="1" t="str">
        <f>IF(Table2[[#This Row],[Description]]="","",VLOOKUP(Table2[[#This Row],[Description]],$Q$1:$S$101,2,FALSE))</f>
        <v/>
      </c>
      <c r="H5427" s="1" t="str">
        <f>IF(Table2[[#This Row],[Description]]="","",VLOOKUP(Table2[[#This Row],[Description]],$Q$1:$S$101,3,FALSE))</f>
        <v/>
      </c>
      <c r="I5427" s="1" t="str">
        <f>IF(Table2[[#This Row],[Description]]="","",IF(Table2[[#This Row],[Currency]]=$O$2,$P$2,HLOOKUP(Table2[[#This Row],[Date]],Funds!$C$10:$GV$11,2,FALSE)))</f>
        <v/>
      </c>
      <c r="J5427" s="215" t="str">
        <f>IF(Table2[[#This Row],[Description]]="","",Table2[[#This Row],[Value]]/Table2[[#This Row],[Conversion]])</f>
        <v/>
      </c>
      <c r="K5427" s="45" t="str">
        <f>IF(Table2[[#This Row],[Description]]="","",DATE(Table2[[#This Row],[Year]],Table2[[#This Row],[Month]],1))</f>
        <v/>
      </c>
    </row>
    <row r="5428" spans="7:11" x14ac:dyDescent="0.25">
      <c r="G5428" s="1" t="str">
        <f>IF(Table2[[#This Row],[Description]]="","",VLOOKUP(Table2[[#This Row],[Description]],$Q$1:$S$101,2,FALSE))</f>
        <v/>
      </c>
      <c r="H5428" s="1" t="str">
        <f>IF(Table2[[#This Row],[Description]]="","",VLOOKUP(Table2[[#This Row],[Description]],$Q$1:$S$101,3,FALSE))</f>
        <v/>
      </c>
      <c r="I5428" s="1" t="str">
        <f>IF(Table2[[#This Row],[Description]]="","",IF(Table2[[#This Row],[Currency]]=$O$2,$P$2,HLOOKUP(Table2[[#This Row],[Date]],Funds!$C$10:$GV$11,2,FALSE)))</f>
        <v/>
      </c>
      <c r="J5428" s="215" t="str">
        <f>IF(Table2[[#This Row],[Description]]="","",Table2[[#This Row],[Value]]/Table2[[#This Row],[Conversion]])</f>
        <v/>
      </c>
      <c r="K5428" s="45" t="str">
        <f>IF(Table2[[#This Row],[Description]]="","",DATE(Table2[[#This Row],[Year]],Table2[[#This Row],[Month]],1))</f>
        <v/>
      </c>
    </row>
    <row r="5429" spans="7:11" x14ac:dyDescent="0.25">
      <c r="G5429" s="1" t="str">
        <f>IF(Table2[[#This Row],[Description]]="","",VLOOKUP(Table2[[#This Row],[Description]],$Q$1:$S$101,2,FALSE))</f>
        <v/>
      </c>
      <c r="H5429" s="1" t="str">
        <f>IF(Table2[[#This Row],[Description]]="","",VLOOKUP(Table2[[#This Row],[Description]],$Q$1:$S$101,3,FALSE))</f>
        <v/>
      </c>
      <c r="I5429" s="1" t="str">
        <f>IF(Table2[[#This Row],[Description]]="","",IF(Table2[[#This Row],[Currency]]=$O$2,$P$2,HLOOKUP(Table2[[#This Row],[Date]],Funds!$C$10:$GV$11,2,FALSE)))</f>
        <v/>
      </c>
      <c r="J5429" s="215" t="str">
        <f>IF(Table2[[#This Row],[Description]]="","",Table2[[#This Row],[Value]]/Table2[[#This Row],[Conversion]])</f>
        <v/>
      </c>
      <c r="K5429" s="45" t="str">
        <f>IF(Table2[[#This Row],[Description]]="","",DATE(Table2[[#This Row],[Year]],Table2[[#This Row],[Month]],1))</f>
        <v/>
      </c>
    </row>
    <row r="5430" spans="7:11" x14ac:dyDescent="0.25">
      <c r="G5430" s="1" t="str">
        <f>IF(Table2[[#This Row],[Description]]="","",VLOOKUP(Table2[[#This Row],[Description]],$Q$1:$S$101,2,FALSE))</f>
        <v/>
      </c>
      <c r="H5430" s="1" t="str">
        <f>IF(Table2[[#This Row],[Description]]="","",VLOOKUP(Table2[[#This Row],[Description]],$Q$1:$S$101,3,FALSE))</f>
        <v/>
      </c>
      <c r="I5430" s="1" t="str">
        <f>IF(Table2[[#This Row],[Description]]="","",IF(Table2[[#This Row],[Currency]]=$O$2,$P$2,HLOOKUP(Table2[[#This Row],[Date]],Funds!$C$10:$GV$11,2,FALSE)))</f>
        <v/>
      </c>
      <c r="J5430" s="215" t="str">
        <f>IF(Table2[[#This Row],[Description]]="","",Table2[[#This Row],[Value]]/Table2[[#This Row],[Conversion]])</f>
        <v/>
      </c>
      <c r="K5430" s="45" t="str">
        <f>IF(Table2[[#This Row],[Description]]="","",DATE(Table2[[#This Row],[Year]],Table2[[#This Row],[Month]],1))</f>
        <v/>
      </c>
    </row>
    <row r="5431" spans="7:11" x14ac:dyDescent="0.25">
      <c r="G5431" s="1" t="str">
        <f>IF(Table2[[#This Row],[Description]]="","",VLOOKUP(Table2[[#This Row],[Description]],$Q$1:$S$101,2,FALSE))</f>
        <v/>
      </c>
      <c r="H5431" s="1" t="str">
        <f>IF(Table2[[#This Row],[Description]]="","",VLOOKUP(Table2[[#This Row],[Description]],$Q$1:$S$101,3,FALSE))</f>
        <v/>
      </c>
      <c r="I5431" s="1" t="str">
        <f>IF(Table2[[#This Row],[Description]]="","",IF(Table2[[#This Row],[Currency]]=$O$2,$P$2,HLOOKUP(Table2[[#This Row],[Date]],Funds!$C$10:$GV$11,2,FALSE)))</f>
        <v/>
      </c>
      <c r="J5431" s="215" t="str">
        <f>IF(Table2[[#This Row],[Description]]="","",Table2[[#This Row],[Value]]/Table2[[#This Row],[Conversion]])</f>
        <v/>
      </c>
      <c r="K5431" s="45" t="str">
        <f>IF(Table2[[#This Row],[Description]]="","",DATE(Table2[[#This Row],[Year]],Table2[[#This Row],[Month]],1))</f>
        <v/>
      </c>
    </row>
    <row r="5432" spans="7:11" x14ac:dyDescent="0.25">
      <c r="G5432" s="1" t="str">
        <f>IF(Table2[[#This Row],[Description]]="","",VLOOKUP(Table2[[#This Row],[Description]],$Q$1:$S$101,2,FALSE))</f>
        <v/>
      </c>
      <c r="H5432" s="1" t="str">
        <f>IF(Table2[[#This Row],[Description]]="","",VLOOKUP(Table2[[#This Row],[Description]],$Q$1:$S$101,3,FALSE))</f>
        <v/>
      </c>
      <c r="I5432" s="1" t="str">
        <f>IF(Table2[[#This Row],[Description]]="","",IF(Table2[[#This Row],[Currency]]=$O$2,$P$2,HLOOKUP(Table2[[#This Row],[Date]],Funds!$C$10:$GV$11,2,FALSE)))</f>
        <v/>
      </c>
      <c r="J5432" s="215" t="str">
        <f>IF(Table2[[#This Row],[Description]]="","",Table2[[#This Row],[Value]]/Table2[[#This Row],[Conversion]])</f>
        <v/>
      </c>
      <c r="K5432" s="45" t="str">
        <f>IF(Table2[[#This Row],[Description]]="","",DATE(Table2[[#This Row],[Year]],Table2[[#This Row],[Month]],1))</f>
        <v/>
      </c>
    </row>
    <row r="5433" spans="7:11" x14ac:dyDescent="0.25">
      <c r="G5433" s="1" t="str">
        <f>IF(Table2[[#This Row],[Description]]="","",VLOOKUP(Table2[[#This Row],[Description]],$Q$1:$S$101,2,FALSE))</f>
        <v/>
      </c>
      <c r="H5433" s="1" t="str">
        <f>IF(Table2[[#This Row],[Description]]="","",VLOOKUP(Table2[[#This Row],[Description]],$Q$1:$S$101,3,FALSE))</f>
        <v/>
      </c>
      <c r="I5433" s="1" t="str">
        <f>IF(Table2[[#This Row],[Description]]="","",IF(Table2[[#This Row],[Currency]]=$O$2,$P$2,HLOOKUP(Table2[[#This Row],[Date]],Funds!$C$10:$GV$11,2,FALSE)))</f>
        <v/>
      </c>
      <c r="J5433" s="215" t="str">
        <f>IF(Table2[[#This Row],[Description]]="","",Table2[[#This Row],[Value]]/Table2[[#This Row],[Conversion]])</f>
        <v/>
      </c>
      <c r="K5433" s="45" t="str">
        <f>IF(Table2[[#This Row],[Description]]="","",DATE(Table2[[#This Row],[Year]],Table2[[#This Row],[Month]],1))</f>
        <v/>
      </c>
    </row>
    <row r="5434" spans="7:11" x14ac:dyDescent="0.25">
      <c r="G5434" s="1" t="str">
        <f>IF(Table2[[#This Row],[Description]]="","",VLOOKUP(Table2[[#This Row],[Description]],$Q$1:$S$101,2,FALSE))</f>
        <v/>
      </c>
      <c r="H5434" s="1" t="str">
        <f>IF(Table2[[#This Row],[Description]]="","",VLOOKUP(Table2[[#This Row],[Description]],$Q$1:$S$101,3,FALSE))</f>
        <v/>
      </c>
      <c r="I5434" s="1" t="str">
        <f>IF(Table2[[#This Row],[Description]]="","",IF(Table2[[#This Row],[Currency]]=$O$2,$P$2,HLOOKUP(Table2[[#This Row],[Date]],Funds!$C$10:$GV$11,2,FALSE)))</f>
        <v/>
      </c>
      <c r="J5434" s="215" t="str">
        <f>IF(Table2[[#This Row],[Description]]="","",Table2[[#This Row],[Value]]/Table2[[#This Row],[Conversion]])</f>
        <v/>
      </c>
      <c r="K5434" s="45" t="str">
        <f>IF(Table2[[#This Row],[Description]]="","",DATE(Table2[[#This Row],[Year]],Table2[[#This Row],[Month]],1))</f>
        <v/>
      </c>
    </row>
    <row r="5435" spans="7:11" x14ac:dyDescent="0.25">
      <c r="G5435" s="1" t="str">
        <f>IF(Table2[[#This Row],[Description]]="","",VLOOKUP(Table2[[#This Row],[Description]],$Q$1:$S$101,2,FALSE))</f>
        <v/>
      </c>
      <c r="H5435" s="1" t="str">
        <f>IF(Table2[[#This Row],[Description]]="","",VLOOKUP(Table2[[#This Row],[Description]],$Q$1:$S$101,3,FALSE))</f>
        <v/>
      </c>
      <c r="I5435" s="1" t="str">
        <f>IF(Table2[[#This Row],[Description]]="","",IF(Table2[[#This Row],[Currency]]=$O$2,$P$2,HLOOKUP(Table2[[#This Row],[Date]],Funds!$C$10:$GV$11,2,FALSE)))</f>
        <v/>
      </c>
      <c r="J5435" s="215" t="str">
        <f>IF(Table2[[#This Row],[Description]]="","",Table2[[#This Row],[Value]]/Table2[[#This Row],[Conversion]])</f>
        <v/>
      </c>
      <c r="K5435" s="45" t="str">
        <f>IF(Table2[[#This Row],[Description]]="","",DATE(Table2[[#This Row],[Year]],Table2[[#This Row],[Month]],1))</f>
        <v/>
      </c>
    </row>
    <row r="5436" spans="7:11" x14ac:dyDescent="0.25">
      <c r="G5436" s="1" t="str">
        <f>IF(Table2[[#This Row],[Description]]="","",VLOOKUP(Table2[[#This Row],[Description]],$Q$1:$S$101,2,FALSE))</f>
        <v/>
      </c>
      <c r="H5436" s="1" t="str">
        <f>IF(Table2[[#This Row],[Description]]="","",VLOOKUP(Table2[[#This Row],[Description]],$Q$1:$S$101,3,FALSE))</f>
        <v/>
      </c>
      <c r="I5436" s="1" t="str">
        <f>IF(Table2[[#This Row],[Description]]="","",IF(Table2[[#This Row],[Currency]]=$O$2,$P$2,HLOOKUP(Table2[[#This Row],[Date]],Funds!$C$10:$GV$11,2,FALSE)))</f>
        <v/>
      </c>
      <c r="J5436" s="215" t="str">
        <f>IF(Table2[[#This Row],[Description]]="","",Table2[[#This Row],[Value]]/Table2[[#This Row],[Conversion]])</f>
        <v/>
      </c>
      <c r="K5436" s="45" t="str">
        <f>IF(Table2[[#This Row],[Description]]="","",DATE(Table2[[#This Row],[Year]],Table2[[#This Row],[Month]],1))</f>
        <v/>
      </c>
    </row>
    <row r="5437" spans="7:11" x14ac:dyDescent="0.25">
      <c r="G5437" s="1" t="str">
        <f>IF(Table2[[#This Row],[Description]]="","",VLOOKUP(Table2[[#This Row],[Description]],$Q$1:$S$101,2,FALSE))</f>
        <v/>
      </c>
      <c r="H5437" s="1" t="str">
        <f>IF(Table2[[#This Row],[Description]]="","",VLOOKUP(Table2[[#This Row],[Description]],$Q$1:$S$101,3,FALSE))</f>
        <v/>
      </c>
      <c r="I5437" s="1" t="str">
        <f>IF(Table2[[#This Row],[Description]]="","",IF(Table2[[#This Row],[Currency]]=$O$2,$P$2,HLOOKUP(Table2[[#This Row],[Date]],Funds!$C$10:$GV$11,2,FALSE)))</f>
        <v/>
      </c>
      <c r="J5437" s="215" t="str">
        <f>IF(Table2[[#This Row],[Description]]="","",Table2[[#This Row],[Value]]/Table2[[#This Row],[Conversion]])</f>
        <v/>
      </c>
      <c r="K5437" s="45" t="str">
        <f>IF(Table2[[#This Row],[Description]]="","",DATE(Table2[[#This Row],[Year]],Table2[[#This Row],[Month]],1))</f>
        <v/>
      </c>
    </row>
    <row r="5438" spans="7:11" x14ac:dyDescent="0.25">
      <c r="G5438" s="1" t="str">
        <f>IF(Table2[[#This Row],[Description]]="","",VLOOKUP(Table2[[#This Row],[Description]],$Q$1:$S$101,2,FALSE))</f>
        <v/>
      </c>
      <c r="H5438" s="1" t="str">
        <f>IF(Table2[[#This Row],[Description]]="","",VLOOKUP(Table2[[#This Row],[Description]],$Q$1:$S$101,3,FALSE))</f>
        <v/>
      </c>
      <c r="I5438" s="1" t="str">
        <f>IF(Table2[[#This Row],[Description]]="","",IF(Table2[[#This Row],[Currency]]=$O$2,$P$2,HLOOKUP(Table2[[#This Row],[Date]],Funds!$C$10:$GV$11,2,FALSE)))</f>
        <v/>
      </c>
      <c r="J5438" s="215" t="str">
        <f>IF(Table2[[#This Row],[Description]]="","",Table2[[#This Row],[Value]]/Table2[[#This Row],[Conversion]])</f>
        <v/>
      </c>
      <c r="K5438" s="45" t="str">
        <f>IF(Table2[[#This Row],[Description]]="","",DATE(Table2[[#This Row],[Year]],Table2[[#This Row],[Month]],1))</f>
        <v/>
      </c>
    </row>
    <row r="5439" spans="7:11" x14ac:dyDescent="0.25">
      <c r="G5439" s="1" t="str">
        <f>IF(Table2[[#This Row],[Description]]="","",VLOOKUP(Table2[[#This Row],[Description]],$Q$1:$S$101,2,FALSE))</f>
        <v/>
      </c>
      <c r="H5439" s="1" t="str">
        <f>IF(Table2[[#This Row],[Description]]="","",VLOOKUP(Table2[[#This Row],[Description]],$Q$1:$S$101,3,FALSE))</f>
        <v/>
      </c>
      <c r="I5439" s="1" t="str">
        <f>IF(Table2[[#This Row],[Description]]="","",IF(Table2[[#This Row],[Currency]]=$O$2,$P$2,HLOOKUP(Table2[[#This Row],[Date]],Funds!$C$10:$GV$11,2,FALSE)))</f>
        <v/>
      </c>
      <c r="J5439" s="215" t="str">
        <f>IF(Table2[[#This Row],[Description]]="","",Table2[[#This Row],[Value]]/Table2[[#This Row],[Conversion]])</f>
        <v/>
      </c>
      <c r="K5439" s="45" t="str">
        <f>IF(Table2[[#This Row],[Description]]="","",DATE(Table2[[#This Row],[Year]],Table2[[#This Row],[Month]],1))</f>
        <v/>
      </c>
    </row>
    <row r="5440" spans="7:11" x14ac:dyDescent="0.25">
      <c r="G5440" s="1" t="str">
        <f>IF(Table2[[#This Row],[Description]]="","",VLOOKUP(Table2[[#This Row],[Description]],$Q$1:$S$101,2,FALSE))</f>
        <v/>
      </c>
      <c r="H5440" s="1" t="str">
        <f>IF(Table2[[#This Row],[Description]]="","",VLOOKUP(Table2[[#This Row],[Description]],$Q$1:$S$101,3,FALSE))</f>
        <v/>
      </c>
      <c r="I5440" s="1" t="str">
        <f>IF(Table2[[#This Row],[Description]]="","",IF(Table2[[#This Row],[Currency]]=$O$2,$P$2,HLOOKUP(Table2[[#This Row],[Date]],Funds!$C$10:$GV$11,2,FALSE)))</f>
        <v/>
      </c>
      <c r="J5440" s="215" t="str">
        <f>IF(Table2[[#This Row],[Description]]="","",Table2[[#This Row],[Value]]/Table2[[#This Row],[Conversion]])</f>
        <v/>
      </c>
      <c r="K5440" s="45" t="str">
        <f>IF(Table2[[#This Row],[Description]]="","",DATE(Table2[[#This Row],[Year]],Table2[[#This Row],[Month]],1))</f>
        <v/>
      </c>
    </row>
    <row r="5441" spans="7:11" x14ac:dyDescent="0.25">
      <c r="G5441" s="1" t="str">
        <f>IF(Table2[[#This Row],[Description]]="","",VLOOKUP(Table2[[#This Row],[Description]],$Q$1:$S$101,2,FALSE))</f>
        <v/>
      </c>
      <c r="H5441" s="1" t="str">
        <f>IF(Table2[[#This Row],[Description]]="","",VLOOKUP(Table2[[#This Row],[Description]],$Q$1:$S$101,3,FALSE))</f>
        <v/>
      </c>
      <c r="I5441" s="1" t="str">
        <f>IF(Table2[[#This Row],[Description]]="","",IF(Table2[[#This Row],[Currency]]=$O$2,$P$2,HLOOKUP(Table2[[#This Row],[Date]],Funds!$C$10:$GV$11,2,FALSE)))</f>
        <v/>
      </c>
      <c r="J5441" s="215" t="str">
        <f>IF(Table2[[#This Row],[Description]]="","",Table2[[#This Row],[Value]]/Table2[[#This Row],[Conversion]])</f>
        <v/>
      </c>
      <c r="K5441" s="45" t="str">
        <f>IF(Table2[[#This Row],[Description]]="","",DATE(Table2[[#This Row],[Year]],Table2[[#This Row],[Month]],1))</f>
        <v/>
      </c>
    </row>
    <row r="5442" spans="7:11" x14ac:dyDescent="0.25">
      <c r="G5442" s="1" t="str">
        <f>IF(Table2[[#This Row],[Description]]="","",VLOOKUP(Table2[[#This Row],[Description]],$Q$1:$S$101,2,FALSE))</f>
        <v/>
      </c>
      <c r="H5442" s="1" t="str">
        <f>IF(Table2[[#This Row],[Description]]="","",VLOOKUP(Table2[[#This Row],[Description]],$Q$1:$S$101,3,FALSE))</f>
        <v/>
      </c>
      <c r="I5442" s="1" t="str">
        <f>IF(Table2[[#This Row],[Description]]="","",IF(Table2[[#This Row],[Currency]]=$O$2,$P$2,HLOOKUP(Table2[[#This Row],[Date]],Funds!$C$10:$GV$11,2,FALSE)))</f>
        <v/>
      </c>
      <c r="J5442" s="215" t="str">
        <f>IF(Table2[[#This Row],[Description]]="","",Table2[[#This Row],[Value]]/Table2[[#This Row],[Conversion]])</f>
        <v/>
      </c>
      <c r="K5442" s="45" t="str">
        <f>IF(Table2[[#This Row],[Description]]="","",DATE(Table2[[#This Row],[Year]],Table2[[#This Row],[Month]],1))</f>
        <v/>
      </c>
    </row>
    <row r="5443" spans="7:11" x14ac:dyDescent="0.25">
      <c r="G5443" s="1" t="str">
        <f>IF(Table2[[#This Row],[Description]]="","",VLOOKUP(Table2[[#This Row],[Description]],$Q$1:$S$101,2,FALSE))</f>
        <v/>
      </c>
      <c r="H5443" s="1" t="str">
        <f>IF(Table2[[#This Row],[Description]]="","",VLOOKUP(Table2[[#This Row],[Description]],$Q$1:$S$101,3,FALSE))</f>
        <v/>
      </c>
      <c r="I5443" s="1" t="str">
        <f>IF(Table2[[#This Row],[Description]]="","",IF(Table2[[#This Row],[Currency]]=$O$2,$P$2,HLOOKUP(Table2[[#This Row],[Date]],Funds!$C$10:$GV$11,2,FALSE)))</f>
        <v/>
      </c>
      <c r="J5443" s="215" t="str">
        <f>IF(Table2[[#This Row],[Description]]="","",Table2[[#This Row],[Value]]/Table2[[#This Row],[Conversion]])</f>
        <v/>
      </c>
      <c r="K5443" s="45" t="str">
        <f>IF(Table2[[#This Row],[Description]]="","",DATE(Table2[[#This Row],[Year]],Table2[[#This Row],[Month]],1))</f>
        <v/>
      </c>
    </row>
    <row r="5444" spans="7:11" x14ac:dyDescent="0.25">
      <c r="G5444" s="1" t="str">
        <f>IF(Table2[[#This Row],[Description]]="","",VLOOKUP(Table2[[#This Row],[Description]],$Q$1:$S$101,2,FALSE))</f>
        <v/>
      </c>
      <c r="H5444" s="1" t="str">
        <f>IF(Table2[[#This Row],[Description]]="","",VLOOKUP(Table2[[#This Row],[Description]],$Q$1:$S$101,3,FALSE))</f>
        <v/>
      </c>
      <c r="I5444" s="1" t="str">
        <f>IF(Table2[[#This Row],[Description]]="","",IF(Table2[[#This Row],[Currency]]=$O$2,$P$2,HLOOKUP(Table2[[#This Row],[Date]],Funds!$C$10:$GV$11,2,FALSE)))</f>
        <v/>
      </c>
      <c r="J5444" s="215" t="str">
        <f>IF(Table2[[#This Row],[Description]]="","",Table2[[#This Row],[Value]]/Table2[[#This Row],[Conversion]])</f>
        <v/>
      </c>
      <c r="K5444" s="45" t="str">
        <f>IF(Table2[[#This Row],[Description]]="","",DATE(Table2[[#This Row],[Year]],Table2[[#This Row],[Month]],1))</f>
        <v/>
      </c>
    </row>
    <row r="5445" spans="7:11" x14ac:dyDescent="0.25">
      <c r="G5445" s="1" t="str">
        <f>IF(Table2[[#This Row],[Description]]="","",VLOOKUP(Table2[[#This Row],[Description]],$Q$1:$S$101,2,FALSE))</f>
        <v/>
      </c>
      <c r="H5445" s="1" t="str">
        <f>IF(Table2[[#This Row],[Description]]="","",VLOOKUP(Table2[[#This Row],[Description]],$Q$1:$S$101,3,FALSE))</f>
        <v/>
      </c>
      <c r="I5445" s="1" t="str">
        <f>IF(Table2[[#This Row],[Description]]="","",IF(Table2[[#This Row],[Currency]]=$O$2,$P$2,HLOOKUP(Table2[[#This Row],[Date]],Funds!$C$10:$GV$11,2,FALSE)))</f>
        <v/>
      </c>
      <c r="J5445" s="215" t="str">
        <f>IF(Table2[[#This Row],[Description]]="","",Table2[[#This Row],[Value]]/Table2[[#This Row],[Conversion]])</f>
        <v/>
      </c>
      <c r="K5445" s="45" t="str">
        <f>IF(Table2[[#This Row],[Description]]="","",DATE(Table2[[#This Row],[Year]],Table2[[#This Row],[Month]],1))</f>
        <v/>
      </c>
    </row>
    <row r="5446" spans="7:11" x14ac:dyDescent="0.25">
      <c r="G5446" s="1" t="str">
        <f>IF(Table2[[#This Row],[Description]]="","",VLOOKUP(Table2[[#This Row],[Description]],$Q$1:$S$101,2,FALSE))</f>
        <v/>
      </c>
      <c r="H5446" s="1" t="str">
        <f>IF(Table2[[#This Row],[Description]]="","",VLOOKUP(Table2[[#This Row],[Description]],$Q$1:$S$101,3,FALSE))</f>
        <v/>
      </c>
      <c r="I5446" s="1" t="str">
        <f>IF(Table2[[#This Row],[Description]]="","",IF(Table2[[#This Row],[Currency]]=$O$2,$P$2,HLOOKUP(Table2[[#This Row],[Date]],Funds!$C$10:$GV$11,2,FALSE)))</f>
        <v/>
      </c>
      <c r="J5446" s="215" t="str">
        <f>IF(Table2[[#This Row],[Description]]="","",Table2[[#This Row],[Value]]/Table2[[#This Row],[Conversion]])</f>
        <v/>
      </c>
      <c r="K5446" s="45" t="str">
        <f>IF(Table2[[#This Row],[Description]]="","",DATE(Table2[[#This Row],[Year]],Table2[[#This Row],[Month]],1))</f>
        <v/>
      </c>
    </row>
    <row r="5447" spans="7:11" x14ac:dyDescent="0.25">
      <c r="G5447" s="1" t="str">
        <f>IF(Table2[[#This Row],[Description]]="","",VLOOKUP(Table2[[#This Row],[Description]],$Q$1:$S$101,2,FALSE))</f>
        <v/>
      </c>
      <c r="H5447" s="1" t="str">
        <f>IF(Table2[[#This Row],[Description]]="","",VLOOKUP(Table2[[#This Row],[Description]],$Q$1:$S$101,3,FALSE))</f>
        <v/>
      </c>
      <c r="I5447" s="1" t="str">
        <f>IF(Table2[[#This Row],[Description]]="","",IF(Table2[[#This Row],[Currency]]=$O$2,$P$2,HLOOKUP(Table2[[#This Row],[Date]],Funds!$C$10:$GV$11,2,FALSE)))</f>
        <v/>
      </c>
      <c r="J5447" s="215" t="str">
        <f>IF(Table2[[#This Row],[Description]]="","",Table2[[#This Row],[Value]]/Table2[[#This Row],[Conversion]])</f>
        <v/>
      </c>
      <c r="K5447" s="45" t="str">
        <f>IF(Table2[[#This Row],[Description]]="","",DATE(Table2[[#This Row],[Year]],Table2[[#This Row],[Month]],1))</f>
        <v/>
      </c>
    </row>
    <row r="5448" spans="7:11" x14ac:dyDescent="0.25">
      <c r="G5448" s="1" t="str">
        <f>IF(Table2[[#This Row],[Description]]="","",VLOOKUP(Table2[[#This Row],[Description]],$Q$1:$S$101,2,FALSE))</f>
        <v/>
      </c>
      <c r="H5448" s="1" t="str">
        <f>IF(Table2[[#This Row],[Description]]="","",VLOOKUP(Table2[[#This Row],[Description]],$Q$1:$S$101,3,FALSE))</f>
        <v/>
      </c>
      <c r="I5448" s="1" t="str">
        <f>IF(Table2[[#This Row],[Description]]="","",IF(Table2[[#This Row],[Currency]]=$O$2,$P$2,HLOOKUP(Table2[[#This Row],[Date]],Funds!$C$10:$GV$11,2,FALSE)))</f>
        <v/>
      </c>
      <c r="J5448" s="215" t="str">
        <f>IF(Table2[[#This Row],[Description]]="","",Table2[[#This Row],[Value]]/Table2[[#This Row],[Conversion]])</f>
        <v/>
      </c>
      <c r="K5448" s="45" t="str">
        <f>IF(Table2[[#This Row],[Description]]="","",DATE(Table2[[#This Row],[Year]],Table2[[#This Row],[Month]],1))</f>
        <v/>
      </c>
    </row>
    <row r="5449" spans="7:11" x14ac:dyDescent="0.25">
      <c r="G5449" s="1" t="str">
        <f>IF(Table2[[#This Row],[Description]]="","",VLOOKUP(Table2[[#This Row],[Description]],$Q$1:$S$101,2,FALSE))</f>
        <v/>
      </c>
      <c r="H5449" s="1" t="str">
        <f>IF(Table2[[#This Row],[Description]]="","",VLOOKUP(Table2[[#This Row],[Description]],$Q$1:$S$101,3,FALSE))</f>
        <v/>
      </c>
      <c r="I5449" s="1" t="str">
        <f>IF(Table2[[#This Row],[Description]]="","",IF(Table2[[#This Row],[Currency]]=$O$2,$P$2,HLOOKUP(Table2[[#This Row],[Date]],Funds!$C$10:$GV$11,2,FALSE)))</f>
        <v/>
      </c>
      <c r="J5449" s="215" t="str">
        <f>IF(Table2[[#This Row],[Description]]="","",Table2[[#This Row],[Value]]/Table2[[#This Row],[Conversion]])</f>
        <v/>
      </c>
      <c r="K5449" s="45" t="str">
        <f>IF(Table2[[#This Row],[Description]]="","",DATE(Table2[[#This Row],[Year]],Table2[[#This Row],[Month]],1))</f>
        <v/>
      </c>
    </row>
    <row r="5450" spans="7:11" x14ac:dyDescent="0.25">
      <c r="G5450" s="1" t="str">
        <f>IF(Table2[[#This Row],[Description]]="","",VLOOKUP(Table2[[#This Row],[Description]],$Q$1:$S$101,2,FALSE))</f>
        <v/>
      </c>
      <c r="H5450" s="1" t="str">
        <f>IF(Table2[[#This Row],[Description]]="","",VLOOKUP(Table2[[#This Row],[Description]],$Q$1:$S$101,3,FALSE))</f>
        <v/>
      </c>
      <c r="I5450" s="1" t="str">
        <f>IF(Table2[[#This Row],[Description]]="","",IF(Table2[[#This Row],[Currency]]=$O$2,$P$2,HLOOKUP(Table2[[#This Row],[Date]],Funds!$C$10:$GV$11,2,FALSE)))</f>
        <v/>
      </c>
      <c r="J5450" s="215" t="str">
        <f>IF(Table2[[#This Row],[Description]]="","",Table2[[#This Row],[Value]]/Table2[[#This Row],[Conversion]])</f>
        <v/>
      </c>
      <c r="K5450" s="45" t="str">
        <f>IF(Table2[[#This Row],[Description]]="","",DATE(Table2[[#This Row],[Year]],Table2[[#This Row],[Month]],1))</f>
        <v/>
      </c>
    </row>
    <row r="5451" spans="7:11" x14ac:dyDescent="0.25">
      <c r="G5451" s="1" t="str">
        <f>IF(Table2[[#This Row],[Description]]="","",VLOOKUP(Table2[[#This Row],[Description]],$Q$1:$S$101,2,FALSE))</f>
        <v/>
      </c>
      <c r="H5451" s="1" t="str">
        <f>IF(Table2[[#This Row],[Description]]="","",VLOOKUP(Table2[[#This Row],[Description]],$Q$1:$S$101,3,FALSE))</f>
        <v/>
      </c>
      <c r="I5451" s="1" t="str">
        <f>IF(Table2[[#This Row],[Description]]="","",IF(Table2[[#This Row],[Currency]]=$O$2,$P$2,HLOOKUP(Table2[[#This Row],[Date]],Funds!$C$10:$GV$11,2,FALSE)))</f>
        <v/>
      </c>
      <c r="J5451" s="215" t="str">
        <f>IF(Table2[[#This Row],[Description]]="","",Table2[[#This Row],[Value]]/Table2[[#This Row],[Conversion]])</f>
        <v/>
      </c>
      <c r="K5451" s="45" t="str">
        <f>IF(Table2[[#This Row],[Description]]="","",DATE(Table2[[#This Row],[Year]],Table2[[#This Row],[Month]],1))</f>
        <v/>
      </c>
    </row>
    <row r="5452" spans="7:11" x14ac:dyDescent="0.25">
      <c r="G5452" s="1" t="str">
        <f>IF(Table2[[#This Row],[Description]]="","",VLOOKUP(Table2[[#This Row],[Description]],$Q$1:$S$101,2,FALSE))</f>
        <v/>
      </c>
      <c r="H5452" s="1" t="str">
        <f>IF(Table2[[#This Row],[Description]]="","",VLOOKUP(Table2[[#This Row],[Description]],$Q$1:$S$101,3,FALSE))</f>
        <v/>
      </c>
      <c r="I5452" s="1" t="str">
        <f>IF(Table2[[#This Row],[Description]]="","",IF(Table2[[#This Row],[Currency]]=$O$2,$P$2,HLOOKUP(Table2[[#This Row],[Date]],Funds!$C$10:$GV$11,2,FALSE)))</f>
        <v/>
      </c>
      <c r="J5452" s="215" t="str">
        <f>IF(Table2[[#This Row],[Description]]="","",Table2[[#This Row],[Value]]/Table2[[#This Row],[Conversion]])</f>
        <v/>
      </c>
      <c r="K5452" s="45" t="str">
        <f>IF(Table2[[#This Row],[Description]]="","",DATE(Table2[[#This Row],[Year]],Table2[[#This Row],[Month]],1))</f>
        <v/>
      </c>
    </row>
    <row r="5453" spans="7:11" x14ac:dyDescent="0.25">
      <c r="G5453" s="1" t="str">
        <f>IF(Table2[[#This Row],[Description]]="","",VLOOKUP(Table2[[#This Row],[Description]],$Q$1:$S$101,2,FALSE))</f>
        <v/>
      </c>
      <c r="H5453" s="1" t="str">
        <f>IF(Table2[[#This Row],[Description]]="","",VLOOKUP(Table2[[#This Row],[Description]],$Q$1:$S$101,3,FALSE))</f>
        <v/>
      </c>
      <c r="I5453" s="1" t="str">
        <f>IF(Table2[[#This Row],[Description]]="","",IF(Table2[[#This Row],[Currency]]=$O$2,$P$2,HLOOKUP(Table2[[#This Row],[Date]],Funds!$C$10:$GV$11,2,FALSE)))</f>
        <v/>
      </c>
      <c r="J5453" s="215" t="str">
        <f>IF(Table2[[#This Row],[Description]]="","",Table2[[#This Row],[Value]]/Table2[[#This Row],[Conversion]])</f>
        <v/>
      </c>
      <c r="K5453" s="45" t="str">
        <f>IF(Table2[[#This Row],[Description]]="","",DATE(Table2[[#This Row],[Year]],Table2[[#This Row],[Month]],1))</f>
        <v/>
      </c>
    </row>
    <row r="5454" spans="7:11" x14ac:dyDescent="0.25">
      <c r="G5454" s="1" t="str">
        <f>IF(Table2[[#This Row],[Description]]="","",VLOOKUP(Table2[[#This Row],[Description]],$Q$1:$S$101,2,FALSE))</f>
        <v/>
      </c>
      <c r="H5454" s="1" t="str">
        <f>IF(Table2[[#This Row],[Description]]="","",VLOOKUP(Table2[[#This Row],[Description]],$Q$1:$S$101,3,FALSE))</f>
        <v/>
      </c>
      <c r="I5454" s="1" t="str">
        <f>IF(Table2[[#This Row],[Description]]="","",IF(Table2[[#This Row],[Currency]]=$O$2,$P$2,HLOOKUP(Table2[[#This Row],[Date]],Funds!$C$10:$GV$11,2,FALSE)))</f>
        <v/>
      </c>
      <c r="J5454" s="215" t="str">
        <f>IF(Table2[[#This Row],[Description]]="","",Table2[[#This Row],[Value]]/Table2[[#This Row],[Conversion]])</f>
        <v/>
      </c>
      <c r="K5454" s="45" t="str">
        <f>IF(Table2[[#This Row],[Description]]="","",DATE(Table2[[#This Row],[Year]],Table2[[#This Row],[Month]],1))</f>
        <v/>
      </c>
    </row>
    <row r="5455" spans="7:11" x14ac:dyDescent="0.25">
      <c r="G5455" s="1" t="str">
        <f>IF(Table2[[#This Row],[Description]]="","",VLOOKUP(Table2[[#This Row],[Description]],$Q$1:$S$101,2,FALSE))</f>
        <v/>
      </c>
      <c r="H5455" s="1" t="str">
        <f>IF(Table2[[#This Row],[Description]]="","",VLOOKUP(Table2[[#This Row],[Description]],$Q$1:$S$101,3,FALSE))</f>
        <v/>
      </c>
      <c r="I5455" s="1" t="str">
        <f>IF(Table2[[#This Row],[Description]]="","",IF(Table2[[#This Row],[Currency]]=$O$2,$P$2,HLOOKUP(Table2[[#This Row],[Date]],Funds!$C$10:$GV$11,2,FALSE)))</f>
        <v/>
      </c>
      <c r="J5455" s="215" t="str">
        <f>IF(Table2[[#This Row],[Description]]="","",Table2[[#This Row],[Value]]/Table2[[#This Row],[Conversion]])</f>
        <v/>
      </c>
      <c r="K5455" s="45" t="str">
        <f>IF(Table2[[#This Row],[Description]]="","",DATE(Table2[[#This Row],[Year]],Table2[[#This Row],[Month]],1))</f>
        <v/>
      </c>
    </row>
    <row r="5456" spans="7:11" x14ac:dyDescent="0.25">
      <c r="G5456" s="1" t="str">
        <f>IF(Table2[[#This Row],[Description]]="","",VLOOKUP(Table2[[#This Row],[Description]],$Q$1:$S$101,2,FALSE))</f>
        <v/>
      </c>
      <c r="H5456" s="1" t="str">
        <f>IF(Table2[[#This Row],[Description]]="","",VLOOKUP(Table2[[#This Row],[Description]],$Q$1:$S$101,3,FALSE))</f>
        <v/>
      </c>
      <c r="I5456" s="1" t="str">
        <f>IF(Table2[[#This Row],[Description]]="","",IF(Table2[[#This Row],[Currency]]=$O$2,$P$2,HLOOKUP(Table2[[#This Row],[Date]],Funds!$C$10:$GV$11,2,FALSE)))</f>
        <v/>
      </c>
      <c r="J5456" s="215" t="str">
        <f>IF(Table2[[#This Row],[Description]]="","",Table2[[#This Row],[Value]]/Table2[[#This Row],[Conversion]])</f>
        <v/>
      </c>
      <c r="K5456" s="45" t="str">
        <f>IF(Table2[[#This Row],[Description]]="","",DATE(Table2[[#This Row],[Year]],Table2[[#This Row],[Month]],1))</f>
        <v/>
      </c>
    </row>
    <row r="5457" spans="7:11" x14ac:dyDescent="0.25">
      <c r="G5457" s="1" t="str">
        <f>IF(Table2[[#This Row],[Description]]="","",VLOOKUP(Table2[[#This Row],[Description]],$Q$1:$S$101,2,FALSE))</f>
        <v/>
      </c>
      <c r="H5457" s="1" t="str">
        <f>IF(Table2[[#This Row],[Description]]="","",VLOOKUP(Table2[[#This Row],[Description]],$Q$1:$S$101,3,FALSE))</f>
        <v/>
      </c>
      <c r="I5457" s="1" t="str">
        <f>IF(Table2[[#This Row],[Description]]="","",IF(Table2[[#This Row],[Currency]]=$O$2,$P$2,HLOOKUP(Table2[[#This Row],[Date]],Funds!$C$10:$GV$11,2,FALSE)))</f>
        <v/>
      </c>
      <c r="J5457" s="215" t="str">
        <f>IF(Table2[[#This Row],[Description]]="","",Table2[[#This Row],[Value]]/Table2[[#This Row],[Conversion]])</f>
        <v/>
      </c>
      <c r="K5457" s="45" t="str">
        <f>IF(Table2[[#This Row],[Description]]="","",DATE(Table2[[#This Row],[Year]],Table2[[#This Row],[Month]],1))</f>
        <v/>
      </c>
    </row>
    <row r="5458" spans="7:11" x14ac:dyDescent="0.25">
      <c r="G5458" s="1" t="str">
        <f>IF(Table2[[#This Row],[Description]]="","",VLOOKUP(Table2[[#This Row],[Description]],$Q$1:$S$101,2,FALSE))</f>
        <v/>
      </c>
      <c r="H5458" s="1" t="str">
        <f>IF(Table2[[#This Row],[Description]]="","",VLOOKUP(Table2[[#This Row],[Description]],$Q$1:$S$101,3,FALSE))</f>
        <v/>
      </c>
      <c r="I5458" s="1" t="str">
        <f>IF(Table2[[#This Row],[Description]]="","",IF(Table2[[#This Row],[Currency]]=$O$2,$P$2,HLOOKUP(Table2[[#This Row],[Date]],Funds!$C$10:$GV$11,2,FALSE)))</f>
        <v/>
      </c>
      <c r="J5458" s="215" t="str">
        <f>IF(Table2[[#This Row],[Description]]="","",Table2[[#This Row],[Value]]/Table2[[#This Row],[Conversion]])</f>
        <v/>
      </c>
      <c r="K5458" s="45" t="str">
        <f>IF(Table2[[#This Row],[Description]]="","",DATE(Table2[[#This Row],[Year]],Table2[[#This Row],[Month]],1))</f>
        <v/>
      </c>
    </row>
    <row r="5459" spans="7:11" x14ac:dyDescent="0.25">
      <c r="G5459" s="1" t="str">
        <f>IF(Table2[[#This Row],[Description]]="","",VLOOKUP(Table2[[#This Row],[Description]],$Q$1:$S$101,2,FALSE))</f>
        <v/>
      </c>
      <c r="H5459" s="1" t="str">
        <f>IF(Table2[[#This Row],[Description]]="","",VLOOKUP(Table2[[#This Row],[Description]],$Q$1:$S$101,3,FALSE))</f>
        <v/>
      </c>
      <c r="I5459" s="1" t="str">
        <f>IF(Table2[[#This Row],[Description]]="","",IF(Table2[[#This Row],[Currency]]=$O$2,$P$2,HLOOKUP(Table2[[#This Row],[Date]],Funds!$C$10:$GV$11,2,FALSE)))</f>
        <v/>
      </c>
      <c r="J5459" s="215" t="str">
        <f>IF(Table2[[#This Row],[Description]]="","",Table2[[#This Row],[Value]]/Table2[[#This Row],[Conversion]])</f>
        <v/>
      </c>
      <c r="K5459" s="45" t="str">
        <f>IF(Table2[[#This Row],[Description]]="","",DATE(Table2[[#This Row],[Year]],Table2[[#This Row],[Month]],1))</f>
        <v/>
      </c>
    </row>
    <row r="5460" spans="7:11" x14ac:dyDescent="0.25">
      <c r="G5460" s="1" t="str">
        <f>IF(Table2[[#This Row],[Description]]="","",VLOOKUP(Table2[[#This Row],[Description]],$Q$1:$S$101,2,FALSE))</f>
        <v/>
      </c>
      <c r="H5460" s="1" t="str">
        <f>IF(Table2[[#This Row],[Description]]="","",VLOOKUP(Table2[[#This Row],[Description]],$Q$1:$S$101,3,FALSE))</f>
        <v/>
      </c>
      <c r="I5460" s="1" t="str">
        <f>IF(Table2[[#This Row],[Description]]="","",IF(Table2[[#This Row],[Currency]]=$O$2,$P$2,HLOOKUP(Table2[[#This Row],[Date]],Funds!$C$10:$GV$11,2,FALSE)))</f>
        <v/>
      </c>
      <c r="J5460" s="215" t="str">
        <f>IF(Table2[[#This Row],[Description]]="","",Table2[[#This Row],[Value]]/Table2[[#This Row],[Conversion]])</f>
        <v/>
      </c>
      <c r="K5460" s="45" t="str">
        <f>IF(Table2[[#This Row],[Description]]="","",DATE(Table2[[#This Row],[Year]],Table2[[#This Row],[Month]],1))</f>
        <v/>
      </c>
    </row>
    <row r="5461" spans="7:11" x14ac:dyDescent="0.25">
      <c r="G5461" s="1" t="str">
        <f>IF(Table2[[#This Row],[Description]]="","",VLOOKUP(Table2[[#This Row],[Description]],$Q$1:$S$101,2,FALSE))</f>
        <v/>
      </c>
      <c r="H5461" s="1" t="str">
        <f>IF(Table2[[#This Row],[Description]]="","",VLOOKUP(Table2[[#This Row],[Description]],$Q$1:$S$101,3,FALSE))</f>
        <v/>
      </c>
      <c r="I5461" s="1" t="str">
        <f>IF(Table2[[#This Row],[Description]]="","",IF(Table2[[#This Row],[Currency]]=$O$2,$P$2,HLOOKUP(Table2[[#This Row],[Date]],Funds!$C$10:$GV$11,2,FALSE)))</f>
        <v/>
      </c>
      <c r="J5461" s="215" t="str">
        <f>IF(Table2[[#This Row],[Description]]="","",Table2[[#This Row],[Value]]/Table2[[#This Row],[Conversion]])</f>
        <v/>
      </c>
      <c r="K5461" s="45" t="str">
        <f>IF(Table2[[#This Row],[Description]]="","",DATE(Table2[[#This Row],[Year]],Table2[[#This Row],[Month]],1))</f>
        <v/>
      </c>
    </row>
    <row r="5462" spans="7:11" x14ac:dyDescent="0.25">
      <c r="G5462" s="1" t="str">
        <f>IF(Table2[[#This Row],[Description]]="","",VLOOKUP(Table2[[#This Row],[Description]],$Q$1:$S$101,2,FALSE))</f>
        <v/>
      </c>
      <c r="H5462" s="1" t="str">
        <f>IF(Table2[[#This Row],[Description]]="","",VLOOKUP(Table2[[#This Row],[Description]],$Q$1:$S$101,3,FALSE))</f>
        <v/>
      </c>
      <c r="I5462" s="1" t="str">
        <f>IF(Table2[[#This Row],[Description]]="","",IF(Table2[[#This Row],[Currency]]=$O$2,$P$2,HLOOKUP(Table2[[#This Row],[Date]],Funds!$C$10:$GV$11,2,FALSE)))</f>
        <v/>
      </c>
      <c r="J5462" s="215" t="str">
        <f>IF(Table2[[#This Row],[Description]]="","",Table2[[#This Row],[Value]]/Table2[[#This Row],[Conversion]])</f>
        <v/>
      </c>
      <c r="K5462" s="45" t="str">
        <f>IF(Table2[[#This Row],[Description]]="","",DATE(Table2[[#This Row],[Year]],Table2[[#This Row],[Month]],1))</f>
        <v/>
      </c>
    </row>
    <row r="5463" spans="7:11" x14ac:dyDescent="0.25">
      <c r="G5463" s="1" t="str">
        <f>IF(Table2[[#This Row],[Description]]="","",VLOOKUP(Table2[[#This Row],[Description]],$Q$1:$S$101,2,FALSE))</f>
        <v/>
      </c>
      <c r="H5463" s="1" t="str">
        <f>IF(Table2[[#This Row],[Description]]="","",VLOOKUP(Table2[[#This Row],[Description]],$Q$1:$S$101,3,FALSE))</f>
        <v/>
      </c>
      <c r="I5463" s="1" t="str">
        <f>IF(Table2[[#This Row],[Description]]="","",IF(Table2[[#This Row],[Currency]]=$O$2,$P$2,HLOOKUP(Table2[[#This Row],[Date]],Funds!$C$10:$GV$11,2,FALSE)))</f>
        <v/>
      </c>
      <c r="J5463" s="215" t="str">
        <f>IF(Table2[[#This Row],[Description]]="","",Table2[[#This Row],[Value]]/Table2[[#This Row],[Conversion]])</f>
        <v/>
      </c>
      <c r="K5463" s="45" t="str">
        <f>IF(Table2[[#This Row],[Description]]="","",DATE(Table2[[#This Row],[Year]],Table2[[#This Row],[Month]],1))</f>
        <v/>
      </c>
    </row>
    <row r="5464" spans="7:11" x14ac:dyDescent="0.25">
      <c r="G5464" s="1" t="str">
        <f>IF(Table2[[#This Row],[Description]]="","",VLOOKUP(Table2[[#This Row],[Description]],$Q$1:$S$101,2,FALSE))</f>
        <v/>
      </c>
      <c r="H5464" s="1" t="str">
        <f>IF(Table2[[#This Row],[Description]]="","",VLOOKUP(Table2[[#This Row],[Description]],$Q$1:$S$101,3,FALSE))</f>
        <v/>
      </c>
      <c r="I5464" s="1" t="str">
        <f>IF(Table2[[#This Row],[Description]]="","",IF(Table2[[#This Row],[Currency]]=$O$2,$P$2,HLOOKUP(Table2[[#This Row],[Date]],Funds!$C$10:$GV$11,2,FALSE)))</f>
        <v/>
      </c>
      <c r="J5464" s="215" t="str">
        <f>IF(Table2[[#This Row],[Description]]="","",Table2[[#This Row],[Value]]/Table2[[#This Row],[Conversion]])</f>
        <v/>
      </c>
      <c r="K5464" s="45" t="str">
        <f>IF(Table2[[#This Row],[Description]]="","",DATE(Table2[[#This Row],[Year]],Table2[[#This Row],[Month]],1))</f>
        <v/>
      </c>
    </row>
    <row r="5465" spans="7:11" x14ac:dyDescent="0.25">
      <c r="G5465" s="1" t="str">
        <f>IF(Table2[[#This Row],[Description]]="","",VLOOKUP(Table2[[#This Row],[Description]],$Q$1:$S$101,2,FALSE))</f>
        <v/>
      </c>
      <c r="H5465" s="1" t="str">
        <f>IF(Table2[[#This Row],[Description]]="","",VLOOKUP(Table2[[#This Row],[Description]],$Q$1:$S$101,3,FALSE))</f>
        <v/>
      </c>
      <c r="I5465" s="1" t="str">
        <f>IF(Table2[[#This Row],[Description]]="","",IF(Table2[[#This Row],[Currency]]=$O$2,$P$2,HLOOKUP(Table2[[#This Row],[Date]],Funds!$C$10:$GV$11,2,FALSE)))</f>
        <v/>
      </c>
      <c r="J5465" s="215" t="str">
        <f>IF(Table2[[#This Row],[Description]]="","",Table2[[#This Row],[Value]]/Table2[[#This Row],[Conversion]])</f>
        <v/>
      </c>
      <c r="K5465" s="45" t="str">
        <f>IF(Table2[[#This Row],[Description]]="","",DATE(Table2[[#This Row],[Year]],Table2[[#This Row],[Month]],1))</f>
        <v/>
      </c>
    </row>
    <row r="5466" spans="7:11" x14ac:dyDescent="0.25">
      <c r="G5466" s="1" t="str">
        <f>IF(Table2[[#This Row],[Description]]="","",VLOOKUP(Table2[[#This Row],[Description]],$Q$1:$S$101,2,FALSE))</f>
        <v/>
      </c>
      <c r="H5466" s="1" t="str">
        <f>IF(Table2[[#This Row],[Description]]="","",VLOOKUP(Table2[[#This Row],[Description]],$Q$1:$S$101,3,FALSE))</f>
        <v/>
      </c>
      <c r="I5466" s="1" t="str">
        <f>IF(Table2[[#This Row],[Description]]="","",IF(Table2[[#This Row],[Currency]]=$O$2,$P$2,HLOOKUP(Table2[[#This Row],[Date]],Funds!$C$10:$GV$11,2,FALSE)))</f>
        <v/>
      </c>
      <c r="J5466" s="215" t="str">
        <f>IF(Table2[[#This Row],[Description]]="","",Table2[[#This Row],[Value]]/Table2[[#This Row],[Conversion]])</f>
        <v/>
      </c>
      <c r="K5466" s="45" t="str">
        <f>IF(Table2[[#This Row],[Description]]="","",DATE(Table2[[#This Row],[Year]],Table2[[#This Row],[Month]],1))</f>
        <v/>
      </c>
    </row>
    <row r="5467" spans="7:11" x14ac:dyDescent="0.25">
      <c r="G5467" s="1" t="str">
        <f>IF(Table2[[#This Row],[Description]]="","",VLOOKUP(Table2[[#This Row],[Description]],$Q$1:$S$101,2,FALSE))</f>
        <v/>
      </c>
      <c r="H5467" s="1" t="str">
        <f>IF(Table2[[#This Row],[Description]]="","",VLOOKUP(Table2[[#This Row],[Description]],$Q$1:$S$101,3,FALSE))</f>
        <v/>
      </c>
      <c r="I5467" s="1" t="str">
        <f>IF(Table2[[#This Row],[Description]]="","",IF(Table2[[#This Row],[Currency]]=$O$2,$P$2,HLOOKUP(Table2[[#This Row],[Date]],Funds!$C$10:$GV$11,2,FALSE)))</f>
        <v/>
      </c>
      <c r="J5467" s="215" t="str">
        <f>IF(Table2[[#This Row],[Description]]="","",Table2[[#This Row],[Value]]/Table2[[#This Row],[Conversion]])</f>
        <v/>
      </c>
      <c r="K5467" s="45" t="str">
        <f>IF(Table2[[#This Row],[Description]]="","",DATE(Table2[[#This Row],[Year]],Table2[[#This Row],[Month]],1))</f>
        <v/>
      </c>
    </row>
    <row r="5468" spans="7:11" x14ac:dyDescent="0.25">
      <c r="G5468" s="1" t="str">
        <f>IF(Table2[[#This Row],[Description]]="","",VLOOKUP(Table2[[#This Row],[Description]],$Q$1:$S$101,2,FALSE))</f>
        <v/>
      </c>
      <c r="H5468" s="1" t="str">
        <f>IF(Table2[[#This Row],[Description]]="","",VLOOKUP(Table2[[#This Row],[Description]],$Q$1:$S$101,3,FALSE))</f>
        <v/>
      </c>
      <c r="I5468" s="1" t="str">
        <f>IF(Table2[[#This Row],[Description]]="","",IF(Table2[[#This Row],[Currency]]=$O$2,$P$2,HLOOKUP(Table2[[#This Row],[Date]],Funds!$C$10:$GV$11,2,FALSE)))</f>
        <v/>
      </c>
      <c r="J5468" s="215" t="str">
        <f>IF(Table2[[#This Row],[Description]]="","",Table2[[#This Row],[Value]]/Table2[[#This Row],[Conversion]])</f>
        <v/>
      </c>
      <c r="K5468" s="45" t="str">
        <f>IF(Table2[[#This Row],[Description]]="","",DATE(Table2[[#This Row],[Year]],Table2[[#This Row],[Month]],1))</f>
        <v/>
      </c>
    </row>
    <row r="5469" spans="7:11" x14ac:dyDescent="0.25">
      <c r="G5469" s="1" t="str">
        <f>IF(Table2[[#This Row],[Description]]="","",VLOOKUP(Table2[[#This Row],[Description]],$Q$1:$S$101,2,FALSE))</f>
        <v/>
      </c>
      <c r="H5469" s="1" t="str">
        <f>IF(Table2[[#This Row],[Description]]="","",VLOOKUP(Table2[[#This Row],[Description]],$Q$1:$S$101,3,FALSE))</f>
        <v/>
      </c>
      <c r="I5469" s="1" t="str">
        <f>IF(Table2[[#This Row],[Description]]="","",IF(Table2[[#This Row],[Currency]]=$O$2,$P$2,HLOOKUP(Table2[[#This Row],[Date]],Funds!$C$10:$GV$11,2,FALSE)))</f>
        <v/>
      </c>
      <c r="J5469" s="215" t="str">
        <f>IF(Table2[[#This Row],[Description]]="","",Table2[[#This Row],[Value]]/Table2[[#This Row],[Conversion]])</f>
        <v/>
      </c>
      <c r="K5469" s="45" t="str">
        <f>IF(Table2[[#This Row],[Description]]="","",DATE(Table2[[#This Row],[Year]],Table2[[#This Row],[Month]],1))</f>
        <v/>
      </c>
    </row>
    <row r="5470" spans="7:11" x14ac:dyDescent="0.25">
      <c r="G5470" s="1" t="str">
        <f>IF(Table2[[#This Row],[Description]]="","",VLOOKUP(Table2[[#This Row],[Description]],$Q$1:$S$101,2,FALSE))</f>
        <v/>
      </c>
      <c r="H5470" s="1" t="str">
        <f>IF(Table2[[#This Row],[Description]]="","",VLOOKUP(Table2[[#This Row],[Description]],$Q$1:$S$101,3,FALSE))</f>
        <v/>
      </c>
      <c r="I5470" s="1" t="str">
        <f>IF(Table2[[#This Row],[Description]]="","",IF(Table2[[#This Row],[Currency]]=$O$2,$P$2,HLOOKUP(Table2[[#This Row],[Date]],Funds!$C$10:$GV$11,2,FALSE)))</f>
        <v/>
      </c>
      <c r="J5470" s="215" t="str">
        <f>IF(Table2[[#This Row],[Description]]="","",Table2[[#This Row],[Value]]/Table2[[#This Row],[Conversion]])</f>
        <v/>
      </c>
      <c r="K5470" s="45" t="str">
        <f>IF(Table2[[#This Row],[Description]]="","",DATE(Table2[[#This Row],[Year]],Table2[[#This Row],[Month]],1))</f>
        <v/>
      </c>
    </row>
    <row r="5471" spans="7:11" x14ac:dyDescent="0.25">
      <c r="G5471" s="1" t="str">
        <f>IF(Table2[[#This Row],[Description]]="","",VLOOKUP(Table2[[#This Row],[Description]],$Q$1:$S$101,2,FALSE))</f>
        <v/>
      </c>
      <c r="H5471" s="1" t="str">
        <f>IF(Table2[[#This Row],[Description]]="","",VLOOKUP(Table2[[#This Row],[Description]],$Q$1:$S$101,3,FALSE))</f>
        <v/>
      </c>
      <c r="I5471" s="1" t="str">
        <f>IF(Table2[[#This Row],[Description]]="","",IF(Table2[[#This Row],[Currency]]=$O$2,$P$2,HLOOKUP(Table2[[#This Row],[Date]],Funds!$C$10:$GV$11,2,FALSE)))</f>
        <v/>
      </c>
      <c r="J5471" s="215" t="str">
        <f>IF(Table2[[#This Row],[Description]]="","",Table2[[#This Row],[Value]]/Table2[[#This Row],[Conversion]])</f>
        <v/>
      </c>
      <c r="K5471" s="45" t="str">
        <f>IF(Table2[[#This Row],[Description]]="","",DATE(Table2[[#This Row],[Year]],Table2[[#This Row],[Month]],1))</f>
        <v/>
      </c>
    </row>
    <row r="5472" spans="7:11" x14ac:dyDescent="0.25">
      <c r="G5472" s="1" t="str">
        <f>IF(Table2[[#This Row],[Description]]="","",VLOOKUP(Table2[[#This Row],[Description]],$Q$1:$S$101,2,FALSE))</f>
        <v/>
      </c>
      <c r="H5472" s="1" t="str">
        <f>IF(Table2[[#This Row],[Description]]="","",VLOOKUP(Table2[[#This Row],[Description]],$Q$1:$S$101,3,FALSE))</f>
        <v/>
      </c>
      <c r="I5472" s="1" t="str">
        <f>IF(Table2[[#This Row],[Description]]="","",IF(Table2[[#This Row],[Currency]]=$O$2,$P$2,HLOOKUP(Table2[[#This Row],[Date]],Funds!$C$10:$GV$11,2,FALSE)))</f>
        <v/>
      </c>
      <c r="J5472" s="215" t="str">
        <f>IF(Table2[[#This Row],[Description]]="","",Table2[[#This Row],[Value]]/Table2[[#This Row],[Conversion]])</f>
        <v/>
      </c>
      <c r="K5472" s="45" t="str">
        <f>IF(Table2[[#This Row],[Description]]="","",DATE(Table2[[#This Row],[Year]],Table2[[#This Row],[Month]],1))</f>
        <v/>
      </c>
    </row>
    <row r="5473" spans="7:11" x14ac:dyDescent="0.25">
      <c r="G5473" s="1" t="str">
        <f>IF(Table2[[#This Row],[Description]]="","",VLOOKUP(Table2[[#This Row],[Description]],$Q$1:$S$101,2,FALSE))</f>
        <v/>
      </c>
      <c r="H5473" s="1" t="str">
        <f>IF(Table2[[#This Row],[Description]]="","",VLOOKUP(Table2[[#This Row],[Description]],$Q$1:$S$101,3,FALSE))</f>
        <v/>
      </c>
      <c r="I5473" s="1" t="str">
        <f>IF(Table2[[#This Row],[Description]]="","",IF(Table2[[#This Row],[Currency]]=$O$2,$P$2,HLOOKUP(Table2[[#This Row],[Date]],Funds!$C$10:$GV$11,2,FALSE)))</f>
        <v/>
      </c>
      <c r="J5473" s="215" t="str">
        <f>IF(Table2[[#This Row],[Description]]="","",Table2[[#This Row],[Value]]/Table2[[#This Row],[Conversion]])</f>
        <v/>
      </c>
      <c r="K5473" s="45" t="str">
        <f>IF(Table2[[#This Row],[Description]]="","",DATE(Table2[[#This Row],[Year]],Table2[[#This Row],[Month]],1))</f>
        <v/>
      </c>
    </row>
    <row r="5474" spans="7:11" x14ac:dyDescent="0.25">
      <c r="G5474" s="1" t="str">
        <f>IF(Table2[[#This Row],[Description]]="","",VLOOKUP(Table2[[#This Row],[Description]],$Q$1:$S$101,2,FALSE))</f>
        <v/>
      </c>
      <c r="H5474" s="1" t="str">
        <f>IF(Table2[[#This Row],[Description]]="","",VLOOKUP(Table2[[#This Row],[Description]],$Q$1:$S$101,3,FALSE))</f>
        <v/>
      </c>
      <c r="I5474" s="1" t="str">
        <f>IF(Table2[[#This Row],[Description]]="","",IF(Table2[[#This Row],[Currency]]=$O$2,$P$2,HLOOKUP(Table2[[#This Row],[Date]],Funds!$C$10:$GV$11,2,FALSE)))</f>
        <v/>
      </c>
      <c r="J5474" s="215" t="str">
        <f>IF(Table2[[#This Row],[Description]]="","",Table2[[#This Row],[Value]]/Table2[[#This Row],[Conversion]])</f>
        <v/>
      </c>
      <c r="K5474" s="45" t="str">
        <f>IF(Table2[[#This Row],[Description]]="","",DATE(Table2[[#This Row],[Year]],Table2[[#This Row],[Month]],1))</f>
        <v/>
      </c>
    </row>
    <row r="5475" spans="7:11" x14ac:dyDescent="0.25">
      <c r="G5475" s="1" t="str">
        <f>IF(Table2[[#This Row],[Description]]="","",VLOOKUP(Table2[[#This Row],[Description]],$Q$1:$S$101,2,FALSE))</f>
        <v/>
      </c>
      <c r="H5475" s="1" t="str">
        <f>IF(Table2[[#This Row],[Description]]="","",VLOOKUP(Table2[[#This Row],[Description]],$Q$1:$S$101,3,FALSE))</f>
        <v/>
      </c>
      <c r="I5475" s="1" t="str">
        <f>IF(Table2[[#This Row],[Description]]="","",IF(Table2[[#This Row],[Currency]]=$O$2,$P$2,HLOOKUP(Table2[[#This Row],[Date]],Funds!$C$10:$GV$11,2,FALSE)))</f>
        <v/>
      </c>
      <c r="J5475" s="215" t="str">
        <f>IF(Table2[[#This Row],[Description]]="","",Table2[[#This Row],[Value]]/Table2[[#This Row],[Conversion]])</f>
        <v/>
      </c>
      <c r="K5475" s="45" t="str">
        <f>IF(Table2[[#This Row],[Description]]="","",DATE(Table2[[#This Row],[Year]],Table2[[#This Row],[Month]],1))</f>
        <v/>
      </c>
    </row>
    <row r="5476" spans="7:11" x14ac:dyDescent="0.25">
      <c r="G5476" s="1" t="str">
        <f>IF(Table2[[#This Row],[Description]]="","",VLOOKUP(Table2[[#This Row],[Description]],$Q$1:$S$101,2,FALSE))</f>
        <v/>
      </c>
      <c r="H5476" s="1" t="str">
        <f>IF(Table2[[#This Row],[Description]]="","",VLOOKUP(Table2[[#This Row],[Description]],$Q$1:$S$101,3,FALSE))</f>
        <v/>
      </c>
      <c r="I5476" s="1" t="str">
        <f>IF(Table2[[#This Row],[Description]]="","",IF(Table2[[#This Row],[Currency]]=$O$2,$P$2,HLOOKUP(Table2[[#This Row],[Date]],Funds!$C$10:$GV$11,2,FALSE)))</f>
        <v/>
      </c>
      <c r="J5476" s="215" t="str">
        <f>IF(Table2[[#This Row],[Description]]="","",Table2[[#This Row],[Value]]/Table2[[#This Row],[Conversion]])</f>
        <v/>
      </c>
      <c r="K5476" s="45" t="str">
        <f>IF(Table2[[#This Row],[Description]]="","",DATE(Table2[[#This Row],[Year]],Table2[[#This Row],[Month]],1))</f>
        <v/>
      </c>
    </row>
    <row r="5477" spans="7:11" x14ac:dyDescent="0.25">
      <c r="G5477" s="1" t="str">
        <f>IF(Table2[[#This Row],[Description]]="","",VLOOKUP(Table2[[#This Row],[Description]],$Q$1:$S$101,2,FALSE))</f>
        <v/>
      </c>
      <c r="H5477" s="1" t="str">
        <f>IF(Table2[[#This Row],[Description]]="","",VLOOKUP(Table2[[#This Row],[Description]],$Q$1:$S$101,3,FALSE))</f>
        <v/>
      </c>
      <c r="I5477" s="1" t="str">
        <f>IF(Table2[[#This Row],[Description]]="","",IF(Table2[[#This Row],[Currency]]=$O$2,$P$2,HLOOKUP(Table2[[#This Row],[Date]],Funds!$C$10:$GV$11,2,FALSE)))</f>
        <v/>
      </c>
      <c r="J5477" s="215" t="str">
        <f>IF(Table2[[#This Row],[Description]]="","",Table2[[#This Row],[Value]]/Table2[[#This Row],[Conversion]])</f>
        <v/>
      </c>
      <c r="K5477" s="45" t="str">
        <f>IF(Table2[[#This Row],[Description]]="","",DATE(Table2[[#This Row],[Year]],Table2[[#This Row],[Month]],1))</f>
        <v/>
      </c>
    </row>
    <row r="5478" spans="7:11" x14ac:dyDescent="0.25">
      <c r="G5478" s="1" t="str">
        <f>IF(Table2[[#This Row],[Description]]="","",VLOOKUP(Table2[[#This Row],[Description]],$Q$1:$S$101,2,FALSE))</f>
        <v/>
      </c>
      <c r="H5478" s="1" t="str">
        <f>IF(Table2[[#This Row],[Description]]="","",VLOOKUP(Table2[[#This Row],[Description]],$Q$1:$S$101,3,FALSE))</f>
        <v/>
      </c>
      <c r="I5478" s="1" t="str">
        <f>IF(Table2[[#This Row],[Description]]="","",IF(Table2[[#This Row],[Currency]]=$O$2,$P$2,HLOOKUP(Table2[[#This Row],[Date]],Funds!$C$10:$GV$11,2,FALSE)))</f>
        <v/>
      </c>
      <c r="J5478" s="215" t="str">
        <f>IF(Table2[[#This Row],[Description]]="","",Table2[[#This Row],[Value]]/Table2[[#This Row],[Conversion]])</f>
        <v/>
      </c>
      <c r="K5478" s="45" t="str">
        <f>IF(Table2[[#This Row],[Description]]="","",DATE(Table2[[#This Row],[Year]],Table2[[#This Row],[Month]],1))</f>
        <v/>
      </c>
    </row>
    <row r="5479" spans="7:11" x14ac:dyDescent="0.25">
      <c r="G5479" s="1" t="str">
        <f>IF(Table2[[#This Row],[Description]]="","",VLOOKUP(Table2[[#This Row],[Description]],$Q$1:$S$101,2,FALSE))</f>
        <v/>
      </c>
      <c r="H5479" s="1" t="str">
        <f>IF(Table2[[#This Row],[Description]]="","",VLOOKUP(Table2[[#This Row],[Description]],$Q$1:$S$101,3,FALSE))</f>
        <v/>
      </c>
      <c r="I5479" s="1" t="str">
        <f>IF(Table2[[#This Row],[Description]]="","",IF(Table2[[#This Row],[Currency]]=$O$2,$P$2,HLOOKUP(Table2[[#This Row],[Date]],Funds!$C$10:$GV$11,2,FALSE)))</f>
        <v/>
      </c>
      <c r="J5479" s="215" t="str">
        <f>IF(Table2[[#This Row],[Description]]="","",Table2[[#This Row],[Value]]/Table2[[#This Row],[Conversion]])</f>
        <v/>
      </c>
      <c r="K5479" s="45" t="str">
        <f>IF(Table2[[#This Row],[Description]]="","",DATE(Table2[[#This Row],[Year]],Table2[[#This Row],[Month]],1))</f>
        <v/>
      </c>
    </row>
    <row r="5480" spans="7:11" x14ac:dyDescent="0.25">
      <c r="G5480" s="1" t="str">
        <f>IF(Table2[[#This Row],[Description]]="","",VLOOKUP(Table2[[#This Row],[Description]],$Q$1:$S$101,2,FALSE))</f>
        <v/>
      </c>
      <c r="H5480" s="1" t="str">
        <f>IF(Table2[[#This Row],[Description]]="","",VLOOKUP(Table2[[#This Row],[Description]],$Q$1:$S$101,3,FALSE))</f>
        <v/>
      </c>
      <c r="I5480" s="1" t="str">
        <f>IF(Table2[[#This Row],[Description]]="","",IF(Table2[[#This Row],[Currency]]=$O$2,$P$2,HLOOKUP(Table2[[#This Row],[Date]],Funds!$C$10:$GV$11,2,FALSE)))</f>
        <v/>
      </c>
      <c r="J5480" s="215" t="str">
        <f>IF(Table2[[#This Row],[Description]]="","",Table2[[#This Row],[Value]]/Table2[[#This Row],[Conversion]])</f>
        <v/>
      </c>
      <c r="K5480" s="45" t="str">
        <f>IF(Table2[[#This Row],[Description]]="","",DATE(Table2[[#This Row],[Year]],Table2[[#This Row],[Month]],1))</f>
        <v/>
      </c>
    </row>
    <row r="5481" spans="7:11" x14ac:dyDescent="0.25">
      <c r="G5481" s="1" t="str">
        <f>IF(Table2[[#This Row],[Description]]="","",VLOOKUP(Table2[[#This Row],[Description]],$Q$1:$S$101,2,FALSE))</f>
        <v/>
      </c>
      <c r="H5481" s="1" t="str">
        <f>IF(Table2[[#This Row],[Description]]="","",VLOOKUP(Table2[[#This Row],[Description]],$Q$1:$S$101,3,FALSE))</f>
        <v/>
      </c>
      <c r="I5481" s="1" t="str">
        <f>IF(Table2[[#This Row],[Description]]="","",IF(Table2[[#This Row],[Currency]]=$O$2,$P$2,HLOOKUP(Table2[[#This Row],[Date]],Funds!$C$10:$GV$11,2,FALSE)))</f>
        <v/>
      </c>
      <c r="J5481" s="215" t="str">
        <f>IF(Table2[[#This Row],[Description]]="","",Table2[[#This Row],[Value]]/Table2[[#This Row],[Conversion]])</f>
        <v/>
      </c>
      <c r="K5481" s="45" t="str">
        <f>IF(Table2[[#This Row],[Description]]="","",DATE(Table2[[#This Row],[Year]],Table2[[#This Row],[Month]],1))</f>
        <v/>
      </c>
    </row>
    <row r="5482" spans="7:11" x14ac:dyDescent="0.25">
      <c r="G5482" s="1" t="str">
        <f>IF(Table2[[#This Row],[Description]]="","",VLOOKUP(Table2[[#This Row],[Description]],$Q$1:$S$101,2,FALSE))</f>
        <v/>
      </c>
      <c r="H5482" s="1" t="str">
        <f>IF(Table2[[#This Row],[Description]]="","",VLOOKUP(Table2[[#This Row],[Description]],$Q$1:$S$101,3,FALSE))</f>
        <v/>
      </c>
      <c r="I5482" s="1" t="str">
        <f>IF(Table2[[#This Row],[Description]]="","",IF(Table2[[#This Row],[Currency]]=$O$2,$P$2,HLOOKUP(Table2[[#This Row],[Date]],Funds!$C$10:$GV$11,2,FALSE)))</f>
        <v/>
      </c>
      <c r="J5482" s="215" t="str">
        <f>IF(Table2[[#This Row],[Description]]="","",Table2[[#This Row],[Value]]/Table2[[#This Row],[Conversion]])</f>
        <v/>
      </c>
      <c r="K5482" s="45" t="str">
        <f>IF(Table2[[#This Row],[Description]]="","",DATE(Table2[[#This Row],[Year]],Table2[[#This Row],[Month]],1))</f>
        <v/>
      </c>
    </row>
    <row r="5483" spans="7:11" x14ac:dyDescent="0.25">
      <c r="G5483" s="1" t="str">
        <f>IF(Table2[[#This Row],[Description]]="","",VLOOKUP(Table2[[#This Row],[Description]],$Q$1:$S$101,2,FALSE))</f>
        <v/>
      </c>
      <c r="H5483" s="1" t="str">
        <f>IF(Table2[[#This Row],[Description]]="","",VLOOKUP(Table2[[#This Row],[Description]],$Q$1:$S$101,3,FALSE))</f>
        <v/>
      </c>
      <c r="I5483" s="1" t="str">
        <f>IF(Table2[[#This Row],[Description]]="","",IF(Table2[[#This Row],[Currency]]=$O$2,$P$2,HLOOKUP(Table2[[#This Row],[Date]],Funds!$C$10:$GV$11,2,FALSE)))</f>
        <v/>
      </c>
      <c r="J5483" s="215" t="str">
        <f>IF(Table2[[#This Row],[Description]]="","",Table2[[#This Row],[Value]]/Table2[[#This Row],[Conversion]])</f>
        <v/>
      </c>
      <c r="K5483" s="45" t="str">
        <f>IF(Table2[[#This Row],[Description]]="","",DATE(Table2[[#This Row],[Year]],Table2[[#This Row],[Month]],1))</f>
        <v/>
      </c>
    </row>
    <row r="5484" spans="7:11" x14ac:dyDescent="0.25">
      <c r="G5484" s="1" t="str">
        <f>IF(Table2[[#This Row],[Description]]="","",VLOOKUP(Table2[[#This Row],[Description]],$Q$1:$S$101,2,FALSE))</f>
        <v/>
      </c>
      <c r="H5484" s="1" t="str">
        <f>IF(Table2[[#This Row],[Description]]="","",VLOOKUP(Table2[[#This Row],[Description]],$Q$1:$S$101,3,FALSE))</f>
        <v/>
      </c>
      <c r="I5484" s="1" t="str">
        <f>IF(Table2[[#This Row],[Description]]="","",IF(Table2[[#This Row],[Currency]]=$O$2,$P$2,HLOOKUP(Table2[[#This Row],[Date]],Funds!$C$10:$GV$11,2,FALSE)))</f>
        <v/>
      </c>
      <c r="J5484" s="215" t="str">
        <f>IF(Table2[[#This Row],[Description]]="","",Table2[[#This Row],[Value]]/Table2[[#This Row],[Conversion]])</f>
        <v/>
      </c>
      <c r="K5484" s="45" t="str">
        <f>IF(Table2[[#This Row],[Description]]="","",DATE(Table2[[#This Row],[Year]],Table2[[#This Row],[Month]],1))</f>
        <v/>
      </c>
    </row>
    <row r="5485" spans="7:11" x14ac:dyDescent="0.25">
      <c r="G5485" s="1" t="str">
        <f>IF(Table2[[#This Row],[Description]]="","",VLOOKUP(Table2[[#This Row],[Description]],$Q$1:$S$101,2,FALSE))</f>
        <v/>
      </c>
      <c r="H5485" s="1" t="str">
        <f>IF(Table2[[#This Row],[Description]]="","",VLOOKUP(Table2[[#This Row],[Description]],$Q$1:$S$101,3,FALSE))</f>
        <v/>
      </c>
      <c r="I5485" s="1" t="str">
        <f>IF(Table2[[#This Row],[Description]]="","",IF(Table2[[#This Row],[Currency]]=$O$2,$P$2,HLOOKUP(Table2[[#This Row],[Date]],Funds!$C$10:$GV$11,2,FALSE)))</f>
        <v/>
      </c>
      <c r="J5485" s="215" t="str">
        <f>IF(Table2[[#This Row],[Description]]="","",Table2[[#This Row],[Value]]/Table2[[#This Row],[Conversion]])</f>
        <v/>
      </c>
      <c r="K5485" s="45" t="str">
        <f>IF(Table2[[#This Row],[Description]]="","",DATE(Table2[[#This Row],[Year]],Table2[[#This Row],[Month]],1))</f>
        <v/>
      </c>
    </row>
    <row r="5486" spans="7:11" x14ac:dyDescent="0.25">
      <c r="G5486" s="1" t="str">
        <f>IF(Table2[[#This Row],[Description]]="","",VLOOKUP(Table2[[#This Row],[Description]],$Q$1:$S$101,2,FALSE))</f>
        <v/>
      </c>
      <c r="H5486" s="1" t="str">
        <f>IF(Table2[[#This Row],[Description]]="","",VLOOKUP(Table2[[#This Row],[Description]],$Q$1:$S$101,3,FALSE))</f>
        <v/>
      </c>
      <c r="I5486" s="1" t="str">
        <f>IF(Table2[[#This Row],[Description]]="","",IF(Table2[[#This Row],[Currency]]=$O$2,$P$2,HLOOKUP(Table2[[#This Row],[Date]],Funds!$C$10:$GV$11,2,FALSE)))</f>
        <v/>
      </c>
      <c r="J5486" s="215" t="str">
        <f>IF(Table2[[#This Row],[Description]]="","",Table2[[#This Row],[Value]]/Table2[[#This Row],[Conversion]])</f>
        <v/>
      </c>
      <c r="K5486" s="45" t="str">
        <f>IF(Table2[[#This Row],[Description]]="","",DATE(Table2[[#This Row],[Year]],Table2[[#This Row],[Month]],1))</f>
        <v/>
      </c>
    </row>
    <row r="5487" spans="7:11" x14ac:dyDescent="0.25">
      <c r="G5487" s="1" t="str">
        <f>IF(Table2[[#This Row],[Description]]="","",VLOOKUP(Table2[[#This Row],[Description]],$Q$1:$S$101,2,FALSE))</f>
        <v/>
      </c>
      <c r="H5487" s="1" t="str">
        <f>IF(Table2[[#This Row],[Description]]="","",VLOOKUP(Table2[[#This Row],[Description]],$Q$1:$S$101,3,FALSE))</f>
        <v/>
      </c>
      <c r="I5487" s="1" t="str">
        <f>IF(Table2[[#This Row],[Description]]="","",IF(Table2[[#This Row],[Currency]]=$O$2,$P$2,HLOOKUP(Table2[[#This Row],[Date]],Funds!$C$10:$GV$11,2,FALSE)))</f>
        <v/>
      </c>
      <c r="J5487" s="215" t="str">
        <f>IF(Table2[[#This Row],[Description]]="","",Table2[[#This Row],[Value]]/Table2[[#This Row],[Conversion]])</f>
        <v/>
      </c>
      <c r="K5487" s="45" t="str">
        <f>IF(Table2[[#This Row],[Description]]="","",DATE(Table2[[#This Row],[Year]],Table2[[#This Row],[Month]],1))</f>
        <v/>
      </c>
    </row>
    <row r="5488" spans="7:11" x14ac:dyDescent="0.25">
      <c r="G5488" s="1" t="str">
        <f>IF(Table2[[#This Row],[Description]]="","",VLOOKUP(Table2[[#This Row],[Description]],$Q$1:$S$101,2,FALSE))</f>
        <v/>
      </c>
      <c r="H5488" s="1" t="str">
        <f>IF(Table2[[#This Row],[Description]]="","",VLOOKUP(Table2[[#This Row],[Description]],$Q$1:$S$101,3,FALSE))</f>
        <v/>
      </c>
      <c r="I5488" s="1" t="str">
        <f>IF(Table2[[#This Row],[Description]]="","",IF(Table2[[#This Row],[Currency]]=$O$2,$P$2,HLOOKUP(Table2[[#This Row],[Date]],Funds!$C$10:$GV$11,2,FALSE)))</f>
        <v/>
      </c>
      <c r="J5488" s="215" t="str">
        <f>IF(Table2[[#This Row],[Description]]="","",Table2[[#This Row],[Value]]/Table2[[#This Row],[Conversion]])</f>
        <v/>
      </c>
      <c r="K5488" s="45" t="str">
        <f>IF(Table2[[#This Row],[Description]]="","",DATE(Table2[[#This Row],[Year]],Table2[[#This Row],[Month]],1))</f>
        <v/>
      </c>
    </row>
    <row r="5489" spans="7:11" x14ac:dyDescent="0.25">
      <c r="G5489" s="1" t="str">
        <f>IF(Table2[[#This Row],[Description]]="","",VLOOKUP(Table2[[#This Row],[Description]],$Q$1:$S$101,2,FALSE))</f>
        <v/>
      </c>
      <c r="H5489" s="1" t="str">
        <f>IF(Table2[[#This Row],[Description]]="","",VLOOKUP(Table2[[#This Row],[Description]],$Q$1:$S$101,3,FALSE))</f>
        <v/>
      </c>
      <c r="I5489" s="1" t="str">
        <f>IF(Table2[[#This Row],[Description]]="","",IF(Table2[[#This Row],[Currency]]=$O$2,$P$2,HLOOKUP(Table2[[#This Row],[Date]],Funds!$C$10:$GV$11,2,FALSE)))</f>
        <v/>
      </c>
      <c r="J5489" s="215" t="str">
        <f>IF(Table2[[#This Row],[Description]]="","",Table2[[#This Row],[Value]]/Table2[[#This Row],[Conversion]])</f>
        <v/>
      </c>
      <c r="K5489" s="45" t="str">
        <f>IF(Table2[[#This Row],[Description]]="","",DATE(Table2[[#This Row],[Year]],Table2[[#This Row],[Month]],1))</f>
        <v/>
      </c>
    </row>
    <row r="5490" spans="7:11" x14ac:dyDescent="0.25">
      <c r="G5490" s="1" t="str">
        <f>IF(Table2[[#This Row],[Description]]="","",VLOOKUP(Table2[[#This Row],[Description]],$Q$1:$S$101,2,FALSE))</f>
        <v/>
      </c>
      <c r="H5490" s="1" t="str">
        <f>IF(Table2[[#This Row],[Description]]="","",VLOOKUP(Table2[[#This Row],[Description]],$Q$1:$S$101,3,FALSE))</f>
        <v/>
      </c>
      <c r="I5490" s="1" t="str">
        <f>IF(Table2[[#This Row],[Description]]="","",IF(Table2[[#This Row],[Currency]]=$O$2,$P$2,HLOOKUP(Table2[[#This Row],[Date]],Funds!$C$10:$GV$11,2,FALSE)))</f>
        <v/>
      </c>
      <c r="J5490" s="215" t="str">
        <f>IF(Table2[[#This Row],[Description]]="","",Table2[[#This Row],[Value]]/Table2[[#This Row],[Conversion]])</f>
        <v/>
      </c>
      <c r="K5490" s="45" t="str">
        <f>IF(Table2[[#This Row],[Description]]="","",DATE(Table2[[#This Row],[Year]],Table2[[#This Row],[Month]],1))</f>
        <v/>
      </c>
    </row>
    <row r="5491" spans="7:11" x14ac:dyDescent="0.25">
      <c r="G5491" s="1" t="str">
        <f>IF(Table2[[#This Row],[Description]]="","",VLOOKUP(Table2[[#This Row],[Description]],$Q$1:$S$101,2,FALSE))</f>
        <v/>
      </c>
      <c r="H5491" s="1" t="str">
        <f>IF(Table2[[#This Row],[Description]]="","",VLOOKUP(Table2[[#This Row],[Description]],$Q$1:$S$101,3,FALSE))</f>
        <v/>
      </c>
      <c r="I5491" s="1" t="str">
        <f>IF(Table2[[#This Row],[Description]]="","",IF(Table2[[#This Row],[Currency]]=$O$2,$P$2,HLOOKUP(Table2[[#This Row],[Date]],Funds!$C$10:$GV$11,2,FALSE)))</f>
        <v/>
      </c>
      <c r="J5491" s="215" t="str">
        <f>IF(Table2[[#This Row],[Description]]="","",Table2[[#This Row],[Value]]/Table2[[#This Row],[Conversion]])</f>
        <v/>
      </c>
      <c r="K5491" s="45" t="str">
        <f>IF(Table2[[#This Row],[Description]]="","",DATE(Table2[[#This Row],[Year]],Table2[[#This Row],[Month]],1))</f>
        <v/>
      </c>
    </row>
    <row r="5492" spans="7:11" x14ac:dyDescent="0.25">
      <c r="G5492" s="1" t="str">
        <f>IF(Table2[[#This Row],[Description]]="","",VLOOKUP(Table2[[#This Row],[Description]],$Q$1:$S$101,2,FALSE))</f>
        <v/>
      </c>
      <c r="H5492" s="1" t="str">
        <f>IF(Table2[[#This Row],[Description]]="","",VLOOKUP(Table2[[#This Row],[Description]],$Q$1:$S$101,3,FALSE))</f>
        <v/>
      </c>
      <c r="I5492" s="1" t="str">
        <f>IF(Table2[[#This Row],[Description]]="","",IF(Table2[[#This Row],[Currency]]=$O$2,$P$2,HLOOKUP(Table2[[#This Row],[Date]],Funds!$C$10:$GV$11,2,FALSE)))</f>
        <v/>
      </c>
      <c r="J5492" s="215" t="str">
        <f>IF(Table2[[#This Row],[Description]]="","",Table2[[#This Row],[Value]]/Table2[[#This Row],[Conversion]])</f>
        <v/>
      </c>
      <c r="K5492" s="45" t="str">
        <f>IF(Table2[[#This Row],[Description]]="","",DATE(Table2[[#This Row],[Year]],Table2[[#This Row],[Month]],1))</f>
        <v/>
      </c>
    </row>
    <row r="5493" spans="7:11" x14ac:dyDescent="0.25">
      <c r="G5493" s="1" t="str">
        <f>IF(Table2[[#This Row],[Description]]="","",VLOOKUP(Table2[[#This Row],[Description]],$Q$1:$S$101,2,FALSE))</f>
        <v/>
      </c>
      <c r="H5493" s="1" t="str">
        <f>IF(Table2[[#This Row],[Description]]="","",VLOOKUP(Table2[[#This Row],[Description]],$Q$1:$S$101,3,FALSE))</f>
        <v/>
      </c>
      <c r="I5493" s="1" t="str">
        <f>IF(Table2[[#This Row],[Description]]="","",IF(Table2[[#This Row],[Currency]]=$O$2,$P$2,HLOOKUP(Table2[[#This Row],[Date]],Funds!$C$10:$GV$11,2,FALSE)))</f>
        <v/>
      </c>
      <c r="J5493" s="215" t="str">
        <f>IF(Table2[[#This Row],[Description]]="","",Table2[[#This Row],[Value]]/Table2[[#This Row],[Conversion]])</f>
        <v/>
      </c>
      <c r="K5493" s="45" t="str">
        <f>IF(Table2[[#This Row],[Description]]="","",DATE(Table2[[#This Row],[Year]],Table2[[#This Row],[Month]],1))</f>
        <v/>
      </c>
    </row>
    <row r="5494" spans="7:11" x14ac:dyDescent="0.25">
      <c r="G5494" s="1" t="str">
        <f>IF(Table2[[#This Row],[Description]]="","",VLOOKUP(Table2[[#This Row],[Description]],$Q$1:$S$101,2,FALSE))</f>
        <v/>
      </c>
      <c r="H5494" s="1" t="str">
        <f>IF(Table2[[#This Row],[Description]]="","",VLOOKUP(Table2[[#This Row],[Description]],$Q$1:$S$101,3,FALSE))</f>
        <v/>
      </c>
      <c r="I5494" s="1" t="str">
        <f>IF(Table2[[#This Row],[Description]]="","",IF(Table2[[#This Row],[Currency]]=$O$2,$P$2,HLOOKUP(Table2[[#This Row],[Date]],Funds!$C$10:$GV$11,2,FALSE)))</f>
        <v/>
      </c>
      <c r="J5494" s="215" t="str">
        <f>IF(Table2[[#This Row],[Description]]="","",Table2[[#This Row],[Value]]/Table2[[#This Row],[Conversion]])</f>
        <v/>
      </c>
      <c r="K5494" s="45" t="str">
        <f>IF(Table2[[#This Row],[Description]]="","",DATE(Table2[[#This Row],[Year]],Table2[[#This Row],[Month]],1))</f>
        <v/>
      </c>
    </row>
    <row r="5495" spans="7:11" x14ac:dyDescent="0.25">
      <c r="G5495" s="1" t="str">
        <f>IF(Table2[[#This Row],[Description]]="","",VLOOKUP(Table2[[#This Row],[Description]],$Q$1:$S$101,2,FALSE))</f>
        <v/>
      </c>
      <c r="H5495" s="1" t="str">
        <f>IF(Table2[[#This Row],[Description]]="","",VLOOKUP(Table2[[#This Row],[Description]],$Q$1:$S$101,3,FALSE))</f>
        <v/>
      </c>
      <c r="I5495" s="1" t="str">
        <f>IF(Table2[[#This Row],[Description]]="","",IF(Table2[[#This Row],[Currency]]=$O$2,$P$2,HLOOKUP(Table2[[#This Row],[Date]],Funds!$C$10:$GV$11,2,FALSE)))</f>
        <v/>
      </c>
      <c r="J5495" s="215" t="str">
        <f>IF(Table2[[#This Row],[Description]]="","",Table2[[#This Row],[Value]]/Table2[[#This Row],[Conversion]])</f>
        <v/>
      </c>
      <c r="K5495" s="45" t="str">
        <f>IF(Table2[[#This Row],[Description]]="","",DATE(Table2[[#This Row],[Year]],Table2[[#This Row],[Month]],1))</f>
        <v/>
      </c>
    </row>
    <row r="5496" spans="7:11" x14ac:dyDescent="0.25">
      <c r="G5496" s="1" t="str">
        <f>IF(Table2[[#This Row],[Description]]="","",VLOOKUP(Table2[[#This Row],[Description]],$Q$1:$S$101,2,FALSE))</f>
        <v/>
      </c>
      <c r="H5496" s="1" t="str">
        <f>IF(Table2[[#This Row],[Description]]="","",VLOOKUP(Table2[[#This Row],[Description]],$Q$1:$S$101,3,FALSE))</f>
        <v/>
      </c>
      <c r="I5496" s="1" t="str">
        <f>IF(Table2[[#This Row],[Description]]="","",IF(Table2[[#This Row],[Currency]]=$O$2,$P$2,HLOOKUP(Table2[[#This Row],[Date]],Funds!$C$10:$GV$11,2,FALSE)))</f>
        <v/>
      </c>
      <c r="J5496" s="215" t="str">
        <f>IF(Table2[[#This Row],[Description]]="","",Table2[[#This Row],[Value]]/Table2[[#This Row],[Conversion]])</f>
        <v/>
      </c>
      <c r="K5496" s="45" t="str">
        <f>IF(Table2[[#This Row],[Description]]="","",DATE(Table2[[#This Row],[Year]],Table2[[#This Row],[Month]],1))</f>
        <v/>
      </c>
    </row>
    <row r="5497" spans="7:11" x14ac:dyDescent="0.25">
      <c r="G5497" s="1" t="str">
        <f>IF(Table2[[#This Row],[Description]]="","",VLOOKUP(Table2[[#This Row],[Description]],$Q$1:$S$101,2,FALSE))</f>
        <v/>
      </c>
      <c r="H5497" s="1" t="str">
        <f>IF(Table2[[#This Row],[Description]]="","",VLOOKUP(Table2[[#This Row],[Description]],$Q$1:$S$101,3,FALSE))</f>
        <v/>
      </c>
      <c r="I5497" s="1" t="str">
        <f>IF(Table2[[#This Row],[Description]]="","",IF(Table2[[#This Row],[Currency]]=$O$2,$P$2,HLOOKUP(Table2[[#This Row],[Date]],Funds!$C$10:$GV$11,2,FALSE)))</f>
        <v/>
      </c>
      <c r="J5497" s="215" t="str">
        <f>IF(Table2[[#This Row],[Description]]="","",Table2[[#This Row],[Value]]/Table2[[#This Row],[Conversion]])</f>
        <v/>
      </c>
      <c r="K5497" s="45" t="str">
        <f>IF(Table2[[#This Row],[Description]]="","",DATE(Table2[[#This Row],[Year]],Table2[[#This Row],[Month]],1))</f>
        <v/>
      </c>
    </row>
    <row r="5498" spans="7:11" x14ac:dyDescent="0.25">
      <c r="G5498" s="1" t="str">
        <f>IF(Table2[[#This Row],[Description]]="","",VLOOKUP(Table2[[#This Row],[Description]],$Q$1:$S$101,2,FALSE))</f>
        <v/>
      </c>
      <c r="H5498" s="1" t="str">
        <f>IF(Table2[[#This Row],[Description]]="","",VLOOKUP(Table2[[#This Row],[Description]],$Q$1:$S$101,3,FALSE))</f>
        <v/>
      </c>
      <c r="I5498" s="1" t="str">
        <f>IF(Table2[[#This Row],[Description]]="","",IF(Table2[[#This Row],[Currency]]=$O$2,$P$2,HLOOKUP(Table2[[#This Row],[Date]],Funds!$C$10:$GV$11,2,FALSE)))</f>
        <v/>
      </c>
      <c r="J5498" s="215" t="str">
        <f>IF(Table2[[#This Row],[Description]]="","",Table2[[#This Row],[Value]]/Table2[[#This Row],[Conversion]])</f>
        <v/>
      </c>
      <c r="K5498" s="45" t="str">
        <f>IF(Table2[[#This Row],[Description]]="","",DATE(Table2[[#This Row],[Year]],Table2[[#This Row],[Month]],1))</f>
        <v/>
      </c>
    </row>
    <row r="5499" spans="7:11" x14ac:dyDescent="0.25">
      <c r="G5499" s="1" t="str">
        <f>IF(Table2[[#This Row],[Description]]="","",VLOOKUP(Table2[[#This Row],[Description]],$Q$1:$S$101,2,FALSE))</f>
        <v/>
      </c>
      <c r="H5499" s="1" t="str">
        <f>IF(Table2[[#This Row],[Description]]="","",VLOOKUP(Table2[[#This Row],[Description]],$Q$1:$S$101,3,FALSE))</f>
        <v/>
      </c>
      <c r="I5499" s="1" t="str">
        <f>IF(Table2[[#This Row],[Description]]="","",IF(Table2[[#This Row],[Currency]]=$O$2,$P$2,HLOOKUP(Table2[[#This Row],[Date]],Funds!$C$10:$GV$11,2,FALSE)))</f>
        <v/>
      </c>
      <c r="J5499" s="215" t="str">
        <f>IF(Table2[[#This Row],[Description]]="","",Table2[[#This Row],[Value]]/Table2[[#This Row],[Conversion]])</f>
        <v/>
      </c>
      <c r="K5499" s="45" t="str">
        <f>IF(Table2[[#This Row],[Description]]="","",DATE(Table2[[#This Row],[Year]],Table2[[#This Row],[Month]],1))</f>
        <v/>
      </c>
    </row>
    <row r="5500" spans="7:11" x14ac:dyDescent="0.25">
      <c r="G5500" s="1" t="str">
        <f>IF(Table2[[#This Row],[Description]]="","",VLOOKUP(Table2[[#This Row],[Description]],$Q$1:$S$101,2,FALSE))</f>
        <v/>
      </c>
      <c r="H5500" s="1" t="str">
        <f>IF(Table2[[#This Row],[Description]]="","",VLOOKUP(Table2[[#This Row],[Description]],$Q$1:$S$101,3,FALSE))</f>
        <v/>
      </c>
      <c r="I5500" s="1" t="str">
        <f>IF(Table2[[#This Row],[Description]]="","",IF(Table2[[#This Row],[Currency]]=$O$2,$P$2,HLOOKUP(Table2[[#This Row],[Date]],Funds!$C$10:$GV$11,2,FALSE)))</f>
        <v/>
      </c>
      <c r="J5500" s="215" t="str">
        <f>IF(Table2[[#This Row],[Description]]="","",Table2[[#This Row],[Value]]/Table2[[#This Row],[Conversion]])</f>
        <v/>
      </c>
      <c r="K5500" s="45" t="str">
        <f>IF(Table2[[#This Row],[Description]]="","",DATE(Table2[[#This Row],[Year]],Table2[[#This Row],[Month]],1))</f>
        <v/>
      </c>
    </row>
    <row r="5501" spans="7:11" x14ac:dyDescent="0.25">
      <c r="G5501" s="1" t="str">
        <f>IF(Table2[[#This Row],[Description]]="","",VLOOKUP(Table2[[#This Row],[Description]],$Q$1:$S$101,2,FALSE))</f>
        <v/>
      </c>
      <c r="H5501" s="1" t="str">
        <f>IF(Table2[[#This Row],[Description]]="","",VLOOKUP(Table2[[#This Row],[Description]],$Q$1:$S$101,3,FALSE))</f>
        <v/>
      </c>
      <c r="I5501" s="1" t="str">
        <f>IF(Table2[[#This Row],[Description]]="","",IF(Table2[[#This Row],[Currency]]=$O$2,$P$2,HLOOKUP(Table2[[#This Row],[Date]],Funds!$C$10:$GV$11,2,FALSE)))</f>
        <v/>
      </c>
      <c r="J5501" s="215" t="str">
        <f>IF(Table2[[#This Row],[Description]]="","",Table2[[#This Row],[Value]]/Table2[[#This Row],[Conversion]])</f>
        <v/>
      </c>
      <c r="K5501" s="45" t="str">
        <f>IF(Table2[[#This Row],[Description]]="","",DATE(Table2[[#This Row],[Year]],Table2[[#This Row],[Month]],1))</f>
        <v/>
      </c>
    </row>
    <row r="5502" spans="7:11" x14ac:dyDescent="0.25">
      <c r="G5502" s="1" t="str">
        <f>IF(Table2[[#This Row],[Description]]="","",VLOOKUP(Table2[[#This Row],[Description]],$Q$1:$S$101,2,FALSE))</f>
        <v/>
      </c>
      <c r="H5502" s="1" t="str">
        <f>IF(Table2[[#This Row],[Description]]="","",VLOOKUP(Table2[[#This Row],[Description]],$Q$1:$S$101,3,FALSE))</f>
        <v/>
      </c>
      <c r="I5502" s="1" t="str">
        <f>IF(Table2[[#This Row],[Description]]="","",IF(Table2[[#This Row],[Currency]]=$O$2,$P$2,HLOOKUP(Table2[[#This Row],[Date]],Funds!$C$10:$GV$11,2,FALSE)))</f>
        <v/>
      </c>
      <c r="J5502" s="215" t="str">
        <f>IF(Table2[[#This Row],[Description]]="","",Table2[[#This Row],[Value]]/Table2[[#This Row],[Conversion]])</f>
        <v/>
      </c>
      <c r="K5502" s="45" t="str">
        <f>IF(Table2[[#This Row],[Description]]="","",DATE(Table2[[#This Row],[Year]],Table2[[#This Row],[Month]],1))</f>
        <v/>
      </c>
    </row>
    <row r="5503" spans="7:11" x14ac:dyDescent="0.25">
      <c r="G5503" s="1" t="str">
        <f>IF(Table2[[#This Row],[Description]]="","",VLOOKUP(Table2[[#This Row],[Description]],$Q$1:$S$101,2,FALSE))</f>
        <v/>
      </c>
      <c r="H5503" s="1" t="str">
        <f>IF(Table2[[#This Row],[Description]]="","",VLOOKUP(Table2[[#This Row],[Description]],$Q$1:$S$101,3,FALSE))</f>
        <v/>
      </c>
      <c r="I5503" s="1" t="str">
        <f>IF(Table2[[#This Row],[Description]]="","",IF(Table2[[#This Row],[Currency]]=$O$2,$P$2,HLOOKUP(Table2[[#This Row],[Date]],Funds!$C$10:$GV$11,2,FALSE)))</f>
        <v/>
      </c>
      <c r="J5503" s="215" t="str">
        <f>IF(Table2[[#This Row],[Description]]="","",Table2[[#This Row],[Value]]/Table2[[#This Row],[Conversion]])</f>
        <v/>
      </c>
      <c r="K5503" s="45" t="str">
        <f>IF(Table2[[#This Row],[Description]]="","",DATE(Table2[[#This Row],[Year]],Table2[[#This Row],[Month]],1))</f>
        <v/>
      </c>
    </row>
    <row r="5504" spans="7:11" x14ac:dyDescent="0.25">
      <c r="G5504" s="1" t="str">
        <f>IF(Table2[[#This Row],[Description]]="","",VLOOKUP(Table2[[#This Row],[Description]],$Q$1:$S$101,2,FALSE))</f>
        <v/>
      </c>
      <c r="H5504" s="1" t="str">
        <f>IF(Table2[[#This Row],[Description]]="","",VLOOKUP(Table2[[#This Row],[Description]],$Q$1:$S$101,3,FALSE))</f>
        <v/>
      </c>
      <c r="I5504" s="1" t="str">
        <f>IF(Table2[[#This Row],[Description]]="","",IF(Table2[[#This Row],[Currency]]=$O$2,$P$2,HLOOKUP(Table2[[#This Row],[Date]],Funds!$C$10:$GV$11,2,FALSE)))</f>
        <v/>
      </c>
      <c r="J5504" s="215" t="str">
        <f>IF(Table2[[#This Row],[Description]]="","",Table2[[#This Row],[Value]]/Table2[[#This Row],[Conversion]])</f>
        <v/>
      </c>
      <c r="K5504" s="45" t="str">
        <f>IF(Table2[[#This Row],[Description]]="","",DATE(Table2[[#This Row],[Year]],Table2[[#This Row],[Month]],1))</f>
        <v/>
      </c>
    </row>
    <row r="5505" spans="7:11" x14ac:dyDescent="0.25">
      <c r="G5505" s="1" t="str">
        <f>IF(Table2[[#This Row],[Description]]="","",VLOOKUP(Table2[[#This Row],[Description]],$Q$1:$S$101,2,FALSE))</f>
        <v/>
      </c>
      <c r="H5505" s="1" t="str">
        <f>IF(Table2[[#This Row],[Description]]="","",VLOOKUP(Table2[[#This Row],[Description]],$Q$1:$S$101,3,FALSE))</f>
        <v/>
      </c>
      <c r="I5505" s="1" t="str">
        <f>IF(Table2[[#This Row],[Description]]="","",IF(Table2[[#This Row],[Currency]]=$O$2,$P$2,HLOOKUP(Table2[[#This Row],[Date]],Funds!$C$10:$GV$11,2,FALSE)))</f>
        <v/>
      </c>
      <c r="J5505" s="215" t="str">
        <f>IF(Table2[[#This Row],[Description]]="","",Table2[[#This Row],[Value]]/Table2[[#This Row],[Conversion]])</f>
        <v/>
      </c>
      <c r="K5505" s="45" t="str">
        <f>IF(Table2[[#This Row],[Description]]="","",DATE(Table2[[#This Row],[Year]],Table2[[#This Row],[Month]],1))</f>
        <v/>
      </c>
    </row>
    <row r="5506" spans="7:11" x14ac:dyDescent="0.25">
      <c r="G5506" s="1" t="str">
        <f>IF(Table2[[#This Row],[Description]]="","",VLOOKUP(Table2[[#This Row],[Description]],$Q$1:$S$101,2,FALSE))</f>
        <v/>
      </c>
      <c r="H5506" s="1" t="str">
        <f>IF(Table2[[#This Row],[Description]]="","",VLOOKUP(Table2[[#This Row],[Description]],$Q$1:$S$101,3,FALSE))</f>
        <v/>
      </c>
      <c r="I5506" s="1" t="str">
        <f>IF(Table2[[#This Row],[Description]]="","",IF(Table2[[#This Row],[Currency]]=$O$2,$P$2,HLOOKUP(Table2[[#This Row],[Date]],Funds!$C$10:$GV$11,2,FALSE)))</f>
        <v/>
      </c>
      <c r="J5506" s="215" t="str">
        <f>IF(Table2[[#This Row],[Description]]="","",Table2[[#This Row],[Value]]/Table2[[#This Row],[Conversion]])</f>
        <v/>
      </c>
      <c r="K5506" s="45" t="str">
        <f>IF(Table2[[#This Row],[Description]]="","",DATE(Table2[[#This Row],[Year]],Table2[[#This Row],[Month]],1))</f>
        <v/>
      </c>
    </row>
    <row r="5507" spans="7:11" x14ac:dyDescent="0.25">
      <c r="G5507" s="1" t="str">
        <f>IF(Table2[[#This Row],[Description]]="","",VLOOKUP(Table2[[#This Row],[Description]],$Q$1:$S$101,2,FALSE))</f>
        <v/>
      </c>
      <c r="H5507" s="1" t="str">
        <f>IF(Table2[[#This Row],[Description]]="","",VLOOKUP(Table2[[#This Row],[Description]],$Q$1:$S$101,3,FALSE))</f>
        <v/>
      </c>
      <c r="I5507" s="1" t="str">
        <f>IF(Table2[[#This Row],[Description]]="","",IF(Table2[[#This Row],[Currency]]=$O$2,$P$2,HLOOKUP(Table2[[#This Row],[Date]],Funds!$C$10:$GV$11,2,FALSE)))</f>
        <v/>
      </c>
      <c r="J5507" s="215" t="str">
        <f>IF(Table2[[#This Row],[Description]]="","",Table2[[#This Row],[Value]]/Table2[[#This Row],[Conversion]])</f>
        <v/>
      </c>
      <c r="K5507" s="45" t="str">
        <f>IF(Table2[[#This Row],[Description]]="","",DATE(Table2[[#This Row],[Year]],Table2[[#This Row],[Month]],1))</f>
        <v/>
      </c>
    </row>
    <row r="5508" spans="7:11" x14ac:dyDescent="0.25">
      <c r="G5508" s="1" t="str">
        <f>IF(Table2[[#This Row],[Description]]="","",VLOOKUP(Table2[[#This Row],[Description]],$Q$1:$S$101,2,FALSE))</f>
        <v/>
      </c>
      <c r="H5508" s="1" t="str">
        <f>IF(Table2[[#This Row],[Description]]="","",VLOOKUP(Table2[[#This Row],[Description]],$Q$1:$S$101,3,FALSE))</f>
        <v/>
      </c>
      <c r="I5508" s="1" t="str">
        <f>IF(Table2[[#This Row],[Description]]="","",IF(Table2[[#This Row],[Currency]]=$O$2,$P$2,HLOOKUP(Table2[[#This Row],[Date]],Funds!$C$10:$GV$11,2,FALSE)))</f>
        <v/>
      </c>
      <c r="J5508" s="215" t="str">
        <f>IF(Table2[[#This Row],[Description]]="","",Table2[[#This Row],[Value]]/Table2[[#This Row],[Conversion]])</f>
        <v/>
      </c>
      <c r="K5508" s="45" t="str">
        <f>IF(Table2[[#This Row],[Description]]="","",DATE(Table2[[#This Row],[Year]],Table2[[#This Row],[Month]],1))</f>
        <v/>
      </c>
    </row>
    <row r="5509" spans="7:11" x14ac:dyDescent="0.25">
      <c r="G5509" s="1" t="str">
        <f>IF(Table2[[#This Row],[Description]]="","",VLOOKUP(Table2[[#This Row],[Description]],$Q$1:$S$101,2,FALSE))</f>
        <v/>
      </c>
      <c r="H5509" s="1" t="str">
        <f>IF(Table2[[#This Row],[Description]]="","",VLOOKUP(Table2[[#This Row],[Description]],$Q$1:$S$101,3,FALSE))</f>
        <v/>
      </c>
      <c r="I5509" s="1" t="str">
        <f>IF(Table2[[#This Row],[Description]]="","",IF(Table2[[#This Row],[Currency]]=$O$2,$P$2,HLOOKUP(Table2[[#This Row],[Date]],Funds!$C$10:$GV$11,2,FALSE)))</f>
        <v/>
      </c>
      <c r="J5509" s="215" t="str">
        <f>IF(Table2[[#This Row],[Description]]="","",Table2[[#This Row],[Value]]/Table2[[#This Row],[Conversion]])</f>
        <v/>
      </c>
      <c r="K5509" s="45" t="str">
        <f>IF(Table2[[#This Row],[Description]]="","",DATE(Table2[[#This Row],[Year]],Table2[[#This Row],[Month]],1))</f>
        <v/>
      </c>
    </row>
    <row r="5510" spans="7:11" x14ac:dyDescent="0.25">
      <c r="G5510" s="1" t="str">
        <f>IF(Table2[[#This Row],[Description]]="","",VLOOKUP(Table2[[#This Row],[Description]],$Q$1:$S$101,2,FALSE))</f>
        <v/>
      </c>
      <c r="H5510" s="1" t="str">
        <f>IF(Table2[[#This Row],[Description]]="","",VLOOKUP(Table2[[#This Row],[Description]],$Q$1:$S$101,3,FALSE))</f>
        <v/>
      </c>
      <c r="I5510" s="1" t="str">
        <f>IF(Table2[[#This Row],[Description]]="","",IF(Table2[[#This Row],[Currency]]=$O$2,$P$2,HLOOKUP(Table2[[#This Row],[Date]],Funds!$C$10:$GV$11,2,FALSE)))</f>
        <v/>
      </c>
      <c r="J5510" s="215" t="str">
        <f>IF(Table2[[#This Row],[Description]]="","",Table2[[#This Row],[Value]]/Table2[[#This Row],[Conversion]])</f>
        <v/>
      </c>
      <c r="K5510" s="45" t="str">
        <f>IF(Table2[[#This Row],[Description]]="","",DATE(Table2[[#This Row],[Year]],Table2[[#This Row],[Month]],1))</f>
        <v/>
      </c>
    </row>
    <row r="5511" spans="7:11" x14ac:dyDescent="0.25">
      <c r="G5511" s="1" t="str">
        <f>IF(Table2[[#This Row],[Description]]="","",VLOOKUP(Table2[[#This Row],[Description]],$Q$1:$S$101,2,FALSE))</f>
        <v/>
      </c>
      <c r="H5511" s="1" t="str">
        <f>IF(Table2[[#This Row],[Description]]="","",VLOOKUP(Table2[[#This Row],[Description]],$Q$1:$S$101,3,FALSE))</f>
        <v/>
      </c>
      <c r="I5511" s="1" t="str">
        <f>IF(Table2[[#This Row],[Description]]="","",IF(Table2[[#This Row],[Currency]]=$O$2,$P$2,HLOOKUP(Table2[[#This Row],[Date]],Funds!$C$10:$GV$11,2,FALSE)))</f>
        <v/>
      </c>
      <c r="J5511" s="215" t="str">
        <f>IF(Table2[[#This Row],[Description]]="","",Table2[[#This Row],[Value]]/Table2[[#This Row],[Conversion]])</f>
        <v/>
      </c>
      <c r="K5511" s="45" t="str">
        <f>IF(Table2[[#This Row],[Description]]="","",DATE(Table2[[#This Row],[Year]],Table2[[#This Row],[Month]],1))</f>
        <v/>
      </c>
    </row>
    <row r="5512" spans="7:11" x14ac:dyDescent="0.25">
      <c r="G5512" s="1" t="str">
        <f>IF(Table2[[#This Row],[Description]]="","",VLOOKUP(Table2[[#This Row],[Description]],$Q$1:$S$101,2,FALSE))</f>
        <v/>
      </c>
      <c r="H5512" s="1" t="str">
        <f>IF(Table2[[#This Row],[Description]]="","",VLOOKUP(Table2[[#This Row],[Description]],$Q$1:$S$101,3,FALSE))</f>
        <v/>
      </c>
      <c r="I5512" s="1" t="str">
        <f>IF(Table2[[#This Row],[Description]]="","",IF(Table2[[#This Row],[Currency]]=$O$2,$P$2,HLOOKUP(Table2[[#This Row],[Date]],Funds!$C$10:$GV$11,2,FALSE)))</f>
        <v/>
      </c>
      <c r="J5512" s="215" t="str">
        <f>IF(Table2[[#This Row],[Description]]="","",Table2[[#This Row],[Value]]/Table2[[#This Row],[Conversion]])</f>
        <v/>
      </c>
      <c r="K5512" s="45" t="str">
        <f>IF(Table2[[#This Row],[Description]]="","",DATE(Table2[[#This Row],[Year]],Table2[[#This Row],[Month]],1))</f>
        <v/>
      </c>
    </row>
    <row r="5513" spans="7:11" x14ac:dyDescent="0.25">
      <c r="G5513" s="1" t="str">
        <f>IF(Table2[[#This Row],[Description]]="","",VLOOKUP(Table2[[#This Row],[Description]],$Q$1:$S$101,2,FALSE))</f>
        <v/>
      </c>
      <c r="H5513" s="1" t="str">
        <f>IF(Table2[[#This Row],[Description]]="","",VLOOKUP(Table2[[#This Row],[Description]],$Q$1:$S$101,3,FALSE))</f>
        <v/>
      </c>
      <c r="I5513" s="1" t="str">
        <f>IF(Table2[[#This Row],[Description]]="","",IF(Table2[[#This Row],[Currency]]=$O$2,$P$2,HLOOKUP(Table2[[#This Row],[Date]],Funds!$C$10:$GV$11,2,FALSE)))</f>
        <v/>
      </c>
      <c r="J5513" s="215" t="str">
        <f>IF(Table2[[#This Row],[Description]]="","",Table2[[#This Row],[Value]]/Table2[[#This Row],[Conversion]])</f>
        <v/>
      </c>
      <c r="K5513" s="45" t="str">
        <f>IF(Table2[[#This Row],[Description]]="","",DATE(Table2[[#This Row],[Year]],Table2[[#This Row],[Month]],1))</f>
        <v/>
      </c>
    </row>
    <row r="5514" spans="7:11" x14ac:dyDescent="0.25">
      <c r="G5514" s="1" t="str">
        <f>IF(Table2[[#This Row],[Description]]="","",VLOOKUP(Table2[[#This Row],[Description]],$Q$1:$S$101,2,FALSE))</f>
        <v/>
      </c>
      <c r="H5514" s="1" t="str">
        <f>IF(Table2[[#This Row],[Description]]="","",VLOOKUP(Table2[[#This Row],[Description]],$Q$1:$S$101,3,FALSE))</f>
        <v/>
      </c>
      <c r="I5514" s="1" t="str">
        <f>IF(Table2[[#This Row],[Description]]="","",IF(Table2[[#This Row],[Currency]]=$O$2,$P$2,HLOOKUP(Table2[[#This Row],[Date]],Funds!$C$10:$GV$11,2,FALSE)))</f>
        <v/>
      </c>
      <c r="J5514" s="215" t="str">
        <f>IF(Table2[[#This Row],[Description]]="","",Table2[[#This Row],[Value]]/Table2[[#This Row],[Conversion]])</f>
        <v/>
      </c>
      <c r="K5514" s="45" t="str">
        <f>IF(Table2[[#This Row],[Description]]="","",DATE(Table2[[#This Row],[Year]],Table2[[#This Row],[Month]],1))</f>
        <v/>
      </c>
    </row>
    <row r="5515" spans="7:11" x14ac:dyDescent="0.25">
      <c r="G5515" s="1" t="str">
        <f>IF(Table2[[#This Row],[Description]]="","",VLOOKUP(Table2[[#This Row],[Description]],$Q$1:$S$101,2,FALSE))</f>
        <v/>
      </c>
      <c r="H5515" s="1" t="str">
        <f>IF(Table2[[#This Row],[Description]]="","",VLOOKUP(Table2[[#This Row],[Description]],$Q$1:$S$101,3,FALSE))</f>
        <v/>
      </c>
      <c r="I5515" s="1" t="str">
        <f>IF(Table2[[#This Row],[Description]]="","",IF(Table2[[#This Row],[Currency]]=$O$2,$P$2,HLOOKUP(Table2[[#This Row],[Date]],Funds!$C$10:$GV$11,2,FALSE)))</f>
        <v/>
      </c>
      <c r="J5515" s="215" t="str">
        <f>IF(Table2[[#This Row],[Description]]="","",Table2[[#This Row],[Value]]/Table2[[#This Row],[Conversion]])</f>
        <v/>
      </c>
      <c r="K5515" s="45" t="str">
        <f>IF(Table2[[#This Row],[Description]]="","",DATE(Table2[[#This Row],[Year]],Table2[[#This Row],[Month]],1))</f>
        <v/>
      </c>
    </row>
    <row r="5516" spans="7:11" x14ac:dyDescent="0.25">
      <c r="G5516" s="1" t="str">
        <f>IF(Table2[[#This Row],[Description]]="","",VLOOKUP(Table2[[#This Row],[Description]],$Q$1:$S$101,2,FALSE))</f>
        <v/>
      </c>
      <c r="H5516" s="1" t="str">
        <f>IF(Table2[[#This Row],[Description]]="","",VLOOKUP(Table2[[#This Row],[Description]],$Q$1:$S$101,3,FALSE))</f>
        <v/>
      </c>
      <c r="I5516" s="1" t="str">
        <f>IF(Table2[[#This Row],[Description]]="","",IF(Table2[[#This Row],[Currency]]=$O$2,$P$2,HLOOKUP(Table2[[#This Row],[Date]],Funds!$C$10:$GV$11,2,FALSE)))</f>
        <v/>
      </c>
      <c r="J5516" s="215" t="str">
        <f>IF(Table2[[#This Row],[Description]]="","",Table2[[#This Row],[Value]]/Table2[[#This Row],[Conversion]])</f>
        <v/>
      </c>
      <c r="K5516" s="45" t="str">
        <f>IF(Table2[[#This Row],[Description]]="","",DATE(Table2[[#This Row],[Year]],Table2[[#This Row],[Month]],1))</f>
        <v/>
      </c>
    </row>
    <row r="5517" spans="7:11" x14ac:dyDescent="0.25">
      <c r="G5517" s="1" t="str">
        <f>IF(Table2[[#This Row],[Description]]="","",VLOOKUP(Table2[[#This Row],[Description]],$Q$1:$S$101,2,FALSE))</f>
        <v/>
      </c>
      <c r="H5517" s="1" t="str">
        <f>IF(Table2[[#This Row],[Description]]="","",VLOOKUP(Table2[[#This Row],[Description]],$Q$1:$S$101,3,FALSE))</f>
        <v/>
      </c>
      <c r="I5517" s="1" t="str">
        <f>IF(Table2[[#This Row],[Description]]="","",IF(Table2[[#This Row],[Currency]]=$O$2,$P$2,HLOOKUP(Table2[[#This Row],[Date]],Funds!$C$10:$GV$11,2,FALSE)))</f>
        <v/>
      </c>
      <c r="J5517" s="215" t="str">
        <f>IF(Table2[[#This Row],[Description]]="","",Table2[[#This Row],[Value]]/Table2[[#This Row],[Conversion]])</f>
        <v/>
      </c>
      <c r="K5517" s="45" t="str">
        <f>IF(Table2[[#This Row],[Description]]="","",DATE(Table2[[#This Row],[Year]],Table2[[#This Row],[Month]],1))</f>
        <v/>
      </c>
    </row>
    <row r="5518" spans="7:11" x14ac:dyDescent="0.25">
      <c r="G5518" s="1" t="str">
        <f>IF(Table2[[#This Row],[Description]]="","",VLOOKUP(Table2[[#This Row],[Description]],$Q$1:$S$101,2,FALSE))</f>
        <v/>
      </c>
      <c r="H5518" s="1" t="str">
        <f>IF(Table2[[#This Row],[Description]]="","",VLOOKUP(Table2[[#This Row],[Description]],$Q$1:$S$101,3,FALSE))</f>
        <v/>
      </c>
      <c r="I5518" s="1" t="str">
        <f>IF(Table2[[#This Row],[Description]]="","",IF(Table2[[#This Row],[Currency]]=$O$2,$P$2,HLOOKUP(Table2[[#This Row],[Date]],Funds!$C$10:$GV$11,2,FALSE)))</f>
        <v/>
      </c>
      <c r="J5518" s="215" t="str">
        <f>IF(Table2[[#This Row],[Description]]="","",Table2[[#This Row],[Value]]/Table2[[#This Row],[Conversion]])</f>
        <v/>
      </c>
      <c r="K5518" s="45" t="str">
        <f>IF(Table2[[#This Row],[Description]]="","",DATE(Table2[[#This Row],[Year]],Table2[[#This Row],[Month]],1))</f>
        <v/>
      </c>
    </row>
    <row r="5519" spans="7:11" x14ac:dyDescent="0.25">
      <c r="G5519" s="1" t="str">
        <f>IF(Table2[[#This Row],[Description]]="","",VLOOKUP(Table2[[#This Row],[Description]],$Q$1:$S$101,2,FALSE))</f>
        <v/>
      </c>
      <c r="H5519" s="1" t="str">
        <f>IF(Table2[[#This Row],[Description]]="","",VLOOKUP(Table2[[#This Row],[Description]],$Q$1:$S$101,3,FALSE))</f>
        <v/>
      </c>
      <c r="I5519" s="1" t="str">
        <f>IF(Table2[[#This Row],[Description]]="","",IF(Table2[[#This Row],[Currency]]=$O$2,$P$2,HLOOKUP(Table2[[#This Row],[Date]],Funds!$C$10:$GV$11,2,FALSE)))</f>
        <v/>
      </c>
      <c r="J5519" s="215" t="str">
        <f>IF(Table2[[#This Row],[Description]]="","",Table2[[#This Row],[Value]]/Table2[[#This Row],[Conversion]])</f>
        <v/>
      </c>
      <c r="K5519" s="45" t="str">
        <f>IF(Table2[[#This Row],[Description]]="","",DATE(Table2[[#This Row],[Year]],Table2[[#This Row],[Month]],1))</f>
        <v/>
      </c>
    </row>
    <row r="5520" spans="7:11" x14ac:dyDescent="0.25">
      <c r="G5520" s="1" t="str">
        <f>IF(Table2[[#This Row],[Description]]="","",VLOOKUP(Table2[[#This Row],[Description]],$Q$1:$S$101,2,FALSE))</f>
        <v/>
      </c>
      <c r="H5520" s="1" t="str">
        <f>IF(Table2[[#This Row],[Description]]="","",VLOOKUP(Table2[[#This Row],[Description]],$Q$1:$S$101,3,FALSE))</f>
        <v/>
      </c>
      <c r="I5520" s="1" t="str">
        <f>IF(Table2[[#This Row],[Description]]="","",IF(Table2[[#This Row],[Currency]]=$O$2,$P$2,HLOOKUP(Table2[[#This Row],[Date]],Funds!$C$10:$GV$11,2,FALSE)))</f>
        <v/>
      </c>
      <c r="J5520" s="215" t="str">
        <f>IF(Table2[[#This Row],[Description]]="","",Table2[[#This Row],[Value]]/Table2[[#This Row],[Conversion]])</f>
        <v/>
      </c>
      <c r="K5520" s="45" t="str">
        <f>IF(Table2[[#This Row],[Description]]="","",DATE(Table2[[#This Row],[Year]],Table2[[#This Row],[Month]],1))</f>
        <v/>
      </c>
    </row>
    <row r="5521" spans="7:11" x14ac:dyDescent="0.25">
      <c r="G5521" s="1" t="str">
        <f>IF(Table2[[#This Row],[Description]]="","",VLOOKUP(Table2[[#This Row],[Description]],$Q$1:$S$101,2,FALSE))</f>
        <v/>
      </c>
      <c r="H5521" s="1" t="str">
        <f>IF(Table2[[#This Row],[Description]]="","",VLOOKUP(Table2[[#This Row],[Description]],$Q$1:$S$101,3,FALSE))</f>
        <v/>
      </c>
      <c r="I5521" s="1" t="str">
        <f>IF(Table2[[#This Row],[Description]]="","",IF(Table2[[#This Row],[Currency]]=$O$2,$P$2,HLOOKUP(Table2[[#This Row],[Date]],Funds!$C$10:$GV$11,2,FALSE)))</f>
        <v/>
      </c>
      <c r="J5521" s="215" t="str">
        <f>IF(Table2[[#This Row],[Description]]="","",Table2[[#This Row],[Value]]/Table2[[#This Row],[Conversion]])</f>
        <v/>
      </c>
      <c r="K5521" s="45" t="str">
        <f>IF(Table2[[#This Row],[Description]]="","",DATE(Table2[[#This Row],[Year]],Table2[[#This Row],[Month]],1))</f>
        <v/>
      </c>
    </row>
    <row r="5522" spans="7:11" x14ac:dyDescent="0.25">
      <c r="G5522" s="1" t="str">
        <f>IF(Table2[[#This Row],[Description]]="","",VLOOKUP(Table2[[#This Row],[Description]],$Q$1:$S$101,2,FALSE))</f>
        <v/>
      </c>
      <c r="H5522" s="1" t="str">
        <f>IF(Table2[[#This Row],[Description]]="","",VLOOKUP(Table2[[#This Row],[Description]],$Q$1:$S$101,3,FALSE))</f>
        <v/>
      </c>
      <c r="I5522" s="1" t="str">
        <f>IF(Table2[[#This Row],[Description]]="","",IF(Table2[[#This Row],[Currency]]=$O$2,$P$2,HLOOKUP(Table2[[#This Row],[Date]],Funds!$C$10:$GV$11,2,FALSE)))</f>
        <v/>
      </c>
      <c r="J5522" s="215" t="str">
        <f>IF(Table2[[#This Row],[Description]]="","",Table2[[#This Row],[Value]]/Table2[[#This Row],[Conversion]])</f>
        <v/>
      </c>
      <c r="K5522" s="45" t="str">
        <f>IF(Table2[[#This Row],[Description]]="","",DATE(Table2[[#This Row],[Year]],Table2[[#This Row],[Month]],1))</f>
        <v/>
      </c>
    </row>
    <row r="5523" spans="7:11" x14ac:dyDescent="0.25">
      <c r="G5523" s="1" t="str">
        <f>IF(Table2[[#This Row],[Description]]="","",VLOOKUP(Table2[[#This Row],[Description]],$Q$1:$S$101,2,FALSE))</f>
        <v/>
      </c>
      <c r="H5523" s="1" t="str">
        <f>IF(Table2[[#This Row],[Description]]="","",VLOOKUP(Table2[[#This Row],[Description]],$Q$1:$S$101,3,FALSE))</f>
        <v/>
      </c>
      <c r="I5523" s="1" t="str">
        <f>IF(Table2[[#This Row],[Description]]="","",IF(Table2[[#This Row],[Currency]]=$O$2,$P$2,HLOOKUP(Table2[[#This Row],[Date]],Funds!$C$10:$GV$11,2,FALSE)))</f>
        <v/>
      </c>
      <c r="J5523" s="215" t="str">
        <f>IF(Table2[[#This Row],[Description]]="","",Table2[[#This Row],[Value]]/Table2[[#This Row],[Conversion]])</f>
        <v/>
      </c>
      <c r="K5523" s="45" t="str">
        <f>IF(Table2[[#This Row],[Description]]="","",DATE(Table2[[#This Row],[Year]],Table2[[#This Row],[Month]],1))</f>
        <v/>
      </c>
    </row>
    <row r="5524" spans="7:11" x14ac:dyDescent="0.25">
      <c r="G5524" s="1" t="str">
        <f>IF(Table2[[#This Row],[Description]]="","",VLOOKUP(Table2[[#This Row],[Description]],$Q$1:$S$101,2,FALSE))</f>
        <v/>
      </c>
      <c r="H5524" s="1" t="str">
        <f>IF(Table2[[#This Row],[Description]]="","",VLOOKUP(Table2[[#This Row],[Description]],$Q$1:$S$101,3,FALSE))</f>
        <v/>
      </c>
      <c r="I5524" s="1" t="str">
        <f>IF(Table2[[#This Row],[Description]]="","",IF(Table2[[#This Row],[Currency]]=$O$2,$P$2,HLOOKUP(Table2[[#This Row],[Date]],Funds!$C$10:$GV$11,2,FALSE)))</f>
        <v/>
      </c>
      <c r="J5524" s="215" t="str">
        <f>IF(Table2[[#This Row],[Description]]="","",Table2[[#This Row],[Value]]/Table2[[#This Row],[Conversion]])</f>
        <v/>
      </c>
      <c r="K5524" s="45" t="str">
        <f>IF(Table2[[#This Row],[Description]]="","",DATE(Table2[[#This Row],[Year]],Table2[[#This Row],[Month]],1))</f>
        <v/>
      </c>
    </row>
    <row r="5525" spans="7:11" x14ac:dyDescent="0.25">
      <c r="G5525" s="1" t="str">
        <f>IF(Table2[[#This Row],[Description]]="","",VLOOKUP(Table2[[#This Row],[Description]],$Q$1:$S$101,2,FALSE))</f>
        <v/>
      </c>
      <c r="H5525" s="1" t="str">
        <f>IF(Table2[[#This Row],[Description]]="","",VLOOKUP(Table2[[#This Row],[Description]],$Q$1:$S$101,3,FALSE))</f>
        <v/>
      </c>
      <c r="I5525" s="1" t="str">
        <f>IF(Table2[[#This Row],[Description]]="","",IF(Table2[[#This Row],[Currency]]=$O$2,$P$2,HLOOKUP(Table2[[#This Row],[Date]],Funds!$C$10:$GV$11,2,FALSE)))</f>
        <v/>
      </c>
      <c r="J5525" s="215" t="str">
        <f>IF(Table2[[#This Row],[Description]]="","",Table2[[#This Row],[Value]]/Table2[[#This Row],[Conversion]])</f>
        <v/>
      </c>
      <c r="K5525" s="45" t="str">
        <f>IF(Table2[[#This Row],[Description]]="","",DATE(Table2[[#This Row],[Year]],Table2[[#This Row],[Month]],1))</f>
        <v/>
      </c>
    </row>
    <row r="5526" spans="7:11" x14ac:dyDescent="0.25">
      <c r="G5526" s="1" t="str">
        <f>IF(Table2[[#This Row],[Description]]="","",VLOOKUP(Table2[[#This Row],[Description]],$Q$1:$S$101,2,FALSE))</f>
        <v/>
      </c>
      <c r="H5526" s="1" t="str">
        <f>IF(Table2[[#This Row],[Description]]="","",VLOOKUP(Table2[[#This Row],[Description]],$Q$1:$S$101,3,FALSE))</f>
        <v/>
      </c>
      <c r="I5526" s="1" t="str">
        <f>IF(Table2[[#This Row],[Description]]="","",IF(Table2[[#This Row],[Currency]]=$O$2,$P$2,HLOOKUP(Table2[[#This Row],[Date]],Funds!$C$10:$GV$11,2,FALSE)))</f>
        <v/>
      </c>
      <c r="J5526" s="215" t="str">
        <f>IF(Table2[[#This Row],[Description]]="","",Table2[[#This Row],[Value]]/Table2[[#This Row],[Conversion]])</f>
        <v/>
      </c>
      <c r="K5526" s="45" t="str">
        <f>IF(Table2[[#This Row],[Description]]="","",DATE(Table2[[#This Row],[Year]],Table2[[#This Row],[Month]],1))</f>
        <v/>
      </c>
    </row>
    <row r="5527" spans="7:11" x14ac:dyDescent="0.25">
      <c r="G5527" s="1" t="str">
        <f>IF(Table2[[#This Row],[Description]]="","",VLOOKUP(Table2[[#This Row],[Description]],$Q$1:$S$101,2,FALSE))</f>
        <v/>
      </c>
      <c r="H5527" s="1" t="str">
        <f>IF(Table2[[#This Row],[Description]]="","",VLOOKUP(Table2[[#This Row],[Description]],$Q$1:$S$101,3,FALSE))</f>
        <v/>
      </c>
      <c r="I5527" s="1" t="str">
        <f>IF(Table2[[#This Row],[Description]]="","",IF(Table2[[#This Row],[Currency]]=$O$2,$P$2,HLOOKUP(Table2[[#This Row],[Date]],Funds!$C$10:$GV$11,2,FALSE)))</f>
        <v/>
      </c>
      <c r="J5527" s="215" t="str">
        <f>IF(Table2[[#This Row],[Description]]="","",Table2[[#This Row],[Value]]/Table2[[#This Row],[Conversion]])</f>
        <v/>
      </c>
      <c r="K5527" s="45" t="str">
        <f>IF(Table2[[#This Row],[Description]]="","",DATE(Table2[[#This Row],[Year]],Table2[[#This Row],[Month]],1))</f>
        <v/>
      </c>
    </row>
    <row r="5528" spans="7:11" x14ac:dyDescent="0.25">
      <c r="G5528" s="1" t="str">
        <f>IF(Table2[[#This Row],[Description]]="","",VLOOKUP(Table2[[#This Row],[Description]],$Q$1:$S$101,2,FALSE))</f>
        <v/>
      </c>
      <c r="H5528" s="1" t="str">
        <f>IF(Table2[[#This Row],[Description]]="","",VLOOKUP(Table2[[#This Row],[Description]],$Q$1:$S$101,3,FALSE))</f>
        <v/>
      </c>
      <c r="I5528" s="1" t="str">
        <f>IF(Table2[[#This Row],[Description]]="","",IF(Table2[[#This Row],[Currency]]=$O$2,$P$2,HLOOKUP(Table2[[#This Row],[Date]],Funds!$C$10:$GV$11,2,FALSE)))</f>
        <v/>
      </c>
      <c r="J5528" s="215" t="str">
        <f>IF(Table2[[#This Row],[Description]]="","",Table2[[#This Row],[Value]]/Table2[[#This Row],[Conversion]])</f>
        <v/>
      </c>
      <c r="K5528" s="45" t="str">
        <f>IF(Table2[[#This Row],[Description]]="","",DATE(Table2[[#This Row],[Year]],Table2[[#This Row],[Month]],1))</f>
        <v/>
      </c>
    </row>
    <row r="5529" spans="7:11" x14ac:dyDescent="0.25">
      <c r="G5529" s="1" t="str">
        <f>IF(Table2[[#This Row],[Description]]="","",VLOOKUP(Table2[[#This Row],[Description]],$Q$1:$S$101,2,FALSE))</f>
        <v/>
      </c>
      <c r="H5529" s="1" t="str">
        <f>IF(Table2[[#This Row],[Description]]="","",VLOOKUP(Table2[[#This Row],[Description]],$Q$1:$S$101,3,FALSE))</f>
        <v/>
      </c>
      <c r="I5529" s="1" t="str">
        <f>IF(Table2[[#This Row],[Description]]="","",IF(Table2[[#This Row],[Currency]]=$O$2,$P$2,HLOOKUP(Table2[[#This Row],[Date]],Funds!$C$10:$GV$11,2,FALSE)))</f>
        <v/>
      </c>
      <c r="J5529" s="215" t="str">
        <f>IF(Table2[[#This Row],[Description]]="","",Table2[[#This Row],[Value]]/Table2[[#This Row],[Conversion]])</f>
        <v/>
      </c>
      <c r="K5529" s="45" t="str">
        <f>IF(Table2[[#This Row],[Description]]="","",DATE(Table2[[#This Row],[Year]],Table2[[#This Row],[Month]],1))</f>
        <v/>
      </c>
    </row>
    <row r="5530" spans="7:11" x14ac:dyDescent="0.25">
      <c r="G5530" s="1" t="str">
        <f>IF(Table2[[#This Row],[Description]]="","",VLOOKUP(Table2[[#This Row],[Description]],$Q$1:$S$101,2,FALSE))</f>
        <v/>
      </c>
      <c r="H5530" s="1" t="str">
        <f>IF(Table2[[#This Row],[Description]]="","",VLOOKUP(Table2[[#This Row],[Description]],$Q$1:$S$101,3,FALSE))</f>
        <v/>
      </c>
      <c r="I5530" s="1" t="str">
        <f>IF(Table2[[#This Row],[Description]]="","",IF(Table2[[#This Row],[Currency]]=$O$2,$P$2,HLOOKUP(Table2[[#This Row],[Date]],Funds!$C$10:$GV$11,2,FALSE)))</f>
        <v/>
      </c>
      <c r="J5530" s="215" t="str">
        <f>IF(Table2[[#This Row],[Description]]="","",Table2[[#This Row],[Value]]/Table2[[#This Row],[Conversion]])</f>
        <v/>
      </c>
      <c r="K5530" s="45" t="str">
        <f>IF(Table2[[#This Row],[Description]]="","",DATE(Table2[[#This Row],[Year]],Table2[[#This Row],[Month]],1))</f>
        <v/>
      </c>
    </row>
    <row r="5531" spans="7:11" x14ac:dyDescent="0.25">
      <c r="G5531" s="1" t="str">
        <f>IF(Table2[[#This Row],[Description]]="","",VLOOKUP(Table2[[#This Row],[Description]],$Q$1:$S$101,2,FALSE))</f>
        <v/>
      </c>
      <c r="H5531" s="1" t="str">
        <f>IF(Table2[[#This Row],[Description]]="","",VLOOKUP(Table2[[#This Row],[Description]],$Q$1:$S$101,3,FALSE))</f>
        <v/>
      </c>
      <c r="I5531" s="1" t="str">
        <f>IF(Table2[[#This Row],[Description]]="","",IF(Table2[[#This Row],[Currency]]=$O$2,$P$2,HLOOKUP(Table2[[#This Row],[Date]],Funds!$C$10:$GV$11,2,FALSE)))</f>
        <v/>
      </c>
      <c r="J5531" s="215" t="str">
        <f>IF(Table2[[#This Row],[Description]]="","",Table2[[#This Row],[Value]]/Table2[[#This Row],[Conversion]])</f>
        <v/>
      </c>
      <c r="K5531" s="45" t="str">
        <f>IF(Table2[[#This Row],[Description]]="","",DATE(Table2[[#This Row],[Year]],Table2[[#This Row],[Month]],1))</f>
        <v/>
      </c>
    </row>
    <row r="5532" spans="7:11" x14ac:dyDescent="0.25">
      <c r="G5532" s="1" t="str">
        <f>IF(Table2[[#This Row],[Description]]="","",VLOOKUP(Table2[[#This Row],[Description]],$Q$1:$S$101,2,FALSE))</f>
        <v/>
      </c>
      <c r="H5532" s="1" t="str">
        <f>IF(Table2[[#This Row],[Description]]="","",VLOOKUP(Table2[[#This Row],[Description]],$Q$1:$S$101,3,FALSE))</f>
        <v/>
      </c>
      <c r="I5532" s="1" t="str">
        <f>IF(Table2[[#This Row],[Description]]="","",IF(Table2[[#This Row],[Currency]]=$O$2,$P$2,HLOOKUP(Table2[[#This Row],[Date]],Funds!$C$10:$GV$11,2,FALSE)))</f>
        <v/>
      </c>
      <c r="J5532" s="215" t="str">
        <f>IF(Table2[[#This Row],[Description]]="","",Table2[[#This Row],[Value]]/Table2[[#This Row],[Conversion]])</f>
        <v/>
      </c>
      <c r="K5532" s="45" t="str">
        <f>IF(Table2[[#This Row],[Description]]="","",DATE(Table2[[#This Row],[Year]],Table2[[#This Row],[Month]],1))</f>
        <v/>
      </c>
    </row>
    <row r="5533" spans="7:11" x14ac:dyDescent="0.25">
      <c r="G5533" s="1" t="str">
        <f>IF(Table2[[#This Row],[Description]]="","",VLOOKUP(Table2[[#This Row],[Description]],$Q$1:$S$101,2,FALSE))</f>
        <v/>
      </c>
      <c r="H5533" s="1" t="str">
        <f>IF(Table2[[#This Row],[Description]]="","",VLOOKUP(Table2[[#This Row],[Description]],$Q$1:$S$101,3,FALSE))</f>
        <v/>
      </c>
      <c r="I5533" s="1" t="str">
        <f>IF(Table2[[#This Row],[Description]]="","",IF(Table2[[#This Row],[Currency]]=$O$2,$P$2,HLOOKUP(Table2[[#This Row],[Date]],Funds!$C$10:$GV$11,2,FALSE)))</f>
        <v/>
      </c>
      <c r="J5533" s="215" t="str">
        <f>IF(Table2[[#This Row],[Description]]="","",Table2[[#This Row],[Value]]/Table2[[#This Row],[Conversion]])</f>
        <v/>
      </c>
      <c r="K5533" s="45" t="str">
        <f>IF(Table2[[#This Row],[Description]]="","",DATE(Table2[[#This Row],[Year]],Table2[[#This Row],[Month]],1))</f>
        <v/>
      </c>
    </row>
    <row r="5534" spans="7:11" x14ac:dyDescent="0.25">
      <c r="G5534" s="1" t="str">
        <f>IF(Table2[[#This Row],[Description]]="","",VLOOKUP(Table2[[#This Row],[Description]],$Q$1:$S$101,2,FALSE))</f>
        <v/>
      </c>
      <c r="H5534" s="1" t="str">
        <f>IF(Table2[[#This Row],[Description]]="","",VLOOKUP(Table2[[#This Row],[Description]],$Q$1:$S$101,3,FALSE))</f>
        <v/>
      </c>
      <c r="I5534" s="1" t="str">
        <f>IF(Table2[[#This Row],[Description]]="","",IF(Table2[[#This Row],[Currency]]=$O$2,$P$2,HLOOKUP(Table2[[#This Row],[Date]],Funds!$C$10:$GV$11,2,FALSE)))</f>
        <v/>
      </c>
      <c r="J5534" s="215" t="str">
        <f>IF(Table2[[#This Row],[Description]]="","",Table2[[#This Row],[Value]]/Table2[[#This Row],[Conversion]])</f>
        <v/>
      </c>
      <c r="K5534" s="45" t="str">
        <f>IF(Table2[[#This Row],[Description]]="","",DATE(Table2[[#This Row],[Year]],Table2[[#This Row],[Month]],1))</f>
        <v/>
      </c>
    </row>
    <row r="5535" spans="7:11" x14ac:dyDescent="0.25">
      <c r="G5535" s="1" t="str">
        <f>IF(Table2[[#This Row],[Description]]="","",VLOOKUP(Table2[[#This Row],[Description]],$Q$1:$S$101,2,FALSE))</f>
        <v/>
      </c>
      <c r="H5535" s="1" t="str">
        <f>IF(Table2[[#This Row],[Description]]="","",VLOOKUP(Table2[[#This Row],[Description]],$Q$1:$S$101,3,FALSE))</f>
        <v/>
      </c>
      <c r="I5535" s="1" t="str">
        <f>IF(Table2[[#This Row],[Description]]="","",IF(Table2[[#This Row],[Currency]]=$O$2,$P$2,HLOOKUP(Table2[[#This Row],[Date]],Funds!$C$10:$GV$11,2,FALSE)))</f>
        <v/>
      </c>
      <c r="J5535" s="215" t="str">
        <f>IF(Table2[[#This Row],[Description]]="","",Table2[[#This Row],[Value]]/Table2[[#This Row],[Conversion]])</f>
        <v/>
      </c>
      <c r="K5535" s="45" t="str">
        <f>IF(Table2[[#This Row],[Description]]="","",DATE(Table2[[#This Row],[Year]],Table2[[#This Row],[Month]],1))</f>
        <v/>
      </c>
    </row>
    <row r="5536" spans="7:11" x14ac:dyDescent="0.25">
      <c r="G5536" s="1" t="str">
        <f>IF(Table2[[#This Row],[Description]]="","",VLOOKUP(Table2[[#This Row],[Description]],$Q$1:$S$101,2,FALSE))</f>
        <v/>
      </c>
      <c r="H5536" s="1" t="str">
        <f>IF(Table2[[#This Row],[Description]]="","",VLOOKUP(Table2[[#This Row],[Description]],$Q$1:$S$101,3,FALSE))</f>
        <v/>
      </c>
      <c r="I5536" s="1" t="str">
        <f>IF(Table2[[#This Row],[Description]]="","",IF(Table2[[#This Row],[Currency]]=$O$2,$P$2,HLOOKUP(Table2[[#This Row],[Date]],Funds!$C$10:$GV$11,2,FALSE)))</f>
        <v/>
      </c>
      <c r="J5536" s="215" t="str">
        <f>IF(Table2[[#This Row],[Description]]="","",Table2[[#This Row],[Value]]/Table2[[#This Row],[Conversion]])</f>
        <v/>
      </c>
      <c r="K5536" s="45" t="str">
        <f>IF(Table2[[#This Row],[Description]]="","",DATE(Table2[[#This Row],[Year]],Table2[[#This Row],[Month]],1))</f>
        <v/>
      </c>
    </row>
    <row r="5537" spans="7:11" x14ac:dyDescent="0.25">
      <c r="G5537" s="1" t="str">
        <f>IF(Table2[[#This Row],[Description]]="","",VLOOKUP(Table2[[#This Row],[Description]],$Q$1:$S$101,2,FALSE))</f>
        <v/>
      </c>
      <c r="H5537" s="1" t="str">
        <f>IF(Table2[[#This Row],[Description]]="","",VLOOKUP(Table2[[#This Row],[Description]],$Q$1:$S$101,3,FALSE))</f>
        <v/>
      </c>
      <c r="I5537" s="1" t="str">
        <f>IF(Table2[[#This Row],[Description]]="","",IF(Table2[[#This Row],[Currency]]=$O$2,$P$2,HLOOKUP(Table2[[#This Row],[Date]],Funds!$C$10:$GV$11,2,FALSE)))</f>
        <v/>
      </c>
      <c r="J5537" s="215" t="str">
        <f>IF(Table2[[#This Row],[Description]]="","",Table2[[#This Row],[Value]]/Table2[[#This Row],[Conversion]])</f>
        <v/>
      </c>
      <c r="K5537" s="45" t="str">
        <f>IF(Table2[[#This Row],[Description]]="","",DATE(Table2[[#This Row],[Year]],Table2[[#This Row],[Month]],1))</f>
        <v/>
      </c>
    </row>
    <row r="5538" spans="7:11" x14ac:dyDescent="0.25">
      <c r="G5538" s="1" t="str">
        <f>IF(Table2[[#This Row],[Description]]="","",VLOOKUP(Table2[[#This Row],[Description]],$Q$1:$S$101,2,FALSE))</f>
        <v/>
      </c>
      <c r="H5538" s="1" t="str">
        <f>IF(Table2[[#This Row],[Description]]="","",VLOOKUP(Table2[[#This Row],[Description]],$Q$1:$S$101,3,FALSE))</f>
        <v/>
      </c>
      <c r="I5538" s="1" t="str">
        <f>IF(Table2[[#This Row],[Description]]="","",IF(Table2[[#This Row],[Currency]]=$O$2,$P$2,HLOOKUP(Table2[[#This Row],[Date]],Funds!$C$10:$GV$11,2,FALSE)))</f>
        <v/>
      </c>
      <c r="J5538" s="215" t="str">
        <f>IF(Table2[[#This Row],[Description]]="","",Table2[[#This Row],[Value]]/Table2[[#This Row],[Conversion]])</f>
        <v/>
      </c>
      <c r="K5538" s="45" t="str">
        <f>IF(Table2[[#This Row],[Description]]="","",DATE(Table2[[#This Row],[Year]],Table2[[#This Row],[Month]],1))</f>
        <v/>
      </c>
    </row>
    <row r="5539" spans="7:11" x14ac:dyDescent="0.25">
      <c r="G5539" s="1" t="str">
        <f>IF(Table2[[#This Row],[Description]]="","",VLOOKUP(Table2[[#This Row],[Description]],$Q$1:$S$101,2,FALSE))</f>
        <v/>
      </c>
      <c r="H5539" s="1" t="str">
        <f>IF(Table2[[#This Row],[Description]]="","",VLOOKUP(Table2[[#This Row],[Description]],$Q$1:$S$101,3,FALSE))</f>
        <v/>
      </c>
      <c r="I5539" s="1" t="str">
        <f>IF(Table2[[#This Row],[Description]]="","",IF(Table2[[#This Row],[Currency]]=$O$2,$P$2,HLOOKUP(Table2[[#This Row],[Date]],Funds!$C$10:$GV$11,2,FALSE)))</f>
        <v/>
      </c>
      <c r="J5539" s="215" t="str">
        <f>IF(Table2[[#This Row],[Description]]="","",Table2[[#This Row],[Value]]/Table2[[#This Row],[Conversion]])</f>
        <v/>
      </c>
      <c r="K5539" s="45" t="str">
        <f>IF(Table2[[#This Row],[Description]]="","",DATE(Table2[[#This Row],[Year]],Table2[[#This Row],[Month]],1))</f>
        <v/>
      </c>
    </row>
    <row r="5540" spans="7:11" x14ac:dyDescent="0.25">
      <c r="G5540" s="1" t="str">
        <f>IF(Table2[[#This Row],[Description]]="","",VLOOKUP(Table2[[#This Row],[Description]],$Q$1:$S$101,2,FALSE))</f>
        <v/>
      </c>
      <c r="H5540" s="1" t="str">
        <f>IF(Table2[[#This Row],[Description]]="","",VLOOKUP(Table2[[#This Row],[Description]],$Q$1:$S$101,3,FALSE))</f>
        <v/>
      </c>
      <c r="I5540" s="1" t="str">
        <f>IF(Table2[[#This Row],[Description]]="","",IF(Table2[[#This Row],[Currency]]=$O$2,$P$2,HLOOKUP(Table2[[#This Row],[Date]],Funds!$C$10:$GV$11,2,FALSE)))</f>
        <v/>
      </c>
      <c r="J5540" s="215" t="str">
        <f>IF(Table2[[#This Row],[Description]]="","",Table2[[#This Row],[Value]]/Table2[[#This Row],[Conversion]])</f>
        <v/>
      </c>
      <c r="K5540" s="45" t="str">
        <f>IF(Table2[[#This Row],[Description]]="","",DATE(Table2[[#This Row],[Year]],Table2[[#This Row],[Month]],1))</f>
        <v/>
      </c>
    </row>
    <row r="5541" spans="7:11" x14ac:dyDescent="0.25">
      <c r="G5541" s="1" t="str">
        <f>IF(Table2[[#This Row],[Description]]="","",VLOOKUP(Table2[[#This Row],[Description]],$Q$1:$S$101,2,FALSE))</f>
        <v/>
      </c>
      <c r="H5541" s="1" t="str">
        <f>IF(Table2[[#This Row],[Description]]="","",VLOOKUP(Table2[[#This Row],[Description]],$Q$1:$S$101,3,FALSE))</f>
        <v/>
      </c>
      <c r="I5541" s="1" t="str">
        <f>IF(Table2[[#This Row],[Description]]="","",IF(Table2[[#This Row],[Currency]]=$O$2,$P$2,HLOOKUP(Table2[[#This Row],[Date]],Funds!$C$10:$GV$11,2,FALSE)))</f>
        <v/>
      </c>
      <c r="J5541" s="215" t="str">
        <f>IF(Table2[[#This Row],[Description]]="","",Table2[[#This Row],[Value]]/Table2[[#This Row],[Conversion]])</f>
        <v/>
      </c>
      <c r="K5541" s="45" t="str">
        <f>IF(Table2[[#This Row],[Description]]="","",DATE(Table2[[#This Row],[Year]],Table2[[#This Row],[Month]],1))</f>
        <v/>
      </c>
    </row>
    <row r="5542" spans="7:11" x14ac:dyDescent="0.25">
      <c r="G5542" s="1" t="str">
        <f>IF(Table2[[#This Row],[Description]]="","",VLOOKUP(Table2[[#This Row],[Description]],$Q$1:$S$101,2,FALSE))</f>
        <v/>
      </c>
      <c r="H5542" s="1" t="str">
        <f>IF(Table2[[#This Row],[Description]]="","",VLOOKUP(Table2[[#This Row],[Description]],$Q$1:$S$101,3,FALSE))</f>
        <v/>
      </c>
      <c r="I5542" s="1" t="str">
        <f>IF(Table2[[#This Row],[Description]]="","",IF(Table2[[#This Row],[Currency]]=$O$2,$P$2,HLOOKUP(Table2[[#This Row],[Date]],Funds!$C$10:$GV$11,2,FALSE)))</f>
        <v/>
      </c>
      <c r="J5542" s="215" t="str">
        <f>IF(Table2[[#This Row],[Description]]="","",Table2[[#This Row],[Value]]/Table2[[#This Row],[Conversion]])</f>
        <v/>
      </c>
      <c r="K5542" s="45" t="str">
        <f>IF(Table2[[#This Row],[Description]]="","",DATE(Table2[[#This Row],[Year]],Table2[[#This Row],[Month]],1))</f>
        <v/>
      </c>
    </row>
    <row r="5543" spans="7:11" x14ac:dyDescent="0.25">
      <c r="G5543" s="1" t="str">
        <f>IF(Table2[[#This Row],[Description]]="","",VLOOKUP(Table2[[#This Row],[Description]],$Q$1:$S$101,2,FALSE))</f>
        <v/>
      </c>
      <c r="H5543" s="1" t="str">
        <f>IF(Table2[[#This Row],[Description]]="","",VLOOKUP(Table2[[#This Row],[Description]],$Q$1:$S$101,3,FALSE))</f>
        <v/>
      </c>
      <c r="I5543" s="1" t="str">
        <f>IF(Table2[[#This Row],[Description]]="","",IF(Table2[[#This Row],[Currency]]=$O$2,$P$2,HLOOKUP(Table2[[#This Row],[Date]],Funds!$C$10:$GV$11,2,FALSE)))</f>
        <v/>
      </c>
      <c r="J5543" s="215" t="str">
        <f>IF(Table2[[#This Row],[Description]]="","",Table2[[#This Row],[Value]]/Table2[[#This Row],[Conversion]])</f>
        <v/>
      </c>
      <c r="K5543" s="45" t="str">
        <f>IF(Table2[[#This Row],[Description]]="","",DATE(Table2[[#This Row],[Year]],Table2[[#This Row],[Month]],1))</f>
        <v/>
      </c>
    </row>
    <row r="5544" spans="7:11" x14ac:dyDescent="0.25">
      <c r="G5544" s="1" t="str">
        <f>IF(Table2[[#This Row],[Description]]="","",VLOOKUP(Table2[[#This Row],[Description]],$Q$1:$S$101,2,FALSE))</f>
        <v/>
      </c>
      <c r="H5544" s="1" t="str">
        <f>IF(Table2[[#This Row],[Description]]="","",VLOOKUP(Table2[[#This Row],[Description]],$Q$1:$S$101,3,FALSE))</f>
        <v/>
      </c>
      <c r="I5544" s="1" t="str">
        <f>IF(Table2[[#This Row],[Description]]="","",IF(Table2[[#This Row],[Currency]]=$O$2,$P$2,HLOOKUP(Table2[[#This Row],[Date]],Funds!$C$10:$GV$11,2,FALSE)))</f>
        <v/>
      </c>
      <c r="J5544" s="215" t="str">
        <f>IF(Table2[[#This Row],[Description]]="","",Table2[[#This Row],[Value]]/Table2[[#This Row],[Conversion]])</f>
        <v/>
      </c>
      <c r="K5544" s="45" t="str">
        <f>IF(Table2[[#This Row],[Description]]="","",DATE(Table2[[#This Row],[Year]],Table2[[#This Row],[Month]],1))</f>
        <v/>
      </c>
    </row>
    <row r="5545" spans="7:11" x14ac:dyDescent="0.25">
      <c r="G5545" s="1" t="str">
        <f>IF(Table2[[#This Row],[Description]]="","",VLOOKUP(Table2[[#This Row],[Description]],$Q$1:$S$101,2,FALSE))</f>
        <v/>
      </c>
      <c r="H5545" s="1" t="str">
        <f>IF(Table2[[#This Row],[Description]]="","",VLOOKUP(Table2[[#This Row],[Description]],$Q$1:$S$101,3,FALSE))</f>
        <v/>
      </c>
      <c r="I5545" s="1" t="str">
        <f>IF(Table2[[#This Row],[Description]]="","",IF(Table2[[#This Row],[Currency]]=$O$2,$P$2,HLOOKUP(Table2[[#This Row],[Date]],Funds!$C$10:$GV$11,2,FALSE)))</f>
        <v/>
      </c>
      <c r="J5545" s="215" t="str">
        <f>IF(Table2[[#This Row],[Description]]="","",Table2[[#This Row],[Value]]/Table2[[#This Row],[Conversion]])</f>
        <v/>
      </c>
      <c r="K5545" s="45" t="str">
        <f>IF(Table2[[#This Row],[Description]]="","",DATE(Table2[[#This Row],[Year]],Table2[[#This Row],[Month]],1))</f>
        <v/>
      </c>
    </row>
    <row r="5546" spans="7:11" x14ac:dyDescent="0.25">
      <c r="G5546" s="1" t="str">
        <f>IF(Table2[[#This Row],[Description]]="","",VLOOKUP(Table2[[#This Row],[Description]],$Q$1:$S$101,2,FALSE))</f>
        <v/>
      </c>
      <c r="H5546" s="1" t="str">
        <f>IF(Table2[[#This Row],[Description]]="","",VLOOKUP(Table2[[#This Row],[Description]],$Q$1:$S$101,3,FALSE))</f>
        <v/>
      </c>
      <c r="I5546" s="1" t="str">
        <f>IF(Table2[[#This Row],[Description]]="","",IF(Table2[[#This Row],[Currency]]=$O$2,$P$2,HLOOKUP(Table2[[#This Row],[Date]],Funds!$C$10:$GV$11,2,FALSE)))</f>
        <v/>
      </c>
      <c r="J5546" s="215" t="str">
        <f>IF(Table2[[#This Row],[Description]]="","",Table2[[#This Row],[Value]]/Table2[[#This Row],[Conversion]])</f>
        <v/>
      </c>
      <c r="K5546" s="45" t="str">
        <f>IF(Table2[[#This Row],[Description]]="","",DATE(Table2[[#This Row],[Year]],Table2[[#This Row],[Month]],1))</f>
        <v/>
      </c>
    </row>
    <row r="5547" spans="7:11" x14ac:dyDescent="0.25">
      <c r="G5547" s="1" t="str">
        <f>IF(Table2[[#This Row],[Description]]="","",VLOOKUP(Table2[[#This Row],[Description]],$Q$1:$S$101,2,FALSE))</f>
        <v/>
      </c>
      <c r="H5547" s="1" t="str">
        <f>IF(Table2[[#This Row],[Description]]="","",VLOOKUP(Table2[[#This Row],[Description]],$Q$1:$S$101,3,FALSE))</f>
        <v/>
      </c>
      <c r="I5547" s="1" t="str">
        <f>IF(Table2[[#This Row],[Description]]="","",IF(Table2[[#This Row],[Currency]]=$O$2,$P$2,HLOOKUP(Table2[[#This Row],[Date]],Funds!$C$10:$GV$11,2,FALSE)))</f>
        <v/>
      </c>
      <c r="J5547" s="215" t="str">
        <f>IF(Table2[[#This Row],[Description]]="","",Table2[[#This Row],[Value]]/Table2[[#This Row],[Conversion]])</f>
        <v/>
      </c>
      <c r="K5547" s="45" t="str">
        <f>IF(Table2[[#This Row],[Description]]="","",DATE(Table2[[#This Row],[Year]],Table2[[#This Row],[Month]],1))</f>
        <v/>
      </c>
    </row>
    <row r="5548" spans="7:11" x14ac:dyDescent="0.25">
      <c r="G5548" s="1" t="str">
        <f>IF(Table2[[#This Row],[Description]]="","",VLOOKUP(Table2[[#This Row],[Description]],$Q$1:$S$101,2,FALSE))</f>
        <v/>
      </c>
      <c r="H5548" s="1" t="str">
        <f>IF(Table2[[#This Row],[Description]]="","",VLOOKUP(Table2[[#This Row],[Description]],$Q$1:$S$101,3,FALSE))</f>
        <v/>
      </c>
      <c r="I5548" s="1" t="str">
        <f>IF(Table2[[#This Row],[Description]]="","",IF(Table2[[#This Row],[Currency]]=$O$2,$P$2,HLOOKUP(Table2[[#This Row],[Date]],Funds!$C$10:$GV$11,2,FALSE)))</f>
        <v/>
      </c>
      <c r="J5548" s="215" t="str">
        <f>IF(Table2[[#This Row],[Description]]="","",Table2[[#This Row],[Value]]/Table2[[#This Row],[Conversion]])</f>
        <v/>
      </c>
      <c r="K5548" s="45" t="str">
        <f>IF(Table2[[#This Row],[Description]]="","",DATE(Table2[[#This Row],[Year]],Table2[[#This Row],[Month]],1))</f>
        <v/>
      </c>
    </row>
    <row r="5549" spans="7:11" x14ac:dyDescent="0.25">
      <c r="G5549" s="1" t="str">
        <f>IF(Table2[[#This Row],[Description]]="","",VLOOKUP(Table2[[#This Row],[Description]],$Q$1:$S$101,2,FALSE))</f>
        <v/>
      </c>
      <c r="H5549" s="1" t="str">
        <f>IF(Table2[[#This Row],[Description]]="","",VLOOKUP(Table2[[#This Row],[Description]],$Q$1:$S$101,3,FALSE))</f>
        <v/>
      </c>
      <c r="I5549" s="1" t="str">
        <f>IF(Table2[[#This Row],[Description]]="","",IF(Table2[[#This Row],[Currency]]=$O$2,$P$2,HLOOKUP(Table2[[#This Row],[Date]],Funds!$C$10:$GV$11,2,FALSE)))</f>
        <v/>
      </c>
      <c r="J5549" s="215" t="str">
        <f>IF(Table2[[#This Row],[Description]]="","",Table2[[#This Row],[Value]]/Table2[[#This Row],[Conversion]])</f>
        <v/>
      </c>
      <c r="K5549" s="45" t="str">
        <f>IF(Table2[[#This Row],[Description]]="","",DATE(Table2[[#This Row],[Year]],Table2[[#This Row],[Month]],1))</f>
        <v/>
      </c>
    </row>
    <row r="5550" spans="7:11" x14ac:dyDescent="0.25">
      <c r="G5550" s="1" t="str">
        <f>IF(Table2[[#This Row],[Description]]="","",VLOOKUP(Table2[[#This Row],[Description]],$Q$1:$S$101,2,FALSE))</f>
        <v/>
      </c>
      <c r="H5550" s="1" t="str">
        <f>IF(Table2[[#This Row],[Description]]="","",VLOOKUP(Table2[[#This Row],[Description]],$Q$1:$S$101,3,FALSE))</f>
        <v/>
      </c>
      <c r="I5550" s="1" t="str">
        <f>IF(Table2[[#This Row],[Description]]="","",IF(Table2[[#This Row],[Currency]]=$O$2,$P$2,HLOOKUP(Table2[[#This Row],[Date]],Funds!$C$10:$GV$11,2,FALSE)))</f>
        <v/>
      </c>
      <c r="J5550" s="215" t="str">
        <f>IF(Table2[[#This Row],[Description]]="","",Table2[[#This Row],[Value]]/Table2[[#This Row],[Conversion]])</f>
        <v/>
      </c>
      <c r="K5550" s="45" t="str">
        <f>IF(Table2[[#This Row],[Description]]="","",DATE(Table2[[#This Row],[Year]],Table2[[#This Row],[Month]],1))</f>
        <v/>
      </c>
    </row>
    <row r="5551" spans="7:11" x14ac:dyDescent="0.25">
      <c r="G5551" s="1" t="str">
        <f>IF(Table2[[#This Row],[Description]]="","",VLOOKUP(Table2[[#This Row],[Description]],$Q$1:$S$101,2,FALSE))</f>
        <v/>
      </c>
      <c r="H5551" s="1" t="str">
        <f>IF(Table2[[#This Row],[Description]]="","",VLOOKUP(Table2[[#This Row],[Description]],$Q$1:$S$101,3,FALSE))</f>
        <v/>
      </c>
      <c r="I5551" s="1" t="str">
        <f>IF(Table2[[#This Row],[Description]]="","",IF(Table2[[#This Row],[Currency]]=$O$2,$P$2,HLOOKUP(Table2[[#This Row],[Date]],Funds!$C$10:$GV$11,2,FALSE)))</f>
        <v/>
      </c>
      <c r="J5551" s="215" t="str">
        <f>IF(Table2[[#This Row],[Description]]="","",Table2[[#This Row],[Value]]/Table2[[#This Row],[Conversion]])</f>
        <v/>
      </c>
      <c r="K5551" s="45" t="str">
        <f>IF(Table2[[#This Row],[Description]]="","",DATE(Table2[[#This Row],[Year]],Table2[[#This Row],[Month]],1))</f>
        <v/>
      </c>
    </row>
    <row r="5552" spans="7:11" x14ac:dyDescent="0.25">
      <c r="G5552" s="1" t="str">
        <f>IF(Table2[[#This Row],[Description]]="","",VLOOKUP(Table2[[#This Row],[Description]],$Q$1:$S$101,2,FALSE))</f>
        <v/>
      </c>
      <c r="H5552" s="1" t="str">
        <f>IF(Table2[[#This Row],[Description]]="","",VLOOKUP(Table2[[#This Row],[Description]],$Q$1:$S$101,3,FALSE))</f>
        <v/>
      </c>
      <c r="I5552" s="1" t="str">
        <f>IF(Table2[[#This Row],[Description]]="","",IF(Table2[[#This Row],[Currency]]=$O$2,$P$2,HLOOKUP(Table2[[#This Row],[Date]],Funds!$C$10:$GV$11,2,FALSE)))</f>
        <v/>
      </c>
      <c r="J5552" s="215" t="str">
        <f>IF(Table2[[#This Row],[Description]]="","",Table2[[#This Row],[Value]]/Table2[[#This Row],[Conversion]])</f>
        <v/>
      </c>
      <c r="K5552" s="45" t="str">
        <f>IF(Table2[[#This Row],[Description]]="","",DATE(Table2[[#This Row],[Year]],Table2[[#This Row],[Month]],1))</f>
        <v/>
      </c>
    </row>
    <row r="5553" spans="7:11" x14ac:dyDescent="0.25">
      <c r="G5553" s="1" t="str">
        <f>IF(Table2[[#This Row],[Description]]="","",VLOOKUP(Table2[[#This Row],[Description]],$Q$1:$S$101,2,FALSE))</f>
        <v/>
      </c>
      <c r="H5553" s="1" t="str">
        <f>IF(Table2[[#This Row],[Description]]="","",VLOOKUP(Table2[[#This Row],[Description]],$Q$1:$S$101,3,FALSE))</f>
        <v/>
      </c>
      <c r="I5553" s="1" t="str">
        <f>IF(Table2[[#This Row],[Description]]="","",IF(Table2[[#This Row],[Currency]]=$O$2,$P$2,HLOOKUP(Table2[[#This Row],[Date]],Funds!$C$10:$GV$11,2,FALSE)))</f>
        <v/>
      </c>
      <c r="J5553" s="215" t="str">
        <f>IF(Table2[[#This Row],[Description]]="","",Table2[[#This Row],[Value]]/Table2[[#This Row],[Conversion]])</f>
        <v/>
      </c>
      <c r="K5553" s="45" t="str">
        <f>IF(Table2[[#This Row],[Description]]="","",DATE(Table2[[#This Row],[Year]],Table2[[#This Row],[Month]],1))</f>
        <v/>
      </c>
    </row>
    <row r="5554" spans="7:11" x14ac:dyDescent="0.25">
      <c r="G5554" s="1" t="str">
        <f>IF(Table2[[#This Row],[Description]]="","",VLOOKUP(Table2[[#This Row],[Description]],$Q$1:$S$101,2,FALSE))</f>
        <v/>
      </c>
      <c r="H5554" s="1" t="str">
        <f>IF(Table2[[#This Row],[Description]]="","",VLOOKUP(Table2[[#This Row],[Description]],$Q$1:$S$101,3,FALSE))</f>
        <v/>
      </c>
      <c r="I5554" s="1" t="str">
        <f>IF(Table2[[#This Row],[Description]]="","",IF(Table2[[#This Row],[Currency]]=$O$2,$P$2,HLOOKUP(Table2[[#This Row],[Date]],Funds!$C$10:$GV$11,2,FALSE)))</f>
        <v/>
      </c>
      <c r="J5554" s="215" t="str">
        <f>IF(Table2[[#This Row],[Description]]="","",Table2[[#This Row],[Value]]/Table2[[#This Row],[Conversion]])</f>
        <v/>
      </c>
      <c r="K5554" s="45" t="str">
        <f>IF(Table2[[#This Row],[Description]]="","",DATE(Table2[[#This Row],[Year]],Table2[[#This Row],[Month]],1))</f>
        <v/>
      </c>
    </row>
    <row r="5555" spans="7:11" x14ac:dyDescent="0.25">
      <c r="G5555" s="1" t="str">
        <f>IF(Table2[[#This Row],[Description]]="","",VLOOKUP(Table2[[#This Row],[Description]],$Q$1:$S$101,2,FALSE))</f>
        <v/>
      </c>
      <c r="H5555" s="1" t="str">
        <f>IF(Table2[[#This Row],[Description]]="","",VLOOKUP(Table2[[#This Row],[Description]],$Q$1:$S$101,3,FALSE))</f>
        <v/>
      </c>
      <c r="I5555" s="1" t="str">
        <f>IF(Table2[[#This Row],[Description]]="","",IF(Table2[[#This Row],[Currency]]=$O$2,$P$2,HLOOKUP(Table2[[#This Row],[Date]],Funds!$C$10:$GV$11,2,FALSE)))</f>
        <v/>
      </c>
      <c r="J5555" s="215" t="str">
        <f>IF(Table2[[#This Row],[Description]]="","",Table2[[#This Row],[Value]]/Table2[[#This Row],[Conversion]])</f>
        <v/>
      </c>
      <c r="K5555" s="45" t="str">
        <f>IF(Table2[[#This Row],[Description]]="","",DATE(Table2[[#This Row],[Year]],Table2[[#This Row],[Month]],1))</f>
        <v/>
      </c>
    </row>
    <row r="5556" spans="7:11" x14ac:dyDescent="0.25">
      <c r="G5556" s="1" t="str">
        <f>IF(Table2[[#This Row],[Description]]="","",VLOOKUP(Table2[[#This Row],[Description]],$Q$1:$S$101,2,FALSE))</f>
        <v/>
      </c>
      <c r="H5556" s="1" t="str">
        <f>IF(Table2[[#This Row],[Description]]="","",VLOOKUP(Table2[[#This Row],[Description]],$Q$1:$S$101,3,FALSE))</f>
        <v/>
      </c>
      <c r="I5556" s="1" t="str">
        <f>IF(Table2[[#This Row],[Description]]="","",IF(Table2[[#This Row],[Currency]]=$O$2,$P$2,HLOOKUP(Table2[[#This Row],[Date]],Funds!$C$10:$GV$11,2,FALSE)))</f>
        <v/>
      </c>
      <c r="J5556" s="215" t="str">
        <f>IF(Table2[[#This Row],[Description]]="","",Table2[[#This Row],[Value]]/Table2[[#This Row],[Conversion]])</f>
        <v/>
      </c>
      <c r="K5556" s="45" t="str">
        <f>IF(Table2[[#This Row],[Description]]="","",DATE(Table2[[#This Row],[Year]],Table2[[#This Row],[Month]],1))</f>
        <v/>
      </c>
    </row>
    <row r="5557" spans="7:11" x14ac:dyDescent="0.25">
      <c r="G5557" s="1" t="str">
        <f>IF(Table2[[#This Row],[Description]]="","",VLOOKUP(Table2[[#This Row],[Description]],$Q$1:$S$101,2,FALSE))</f>
        <v/>
      </c>
      <c r="H5557" s="1" t="str">
        <f>IF(Table2[[#This Row],[Description]]="","",VLOOKUP(Table2[[#This Row],[Description]],$Q$1:$S$101,3,FALSE))</f>
        <v/>
      </c>
      <c r="I5557" s="1" t="str">
        <f>IF(Table2[[#This Row],[Description]]="","",IF(Table2[[#This Row],[Currency]]=$O$2,$P$2,HLOOKUP(Table2[[#This Row],[Date]],Funds!$C$10:$GV$11,2,FALSE)))</f>
        <v/>
      </c>
      <c r="J5557" s="215" t="str">
        <f>IF(Table2[[#This Row],[Description]]="","",Table2[[#This Row],[Value]]/Table2[[#This Row],[Conversion]])</f>
        <v/>
      </c>
      <c r="K5557" s="45" t="str">
        <f>IF(Table2[[#This Row],[Description]]="","",DATE(Table2[[#This Row],[Year]],Table2[[#This Row],[Month]],1))</f>
        <v/>
      </c>
    </row>
    <row r="5558" spans="7:11" x14ac:dyDescent="0.25">
      <c r="G5558" s="1" t="str">
        <f>IF(Table2[[#This Row],[Description]]="","",VLOOKUP(Table2[[#This Row],[Description]],$Q$1:$S$101,2,FALSE))</f>
        <v/>
      </c>
      <c r="H5558" s="1" t="str">
        <f>IF(Table2[[#This Row],[Description]]="","",VLOOKUP(Table2[[#This Row],[Description]],$Q$1:$S$101,3,FALSE))</f>
        <v/>
      </c>
      <c r="I5558" s="1" t="str">
        <f>IF(Table2[[#This Row],[Description]]="","",IF(Table2[[#This Row],[Currency]]=$O$2,$P$2,HLOOKUP(Table2[[#This Row],[Date]],Funds!$C$10:$GV$11,2,FALSE)))</f>
        <v/>
      </c>
      <c r="J5558" s="215" t="str">
        <f>IF(Table2[[#This Row],[Description]]="","",Table2[[#This Row],[Value]]/Table2[[#This Row],[Conversion]])</f>
        <v/>
      </c>
      <c r="K5558" s="45" t="str">
        <f>IF(Table2[[#This Row],[Description]]="","",DATE(Table2[[#This Row],[Year]],Table2[[#This Row],[Month]],1))</f>
        <v/>
      </c>
    </row>
    <row r="5559" spans="7:11" x14ac:dyDescent="0.25">
      <c r="G5559" s="1" t="str">
        <f>IF(Table2[[#This Row],[Description]]="","",VLOOKUP(Table2[[#This Row],[Description]],$Q$1:$S$101,2,FALSE))</f>
        <v/>
      </c>
      <c r="H5559" s="1" t="str">
        <f>IF(Table2[[#This Row],[Description]]="","",VLOOKUP(Table2[[#This Row],[Description]],$Q$1:$S$101,3,FALSE))</f>
        <v/>
      </c>
      <c r="I5559" s="1" t="str">
        <f>IF(Table2[[#This Row],[Description]]="","",IF(Table2[[#This Row],[Currency]]=$O$2,$P$2,HLOOKUP(Table2[[#This Row],[Date]],Funds!$C$10:$GV$11,2,FALSE)))</f>
        <v/>
      </c>
      <c r="J5559" s="215" t="str">
        <f>IF(Table2[[#This Row],[Description]]="","",Table2[[#This Row],[Value]]/Table2[[#This Row],[Conversion]])</f>
        <v/>
      </c>
      <c r="K5559" s="45" t="str">
        <f>IF(Table2[[#This Row],[Description]]="","",DATE(Table2[[#This Row],[Year]],Table2[[#This Row],[Month]],1))</f>
        <v/>
      </c>
    </row>
    <row r="5560" spans="7:11" x14ac:dyDescent="0.25">
      <c r="G5560" s="1" t="str">
        <f>IF(Table2[[#This Row],[Description]]="","",VLOOKUP(Table2[[#This Row],[Description]],$Q$1:$S$101,2,FALSE))</f>
        <v/>
      </c>
      <c r="H5560" s="1" t="str">
        <f>IF(Table2[[#This Row],[Description]]="","",VLOOKUP(Table2[[#This Row],[Description]],$Q$1:$S$101,3,FALSE))</f>
        <v/>
      </c>
      <c r="I5560" s="1" t="str">
        <f>IF(Table2[[#This Row],[Description]]="","",IF(Table2[[#This Row],[Currency]]=$O$2,$P$2,HLOOKUP(Table2[[#This Row],[Date]],Funds!$C$10:$GV$11,2,FALSE)))</f>
        <v/>
      </c>
      <c r="J5560" s="215" t="str">
        <f>IF(Table2[[#This Row],[Description]]="","",Table2[[#This Row],[Value]]/Table2[[#This Row],[Conversion]])</f>
        <v/>
      </c>
      <c r="K5560" s="45" t="str">
        <f>IF(Table2[[#This Row],[Description]]="","",DATE(Table2[[#This Row],[Year]],Table2[[#This Row],[Month]],1))</f>
        <v/>
      </c>
    </row>
    <row r="5561" spans="7:11" x14ac:dyDescent="0.25">
      <c r="G5561" s="1" t="str">
        <f>IF(Table2[[#This Row],[Description]]="","",VLOOKUP(Table2[[#This Row],[Description]],$Q$1:$S$101,2,FALSE))</f>
        <v/>
      </c>
      <c r="H5561" s="1" t="str">
        <f>IF(Table2[[#This Row],[Description]]="","",VLOOKUP(Table2[[#This Row],[Description]],$Q$1:$S$101,3,FALSE))</f>
        <v/>
      </c>
      <c r="I5561" s="1" t="str">
        <f>IF(Table2[[#This Row],[Description]]="","",IF(Table2[[#This Row],[Currency]]=$O$2,$P$2,HLOOKUP(Table2[[#This Row],[Date]],Funds!$C$10:$GV$11,2,FALSE)))</f>
        <v/>
      </c>
      <c r="J5561" s="215" t="str">
        <f>IF(Table2[[#This Row],[Description]]="","",Table2[[#This Row],[Value]]/Table2[[#This Row],[Conversion]])</f>
        <v/>
      </c>
      <c r="K5561" s="45" t="str">
        <f>IF(Table2[[#This Row],[Description]]="","",DATE(Table2[[#This Row],[Year]],Table2[[#This Row],[Month]],1))</f>
        <v/>
      </c>
    </row>
    <row r="5562" spans="7:11" x14ac:dyDescent="0.25">
      <c r="G5562" s="1" t="str">
        <f>IF(Table2[[#This Row],[Description]]="","",VLOOKUP(Table2[[#This Row],[Description]],$Q$1:$S$101,2,FALSE))</f>
        <v/>
      </c>
      <c r="H5562" s="1" t="str">
        <f>IF(Table2[[#This Row],[Description]]="","",VLOOKUP(Table2[[#This Row],[Description]],$Q$1:$S$101,3,FALSE))</f>
        <v/>
      </c>
      <c r="I5562" s="1" t="str">
        <f>IF(Table2[[#This Row],[Description]]="","",IF(Table2[[#This Row],[Currency]]=$O$2,$P$2,HLOOKUP(Table2[[#This Row],[Date]],Funds!$C$10:$GV$11,2,FALSE)))</f>
        <v/>
      </c>
      <c r="J5562" s="215" t="str">
        <f>IF(Table2[[#This Row],[Description]]="","",Table2[[#This Row],[Value]]/Table2[[#This Row],[Conversion]])</f>
        <v/>
      </c>
      <c r="K5562" s="45" t="str">
        <f>IF(Table2[[#This Row],[Description]]="","",DATE(Table2[[#This Row],[Year]],Table2[[#This Row],[Month]],1))</f>
        <v/>
      </c>
    </row>
    <row r="5563" spans="7:11" x14ac:dyDescent="0.25">
      <c r="G5563" s="1" t="str">
        <f>IF(Table2[[#This Row],[Description]]="","",VLOOKUP(Table2[[#This Row],[Description]],$Q$1:$S$101,2,FALSE))</f>
        <v/>
      </c>
      <c r="H5563" s="1" t="str">
        <f>IF(Table2[[#This Row],[Description]]="","",VLOOKUP(Table2[[#This Row],[Description]],$Q$1:$S$101,3,FALSE))</f>
        <v/>
      </c>
      <c r="I5563" s="1" t="str">
        <f>IF(Table2[[#This Row],[Description]]="","",IF(Table2[[#This Row],[Currency]]=$O$2,$P$2,HLOOKUP(Table2[[#This Row],[Date]],Funds!$C$10:$GV$11,2,FALSE)))</f>
        <v/>
      </c>
      <c r="J5563" s="215" t="str">
        <f>IF(Table2[[#This Row],[Description]]="","",Table2[[#This Row],[Value]]/Table2[[#This Row],[Conversion]])</f>
        <v/>
      </c>
      <c r="K5563" s="45" t="str">
        <f>IF(Table2[[#This Row],[Description]]="","",DATE(Table2[[#This Row],[Year]],Table2[[#This Row],[Month]],1))</f>
        <v/>
      </c>
    </row>
    <row r="5564" spans="7:11" x14ac:dyDescent="0.25">
      <c r="G5564" s="1" t="str">
        <f>IF(Table2[[#This Row],[Description]]="","",VLOOKUP(Table2[[#This Row],[Description]],$Q$1:$S$101,2,FALSE))</f>
        <v/>
      </c>
      <c r="H5564" s="1" t="str">
        <f>IF(Table2[[#This Row],[Description]]="","",VLOOKUP(Table2[[#This Row],[Description]],$Q$1:$S$101,3,FALSE))</f>
        <v/>
      </c>
      <c r="I5564" s="1" t="str">
        <f>IF(Table2[[#This Row],[Description]]="","",IF(Table2[[#This Row],[Currency]]=$O$2,$P$2,HLOOKUP(Table2[[#This Row],[Date]],Funds!$C$10:$GV$11,2,FALSE)))</f>
        <v/>
      </c>
      <c r="J5564" s="215" t="str">
        <f>IF(Table2[[#This Row],[Description]]="","",Table2[[#This Row],[Value]]/Table2[[#This Row],[Conversion]])</f>
        <v/>
      </c>
      <c r="K5564" s="45" t="str">
        <f>IF(Table2[[#This Row],[Description]]="","",DATE(Table2[[#This Row],[Year]],Table2[[#This Row],[Month]],1))</f>
        <v/>
      </c>
    </row>
    <row r="5565" spans="7:11" x14ac:dyDescent="0.25">
      <c r="G5565" s="1" t="str">
        <f>IF(Table2[[#This Row],[Description]]="","",VLOOKUP(Table2[[#This Row],[Description]],$Q$1:$S$101,2,FALSE))</f>
        <v/>
      </c>
      <c r="H5565" s="1" t="str">
        <f>IF(Table2[[#This Row],[Description]]="","",VLOOKUP(Table2[[#This Row],[Description]],$Q$1:$S$101,3,FALSE))</f>
        <v/>
      </c>
      <c r="I5565" s="1" t="str">
        <f>IF(Table2[[#This Row],[Description]]="","",IF(Table2[[#This Row],[Currency]]=$O$2,$P$2,HLOOKUP(Table2[[#This Row],[Date]],Funds!$C$10:$GV$11,2,FALSE)))</f>
        <v/>
      </c>
      <c r="J5565" s="215" t="str">
        <f>IF(Table2[[#This Row],[Description]]="","",Table2[[#This Row],[Value]]/Table2[[#This Row],[Conversion]])</f>
        <v/>
      </c>
      <c r="K5565" s="45" t="str">
        <f>IF(Table2[[#This Row],[Description]]="","",DATE(Table2[[#This Row],[Year]],Table2[[#This Row],[Month]],1))</f>
        <v/>
      </c>
    </row>
    <row r="5566" spans="7:11" x14ac:dyDescent="0.25">
      <c r="G5566" s="1" t="str">
        <f>IF(Table2[[#This Row],[Description]]="","",VLOOKUP(Table2[[#This Row],[Description]],$Q$1:$S$101,2,FALSE))</f>
        <v/>
      </c>
      <c r="H5566" s="1" t="str">
        <f>IF(Table2[[#This Row],[Description]]="","",VLOOKUP(Table2[[#This Row],[Description]],$Q$1:$S$101,3,FALSE))</f>
        <v/>
      </c>
      <c r="I5566" s="1" t="str">
        <f>IF(Table2[[#This Row],[Description]]="","",IF(Table2[[#This Row],[Currency]]=$O$2,$P$2,HLOOKUP(Table2[[#This Row],[Date]],Funds!$C$10:$GV$11,2,FALSE)))</f>
        <v/>
      </c>
      <c r="J5566" s="215" t="str">
        <f>IF(Table2[[#This Row],[Description]]="","",Table2[[#This Row],[Value]]/Table2[[#This Row],[Conversion]])</f>
        <v/>
      </c>
      <c r="K5566" s="45" t="str">
        <f>IF(Table2[[#This Row],[Description]]="","",DATE(Table2[[#This Row],[Year]],Table2[[#This Row],[Month]],1))</f>
        <v/>
      </c>
    </row>
    <row r="5567" spans="7:11" x14ac:dyDescent="0.25">
      <c r="G5567" s="1" t="str">
        <f>IF(Table2[[#This Row],[Description]]="","",VLOOKUP(Table2[[#This Row],[Description]],$Q$1:$S$101,2,FALSE))</f>
        <v/>
      </c>
      <c r="H5567" s="1" t="str">
        <f>IF(Table2[[#This Row],[Description]]="","",VLOOKUP(Table2[[#This Row],[Description]],$Q$1:$S$101,3,FALSE))</f>
        <v/>
      </c>
      <c r="I5567" s="1" t="str">
        <f>IF(Table2[[#This Row],[Description]]="","",IF(Table2[[#This Row],[Currency]]=$O$2,$P$2,HLOOKUP(Table2[[#This Row],[Date]],Funds!$C$10:$GV$11,2,FALSE)))</f>
        <v/>
      </c>
      <c r="J5567" s="215" t="str">
        <f>IF(Table2[[#This Row],[Description]]="","",Table2[[#This Row],[Value]]/Table2[[#This Row],[Conversion]])</f>
        <v/>
      </c>
      <c r="K5567" s="45" t="str">
        <f>IF(Table2[[#This Row],[Description]]="","",DATE(Table2[[#This Row],[Year]],Table2[[#This Row],[Month]],1))</f>
        <v/>
      </c>
    </row>
    <row r="5568" spans="7:11" x14ac:dyDescent="0.25">
      <c r="G5568" s="1" t="str">
        <f>IF(Table2[[#This Row],[Description]]="","",VLOOKUP(Table2[[#This Row],[Description]],$Q$1:$S$101,2,FALSE))</f>
        <v/>
      </c>
      <c r="H5568" s="1" t="str">
        <f>IF(Table2[[#This Row],[Description]]="","",VLOOKUP(Table2[[#This Row],[Description]],$Q$1:$S$101,3,FALSE))</f>
        <v/>
      </c>
      <c r="I5568" s="1" t="str">
        <f>IF(Table2[[#This Row],[Description]]="","",IF(Table2[[#This Row],[Currency]]=$O$2,$P$2,HLOOKUP(Table2[[#This Row],[Date]],Funds!$C$10:$GV$11,2,FALSE)))</f>
        <v/>
      </c>
      <c r="J5568" s="215" t="str">
        <f>IF(Table2[[#This Row],[Description]]="","",Table2[[#This Row],[Value]]/Table2[[#This Row],[Conversion]])</f>
        <v/>
      </c>
      <c r="K5568" s="45" t="str">
        <f>IF(Table2[[#This Row],[Description]]="","",DATE(Table2[[#This Row],[Year]],Table2[[#This Row],[Month]],1))</f>
        <v/>
      </c>
    </row>
    <row r="5569" spans="7:11" x14ac:dyDescent="0.25">
      <c r="G5569" s="1" t="str">
        <f>IF(Table2[[#This Row],[Description]]="","",VLOOKUP(Table2[[#This Row],[Description]],$Q$1:$S$101,2,FALSE))</f>
        <v/>
      </c>
      <c r="H5569" s="1" t="str">
        <f>IF(Table2[[#This Row],[Description]]="","",VLOOKUP(Table2[[#This Row],[Description]],$Q$1:$S$101,3,FALSE))</f>
        <v/>
      </c>
      <c r="I5569" s="1" t="str">
        <f>IF(Table2[[#This Row],[Description]]="","",IF(Table2[[#This Row],[Currency]]=$O$2,$P$2,HLOOKUP(Table2[[#This Row],[Date]],Funds!$C$10:$GV$11,2,FALSE)))</f>
        <v/>
      </c>
      <c r="J5569" s="215" t="str">
        <f>IF(Table2[[#This Row],[Description]]="","",Table2[[#This Row],[Value]]/Table2[[#This Row],[Conversion]])</f>
        <v/>
      </c>
      <c r="K5569" s="45" t="str">
        <f>IF(Table2[[#This Row],[Description]]="","",DATE(Table2[[#This Row],[Year]],Table2[[#This Row],[Month]],1))</f>
        <v/>
      </c>
    </row>
    <row r="5570" spans="7:11" x14ac:dyDescent="0.25">
      <c r="G5570" s="1" t="str">
        <f>IF(Table2[[#This Row],[Description]]="","",VLOOKUP(Table2[[#This Row],[Description]],$Q$1:$S$101,2,FALSE))</f>
        <v/>
      </c>
      <c r="H5570" s="1" t="str">
        <f>IF(Table2[[#This Row],[Description]]="","",VLOOKUP(Table2[[#This Row],[Description]],$Q$1:$S$101,3,FALSE))</f>
        <v/>
      </c>
      <c r="I5570" s="1" t="str">
        <f>IF(Table2[[#This Row],[Description]]="","",IF(Table2[[#This Row],[Currency]]=$O$2,$P$2,HLOOKUP(Table2[[#This Row],[Date]],Funds!$C$10:$GV$11,2,FALSE)))</f>
        <v/>
      </c>
      <c r="J5570" s="215" t="str">
        <f>IF(Table2[[#This Row],[Description]]="","",Table2[[#This Row],[Value]]/Table2[[#This Row],[Conversion]])</f>
        <v/>
      </c>
      <c r="K5570" s="45" t="str">
        <f>IF(Table2[[#This Row],[Description]]="","",DATE(Table2[[#This Row],[Year]],Table2[[#This Row],[Month]],1))</f>
        <v/>
      </c>
    </row>
    <row r="5571" spans="7:11" x14ac:dyDescent="0.25">
      <c r="G5571" s="1" t="str">
        <f>IF(Table2[[#This Row],[Description]]="","",VLOOKUP(Table2[[#This Row],[Description]],$Q$1:$S$101,2,FALSE))</f>
        <v/>
      </c>
      <c r="H5571" s="1" t="str">
        <f>IF(Table2[[#This Row],[Description]]="","",VLOOKUP(Table2[[#This Row],[Description]],$Q$1:$S$101,3,FALSE))</f>
        <v/>
      </c>
      <c r="I5571" s="1" t="str">
        <f>IF(Table2[[#This Row],[Description]]="","",IF(Table2[[#This Row],[Currency]]=$O$2,$P$2,HLOOKUP(Table2[[#This Row],[Date]],Funds!$C$10:$GV$11,2,FALSE)))</f>
        <v/>
      </c>
      <c r="J5571" s="215" t="str">
        <f>IF(Table2[[#This Row],[Description]]="","",Table2[[#This Row],[Value]]/Table2[[#This Row],[Conversion]])</f>
        <v/>
      </c>
      <c r="K5571" s="45" t="str">
        <f>IF(Table2[[#This Row],[Description]]="","",DATE(Table2[[#This Row],[Year]],Table2[[#This Row],[Month]],1))</f>
        <v/>
      </c>
    </row>
    <row r="5572" spans="7:11" x14ac:dyDescent="0.25">
      <c r="G5572" s="1" t="str">
        <f>IF(Table2[[#This Row],[Description]]="","",VLOOKUP(Table2[[#This Row],[Description]],$Q$1:$S$101,2,FALSE))</f>
        <v/>
      </c>
      <c r="H5572" s="1" t="str">
        <f>IF(Table2[[#This Row],[Description]]="","",VLOOKUP(Table2[[#This Row],[Description]],$Q$1:$S$101,3,FALSE))</f>
        <v/>
      </c>
      <c r="I5572" s="1" t="str">
        <f>IF(Table2[[#This Row],[Description]]="","",IF(Table2[[#This Row],[Currency]]=$O$2,$P$2,HLOOKUP(Table2[[#This Row],[Date]],Funds!$C$10:$GV$11,2,FALSE)))</f>
        <v/>
      </c>
      <c r="J5572" s="215" t="str">
        <f>IF(Table2[[#This Row],[Description]]="","",Table2[[#This Row],[Value]]/Table2[[#This Row],[Conversion]])</f>
        <v/>
      </c>
      <c r="K5572" s="45" t="str">
        <f>IF(Table2[[#This Row],[Description]]="","",DATE(Table2[[#This Row],[Year]],Table2[[#This Row],[Month]],1))</f>
        <v/>
      </c>
    </row>
    <row r="5573" spans="7:11" x14ac:dyDescent="0.25">
      <c r="G5573" s="1" t="str">
        <f>IF(Table2[[#This Row],[Description]]="","",VLOOKUP(Table2[[#This Row],[Description]],$Q$1:$S$101,2,FALSE))</f>
        <v/>
      </c>
      <c r="H5573" s="1" t="str">
        <f>IF(Table2[[#This Row],[Description]]="","",VLOOKUP(Table2[[#This Row],[Description]],$Q$1:$S$101,3,FALSE))</f>
        <v/>
      </c>
      <c r="I5573" s="1" t="str">
        <f>IF(Table2[[#This Row],[Description]]="","",IF(Table2[[#This Row],[Currency]]=$O$2,$P$2,HLOOKUP(Table2[[#This Row],[Date]],Funds!$C$10:$GV$11,2,FALSE)))</f>
        <v/>
      </c>
      <c r="J5573" s="215" t="str">
        <f>IF(Table2[[#This Row],[Description]]="","",Table2[[#This Row],[Value]]/Table2[[#This Row],[Conversion]])</f>
        <v/>
      </c>
      <c r="K5573" s="45" t="str">
        <f>IF(Table2[[#This Row],[Description]]="","",DATE(Table2[[#This Row],[Year]],Table2[[#This Row],[Month]],1))</f>
        <v/>
      </c>
    </row>
    <row r="5574" spans="7:11" x14ac:dyDescent="0.25">
      <c r="G5574" s="1" t="str">
        <f>IF(Table2[[#This Row],[Description]]="","",VLOOKUP(Table2[[#This Row],[Description]],$Q$1:$S$101,2,FALSE))</f>
        <v/>
      </c>
      <c r="H5574" s="1" t="str">
        <f>IF(Table2[[#This Row],[Description]]="","",VLOOKUP(Table2[[#This Row],[Description]],$Q$1:$S$101,3,FALSE))</f>
        <v/>
      </c>
      <c r="I5574" s="1" t="str">
        <f>IF(Table2[[#This Row],[Description]]="","",IF(Table2[[#This Row],[Currency]]=$O$2,$P$2,HLOOKUP(Table2[[#This Row],[Date]],Funds!$C$10:$GV$11,2,FALSE)))</f>
        <v/>
      </c>
      <c r="J5574" s="215" t="str">
        <f>IF(Table2[[#This Row],[Description]]="","",Table2[[#This Row],[Value]]/Table2[[#This Row],[Conversion]])</f>
        <v/>
      </c>
      <c r="K5574" s="45" t="str">
        <f>IF(Table2[[#This Row],[Description]]="","",DATE(Table2[[#This Row],[Year]],Table2[[#This Row],[Month]],1))</f>
        <v/>
      </c>
    </row>
    <row r="5575" spans="7:11" x14ac:dyDescent="0.25">
      <c r="G5575" s="1" t="str">
        <f>IF(Table2[[#This Row],[Description]]="","",VLOOKUP(Table2[[#This Row],[Description]],$Q$1:$S$101,2,FALSE))</f>
        <v/>
      </c>
      <c r="H5575" s="1" t="str">
        <f>IF(Table2[[#This Row],[Description]]="","",VLOOKUP(Table2[[#This Row],[Description]],$Q$1:$S$101,3,FALSE))</f>
        <v/>
      </c>
      <c r="I5575" s="1" t="str">
        <f>IF(Table2[[#This Row],[Description]]="","",IF(Table2[[#This Row],[Currency]]=$O$2,$P$2,HLOOKUP(Table2[[#This Row],[Date]],Funds!$C$10:$GV$11,2,FALSE)))</f>
        <v/>
      </c>
      <c r="J5575" s="215" t="str">
        <f>IF(Table2[[#This Row],[Description]]="","",Table2[[#This Row],[Value]]/Table2[[#This Row],[Conversion]])</f>
        <v/>
      </c>
      <c r="K5575" s="45" t="str">
        <f>IF(Table2[[#This Row],[Description]]="","",DATE(Table2[[#This Row],[Year]],Table2[[#This Row],[Month]],1))</f>
        <v/>
      </c>
    </row>
    <row r="5576" spans="7:11" x14ac:dyDescent="0.25">
      <c r="G5576" s="1" t="str">
        <f>IF(Table2[[#This Row],[Description]]="","",VLOOKUP(Table2[[#This Row],[Description]],$Q$1:$S$101,2,FALSE))</f>
        <v/>
      </c>
      <c r="H5576" s="1" t="str">
        <f>IF(Table2[[#This Row],[Description]]="","",VLOOKUP(Table2[[#This Row],[Description]],$Q$1:$S$101,3,FALSE))</f>
        <v/>
      </c>
      <c r="I5576" s="1" t="str">
        <f>IF(Table2[[#This Row],[Description]]="","",IF(Table2[[#This Row],[Currency]]=$O$2,$P$2,HLOOKUP(Table2[[#This Row],[Date]],Funds!$C$10:$GV$11,2,FALSE)))</f>
        <v/>
      </c>
      <c r="J5576" s="215" t="str">
        <f>IF(Table2[[#This Row],[Description]]="","",Table2[[#This Row],[Value]]/Table2[[#This Row],[Conversion]])</f>
        <v/>
      </c>
      <c r="K5576" s="45" t="str">
        <f>IF(Table2[[#This Row],[Description]]="","",DATE(Table2[[#This Row],[Year]],Table2[[#This Row],[Month]],1))</f>
        <v/>
      </c>
    </row>
    <row r="5577" spans="7:11" x14ac:dyDescent="0.25">
      <c r="G5577" s="1" t="str">
        <f>IF(Table2[[#This Row],[Description]]="","",VLOOKUP(Table2[[#This Row],[Description]],$Q$1:$S$101,2,FALSE))</f>
        <v/>
      </c>
      <c r="H5577" s="1" t="str">
        <f>IF(Table2[[#This Row],[Description]]="","",VLOOKUP(Table2[[#This Row],[Description]],$Q$1:$S$101,3,FALSE))</f>
        <v/>
      </c>
      <c r="I5577" s="1" t="str">
        <f>IF(Table2[[#This Row],[Description]]="","",IF(Table2[[#This Row],[Currency]]=$O$2,$P$2,HLOOKUP(Table2[[#This Row],[Date]],Funds!$C$10:$GV$11,2,FALSE)))</f>
        <v/>
      </c>
      <c r="J5577" s="215" t="str">
        <f>IF(Table2[[#This Row],[Description]]="","",Table2[[#This Row],[Value]]/Table2[[#This Row],[Conversion]])</f>
        <v/>
      </c>
      <c r="K5577" s="45" t="str">
        <f>IF(Table2[[#This Row],[Description]]="","",DATE(Table2[[#This Row],[Year]],Table2[[#This Row],[Month]],1))</f>
        <v/>
      </c>
    </row>
    <row r="5578" spans="7:11" x14ac:dyDescent="0.25">
      <c r="G5578" s="1" t="str">
        <f>IF(Table2[[#This Row],[Description]]="","",VLOOKUP(Table2[[#This Row],[Description]],$Q$1:$S$101,2,FALSE))</f>
        <v/>
      </c>
      <c r="H5578" s="1" t="str">
        <f>IF(Table2[[#This Row],[Description]]="","",VLOOKUP(Table2[[#This Row],[Description]],$Q$1:$S$101,3,FALSE))</f>
        <v/>
      </c>
      <c r="I5578" s="1" t="str">
        <f>IF(Table2[[#This Row],[Description]]="","",IF(Table2[[#This Row],[Currency]]=$O$2,$P$2,HLOOKUP(Table2[[#This Row],[Date]],Funds!$C$10:$GV$11,2,FALSE)))</f>
        <v/>
      </c>
      <c r="J5578" s="215" t="str">
        <f>IF(Table2[[#This Row],[Description]]="","",Table2[[#This Row],[Value]]/Table2[[#This Row],[Conversion]])</f>
        <v/>
      </c>
      <c r="K5578" s="45" t="str">
        <f>IF(Table2[[#This Row],[Description]]="","",DATE(Table2[[#This Row],[Year]],Table2[[#This Row],[Month]],1))</f>
        <v/>
      </c>
    </row>
    <row r="5579" spans="7:11" x14ac:dyDescent="0.25">
      <c r="G5579" s="1" t="str">
        <f>IF(Table2[[#This Row],[Description]]="","",VLOOKUP(Table2[[#This Row],[Description]],$Q$1:$S$101,2,FALSE))</f>
        <v/>
      </c>
      <c r="H5579" s="1" t="str">
        <f>IF(Table2[[#This Row],[Description]]="","",VLOOKUP(Table2[[#This Row],[Description]],$Q$1:$S$101,3,FALSE))</f>
        <v/>
      </c>
      <c r="I5579" s="1" t="str">
        <f>IF(Table2[[#This Row],[Description]]="","",IF(Table2[[#This Row],[Currency]]=$O$2,$P$2,HLOOKUP(Table2[[#This Row],[Date]],Funds!$C$10:$GV$11,2,FALSE)))</f>
        <v/>
      </c>
      <c r="J5579" s="215" t="str">
        <f>IF(Table2[[#This Row],[Description]]="","",Table2[[#This Row],[Value]]/Table2[[#This Row],[Conversion]])</f>
        <v/>
      </c>
      <c r="K5579" s="45" t="str">
        <f>IF(Table2[[#This Row],[Description]]="","",DATE(Table2[[#This Row],[Year]],Table2[[#This Row],[Month]],1))</f>
        <v/>
      </c>
    </row>
    <row r="5580" spans="7:11" x14ac:dyDescent="0.25">
      <c r="G5580" s="1" t="str">
        <f>IF(Table2[[#This Row],[Description]]="","",VLOOKUP(Table2[[#This Row],[Description]],$Q$1:$S$101,2,FALSE))</f>
        <v/>
      </c>
      <c r="H5580" s="1" t="str">
        <f>IF(Table2[[#This Row],[Description]]="","",VLOOKUP(Table2[[#This Row],[Description]],$Q$1:$S$101,3,FALSE))</f>
        <v/>
      </c>
      <c r="I5580" s="1" t="str">
        <f>IF(Table2[[#This Row],[Description]]="","",IF(Table2[[#This Row],[Currency]]=$O$2,$P$2,HLOOKUP(Table2[[#This Row],[Date]],Funds!$C$10:$GV$11,2,FALSE)))</f>
        <v/>
      </c>
      <c r="J5580" s="215" t="str">
        <f>IF(Table2[[#This Row],[Description]]="","",Table2[[#This Row],[Value]]/Table2[[#This Row],[Conversion]])</f>
        <v/>
      </c>
      <c r="K5580" s="45" t="str">
        <f>IF(Table2[[#This Row],[Description]]="","",DATE(Table2[[#This Row],[Year]],Table2[[#This Row],[Month]],1))</f>
        <v/>
      </c>
    </row>
    <row r="5581" spans="7:11" x14ac:dyDescent="0.25">
      <c r="G5581" s="1" t="str">
        <f>IF(Table2[[#This Row],[Description]]="","",VLOOKUP(Table2[[#This Row],[Description]],$Q$1:$S$101,2,FALSE))</f>
        <v/>
      </c>
      <c r="H5581" s="1" t="str">
        <f>IF(Table2[[#This Row],[Description]]="","",VLOOKUP(Table2[[#This Row],[Description]],$Q$1:$S$101,3,FALSE))</f>
        <v/>
      </c>
      <c r="I5581" s="1" t="str">
        <f>IF(Table2[[#This Row],[Description]]="","",IF(Table2[[#This Row],[Currency]]=$O$2,$P$2,HLOOKUP(Table2[[#This Row],[Date]],Funds!$C$10:$GV$11,2,FALSE)))</f>
        <v/>
      </c>
      <c r="J5581" s="215" t="str">
        <f>IF(Table2[[#This Row],[Description]]="","",Table2[[#This Row],[Value]]/Table2[[#This Row],[Conversion]])</f>
        <v/>
      </c>
      <c r="K5581" s="45" t="str">
        <f>IF(Table2[[#This Row],[Description]]="","",DATE(Table2[[#This Row],[Year]],Table2[[#This Row],[Month]],1))</f>
        <v/>
      </c>
    </row>
    <row r="5582" spans="7:11" x14ac:dyDescent="0.25">
      <c r="G5582" s="1" t="str">
        <f>IF(Table2[[#This Row],[Description]]="","",VLOOKUP(Table2[[#This Row],[Description]],$Q$1:$S$101,2,FALSE))</f>
        <v/>
      </c>
      <c r="H5582" s="1" t="str">
        <f>IF(Table2[[#This Row],[Description]]="","",VLOOKUP(Table2[[#This Row],[Description]],$Q$1:$S$101,3,FALSE))</f>
        <v/>
      </c>
      <c r="I5582" s="1" t="str">
        <f>IF(Table2[[#This Row],[Description]]="","",IF(Table2[[#This Row],[Currency]]=$O$2,$P$2,HLOOKUP(Table2[[#This Row],[Date]],Funds!$C$10:$GV$11,2,FALSE)))</f>
        <v/>
      </c>
      <c r="J5582" s="215" t="str">
        <f>IF(Table2[[#This Row],[Description]]="","",Table2[[#This Row],[Value]]/Table2[[#This Row],[Conversion]])</f>
        <v/>
      </c>
      <c r="K5582" s="45" t="str">
        <f>IF(Table2[[#This Row],[Description]]="","",DATE(Table2[[#This Row],[Year]],Table2[[#This Row],[Month]],1))</f>
        <v/>
      </c>
    </row>
    <row r="5583" spans="7:11" x14ac:dyDescent="0.25">
      <c r="G5583" s="1" t="str">
        <f>IF(Table2[[#This Row],[Description]]="","",VLOOKUP(Table2[[#This Row],[Description]],$Q$1:$S$101,2,FALSE))</f>
        <v/>
      </c>
      <c r="H5583" s="1" t="str">
        <f>IF(Table2[[#This Row],[Description]]="","",VLOOKUP(Table2[[#This Row],[Description]],$Q$1:$S$101,3,FALSE))</f>
        <v/>
      </c>
      <c r="I5583" s="1" t="str">
        <f>IF(Table2[[#This Row],[Description]]="","",IF(Table2[[#This Row],[Currency]]=$O$2,$P$2,HLOOKUP(Table2[[#This Row],[Date]],Funds!$C$10:$GV$11,2,FALSE)))</f>
        <v/>
      </c>
      <c r="J5583" s="215" t="str">
        <f>IF(Table2[[#This Row],[Description]]="","",Table2[[#This Row],[Value]]/Table2[[#This Row],[Conversion]])</f>
        <v/>
      </c>
      <c r="K5583" s="45" t="str">
        <f>IF(Table2[[#This Row],[Description]]="","",DATE(Table2[[#This Row],[Year]],Table2[[#This Row],[Month]],1))</f>
        <v/>
      </c>
    </row>
    <row r="5584" spans="7:11" x14ac:dyDescent="0.25">
      <c r="G5584" s="1" t="str">
        <f>IF(Table2[[#This Row],[Description]]="","",VLOOKUP(Table2[[#This Row],[Description]],$Q$1:$S$101,2,FALSE))</f>
        <v/>
      </c>
      <c r="H5584" s="1" t="str">
        <f>IF(Table2[[#This Row],[Description]]="","",VLOOKUP(Table2[[#This Row],[Description]],$Q$1:$S$101,3,FALSE))</f>
        <v/>
      </c>
      <c r="I5584" s="1" t="str">
        <f>IF(Table2[[#This Row],[Description]]="","",IF(Table2[[#This Row],[Currency]]=$O$2,$P$2,HLOOKUP(Table2[[#This Row],[Date]],Funds!$C$10:$GV$11,2,FALSE)))</f>
        <v/>
      </c>
      <c r="J5584" s="215" t="str">
        <f>IF(Table2[[#This Row],[Description]]="","",Table2[[#This Row],[Value]]/Table2[[#This Row],[Conversion]])</f>
        <v/>
      </c>
      <c r="K5584" s="45" t="str">
        <f>IF(Table2[[#This Row],[Description]]="","",DATE(Table2[[#This Row],[Year]],Table2[[#This Row],[Month]],1))</f>
        <v/>
      </c>
    </row>
    <row r="5585" spans="7:11" x14ac:dyDescent="0.25">
      <c r="G5585" s="1" t="str">
        <f>IF(Table2[[#This Row],[Description]]="","",VLOOKUP(Table2[[#This Row],[Description]],$Q$1:$S$101,2,FALSE))</f>
        <v/>
      </c>
      <c r="H5585" s="1" t="str">
        <f>IF(Table2[[#This Row],[Description]]="","",VLOOKUP(Table2[[#This Row],[Description]],$Q$1:$S$101,3,FALSE))</f>
        <v/>
      </c>
      <c r="I5585" s="1" t="str">
        <f>IF(Table2[[#This Row],[Description]]="","",IF(Table2[[#This Row],[Currency]]=$O$2,$P$2,HLOOKUP(Table2[[#This Row],[Date]],Funds!$C$10:$GV$11,2,FALSE)))</f>
        <v/>
      </c>
      <c r="J5585" s="215" t="str">
        <f>IF(Table2[[#This Row],[Description]]="","",Table2[[#This Row],[Value]]/Table2[[#This Row],[Conversion]])</f>
        <v/>
      </c>
      <c r="K5585" s="45" t="str">
        <f>IF(Table2[[#This Row],[Description]]="","",DATE(Table2[[#This Row],[Year]],Table2[[#This Row],[Month]],1))</f>
        <v/>
      </c>
    </row>
    <row r="5586" spans="7:11" x14ac:dyDescent="0.25">
      <c r="G5586" s="1" t="str">
        <f>IF(Table2[[#This Row],[Description]]="","",VLOOKUP(Table2[[#This Row],[Description]],$Q$1:$S$101,2,FALSE))</f>
        <v/>
      </c>
      <c r="H5586" s="1" t="str">
        <f>IF(Table2[[#This Row],[Description]]="","",VLOOKUP(Table2[[#This Row],[Description]],$Q$1:$S$101,3,FALSE))</f>
        <v/>
      </c>
      <c r="I5586" s="1" t="str">
        <f>IF(Table2[[#This Row],[Description]]="","",IF(Table2[[#This Row],[Currency]]=$O$2,$P$2,HLOOKUP(Table2[[#This Row],[Date]],Funds!$C$10:$GV$11,2,FALSE)))</f>
        <v/>
      </c>
      <c r="J5586" s="215" t="str">
        <f>IF(Table2[[#This Row],[Description]]="","",Table2[[#This Row],[Value]]/Table2[[#This Row],[Conversion]])</f>
        <v/>
      </c>
      <c r="K5586" s="45" t="str">
        <f>IF(Table2[[#This Row],[Description]]="","",DATE(Table2[[#This Row],[Year]],Table2[[#This Row],[Month]],1))</f>
        <v/>
      </c>
    </row>
    <row r="5587" spans="7:11" x14ac:dyDescent="0.25">
      <c r="G5587" s="1" t="str">
        <f>IF(Table2[[#This Row],[Description]]="","",VLOOKUP(Table2[[#This Row],[Description]],$Q$1:$S$101,2,FALSE))</f>
        <v/>
      </c>
      <c r="H5587" s="1" t="str">
        <f>IF(Table2[[#This Row],[Description]]="","",VLOOKUP(Table2[[#This Row],[Description]],$Q$1:$S$101,3,FALSE))</f>
        <v/>
      </c>
      <c r="I5587" s="1" t="str">
        <f>IF(Table2[[#This Row],[Description]]="","",IF(Table2[[#This Row],[Currency]]=$O$2,$P$2,HLOOKUP(Table2[[#This Row],[Date]],Funds!$C$10:$GV$11,2,FALSE)))</f>
        <v/>
      </c>
      <c r="J5587" s="215" t="str">
        <f>IF(Table2[[#This Row],[Description]]="","",Table2[[#This Row],[Value]]/Table2[[#This Row],[Conversion]])</f>
        <v/>
      </c>
      <c r="K5587" s="45" t="str">
        <f>IF(Table2[[#This Row],[Description]]="","",DATE(Table2[[#This Row],[Year]],Table2[[#This Row],[Month]],1))</f>
        <v/>
      </c>
    </row>
    <row r="5588" spans="7:11" x14ac:dyDescent="0.25">
      <c r="G5588" s="1" t="str">
        <f>IF(Table2[[#This Row],[Description]]="","",VLOOKUP(Table2[[#This Row],[Description]],$Q$1:$S$101,2,FALSE))</f>
        <v/>
      </c>
      <c r="H5588" s="1" t="str">
        <f>IF(Table2[[#This Row],[Description]]="","",VLOOKUP(Table2[[#This Row],[Description]],$Q$1:$S$101,3,FALSE))</f>
        <v/>
      </c>
      <c r="I5588" s="1" t="str">
        <f>IF(Table2[[#This Row],[Description]]="","",IF(Table2[[#This Row],[Currency]]=$O$2,$P$2,HLOOKUP(Table2[[#This Row],[Date]],Funds!$C$10:$GV$11,2,FALSE)))</f>
        <v/>
      </c>
      <c r="J5588" s="215" t="str">
        <f>IF(Table2[[#This Row],[Description]]="","",Table2[[#This Row],[Value]]/Table2[[#This Row],[Conversion]])</f>
        <v/>
      </c>
      <c r="K5588" s="45" t="str">
        <f>IF(Table2[[#This Row],[Description]]="","",DATE(Table2[[#This Row],[Year]],Table2[[#This Row],[Month]],1))</f>
        <v/>
      </c>
    </row>
    <row r="5589" spans="7:11" x14ac:dyDescent="0.25">
      <c r="G5589" s="1" t="str">
        <f>IF(Table2[[#This Row],[Description]]="","",VLOOKUP(Table2[[#This Row],[Description]],$Q$1:$S$101,2,FALSE))</f>
        <v/>
      </c>
      <c r="H5589" s="1" t="str">
        <f>IF(Table2[[#This Row],[Description]]="","",VLOOKUP(Table2[[#This Row],[Description]],$Q$1:$S$101,3,FALSE))</f>
        <v/>
      </c>
      <c r="I5589" s="1" t="str">
        <f>IF(Table2[[#This Row],[Description]]="","",IF(Table2[[#This Row],[Currency]]=$O$2,$P$2,HLOOKUP(Table2[[#This Row],[Date]],Funds!$C$10:$GV$11,2,FALSE)))</f>
        <v/>
      </c>
      <c r="J5589" s="215" t="str">
        <f>IF(Table2[[#This Row],[Description]]="","",Table2[[#This Row],[Value]]/Table2[[#This Row],[Conversion]])</f>
        <v/>
      </c>
      <c r="K5589" s="45" t="str">
        <f>IF(Table2[[#This Row],[Description]]="","",DATE(Table2[[#This Row],[Year]],Table2[[#This Row],[Month]],1))</f>
        <v/>
      </c>
    </row>
    <row r="5590" spans="7:11" x14ac:dyDescent="0.25">
      <c r="G5590" s="1" t="str">
        <f>IF(Table2[[#This Row],[Description]]="","",VLOOKUP(Table2[[#This Row],[Description]],$Q$1:$S$101,2,FALSE))</f>
        <v/>
      </c>
      <c r="H5590" s="1" t="str">
        <f>IF(Table2[[#This Row],[Description]]="","",VLOOKUP(Table2[[#This Row],[Description]],$Q$1:$S$101,3,FALSE))</f>
        <v/>
      </c>
      <c r="I5590" s="1" t="str">
        <f>IF(Table2[[#This Row],[Description]]="","",IF(Table2[[#This Row],[Currency]]=$O$2,$P$2,HLOOKUP(Table2[[#This Row],[Date]],Funds!$C$10:$GV$11,2,FALSE)))</f>
        <v/>
      </c>
      <c r="J5590" s="215" t="str">
        <f>IF(Table2[[#This Row],[Description]]="","",Table2[[#This Row],[Value]]/Table2[[#This Row],[Conversion]])</f>
        <v/>
      </c>
      <c r="K5590" s="45" t="str">
        <f>IF(Table2[[#This Row],[Description]]="","",DATE(Table2[[#This Row],[Year]],Table2[[#This Row],[Month]],1))</f>
        <v/>
      </c>
    </row>
    <row r="5591" spans="7:11" x14ac:dyDescent="0.25">
      <c r="G5591" s="1" t="str">
        <f>IF(Table2[[#This Row],[Description]]="","",VLOOKUP(Table2[[#This Row],[Description]],$Q$1:$S$101,2,FALSE))</f>
        <v/>
      </c>
      <c r="H5591" s="1" t="str">
        <f>IF(Table2[[#This Row],[Description]]="","",VLOOKUP(Table2[[#This Row],[Description]],$Q$1:$S$101,3,FALSE))</f>
        <v/>
      </c>
      <c r="I5591" s="1" t="str">
        <f>IF(Table2[[#This Row],[Description]]="","",IF(Table2[[#This Row],[Currency]]=$O$2,$P$2,HLOOKUP(Table2[[#This Row],[Date]],Funds!$C$10:$GV$11,2,FALSE)))</f>
        <v/>
      </c>
      <c r="J5591" s="215" t="str">
        <f>IF(Table2[[#This Row],[Description]]="","",Table2[[#This Row],[Value]]/Table2[[#This Row],[Conversion]])</f>
        <v/>
      </c>
      <c r="K5591" s="45" t="str">
        <f>IF(Table2[[#This Row],[Description]]="","",DATE(Table2[[#This Row],[Year]],Table2[[#This Row],[Month]],1))</f>
        <v/>
      </c>
    </row>
    <row r="5592" spans="7:11" x14ac:dyDescent="0.25">
      <c r="G5592" s="1" t="str">
        <f>IF(Table2[[#This Row],[Description]]="","",VLOOKUP(Table2[[#This Row],[Description]],$Q$1:$S$101,2,FALSE))</f>
        <v/>
      </c>
      <c r="H5592" s="1" t="str">
        <f>IF(Table2[[#This Row],[Description]]="","",VLOOKUP(Table2[[#This Row],[Description]],$Q$1:$S$101,3,FALSE))</f>
        <v/>
      </c>
      <c r="I5592" s="1" t="str">
        <f>IF(Table2[[#This Row],[Description]]="","",IF(Table2[[#This Row],[Currency]]=$O$2,$P$2,HLOOKUP(Table2[[#This Row],[Date]],Funds!$C$10:$GV$11,2,FALSE)))</f>
        <v/>
      </c>
      <c r="J5592" s="215" t="str">
        <f>IF(Table2[[#This Row],[Description]]="","",Table2[[#This Row],[Value]]/Table2[[#This Row],[Conversion]])</f>
        <v/>
      </c>
      <c r="K5592" s="45" t="str">
        <f>IF(Table2[[#This Row],[Description]]="","",DATE(Table2[[#This Row],[Year]],Table2[[#This Row],[Month]],1))</f>
        <v/>
      </c>
    </row>
    <row r="5593" spans="7:11" x14ac:dyDescent="0.25">
      <c r="G5593" s="1" t="str">
        <f>IF(Table2[[#This Row],[Description]]="","",VLOOKUP(Table2[[#This Row],[Description]],$Q$1:$S$101,2,FALSE))</f>
        <v/>
      </c>
      <c r="H5593" s="1" t="str">
        <f>IF(Table2[[#This Row],[Description]]="","",VLOOKUP(Table2[[#This Row],[Description]],$Q$1:$S$101,3,FALSE))</f>
        <v/>
      </c>
      <c r="I5593" s="1" t="str">
        <f>IF(Table2[[#This Row],[Description]]="","",IF(Table2[[#This Row],[Currency]]=$O$2,$P$2,HLOOKUP(Table2[[#This Row],[Date]],Funds!$C$10:$GV$11,2,FALSE)))</f>
        <v/>
      </c>
      <c r="J5593" s="215" t="str">
        <f>IF(Table2[[#This Row],[Description]]="","",Table2[[#This Row],[Value]]/Table2[[#This Row],[Conversion]])</f>
        <v/>
      </c>
      <c r="K5593" s="45" t="str">
        <f>IF(Table2[[#This Row],[Description]]="","",DATE(Table2[[#This Row],[Year]],Table2[[#This Row],[Month]],1))</f>
        <v/>
      </c>
    </row>
    <row r="5594" spans="7:11" x14ac:dyDescent="0.25">
      <c r="G5594" s="1" t="str">
        <f>IF(Table2[[#This Row],[Description]]="","",VLOOKUP(Table2[[#This Row],[Description]],$Q$1:$S$101,2,FALSE))</f>
        <v/>
      </c>
      <c r="H5594" s="1" t="str">
        <f>IF(Table2[[#This Row],[Description]]="","",VLOOKUP(Table2[[#This Row],[Description]],$Q$1:$S$101,3,FALSE))</f>
        <v/>
      </c>
      <c r="I5594" s="1" t="str">
        <f>IF(Table2[[#This Row],[Description]]="","",IF(Table2[[#This Row],[Currency]]=$O$2,$P$2,HLOOKUP(Table2[[#This Row],[Date]],Funds!$C$10:$GV$11,2,FALSE)))</f>
        <v/>
      </c>
      <c r="J5594" s="215" t="str">
        <f>IF(Table2[[#This Row],[Description]]="","",Table2[[#This Row],[Value]]/Table2[[#This Row],[Conversion]])</f>
        <v/>
      </c>
      <c r="K5594" s="45" t="str">
        <f>IF(Table2[[#This Row],[Description]]="","",DATE(Table2[[#This Row],[Year]],Table2[[#This Row],[Month]],1))</f>
        <v/>
      </c>
    </row>
    <row r="5595" spans="7:11" x14ac:dyDescent="0.25">
      <c r="G5595" s="1" t="str">
        <f>IF(Table2[[#This Row],[Description]]="","",VLOOKUP(Table2[[#This Row],[Description]],$Q$1:$S$101,2,FALSE))</f>
        <v/>
      </c>
      <c r="H5595" s="1" t="str">
        <f>IF(Table2[[#This Row],[Description]]="","",VLOOKUP(Table2[[#This Row],[Description]],$Q$1:$S$101,3,FALSE))</f>
        <v/>
      </c>
      <c r="I5595" s="1" t="str">
        <f>IF(Table2[[#This Row],[Description]]="","",IF(Table2[[#This Row],[Currency]]=$O$2,$P$2,HLOOKUP(Table2[[#This Row],[Date]],Funds!$C$10:$GV$11,2,FALSE)))</f>
        <v/>
      </c>
      <c r="J5595" s="215" t="str">
        <f>IF(Table2[[#This Row],[Description]]="","",Table2[[#This Row],[Value]]/Table2[[#This Row],[Conversion]])</f>
        <v/>
      </c>
      <c r="K5595" s="45" t="str">
        <f>IF(Table2[[#This Row],[Description]]="","",DATE(Table2[[#This Row],[Year]],Table2[[#This Row],[Month]],1))</f>
        <v/>
      </c>
    </row>
    <row r="5596" spans="7:11" x14ac:dyDescent="0.25">
      <c r="G5596" s="1" t="str">
        <f>IF(Table2[[#This Row],[Description]]="","",VLOOKUP(Table2[[#This Row],[Description]],$Q$1:$S$101,2,FALSE))</f>
        <v/>
      </c>
      <c r="H5596" s="1" t="str">
        <f>IF(Table2[[#This Row],[Description]]="","",VLOOKUP(Table2[[#This Row],[Description]],$Q$1:$S$101,3,FALSE))</f>
        <v/>
      </c>
      <c r="I5596" s="1" t="str">
        <f>IF(Table2[[#This Row],[Description]]="","",IF(Table2[[#This Row],[Currency]]=$O$2,$P$2,HLOOKUP(Table2[[#This Row],[Date]],Funds!$C$10:$GV$11,2,FALSE)))</f>
        <v/>
      </c>
      <c r="J5596" s="215" t="str">
        <f>IF(Table2[[#This Row],[Description]]="","",Table2[[#This Row],[Value]]/Table2[[#This Row],[Conversion]])</f>
        <v/>
      </c>
      <c r="K5596" s="45" t="str">
        <f>IF(Table2[[#This Row],[Description]]="","",DATE(Table2[[#This Row],[Year]],Table2[[#This Row],[Month]],1))</f>
        <v/>
      </c>
    </row>
    <row r="5597" spans="7:11" x14ac:dyDescent="0.25">
      <c r="G5597" s="1" t="str">
        <f>IF(Table2[[#This Row],[Description]]="","",VLOOKUP(Table2[[#This Row],[Description]],$Q$1:$S$101,2,FALSE))</f>
        <v/>
      </c>
      <c r="H5597" s="1" t="str">
        <f>IF(Table2[[#This Row],[Description]]="","",VLOOKUP(Table2[[#This Row],[Description]],$Q$1:$S$101,3,FALSE))</f>
        <v/>
      </c>
      <c r="I5597" s="1" t="str">
        <f>IF(Table2[[#This Row],[Description]]="","",IF(Table2[[#This Row],[Currency]]=$O$2,$P$2,HLOOKUP(Table2[[#This Row],[Date]],Funds!$C$10:$GV$11,2,FALSE)))</f>
        <v/>
      </c>
      <c r="J5597" s="215" t="str">
        <f>IF(Table2[[#This Row],[Description]]="","",Table2[[#This Row],[Value]]/Table2[[#This Row],[Conversion]])</f>
        <v/>
      </c>
      <c r="K5597" s="45" t="str">
        <f>IF(Table2[[#This Row],[Description]]="","",DATE(Table2[[#This Row],[Year]],Table2[[#This Row],[Month]],1))</f>
        <v/>
      </c>
    </row>
    <row r="5598" spans="7:11" x14ac:dyDescent="0.25">
      <c r="G5598" s="1" t="str">
        <f>IF(Table2[[#This Row],[Description]]="","",VLOOKUP(Table2[[#This Row],[Description]],$Q$1:$S$101,2,FALSE))</f>
        <v/>
      </c>
      <c r="H5598" s="1" t="str">
        <f>IF(Table2[[#This Row],[Description]]="","",VLOOKUP(Table2[[#This Row],[Description]],$Q$1:$S$101,3,FALSE))</f>
        <v/>
      </c>
      <c r="I5598" s="1" t="str">
        <f>IF(Table2[[#This Row],[Description]]="","",IF(Table2[[#This Row],[Currency]]=$O$2,$P$2,HLOOKUP(Table2[[#This Row],[Date]],Funds!$C$10:$GV$11,2,FALSE)))</f>
        <v/>
      </c>
      <c r="J5598" s="215" t="str">
        <f>IF(Table2[[#This Row],[Description]]="","",Table2[[#This Row],[Value]]/Table2[[#This Row],[Conversion]])</f>
        <v/>
      </c>
      <c r="K5598" s="45" t="str">
        <f>IF(Table2[[#This Row],[Description]]="","",DATE(Table2[[#This Row],[Year]],Table2[[#This Row],[Month]],1))</f>
        <v/>
      </c>
    </row>
    <row r="5599" spans="7:11" x14ac:dyDescent="0.25">
      <c r="G5599" s="1" t="str">
        <f>IF(Table2[[#This Row],[Description]]="","",VLOOKUP(Table2[[#This Row],[Description]],$Q$1:$S$101,2,FALSE))</f>
        <v/>
      </c>
      <c r="H5599" s="1" t="str">
        <f>IF(Table2[[#This Row],[Description]]="","",VLOOKUP(Table2[[#This Row],[Description]],$Q$1:$S$101,3,FALSE))</f>
        <v/>
      </c>
      <c r="I5599" s="1" t="str">
        <f>IF(Table2[[#This Row],[Description]]="","",IF(Table2[[#This Row],[Currency]]=$O$2,$P$2,HLOOKUP(Table2[[#This Row],[Date]],Funds!$C$10:$GV$11,2,FALSE)))</f>
        <v/>
      </c>
      <c r="J5599" s="215" t="str">
        <f>IF(Table2[[#This Row],[Description]]="","",Table2[[#This Row],[Value]]/Table2[[#This Row],[Conversion]])</f>
        <v/>
      </c>
      <c r="K5599" s="45" t="str">
        <f>IF(Table2[[#This Row],[Description]]="","",DATE(Table2[[#This Row],[Year]],Table2[[#This Row],[Month]],1))</f>
        <v/>
      </c>
    </row>
    <row r="5600" spans="7:11" x14ac:dyDescent="0.25">
      <c r="G5600" s="1" t="str">
        <f>IF(Table2[[#This Row],[Description]]="","",VLOOKUP(Table2[[#This Row],[Description]],$Q$1:$S$101,2,FALSE))</f>
        <v/>
      </c>
      <c r="H5600" s="1" t="str">
        <f>IF(Table2[[#This Row],[Description]]="","",VLOOKUP(Table2[[#This Row],[Description]],$Q$1:$S$101,3,FALSE))</f>
        <v/>
      </c>
      <c r="I5600" s="1" t="str">
        <f>IF(Table2[[#This Row],[Description]]="","",IF(Table2[[#This Row],[Currency]]=$O$2,$P$2,HLOOKUP(Table2[[#This Row],[Date]],Funds!$C$10:$GV$11,2,FALSE)))</f>
        <v/>
      </c>
      <c r="J5600" s="215" t="str">
        <f>IF(Table2[[#This Row],[Description]]="","",Table2[[#This Row],[Value]]/Table2[[#This Row],[Conversion]])</f>
        <v/>
      </c>
      <c r="K5600" s="45" t="str">
        <f>IF(Table2[[#This Row],[Description]]="","",DATE(Table2[[#This Row],[Year]],Table2[[#This Row],[Month]],1))</f>
        <v/>
      </c>
    </row>
    <row r="5601" spans="7:11" x14ac:dyDescent="0.25">
      <c r="G5601" s="1" t="str">
        <f>IF(Table2[[#This Row],[Description]]="","",VLOOKUP(Table2[[#This Row],[Description]],$Q$1:$S$101,2,FALSE))</f>
        <v/>
      </c>
      <c r="H5601" s="1" t="str">
        <f>IF(Table2[[#This Row],[Description]]="","",VLOOKUP(Table2[[#This Row],[Description]],$Q$1:$S$101,3,FALSE))</f>
        <v/>
      </c>
      <c r="I5601" s="1" t="str">
        <f>IF(Table2[[#This Row],[Description]]="","",IF(Table2[[#This Row],[Currency]]=$O$2,$P$2,HLOOKUP(Table2[[#This Row],[Date]],Funds!$C$10:$GV$11,2,FALSE)))</f>
        <v/>
      </c>
      <c r="J5601" s="215" t="str">
        <f>IF(Table2[[#This Row],[Description]]="","",Table2[[#This Row],[Value]]/Table2[[#This Row],[Conversion]])</f>
        <v/>
      </c>
      <c r="K5601" s="45" t="str">
        <f>IF(Table2[[#This Row],[Description]]="","",DATE(Table2[[#This Row],[Year]],Table2[[#This Row],[Month]],1))</f>
        <v/>
      </c>
    </row>
    <row r="5602" spans="7:11" x14ac:dyDescent="0.25">
      <c r="G5602" s="1" t="str">
        <f>IF(Table2[[#This Row],[Description]]="","",VLOOKUP(Table2[[#This Row],[Description]],$Q$1:$S$101,2,FALSE))</f>
        <v/>
      </c>
      <c r="H5602" s="1" t="str">
        <f>IF(Table2[[#This Row],[Description]]="","",VLOOKUP(Table2[[#This Row],[Description]],$Q$1:$S$101,3,FALSE))</f>
        <v/>
      </c>
      <c r="I5602" s="1" t="str">
        <f>IF(Table2[[#This Row],[Description]]="","",IF(Table2[[#This Row],[Currency]]=$O$2,$P$2,HLOOKUP(Table2[[#This Row],[Date]],Funds!$C$10:$GV$11,2,FALSE)))</f>
        <v/>
      </c>
      <c r="J5602" s="215" t="str">
        <f>IF(Table2[[#This Row],[Description]]="","",Table2[[#This Row],[Value]]/Table2[[#This Row],[Conversion]])</f>
        <v/>
      </c>
      <c r="K5602" s="45" t="str">
        <f>IF(Table2[[#This Row],[Description]]="","",DATE(Table2[[#This Row],[Year]],Table2[[#This Row],[Month]],1))</f>
        <v/>
      </c>
    </row>
    <row r="5603" spans="7:11" x14ac:dyDescent="0.25">
      <c r="G5603" s="1" t="str">
        <f>IF(Table2[[#This Row],[Description]]="","",VLOOKUP(Table2[[#This Row],[Description]],$Q$1:$S$101,2,FALSE))</f>
        <v/>
      </c>
      <c r="H5603" s="1" t="str">
        <f>IF(Table2[[#This Row],[Description]]="","",VLOOKUP(Table2[[#This Row],[Description]],$Q$1:$S$101,3,FALSE))</f>
        <v/>
      </c>
      <c r="I5603" s="1" t="str">
        <f>IF(Table2[[#This Row],[Description]]="","",IF(Table2[[#This Row],[Currency]]=$O$2,$P$2,HLOOKUP(Table2[[#This Row],[Date]],Funds!$C$10:$GV$11,2,FALSE)))</f>
        <v/>
      </c>
      <c r="J5603" s="215" t="str">
        <f>IF(Table2[[#This Row],[Description]]="","",Table2[[#This Row],[Value]]/Table2[[#This Row],[Conversion]])</f>
        <v/>
      </c>
      <c r="K5603" s="45" t="str">
        <f>IF(Table2[[#This Row],[Description]]="","",DATE(Table2[[#This Row],[Year]],Table2[[#This Row],[Month]],1))</f>
        <v/>
      </c>
    </row>
    <row r="5604" spans="7:11" x14ac:dyDescent="0.25">
      <c r="G5604" s="1" t="str">
        <f>IF(Table2[[#This Row],[Description]]="","",VLOOKUP(Table2[[#This Row],[Description]],$Q$1:$S$101,2,FALSE))</f>
        <v/>
      </c>
      <c r="H5604" s="1" t="str">
        <f>IF(Table2[[#This Row],[Description]]="","",VLOOKUP(Table2[[#This Row],[Description]],$Q$1:$S$101,3,FALSE))</f>
        <v/>
      </c>
      <c r="I5604" s="1" t="str">
        <f>IF(Table2[[#This Row],[Description]]="","",IF(Table2[[#This Row],[Currency]]=$O$2,$P$2,HLOOKUP(Table2[[#This Row],[Date]],Funds!$C$10:$GV$11,2,FALSE)))</f>
        <v/>
      </c>
      <c r="J5604" s="215" t="str">
        <f>IF(Table2[[#This Row],[Description]]="","",Table2[[#This Row],[Value]]/Table2[[#This Row],[Conversion]])</f>
        <v/>
      </c>
      <c r="K5604" s="45" t="str">
        <f>IF(Table2[[#This Row],[Description]]="","",DATE(Table2[[#This Row],[Year]],Table2[[#This Row],[Month]],1))</f>
        <v/>
      </c>
    </row>
    <row r="5605" spans="7:11" x14ac:dyDescent="0.25">
      <c r="G5605" s="1" t="str">
        <f>IF(Table2[[#This Row],[Description]]="","",VLOOKUP(Table2[[#This Row],[Description]],$Q$1:$S$101,2,FALSE))</f>
        <v/>
      </c>
      <c r="H5605" s="1" t="str">
        <f>IF(Table2[[#This Row],[Description]]="","",VLOOKUP(Table2[[#This Row],[Description]],$Q$1:$S$101,3,FALSE))</f>
        <v/>
      </c>
      <c r="I5605" s="1" t="str">
        <f>IF(Table2[[#This Row],[Description]]="","",IF(Table2[[#This Row],[Currency]]=$O$2,$P$2,HLOOKUP(Table2[[#This Row],[Date]],Funds!$C$10:$GV$11,2,FALSE)))</f>
        <v/>
      </c>
      <c r="J5605" s="215" t="str">
        <f>IF(Table2[[#This Row],[Description]]="","",Table2[[#This Row],[Value]]/Table2[[#This Row],[Conversion]])</f>
        <v/>
      </c>
      <c r="K5605" s="45" t="str">
        <f>IF(Table2[[#This Row],[Description]]="","",DATE(Table2[[#This Row],[Year]],Table2[[#This Row],[Month]],1))</f>
        <v/>
      </c>
    </row>
    <row r="5606" spans="7:11" x14ac:dyDescent="0.25">
      <c r="G5606" s="1" t="str">
        <f>IF(Table2[[#This Row],[Description]]="","",VLOOKUP(Table2[[#This Row],[Description]],$Q$1:$S$101,2,FALSE))</f>
        <v/>
      </c>
      <c r="H5606" s="1" t="str">
        <f>IF(Table2[[#This Row],[Description]]="","",VLOOKUP(Table2[[#This Row],[Description]],$Q$1:$S$101,3,FALSE))</f>
        <v/>
      </c>
      <c r="I5606" s="1" t="str">
        <f>IF(Table2[[#This Row],[Description]]="","",IF(Table2[[#This Row],[Currency]]=$O$2,$P$2,HLOOKUP(Table2[[#This Row],[Date]],Funds!$C$10:$GV$11,2,FALSE)))</f>
        <v/>
      </c>
      <c r="J5606" s="215" t="str">
        <f>IF(Table2[[#This Row],[Description]]="","",Table2[[#This Row],[Value]]/Table2[[#This Row],[Conversion]])</f>
        <v/>
      </c>
      <c r="K5606" s="45" t="str">
        <f>IF(Table2[[#This Row],[Description]]="","",DATE(Table2[[#This Row],[Year]],Table2[[#This Row],[Month]],1))</f>
        <v/>
      </c>
    </row>
    <row r="5607" spans="7:11" x14ac:dyDescent="0.25">
      <c r="G5607" s="1" t="str">
        <f>IF(Table2[[#This Row],[Description]]="","",VLOOKUP(Table2[[#This Row],[Description]],$Q$1:$S$101,2,FALSE))</f>
        <v/>
      </c>
      <c r="H5607" s="1" t="str">
        <f>IF(Table2[[#This Row],[Description]]="","",VLOOKUP(Table2[[#This Row],[Description]],$Q$1:$S$101,3,FALSE))</f>
        <v/>
      </c>
      <c r="I5607" s="1" t="str">
        <f>IF(Table2[[#This Row],[Description]]="","",IF(Table2[[#This Row],[Currency]]=$O$2,$P$2,HLOOKUP(Table2[[#This Row],[Date]],Funds!$C$10:$GV$11,2,FALSE)))</f>
        <v/>
      </c>
      <c r="J5607" s="215" t="str">
        <f>IF(Table2[[#This Row],[Description]]="","",Table2[[#This Row],[Value]]/Table2[[#This Row],[Conversion]])</f>
        <v/>
      </c>
      <c r="K5607" s="45" t="str">
        <f>IF(Table2[[#This Row],[Description]]="","",DATE(Table2[[#This Row],[Year]],Table2[[#This Row],[Month]],1))</f>
        <v/>
      </c>
    </row>
    <row r="5608" spans="7:11" x14ac:dyDescent="0.25">
      <c r="G5608" s="1" t="str">
        <f>IF(Table2[[#This Row],[Description]]="","",VLOOKUP(Table2[[#This Row],[Description]],$Q$1:$S$101,2,FALSE))</f>
        <v/>
      </c>
      <c r="H5608" s="1" t="str">
        <f>IF(Table2[[#This Row],[Description]]="","",VLOOKUP(Table2[[#This Row],[Description]],$Q$1:$S$101,3,FALSE))</f>
        <v/>
      </c>
      <c r="I5608" s="1" t="str">
        <f>IF(Table2[[#This Row],[Description]]="","",IF(Table2[[#This Row],[Currency]]=$O$2,$P$2,HLOOKUP(Table2[[#This Row],[Date]],Funds!$C$10:$GV$11,2,FALSE)))</f>
        <v/>
      </c>
      <c r="J5608" s="215" t="str">
        <f>IF(Table2[[#This Row],[Description]]="","",Table2[[#This Row],[Value]]/Table2[[#This Row],[Conversion]])</f>
        <v/>
      </c>
      <c r="K5608" s="45" t="str">
        <f>IF(Table2[[#This Row],[Description]]="","",DATE(Table2[[#This Row],[Year]],Table2[[#This Row],[Month]],1))</f>
        <v/>
      </c>
    </row>
    <row r="5609" spans="7:11" x14ac:dyDescent="0.25">
      <c r="G5609" s="1" t="str">
        <f>IF(Table2[[#This Row],[Description]]="","",VLOOKUP(Table2[[#This Row],[Description]],$Q$1:$S$101,2,FALSE))</f>
        <v/>
      </c>
      <c r="H5609" s="1" t="str">
        <f>IF(Table2[[#This Row],[Description]]="","",VLOOKUP(Table2[[#This Row],[Description]],$Q$1:$S$101,3,FALSE))</f>
        <v/>
      </c>
      <c r="I5609" s="1" t="str">
        <f>IF(Table2[[#This Row],[Description]]="","",IF(Table2[[#This Row],[Currency]]=$O$2,$P$2,HLOOKUP(Table2[[#This Row],[Date]],Funds!$C$10:$GV$11,2,FALSE)))</f>
        <v/>
      </c>
      <c r="J5609" s="215" t="str">
        <f>IF(Table2[[#This Row],[Description]]="","",Table2[[#This Row],[Value]]/Table2[[#This Row],[Conversion]])</f>
        <v/>
      </c>
      <c r="K5609" s="45" t="str">
        <f>IF(Table2[[#This Row],[Description]]="","",DATE(Table2[[#This Row],[Year]],Table2[[#This Row],[Month]],1))</f>
        <v/>
      </c>
    </row>
    <row r="5610" spans="7:11" x14ac:dyDescent="0.25">
      <c r="G5610" s="1" t="str">
        <f>IF(Table2[[#This Row],[Description]]="","",VLOOKUP(Table2[[#This Row],[Description]],$Q$1:$S$101,2,FALSE))</f>
        <v/>
      </c>
      <c r="H5610" s="1" t="str">
        <f>IF(Table2[[#This Row],[Description]]="","",VLOOKUP(Table2[[#This Row],[Description]],$Q$1:$S$101,3,FALSE))</f>
        <v/>
      </c>
      <c r="I5610" s="1" t="str">
        <f>IF(Table2[[#This Row],[Description]]="","",IF(Table2[[#This Row],[Currency]]=$O$2,$P$2,HLOOKUP(Table2[[#This Row],[Date]],Funds!$C$10:$GV$11,2,FALSE)))</f>
        <v/>
      </c>
      <c r="J5610" s="215" t="str">
        <f>IF(Table2[[#This Row],[Description]]="","",Table2[[#This Row],[Value]]/Table2[[#This Row],[Conversion]])</f>
        <v/>
      </c>
      <c r="K5610" s="45" t="str">
        <f>IF(Table2[[#This Row],[Description]]="","",DATE(Table2[[#This Row],[Year]],Table2[[#This Row],[Month]],1))</f>
        <v/>
      </c>
    </row>
    <row r="5611" spans="7:11" x14ac:dyDescent="0.25">
      <c r="G5611" s="1" t="str">
        <f>IF(Table2[[#This Row],[Description]]="","",VLOOKUP(Table2[[#This Row],[Description]],$Q$1:$S$101,2,FALSE))</f>
        <v/>
      </c>
      <c r="H5611" s="1" t="str">
        <f>IF(Table2[[#This Row],[Description]]="","",VLOOKUP(Table2[[#This Row],[Description]],$Q$1:$S$101,3,FALSE))</f>
        <v/>
      </c>
      <c r="I5611" s="1" t="str">
        <f>IF(Table2[[#This Row],[Description]]="","",IF(Table2[[#This Row],[Currency]]=$O$2,$P$2,HLOOKUP(Table2[[#This Row],[Date]],Funds!$C$10:$GV$11,2,FALSE)))</f>
        <v/>
      </c>
      <c r="J5611" s="215" t="str">
        <f>IF(Table2[[#This Row],[Description]]="","",Table2[[#This Row],[Value]]/Table2[[#This Row],[Conversion]])</f>
        <v/>
      </c>
      <c r="K5611" s="45" t="str">
        <f>IF(Table2[[#This Row],[Description]]="","",DATE(Table2[[#This Row],[Year]],Table2[[#This Row],[Month]],1))</f>
        <v/>
      </c>
    </row>
    <row r="5612" spans="7:11" x14ac:dyDescent="0.25">
      <c r="G5612" s="1" t="str">
        <f>IF(Table2[[#This Row],[Description]]="","",VLOOKUP(Table2[[#This Row],[Description]],$Q$1:$S$101,2,FALSE))</f>
        <v/>
      </c>
      <c r="H5612" s="1" t="str">
        <f>IF(Table2[[#This Row],[Description]]="","",VLOOKUP(Table2[[#This Row],[Description]],$Q$1:$S$101,3,FALSE))</f>
        <v/>
      </c>
      <c r="I5612" s="1" t="str">
        <f>IF(Table2[[#This Row],[Description]]="","",IF(Table2[[#This Row],[Currency]]=$O$2,$P$2,HLOOKUP(Table2[[#This Row],[Date]],Funds!$C$10:$GV$11,2,FALSE)))</f>
        <v/>
      </c>
      <c r="J5612" s="215" t="str">
        <f>IF(Table2[[#This Row],[Description]]="","",Table2[[#This Row],[Value]]/Table2[[#This Row],[Conversion]])</f>
        <v/>
      </c>
      <c r="K5612" s="45" t="str">
        <f>IF(Table2[[#This Row],[Description]]="","",DATE(Table2[[#This Row],[Year]],Table2[[#This Row],[Month]],1))</f>
        <v/>
      </c>
    </row>
    <row r="5613" spans="7:11" x14ac:dyDescent="0.25">
      <c r="G5613" s="1" t="str">
        <f>IF(Table2[[#This Row],[Description]]="","",VLOOKUP(Table2[[#This Row],[Description]],$Q$1:$S$101,2,FALSE))</f>
        <v/>
      </c>
      <c r="H5613" s="1" t="str">
        <f>IF(Table2[[#This Row],[Description]]="","",VLOOKUP(Table2[[#This Row],[Description]],$Q$1:$S$101,3,FALSE))</f>
        <v/>
      </c>
      <c r="I5613" s="1" t="str">
        <f>IF(Table2[[#This Row],[Description]]="","",IF(Table2[[#This Row],[Currency]]=$O$2,$P$2,HLOOKUP(Table2[[#This Row],[Date]],Funds!$C$10:$GV$11,2,FALSE)))</f>
        <v/>
      </c>
      <c r="J5613" s="215" t="str">
        <f>IF(Table2[[#This Row],[Description]]="","",Table2[[#This Row],[Value]]/Table2[[#This Row],[Conversion]])</f>
        <v/>
      </c>
      <c r="K5613" s="45" t="str">
        <f>IF(Table2[[#This Row],[Description]]="","",DATE(Table2[[#This Row],[Year]],Table2[[#This Row],[Month]],1))</f>
        <v/>
      </c>
    </row>
    <row r="5614" spans="7:11" x14ac:dyDescent="0.25">
      <c r="G5614" s="1" t="str">
        <f>IF(Table2[[#This Row],[Description]]="","",VLOOKUP(Table2[[#This Row],[Description]],$Q$1:$S$101,2,FALSE))</f>
        <v/>
      </c>
      <c r="H5614" s="1" t="str">
        <f>IF(Table2[[#This Row],[Description]]="","",VLOOKUP(Table2[[#This Row],[Description]],$Q$1:$S$101,3,FALSE))</f>
        <v/>
      </c>
      <c r="I5614" s="1" t="str">
        <f>IF(Table2[[#This Row],[Description]]="","",IF(Table2[[#This Row],[Currency]]=$O$2,$P$2,HLOOKUP(Table2[[#This Row],[Date]],Funds!$C$10:$GV$11,2,FALSE)))</f>
        <v/>
      </c>
      <c r="J5614" s="215" t="str">
        <f>IF(Table2[[#This Row],[Description]]="","",Table2[[#This Row],[Value]]/Table2[[#This Row],[Conversion]])</f>
        <v/>
      </c>
      <c r="K5614" s="45" t="str">
        <f>IF(Table2[[#This Row],[Description]]="","",DATE(Table2[[#This Row],[Year]],Table2[[#This Row],[Month]],1))</f>
        <v/>
      </c>
    </row>
    <row r="5615" spans="7:11" x14ac:dyDescent="0.25">
      <c r="G5615" s="1" t="str">
        <f>IF(Table2[[#This Row],[Description]]="","",VLOOKUP(Table2[[#This Row],[Description]],$Q$1:$S$101,2,FALSE))</f>
        <v/>
      </c>
      <c r="H5615" s="1" t="str">
        <f>IF(Table2[[#This Row],[Description]]="","",VLOOKUP(Table2[[#This Row],[Description]],$Q$1:$S$101,3,FALSE))</f>
        <v/>
      </c>
      <c r="I5615" s="1" t="str">
        <f>IF(Table2[[#This Row],[Description]]="","",IF(Table2[[#This Row],[Currency]]=$O$2,$P$2,HLOOKUP(Table2[[#This Row],[Date]],Funds!$C$10:$GV$11,2,FALSE)))</f>
        <v/>
      </c>
      <c r="J5615" s="215" t="str">
        <f>IF(Table2[[#This Row],[Description]]="","",Table2[[#This Row],[Value]]/Table2[[#This Row],[Conversion]])</f>
        <v/>
      </c>
      <c r="K5615" s="45" t="str">
        <f>IF(Table2[[#This Row],[Description]]="","",DATE(Table2[[#This Row],[Year]],Table2[[#This Row],[Month]],1))</f>
        <v/>
      </c>
    </row>
    <row r="5616" spans="7:11" x14ac:dyDescent="0.25">
      <c r="G5616" s="1" t="str">
        <f>IF(Table2[[#This Row],[Description]]="","",VLOOKUP(Table2[[#This Row],[Description]],$Q$1:$S$101,2,FALSE))</f>
        <v/>
      </c>
      <c r="H5616" s="1" t="str">
        <f>IF(Table2[[#This Row],[Description]]="","",VLOOKUP(Table2[[#This Row],[Description]],$Q$1:$S$101,3,FALSE))</f>
        <v/>
      </c>
      <c r="I5616" s="1" t="str">
        <f>IF(Table2[[#This Row],[Description]]="","",IF(Table2[[#This Row],[Currency]]=$O$2,$P$2,HLOOKUP(Table2[[#This Row],[Date]],Funds!$C$10:$GV$11,2,FALSE)))</f>
        <v/>
      </c>
      <c r="J5616" s="215" t="str">
        <f>IF(Table2[[#This Row],[Description]]="","",Table2[[#This Row],[Value]]/Table2[[#This Row],[Conversion]])</f>
        <v/>
      </c>
      <c r="K5616" s="45" t="str">
        <f>IF(Table2[[#This Row],[Description]]="","",DATE(Table2[[#This Row],[Year]],Table2[[#This Row],[Month]],1))</f>
        <v/>
      </c>
    </row>
    <row r="5617" spans="7:11" x14ac:dyDescent="0.25">
      <c r="G5617" s="1" t="str">
        <f>IF(Table2[[#This Row],[Description]]="","",VLOOKUP(Table2[[#This Row],[Description]],$Q$1:$S$101,2,FALSE))</f>
        <v/>
      </c>
      <c r="H5617" s="1" t="str">
        <f>IF(Table2[[#This Row],[Description]]="","",VLOOKUP(Table2[[#This Row],[Description]],$Q$1:$S$101,3,FALSE))</f>
        <v/>
      </c>
      <c r="I5617" s="1" t="str">
        <f>IF(Table2[[#This Row],[Description]]="","",IF(Table2[[#This Row],[Currency]]=$O$2,$P$2,HLOOKUP(Table2[[#This Row],[Date]],Funds!$C$10:$GV$11,2,FALSE)))</f>
        <v/>
      </c>
      <c r="J5617" s="215" t="str">
        <f>IF(Table2[[#This Row],[Description]]="","",Table2[[#This Row],[Value]]/Table2[[#This Row],[Conversion]])</f>
        <v/>
      </c>
      <c r="K5617" s="45" t="str">
        <f>IF(Table2[[#This Row],[Description]]="","",DATE(Table2[[#This Row],[Year]],Table2[[#This Row],[Month]],1))</f>
        <v/>
      </c>
    </row>
    <row r="5618" spans="7:11" x14ac:dyDescent="0.25">
      <c r="G5618" s="1" t="str">
        <f>IF(Table2[[#This Row],[Description]]="","",VLOOKUP(Table2[[#This Row],[Description]],$Q$1:$S$101,2,FALSE))</f>
        <v/>
      </c>
      <c r="H5618" s="1" t="str">
        <f>IF(Table2[[#This Row],[Description]]="","",VLOOKUP(Table2[[#This Row],[Description]],$Q$1:$S$101,3,FALSE))</f>
        <v/>
      </c>
      <c r="I5618" s="1" t="str">
        <f>IF(Table2[[#This Row],[Description]]="","",IF(Table2[[#This Row],[Currency]]=$O$2,$P$2,HLOOKUP(Table2[[#This Row],[Date]],Funds!$C$10:$GV$11,2,FALSE)))</f>
        <v/>
      </c>
      <c r="J5618" s="215" t="str">
        <f>IF(Table2[[#This Row],[Description]]="","",Table2[[#This Row],[Value]]/Table2[[#This Row],[Conversion]])</f>
        <v/>
      </c>
      <c r="K5618" s="45" t="str">
        <f>IF(Table2[[#This Row],[Description]]="","",DATE(Table2[[#This Row],[Year]],Table2[[#This Row],[Month]],1))</f>
        <v/>
      </c>
    </row>
    <row r="5619" spans="7:11" x14ac:dyDescent="0.25">
      <c r="G5619" s="1" t="str">
        <f>IF(Table2[[#This Row],[Description]]="","",VLOOKUP(Table2[[#This Row],[Description]],$Q$1:$S$101,2,FALSE))</f>
        <v/>
      </c>
      <c r="H5619" s="1" t="str">
        <f>IF(Table2[[#This Row],[Description]]="","",VLOOKUP(Table2[[#This Row],[Description]],$Q$1:$S$101,3,FALSE))</f>
        <v/>
      </c>
      <c r="I5619" s="1" t="str">
        <f>IF(Table2[[#This Row],[Description]]="","",IF(Table2[[#This Row],[Currency]]=$O$2,$P$2,HLOOKUP(Table2[[#This Row],[Date]],Funds!$C$10:$GV$11,2,FALSE)))</f>
        <v/>
      </c>
      <c r="J5619" s="215" t="str">
        <f>IF(Table2[[#This Row],[Description]]="","",Table2[[#This Row],[Value]]/Table2[[#This Row],[Conversion]])</f>
        <v/>
      </c>
      <c r="K5619" s="45" t="str">
        <f>IF(Table2[[#This Row],[Description]]="","",DATE(Table2[[#This Row],[Year]],Table2[[#This Row],[Month]],1))</f>
        <v/>
      </c>
    </row>
    <row r="5620" spans="7:11" x14ac:dyDescent="0.25">
      <c r="G5620" s="1" t="str">
        <f>IF(Table2[[#This Row],[Description]]="","",VLOOKUP(Table2[[#This Row],[Description]],$Q$1:$S$101,2,FALSE))</f>
        <v/>
      </c>
      <c r="H5620" s="1" t="str">
        <f>IF(Table2[[#This Row],[Description]]="","",VLOOKUP(Table2[[#This Row],[Description]],$Q$1:$S$101,3,FALSE))</f>
        <v/>
      </c>
      <c r="I5620" s="1" t="str">
        <f>IF(Table2[[#This Row],[Description]]="","",IF(Table2[[#This Row],[Currency]]=$O$2,$P$2,HLOOKUP(Table2[[#This Row],[Date]],Funds!$C$10:$GV$11,2,FALSE)))</f>
        <v/>
      </c>
      <c r="J5620" s="215" t="str">
        <f>IF(Table2[[#This Row],[Description]]="","",Table2[[#This Row],[Value]]/Table2[[#This Row],[Conversion]])</f>
        <v/>
      </c>
      <c r="K5620" s="45" t="str">
        <f>IF(Table2[[#This Row],[Description]]="","",DATE(Table2[[#This Row],[Year]],Table2[[#This Row],[Month]],1))</f>
        <v/>
      </c>
    </row>
    <row r="5621" spans="7:11" x14ac:dyDescent="0.25">
      <c r="G5621" s="1" t="str">
        <f>IF(Table2[[#This Row],[Description]]="","",VLOOKUP(Table2[[#This Row],[Description]],$Q$1:$S$101,2,FALSE))</f>
        <v/>
      </c>
      <c r="H5621" s="1" t="str">
        <f>IF(Table2[[#This Row],[Description]]="","",VLOOKUP(Table2[[#This Row],[Description]],$Q$1:$S$101,3,FALSE))</f>
        <v/>
      </c>
      <c r="I5621" s="1" t="str">
        <f>IF(Table2[[#This Row],[Description]]="","",IF(Table2[[#This Row],[Currency]]=$O$2,$P$2,HLOOKUP(Table2[[#This Row],[Date]],Funds!$C$10:$GV$11,2,FALSE)))</f>
        <v/>
      </c>
      <c r="J5621" s="215" t="str">
        <f>IF(Table2[[#This Row],[Description]]="","",Table2[[#This Row],[Value]]/Table2[[#This Row],[Conversion]])</f>
        <v/>
      </c>
      <c r="K5621" s="45" t="str">
        <f>IF(Table2[[#This Row],[Description]]="","",DATE(Table2[[#This Row],[Year]],Table2[[#This Row],[Month]],1))</f>
        <v/>
      </c>
    </row>
    <row r="5622" spans="7:11" x14ac:dyDescent="0.25">
      <c r="G5622" s="1" t="str">
        <f>IF(Table2[[#This Row],[Description]]="","",VLOOKUP(Table2[[#This Row],[Description]],$Q$1:$S$101,2,FALSE))</f>
        <v/>
      </c>
      <c r="H5622" s="1" t="str">
        <f>IF(Table2[[#This Row],[Description]]="","",VLOOKUP(Table2[[#This Row],[Description]],$Q$1:$S$101,3,FALSE))</f>
        <v/>
      </c>
      <c r="I5622" s="1" t="str">
        <f>IF(Table2[[#This Row],[Description]]="","",IF(Table2[[#This Row],[Currency]]=$O$2,$P$2,HLOOKUP(Table2[[#This Row],[Date]],Funds!$C$10:$GV$11,2,FALSE)))</f>
        <v/>
      </c>
      <c r="J5622" s="215" t="str">
        <f>IF(Table2[[#This Row],[Description]]="","",Table2[[#This Row],[Value]]/Table2[[#This Row],[Conversion]])</f>
        <v/>
      </c>
      <c r="K5622" s="45" t="str">
        <f>IF(Table2[[#This Row],[Description]]="","",DATE(Table2[[#This Row],[Year]],Table2[[#This Row],[Month]],1))</f>
        <v/>
      </c>
    </row>
    <row r="5623" spans="7:11" x14ac:dyDescent="0.25">
      <c r="G5623" s="1" t="str">
        <f>IF(Table2[[#This Row],[Description]]="","",VLOOKUP(Table2[[#This Row],[Description]],$Q$1:$S$101,2,FALSE))</f>
        <v/>
      </c>
      <c r="H5623" s="1" t="str">
        <f>IF(Table2[[#This Row],[Description]]="","",VLOOKUP(Table2[[#This Row],[Description]],$Q$1:$S$101,3,FALSE))</f>
        <v/>
      </c>
      <c r="I5623" s="1" t="str">
        <f>IF(Table2[[#This Row],[Description]]="","",IF(Table2[[#This Row],[Currency]]=$O$2,$P$2,HLOOKUP(Table2[[#This Row],[Date]],Funds!$C$10:$GV$11,2,FALSE)))</f>
        <v/>
      </c>
      <c r="J5623" s="215" t="str">
        <f>IF(Table2[[#This Row],[Description]]="","",Table2[[#This Row],[Value]]/Table2[[#This Row],[Conversion]])</f>
        <v/>
      </c>
      <c r="K5623" s="45" t="str">
        <f>IF(Table2[[#This Row],[Description]]="","",DATE(Table2[[#This Row],[Year]],Table2[[#This Row],[Month]],1))</f>
        <v/>
      </c>
    </row>
    <row r="5624" spans="7:11" x14ac:dyDescent="0.25">
      <c r="G5624" s="1" t="str">
        <f>IF(Table2[[#This Row],[Description]]="","",VLOOKUP(Table2[[#This Row],[Description]],$Q$1:$S$101,2,FALSE))</f>
        <v/>
      </c>
      <c r="H5624" s="1" t="str">
        <f>IF(Table2[[#This Row],[Description]]="","",VLOOKUP(Table2[[#This Row],[Description]],$Q$1:$S$101,3,FALSE))</f>
        <v/>
      </c>
      <c r="I5624" s="1" t="str">
        <f>IF(Table2[[#This Row],[Description]]="","",IF(Table2[[#This Row],[Currency]]=$O$2,$P$2,HLOOKUP(Table2[[#This Row],[Date]],Funds!$C$10:$GV$11,2,FALSE)))</f>
        <v/>
      </c>
      <c r="J5624" s="215" t="str">
        <f>IF(Table2[[#This Row],[Description]]="","",Table2[[#This Row],[Value]]/Table2[[#This Row],[Conversion]])</f>
        <v/>
      </c>
      <c r="K5624" s="45" t="str">
        <f>IF(Table2[[#This Row],[Description]]="","",DATE(Table2[[#This Row],[Year]],Table2[[#This Row],[Month]],1))</f>
        <v/>
      </c>
    </row>
    <row r="5625" spans="7:11" x14ac:dyDescent="0.25">
      <c r="G5625" s="1" t="str">
        <f>IF(Table2[[#This Row],[Description]]="","",VLOOKUP(Table2[[#This Row],[Description]],$Q$1:$S$101,2,FALSE))</f>
        <v/>
      </c>
      <c r="H5625" s="1" t="str">
        <f>IF(Table2[[#This Row],[Description]]="","",VLOOKUP(Table2[[#This Row],[Description]],$Q$1:$S$101,3,FALSE))</f>
        <v/>
      </c>
      <c r="I5625" s="1" t="str">
        <f>IF(Table2[[#This Row],[Description]]="","",IF(Table2[[#This Row],[Currency]]=$O$2,$P$2,HLOOKUP(Table2[[#This Row],[Date]],Funds!$C$10:$GV$11,2,FALSE)))</f>
        <v/>
      </c>
      <c r="J5625" s="215" t="str">
        <f>IF(Table2[[#This Row],[Description]]="","",Table2[[#This Row],[Value]]/Table2[[#This Row],[Conversion]])</f>
        <v/>
      </c>
      <c r="K5625" s="45" t="str">
        <f>IF(Table2[[#This Row],[Description]]="","",DATE(Table2[[#This Row],[Year]],Table2[[#This Row],[Month]],1))</f>
        <v/>
      </c>
    </row>
    <row r="5626" spans="7:11" x14ac:dyDescent="0.25">
      <c r="G5626" s="1" t="str">
        <f>IF(Table2[[#This Row],[Description]]="","",VLOOKUP(Table2[[#This Row],[Description]],$Q$1:$S$101,2,FALSE))</f>
        <v/>
      </c>
      <c r="H5626" s="1" t="str">
        <f>IF(Table2[[#This Row],[Description]]="","",VLOOKUP(Table2[[#This Row],[Description]],$Q$1:$S$101,3,FALSE))</f>
        <v/>
      </c>
      <c r="I5626" s="1" t="str">
        <f>IF(Table2[[#This Row],[Description]]="","",IF(Table2[[#This Row],[Currency]]=$O$2,$P$2,HLOOKUP(Table2[[#This Row],[Date]],Funds!$C$10:$GV$11,2,FALSE)))</f>
        <v/>
      </c>
      <c r="J5626" s="215" t="str">
        <f>IF(Table2[[#This Row],[Description]]="","",Table2[[#This Row],[Value]]/Table2[[#This Row],[Conversion]])</f>
        <v/>
      </c>
      <c r="K5626" s="45" t="str">
        <f>IF(Table2[[#This Row],[Description]]="","",DATE(Table2[[#This Row],[Year]],Table2[[#This Row],[Month]],1))</f>
        <v/>
      </c>
    </row>
    <row r="5627" spans="7:11" x14ac:dyDescent="0.25">
      <c r="G5627" s="1" t="str">
        <f>IF(Table2[[#This Row],[Description]]="","",VLOOKUP(Table2[[#This Row],[Description]],$Q$1:$S$101,2,FALSE))</f>
        <v/>
      </c>
      <c r="H5627" s="1" t="str">
        <f>IF(Table2[[#This Row],[Description]]="","",VLOOKUP(Table2[[#This Row],[Description]],$Q$1:$S$101,3,FALSE))</f>
        <v/>
      </c>
      <c r="I5627" s="1" t="str">
        <f>IF(Table2[[#This Row],[Description]]="","",IF(Table2[[#This Row],[Currency]]=$O$2,$P$2,HLOOKUP(Table2[[#This Row],[Date]],Funds!$C$10:$GV$11,2,FALSE)))</f>
        <v/>
      </c>
      <c r="J5627" s="215" t="str">
        <f>IF(Table2[[#This Row],[Description]]="","",Table2[[#This Row],[Value]]/Table2[[#This Row],[Conversion]])</f>
        <v/>
      </c>
      <c r="K5627" s="45" t="str">
        <f>IF(Table2[[#This Row],[Description]]="","",DATE(Table2[[#This Row],[Year]],Table2[[#This Row],[Month]],1))</f>
        <v/>
      </c>
    </row>
    <row r="5628" spans="7:11" x14ac:dyDescent="0.25">
      <c r="G5628" s="1" t="str">
        <f>IF(Table2[[#This Row],[Description]]="","",VLOOKUP(Table2[[#This Row],[Description]],$Q$1:$S$101,2,FALSE))</f>
        <v/>
      </c>
      <c r="H5628" s="1" t="str">
        <f>IF(Table2[[#This Row],[Description]]="","",VLOOKUP(Table2[[#This Row],[Description]],$Q$1:$S$101,3,FALSE))</f>
        <v/>
      </c>
      <c r="I5628" s="1" t="str">
        <f>IF(Table2[[#This Row],[Description]]="","",IF(Table2[[#This Row],[Currency]]=$O$2,$P$2,HLOOKUP(Table2[[#This Row],[Date]],Funds!$C$10:$GV$11,2,FALSE)))</f>
        <v/>
      </c>
      <c r="J5628" s="215" t="str">
        <f>IF(Table2[[#This Row],[Description]]="","",Table2[[#This Row],[Value]]/Table2[[#This Row],[Conversion]])</f>
        <v/>
      </c>
      <c r="K5628" s="45" t="str">
        <f>IF(Table2[[#This Row],[Description]]="","",DATE(Table2[[#This Row],[Year]],Table2[[#This Row],[Month]],1))</f>
        <v/>
      </c>
    </row>
    <row r="5629" spans="7:11" x14ac:dyDescent="0.25">
      <c r="G5629" s="1" t="str">
        <f>IF(Table2[[#This Row],[Description]]="","",VLOOKUP(Table2[[#This Row],[Description]],$Q$1:$S$101,2,FALSE))</f>
        <v/>
      </c>
      <c r="H5629" s="1" t="str">
        <f>IF(Table2[[#This Row],[Description]]="","",VLOOKUP(Table2[[#This Row],[Description]],$Q$1:$S$101,3,FALSE))</f>
        <v/>
      </c>
      <c r="I5629" s="1" t="str">
        <f>IF(Table2[[#This Row],[Description]]="","",IF(Table2[[#This Row],[Currency]]=$O$2,$P$2,HLOOKUP(Table2[[#This Row],[Date]],Funds!$C$10:$GV$11,2,FALSE)))</f>
        <v/>
      </c>
      <c r="J5629" s="215" t="str">
        <f>IF(Table2[[#This Row],[Description]]="","",Table2[[#This Row],[Value]]/Table2[[#This Row],[Conversion]])</f>
        <v/>
      </c>
      <c r="K5629" s="45" t="str">
        <f>IF(Table2[[#This Row],[Description]]="","",DATE(Table2[[#This Row],[Year]],Table2[[#This Row],[Month]],1))</f>
        <v/>
      </c>
    </row>
    <row r="5630" spans="7:11" x14ac:dyDescent="0.25">
      <c r="G5630" s="1" t="str">
        <f>IF(Table2[[#This Row],[Description]]="","",VLOOKUP(Table2[[#This Row],[Description]],$Q$1:$S$101,2,FALSE))</f>
        <v/>
      </c>
      <c r="H5630" s="1" t="str">
        <f>IF(Table2[[#This Row],[Description]]="","",VLOOKUP(Table2[[#This Row],[Description]],$Q$1:$S$101,3,FALSE))</f>
        <v/>
      </c>
      <c r="I5630" s="1" t="str">
        <f>IF(Table2[[#This Row],[Description]]="","",IF(Table2[[#This Row],[Currency]]=$O$2,$P$2,HLOOKUP(Table2[[#This Row],[Date]],Funds!$C$10:$GV$11,2,FALSE)))</f>
        <v/>
      </c>
      <c r="J5630" s="215" t="str">
        <f>IF(Table2[[#This Row],[Description]]="","",Table2[[#This Row],[Value]]/Table2[[#This Row],[Conversion]])</f>
        <v/>
      </c>
      <c r="K5630" s="45" t="str">
        <f>IF(Table2[[#This Row],[Description]]="","",DATE(Table2[[#This Row],[Year]],Table2[[#This Row],[Month]],1))</f>
        <v/>
      </c>
    </row>
    <row r="5631" spans="7:11" x14ac:dyDescent="0.25">
      <c r="G5631" s="1" t="str">
        <f>IF(Table2[[#This Row],[Description]]="","",VLOOKUP(Table2[[#This Row],[Description]],$Q$1:$S$101,2,FALSE))</f>
        <v/>
      </c>
      <c r="H5631" s="1" t="str">
        <f>IF(Table2[[#This Row],[Description]]="","",VLOOKUP(Table2[[#This Row],[Description]],$Q$1:$S$101,3,FALSE))</f>
        <v/>
      </c>
      <c r="I5631" s="1" t="str">
        <f>IF(Table2[[#This Row],[Description]]="","",IF(Table2[[#This Row],[Currency]]=$O$2,$P$2,HLOOKUP(Table2[[#This Row],[Date]],Funds!$C$10:$GV$11,2,FALSE)))</f>
        <v/>
      </c>
      <c r="J5631" s="215" t="str">
        <f>IF(Table2[[#This Row],[Description]]="","",Table2[[#This Row],[Value]]/Table2[[#This Row],[Conversion]])</f>
        <v/>
      </c>
      <c r="K5631" s="45" t="str">
        <f>IF(Table2[[#This Row],[Description]]="","",DATE(Table2[[#This Row],[Year]],Table2[[#This Row],[Month]],1))</f>
        <v/>
      </c>
    </row>
    <row r="5632" spans="7:11" x14ac:dyDescent="0.25">
      <c r="G5632" s="1" t="str">
        <f>IF(Table2[[#This Row],[Description]]="","",VLOOKUP(Table2[[#This Row],[Description]],$Q$1:$S$101,2,FALSE))</f>
        <v/>
      </c>
      <c r="H5632" s="1" t="str">
        <f>IF(Table2[[#This Row],[Description]]="","",VLOOKUP(Table2[[#This Row],[Description]],$Q$1:$S$101,3,FALSE))</f>
        <v/>
      </c>
      <c r="I5632" s="1" t="str">
        <f>IF(Table2[[#This Row],[Description]]="","",IF(Table2[[#This Row],[Currency]]=$O$2,$P$2,HLOOKUP(Table2[[#This Row],[Date]],Funds!$C$10:$GV$11,2,FALSE)))</f>
        <v/>
      </c>
      <c r="J5632" s="215" t="str">
        <f>IF(Table2[[#This Row],[Description]]="","",Table2[[#This Row],[Value]]/Table2[[#This Row],[Conversion]])</f>
        <v/>
      </c>
      <c r="K5632" s="45" t="str">
        <f>IF(Table2[[#This Row],[Description]]="","",DATE(Table2[[#This Row],[Year]],Table2[[#This Row],[Month]],1))</f>
        <v/>
      </c>
    </row>
    <row r="5633" spans="7:11" x14ac:dyDescent="0.25">
      <c r="G5633" s="1" t="str">
        <f>IF(Table2[[#This Row],[Description]]="","",VLOOKUP(Table2[[#This Row],[Description]],$Q$1:$S$101,2,FALSE))</f>
        <v/>
      </c>
      <c r="H5633" s="1" t="str">
        <f>IF(Table2[[#This Row],[Description]]="","",VLOOKUP(Table2[[#This Row],[Description]],$Q$1:$S$101,3,FALSE))</f>
        <v/>
      </c>
      <c r="I5633" s="1" t="str">
        <f>IF(Table2[[#This Row],[Description]]="","",IF(Table2[[#This Row],[Currency]]=$O$2,$P$2,HLOOKUP(Table2[[#This Row],[Date]],Funds!$C$10:$GV$11,2,FALSE)))</f>
        <v/>
      </c>
      <c r="J5633" s="215" t="str">
        <f>IF(Table2[[#This Row],[Description]]="","",Table2[[#This Row],[Value]]/Table2[[#This Row],[Conversion]])</f>
        <v/>
      </c>
      <c r="K5633" s="45" t="str">
        <f>IF(Table2[[#This Row],[Description]]="","",DATE(Table2[[#This Row],[Year]],Table2[[#This Row],[Month]],1))</f>
        <v/>
      </c>
    </row>
    <row r="5634" spans="7:11" x14ac:dyDescent="0.25">
      <c r="G5634" s="1" t="str">
        <f>IF(Table2[[#This Row],[Description]]="","",VLOOKUP(Table2[[#This Row],[Description]],$Q$1:$S$101,2,FALSE))</f>
        <v/>
      </c>
      <c r="H5634" s="1" t="str">
        <f>IF(Table2[[#This Row],[Description]]="","",VLOOKUP(Table2[[#This Row],[Description]],$Q$1:$S$101,3,FALSE))</f>
        <v/>
      </c>
      <c r="I5634" s="1" t="str">
        <f>IF(Table2[[#This Row],[Description]]="","",IF(Table2[[#This Row],[Currency]]=$O$2,$P$2,HLOOKUP(Table2[[#This Row],[Date]],Funds!$C$10:$GV$11,2,FALSE)))</f>
        <v/>
      </c>
      <c r="J5634" s="215" t="str">
        <f>IF(Table2[[#This Row],[Description]]="","",Table2[[#This Row],[Value]]/Table2[[#This Row],[Conversion]])</f>
        <v/>
      </c>
      <c r="K5634" s="45" t="str">
        <f>IF(Table2[[#This Row],[Description]]="","",DATE(Table2[[#This Row],[Year]],Table2[[#This Row],[Month]],1))</f>
        <v/>
      </c>
    </row>
    <row r="5635" spans="7:11" x14ac:dyDescent="0.25">
      <c r="G5635" s="1" t="str">
        <f>IF(Table2[[#This Row],[Description]]="","",VLOOKUP(Table2[[#This Row],[Description]],$Q$1:$S$101,2,FALSE))</f>
        <v/>
      </c>
      <c r="H5635" s="1" t="str">
        <f>IF(Table2[[#This Row],[Description]]="","",VLOOKUP(Table2[[#This Row],[Description]],$Q$1:$S$101,3,FALSE))</f>
        <v/>
      </c>
      <c r="I5635" s="1" t="str">
        <f>IF(Table2[[#This Row],[Description]]="","",IF(Table2[[#This Row],[Currency]]=$O$2,$P$2,HLOOKUP(Table2[[#This Row],[Date]],Funds!$C$10:$GV$11,2,FALSE)))</f>
        <v/>
      </c>
      <c r="J5635" s="215" t="str">
        <f>IF(Table2[[#This Row],[Description]]="","",Table2[[#This Row],[Value]]/Table2[[#This Row],[Conversion]])</f>
        <v/>
      </c>
      <c r="K5635" s="45" t="str">
        <f>IF(Table2[[#This Row],[Description]]="","",DATE(Table2[[#This Row],[Year]],Table2[[#This Row],[Month]],1))</f>
        <v/>
      </c>
    </row>
    <row r="5636" spans="7:11" x14ac:dyDescent="0.25">
      <c r="G5636" s="1" t="str">
        <f>IF(Table2[[#This Row],[Description]]="","",VLOOKUP(Table2[[#This Row],[Description]],$Q$1:$S$101,2,FALSE))</f>
        <v/>
      </c>
      <c r="H5636" s="1" t="str">
        <f>IF(Table2[[#This Row],[Description]]="","",VLOOKUP(Table2[[#This Row],[Description]],$Q$1:$S$101,3,FALSE))</f>
        <v/>
      </c>
      <c r="I5636" s="1" t="str">
        <f>IF(Table2[[#This Row],[Description]]="","",IF(Table2[[#This Row],[Currency]]=$O$2,$P$2,HLOOKUP(Table2[[#This Row],[Date]],Funds!$C$10:$GV$11,2,FALSE)))</f>
        <v/>
      </c>
      <c r="J5636" s="215" t="str">
        <f>IF(Table2[[#This Row],[Description]]="","",Table2[[#This Row],[Value]]/Table2[[#This Row],[Conversion]])</f>
        <v/>
      </c>
      <c r="K5636" s="45" t="str">
        <f>IF(Table2[[#This Row],[Description]]="","",DATE(Table2[[#This Row],[Year]],Table2[[#This Row],[Month]],1))</f>
        <v/>
      </c>
    </row>
    <row r="5637" spans="7:11" x14ac:dyDescent="0.25">
      <c r="G5637" s="1" t="str">
        <f>IF(Table2[[#This Row],[Description]]="","",VLOOKUP(Table2[[#This Row],[Description]],$Q$1:$S$101,2,FALSE))</f>
        <v/>
      </c>
      <c r="H5637" s="1" t="str">
        <f>IF(Table2[[#This Row],[Description]]="","",VLOOKUP(Table2[[#This Row],[Description]],$Q$1:$S$101,3,FALSE))</f>
        <v/>
      </c>
      <c r="I5637" s="1" t="str">
        <f>IF(Table2[[#This Row],[Description]]="","",IF(Table2[[#This Row],[Currency]]=$O$2,$P$2,HLOOKUP(Table2[[#This Row],[Date]],Funds!$C$10:$GV$11,2,FALSE)))</f>
        <v/>
      </c>
      <c r="J5637" s="215" t="str">
        <f>IF(Table2[[#This Row],[Description]]="","",Table2[[#This Row],[Value]]/Table2[[#This Row],[Conversion]])</f>
        <v/>
      </c>
      <c r="K5637" s="45" t="str">
        <f>IF(Table2[[#This Row],[Description]]="","",DATE(Table2[[#This Row],[Year]],Table2[[#This Row],[Month]],1))</f>
        <v/>
      </c>
    </row>
    <row r="5638" spans="7:11" x14ac:dyDescent="0.25">
      <c r="G5638" s="1" t="str">
        <f>IF(Table2[[#This Row],[Description]]="","",VLOOKUP(Table2[[#This Row],[Description]],$Q$1:$S$101,2,FALSE))</f>
        <v/>
      </c>
      <c r="H5638" s="1" t="str">
        <f>IF(Table2[[#This Row],[Description]]="","",VLOOKUP(Table2[[#This Row],[Description]],$Q$1:$S$101,3,FALSE))</f>
        <v/>
      </c>
      <c r="I5638" s="1" t="str">
        <f>IF(Table2[[#This Row],[Description]]="","",IF(Table2[[#This Row],[Currency]]=$O$2,$P$2,HLOOKUP(Table2[[#This Row],[Date]],Funds!$C$10:$GV$11,2,FALSE)))</f>
        <v/>
      </c>
      <c r="J5638" s="215" t="str">
        <f>IF(Table2[[#This Row],[Description]]="","",Table2[[#This Row],[Value]]/Table2[[#This Row],[Conversion]])</f>
        <v/>
      </c>
      <c r="K5638" s="45" t="str">
        <f>IF(Table2[[#This Row],[Description]]="","",DATE(Table2[[#This Row],[Year]],Table2[[#This Row],[Month]],1))</f>
        <v/>
      </c>
    </row>
    <row r="5639" spans="7:11" x14ac:dyDescent="0.25">
      <c r="G5639" s="1" t="str">
        <f>IF(Table2[[#This Row],[Description]]="","",VLOOKUP(Table2[[#This Row],[Description]],$Q$1:$S$101,2,FALSE))</f>
        <v/>
      </c>
      <c r="H5639" s="1" t="str">
        <f>IF(Table2[[#This Row],[Description]]="","",VLOOKUP(Table2[[#This Row],[Description]],$Q$1:$S$101,3,FALSE))</f>
        <v/>
      </c>
      <c r="I5639" s="1" t="str">
        <f>IF(Table2[[#This Row],[Description]]="","",IF(Table2[[#This Row],[Currency]]=$O$2,$P$2,HLOOKUP(Table2[[#This Row],[Date]],Funds!$C$10:$GV$11,2,FALSE)))</f>
        <v/>
      </c>
      <c r="J5639" s="215" t="str">
        <f>IF(Table2[[#This Row],[Description]]="","",Table2[[#This Row],[Value]]/Table2[[#This Row],[Conversion]])</f>
        <v/>
      </c>
      <c r="K5639" s="45" t="str">
        <f>IF(Table2[[#This Row],[Description]]="","",DATE(Table2[[#This Row],[Year]],Table2[[#This Row],[Month]],1))</f>
        <v/>
      </c>
    </row>
    <row r="5640" spans="7:11" x14ac:dyDescent="0.25">
      <c r="G5640" s="1" t="str">
        <f>IF(Table2[[#This Row],[Description]]="","",VLOOKUP(Table2[[#This Row],[Description]],$Q$1:$S$101,2,FALSE))</f>
        <v/>
      </c>
      <c r="H5640" s="1" t="str">
        <f>IF(Table2[[#This Row],[Description]]="","",VLOOKUP(Table2[[#This Row],[Description]],$Q$1:$S$101,3,FALSE))</f>
        <v/>
      </c>
      <c r="I5640" s="1" t="str">
        <f>IF(Table2[[#This Row],[Description]]="","",IF(Table2[[#This Row],[Currency]]=$O$2,$P$2,HLOOKUP(Table2[[#This Row],[Date]],Funds!$C$10:$GV$11,2,FALSE)))</f>
        <v/>
      </c>
      <c r="J5640" s="215" t="str">
        <f>IF(Table2[[#This Row],[Description]]="","",Table2[[#This Row],[Value]]/Table2[[#This Row],[Conversion]])</f>
        <v/>
      </c>
      <c r="K5640" s="45" t="str">
        <f>IF(Table2[[#This Row],[Description]]="","",DATE(Table2[[#This Row],[Year]],Table2[[#This Row],[Month]],1))</f>
        <v/>
      </c>
    </row>
    <row r="5641" spans="7:11" x14ac:dyDescent="0.25">
      <c r="G5641" s="1" t="str">
        <f>IF(Table2[[#This Row],[Description]]="","",VLOOKUP(Table2[[#This Row],[Description]],$Q$1:$S$101,2,FALSE))</f>
        <v/>
      </c>
      <c r="H5641" s="1" t="str">
        <f>IF(Table2[[#This Row],[Description]]="","",VLOOKUP(Table2[[#This Row],[Description]],$Q$1:$S$101,3,FALSE))</f>
        <v/>
      </c>
      <c r="I5641" s="1" t="str">
        <f>IF(Table2[[#This Row],[Description]]="","",IF(Table2[[#This Row],[Currency]]=$O$2,$P$2,HLOOKUP(Table2[[#This Row],[Date]],Funds!$C$10:$GV$11,2,FALSE)))</f>
        <v/>
      </c>
      <c r="J5641" s="215" t="str">
        <f>IF(Table2[[#This Row],[Description]]="","",Table2[[#This Row],[Value]]/Table2[[#This Row],[Conversion]])</f>
        <v/>
      </c>
      <c r="K5641" s="45" t="str">
        <f>IF(Table2[[#This Row],[Description]]="","",DATE(Table2[[#This Row],[Year]],Table2[[#This Row],[Month]],1))</f>
        <v/>
      </c>
    </row>
    <row r="5642" spans="7:11" x14ac:dyDescent="0.25">
      <c r="G5642" s="1" t="str">
        <f>IF(Table2[[#This Row],[Description]]="","",VLOOKUP(Table2[[#This Row],[Description]],$Q$1:$S$101,2,FALSE))</f>
        <v/>
      </c>
      <c r="H5642" s="1" t="str">
        <f>IF(Table2[[#This Row],[Description]]="","",VLOOKUP(Table2[[#This Row],[Description]],$Q$1:$S$101,3,FALSE))</f>
        <v/>
      </c>
      <c r="I5642" s="1" t="str">
        <f>IF(Table2[[#This Row],[Description]]="","",IF(Table2[[#This Row],[Currency]]=$O$2,$P$2,HLOOKUP(Table2[[#This Row],[Date]],Funds!$C$10:$GV$11,2,FALSE)))</f>
        <v/>
      </c>
      <c r="J5642" s="215" t="str">
        <f>IF(Table2[[#This Row],[Description]]="","",Table2[[#This Row],[Value]]/Table2[[#This Row],[Conversion]])</f>
        <v/>
      </c>
      <c r="K5642" s="45" t="str">
        <f>IF(Table2[[#This Row],[Description]]="","",DATE(Table2[[#This Row],[Year]],Table2[[#This Row],[Month]],1))</f>
        <v/>
      </c>
    </row>
    <row r="5643" spans="7:11" x14ac:dyDescent="0.25">
      <c r="G5643" s="1" t="str">
        <f>IF(Table2[[#This Row],[Description]]="","",VLOOKUP(Table2[[#This Row],[Description]],$Q$1:$S$101,2,FALSE))</f>
        <v/>
      </c>
      <c r="H5643" s="1" t="str">
        <f>IF(Table2[[#This Row],[Description]]="","",VLOOKUP(Table2[[#This Row],[Description]],$Q$1:$S$101,3,FALSE))</f>
        <v/>
      </c>
      <c r="I5643" s="1" t="str">
        <f>IF(Table2[[#This Row],[Description]]="","",IF(Table2[[#This Row],[Currency]]=$O$2,$P$2,HLOOKUP(Table2[[#This Row],[Date]],Funds!$C$10:$GV$11,2,FALSE)))</f>
        <v/>
      </c>
      <c r="J5643" s="215" t="str">
        <f>IF(Table2[[#This Row],[Description]]="","",Table2[[#This Row],[Value]]/Table2[[#This Row],[Conversion]])</f>
        <v/>
      </c>
      <c r="K5643" s="45" t="str">
        <f>IF(Table2[[#This Row],[Description]]="","",DATE(Table2[[#This Row],[Year]],Table2[[#This Row],[Month]],1))</f>
        <v/>
      </c>
    </row>
    <row r="5644" spans="7:11" x14ac:dyDescent="0.25">
      <c r="G5644" s="1" t="str">
        <f>IF(Table2[[#This Row],[Description]]="","",VLOOKUP(Table2[[#This Row],[Description]],$Q$1:$S$101,2,FALSE))</f>
        <v/>
      </c>
      <c r="H5644" s="1" t="str">
        <f>IF(Table2[[#This Row],[Description]]="","",VLOOKUP(Table2[[#This Row],[Description]],$Q$1:$S$101,3,FALSE))</f>
        <v/>
      </c>
      <c r="I5644" s="1" t="str">
        <f>IF(Table2[[#This Row],[Description]]="","",IF(Table2[[#This Row],[Currency]]=$O$2,$P$2,HLOOKUP(Table2[[#This Row],[Date]],Funds!$C$10:$GV$11,2,FALSE)))</f>
        <v/>
      </c>
      <c r="J5644" s="215" t="str">
        <f>IF(Table2[[#This Row],[Description]]="","",Table2[[#This Row],[Value]]/Table2[[#This Row],[Conversion]])</f>
        <v/>
      </c>
      <c r="K5644" s="45" t="str">
        <f>IF(Table2[[#This Row],[Description]]="","",DATE(Table2[[#This Row],[Year]],Table2[[#This Row],[Month]],1))</f>
        <v/>
      </c>
    </row>
    <row r="5645" spans="7:11" x14ac:dyDescent="0.25">
      <c r="G5645" s="1" t="str">
        <f>IF(Table2[[#This Row],[Description]]="","",VLOOKUP(Table2[[#This Row],[Description]],$Q$1:$S$101,2,FALSE))</f>
        <v/>
      </c>
      <c r="H5645" s="1" t="str">
        <f>IF(Table2[[#This Row],[Description]]="","",VLOOKUP(Table2[[#This Row],[Description]],$Q$1:$S$101,3,FALSE))</f>
        <v/>
      </c>
      <c r="I5645" s="1" t="str">
        <f>IF(Table2[[#This Row],[Description]]="","",IF(Table2[[#This Row],[Currency]]=$O$2,$P$2,HLOOKUP(Table2[[#This Row],[Date]],Funds!$C$10:$GV$11,2,FALSE)))</f>
        <v/>
      </c>
      <c r="J5645" s="215" t="str">
        <f>IF(Table2[[#This Row],[Description]]="","",Table2[[#This Row],[Value]]/Table2[[#This Row],[Conversion]])</f>
        <v/>
      </c>
      <c r="K5645" s="45" t="str">
        <f>IF(Table2[[#This Row],[Description]]="","",DATE(Table2[[#This Row],[Year]],Table2[[#This Row],[Month]],1))</f>
        <v/>
      </c>
    </row>
    <row r="5646" spans="7:11" x14ac:dyDescent="0.25">
      <c r="G5646" s="1" t="str">
        <f>IF(Table2[[#This Row],[Description]]="","",VLOOKUP(Table2[[#This Row],[Description]],$Q$1:$S$101,2,FALSE))</f>
        <v/>
      </c>
      <c r="H5646" s="1" t="str">
        <f>IF(Table2[[#This Row],[Description]]="","",VLOOKUP(Table2[[#This Row],[Description]],$Q$1:$S$101,3,FALSE))</f>
        <v/>
      </c>
      <c r="I5646" s="1" t="str">
        <f>IF(Table2[[#This Row],[Description]]="","",IF(Table2[[#This Row],[Currency]]=$O$2,$P$2,HLOOKUP(Table2[[#This Row],[Date]],Funds!$C$10:$GV$11,2,FALSE)))</f>
        <v/>
      </c>
      <c r="J5646" s="215" t="str">
        <f>IF(Table2[[#This Row],[Description]]="","",Table2[[#This Row],[Value]]/Table2[[#This Row],[Conversion]])</f>
        <v/>
      </c>
      <c r="K5646" s="45" t="str">
        <f>IF(Table2[[#This Row],[Description]]="","",DATE(Table2[[#This Row],[Year]],Table2[[#This Row],[Month]],1))</f>
        <v/>
      </c>
    </row>
    <row r="5647" spans="7:11" x14ac:dyDescent="0.25">
      <c r="G5647" s="1" t="str">
        <f>IF(Table2[[#This Row],[Description]]="","",VLOOKUP(Table2[[#This Row],[Description]],$Q$1:$S$101,2,FALSE))</f>
        <v/>
      </c>
      <c r="H5647" s="1" t="str">
        <f>IF(Table2[[#This Row],[Description]]="","",VLOOKUP(Table2[[#This Row],[Description]],$Q$1:$S$101,3,FALSE))</f>
        <v/>
      </c>
      <c r="I5647" s="1" t="str">
        <f>IF(Table2[[#This Row],[Description]]="","",IF(Table2[[#This Row],[Currency]]=$O$2,$P$2,HLOOKUP(Table2[[#This Row],[Date]],Funds!$C$10:$GV$11,2,FALSE)))</f>
        <v/>
      </c>
      <c r="J5647" s="215" t="str">
        <f>IF(Table2[[#This Row],[Description]]="","",Table2[[#This Row],[Value]]/Table2[[#This Row],[Conversion]])</f>
        <v/>
      </c>
      <c r="K5647" s="45" t="str">
        <f>IF(Table2[[#This Row],[Description]]="","",DATE(Table2[[#This Row],[Year]],Table2[[#This Row],[Month]],1))</f>
        <v/>
      </c>
    </row>
    <row r="5648" spans="7:11" x14ac:dyDescent="0.25">
      <c r="G5648" s="1" t="str">
        <f>IF(Table2[[#This Row],[Description]]="","",VLOOKUP(Table2[[#This Row],[Description]],$Q$1:$S$101,2,FALSE))</f>
        <v/>
      </c>
      <c r="H5648" s="1" t="str">
        <f>IF(Table2[[#This Row],[Description]]="","",VLOOKUP(Table2[[#This Row],[Description]],$Q$1:$S$101,3,FALSE))</f>
        <v/>
      </c>
      <c r="I5648" s="1" t="str">
        <f>IF(Table2[[#This Row],[Description]]="","",IF(Table2[[#This Row],[Currency]]=$O$2,$P$2,HLOOKUP(Table2[[#This Row],[Date]],Funds!$C$10:$GV$11,2,FALSE)))</f>
        <v/>
      </c>
      <c r="J5648" s="215" t="str">
        <f>IF(Table2[[#This Row],[Description]]="","",Table2[[#This Row],[Value]]/Table2[[#This Row],[Conversion]])</f>
        <v/>
      </c>
      <c r="K5648" s="45" t="str">
        <f>IF(Table2[[#This Row],[Description]]="","",DATE(Table2[[#This Row],[Year]],Table2[[#This Row],[Month]],1))</f>
        <v/>
      </c>
    </row>
    <row r="5649" spans="7:11" x14ac:dyDescent="0.25">
      <c r="G5649" s="1" t="str">
        <f>IF(Table2[[#This Row],[Description]]="","",VLOOKUP(Table2[[#This Row],[Description]],$Q$1:$S$101,2,FALSE))</f>
        <v/>
      </c>
      <c r="H5649" s="1" t="str">
        <f>IF(Table2[[#This Row],[Description]]="","",VLOOKUP(Table2[[#This Row],[Description]],$Q$1:$S$101,3,FALSE))</f>
        <v/>
      </c>
      <c r="I5649" s="1" t="str">
        <f>IF(Table2[[#This Row],[Description]]="","",IF(Table2[[#This Row],[Currency]]=$O$2,$P$2,HLOOKUP(Table2[[#This Row],[Date]],Funds!$C$10:$GV$11,2,FALSE)))</f>
        <v/>
      </c>
      <c r="J5649" s="215" t="str">
        <f>IF(Table2[[#This Row],[Description]]="","",Table2[[#This Row],[Value]]/Table2[[#This Row],[Conversion]])</f>
        <v/>
      </c>
      <c r="K5649" s="45" t="str">
        <f>IF(Table2[[#This Row],[Description]]="","",DATE(Table2[[#This Row],[Year]],Table2[[#This Row],[Month]],1))</f>
        <v/>
      </c>
    </row>
    <row r="5650" spans="7:11" x14ac:dyDescent="0.25">
      <c r="G5650" s="1" t="str">
        <f>IF(Table2[[#This Row],[Description]]="","",VLOOKUP(Table2[[#This Row],[Description]],$Q$1:$S$101,2,FALSE))</f>
        <v/>
      </c>
      <c r="H5650" s="1" t="str">
        <f>IF(Table2[[#This Row],[Description]]="","",VLOOKUP(Table2[[#This Row],[Description]],$Q$1:$S$101,3,FALSE))</f>
        <v/>
      </c>
      <c r="I5650" s="1" t="str">
        <f>IF(Table2[[#This Row],[Description]]="","",IF(Table2[[#This Row],[Currency]]=$O$2,$P$2,HLOOKUP(Table2[[#This Row],[Date]],Funds!$C$10:$GV$11,2,FALSE)))</f>
        <v/>
      </c>
      <c r="J5650" s="215" t="str">
        <f>IF(Table2[[#This Row],[Description]]="","",Table2[[#This Row],[Value]]/Table2[[#This Row],[Conversion]])</f>
        <v/>
      </c>
      <c r="K5650" s="45" t="str">
        <f>IF(Table2[[#This Row],[Description]]="","",DATE(Table2[[#This Row],[Year]],Table2[[#This Row],[Month]],1))</f>
        <v/>
      </c>
    </row>
    <row r="5651" spans="7:11" x14ac:dyDescent="0.25">
      <c r="G5651" s="1" t="str">
        <f>IF(Table2[[#This Row],[Description]]="","",VLOOKUP(Table2[[#This Row],[Description]],$Q$1:$S$101,2,FALSE))</f>
        <v/>
      </c>
      <c r="H5651" s="1" t="str">
        <f>IF(Table2[[#This Row],[Description]]="","",VLOOKUP(Table2[[#This Row],[Description]],$Q$1:$S$101,3,FALSE))</f>
        <v/>
      </c>
      <c r="I5651" s="1" t="str">
        <f>IF(Table2[[#This Row],[Description]]="","",IF(Table2[[#This Row],[Currency]]=$O$2,$P$2,HLOOKUP(Table2[[#This Row],[Date]],Funds!$C$10:$GV$11,2,FALSE)))</f>
        <v/>
      </c>
      <c r="J5651" s="215" t="str">
        <f>IF(Table2[[#This Row],[Description]]="","",Table2[[#This Row],[Value]]/Table2[[#This Row],[Conversion]])</f>
        <v/>
      </c>
      <c r="K5651" s="45" t="str">
        <f>IF(Table2[[#This Row],[Description]]="","",DATE(Table2[[#This Row],[Year]],Table2[[#This Row],[Month]],1))</f>
        <v/>
      </c>
    </row>
    <row r="5652" spans="7:11" x14ac:dyDescent="0.25">
      <c r="G5652" s="1" t="str">
        <f>IF(Table2[[#This Row],[Description]]="","",VLOOKUP(Table2[[#This Row],[Description]],$Q$1:$S$101,2,FALSE))</f>
        <v/>
      </c>
      <c r="H5652" s="1" t="str">
        <f>IF(Table2[[#This Row],[Description]]="","",VLOOKUP(Table2[[#This Row],[Description]],$Q$1:$S$101,3,FALSE))</f>
        <v/>
      </c>
      <c r="I5652" s="1" t="str">
        <f>IF(Table2[[#This Row],[Description]]="","",IF(Table2[[#This Row],[Currency]]=$O$2,$P$2,HLOOKUP(Table2[[#This Row],[Date]],Funds!$C$10:$GV$11,2,FALSE)))</f>
        <v/>
      </c>
      <c r="J5652" s="215" t="str">
        <f>IF(Table2[[#This Row],[Description]]="","",Table2[[#This Row],[Value]]/Table2[[#This Row],[Conversion]])</f>
        <v/>
      </c>
      <c r="K5652" s="45" t="str">
        <f>IF(Table2[[#This Row],[Description]]="","",DATE(Table2[[#This Row],[Year]],Table2[[#This Row],[Month]],1))</f>
        <v/>
      </c>
    </row>
    <row r="5653" spans="7:11" x14ac:dyDescent="0.25">
      <c r="G5653" s="1" t="str">
        <f>IF(Table2[[#This Row],[Description]]="","",VLOOKUP(Table2[[#This Row],[Description]],$Q$1:$S$101,2,FALSE))</f>
        <v/>
      </c>
      <c r="H5653" s="1" t="str">
        <f>IF(Table2[[#This Row],[Description]]="","",VLOOKUP(Table2[[#This Row],[Description]],$Q$1:$S$101,3,FALSE))</f>
        <v/>
      </c>
      <c r="I5653" s="1" t="str">
        <f>IF(Table2[[#This Row],[Description]]="","",IF(Table2[[#This Row],[Currency]]=$O$2,$P$2,HLOOKUP(Table2[[#This Row],[Date]],Funds!$C$10:$GV$11,2,FALSE)))</f>
        <v/>
      </c>
      <c r="J5653" s="215" t="str">
        <f>IF(Table2[[#This Row],[Description]]="","",Table2[[#This Row],[Value]]/Table2[[#This Row],[Conversion]])</f>
        <v/>
      </c>
      <c r="K5653" s="45" t="str">
        <f>IF(Table2[[#This Row],[Description]]="","",DATE(Table2[[#This Row],[Year]],Table2[[#This Row],[Month]],1))</f>
        <v/>
      </c>
    </row>
    <row r="5654" spans="7:11" x14ac:dyDescent="0.25">
      <c r="G5654" s="1" t="str">
        <f>IF(Table2[[#This Row],[Description]]="","",VLOOKUP(Table2[[#This Row],[Description]],$Q$1:$S$101,2,FALSE))</f>
        <v/>
      </c>
      <c r="H5654" s="1" t="str">
        <f>IF(Table2[[#This Row],[Description]]="","",VLOOKUP(Table2[[#This Row],[Description]],$Q$1:$S$101,3,FALSE))</f>
        <v/>
      </c>
      <c r="I5654" s="1" t="str">
        <f>IF(Table2[[#This Row],[Description]]="","",IF(Table2[[#This Row],[Currency]]=$O$2,$P$2,HLOOKUP(Table2[[#This Row],[Date]],Funds!$C$10:$GV$11,2,FALSE)))</f>
        <v/>
      </c>
      <c r="J5654" s="215" t="str">
        <f>IF(Table2[[#This Row],[Description]]="","",Table2[[#This Row],[Value]]/Table2[[#This Row],[Conversion]])</f>
        <v/>
      </c>
      <c r="K5654" s="45" t="str">
        <f>IF(Table2[[#This Row],[Description]]="","",DATE(Table2[[#This Row],[Year]],Table2[[#This Row],[Month]],1))</f>
        <v/>
      </c>
    </row>
    <row r="5655" spans="7:11" x14ac:dyDescent="0.25">
      <c r="G5655" s="1" t="str">
        <f>IF(Table2[[#This Row],[Description]]="","",VLOOKUP(Table2[[#This Row],[Description]],$Q$1:$S$101,2,FALSE))</f>
        <v/>
      </c>
      <c r="H5655" s="1" t="str">
        <f>IF(Table2[[#This Row],[Description]]="","",VLOOKUP(Table2[[#This Row],[Description]],$Q$1:$S$101,3,FALSE))</f>
        <v/>
      </c>
      <c r="I5655" s="1" t="str">
        <f>IF(Table2[[#This Row],[Description]]="","",IF(Table2[[#This Row],[Currency]]=$O$2,$P$2,HLOOKUP(Table2[[#This Row],[Date]],Funds!$C$10:$GV$11,2,FALSE)))</f>
        <v/>
      </c>
      <c r="J5655" s="215" t="str">
        <f>IF(Table2[[#This Row],[Description]]="","",Table2[[#This Row],[Value]]/Table2[[#This Row],[Conversion]])</f>
        <v/>
      </c>
      <c r="K5655" s="45" t="str">
        <f>IF(Table2[[#This Row],[Description]]="","",DATE(Table2[[#This Row],[Year]],Table2[[#This Row],[Month]],1))</f>
        <v/>
      </c>
    </row>
    <row r="5656" spans="7:11" x14ac:dyDescent="0.25">
      <c r="G5656" s="1" t="str">
        <f>IF(Table2[[#This Row],[Description]]="","",VLOOKUP(Table2[[#This Row],[Description]],$Q$1:$S$101,2,FALSE))</f>
        <v/>
      </c>
      <c r="H5656" s="1" t="str">
        <f>IF(Table2[[#This Row],[Description]]="","",VLOOKUP(Table2[[#This Row],[Description]],$Q$1:$S$101,3,FALSE))</f>
        <v/>
      </c>
      <c r="I5656" s="1" t="str">
        <f>IF(Table2[[#This Row],[Description]]="","",IF(Table2[[#This Row],[Currency]]=$O$2,$P$2,HLOOKUP(Table2[[#This Row],[Date]],Funds!$C$10:$GV$11,2,FALSE)))</f>
        <v/>
      </c>
      <c r="J5656" s="215" t="str">
        <f>IF(Table2[[#This Row],[Description]]="","",Table2[[#This Row],[Value]]/Table2[[#This Row],[Conversion]])</f>
        <v/>
      </c>
      <c r="K5656" s="45" t="str">
        <f>IF(Table2[[#This Row],[Description]]="","",DATE(Table2[[#This Row],[Year]],Table2[[#This Row],[Month]],1))</f>
        <v/>
      </c>
    </row>
    <row r="5657" spans="7:11" x14ac:dyDescent="0.25">
      <c r="G5657" s="1" t="str">
        <f>IF(Table2[[#This Row],[Description]]="","",VLOOKUP(Table2[[#This Row],[Description]],$Q$1:$S$101,2,FALSE))</f>
        <v/>
      </c>
      <c r="H5657" s="1" t="str">
        <f>IF(Table2[[#This Row],[Description]]="","",VLOOKUP(Table2[[#This Row],[Description]],$Q$1:$S$101,3,FALSE))</f>
        <v/>
      </c>
      <c r="I5657" s="1" t="str">
        <f>IF(Table2[[#This Row],[Description]]="","",IF(Table2[[#This Row],[Currency]]=$O$2,$P$2,HLOOKUP(Table2[[#This Row],[Date]],Funds!$C$10:$GV$11,2,FALSE)))</f>
        <v/>
      </c>
      <c r="J5657" s="215" t="str">
        <f>IF(Table2[[#This Row],[Description]]="","",Table2[[#This Row],[Value]]/Table2[[#This Row],[Conversion]])</f>
        <v/>
      </c>
      <c r="K5657" s="45" t="str">
        <f>IF(Table2[[#This Row],[Description]]="","",DATE(Table2[[#This Row],[Year]],Table2[[#This Row],[Month]],1))</f>
        <v/>
      </c>
    </row>
    <row r="5658" spans="7:11" x14ac:dyDescent="0.25">
      <c r="G5658" s="1" t="str">
        <f>IF(Table2[[#This Row],[Description]]="","",VLOOKUP(Table2[[#This Row],[Description]],$Q$1:$S$101,2,FALSE))</f>
        <v/>
      </c>
      <c r="H5658" s="1" t="str">
        <f>IF(Table2[[#This Row],[Description]]="","",VLOOKUP(Table2[[#This Row],[Description]],$Q$1:$S$101,3,FALSE))</f>
        <v/>
      </c>
      <c r="I5658" s="1" t="str">
        <f>IF(Table2[[#This Row],[Description]]="","",IF(Table2[[#This Row],[Currency]]=$O$2,$P$2,HLOOKUP(Table2[[#This Row],[Date]],Funds!$C$10:$GV$11,2,FALSE)))</f>
        <v/>
      </c>
      <c r="J5658" s="215" t="str">
        <f>IF(Table2[[#This Row],[Description]]="","",Table2[[#This Row],[Value]]/Table2[[#This Row],[Conversion]])</f>
        <v/>
      </c>
      <c r="K5658" s="45" t="str">
        <f>IF(Table2[[#This Row],[Description]]="","",DATE(Table2[[#This Row],[Year]],Table2[[#This Row],[Month]],1))</f>
        <v/>
      </c>
    </row>
    <row r="5659" spans="7:11" x14ac:dyDescent="0.25">
      <c r="G5659" s="1" t="str">
        <f>IF(Table2[[#This Row],[Description]]="","",VLOOKUP(Table2[[#This Row],[Description]],$Q$1:$S$101,2,FALSE))</f>
        <v/>
      </c>
      <c r="H5659" s="1" t="str">
        <f>IF(Table2[[#This Row],[Description]]="","",VLOOKUP(Table2[[#This Row],[Description]],$Q$1:$S$101,3,FALSE))</f>
        <v/>
      </c>
      <c r="I5659" s="1" t="str">
        <f>IF(Table2[[#This Row],[Description]]="","",IF(Table2[[#This Row],[Currency]]=$O$2,$P$2,HLOOKUP(Table2[[#This Row],[Date]],Funds!$C$10:$GV$11,2,FALSE)))</f>
        <v/>
      </c>
      <c r="J5659" s="215" t="str">
        <f>IF(Table2[[#This Row],[Description]]="","",Table2[[#This Row],[Value]]/Table2[[#This Row],[Conversion]])</f>
        <v/>
      </c>
      <c r="K5659" s="45" t="str">
        <f>IF(Table2[[#This Row],[Description]]="","",DATE(Table2[[#This Row],[Year]],Table2[[#This Row],[Month]],1))</f>
        <v/>
      </c>
    </row>
    <row r="5660" spans="7:11" x14ac:dyDescent="0.25">
      <c r="G5660" s="1" t="str">
        <f>IF(Table2[[#This Row],[Description]]="","",VLOOKUP(Table2[[#This Row],[Description]],$Q$1:$S$101,2,FALSE))</f>
        <v/>
      </c>
      <c r="H5660" s="1" t="str">
        <f>IF(Table2[[#This Row],[Description]]="","",VLOOKUP(Table2[[#This Row],[Description]],$Q$1:$S$101,3,FALSE))</f>
        <v/>
      </c>
      <c r="I5660" s="1" t="str">
        <f>IF(Table2[[#This Row],[Description]]="","",IF(Table2[[#This Row],[Currency]]=$O$2,$P$2,HLOOKUP(Table2[[#This Row],[Date]],Funds!$C$10:$GV$11,2,FALSE)))</f>
        <v/>
      </c>
      <c r="J5660" s="215" t="str">
        <f>IF(Table2[[#This Row],[Description]]="","",Table2[[#This Row],[Value]]/Table2[[#This Row],[Conversion]])</f>
        <v/>
      </c>
      <c r="K5660" s="45" t="str">
        <f>IF(Table2[[#This Row],[Description]]="","",DATE(Table2[[#This Row],[Year]],Table2[[#This Row],[Month]],1))</f>
        <v/>
      </c>
    </row>
    <row r="5661" spans="7:11" x14ac:dyDescent="0.25">
      <c r="G5661" s="1" t="str">
        <f>IF(Table2[[#This Row],[Description]]="","",VLOOKUP(Table2[[#This Row],[Description]],$Q$1:$S$101,2,FALSE))</f>
        <v/>
      </c>
      <c r="H5661" s="1" t="str">
        <f>IF(Table2[[#This Row],[Description]]="","",VLOOKUP(Table2[[#This Row],[Description]],$Q$1:$S$101,3,FALSE))</f>
        <v/>
      </c>
      <c r="I5661" s="1" t="str">
        <f>IF(Table2[[#This Row],[Description]]="","",IF(Table2[[#This Row],[Currency]]=$O$2,$P$2,HLOOKUP(Table2[[#This Row],[Date]],Funds!$C$10:$GV$11,2,FALSE)))</f>
        <v/>
      </c>
      <c r="J5661" s="215" t="str">
        <f>IF(Table2[[#This Row],[Description]]="","",Table2[[#This Row],[Value]]/Table2[[#This Row],[Conversion]])</f>
        <v/>
      </c>
      <c r="K5661" s="45" t="str">
        <f>IF(Table2[[#This Row],[Description]]="","",DATE(Table2[[#This Row],[Year]],Table2[[#This Row],[Month]],1))</f>
        <v/>
      </c>
    </row>
    <row r="5662" spans="7:11" x14ac:dyDescent="0.25">
      <c r="G5662" s="1" t="str">
        <f>IF(Table2[[#This Row],[Description]]="","",VLOOKUP(Table2[[#This Row],[Description]],$Q$1:$S$101,2,FALSE))</f>
        <v/>
      </c>
      <c r="H5662" s="1" t="str">
        <f>IF(Table2[[#This Row],[Description]]="","",VLOOKUP(Table2[[#This Row],[Description]],$Q$1:$S$101,3,FALSE))</f>
        <v/>
      </c>
      <c r="I5662" s="1" t="str">
        <f>IF(Table2[[#This Row],[Description]]="","",IF(Table2[[#This Row],[Currency]]=$O$2,$P$2,HLOOKUP(Table2[[#This Row],[Date]],Funds!$C$10:$GV$11,2,FALSE)))</f>
        <v/>
      </c>
      <c r="J5662" s="215" t="str">
        <f>IF(Table2[[#This Row],[Description]]="","",Table2[[#This Row],[Value]]/Table2[[#This Row],[Conversion]])</f>
        <v/>
      </c>
      <c r="K5662" s="45" t="str">
        <f>IF(Table2[[#This Row],[Description]]="","",DATE(Table2[[#This Row],[Year]],Table2[[#This Row],[Month]],1))</f>
        <v/>
      </c>
    </row>
    <row r="5663" spans="7:11" x14ac:dyDescent="0.25">
      <c r="G5663" s="1" t="str">
        <f>IF(Table2[[#This Row],[Description]]="","",VLOOKUP(Table2[[#This Row],[Description]],$Q$1:$S$101,2,FALSE))</f>
        <v/>
      </c>
      <c r="H5663" s="1" t="str">
        <f>IF(Table2[[#This Row],[Description]]="","",VLOOKUP(Table2[[#This Row],[Description]],$Q$1:$S$101,3,FALSE))</f>
        <v/>
      </c>
      <c r="I5663" s="1" t="str">
        <f>IF(Table2[[#This Row],[Description]]="","",IF(Table2[[#This Row],[Currency]]=$O$2,$P$2,HLOOKUP(Table2[[#This Row],[Date]],Funds!$C$10:$GV$11,2,FALSE)))</f>
        <v/>
      </c>
      <c r="J5663" s="215" t="str">
        <f>IF(Table2[[#This Row],[Description]]="","",Table2[[#This Row],[Value]]/Table2[[#This Row],[Conversion]])</f>
        <v/>
      </c>
      <c r="K5663" s="45" t="str">
        <f>IF(Table2[[#This Row],[Description]]="","",DATE(Table2[[#This Row],[Year]],Table2[[#This Row],[Month]],1))</f>
        <v/>
      </c>
    </row>
    <row r="5664" spans="7:11" x14ac:dyDescent="0.25">
      <c r="G5664" s="1" t="str">
        <f>IF(Table2[[#This Row],[Description]]="","",VLOOKUP(Table2[[#This Row],[Description]],$Q$1:$S$101,2,FALSE))</f>
        <v/>
      </c>
      <c r="H5664" s="1" t="str">
        <f>IF(Table2[[#This Row],[Description]]="","",VLOOKUP(Table2[[#This Row],[Description]],$Q$1:$S$101,3,FALSE))</f>
        <v/>
      </c>
      <c r="I5664" s="1" t="str">
        <f>IF(Table2[[#This Row],[Description]]="","",IF(Table2[[#This Row],[Currency]]=$O$2,$P$2,HLOOKUP(Table2[[#This Row],[Date]],Funds!$C$10:$GV$11,2,FALSE)))</f>
        <v/>
      </c>
      <c r="J5664" s="215" t="str">
        <f>IF(Table2[[#This Row],[Description]]="","",Table2[[#This Row],[Value]]/Table2[[#This Row],[Conversion]])</f>
        <v/>
      </c>
      <c r="K5664" s="45" t="str">
        <f>IF(Table2[[#This Row],[Description]]="","",DATE(Table2[[#This Row],[Year]],Table2[[#This Row],[Month]],1))</f>
        <v/>
      </c>
    </row>
    <row r="5665" spans="7:11" x14ac:dyDescent="0.25">
      <c r="G5665" s="1" t="str">
        <f>IF(Table2[[#This Row],[Description]]="","",VLOOKUP(Table2[[#This Row],[Description]],$Q$1:$S$101,2,FALSE))</f>
        <v/>
      </c>
      <c r="H5665" s="1" t="str">
        <f>IF(Table2[[#This Row],[Description]]="","",VLOOKUP(Table2[[#This Row],[Description]],$Q$1:$S$101,3,FALSE))</f>
        <v/>
      </c>
      <c r="I5665" s="1" t="str">
        <f>IF(Table2[[#This Row],[Description]]="","",IF(Table2[[#This Row],[Currency]]=$O$2,$P$2,HLOOKUP(Table2[[#This Row],[Date]],Funds!$C$10:$GV$11,2,FALSE)))</f>
        <v/>
      </c>
      <c r="J5665" s="215" t="str">
        <f>IF(Table2[[#This Row],[Description]]="","",Table2[[#This Row],[Value]]/Table2[[#This Row],[Conversion]])</f>
        <v/>
      </c>
      <c r="K5665" s="45" t="str">
        <f>IF(Table2[[#This Row],[Description]]="","",DATE(Table2[[#This Row],[Year]],Table2[[#This Row],[Month]],1))</f>
        <v/>
      </c>
    </row>
    <row r="5666" spans="7:11" x14ac:dyDescent="0.25">
      <c r="G5666" s="1" t="str">
        <f>IF(Table2[[#This Row],[Description]]="","",VLOOKUP(Table2[[#This Row],[Description]],$Q$1:$S$101,2,FALSE))</f>
        <v/>
      </c>
      <c r="H5666" s="1" t="str">
        <f>IF(Table2[[#This Row],[Description]]="","",VLOOKUP(Table2[[#This Row],[Description]],$Q$1:$S$101,3,FALSE))</f>
        <v/>
      </c>
      <c r="I5666" s="1" t="str">
        <f>IF(Table2[[#This Row],[Description]]="","",IF(Table2[[#This Row],[Currency]]=$O$2,$P$2,HLOOKUP(Table2[[#This Row],[Date]],Funds!$C$10:$GV$11,2,FALSE)))</f>
        <v/>
      </c>
      <c r="J5666" s="215" t="str">
        <f>IF(Table2[[#This Row],[Description]]="","",Table2[[#This Row],[Value]]/Table2[[#This Row],[Conversion]])</f>
        <v/>
      </c>
      <c r="K5666" s="45" t="str">
        <f>IF(Table2[[#This Row],[Description]]="","",DATE(Table2[[#This Row],[Year]],Table2[[#This Row],[Month]],1))</f>
        <v/>
      </c>
    </row>
    <row r="5667" spans="7:11" x14ac:dyDescent="0.25">
      <c r="G5667" s="1" t="str">
        <f>IF(Table2[[#This Row],[Description]]="","",VLOOKUP(Table2[[#This Row],[Description]],$Q$1:$S$101,2,FALSE))</f>
        <v/>
      </c>
      <c r="H5667" s="1" t="str">
        <f>IF(Table2[[#This Row],[Description]]="","",VLOOKUP(Table2[[#This Row],[Description]],$Q$1:$S$101,3,FALSE))</f>
        <v/>
      </c>
      <c r="I5667" s="1" t="str">
        <f>IF(Table2[[#This Row],[Description]]="","",IF(Table2[[#This Row],[Currency]]=$O$2,$P$2,HLOOKUP(Table2[[#This Row],[Date]],Funds!$C$10:$GV$11,2,FALSE)))</f>
        <v/>
      </c>
      <c r="J5667" s="215" t="str">
        <f>IF(Table2[[#This Row],[Description]]="","",Table2[[#This Row],[Value]]/Table2[[#This Row],[Conversion]])</f>
        <v/>
      </c>
      <c r="K5667" s="45" t="str">
        <f>IF(Table2[[#This Row],[Description]]="","",DATE(Table2[[#This Row],[Year]],Table2[[#This Row],[Month]],1))</f>
        <v/>
      </c>
    </row>
    <row r="5668" spans="7:11" x14ac:dyDescent="0.25">
      <c r="G5668" s="1" t="str">
        <f>IF(Table2[[#This Row],[Description]]="","",VLOOKUP(Table2[[#This Row],[Description]],$Q$1:$S$101,2,FALSE))</f>
        <v/>
      </c>
      <c r="H5668" s="1" t="str">
        <f>IF(Table2[[#This Row],[Description]]="","",VLOOKUP(Table2[[#This Row],[Description]],$Q$1:$S$101,3,FALSE))</f>
        <v/>
      </c>
      <c r="I5668" s="1" t="str">
        <f>IF(Table2[[#This Row],[Description]]="","",IF(Table2[[#This Row],[Currency]]=$O$2,$P$2,HLOOKUP(Table2[[#This Row],[Date]],Funds!$C$10:$GV$11,2,FALSE)))</f>
        <v/>
      </c>
      <c r="J5668" s="215" t="str">
        <f>IF(Table2[[#This Row],[Description]]="","",Table2[[#This Row],[Value]]/Table2[[#This Row],[Conversion]])</f>
        <v/>
      </c>
      <c r="K5668" s="45" t="str">
        <f>IF(Table2[[#This Row],[Description]]="","",DATE(Table2[[#This Row],[Year]],Table2[[#This Row],[Month]],1))</f>
        <v/>
      </c>
    </row>
    <row r="5669" spans="7:11" x14ac:dyDescent="0.25">
      <c r="G5669" s="1" t="str">
        <f>IF(Table2[[#This Row],[Description]]="","",VLOOKUP(Table2[[#This Row],[Description]],$Q$1:$S$101,2,FALSE))</f>
        <v/>
      </c>
      <c r="H5669" s="1" t="str">
        <f>IF(Table2[[#This Row],[Description]]="","",VLOOKUP(Table2[[#This Row],[Description]],$Q$1:$S$101,3,FALSE))</f>
        <v/>
      </c>
      <c r="I5669" s="1" t="str">
        <f>IF(Table2[[#This Row],[Description]]="","",IF(Table2[[#This Row],[Currency]]=$O$2,$P$2,HLOOKUP(Table2[[#This Row],[Date]],Funds!$C$10:$GV$11,2,FALSE)))</f>
        <v/>
      </c>
      <c r="J5669" s="215" t="str">
        <f>IF(Table2[[#This Row],[Description]]="","",Table2[[#This Row],[Value]]/Table2[[#This Row],[Conversion]])</f>
        <v/>
      </c>
      <c r="K5669" s="45" t="str">
        <f>IF(Table2[[#This Row],[Description]]="","",DATE(Table2[[#This Row],[Year]],Table2[[#This Row],[Month]],1))</f>
        <v/>
      </c>
    </row>
    <row r="5670" spans="7:11" x14ac:dyDescent="0.25">
      <c r="G5670" s="1" t="str">
        <f>IF(Table2[[#This Row],[Description]]="","",VLOOKUP(Table2[[#This Row],[Description]],$Q$1:$S$101,2,FALSE))</f>
        <v/>
      </c>
      <c r="H5670" s="1" t="str">
        <f>IF(Table2[[#This Row],[Description]]="","",VLOOKUP(Table2[[#This Row],[Description]],$Q$1:$S$101,3,FALSE))</f>
        <v/>
      </c>
      <c r="I5670" s="1" t="str">
        <f>IF(Table2[[#This Row],[Description]]="","",IF(Table2[[#This Row],[Currency]]=$O$2,$P$2,HLOOKUP(Table2[[#This Row],[Date]],Funds!$C$10:$GV$11,2,FALSE)))</f>
        <v/>
      </c>
      <c r="J5670" s="215" t="str">
        <f>IF(Table2[[#This Row],[Description]]="","",Table2[[#This Row],[Value]]/Table2[[#This Row],[Conversion]])</f>
        <v/>
      </c>
      <c r="K5670" s="45" t="str">
        <f>IF(Table2[[#This Row],[Description]]="","",DATE(Table2[[#This Row],[Year]],Table2[[#This Row],[Month]],1))</f>
        <v/>
      </c>
    </row>
    <row r="5671" spans="7:11" x14ac:dyDescent="0.25">
      <c r="G5671" s="1" t="str">
        <f>IF(Table2[[#This Row],[Description]]="","",VLOOKUP(Table2[[#This Row],[Description]],$Q$1:$S$101,2,FALSE))</f>
        <v/>
      </c>
      <c r="H5671" s="1" t="str">
        <f>IF(Table2[[#This Row],[Description]]="","",VLOOKUP(Table2[[#This Row],[Description]],$Q$1:$S$101,3,FALSE))</f>
        <v/>
      </c>
      <c r="I5671" s="1" t="str">
        <f>IF(Table2[[#This Row],[Description]]="","",IF(Table2[[#This Row],[Currency]]=$O$2,$P$2,HLOOKUP(Table2[[#This Row],[Date]],Funds!$C$10:$GV$11,2,FALSE)))</f>
        <v/>
      </c>
      <c r="J5671" s="215" t="str">
        <f>IF(Table2[[#This Row],[Description]]="","",Table2[[#This Row],[Value]]/Table2[[#This Row],[Conversion]])</f>
        <v/>
      </c>
      <c r="K5671" s="45" t="str">
        <f>IF(Table2[[#This Row],[Description]]="","",DATE(Table2[[#This Row],[Year]],Table2[[#This Row],[Month]],1))</f>
        <v/>
      </c>
    </row>
    <row r="5672" spans="7:11" x14ac:dyDescent="0.25">
      <c r="G5672" s="1" t="str">
        <f>IF(Table2[[#This Row],[Description]]="","",VLOOKUP(Table2[[#This Row],[Description]],$Q$1:$S$101,2,FALSE))</f>
        <v/>
      </c>
      <c r="H5672" s="1" t="str">
        <f>IF(Table2[[#This Row],[Description]]="","",VLOOKUP(Table2[[#This Row],[Description]],$Q$1:$S$101,3,FALSE))</f>
        <v/>
      </c>
      <c r="I5672" s="1" t="str">
        <f>IF(Table2[[#This Row],[Description]]="","",IF(Table2[[#This Row],[Currency]]=$O$2,$P$2,HLOOKUP(Table2[[#This Row],[Date]],Funds!$C$10:$GV$11,2,FALSE)))</f>
        <v/>
      </c>
      <c r="J5672" s="215" t="str">
        <f>IF(Table2[[#This Row],[Description]]="","",Table2[[#This Row],[Value]]/Table2[[#This Row],[Conversion]])</f>
        <v/>
      </c>
      <c r="K5672" s="45" t="str">
        <f>IF(Table2[[#This Row],[Description]]="","",DATE(Table2[[#This Row],[Year]],Table2[[#This Row],[Month]],1))</f>
        <v/>
      </c>
    </row>
    <row r="5673" spans="7:11" x14ac:dyDescent="0.25">
      <c r="G5673" s="1" t="str">
        <f>IF(Table2[[#This Row],[Description]]="","",VLOOKUP(Table2[[#This Row],[Description]],$Q$1:$S$101,2,FALSE))</f>
        <v/>
      </c>
      <c r="H5673" s="1" t="str">
        <f>IF(Table2[[#This Row],[Description]]="","",VLOOKUP(Table2[[#This Row],[Description]],$Q$1:$S$101,3,FALSE))</f>
        <v/>
      </c>
      <c r="I5673" s="1" t="str">
        <f>IF(Table2[[#This Row],[Description]]="","",IF(Table2[[#This Row],[Currency]]=$O$2,$P$2,HLOOKUP(Table2[[#This Row],[Date]],Funds!$C$10:$GV$11,2,FALSE)))</f>
        <v/>
      </c>
      <c r="J5673" s="215" t="str">
        <f>IF(Table2[[#This Row],[Description]]="","",Table2[[#This Row],[Value]]/Table2[[#This Row],[Conversion]])</f>
        <v/>
      </c>
      <c r="K5673" s="45" t="str">
        <f>IF(Table2[[#This Row],[Description]]="","",DATE(Table2[[#This Row],[Year]],Table2[[#This Row],[Month]],1))</f>
        <v/>
      </c>
    </row>
    <row r="5674" spans="7:11" x14ac:dyDescent="0.25">
      <c r="G5674" s="1" t="str">
        <f>IF(Table2[[#This Row],[Description]]="","",VLOOKUP(Table2[[#This Row],[Description]],$Q$1:$S$101,2,FALSE))</f>
        <v/>
      </c>
      <c r="H5674" s="1" t="str">
        <f>IF(Table2[[#This Row],[Description]]="","",VLOOKUP(Table2[[#This Row],[Description]],$Q$1:$S$101,3,FALSE))</f>
        <v/>
      </c>
      <c r="I5674" s="1" t="str">
        <f>IF(Table2[[#This Row],[Description]]="","",IF(Table2[[#This Row],[Currency]]=$O$2,$P$2,HLOOKUP(Table2[[#This Row],[Date]],Funds!$C$10:$GV$11,2,FALSE)))</f>
        <v/>
      </c>
      <c r="J5674" s="215" t="str">
        <f>IF(Table2[[#This Row],[Description]]="","",Table2[[#This Row],[Value]]/Table2[[#This Row],[Conversion]])</f>
        <v/>
      </c>
      <c r="K5674" s="45" t="str">
        <f>IF(Table2[[#This Row],[Description]]="","",DATE(Table2[[#This Row],[Year]],Table2[[#This Row],[Month]],1))</f>
        <v/>
      </c>
    </row>
    <row r="5675" spans="7:11" x14ac:dyDescent="0.25">
      <c r="G5675" s="1" t="str">
        <f>IF(Table2[[#This Row],[Description]]="","",VLOOKUP(Table2[[#This Row],[Description]],$Q$1:$S$101,2,FALSE))</f>
        <v/>
      </c>
      <c r="H5675" s="1" t="str">
        <f>IF(Table2[[#This Row],[Description]]="","",VLOOKUP(Table2[[#This Row],[Description]],$Q$1:$S$101,3,FALSE))</f>
        <v/>
      </c>
      <c r="I5675" s="1" t="str">
        <f>IF(Table2[[#This Row],[Description]]="","",IF(Table2[[#This Row],[Currency]]=$O$2,$P$2,HLOOKUP(Table2[[#This Row],[Date]],Funds!$C$10:$GV$11,2,FALSE)))</f>
        <v/>
      </c>
      <c r="J5675" s="215" t="str">
        <f>IF(Table2[[#This Row],[Description]]="","",Table2[[#This Row],[Value]]/Table2[[#This Row],[Conversion]])</f>
        <v/>
      </c>
      <c r="K5675" s="45" t="str">
        <f>IF(Table2[[#This Row],[Description]]="","",DATE(Table2[[#This Row],[Year]],Table2[[#This Row],[Month]],1))</f>
        <v/>
      </c>
    </row>
    <row r="5676" spans="7:11" x14ac:dyDescent="0.25">
      <c r="G5676" s="1" t="str">
        <f>IF(Table2[[#This Row],[Description]]="","",VLOOKUP(Table2[[#This Row],[Description]],$Q$1:$S$101,2,FALSE))</f>
        <v/>
      </c>
      <c r="H5676" s="1" t="str">
        <f>IF(Table2[[#This Row],[Description]]="","",VLOOKUP(Table2[[#This Row],[Description]],$Q$1:$S$101,3,FALSE))</f>
        <v/>
      </c>
      <c r="I5676" s="1" t="str">
        <f>IF(Table2[[#This Row],[Description]]="","",IF(Table2[[#This Row],[Currency]]=$O$2,$P$2,HLOOKUP(Table2[[#This Row],[Date]],Funds!$C$10:$GV$11,2,FALSE)))</f>
        <v/>
      </c>
      <c r="J5676" s="215" t="str">
        <f>IF(Table2[[#This Row],[Description]]="","",Table2[[#This Row],[Value]]/Table2[[#This Row],[Conversion]])</f>
        <v/>
      </c>
      <c r="K5676" s="45" t="str">
        <f>IF(Table2[[#This Row],[Description]]="","",DATE(Table2[[#This Row],[Year]],Table2[[#This Row],[Month]],1))</f>
        <v/>
      </c>
    </row>
    <row r="5677" spans="7:11" x14ac:dyDescent="0.25">
      <c r="G5677" s="1" t="str">
        <f>IF(Table2[[#This Row],[Description]]="","",VLOOKUP(Table2[[#This Row],[Description]],$Q$1:$S$101,2,FALSE))</f>
        <v/>
      </c>
      <c r="H5677" s="1" t="str">
        <f>IF(Table2[[#This Row],[Description]]="","",VLOOKUP(Table2[[#This Row],[Description]],$Q$1:$S$101,3,FALSE))</f>
        <v/>
      </c>
      <c r="I5677" s="1" t="str">
        <f>IF(Table2[[#This Row],[Description]]="","",IF(Table2[[#This Row],[Currency]]=$O$2,$P$2,HLOOKUP(Table2[[#This Row],[Date]],Funds!$C$10:$GV$11,2,FALSE)))</f>
        <v/>
      </c>
      <c r="J5677" s="215" t="str">
        <f>IF(Table2[[#This Row],[Description]]="","",Table2[[#This Row],[Value]]/Table2[[#This Row],[Conversion]])</f>
        <v/>
      </c>
      <c r="K5677" s="45" t="str">
        <f>IF(Table2[[#This Row],[Description]]="","",DATE(Table2[[#This Row],[Year]],Table2[[#This Row],[Month]],1))</f>
        <v/>
      </c>
    </row>
    <row r="5678" spans="7:11" x14ac:dyDescent="0.25">
      <c r="G5678" s="1" t="str">
        <f>IF(Table2[[#This Row],[Description]]="","",VLOOKUP(Table2[[#This Row],[Description]],$Q$1:$S$101,2,FALSE))</f>
        <v/>
      </c>
      <c r="H5678" s="1" t="str">
        <f>IF(Table2[[#This Row],[Description]]="","",VLOOKUP(Table2[[#This Row],[Description]],$Q$1:$S$101,3,FALSE))</f>
        <v/>
      </c>
      <c r="I5678" s="1" t="str">
        <f>IF(Table2[[#This Row],[Description]]="","",IF(Table2[[#This Row],[Currency]]=$O$2,$P$2,HLOOKUP(Table2[[#This Row],[Date]],Funds!$C$10:$GV$11,2,FALSE)))</f>
        <v/>
      </c>
      <c r="J5678" s="215" t="str">
        <f>IF(Table2[[#This Row],[Description]]="","",Table2[[#This Row],[Value]]/Table2[[#This Row],[Conversion]])</f>
        <v/>
      </c>
      <c r="K5678" s="45" t="str">
        <f>IF(Table2[[#This Row],[Description]]="","",DATE(Table2[[#This Row],[Year]],Table2[[#This Row],[Month]],1))</f>
        <v/>
      </c>
    </row>
    <row r="5679" spans="7:11" x14ac:dyDescent="0.25">
      <c r="G5679" s="1" t="str">
        <f>IF(Table2[[#This Row],[Description]]="","",VLOOKUP(Table2[[#This Row],[Description]],$Q$1:$S$101,2,FALSE))</f>
        <v/>
      </c>
      <c r="H5679" s="1" t="str">
        <f>IF(Table2[[#This Row],[Description]]="","",VLOOKUP(Table2[[#This Row],[Description]],$Q$1:$S$101,3,FALSE))</f>
        <v/>
      </c>
      <c r="I5679" s="1" t="str">
        <f>IF(Table2[[#This Row],[Description]]="","",IF(Table2[[#This Row],[Currency]]=$O$2,$P$2,HLOOKUP(Table2[[#This Row],[Date]],Funds!$C$10:$GV$11,2,FALSE)))</f>
        <v/>
      </c>
      <c r="J5679" s="215" t="str">
        <f>IF(Table2[[#This Row],[Description]]="","",Table2[[#This Row],[Value]]/Table2[[#This Row],[Conversion]])</f>
        <v/>
      </c>
      <c r="K5679" s="45" t="str">
        <f>IF(Table2[[#This Row],[Description]]="","",DATE(Table2[[#This Row],[Year]],Table2[[#This Row],[Month]],1))</f>
        <v/>
      </c>
    </row>
    <row r="5680" spans="7:11" x14ac:dyDescent="0.25">
      <c r="G5680" s="1" t="str">
        <f>IF(Table2[[#This Row],[Description]]="","",VLOOKUP(Table2[[#This Row],[Description]],$Q$1:$S$101,2,FALSE))</f>
        <v/>
      </c>
      <c r="H5680" s="1" t="str">
        <f>IF(Table2[[#This Row],[Description]]="","",VLOOKUP(Table2[[#This Row],[Description]],$Q$1:$S$101,3,FALSE))</f>
        <v/>
      </c>
      <c r="I5680" s="1" t="str">
        <f>IF(Table2[[#This Row],[Description]]="","",IF(Table2[[#This Row],[Currency]]=$O$2,$P$2,HLOOKUP(Table2[[#This Row],[Date]],Funds!$C$10:$GV$11,2,FALSE)))</f>
        <v/>
      </c>
      <c r="J5680" s="215" t="str">
        <f>IF(Table2[[#This Row],[Description]]="","",Table2[[#This Row],[Value]]/Table2[[#This Row],[Conversion]])</f>
        <v/>
      </c>
      <c r="K5680" s="45" t="str">
        <f>IF(Table2[[#This Row],[Description]]="","",DATE(Table2[[#This Row],[Year]],Table2[[#This Row],[Month]],1))</f>
        <v/>
      </c>
    </row>
    <row r="5681" spans="7:11" x14ac:dyDescent="0.25">
      <c r="G5681" s="1" t="str">
        <f>IF(Table2[[#This Row],[Description]]="","",VLOOKUP(Table2[[#This Row],[Description]],$Q$1:$S$101,2,FALSE))</f>
        <v/>
      </c>
      <c r="H5681" s="1" t="str">
        <f>IF(Table2[[#This Row],[Description]]="","",VLOOKUP(Table2[[#This Row],[Description]],$Q$1:$S$101,3,FALSE))</f>
        <v/>
      </c>
      <c r="I5681" s="1" t="str">
        <f>IF(Table2[[#This Row],[Description]]="","",IF(Table2[[#This Row],[Currency]]=$O$2,$P$2,HLOOKUP(Table2[[#This Row],[Date]],Funds!$C$10:$GV$11,2,FALSE)))</f>
        <v/>
      </c>
      <c r="J5681" s="215" t="str">
        <f>IF(Table2[[#This Row],[Description]]="","",Table2[[#This Row],[Value]]/Table2[[#This Row],[Conversion]])</f>
        <v/>
      </c>
      <c r="K5681" s="45" t="str">
        <f>IF(Table2[[#This Row],[Description]]="","",DATE(Table2[[#This Row],[Year]],Table2[[#This Row],[Month]],1))</f>
        <v/>
      </c>
    </row>
    <row r="5682" spans="7:11" x14ac:dyDescent="0.25">
      <c r="G5682" s="1" t="str">
        <f>IF(Table2[[#This Row],[Description]]="","",VLOOKUP(Table2[[#This Row],[Description]],$Q$1:$S$101,2,FALSE))</f>
        <v/>
      </c>
      <c r="H5682" s="1" t="str">
        <f>IF(Table2[[#This Row],[Description]]="","",VLOOKUP(Table2[[#This Row],[Description]],$Q$1:$S$101,3,FALSE))</f>
        <v/>
      </c>
      <c r="I5682" s="1" t="str">
        <f>IF(Table2[[#This Row],[Description]]="","",IF(Table2[[#This Row],[Currency]]=$O$2,$P$2,HLOOKUP(Table2[[#This Row],[Date]],Funds!$C$10:$GV$11,2,FALSE)))</f>
        <v/>
      </c>
      <c r="J5682" s="215" t="str">
        <f>IF(Table2[[#This Row],[Description]]="","",Table2[[#This Row],[Value]]/Table2[[#This Row],[Conversion]])</f>
        <v/>
      </c>
      <c r="K5682" s="45" t="str">
        <f>IF(Table2[[#This Row],[Description]]="","",DATE(Table2[[#This Row],[Year]],Table2[[#This Row],[Month]],1))</f>
        <v/>
      </c>
    </row>
    <row r="5683" spans="7:11" x14ac:dyDescent="0.25">
      <c r="G5683" s="1" t="str">
        <f>IF(Table2[[#This Row],[Description]]="","",VLOOKUP(Table2[[#This Row],[Description]],$Q$1:$S$101,2,FALSE))</f>
        <v/>
      </c>
      <c r="H5683" s="1" t="str">
        <f>IF(Table2[[#This Row],[Description]]="","",VLOOKUP(Table2[[#This Row],[Description]],$Q$1:$S$101,3,FALSE))</f>
        <v/>
      </c>
      <c r="I5683" s="1" t="str">
        <f>IF(Table2[[#This Row],[Description]]="","",IF(Table2[[#This Row],[Currency]]=$O$2,$P$2,HLOOKUP(Table2[[#This Row],[Date]],Funds!$C$10:$GV$11,2,FALSE)))</f>
        <v/>
      </c>
      <c r="J5683" s="215" t="str">
        <f>IF(Table2[[#This Row],[Description]]="","",Table2[[#This Row],[Value]]/Table2[[#This Row],[Conversion]])</f>
        <v/>
      </c>
      <c r="K5683" s="45" t="str">
        <f>IF(Table2[[#This Row],[Description]]="","",DATE(Table2[[#This Row],[Year]],Table2[[#This Row],[Month]],1))</f>
        <v/>
      </c>
    </row>
    <row r="5684" spans="7:11" x14ac:dyDescent="0.25">
      <c r="G5684" s="1" t="str">
        <f>IF(Table2[[#This Row],[Description]]="","",VLOOKUP(Table2[[#This Row],[Description]],$Q$1:$S$101,2,FALSE))</f>
        <v/>
      </c>
      <c r="H5684" s="1" t="str">
        <f>IF(Table2[[#This Row],[Description]]="","",VLOOKUP(Table2[[#This Row],[Description]],$Q$1:$S$101,3,FALSE))</f>
        <v/>
      </c>
      <c r="I5684" s="1" t="str">
        <f>IF(Table2[[#This Row],[Description]]="","",IF(Table2[[#This Row],[Currency]]=$O$2,$P$2,HLOOKUP(Table2[[#This Row],[Date]],Funds!$C$10:$GV$11,2,FALSE)))</f>
        <v/>
      </c>
      <c r="J5684" s="215" t="str">
        <f>IF(Table2[[#This Row],[Description]]="","",Table2[[#This Row],[Value]]/Table2[[#This Row],[Conversion]])</f>
        <v/>
      </c>
      <c r="K5684" s="45" t="str">
        <f>IF(Table2[[#This Row],[Description]]="","",DATE(Table2[[#This Row],[Year]],Table2[[#This Row],[Month]],1))</f>
        <v/>
      </c>
    </row>
    <row r="5685" spans="7:11" x14ac:dyDescent="0.25">
      <c r="G5685" s="1" t="str">
        <f>IF(Table2[[#This Row],[Description]]="","",VLOOKUP(Table2[[#This Row],[Description]],$Q$1:$S$101,2,FALSE))</f>
        <v/>
      </c>
      <c r="H5685" s="1" t="str">
        <f>IF(Table2[[#This Row],[Description]]="","",VLOOKUP(Table2[[#This Row],[Description]],$Q$1:$S$101,3,FALSE))</f>
        <v/>
      </c>
      <c r="I5685" s="1" t="str">
        <f>IF(Table2[[#This Row],[Description]]="","",IF(Table2[[#This Row],[Currency]]=$O$2,$P$2,HLOOKUP(Table2[[#This Row],[Date]],Funds!$C$10:$GV$11,2,FALSE)))</f>
        <v/>
      </c>
      <c r="J5685" s="215" t="str">
        <f>IF(Table2[[#This Row],[Description]]="","",Table2[[#This Row],[Value]]/Table2[[#This Row],[Conversion]])</f>
        <v/>
      </c>
      <c r="K5685" s="45" t="str">
        <f>IF(Table2[[#This Row],[Description]]="","",DATE(Table2[[#This Row],[Year]],Table2[[#This Row],[Month]],1))</f>
        <v/>
      </c>
    </row>
    <row r="5686" spans="7:11" x14ac:dyDescent="0.25">
      <c r="G5686" s="1" t="str">
        <f>IF(Table2[[#This Row],[Description]]="","",VLOOKUP(Table2[[#This Row],[Description]],$Q$1:$S$101,2,FALSE))</f>
        <v/>
      </c>
      <c r="H5686" s="1" t="str">
        <f>IF(Table2[[#This Row],[Description]]="","",VLOOKUP(Table2[[#This Row],[Description]],$Q$1:$S$101,3,FALSE))</f>
        <v/>
      </c>
      <c r="I5686" s="1" t="str">
        <f>IF(Table2[[#This Row],[Description]]="","",IF(Table2[[#This Row],[Currency]]=$O$2,$P$2,HLOOKUP(Table2[[#This Row],[Date]],Funds!$C$10:$GV$11,2,FALSE)))</f>
        <v/>
      </c>
      <c r="J5686" s="215" t="str">
        <f>IF(Table2[[#This Row],[Description]]="","",Table2[[#This Row],[Value]]/Table2[[#This Row],[Conversion]])</f>
        <v/>
      </c>
      <c r="K5686" s="45" t="str">
        <f>IF(Table2[[#This Row],[Description]]="","",DATE(Table2[[#This Row],[Year]],Table2[[#This Row],[Month]],1))</f>
        <v/>
      </c>
    </row>
    <row r="5687" spans="7:11" x14ac:dyDescent="0.25">
      <c r="G5687" s="1" t="str">
        <f>IF(Table2[[#This Row],[Description]]="","",VLOOKUP(Table2[[#This Row],[Description]],$Q$1:$S$101,2,FALSE))</f>
        <v/>
      </c>
      <c r="H5687" s="1" t="str">
        <f>IF(Table2[[#This Row],[Description]]="","",VLOOKUP(Table2[[#This Row],[Description]],$Q$1:$S$101,3,FALSE))</f>
        <v/>
      </c>
      <c r="I5687" s="1" t="str">
        <f>IF(Table2[[#This Row],[Description]]="","",IF(Table2[[#This Row],[Currency]]=$O$2,$P$2,HLOOKUP(Table2[[#This Row],[Date]],Funds!$C$10:$GV$11,2,FALSE)))</f>
        <v/>
      </c>
      <c r="J5687" s="215" t="str">
        <f>IF(Table2[[#This Row],[Description]]="","",Table2[[#This Row],[Value]]/Table2[[#This Row],[Conversion]])</f>
        <v/>
      </c>
      <c r="K5687" s="45" t="str">
        <f>IF(Table2[[#This Row],[Description]]="","",DATE(Table2[[#This Row],[Year]],Table2[[#This Row],[Month]],1))</f>
        <v/>
      </c>
    </row>
    <row r="5688" spans="7:11" x14ac:dyDescent="0.25">
      <c r="G5688" s="1" t="str">
        <f>IF(Table2[[#This Row],[Description]]="","",VLOOKUP(Table2[[#This Row],[Description]],$Q$1:$S$101,2,FALSE))</f>
        <v/>
      </c>
      <c r="H5688" s="1" t="str">
        <f>IF(Table2[[#This Row],[Description]]="","",VLOOKUP(Table2[[#This Row],[Description]],$Q$1:$S$101,3,FALSE))</f>
        <v/>
      </c>
      <c r="I5688" s="1" t="str">
        <f>IF(Table2[[#This Row],[Description]]="","",IF(Table2[[#This Row],[Currency]]=$O$2,$P$2,HLOOKUP(Table2[[#This Row],[Date]],Funds!$C$10:$GV$11,2,FALSE)))</f>
        <v/>
      </c>
      <c r="J5688" s="215" t="str">
        <f>IF(Table2[[#This Row],[Description]]="","",Table2[[#This Row],[Value]]/Table2[[#This Row],[Conversion]])</f>
        <v/>
      </c>
      <c r="K5688" s="45" t="str">
        <f>IF(Table2[[#This Row],[Description]]="","",DATE(Table2[[#This Row],[Year]],Table2[[#This Row],[Month]],1))</f>
        <v/>
      </c>
    </row>
    <row r="5689" spans="7:11" x14ac:dyDescent="0.25">
      <c r="G5689" s="1" t="str">
        <f>IF(Table2[[#This Row],[Description]]="","",VLOOKUP(Table2[[#This Row],[Description]],$Q$1:$S$101,2,FALSE))</f>
        <v/>
      </c>
      <c r="H5689" s="1" t="str">
        <f>IF(Table2[[#This Row],[Description]]="","",VLOOKUP(Table2[[#This Row],[Description]],$Q$1:$S$101,3,FALSE))</f>
        <v/>
      </c>
      <c r="I5689" s="1" t="str">
        <f>IF(Table2[[#This Row],[Description]]="","",IF(Table2[[#This Row],[Currency]]=$O$2,$P$2,HLOOKUP(Table2[[#This Row],[Date]],Funds!$C$10:$GV$11,2,FALSE)))</f>
        <v/>
      </c>
      <c r="J5689" s="215" t="str">
        <f>IF(Table2[[#This Row],[Description]]="","",Table2[[#This Row],[Value]]/Table2[[#This Row],[Conversion]])</f>
        <v/>
      </c>
      <c r="K5689" s="45" t="str">
        <f>IF(Table2[[#This Row],[Description]]="","",DATE(Table2[[#This Row],[Year]],Table2[[#This Row],[Month]],1))</f>
        <v/>
      </c>
    </row>
    <row r="5690" spans="7:11" x14ac:dyDescent="0.25">
      <c r="G5690" s="1" t="str">
        <f>IF(Table2[[#This Row],[Description]]="","",VLOOKUP(Table2[[#This Row],[Description]],$Q$1:$S$101,2,FALSE))</f>
        <v/>
      </c>
      <c r="H5690" s="1" t="str">
        <f>IF(Table2[[#This Row],[Description]]="","",VLOOKUP(Table2[[#This Row],[Description]],$Q$1:$S$101,3,FALSE))</f>
        <v/>
      </c>
      <c r="I5690" s="1" t="str">
        <f>IF(Table2[[#This Row],[Description]]="","",IF(Table2[[#This Row],[Currency]]=$O$2,$P$2,HLOOKUP(Table2[[#This Row],[Date]],Funds!$C$10:$GV$11,2,FALSE)))</f>
        <v/>
      </c>
      <c r="J5690" s="215" t="str">
        <f>IF(Table2[[#This Row],[Description]]="","",Table2[[#This Row],[Value]]/Table2[[#This Row],[Conversion]])</f>
        <v/>
      </c>
      <c r="K5690" s="45" t="str">
        <f>IF(Table2[[#This Row],[Description]]="","",DATE(Table2[[#This Row],[Year]],Table2[[#This Row],[Month]],1))</f>
        <v/>
      </c>
    </row>
    <row r="5691" spans="7:11" x14ac:dyDescent="0.25">
      <c r="G5691" s="1" t="str">
        <f>IF(Table2[[#This Row],[Description]]="","",VLOOKUP(Table2[[#This Row],[Description]],$Q$1:$S$101,2,FALSE))</f>
        <v/>
      </c>
      <c r="H5691" s="1" t="str">
        <f>IF(Table2[[#This Row],[Description]]="","",VLOOKUP(Table2[[#This Row],[Description]],$Q$1:$S$101,3,FALSE))</f>
        <v/>
      </c>
      <c r="I5691" s="1" t="str">
        <f>IF(Table2[[#This Row],[Description]]="","",IF(Table2[[#This Row],[Currency]]=$O$2,$P$2,HLOOKUP(Table2[[#This Row],[Date]],Funds!$C$10:$GV$11,2,FALSE)))</f>
        <v/>
      </c>
      <c r="J5691" s="215" t="str">
        <f>IF(Table2[[#This Row],[Description]]="","",Table2[[#This Row],[Value]]/Table2[[#This Row],[Conversion]])</f>
        <v/>
      </c>
      <c r="K5691" s="45" t="str">
        <f>IF(Table2[[#This Row],[Description]]="","",DATE(Table2[[#This Row],[Year]],Table2[[#This Row],[Month]],1))</f>
        <v/>
      </c>
    </row>
    <row r="5692" spans="7:11" x14ac:dyDescent="0.25">
      <c r="G5692" s="1" t="str">
        <f>IF(Table2[[#This Row],[Description]]="","",VLOOKUP(Table2[[#This Row],[Description]],$Q$1:$S$101,2,FALSE))</f>
        <v/>
      </c>
      <c r="H5692" s="1" t="str">
        <f>IF(Table2[[#This Row],[Description]]="","",VLOOKUP(Table2[[#This Row],[Description]],$Q$1:$S$101,3,FALSE))</f>
        <v/>
      </c>
      <c r="I5692" s="1" t="str">
        <f>IF(Table2[[#This Row],[Description]]="","",IF(Table2[[#This Row],[Currency]]=$O$2,$P$2,HLOOKUP(Table2[[#This Row],[Date]],Funds!$C$10:$GV$11,2,FALSE)))</f>
        <v/>
      </c>
      <c r="J5692" s="215" t="str">
        <f>IF(Table2[[#This Row],[Description]]="","",Table2[[#This Row],[Value]]/Table2[[#This Row],[Conversion]])</f>
        <v/>
      </c>
      <c r="K5692" s="45" t="str">
        <f>IF(Table2[[#This Row],[Description]]="","",DATE(Table2[[#This Row],[Year]],Table2[[#This Row],[Month]],1))</f>
        <v/>
      </c>
    </row>
    <row r="5693" spans="7:11" x14ac:dyDescent="0.25">
      <c r="G5693" s="1" t="str">
        <f>IF(Table2[[#This Row],[Description]]="","",VLOOKUP(Table2[[#This Row],[Description]],$Q$1:$S$101,2,FALSE))</f>
        <v/>
      </c>
      <c r="H5693" s="1" t="str">
        <f>IF(Table2[[#This Row],[Description]]="","",VLOOKUP(Table2[[#This Row],[Description]],$Q$1:$S$101,3,FALSE))</f>
        <v/>
      </c>
      <c r="I5693" s="1" t="str">
        <f>IF(Table2[[#This Row],[Description]]="","",IF(Table2[[#This Row],[Currency]]=$O$2,$P$2,HLOOKUP(Table2[[#This Row],[Date]],Funds!$C$10:$GV$11,2,FALSE)))</f>
        <v/>
      </c>
      <c r="J5693" s="215" t="str">
        <f>IF(Table2[[#This Row],[Description]]="","",Table2[[#This Row],[Value]]/Table2[[#This Row],[Conversion]])</f>
        <v/>
      </c>
      <c r="K5693" s="45" t="str">
        <f>IF(Table2[[#This Row],[Description]]="","",DATE(Table2[[#This Row],[Year]],Table2[[#This Row],[Month]],1))</f>
        <v/>
      </c>
    </row>
    <row r="5694" spans="7:11" x14ac:dyDescent="0.25">
      <c r="G5694" s="1" t="str">
        <f>IF(Table2[[#This Row],[Description]]="","",VLOOKUP(Table2[[#This Row],[Description]],$Q$1:$S$101,2,FALSE))</f>
        <v/>
      </c>
      <c r="H5694" s="1" t="str">
        <f>IF(Table2[[#This Row],[Description]]="","",VLOOKUP(Table2[[#This Row],[Description]],$Q$1:$S$101,3,FALSE))</f>
        <v/>
      </c>
      <c r="I5694" s="1" t="str">
        <f>IF(Table2[[#This Row],[Description]]="","",IF(Table2[[#This Row],[Currency]]=$O$2,$P$2,HLOOKUP(Table2[[#This Row],[Date]],Funds!$C$10:$GV$11,2,FALSE)))</f>
        <v/>
      </c>
      <c r="J5694" s="215" t="str">
        <f>IF(Table2[[#This Row],[Description]]="","",Table2[[#This Row],[Value]]/Table2[[#This Row],[Conversion]])</f>
        <v/>
      </c>
      <c r="K5694" s="45" t="str">
        <f>IF(Table2[[#This Row],[Description]]="","",DATE(Table2[[#This Row],[Year]],Table2[[#This Row],[Month]],1))</f>
        <v/>
      </c>
    </row>
    <row r="5695" spans="7:11" x14ac:dyDescent="0.25">
      <c r="G5695" s="1" t="str">
        <f>IF(Table2[[#This Row],[Description]]="","",VLOOKUP(Table2[[#This Row],[Description]],$Q$1:$S$101,2,FALSE))</f>
        <v/>
      </c>
      <c r="H5695" s="1" t="str">
        <f>IF(Table2[[#This Row],[Description]]="","",VLOOKUP(Table2[[#This Row],[Description]],$Q$1:$S$101,3,FALSE))</f>
        <v/>
      </c>
      <c r="I5695" s="1" t="str">
        <f>IF(Table2[[#This Row],[Description]]="","",IF(Table2[[#This Row],[Currency]]=$O$2,$P$2,HLOOKUP(Table2[[#This Row],[Date]],Funds!$C$10:$GV$11,2,FALSE)))</f>
        <v/>
      </c>
      <c r="J5695" s="215" t="str">
        <f>IF(Table2[[#This Row],[Description]]="","",Table2[[#This Row],[Value]]/Table2[[#This Row],[Conversion]])</f>
        <v/>
      </c>
      <c r="K5695" s="45" t="str">
        <f>IF(Table2[[#This Row],[Description]]="","",DATE(Table2[[#This Row],[Year]],Table2[[#This Row],[Month]],1))</f>
        <v/>
      </c>
    </row>
    <row r="5696" spans="7:11" x14ac:dyDescent="0.25">
      <c r="G5696" s="1" t="str">
        <f>IF(Table2[[#This Row],[Description]]="","",VLOOKUP(Table2[[#This Row],[Description]],$Q$1:$S$101,2,FALSE))</f>
        <v/>
      </c>
      <c r="H5696" s="1" t="str">
        <f>IF(Table2[[#This Row],[Description]]="","",VLOOKUP(Table2[[#This Row],[Description]],$Q$1:$S$101,3,FALSE))</f>
        <v/>
      </c>
      <c r="I5696" s="1" t="str">
        <f>IF(Table2[[#This Row],[Description]]="","",IF(Table2[[#This Row],[Currency]]=$O$2,$P$2,HLOOKUP(Table2[[#This Row],[Date]],Funds!$C$10:$GV$11,2,FALSE)))</f>
        <v/>
      </c>
      <c r="J5696" s="215" t="str">
        <f>IF(Table2[[#This Row],[Description]]="","",Table2[[#This Row],[Value]]/Table2[[#This Row],[Conversion]])</f>
        <v/>
      </c>
      <c r="K5696" s="45" t="str">
        <f>IF(Table2[[#This Row],[Description]]="","",DATE(Table2[[#This Row],[Year]],Table2[[#This Row],[Month]],1))</f>
        <v/>
      </c>
    </row>
    <row r="5697" spans="7:11" x14ac:dyDescent="0.25">
      <c r="G5697" s="1" t="str">
        <f>IF(Table2[[#This Row],[Description]]="","",VLOOKUP(Table2[[#This Row],[Description]],$Q$1:$S$101,2,FALSE))</f>
        <v/>
      </c>
      <c r="H5697" s="1" t="str">
        <f>IF(Table2[[#This Row],[Description]]="","",VLOOKUP(Table2[[#This Row],[Description]],$Q$1:$S$101,3,FALSE))</f>
        <v/>
      </c>
      <c r="I5697" s="1" t="str">
        <f>IF(Table2[[#This Row],[Description]]="","",IF(Table2[[#This Row],[Currency]]=$O$2,$P$2,HLOOKUP(Table2[[#This Row],[Date]],Funds!$C$10:$GV$11,2,FALSE)))</f>
        <v/>
      </c>
      <c r="J5697" s="215" t="str">
        <f>IF(Table2[[#This Row],[Description]]="","",Table2[[#This Row],[Value]]/Table2[[#This Row],[Conversion]])</f>
        <v/>
      </c>
      <c r="K5697" s="45" t="str">
        <f>IF(Table2[[#This Row],[Description]]="","",DATE(Table2[[#This Row],[Year]],Table2[[#This Row],[Month]],1))</f>
        <v/>
      </c>
    </row>
    <row r="5698" spans="7:11" x14ac:dyDescent="0.25">
      <c r="G5698" s="1" t="str">
        <f>IF(Table2[[#This Row],[Description]]="","",VLOOKUP(Table2[[#This Row],[Description]],$Q$1:$S$101,2,FALSE))</f>
        <v/>
      </c>
      <c r="H5698" s="1" t="str">
        <f>IF(Table2[[#This Row],[Description]]="","",VLOOKUP(Table2[[#This Row],[Description]],$Q$1:$S$101,3,FALSE))</f>
        <v/>
      </c>
      <c r="I5698" s="1" t="str">
        <f>IF(Table2[[#This Row],[Description]]="","",IF(Table2[[#This Row],[Currency]]=$O$2,$P$2,HLOOKUP(Table2[[#This Row],[Date]],Funds!$C$10:$GV$11,2,FALSE)))</f>
        <v/>
      </c>
      <c r="J5698" s="215" t="str">
        <f>IF(Table2[[#This Row],[Description]]="","",Table2[[#This Row],[Value]]/Table2[[#This Row],[Conversion]])</f>
        <v/>
      </c>
      <c r="K5698" s="45" t="str">
        <f>IF(Table2[[#This Row],[Description]]="","",DATE(Table2[[#This Row],[Year]],Table2[[#This Row],[Month]],1))</f>
        <v/>
      </c>
    </row>
    <row r="5699" spans="7:11" x14ac:dyDescent="0.25">
      <c r="G5699" s="1" t="str">
        <f>IF(Table2[[#This Row],[Description]]="","",VLOOKUP(Table2[[#This Row],[Description]],$Q$1:$S$101,2,FALSE))</f>
        <v/>
      </c>
      <c r="H5699" s="1" t="str">
        <f>IF(Table2[[#This Row],[Description]]="","",VLOOKUP(Table2[[#This Row],[Description]],$Q$1:$S$101,3,FALSE))</f>
        <v/>
      </c>
      <c r="I5699" s="1" t="str">
        <f>IF(Table2[[#This Row],[Description]]="","",IF(Table2[[#This Row],[Currency]]=$O$2,$P$2,HLOOKUP(Table2[[#This Row],[Date]],Funds!$C$10:$GV$11,2,FALSE)))</f>
        <v/>
      </c>
      <c r="J5699" s="215" t="str">
        <f>IF(Table2[[#This Row],[Description]]="","",Table2[[#This Row],[Value]]/Table2[[#This Row],[Conversion]])</f>
        <v/>
      </c>
      <c r="K5699" s="45" t="str">
        <f>IF(Table2[[#This Row],[Description]]="","",DATE(Table2[[#This Row],[Year]],Table2[[#This Row],[Month]],1))</f>
        <v/>
      </c>
    </row>
    <row r="5700" spans="7:11" x14ac:dyDescent="0.25">
      <c r="G5700" s="1" t="str">
        <f>IF(Table2[[#This Row],[Description]]="","",VLOOKUP(Table2[[#This Row],[Description]],$Q$1:$S$101,2,FALSE))</f>
        <v/>
      </c>
      <c r="H5700" s="1" t="str">
        <f>IF(Table2[[#This Row],[Description]]="","",VLOOKUP(Table2[[#This Row],[Description]],$Q$1:$S$101,3,FALSE))</f>
        <v/>
      </c>
      <c r="I5700" s="1" t="str">
        <f>IF(Table2[[#This Row],[Description]]="","",IF(Table2[[#This Row],[Currency]]=$O$2,$P$2,HLOOKUP(Table2[[#This Row],[Date]],Funds!$C$10:$GV$11,2,FALSE)))</f>
        <v/>
      </c>
      <c r="J5700" s="215" t="str">
        <f>IF(Table2[[#This Row],[Description]]="","",Table2[[#This Row],[Value]]/Table2[[#This Row],[Conversion]])</f>
        <v/>
      </c>
      <c r="K5700" s="45" t="str">
        <f>IF(Table2[[#This Row],[Description]]="","",DATE(Table2[[#This Row],[Year]],Table2[[#This Row],[Month]],1))</f>
        <v/>
      </c>
    </row>
    <row r="5701" spans="7:11" x14ac:dyDescent="0.25">
      <c r="G5701" s="1" t="str">
        <f>IF(Table2[[#This Row],[Description]]="","",VLOOKUP(Table2[[#This Row],[Description]],$Q$1:$S$101,2,FALSE))</f>
        <v/>
      </c>
      <c r="H5701" s="1" t="str">
        <f>IF(Table2[[#This Row],[Description]]="","",VLOOKUP(Table2[[#This Row],[Description]],$Q$1:$S$101,3,FALSE))</f>
        <v/>
      </c>
      <c r="I5701" s="1" t="str">
        <f>IF(Table2[[#This Row],[Description]]="","",IF(Table2[[#This Row],[Currency]]=$O$2,$P$2,HLOOKUP(Table2[[#This Row],[Date]],Funds!$C$10:$GV$11,2,FALSE)))</f>
        <v/>
      </c>
      <c r="J5701" s="215" t="str">
        <f>IF(Table2[[#This Row],[Description]]="","",Table2[[#This Row],[Value]]/Table2[[#This Row],[Conversion]])</f>
        <v/>
      </c>
      <c r="K5701" s="45" t="str">
        <f>IF(Table2[[#This Row],[Description]]="","",DATE(Table2[[#This Row],[Year]],Table2[[#This Row],[Month]],1))</f>
        <v/>
      </c>
    </row>
    <row r="5702" spans="7:11" x14ac:dyDescent="0.25">
      <c r="G5702" s="1" t="str">
        <f>IF(Table2[[#This Row],[Description]]="","",VLOOKUP(Table2[[#This Row],[Description]],$Q$1:$S$101,2,FALSE))</f>
        <v/>
      </c>
      <c r="H5702" s="1" t="str">
        <f>IF(Table2[[#This Row],[Description]]="","",VLOOKUP(Table2[[#This Row],[Description]],$Q$1:$S$101,3,FALSE))</f>
        <v/>
      </c>
      <c r="I5702" s="1" t="str">
        <f>IF(Table2[[#This Row],[Description]]="","",IF(Table2[[#This Row],[Currency]]=$O$2,$P$2,HLOOKUP(Table2[[#This Row],[Date]],Funds!$C$10:$GV$11,2,FALSE)))</f>
        <v/>
      </c>
      <c r="J5702" s="215" t="str">
        <f>IF(Table2[[#This Row],[Description]]="","",Table2[[#This Row],[Value]]/Table2[[#This Row],[Conversion]])</f>
        <v/>
      </c>
      <c r="K5702" s="45" t="str">
        <f>IF(Table2[[#This Row],[Description]]="","",DATE(Table2[[#This Row],[Year]],Table2[[#This Row],[Month]],1))</f>
        <v/>
      </c>
    </row>
    <row r="5703" spans="7:11" x14ac:dyDescent="0.25">
      <c r="G5703" s="1" t="str">
        <f>IF(Table2[[#This Row],[Description]]="","",VLOOKUP(Table2[[#This Row],[Description]],$Q$1:$S$101,2,FALSE))</f>
        <v/>
      </c>
      <c r="H5703" s="1" t="str">
        <f>IF(Table2[[#This Row],[Description]]="","",VLOOKUP(Table2[[#This Row],[Description]],$Q$1:$S$101,3,FALSE))</f>
        <v/>
      </c>
      <c r="I5703" s="1" t="str">
        <f>IF(Table2[[#This Row],[Description]]="","",IF(Table2[[#This Row],[Currency]]=$O$2,$P$2,HLOOKUP(Table2[[#This Row],[Date]],Funds!$C$10:$GV$11,2,FALSE)))</f>
        <v/>
      </c>
      <c r="J5703" s="215" t="str">
        <f>IF(Table2[[#This Row],[Description]]="","",Table2[[#This Row],[Value]]/Table2[[#This Row],[Conversion]])</f>
        <v/>
      </c>
      <c r="K5703" s="45" t="str">
        <f>IF(Table2[[#This Row],[Description]]="","",DATE(Table2[[#This Row],[Year]],Table2[[#This Row],[Month]],1))</f>
        <v/>
      </c>
    </row>
    <row r="5704" spans="7:11" x14ac:dyDescent="0.25">
      <c r="G5704" s="1" t="str">
        <f>IF(Table2[[#This Row],[Description]]="","",VLOOKUP(Table2[[#This Row],[Description]],$Q$1:$S$101,2,FALSE))</f>
        <v/>
      </c>
      <c r="H5704" s="1" t="str">
        <f>IF(Table2[[#This Row],[Description]]="","",VLOOKUP(Table2[[#This Row],[Description]],$Q$1:$S$101,3,FALSE))</f>
        <v/>
      </c>
      <c r="I5704" s="1" t="str">
        <f>IF(Table2[[#This Row],[Description]]="","",IF(Table2[[#This Row],[Currency]]=$O$2,$P$2,HLOOKUP(Table2[[#This Row],[Date]],Funds!$C$10:$GV$11,2,FALSE)))</f>
        <v/>
      </c>
      <c r="J5704" s="215" t="str">
        <f>IF(Table2[[#This Row],[Description]]="","",Table2[[#This Row],[Value]]/Table2[[#This Row],[Conversion]])</f>
        <v/>
      </c>
      <c r="K5704" s="45" t="str">
        <f>IF(Table2[[#This Row],[Description]]="","",DATE(Table2[[#This Row],[Year]],Table2[[#This Row],[Month]],1))</f>
        <v/>
      </c>
    </row>
    <row r="5705" spans="7:11" x14ac:dyDescent="0.25">
      <c r="G5705" s="1" t="str">
        <f>IF(Table2[[#This Row],[Description]]="","",VLOOKUP(Table2[[#This Row],[Description]],$Q$1:$S$101,2,FALSE))</f>
        <v/>
      </c>
      <c r="H5705" s="1" t="str">
        <f>IF(Table2[[#This Row],[Description]]="","",VLOOKUP(Table2[[#This Row],[Description]],$Q$1:$S$101,3,FALSE))</f>
        <v/>
      </c>
      <c r="I5705" s="1" t="str">
        <f>IF(Table2[[#This Row],[Description]]="","",IF(Table2[[#This Row],[Currency]]=$O$2,$P$2,HLOOKUP(Table2[[#This Row],[Date]],Funds!$C$10:$GV$11,2,FALSE)))</f>
        <v/>
      </c>
      <c r="J5705" s="215" t="str">
        <f>IF(Table2[[#This Row],[Description]]="","",Table2[[#This Row],[Value]]/Table2[[#This Row],[Conversion]])</f>
        <v/>
      </c>
      <c r="K5705" s="45" t="str">
        <f>IF(Table2[[#This Row],[Description]]="","",DATE(Table2[[#This Row],[Year]],Table2[[#This Row],[Month]],1))</f>
        <v/>
      </c>
    </row>
    <row r="5706" spans="7:11" x14ac:dyDescent="0.25">
      <c r="G5706" s="1" t="str">
        <f>IF(Table2[[#This Row],[Description]]="","",VLOOKUP(Table2[[#This Row],[Description]],$Q$1:$S$101,2,FALSE))</f>
        <v/>
      </c>
      <c r="H5706" s="1" t="str">
        <f>IF(Table2[[#This Row],[Description]]="","",VLOOKUP(Table2[[#This Row],[Description]],$Q$1:$S$101,3,FALSE))</f>
        <v/>
      </c>
      <c r="I5706" s="1" t="str">
        <f>IF(Table2[[#This Row],[Description]]="","",IF(Table2[[#This Row],[Currency]]=$O$2,$P$2,HLOOKUP(Table2[[#This Row],[Date]],Funds!$C$10:$GV$11,2,FALSE)))</f>
        <v/>
      </c>
      <c r="J5706" s="215" t="str">
        <f>IF(Table2[[#This Row],[Description]]="","",Table2[[#This Row],[Value]]/Table2[[#This Row],[Conversion]])</f>
        <v/>
      </c>
      <c r="K5706" s="45" t="str">
        <f>IF(Table2[[#This Row],[Description]]="","",DATE(Table2[[#This Row],[Year]],Table2[[#This Row],[Month]],1))</f>
        <v/>
      </c>
    </row>
    <row r="5707" spans="7:11" x14ac:dyDescent="0.25">
      <c r="G5707" s="1" t="str">
        <f>IF(Table2[[#This Row],[Description]]="","",VLOOKUP(Table2[[#This Row],[Description]],$Q$1:$S$101,2,FALSE))</f>
        <v/>
      </c>
      <c r="H5707" s="1" t="str">
        <f>IF(Table2[[#This Row],[Description]]="","",VLOOKUP(Table2[[#This Row],[Description]],$Q$1:$S$101,3,FALSE))</f>
        <v/>
      </c>
      <c r="I5707" s="1" t="str">
        <f>IF(Table2[[#This Row],[Description]]="","",IF(Table2[[#This Row],[Currency]]=$O$2,$P$2,HLOOKUP(Table2[[#This Row],[Date]],Funds!$C$10:$GV$11,2,FALSE)))</f>
        <v/>
      </c>
      <c r="J5707" s="215" t="str">
        <f>IF(Table2[[#This Row],[Description]]="","",Table2[[#This Row],[Value]]/Table2[[#This Row],[Conversion]])</f>
        <v/>
      </c>
      <c r="K5707" s="45" t="str">
        <f>IF(Table2[[#This Row],[Description]]="","",DATE(Table2[[#This Row],[Year]],Table2[[#This Row],[Month]],1))</f>
        <v/>
      </c>
    </row>
    <row r="5708" spans="7:11" x14ac:dyDescent="0.25">
      <c r="G5708" s="1" t="str">
        <f>IF(Table2[[#This Row],[Description]]="","",VLOOKUP(Table2[[#This Row],[Description]],$Q$1:$S$101,2,FALSE))</f>
        <v/>
      </c>
      <c r="H5708" s="1" t="str">
        <f>IF(Table2[[#This Row],[Description]]="","",VLOOKUP(Table2[[#This Row],[Description]],$Q$1:$S$101,3,FALSE))</f>
        <v/>
      </c>
      <c r="I5708" s="1" t="str">
        <f>IF(Table2[[#This Row],[Description]]="","",IF(Table2[[#This Row],[Currency]]=$O$2,$P$2,HLOOKUP(Table2[[#This Row],[Date]],Funds!$C$10:$GV$11,2,FALSE)))</f>
        <v/>
      </c>
      <c r="J5708" s="215" t="str">
        <f>IF(Table2[[#This Row],[Description]]="","",Table2[[#This Row],[Value]]/Table2[[#This Row],[Conversion]])</f>
        <v/>
      </c>
      <c r="K5708" s="45" t="str">
        <f>IF(Table2[[#This Row],[Description]]="","",DATE(Table2[[#This Row],[Year]],Table2[[#This Row],[Month]],1))</f>
        <v/>
      </c>
    </row>
    <row r="5709" spans="7:11" x14ac:dyDescent="0.25">
      <c r="G5709" s="1" t="str">
        <f>IF(Table2[[#This Row],[Description]]="","",VLOOKUP(Table2[[#This Row],[Description]],$Q$1:$S$101,2,FALSE))</f>
        <v/>
      </c>
      <c r="H5709" s="1" t="str">
        <f>IF(Table2[[#This Row],[Description]]="","",VLOOKUP(Table2[[#This Row],[Description]],$Q$1:$S$101,3,FALSE))</f>
        <v/>
      </c>
      <c r="I5709" s="1" t="str">
        <f>IF(Table2[[#This Row],[Description]]="","",IF(Table2[[#This Row],[Currency]]=$O$2,$P$2,HLOOKUP(Table2[[#This Row],[Date]],Funds!$C$10:$GV$11,2,FALSE)))</f>
        <v/>
      </c>
      <c r="J5709" s="215" t="str">
        <f>IF(Table2[[#This Row],[Description]]="","",Table2[[#This Row],[Value]]/Table2[[#This Row],[Conversion]])</f>
        <v/>
      </c>
      <c r="K5709" s="45" t="str">
        <f>IF(Table2[[#This Row],[Description]]="","",DATE(Table2[[#This Row],[Year]],Table2[[#This Row],[Month]],1))</f>
        <v/>
      </c>
    </row>
    <row r="5710" spans="7:11" x14ac:dyDescent="0.25">
      <c r="G5710" s="1" t="str">
        <f>IF(Table2[[#This Row],[Description]]="","",VLOOKUP(Table2[[#This Row],[Description]],$Q$1:$S$101,2,FALSE))</f>
        <v/>
      </c>
      <c r="H5710" s="1" t="str">
        <f>IF(Table2[[#This Row],[Description]]="","",VLOOKUP(Table2[[#This Row],[Description]],$Q$1:$S$101,3,FALSE))</f>
        <v/>
      </c>
      <c r="I5710" s="1" t="str">
        <f>IF(Table2[[#This Row],[Description]]="","",IF(Table2[[#This Row],[Currency]]=$O$2,$P$2,HLOOKUP(Table2[[#This Row],[Date]],Funds!$C$10:$GV$11,2,FALSE)))</f>
        <v/>
      </c>
      <c r="J5710" s="215" t="str">
        <f>IF(Table2[[#This Row],[Description]]="","",Table2[[#This Row],[Value]]/Table2[[#This Row],[Conversion]])</f>
        <v/>
      </c>
      <c r="K5710" s="45" t="str">
        <f>IF(Table2[[#This Row],[Description]]="","",DATE(Table2[[#This Row],[Year]],Table2[[#This Row],[Month]],1))</f>
        <v/>
      </c>
    </row>
    <row r="5711" spans="7:11" x14ac:dyDescent="0.25">
      <c r="G5711" s="1" t="str">
        <f>IF(Table2[[#This Row],[Description]]="","",VLOOKUP(Table2[[#This Row],[Description]],$Q$1:$S$101,2,FALSE))</f>
        <v/>
      </c>
      <c r="H5711" s="1" t="str">
        <f>IF(Table2[[#This Row],[Description]]="","",VLOOKUP(Table2[[#This Row],[Description]],$Q$1:$S$101,3,FALSE))</f>
        <v/>
      </c>
      <c r="I5711" s="1" t="str">
        <f>IF(Table2[[#This Row],[Description]]="","",IF(Table2[[#This Row],[Currency]]=$O$2,$P$2,HLOOKUP(Table2[[#This Row],[Date]],Funds!$C$10:$GV$11,2,FALSE)))</f>
        <v/>
      </c>
      <c r="J5711" s="215" t="str">
        <f>IF(Table2[[#This Row],[Description]]="","",Table2[[#This Row],[Value]]/Table2[[#This Row],[Conversion]])</f>
        <v/>
      </c>
      <c r="K5711" s="45" t="str">
        <f>IF(Table2[[#This Row],[Description]]="","",DATE(Table2[[#This Row],[Year]],Table2[[#This Row],[Month]],1))</f>
        <v/>
      </c>
    </row>
    <row r="5712" spans="7:11" x14ac:dyDescent="0.25">
      <c r="G5712" s="1" t="str">
        <f>IF(Table2[[#This Row],[Description]]="","",VLOOKUP(Table2[[#This Row],[Description]],$Q$1:$S$101,2,FALSE))</f>
        <v/>
      </c>
      <c r="H5712" s="1" t="str">
        <f>IF(Table2[[#This Row],[Description]]="","",VLOOKUP(Table2[[#This Row],[Description]],$Q$1:$S$101,3,FALSE))</f>
        <v/>
      </c>
      <c r="I5712" s="1" t="str">
        <f>IF(Table2[[#This Row],[Description]]="","",IF(Table2[[#This Row],[Currency]]=$O$2,$P$2,HLOOKUP(Table2[[#This Row],[Date]],Funds!$C$10:$GV$11,2,FALSE)))</f>
        <v/>
      </c>
      <c r="J5712" s="215" t="str">
        <f>IF(Table2[[#This Row],[Description]]="","",Table2[[#This Row],[Value]]/Table2[[#This Row],[Conversion]])</f>
        <v/>
      </c>
      <c r="K5712" s="45" t="str">
        <f>IF(Table2[[#This Row],[Description]]="","",DATE(Table2[[#This Row],[Year]],Table2[[#This Row],[Month]],1))</f>
        <v/>
      </c>
    </row>
    <row r="5713" spans="7:11" x14ac:dyDescent="0.25">
      <c r="G5713" s="1" t="str">
        <f>IF(Table2[[#This Row],[Description]]="","",VLOOKUP(Table2[[#This Row],[Description]],$Q$1:$S$101,2,FALSE))</f>
        <v/>
      </c>
      <c r="H5713" s="1" t="str">
        <f>IF(Table2[[#This Row],[Description]]="","",VLOOKUP(Table2[[#This Row],[Description]],$Q$1:$S$101,3,FALSE))</f>
        <v/>
      </c>
      <c r="I5713" s="1" t="str">
        <f>IF(Table2[[#This Row],[Description]]="","",IF(Table2[[#This Row],[Currency]]=$O$2,$P$2,HLOOKUP(Table2[[#This Row],[Date]],Funds!$C$10:$GV$11,2,FALSE)))</f>
        <v/>
      </c>
      <c r="J5713" s="215" t="str">
        <f>IF(Table2[[#This Row],[Description]]="","",Table2[[#This Row],[Value]]/Table2[[#This Row],[Conversion]])</f>
        <v/>
      </c>
      <c r="K5713" s="45" t="str">
        <f>IF(Table2[[#This Row],[Description]]="","",DATE(Table2[[#This Row],[Year]],Table2[[#This Row],[Month]],1))</f>
        <v/>
      </c>
    </row>
    <row r="5714" spans="7:11" x14ac:dyDescent="0.25">
      <c r="G5714" s="1" t="str">
        <f>IF(Table2[[#This Row],[Description]]="","",VLOOKUP(Table2[[#This Row],[Description]],$Q$1:$S$101,2,FALSE))</f>
        <v/>
      </c>
      <c r="H5714" s="1" t="str">
        <f>IF(Table2[[#This Row],[Description]]="","",VLOOKUP(Table2[[#This Row],[Description]],$Q$1:$S$101,3,FALSE))</f>
        <v/>
      </c>
      <c r="I5714" s="1" t="str">
        <f>IF(Table2[[#This Row],[Description]]="","",IF(Table2[[#This Row],[Currency]]=$O$2,$P$2,HLOOKUP(Table2[[#This Row],[Date]],Funds!$C$10:$GV$11,2,FALSE)))</f>
        <v/>
      </c>
      <c r="J5714" s="215" t="str">
        <f>IF(Table2[[#This Row],[Description]]="","",Table2[[#This Row],[Value]]/Table2[[#This Row],[Conversion]])</f>
        <v/>
      </c>
      <c r="K5714" s="45" t="str">
        <f>IF(Table2[[#This Row],[Description]]="","",DATE(Table2[[#This Row],[Year]],Table2[[#This Row],[Month]],1))</f>
        <v/>
      </c>
    </row>
    <row r="5715" spans="7:11" x14ac:dyDescent="0.25">
      <c r="G5715" s="1" t="str">
        <f>IF(Table2[[#This Row],[Description]]="","",VLOOKUP(Table2[[#This Row],[Description]],$Q$1:$S$101,2,FALSE))</f>
        <v/>
      </c>
      <c r="H5715" s="1" t="str">
        <f>IF(Table2[[#This Row],[Description]]="","",VLOOKUP(Table2[[#This Row],[Description]],$Q$1:$S$101,3,FALSE))</f>
        <v/>
      </c>
      <c r="I5715" s="1" t="str">
        <f>IF(Table2[[#This Row],[Description]]="","",IF(Table2[[#This Row],[Currency]]=$O$2,$P$2,HLOOKUP(Table2[[#This Row],[Date]],Funds!$C$10:$GV$11,2,FALSE)))</f>
        <v/>
      </c>
      <c r="J5715" s="215" t="str">
        <f>IF(Table2[[#This Row],[Description]]="","",Table2[[#This Row],[Value]]/Table2[[#This Row],[Conversion]])</f>
        <v/>
      </c>
      <c r="K5715" s="45" t="str">
        <f>IF(Table2[[#This Row],[Description]]="","",DATE(Table2[[#This Row],[Year]],Table2[[#This Row],[Month]],1))</f>
        <v/>
      </c>
    </row>
    <row r="5716" spans="7:11" x14ac:dyDescent="0.25">
      <c r="G5716" s="1" t="str">
        <f>IF(Table2[[#This Row],[Description]]="","",VLOOKUP(Table2[[#This Row],[Description]],$Q$1:$S$101,2,FALSE))</f>
        <v/>
      </c>
      <c r="H5716" s="1" t="str">
        <f>IF(Table2[[#This Row],[Description]]="","",VLOOKUP(Table2[[#This Row],[Description]],$Q$1:$S$101,3,FALSE))</f>
        <v/>
      </c>
      <c r="I5716" s="1" t="str">
        <f>IF(Table2[[#This Row],[Description]]="","",IF(Table2[[#This Row],[Currency]]=$O$2,$P$2,HLOOKUP(Table2[[#This Row],[Date]],Funds!$C$10:$GV$11,2,FALSE)))</f>
        <v/>
      </c>
      <c r="J5716" s="215" t="str">
        <f>IF(Table2[[#This Row],[Description]]="","",Table2[[#This Row],[Value]]/Table2[[#This Row],[Conversion]])</f>
        <v/>
      </c>
      <c r="K5716" s="45" t="str">
        <f>IF(Table2[[#This Row],[Description]]="","",DATE(Table2[[#This Row],[Year]],Table2[[#This Row],[Month]],1))</f>
        <v/>
      </c>
    </row>
    <row r="5717" spans="7:11" x14ac:dyDescent="0.25">
      <c r="G5717" s="1" t="str">
        <f>IF(Table2[[#This Row],[Description]]="","",VLOOKUP(Table2[[#This Row],[Description]],$Q$1:$S$101,2,FALSE))</f>
        <v/>
      </c>
      <c r="H5717" s="1" t="str">
        <f>IF(Table2[[#This Row],[Description]]="","",VLOOKUP(Table2[[#This Row],[Description]],$Q$1:$S$101,3,FALSE))</f>
        <v/>
      </c>
      <c r="I5717" s="1" t="str">
        <f>IF(Table2[[#This Row],[Description]]="","",IF(Table2[[#This Row],[Currency]]=$O$2,$P$2,HLOOKUP(Table2[[#This Row],[Date]],Funds!$C$10:$GV$11,2,FALSE)))</f>
        <v/>
      </c>
      <c r="J5717" s="215" t="str">
        <f>IF(Table2[[#This Row],[Description]]="","",Table2[[#This Row],[Value]]/Table2[[#This Row],[Conversion]])</f>
        <v/>
      </c>
      <c r="K5717" s="45" t="str">
        <f>IF(Table2[[#This Row],[Description]]="","",DATE(Table2[[#This Row],[Year]],Table2[[#This Row],[Month]],1))</f>
        <v/>
      </c>
    </row>
    <row r="5718" spans="7:11" x14ac:dyDescent="0.25">
      <c r="G5718" s="1" t="str">
        <f>IF(Table2[[#This Row],[Description]]="","",VLOOKUP(Table2[[#This Row],[Description]],$Q$1:$S$101,2,FALSE))</f>
        <v/>
      </c>
      <c r="H5718" s="1" t="str">
        <f>IF(Table2[[#This Row],[Description]]="","",VLOOKUP(Table2[[#This Row],[Description]],$Q$1:$S$101,3,FALSE))</f>
        <v/>
      </c>
      <c r="I5718" s="1" t="str">
        <f>IF(Table2[[#This Row],[Description]]="","",IF(Table2[[#This Row],[Currency]]=$O$2,$P$2,HLOOKUP(Table2[[#This Row],[Date]],Funds!$C$10:$GV$11,2,FALSE)))</f>
        <v/>
      </c>
      <c r="J5718" s="215" t="str">
        <f>IF(Table2[[#This Row],[Description]]="","",Table2[[#This Row],[Value]]/Table2[[#This Row],[Conversion]])</f>
        <v/>
      </c>
      <c r="K5718" s="45" t="str">
        <f>IF(Table2[[#This Row],[Description]]="","",DATE(Table2[[#This Row],[Year]],Table2[[#This Row],[Month]],1))</f>
        <v/>
      </c>
    </row>
    <row r="5719" spans="7:11" x14ac:dyDescent="0.25">
      <c r="G5719" s="1" t="str">
        <f>IF(Table2[[#This Row],[Description]]="","",VLOOKUP(Table2[[#This Row],[Description]],$Q$1:$S$101,2,FALSE))</f>
        <v/>
      </c>
      <c r="H5719" s="1" t="str">
        <f>IF(Table2[[#This Row],[Description]]="","",VLOOKUP(Table2[[#This Row],[Description]],$Q$1:$S$101,3,FALSE))</f>
        <v/>
      </c>
      <c r="I5719" s="1" t="str">
        <f>IF(Table2[[#This Row],[Description]]="","",IF(Table2[[#This Row],[Currency]]=$O$2,$P$2,HLOOKUP(Table2[[#This Row],[Date]],Funds!$C$10:$GV$11,2,FALSE)))</f>
        <v/>
      </c>
      <c r="J5719" s="215" t="str">
        <f>IF(Table2[[#This Row],[Description]]="","",Table2[[#This Row],[Value]]/Table2[[#This Row],[Conversion]])</f>
        <v/>
      </c>
      <c r="K5719" s="45" t="str">
        <f>IF(Table2[[#This Row],[Description]]="","",DATE(Table2[[#This Row],[Year]],Table2[[#This Row],[Month]],1))</f>
        <v/>
      </c>
    </row>
    <row r="5720" spans="7:11" x14ac:dyDescent="0.25">
      <c r="G5720" s="1" t="str">
        <f>IF(Table2[[#This Row],[Description]]="","",VLOOKUP(Table2[[#This Row],[Description]],$Q$1:$S$101,2,FALSE))</f>
        <v/>
      </c>
      <c r="H5720" s="1" t="str">
        <f>IF(Table2[[#This Row],[Description]]="","",VLOOKUP(Table2[[#This Row],[Description]],$Q$1:$S$101,3,FALSE))</f>
        <v/>
      </c>
      <c r="I5720" s="1" t="str">
        <f>IF(Table2[[#This Row],[Description]]="","",IF(Table2[[#This Row],[Currency]]=$O$2,$P$2,HLOOKUP(Table2[[#This Row],[Date]],Funds!$C$10:$GV$11,2,FALSE)))</f>
        <v/>
      </c>
      <c r="J5720" s="215" t="str">
        <f>IF(Table2[[#This Row],[Description]]="","",Table2[[#This Row],[Value]]/Table2[[#This Row],[Conversion]])</f>
        <v/>
      </c>
      <c r="K5720" s="45" t="str">
        <f>IF(Table2[[#This Row],[Description]]="","",DATE(Table2[[#This Row],[Year]],Table2[[#This Row],[Month]],1))</f>
        <v/>
      </c>
    </row>
    <row r="5721" spans="7:11" x14ac:dyDescent="0.25">
      <c r="G5721" s="1" t="str">
        <f>IF(Table2[[#This Row],[Description]]="","",VLOOKUP(Table2[[#This Row],[Description]],$Q$1:$S$101,2,FALSE))</f>
        <v/>
      </c>
      <c r="H5721" s="1" t="str">
        <f>IF(Table2[[#This Row],[Description]]="","",VLOOKUP(Table2[[#This Row],[Description]],$Q$1:$S$101,3,FALSE))</f>
        <v/>
      </c>
      <c r="I5721" s="1" t="str">
        <f>IF(Table2[[#This Row],[Description]]="","",IF(Table2[[#This Row],[Currency]]=$O$2,$P$2,HLOOKUP(Table2[[#This Row],[Date]],Funds!$C$10:$GV$11,2,FALSE)))</f>
        <v/>
      </c>
      <c r="J5721" s="215" t="str">
        <f>IF(Table2[[#This Row],[Description]]="","",Table2[[#This Row],[Value]]/Table2[[#This Row],[Conversion]])</f>
        <v/>
      </c>
      <c r="K5721" s="45" t="str">
        <f>IF(Table2[[#This Row],[Description]]="","",DATE(Table2[[#This Row],[Year]],Table2[[#This Row],[Month]],1))</f>
        <v/>
      </c>
    </row>
    <row r="5722" spans="7:11" x14ac:dyDescent="0.25">
      <c r="G5722" s="1" t="str">
        <f>IF(Table2[[#This Row],[Description]]="","",VLOOKUP(Table2[[#This Row],[Description]],$Q$1:$S$101,2,FALSE))</f>
        <v/>
      </c>
      <c r="H5722" s="1" t="str">
        <f>IF(Table2[[#This Row],[Description]]="","",VLOOKUP(Table2[[#This Row],[Description]],$Q$1:$S$101,3,FALSE))</f>
        <v/>
      </c>
      <c r="I5722" s="1" t="str">
        <f>IF(Table2[[#This Row],[Description]]="","",IF(Table2[[#This Row],[Currency]]=$O$2,$P$2,HLOOKUP(Table2[[#This Row],[Date]],Funds!$C$10:$GV$11,2,FALSE)))</f>
        <v/>
      </c>
      <c r="J5722" s="215" t="str">
        <f>IF(Table2[[#This Row],[Description]]="","",Table2[[#This Row],[Value]]/Table2[[#This Row],[Conversion]])</f>
        <v/>
      </c>
      <c r="K5722" s="45" t="str">
        <f>IF(Table2[[#This Row],[Description]]="","",DATE(Table2[[#This Row],[Year]],Table2[[#This Row],[Month]],1))</f>
        <v/>
      </c>
    </row>
    <row r="5723" spans="7:11" x14ac:dyDescent="0.25">
      <c r="G5723" s="1" t="str">
        <f>IF(Table2[[#This Row],[Description]]="","",VLOOKUP(Table2[[#This Row],[Description]],$Q$1:$S$101,2,FALSE))</f>
        <v/>
      </c>
      <c r="H5723" s="1" t="str">
        <f>IF(Table2[[#This Row],[Description]]="","",VLOOKUP(Table2[[#This Row],[Description]],$Q$1:$S$101,3,FALSE))</f>
        <v/>
      </c>
      <c r="I5723" s="1" t="str">
        <f>IF(Table2[[#This Row],[Description]]="","",IF(Table2[[#This Row],[Currency]]=$O$2,$P$2,HLOOKUP(Table2[[#This Row],[Date]],Funds!$C$10:$GV$11,2,FALSE)))</f>
        <v/>
      </c>
      <c r="J5723" s="215" t="str">
        <f>IF(Table2[[#This Row],[Description]]="","",Table2[[#This Row],[Value]]/Table2[[#This Row],[Conversion]])</f>
        <v/>
      </c>
      <c r="K5723" s="45" t="str">
        <f>IF(Table2[[#This Row],[Description]]="","",DATE(Table2[[#This Row],[Year]],Table2[[#This Row],[Month]],1))</f>
        <v/>
      </c>
    </row>
    <row r="5724" spans="7:11" x14ac:dyDescent="0.25">
      <c r="G5724" s="1" t="str">
        <f>IF(Table2[[#This Row],[Description]]="","",VLOOKUP(Table2[[#This Row],[Description]],$Q$1:$S$101,2,FALSE))</f>
        <v/>
      </c>
      <c r="H5724" s="1" t="str">
        <f>IF(Table2[[#This Row],[Description]]="","",VLOOKUP(Table2[[#This Row],[Description]],$Q$1:$S$101,3,FALSE))</f>
        <v/>
      </c>
      <c r="I5724" s="1" t="str">
        <f>IF(Table2[[#This Row],[Description]]="","",IF(Table2[[#This Row],[Currency]]=$O$2,$P$2,HLOOKUP(Table2[[#This Row],[Date]],Funds!$C$10:$GV$11,2,FALSE)))</f>
        <v/>
      </c>
      <c r="J5724" s="215" t="str">
        <f>IF(Table2[[#This Row],[Description]]="","",Table2[[#This Row],[Value]]/Table2[[#This Row],[Conversion]])</f>
        <v/>
      </c>
      <c r="K5724" s="45" t="str">
        <f>IF(Table2[[#This Row],[Description]]="","",DATE(Table2[[#This Row],[Year]],Table2[[#This Row],[Month]],1))</f>
        <v/>
      </c>
    </row>
    <row r="5725" spans="7:11" x14ac:dyDescent="0.25">
      <c r="G5725" s="1" t="str">
        <f>IF(Table2[[#This Row],[Description]]="","",VLOOKUP(Table2[[#This Row],[Description]],$Q$1:$S$101,2,FALSE))</f>
        <v/>
      </c>
      <c r="H5725" s="1" t="str">
        <f>IF(Table2[[#This Row],[Description]]="","",VLOOKUP(Table2[[#This Row],[Description]],$Q$1:$S$101,3,FALSE))</f>
        <v/>
      </c>
      <c r="I5725" s="1" t="str">
        <f>IF(Table2[[#This Row],[Description]]="","",IF(Table2[[#This Row],[Currency]]=$O$2,$P$2,HLOOKUP(Table2[[#This Row],[Date]],Funds!$C$10:$GV$11,2,FALSE)))</f>
        <v/>
      </c>
      <c r="J5725" s="215" t="str">
        <f>IF(Table2[[#This Row],[Description]]="","",Table2[[#This Row],[Value]]/Table2[[#This Row],[Conversion]])</f>
        <v/>
      </c>
      <c r="K5725" s="45" t="str">
        <f>IF(Table2[[#This Row],[Description]]="","",DATE(Table2[[#This Row],[Year]],Table2[[#This Row],[Month]],1))</f>
        <v/>
      </c>
    </row>
    <row r="5726" spans="7:11" x14ac:dyDescent="0.25">
      <c r="G5726" s="1" t="str">
        <f>IF(Table2[[#This Row],[Description]]="","",VLOOKUP(Table2[[#This Row],[Description]],$Q$1:$S$101,2,FALSE))</f>
        <v/>
      </c>
      <c r="H5726" s="1" t="str">
        <f>IF(Table2[[#This Row],[Description]]="","",VLOOKUP(Table2[[#This Row],[Description]],$Q$1:$S$101,3,FALSE))</f>
        <v/>
      </c>
      <c r="I5726" s="1" t="str">
        <f>IF(Table2[[#This Row],[Description]]="","",IF(Table2[[#This Row],[Currency]]=$O$2,$P$2,HLOOKUP(Table2[[#This Row],[Date]],Funds!$C$10:$GV$11,2,FALSE)))</f>
        <v/>
      </c>
      <c r="J5726" s="215" t="str">
        <f>IF(Table2[[#This Row],[Description]]="","",Table2[[#This Row],[Value]]/Table2[[#This Row],[Conversion]])</f>
        <v/>
      </c>
      <c r="K5726" s="45" t="str">
        <f>IF(Table2[[#This Row],[Description]]="","",DATE(Table2[[#This Row],[Year]],Table2[[#This Row],[Month]],1))</f>
        <v/>
      </c>
    </row>
    <row r="5727" spans="7:11" x14ac:dyDescent="0.25">
      <c r="G5727" s="1" t="str">
        <f>IF(Table2[[#This Row],[Description]]="","",VLOOKUP(Table2[[#This Row],[Description]],$Q$1:$S$101,2,FALSE))</f>
        <v/>
      </c>
      <c r="H5727" s="1" t="str">
        <f>IF(Table2[[#This Row],[Description]]="","",VLOOKUP(Table2[[#This Row],[Description]],$Q$1:$S$101,3,FALSE))</f>
        <v/>
      </c>
      <c r="I5727" s="1" t="str">
        <f>IF(Table2[[#This Row],[Description]]="","",IF(Table2[[#This Row],[Currency]]=$O$2,$P$2,HLOOKUP(Table2[[#This Row],[Date]],Funds!$C$10:$GV$11,2,FALSE)))</f>
        <v/>
      </c>
      <c r="J5727" s="215" t="str">
        <f>IF(Table2[[#This Row],[Description]]="","",Table2[[#This Row],[Value]]/Table2[[#This Row],[Conversion]])</f>
        <v/>
      </c>
      <c r="K5727" s="45" t="str">
        <f>IF(Table2[[#This Row],[Description]]="","",DATE(Table2[[#This Row],[Year]],Table2[[#This Row],[Month]],1))</f>
        <v/>
      </c>
    </row>
    <row r="5728" spans="7:11" x14ac:dyDescent="0.25">
      <c r="G5728" s="1" t="str">
        <f>IF(Table2[[#This Row],[Description]]="","",VLOOKUP(Table2[[#This Row],[Description]],$Q$1:$S$101,2,FALSE))</f>
        <v/>
      </c>
      <c r="H5728" s="1" t="str">
        <f>IF(Table2[[#This Row],[Description]]="","",VLOOKUP(Table2[[#This Row],[Description]],$Q$1:$S$101,3,FALSE))</f>
        <v/>
      </c>
      <c r="I5728" s="1" t="str">
        <f>IF(Table2[[#This Row],[Description]]="","",IF(Table2[[#This Row],[Currency]]=$O$2,$P$2,HLOOKUP(Table2[[#This Row],[Date]],Funds!$C$10:$GV$11,2,FALSE)))</f>
        <v/>
      </c>
      <c r="J5728" s="215" t="str">
        <f>IF(Table2[[#This Row],[Description]]="","",Table2[[#This Row],[Value]]/Table2[[#This Row],[Conversion]])</f>
        <v/>
      </c>
      <c r="K5728" s="45" t="str">
        <f>IF(Table2[[#This Row],[Description]]="","",DATE(Table2[[#This Row],[Year]],Table2[[#This Row],[Month]],1))</f>
        <v/>
      </c>
    </row>
    <row r="5729" spans="7:11" x14ac:dyDescent="0.25">
      <c r="G5729" s="1" t="str">
        <f>IF(Table2[[#This Row],[Description]]="","",VLOOKUP(Table2[[#This Row],[Description]],$Q$1:$S$101,2,FALSE))</f>
        <v/>
      </c>
      <c r="H5729" s="1" t="str">
        <f>IF(Table2[[#This Row],[Description]]="","",VLOOKUP(Table2[[#This Row],[Description]],$Q$1:$S$101,3,FALSE))</f>
        <v/>
      </c>
      <c r="I5729" s="1" t="str">
        <f>IF(Table2[[#This Row],[Description]]="","",IF(Table2[[#This Row],[Currency]]=$O$2,$P$2,HLOOKUP(Table2[[#This Row],[Date]],Funds!$C$10:$GV$11,2,FALSE)))</f>
        <v/>
      </c>
      <c r="J5729" s="215" t="str">
        <f>IF(Table2[[#This Row],[Description]]="","",Table2[[#This Row],[Value]]/Table2[[#This Row],[Conversion]])</f>
        <v/>
      </c>
      <c r="K5729" s="45" t="str">
        <f>IF(Table2[[#This Row],[Description]]="","",DATE(Table2[[#This Row],[Year]],Table2[[#This Row],[Month]],1))</f>
        <v/>
      </c>
    </row>
    <row r="5730" spans="7:11" x14ac:dyDescent="0.25">
      <c r="G5730" s="1" t="str">
        <f>IF(Table2[[#This Row],[Description]]="","",VLOOKUP(Table2[[#This Row],[Description]],$Q$1:$S$101,2,FALSE))</f>
        <v/>
      </c>
      <c r="H5730" s="1" t="str">
        <f>IF(Table2[[#This Row],[Description]]="","",VLOOKUP(Table2[[#This Row],[Description]],$Q$1:$S$101,3,FALSE))</f>
        <v/>
      </c>
      <c r="I5730" s="1" t="str">
        <f>IF(Table2[[#This Row],[Description]]="","",IF(Table2[[#This Row],[Currency]]=$O$2,$P$2,HLOOKUP(Table2[[#This Row],[Date]],Funds!$C$10:$GV$11,2,FALSE)))</f>
        <v/>
      </c>
      <c r="J5730" s="215" t="str">
        <f>IF(Table2[[#This Row],[Description]]="","",Table2[[#This Row],[Value]]/Table2[[#This Row],[Conversion]])</f>
        <v/>
      </c>
      <c r="K5730" s="45" t="str">
        <f>IF(Table2[[#This Row],[Description]]="","",DATE(Table2[[#This Row],[Year]],Table2[[#This Row],[Month]],1))</f>
        <v/>
      </c>
    </row>
    <row r="5731" spans="7:11" x14ac:dyDescent="0.25">
      <c r="G5731" s="1" t="str">
        <f>IF(Table2[[#This Row],[Description]]="","",VLOOKUP(Table2[[#This Row],[Description]],$Q$1:$S$101,2,FALSE))</f>
        <v/>
      </c>
      <c r="H5731" s="1" t="str">
        <f>IF(Table2[[#This Row],[Description]]="","",VLOOKUP(Table2[[#This Row],[Description]],$Q$1:$S$101,3,FALSE))</f>
        <v/>
      </c>
      <c r="I5731" s="1" t="str">
        <f>IF(Table2[[#This Row],[Description]]="","",IF(Table2[[#This Row],[Currency]]=$O$2,$P$2,HLOOKUP(Table2[[#This Row],[Date]],Funds!$C$10:$GV$11,2,FALSE)))</f>
        <v/>
      </c>
      <c r="J5731" s="215" t="str">
        <f>IF(Table2[[#This Row],[Description]]="","",Table2[[#This Row],[Value]]/Table2[[#This Row],[Conversion]])</f>
        <v/>
      </c>
      <c r="K5731" s="45" t="str">
        <f>IF(Table2[[#This Row],[Description]]="","",DATE(Table2[[#This Row],[Year]],Table2[[#This Row],[Month]],1))</f>
        <v/>
      </c>
    </row>
    <row r="5732" spans="7:11" x14ac:dyDescent="0.25">
      <c r="G5732" s="1" t="str">
        <f>IF(Table2[[#This Row],[Description]]="","",VLOOKUP(Table2[[#This Row],[Description]],$Q$1:$S$101,2,FALSE))</f>
        <v/>
      </c>
      <c r="H5732" s="1" t="str">
        <f>IF(Table2[[#This Row],[Description]]="","",VLOOKUP(Table2[[#This Row],[Description]],$Q$1:$S$101,3,FALSE))</f>
        <v/>
      </c>
      <c r="I5732" s="1" t="str">
        <f>IF(Table2[[#This Row],[Description]]="","",IF(Table2[[#This Row],[Currency]]=$O$2,$P$2,HLOOKUP(Table2[[#This Row],[Date]],Funds!$C$10:$GV$11,2,FALSE)))</f>
        <v/>
      </c>
      <c r="J5732" s="215" t="str">
        <f>IF(Table2[[#This Row],[Description]]="","",Table2[[#This Row],[Value]]/Table2[[#This Row],[Conversion]])</f>
        <v/>
      </c>
      <c r="K5732" s="45" t="str">
        <f>IF(Table2[[#This Row],[Description]]="","",DATE(Table2[[#This Row],[Year]],Table2[[#This Row],[Month]],1))</f>
        <v/>
      </c>
    </row>
    <row r="5733" spans="7:11" x14ac:dyDescent="0.25">
      <c r="G5733" s="1" t="str">
        <f>IF(Table2[[#This Row],[Description]]="","",VLOOKUP(Table2[[#This Row],[Description]],$Q$1:$S$101,2,FALSE))</f>
        <v/>
      </c>
      <c r="H5733" s="1" t="str">
        <f>IF(Table2[[#This Row],[Description]]="","",VLOOKUP(Table2[[#This Row],[Description]],$Q$1:$S$101,3,FALSE))</f>
        <v/>
      </c>
      <c r="I5733" s="1" t="str">
        <f>IF(Table2[[#This Row],[Description]]="","",IF(Table2[[#This Row],[Currency]]=$O$2,$P$2,HLOOKUP(Table2[[#This Row],[Date]],Funds!$C$10:$GV$11,2,FALSE)))</f>
        <v/>
      </c>
      <c r="J5733" s="215" t="str">
        <f>IF(Table2[[#This Row],[Description]]="","",Table2[[#This Row],[Value]]/Table2[[#This Row],[Conversion]])</f>
        <v/>
      </c>
      <c r="K5733" s="45" t="str">
        <f>IF(Table2[[#This Row],[Description]]="","",DATE(Table2[[#This Row],[Year]],Table2[[#This Row],[Month]],1))</f>
        <v/>
      </c>
    </row>
    <row r="5734" spans="7:11" x14ac:dyDescent="0.25">
      <c r="G5734" s="1" t="str">
        <f>IF(Table2[[#This Row],[Description]]="","",VLOOKUP(Table2[[#This Row],[Description]],$Q$1:$S$101,2,FALSE))</f>
        <v/>
      </c>
      <c r="H5734" s="1" t="str">
        <f>IF(Table2[[#This Row],[Description]]="","",VLOOKUP(Table2[[#This Row],[Description]],$Q$1:$S$101,3,FALSE))</f>
        <v/>
      </c>
      <c r="I5734" s="1" t="str">
        <f>IF(Table2[[#This Row],[Description]]="","",IF(Table2[[#This Row],[Currency]]=$O$2,$P$2,HLOOKUP(Table2[[#This Row],[Date]],Funds!$C$10:$GV$11,2,FALSE)))</f>
        <v/>
      </c>
      <c r="J5734" s="215" t="str">
        <f>IF(Table2[[#This Row],[Description]]="","",Table2[[#This Row],[Value]]/Table2[[#This Row],[Conversion]])</f>
        <v/>
      </c>
      <c r="K5734" s="45" t="str">
        <f>IF(Table2[[#This Row],[Description]]="","",DATE(Table2[[#This Row],[Year]],Table2[[#This Row],[Month]],1))</f>
        <v/>
      </c>
    </row>
    <row r="5735" spans="7:11" x14ac:dyDescent="0.25">
      <c r="G5735" s="1" t="str">
        <f>IF(Table2[[#This Row],[Description]]="","",VLOOKUP(Table2[[#This Row],[Description]],$Q$1:$S$101,2,FALSE))</f>
        <v/>
      </c>
      <c r="H5735" s="1" t="str">
        <f>IF(Table2[[#This Row],[Description]]="","",VLOOKUP(Table2[[#This Row],[Description]],$Q$1:$S$101,3,FALSE))</f>
        <v/>
      </c>
      <c r="I5735" s="1" t="str">
        <f>IF(Table2[[#This Row],[Description]]="","",IF(Table2[[#This Row],[Currency]]=$O$2,$P$2,HLOOKUP(Table2[[#This Row],[Date]],Funds!$C$10:$GV$11,2,FALSE)))</f>
        <v/>
      </c>
      <c r="J5735" s="215" t="str">
        <f>IF(Table2[[#This Row],[Description]]="","",Table2[[#This Row],[Value]]/Table2[[#This Row],[Conversion]])</f>
        <v/>
      </c>
      <c r="K5735" s="45" t="str">
        <f>IF(Table2[[#This Row],[Description]]="","",DATE(Table2[[#This Row],[Year]],Table2[[#This Row],[Month]],1))</f>
        <v/>
      </c>
    </row>
    <row r="5736" spans="7:11" x14ac:dyDescent="0.25">
      <c r="G5736" s="1" t="str">
        <f>IF(Table2[[#This Row],[Description]]="","",VLOOKUP(Table2[[#This Row],[Description]],$Q$1:$S$101,2,FALSE))</f>
        <v/>
      </c>
      <c r="H5736" s="1" t="str">
        <f>IF(Table2[[#This Row],[Description]]="","",VLOOKUP(Table2[[#This Row],[Description]],$Q$1:$S$101,3,FALSE))</f>
        <v/>
      </c>
      <c r="I5736" s="1" t="str">
        <f>IF(Table2[[#This Row],[Description]]="","",IF(Table2[[#This Row],[Currency]]=$O$2,$P$2,HLOOKUP(Table2[[#This Row],[Date]],Funds!$C$10:$GV$11,2,FALSE)))</f>
        <v/>
      </c>
      <c r="J5736" s="215" t="str">
        <f>IF(Table2[[#This Row],[Description]]="","",Table2[[#This Row],[Value]]/Table2[[#This Row],[Conversion]])</f>
        <v/>
      </c>
      <c r="K5736" s="45" t="str">
        <f>IF(Table2[[#This Row],[Description]]="","",DATE(Table2[[#This Row],[Year]],Table2[[#This Row],[Month]],1))</f>
        <v/>
      </c>
    </row>
    <row r="5737" spans="7:11" x14ac:dyDescent="0.25">
      <c r="G5737" s="1" t="str">
        <f>IF(Table2[[#This Row],[Description]]="","",VLOOKUP(Table2[[#This Row],[Description]],$Q$1:$S$101,2,FALSE))</f>
        <v/>
      </c>
      <c r="H5737" s="1" t="str">
        <f>IF(Table2[[#This Row],[Description]]="","",VLOOKUP(Table2[[#This Row],[Description]],$Q$1:$S$101,3,FALSE))</f>
        <v/>
      </c>
      <c r="I5737" s="1" t="str">
        <f>IF(Table2[[#This Row],[Description]]="","",IF(Table2[[#This Row],[Currency]]=$O$2,$P$2,HLOOKUP(Table2[[#This Row],[Date]],Funds!$C$10:$GV$11,2,FALSE)))</f>
        <v/>
      </c>
      <c r="J5737" s="215" t="str">
        <f>IF(Table2[[#This Row],[Description]]="","",Table2[[#This Row],[Value]]/Table2[[#This Row],[Conversion]])</f>
        <v/>
      </c>
      <c r="K5737" s="45" t="str">
        <f>IF(Table2[[#This Row],[Description]]="","",DATE(Table2[[#This Row],[Year]],Table2[[#This Row],[Month]],1))</f>
        <v/>
      </c>
    </row>
    <row r="5738" spans="7:11" x14ac:dyDescent="0.25">
      <c r="G5738" s="1" t="str">
        <f>IF(Table2[[#This Row],[Description]]="","",VLOOKUP(Table2[[#This Row],[Description]],$Q$1:$S$101,2,FALSE))</f>
        <v/>
      </c>
      <c r="H5738" s="1" t="str">
        <f>IF(Table2[[#This Row],[Description]]="","",VLOOKUP(Table2[[#This Row],[Description]],$Q$1:$S$101,3,FALSE))</f>
        <v/>
      </c>
      <c r="I5738" s="1" t="str">
        <f>IF(Table2[[#This Row],[Description]]="","",IF(Table2[[#This Row],[Currency]]=$O$2,$P$2,HLOOKUP(Table2[[#This Row],[Date]],Funds!$C$10:$GV$11,2,FALSE)))</f>
        <v/>
      </c>
      <c r="J5738" s="215" t="str">
        <f>IF(Table2[[#This Row],[Description]]="","",Table2[[#This Row],[Value]]/Table2[[#This Row],[Conversion]])</f>
        <v/>
      </c>
      <c r="K5738" s="45" t="str">
        <f>IF(Table2[[#This Row],[Description]]="","",DATE(Table2[[#This Row],[Year]],Table2[[#This Row],[Month]],1))</f>
        <v/>
      </c>
    </row>
    <row r="5739" spans="7:11" x14ac:dyDescent="0.25">
      <c r="G5739" s="1" t="str">
        <f>IF(Table2[[#This Row],[Description]]="","",VLOOKUP(Table2[[#This Row],[Description]],$Q$1:$S$101,2,FALSE))</f>
        <v/>
      </c>
      <c r="H5739" s="1" t="str">
        <f>IF(Table2[[#This Row],[Description]]="","",VLOOKUP(Table2[[#This Row],[Description]],$Q$1:$S$101,3,FALSE))</f>
        <v/>
      </c>
      <c r="I5739" s="1" t="str">
        <f>IF(Table2[[#This Row],[Description]]="","",IF(Table2[[#This Row],[Currency]]=$O$2,$P$2,HLOOKUP(Table2[[#This Row],[Date]],Funds!$C$10:$GV$11,2,FALSE)))</f>
        <v/>
      </c>
      <c r="J5739" s="215" t="str">
        <f>IF(Table2[[#This Row],[Description]]="","",Table2[[#This Row],[Value]]/Table2[[#This Row],[Conversion]])</f>
        <v/>
      </c>
      <c r="K5739" s="45" t="str">
        <f>IF(Table2[[#This Row],[Description]]="","",DATE(Table2[[#This Row],[Year]],Table2[[#This Row],[Month]],1))</f>
        <v/>
      </c>
    </row>
    <row r="5740" spans="7:11" x14ac:dyDescent="0.25">
      <c r="G5740" s="1" t="str">
        <f>IF(Table2[[#This Row],[Description]]="","",VLOOKUP(Table2[[#This Row],[Description]],$Q$1:$S$101,2,FALSE))</f>
        <v/>
      </c>
      <c r="H5740" s="1" t="str">
        <f>IF(Table2[[#This Row],[Description]]="","",VLOOKUP(Table2[[#This Row],[Description]],$Q$1:$S$101,3,FALSE))</f>
        <v/>
      </c>
      <c r="I5740" s="1" t="str">
        <f>IF(Table2[[#This Row],[Description]]="","",IF(Table2[[#This Row],[Currency]]=$O$2,$P$2,HLOOKUP(Table2[[#This Row],[Date]],Funds!$C$10:$GV$11,2,FALSE)))</f>
        <v/>
      </c>
      <c r="J5740" s="215" t="str">
        <f>IF(Table2[[#This Row],[Description]]="","",Table2[[#This Row],[Value]]/Table2[[#This Row],[Conversion]])</f>
        <v/>
      </c>
      <c r="K5740" s="45" t="str">
        <f>IF(Table2[[#This Row],[Description]]="","",DATE(Table2[[#This Row],[Year]],Table2[[#This Row],[Month]],1))</f>
        <v/>
      </c>
    </row>
    <row r="5741" spans="7:11" x14ac:dyDescent="0.25">
      <c r="G5741" s="1" t="str">
        <f>IF(Table2[[#This Row],[Description]]="","",VLOOKUP(Table2[[#This Row],[Description]],$Q$1:$S$101,2,FALSE))</f>
        <v/>
      </c>
      <c r="H5741" s="1" t="str">
        <f>IF(Table2[[#This Row],[Description]]="","",VLOOKUP(Table2[[#This Row],[Description]],$Q$1:$S$101,3,FALSE))</f>
        <v/>
      </c>
      <c r="I5741" s="1" t="str">
        <f>IF(Table2[[#This Row],[Description]]="","",IF(Table2[[#This Row],[Currency]]=$O$2,$P$2,HLOOKUP(Table2[[#This Row],[Date]],Funds!$C$10:$GV$11,2,FALSE)))</f>
        <v/>
      </c>
      <c r="J5741" s="215" t="str">
        <f>IF(Table2[[#This Row],[Description]]="","",Table2[[#This Row],[Value]]/Table2[[#This Row],[Conversion]])</f>
        <v/>
      </c>
      <c r="K5741" s="45" t="str">
        <f>IF(Table2[[#This Row],[Description]]="","",DATE(Table2[[#This Row],[Year]],Table2[[#This Row],[Month]],1))</f>
        <v/>
      </c>
    </row>
    <row r="5742" spans="7:11" x14ac:dyDescent="0.25">
      <c r="G5742" s="1" t="str">
        <f>IF(Table2[[#This Row],[Description]]="","",VLOOKUP(Table2[[#This Row],[Description]],$Q$1:$S$101,2,FALSE))</f>
        <v/>
      </c>
      <c r="H5742" s="1" t="str">
        <f>IF(Table2[[#This Row],[Description]]="","",VLOOKUP(Table2[[#This Row],[Description]],$Q$1:$S$101,3,FALSE))</f>
        <v/>
      </c>
      <c r="I5742" s="1" t="str">
        <f>IF(Table2[[#This Row],[Description]]="","",IF(Table2[[#This Row],[Currency]]=$O$2,$P$2,HLOOKUP(Table2[[#This Row],[Date]],Funds!$C$10:$GV$11,2,FALSE)))</f>
        <v/>
      </c>
      <c r="J5742" s="215" t="str">
        <f>IF(Table2[[#This Row],[Description]]="","",Table2[[#This Row],[Value]]/Table2[[#This Row],[Conversion]])</f>
        <v/>
      </c>
      <c r="K5742" s="45" t="str">
        <f>IF(Table2[[#This Row],[Description]]="","",DATE(Table2[[#This Row],[Year]],Table2[[#This Row],[Month]],1))</f>
        <v/>
      </c>
    </row>
    <row r="5743" spans="7:11" x14ac:dyDescent="0.25">
      <c r="G5743" s="1" t="str">
        <f>IF(Table2[[#This Row],[Description]]="","",VLOOKUP(Table2[[#This Row],[Description]],$Q$1:$S$101,2,FALSE))</f>
        <v/>
      </c>
      <c r="H5743" s="1" t="str">
        <f>IF(Table2[[#This Row],[Description]]="","",VLOOKUP(Table2[[#This Row],[Description]],$Q$1:$S$101,3,FALSE))</f>
        <v/>
      </c>
      <c r="I5743" s="1" t="str">
        <f>IF(Table2[[#This Row],[Description]]="","",IF(Table2[[#This Row],[Currency]]=$O$2,$P$2,HLOOKUP(Table2[[#This Row],[Date]],Funds!$C$10:$GV$11,2,FALSE)))</f>
        <v/>
      </c>
      <c r="J5743" s="215" t="str">
        <f>IF(Table2[[#This Row],[Description]]="","",Table2[[#This Row],[Value]]/Table2[[#This Row],[Conversion]])</f>
        <v/>
      </c>
      <c r="K5743" s="45" t="str">
        <f>IF(Table2[[#This Row],[Description]]="","",DATE(Table2[[#This Row],[Year]],Table2[[#This Row],[Month]],1))</f>
        <v/>
      </c>
    </row>
    <row r="5744" spans="7:11" x14ac:dyDescent="0.25">
      <c r="G5744" s="1" t="str">
        <f>IF(Table2[[#This Row],[Description]]="","",VLOOKUP(Table2[[#This Row],[Description]],$Q$1:$S$101,2,FALSE))</f>
        <v/>
      </c>
      <c r="H5744" s="1" t="str">
        <f>IF(Table2[[#This Row],[Description]]="","",VLOOKUP(Table2[[#This Row],[Description]],$Q$1:$S$101,3,FALSE))</f>
        <v/>
      </c>
      <c r="I5744" s="1" t="str">
        <f>IF(Table2[[#This Row],[Description]]="","",IF(Table2[[#This Row],[Currency]]=$O$2,$P$2,HLOOKUP(Table2[[#This Row],[Date]],Funds!$C$10:$GV$11,2,FALSE)))</f>
        <v/>
      </c>
      <c r="J5744" s="215" t="str">
        <f>IF(Table2[[#This Row],[Description]]="","",Table2[[#This Row],[Value]]/Table2[[#This Row],[Conversion]])</f>
        <v/>
      </c>
      <c r="K5744" s="45" t="str">
        <f>IF(Table2[[#This Row],[Description]]="","",DATE(Table2[[#This Row],[Year]],Table2[[#This Row],[Month]],1))</f>
        <v/>
      </c>
    </row>
    <row r="5745" spans="7:11" x14ac:dyDescent="0.25">
      <c r="G5745" s="1" t="str">
        <f>IF(Table2[[#This Row],[Description]]="","",VLOOKUP(Table2[[#This Row],[Description]],$Q$1:$S$101,2,FALSE))</f>
        <v/>
      </c>
      <c r="H5745" s="1" t="str">
        <f>IF(Table2[[#This Row],[Description]]="","",VLOOKUP(Table2[[#This Row],[Description]],$Q$1:$S$101,3,FALSE))</f>
        <v/>
      </c>
      <c r="I5745" s="1" t="str">
        <f>IF(Table2[[#This Row],[Description]]="","",IF(Table2[[#This Row],[Currency]]=$O$2,$P$2,HLOOKUP(Table2[[#This Row],[Date]],Funds!$C$10:$GV$11,2,FALSE)))</f>
        <v/>
      </c>
      <c r="J5745" s="215" t="str">
        <f>IF(Table2[[#This Row],[Description]]="","",Table2[[#This Row],[Value]]/Table2[[#This Row],[Conversion]])</f>
        <v/>
      </c>
      <c r="K5745" s="45" t="str">
        <f>IF(Table2[[#This Row],[Description]]="","",DATE(Table2[[#This Row],[Year]],Table2[[#This Row],[Month]],1))</f>
        <v/>
      </c>
    </row>
    <row r="5746" spans="7:11" x14ac:dyDescent="0.25">
      <c r="G5746" s="1" t="str">
        <f>IF(Table2[[#This Row],[Description]]="","",VLOOKUP(Table2[[#This Row],[Description]],$Q$1:$S$101,2,FALSE))</f>
        <v/>
      </c>
      <c r="H5746" s="1" t="str">
        <f>IF(Table2[[#This Row],[Description]]="","",VLOOKUP(Table2[[#This Row],[Description]],$Q$1:$S$101,3,FALSE))</f>
        <v/>
      </c>
      <c r="I5746" s="1" t="str">
        <f>IF(Table2[[#This Row],[Description]]="","",IF(Table2[[#This Row],[Currency]]=$O$2,$P$2,HLOOKUP(Table2[[#This Row],[Date]],Funds!$C$10:$GV$11,2,FALSE)))</f>
        <v/>
      </c>
      <c r="J5746" s="215" t="str">
        <f>IF(Table2[[#This Row],[Description]]="","",Table2[[#This Row],[Value]]/Table2[[#This Row],[Conversion]])</f>
        <v/>
      </c>
      <c r="K5746" s="45" t="str">
        <f>IF(Table2[[#This Row],[Description]]="","",DATE(Table2[[#This Row],[Year]],Table2[[#This Row],[Month]],1))</f>
        <v/>
      </c>
    </row>
    <row r="5747" spans="7:11" x14ac:dyDescent="0.25">
      <c r="G5747" s="1" t="str">
        <f>IF(Table2[[#This Row],[Description]]="","",VLOOKUP(Table2[[#This Row],[Description]],$Q$1:$S$101,2,FALSE))</f>
        <v/>
      </c>
      <c r="H5747" s="1" t="str">
        <f>IF(Table2[[#This Row],[Description]]="","",VLOOKUP(Table2[[#This Row],[Description]],$Q$1:$S$101,3,FALSE))</f>
        <v/>
      </c>
      <c r="I5747" s="1" t="str">
        <f>IF(Table2[[#This Row],[Description]]="","",IF(Table2[[#This Row],[Currency]]=$O$2,$P$2,HLOOKUP(Table2[[#This Row],[Date]],Funds!$C$10:$GV$11,2,FALSE)))</f>
        <v/>
      </c>
      <c r="J5747" s="215" t="str">
        <f>IF(Table2[[#This Row],[Description]]="","",Table2[[#This Row],[Value]]/Table2[[#This Row],[Conversion]])</f>
        <v/>
      </c>
      <c r="K5747" s="45" t="str">
        <f>IF(Table2[[#This Row],[Description]]="","",DATE(Table2[[#This Row],[Year]],Table2[[#This Row],[Month]],1))</f>
        <v/>
      </c>
    </row>
    <row r="5748" spans="7:11" x14ac:dyDescent="0.25">
      <c r="G5748" s="1" t="str">
        <f>IF(Table2[[#This Row],[Description]]="","",VLOOKUP(Table2[[#This Row],[Description]],$Q$1:$S$101,2,FALSE))</f>
        <v/>
      </c>
      <c r="H5748" s="1" t="str">
        <f>IF(Table2[[#This Row],[Description]]="","",VLOOKUP(Table2[[#This Row],[Description]],$Q$1:$S$101,3,FALSE))</f>
        <v/>
      </c>
      <c r="I5748" s="1" t="str">
        <f>IF(Table2[[#This Row],[Description]]="","",IF(Table2[[#This Row],[Currency]]=$O$2,$P$2,HLOOKUP(Table2[[#This Row],[Date]],Funds!$C$10:$GV$11,2,FALSE)))</f>
        <v/>
      </c>
      <c r="J5748" s="215" t="str">
        <f>IF(Table2[[#This Row],[Description]]="","",Table2[[#This Row],[Value]]/Table2[[#This Row],[Conversion]])</f>
        <v/>
      </c>
      <c r="K5748" s="45" t="str">
        <f>IF(Table2[[#This Row],[Description]]="","",DATE(Table2[[#This Row],[Year]],Table2[[#This Row],[Month]],1))</f>
        <v/>
      </c>
    </row>
    <row r="5749" spans="7:11" x14ac:dyDescent="0.25">
      <c r="G5749" s="1" t="str">
        <f>IF(Table2[[#This Row],[Description]]="","",VLOOKUP(Table2[[#This Row],[Description]],$Q$1:$S$101,2,FALSE))</f>
        <v/>
      </c>
      <c r="H5749" s="1" t="str">
        <f>IF(Table2[[#This Row],[Description]]="","",VLOOKUP(Table2[[#This Row],[Description]],$Q$1:$S$101,3,FALSE))</f>
        <v/>
      </c>
      <c r="I5749" s="1" t="str">
        <f>IF(Table2[[#This Row],[Description]]="","",IF(Table2[[#This Row],[Currency]]=$O$2,$P$2,HLOOKUP(Table2[[#This Row],[Date]],Funds!$C$10:$GV$11,2,FALSE)))</f>
        <v/>
      </c>
      <c r="J5749" s="215" t="str">
        <f>IF(Table2[[#This Row],[Description]]="","",Table2[[#This Row],[Value]]/Table2[[#This Row],[Conversion]])</f>
        <v/>
      </c>
      <c r="K5749" s="45" t="str">
        <f>IF(Table2[[#This Row],[Description]]="","",DATE(Table2[[#This Row],[Year]],Table2[[#This Row],[Month]],1))</f>
        <v/>
      </c>
    </row>
    <row r="5750" spans="7:11" x14ac:dyDescent="0.25">
      <c r="G5750" s="1" t="str">
        <f>IF(Table2[[#This Row],[Description]]="","",VLOOKUP(Table2[[#This Row],[Description]],$Q$1:$S$101,2,FALSE))</f>
        <v/>
      </c>
      <c r="H5750" s="1" t="str">
        <f>IF(Table2[[#This Row],[Description]]="","",VLOOKUP(Table2[[#This Row],[Description]],$Q$1:$S$101,3,FALSE))</f>
        <v/>
      </c>
      <c r="I5750" s="1" t="str">
        <f>IF(Table2[[#This Row],[Description]]="","",IF(Table2[[#This Row],[Currency]]=$O$2,$P$2,HLOOKUP(Table2[[#This Row],[Date]],Funds!$C$10:$GV$11,2,FALSE)))</f>
        <v/>
      </c>
      <c r="J5750" s="215" t="str">
        <f>IF(Table2[[#This Row],[Description]]="","",Table2[[#This Row],[Value]]/Table2[[#This Row],[Conversion]])</f>
        <v/>
      </c>
      <c r="K5750" s="45" t="str">
        <f>IF(Table2[[#This Row],[Description]]="","",DATE(Table2[[#This Row],[Year]],Table2[[#This Row],[Month]],1))</f>
        <v/>
      </c>
    </row>
    <row r="5751" spans="7:11" x14ac:dyDescent="0.25">
      <c r="G5751" s="1" t="str">
        <f>IF(Table2[[#This Row],[Description]]="","",VLOOKUP(Table2[[#This Row],[Description]],$Q$1:$S$101,2,FALSE))</f>
        <v/>
      </c>
      <c r="H5751" s="1" t="str">
        <f>IF(Table2[[#This Row],[Description]]="","",VLOOKUP(Table2[[#This Row],[Description]],$Q$1:$S$101,3,FALSE))</f>
        <v/>
      </c>
      <c r="I5751" s="1" t="str">
        <f>IF(Table2[[#This Row],[Description]]="","",IF(Table2[[#This Row],[Currency]]=$O$2,$P$2,HLOOKUP(Table2[[#This Row],[Date]],Funds!$C$10:$GV$11,2,FALSE)))</f>
        <v/>
      </c>
      <c r="J5751" s="215" t="str">
        <f>IF(Table2[[#This Row],[Description]]="","",Table2[[#This Row],[Value]]/Table2[[#This Row],[Conversion]])</f>
        <v/>
      </c>
      <c r="K5751" s="45" t="str">
        <f>IF(Table2[[#This Row],[Description]]="","",DATE(Table2[[#This Row],[Year]],Table2[[#This Row],[Month]],1))</f>
        <v/>
      </c>
    </row>
    <row r="5752" spans="7:11" x14ac:dyDescent="0.25">
      <c r="G5752" s="1" t="str">
        <f>IF(Table2[[#This Row],[Description]]="","",VLOOKUP(Table2[[#This Row],[Description]],$Q$1:$S$101,2,FALSE))</f>
        <v/>
      </c>
      <c r="H5752" s="1" t="str">
        <f>IF(Table2[[#This Row],[Description]]="","",VLOOKUP(Table2[[#This Row],[Description]],$Q$1:$S$101,3,FALSE))</f>
        <v/>
      </c>
      <c r="I5752" s="1" t="str">
        <f>IF(Table2[[#This Row],[Description]]="","",IF(Table2[[#This Row],[Currency]]=$O$2,$P$2,HLOOKUP(Table2[[#This Row],[Date]],Funds!$C$10:$GV$11,2,FALSE)))</f>
        <v/>
      </c>
      <c r="J5752" s="215" t="str">
        <f>IF(Table2[[#This Row],[Description]]="","",Table2[[#This Row],[Value]]/Table2[[#This Row],[Conversion]])</f>
        <v/>
      </c>
      <c r="K5752" s="45" t="str">
        <f>IF(Table2[[#This Row],[Description]]="","",DATE(Table2[[#This Row],[Year]],Table2[[#This Row],[Month]],1))</f>
        <v/>
      </c>
    </row>
    <row r="5753" spans="7:11" x14ac:dyDescent="0.25">
      <c r="G5753" s="1" t="str">
        <f>IF(Table2[[#This Row],[Description]]="","",VLOOKUP(Table2[[#This Row],[Description]],$Q$1:$S$101,2,FALSE))</f>
        <v/>
      </c>
      <c r="H5753" s="1" t="str">
        <f>IF(Table2[[#This Row],[Description]]="","",VLOOKUP(Table2[[#This Row],[Description]],$Q$1:$S$101,3,FALSE))</f>
        <v/>
      </c>
      <c r="I5753" s="1" t="str">
        <f>IF(Table2[[#This Row],[Description]]="","",IF(Table2[[#This Row],[Currency]]=$O$2,$P$2,HLOOKUP(Table2[[#This Row],[Date]],Funds!$C$10:$GV$11,2,FALSE)))</f>
        <v/>
      </c>
      <c r="J5753" s="215" t="str">
        <f>IF(Table2[[#This Row],[Description]]="","",Table2[[#This Row],[Value]]/Table2[[#This Row],[Conversion]])</f>
        <v/>
      </c>
      <c r="K5753" s="45" t="str">
        <f>IF(Table2[[#This Row],[Description]]="","",DATE(Table2[[#This Row],[Year]],Table2[[#This Row],[Month]],1))</f>
        <v/>
      </c>
    </row>
    <row r="5754" spans="7:11" x14ac:dyDescent="0.25">
      <c r="G5754" s="1" t="str">
        <f>IF(Table2[[#This Row],[Description]]="","",VLOOKUP(Table2[[#This Row],[Description]],$Q$1:$S$101,2,FALSE))</f>
        <v/>
      </c>
      <c r="H5754" s="1" t="str">
        <f>IF(Table2[[#This Row],[Description]]="","",VLOOKUP(Table2[[#This Row],[Description]],$Q$1:$S$101,3,FALSE))</f>
        <v/>
      </c>
      <c r="I5754" s="1" t="str">
        <f>IF(Table2[[#This Row],[Description]]="","",IF(Table2[[#This Row],[Currency]]=$O$2,$P$2,HLOOKUP(Table2[[#This Row],[Date]],Funds!$C$10:$GV$11,2,FALSE)))</f>
        <v/>
      </c>
      <c r="J5754" s="215" t="str">
        <f>IF(Table2[[#This Row],[Description]]="","",Table2[[#This Row],[Value]]/Table2[[#This Row],[Conversion]])</f>
        <v/>
      </c>
      <c r="K5754" s="45" t="str">
        <f>IF(Table2[[#This Row],[Description]]="","",DATE(Table2[[#This Row],[Year]],Table2[[#This Row],[Month]],1))</f>
        <v/>
      </c>
    </row>
    <row r="5755" spans="7:11" x14ac:dyDescent="0.25">
      <c r="G5755" s="1" t="str">
        <f>IF(Table2[[#This Row],[Description]]="","",VLOOKUP(Table2[[#This Row],[Description]],$Q$1:$S$101,2,FALSE))</f>
        <v/>
      </c>
      <c r="H5755" s="1" t="str">
        <f>IF(Table2[[#This Row],[Description]]="","",VLOOKUP(Table2[[#This Row],[Description]],$Q$1:$S$101,3,FALSE))</f>
        <v/>
      </c>
      <c r="I5755" s="1" t="str">
        <f>IF(Table2[[#This Row],[Description]]="","",IF(Table2[[#This Row],[Currency]]=$O$2,$P$2,HLOOKUP(Table2[[#This Row],[Date]],Funds!$C$10:$GV$11,2,FALSE)))</f>
        <v/>
      </c>
      <c r="J5755" s="215" t="str">
        <f>IF(Table2[[#This Row],[Description]]="","",Table2[[#This Row],[Value]]/Table2[[#This Row],[Conversion]])</f>
        <v/>
      </c>
      <c r="K5755" s="45" t="str">
        <f>IF(Table2[[#This Row],[Description]]="","",DATE(Table2[[#This Row],[Year]],Table2[[#This Row],[Month]],1))</f>
        <v/>
      </c>
    </row>
    <row r="5756" spans="7:11" x14ac:dyDescent="0.25">
      <c r="G5756" s="1" t="str">
        <f>IF(Table2[[#This Row],[Description]]="","",VLOOKUP(Table2[[#This Row],[Description]],$Q$1:$S$101,2,FALSE))</f>
        <v/>
      </c>
      <c r="H5756" s="1" t="str">
        <f>IF(Table2[[#This Row],[Description]]="","",VLOOKUP(Table2[[#This Row],[Description]],$Q$1:$S$101,3,FALSE))</f>
        <v/>
      </c>
      <c r="I5756" s="1" t="str">
        <f>IF(Table2[[#This Row],[Description]]="","",IF(Table2[[#This Row],[Currency]]=$O$2,$P$2,HLOOKUP(Table2[[#This Row],[Date]],Funds!$C$10:$GV$11,2,FALSE)))</f>
        <v/>
      </c>
      <c r="J5756" s="215" t="str">
        <f>IF(Table2[[#This Row],[Description]]="","",Table2[[#This Row],[Value]]/Table2[[#This Row],[Conversion]])</f>
        <v/>
      </c>
      <c r="K5756" s="45" t="str">
        <f>IF(Table2[[#This Row],[Description]]="","",DATE(Table2[[#This Row],[Year]],Table2[[#This Row],[Month]],1))</f>
        <v/>
      </c>
    </row>
    <row r="5757" spans="7:11" x14ac:dyDescent="0.25">
      <c r="G5757" s="1" t="str">
        <f>IF(Table2[[#This Row],[Description]]="","",VLOOKUP(Table2[[#This Row],[Description]],$Q$1:$S$101,2,FALSE))</f>
        <v/>
      </c>
      <c r="H5757" s="1" t="str">
        <f>IF(Table2[[#This Row],[Description]]="","",VLOOKUP(Table2[[#This Row],[Description]],$Q$1:$S$101,3,FALSE))</f>
        <v/>
      </c>
      <c r="I5757" s="1" t="str">
        <f>IF(Table2[[#This Row],[Description]]="","",IF(Table2[[#This Row],[Currency]]=$O$2,$P$2,HLOOKUP(Table2[[#This Row],[Date]],Funds!$C$10:$GV$11,2,FALSE)))</f>
        <v/>
      </c>
      <c r="J5757" s="215" t="str">
        <f>IF(Table2[[#This Row],[Description]]="","",Table2[[#This Row],[Value]]/Table2[[#This Row],[Conversion]])</f>
        <v/>
      </c>
      <c r="K5757" s="45" t="str">
        <f>IF(Table2[[#This Row],[Description]]="","",DATE(Table2[[#This Row],[Year]],Table2[[#This Row],[Month]],1))</f>
        <v/>
      </c>
    </row>
    <row r="5758" spans="7:11" x14ac:dyDescent="0.25">
      <c r="G5758" s="1" t="str">
        <f>IF(Table2[[#This Row],[Description]]="","",VLOOKUP(Table2[[#This Row],[Description]],$Q$1:$S$101,2,FALSE))</f>
        <v/>
      </c>
      <c r="H5758" s="1" t="str">
        <f>IF(Table2[[#This Row],[Description]]="","",VLOOKUP(Table2[[#This Row],[Description]],$Q$1:$S$101,3,FALSE))</f>
        <v/>
      </c>
      <c r="I5758" s="1" t="str">
        <f>IF(Table2[[#This Row],[Description]]="","",IF(Table2[[#This Row],[Currency]]=$O$2,$P$2,HLOOKUP(Table2[[#This Row],[Date]],Funds!$C$10:$GV$11,2,FALSE)))</f>
        <v/>
      </c>
      <c r="J5758" s="215" t="str">
        <f>IF(Table2[[#This Row],[Description]]="","",Table2[[#This Row],[Value]]/Table2[[#This Row],[Conversion]])</f>
        <v/>
      </c>
      <c r="K5758" s="45" t="str">
        <f>IF(Table2[[#This Row],[Description]]="","",DATE(Table2[[#This Row],[Year]],Table2[[#This Row],[Month]],1))</f>
        <v/>
      </c>
    </row>
    <row r="5759" spans="7:11" x14ac:dyDescent="0.25">
      <c r="G5759" s="1" t="str">
        <f>IF(Table2[[#This Row],[Description]]="","",VLOOKUP(Table2[[#This Row],[Description]],$Q$1:$S$101,2,FALSE))</f>
        <v/>
      </c>
      <c r="H5759" s="1" t="str">
        <f>IF(Table2[[#This Row],[Description]]="","",VLOOKUP(Table2[[#This Row],[Description]],$Q$1:$S$101,3,FALSE))</f>
        <v/>
      </c>
      <c r="I5759" s="1" t="str">
        <f>IF(Table2[[#This Row],[Description]]="","",IF(Table2[[#This Row],[Currency]]=$O$2,$P$2,HLOOKUP(Table2[[#This Row],[Date]],Funds!$C$10:$GV$11,2,FALSE)))</f>
        <v/>
      </c>
      <c r="J5759" s="215" t="str">
        <f>IF(Table2[[#This Row],[Description]]="","",Table2[[#This Row],[Value]]/Table2[[#This Row],[Conversion]])</f>
        <v/>
      </c>
      <c r="K5759" s="45" t="str">
        <f>IF(Table2[[#This Row],[Description]]="","",DATE(Table2[[#This Row],[Year]],Table2[[#This Row],[Month]],1))</f>
        <v/>
      </c>
    </row>
    <row r="5760" spans="7:11" x14ac:dyDescent="0.25">
      <c r="G5760" s="1" t="str">
        <f>IF(Table2[[#This Row],[Description]]="","",VLOOKUP(Table2[[#This Row],[Description]],$Q$1:$S$101,2,FALSE))</f>
        <v/>
      </c>
      <c r="H5760" s="1" t="str">
        <f>IF(Table2[[#This Row],[Description]]="","",VLOOKUP(Table2[[#This Row],[Description]],$Q$1:$S$101,3,FALSE))</f>
        <v/>
      </c>
      <c r="I5760" s="1" t="str">
        <f>IF(Table2[[#This Row],[Description]]="","",IF(Table2[[#This Row],[Currency]]=$O$2,$P$2,HLOOKUP(Table2[[#This Row],[Date]],Funds!$C$10:$GV$11,2,FALSE)))</f>
        <v/>
      </c>
      <c r="J5760" s="215" t="str">
        <f>IF(Table2[[#This Row],[Description]]="","",Table2[[#This Row],[Value]]/Table2[[#This Row],[Conversion]])</f>
        <v/>
      </c>
      <c r="K5760" s="45" t="str">
        <f>IF(Table2[[#This Row],[Description]]="","",DATE(Table2[[#This Row],[Year]],Table2[[#This Row],[Month]],1))</f>
        <v/>
      </c>
    </row>
    <row r="5761" spans="7:11" x14ac:dyDescent="0.25">
      <c r="G5761" s="1" t="str">
        <f>IF(Table2[[#This Row],[Description]]="","",VLOOKUP(Table2[[#This Row],[Description]],$Q$1:$S$101,2,FALSE))</f>
        <v/>
      </c>
      <c r="H5761" s="1" t="str">
        <f>IF(Table2[[#This Row],[Description]]="","",VLOOKUP(Table2[[#This Row],[Description]],$Q$1:$S$101,3,FALSE))</f>
        <v/>
      </c>
      <c r="I5761" s="1" t="str">
        <f>IF(Table2[[#This Row],[Description]]="","",IF(Table2[[#This Row],[Currency]]=$O$2,$P$2,HLOOKUP(Table2[[#This Row],[Date]],Funds!$C$10:$GV$11,2,FALSE)))</f>
        <v/>
      </c>
      <c r="J5761" s="215" t="str">
        <f>IF(Table2[[#This Row],[Description]]="","",Table2[[#This Row],[Value]]/Table2[[#This Row],[Conversion]])</f>
        <v/>
      </c>
      <c r="K5761" s="45" t="str">
        <f>IF(Table2[[#This Row],[Description]]="","",DATE(Table2[[#This Row],[Year]],Table2[[#This Row],[Month]],1))</f>
        <v/>
      </c>
    </row>
    <row r="5762" spans="7:11" x14ac:dyDescent="0.25">
      <c r="G5762" s="1" t="str">
        <f>IF(Table2[[#This Row],[Description]]="","",VLOOKUP(Table2[[#This Row],[Description]],$Q$1:$S$101,2,FALSE))</f>
        <v/>
      </c>
      <c r="H5762" s="1" t="str">
        <f>IF(Table2[[#This Row],[Description]]="","",VLOOKUP(Table2[[#This Row],[Description]],$Q$1:$S$101,3,FALSE))</f>
        <v/>
      </c>
      <c r="I5762" s="1" t="str">
        <f>IF(Table2[[#This Row],[Description]]="","",IF(Table2[[#This Row],[Currency]]=$O$2,$P$2,HLOOKUP(Table2[[#This Row],[Date]],Funds!$C$10:$GV$11,2,FALSE)))</f>
        <v/>
      </c>
      <c r="J5762" s="215" t="str">
        <f>IF(Table2[[#This Row],[Description]]="","",Table2[[#This Row],[Value]]/Table2[[#This Row],[Conversion]])</f>
        <v/>
      </c>
      <c r="K5762" s="45" t="str">
        <f>IF(Table2[[#This Row],[Description]]="","",DATE(Table2[[#This Row],[Year]],Table2[[#This Row],[Month]],1))</f>
        <v/>
      </c>
    </row>
    <row r="5763" spans="7:11" x14ac:dyDescent="0.25">
      <c r="G5763" s="1" t="str">
        <f>IF(Table2[[#This Row],[Description]]="","",VLOOKUP(Table2[[#This Row],[Description]],$Q$1:$S$101,2,FALSE))</f>
        <v/>
      </c>
      <c r="H5763" s="1" t="str">
        <f>IF(Table2[[#This Row],[Description]]="","",VLOOKUP(Table2[[#This Row],[Description]],$Q$1:$S$101,3,FALSE))</f>
        <v/>
      </c>
      <c r="I5763" s="1" t="str">
        <f>IF(Table2[[#This Row],[Description]]="","",IF(Table2[[#This Row],[Currency]]=$O$2,$P$2,HLOOKUP(Table2[[#This Row],[Date]],Funds!$C$10:$GV$11,2,FALSE)))</f>
        <v/>
      </c>
      <c r="J5763" s="215" t="str">
        <f>IF(Table2[[#This Row],[Description]]="","",Table2[[#This Row],[Value]]/Table2[[#This Row],[Conversion]])</f>
        <v/>
      </c>
      <c r="K5763" s="45" t="str">
        <f>IF(Table2[[#This Row],[Description]]="","",DATE(Table2[[#This Row],[Year]],Table2[[#This Row],[Month]],1))</f>
        <v/>
      </c>
    </row>
    <row r="5764" spans="7:11" x14ac:dyDescent="0.25">
      <c r="G5764" s="1" t="str">
        <f>IF(Table2[[#This Row],[Description]]="","",VLOOKUP(Table2[[#This Row],[Description]],$Q$1:$S$101,2,FALSE))</f>
        <v/>
      </c>
      <c r="H5764" s="1" t="str">
        <f>IF(Table2[[#This Row],[Description]]="","",VLOOKUP(Table2[[#This Row],[Description]],$Q$1:$S$101,3,FALSE))</f>
        <v/>
      </c>
      <c r="I5764" s="1" t="str">
        <f>IF(Table2[[#This Row],[Description]]="","",IF(Table2[[#This Row],[Currency]]=$O$2,$P$2,HLOOKUP(Table2[[#This Row],[Date]],Funds!$C$10:$GV$11,2,FALSE)))</f>
        <v/>
      </c>
      <c r="J5764" s="215" t="str">
        <f>IF(Table2[[#This Row],[Description]]="","",Table2[[#This Row],[Value]]/Table2[[#This Row],[Conversion]])</f>
        <v/>
      </c>
      <c r="K5764" s="45" t="str">
        <f>IF(Table2[[#This Row],[Description]]="","",DATE(Table2[[#This Row],[Year]],Table2[[#This Row],[Month]],1))</f>
        <v/>
      </c>
    </row>
    <row r="5765" spans="7:11" x14ac:dyDescent="0.25">
      <c r="G5765" s="1" t="str">
        <f>IF(Table2[[#This Row],[Description]]="","",VLOOKUP(Table2[[#This Row],[Description]],$Q$1:$S$101,2,FALSE))</f>
        <v/>
      </c>
      <c r="H5765" s="1" t="str">
        <f>IF(Table2[[#This Row],[Description]]="","",VLOOKUP(Table2[[#This Row],[Description]],$Q$1:$S$101,3,FALSE))</f>
        <v/>
      </c>
      <c r="I5765" s="1" t="str">
        <f>IF(Table2[[#This Row],[Description]]="","",IF(Table2[[#This Row],[Currency]]=$O$2,$P$2,HLOOKUP(Table2[[#This Row],[Date]],Funds!$C$10:$GV$11,2,FALSE)))</f>
        <v/>
      </c>
      <c r="J5765" s="215" t="str">
        <f>IF(Table2[[#This Row],[Description]]="","",Table2[[#This Row],[Value]]/Table2[[#This Row],[Conversion]])</f>
        <v/>
      </c>
      <c r="K5765" s="45" t="str">
        <f>IF(Table2[[#This Row],[Description]]="","",DATE(Table2[[#This Row],[Year]],Table2[[#This Row],[Month]],1))</f>
        <v/>
      </c>
    </row>
    <row r="5766" spans="7:11" x14ac:dyDescent="0.25">
      <c r="G5766" s="1" t="str">
        <f>IF(Table2[[#This Row],[Description]]="","",VLOOKUP(Table2[[#This Row],[Description]],$Q$1:$S$101,2,FALSE))</f>
        <v/>
      </c>
      <c r="H5766" s="1" t="str">
        <f>IF(Table2[[#This Row],[Description]]="","",VLOOKUP(Table2[[#This Row],[Description]],$Q$1:$S$101,3,FALSE))</f>
        <v/>
      </c>
      <c r="I5766" s="1" t="str">
        <f>IF(Table2[[#This Row],[Description]]="","",IF(Table2[[#This Row],[Currency]]=$O$2,$P$2,HLOOKUP(Table2[[#This Row],[Date]],Funds!$C$10:$GV$11,2,FALSE)))</f>
        <v/>
      </c>
      <c r="J5766" s="215" t="str">
        <f>IF(Table2[[#This Row],[Description]]="","",Table2[[#This Row],[Value]]/Table2[[#This Row],[Conversion]])</f>
        <v/>
      </c>
      <c r="K5766" s="45" t="str">
        <f>IF(Table2[[#This Row],[Description]]="","",DATE(Table2[[#This Row],[Year]],Table2[[#This Row],[Month]],1))</f>
        <v/>
      </c>
    </row>
    <row r="5767" spans="7:11" x14ac:dyDescent="0.25">
      <c r="G5767" s="1" t="str">
        <f>IF(Table2[[#This Row],[Description]]="","",VLOOKUP(Table2[[#This Row],[Description]],$Q$1:$S$101,2,FALSE))</f>
        <v/>
      </c>
      <c r="H5767" s="1" t="str">
        <f>IF(Table2[[#This Row],[Description]]="","",VLOOKUP(Table2[[#This Row],[Description]],$Q$1:$S$101,3,FALSE))</f>
        <v/>
      </c>
      <c r="I5767" s="1" t="str">
        <f>IF(Table2[[#This Row],[Description]]="","",IF(Table2[[#This Row],[Currency]]=$O$2,$P$2,HLOOKUP(Table2[[#This Row],[Date]],Funds!$C$10:$GV$11,2,FALSE)))</f>
        <v/>
      </c>
      <c r="J5767" s="215" t="str">
        <f>IF(Table2[[#This Row],[Description]]="","",Table2[[#This Row],[Value]]/Table2[[#This Row],[Conversion]])</f>
        <v/>
      </c>
      <c r="K5767" s="45" t="str">
        <f>IF(Table2[[#This Row],[Description]]="","",DATE(Table2[[#This Row],[Year]],Table2[[#This Row],[Month]],1))</f>
        <v/>
      </c>
    </row>
    <row r="5768" spans="7:11" x14ac:dyDescent="0.25">
      <c r="G5768" s="1" t="str">
        <f>IF(Table2[[#This Row],[Description]]="","",VLOOKUP(Table2[[#This Row],[Description]],$Q$1:$S$101,2,FALSE))</f>
        <v/>
      </c>
      <c r="H5768" s="1" t="str">
        <f>IF(Table2[[#This Row],[Description]]="","",VLOOKUP(Table2[[#This Row],[Description]],$Q$1:$S$101,3,FALSE))</f>
        <v/>
      </c>
      <c r="I5768" s="1" t="str">
        <f>IF(Table2[[#This Row],[Description]]="","",IF(Table2[[#This Row],[Currency]]=$O$2,$P$2,HLOOKUP(Table2[[#This Row],[Date]],Funds!$C$10:$GV$11,2,FALSE)))</f>
        <v/>
      </c>
      <c r="J5768" s="215" t="str">
        <f>IF(Table2[[#This Row],[Description]]="","",Table2[[#This Row],[Value]]/Table2[[#This Row],[Conversion]])</f>
        <v/>
      </c>
      <c r="K5768" s="45" t="str">
        <f>IF(Table2[[#This Row],[Description]]="","",DATE(Table2[[#This Row],[Year]],Table2[[#This Row],[Month]],1))</f>
        <v/>
      </c>
    </row>
    <row r="5769" spans="7:11" x14ac:dyDescent="0.25">
      <c r="G5769" s="1" t="str">
        <f>IF(Table2[[#This Row],[Description]]="","",VLOOKUP(Table2[[#This Row],[Description]],$Q$1:$S$101,2,FALSE))</f>
        <v/>
      </c>
      <c r="H5769" s="1" t="str">
        <f>IF(Table2[[#This Row],[Description]]="","",VLOOKUP(Table2[[#This Row],[Description]],$Q$1:$S$101,3,FALSE))</f>
        <v/>
      </c>
      <c r="I5769" s="1" t="str">
        <f>IF(Table2[[#This Row],[Description]]="","",IF(Table2[[#This Row],[Currency]]=$O$2,$P$2,HLOOKUP(Table2[[#This Row],[Date]],Funds!$C$10:$GV$11,2,FALSE)))</f>
        <v/>
      </c>
      <c r="J5769" s="215" t="str">
        <f>IF(Table2[[#This Row],[Description]]="","",Table2[[#This Row],[Value]]/Table2[[#This Row],[Conversion]])</f>
        <v/>
      </c>
      <c r="K5769" s="45" t="str">
        <f>IF(Table2[[#This Row],[Description]]="","",DATE(Table2[[#This Row],[Year]],Table2[[#This Row],[Month]],1))</f>
        <v/>
      </c>
    </row>
    <row r="5770" spans="7:11" x14ac:dyDescent="0.25">
      <c r="G5770" s="1" t="str">
        <f>IF(Table2[[#This Row],[Description]]="","",VLOOKUP(Table2[[#This Row],[Description]],$Q$1:$S$101,2,FALSE))</f>
        <v/>
      </c>
      <c r="H5770" s="1" t="str">
        <f>IF(Table2[[#This Row],[Description]]="","",VLOOKUP(Table2[[#This Row],[Description]],$Q$1:$S$101,3,FALSE))</f>
        <v/>
      </c>
      <c r="I5770" s="1" t="str">
        <f>IF(Table2[[#This Row],[Description]]="","",IF(Table2[[#This Row],[Currency]]=$O$2,$P$2,HLOOKUP(Table2[[#This Row],[Date]],Funds!$C$10:$GV$11,2,FALSE)))</f>
        <v/>
      </c>
      <c r="J5770" s="215" t="str">
        <f>IF(Table2[[#This Row],[Description]]="","",Table2[[#This Row],[Value]]/Table2[[#This Row],[Conversion]])</f>
        <v/>
      </c>
      <c r="K5770" s="45" t="str">
        <f>IF(Table2[[#This Row],[Description]]="","",DATE(Table2[[#This Row],[Year]],Table2[[#This Row],[Month]],1))</f>
        <v/>
      </c>
    </row>
    <row r="5771" spans="7:11" x14ac:dyDescent="0.25">
      <c r="G5771" s="1" t="str">
        <f>IF(Table2[[#This Row],[Description]]="","",VLOOKUP(Table2[[#This Row],[Description]],$Q$1:$S$101,2,FALSE))</f>
        <v/>
      </c>
      <c r="H5771" s="1" t="str">
        <f>IF(Table2[[#This Row],[Description]]="","",VLOOKUP(Table2[[#This Row],[Description]],$Q$1:$S$101,3,FALSE))</f>
        <v/>
      </c>
      <c r="I5771" s="1" t="str">
        <f>IF(Table2[[#This Row],[Description]]="","",IF(Table2[[#This Row],[Currency]]=$O$2,$P$2,HLOOKUP(Table2[[#This Row],[Date]],Funds!$C$10:$GV$11,2,FALSE)))</f>
        <v/>
      </c>
      <c r="J5771" s="215" t="str">
        <f>IF(Table2[[#This Row],[Description]]="","",Table2[[#This Row],[Value]]/Table2[[#This Row],[Conversion]])</f>
        <v/>
      </c>
      <c r="K5771" s="45" t="str">
        <f>IF(Table2[[#This Row],[Description]]="","",DATE(Table2[[#This Row],[Year]],Table2[[#This Row],[Month]],1))</f>
        <v/>
      </c>
    </row>
    <row r="5772" spans="7:11" x14ac:dyDescent="0.25">
      <c r="G5772" s="1" t="str">
        <f>IF(Table2[[#This Row],[Description]]="","",VLOOKUP(Table2[[#This Row],[Description]],$Q$1:$S$101,2,FALSE))</f>
        <v/>
      </c>
      <c r="H5772" s="1" t="str">
        <f>IF(Table2[[#This Row],[Description]]="","",VLOOKUP(Table2[[#This Row],[Description]],$Q$1:$S$101,3,FALSE))</f>
        <v/>
      </c>
      <c r="I5772" s="1" t="str">
        <f>IF(Table2[[#This Row],[Description]]="","",IF(Table2[[#This Row],[Currency]]=$O$2,$P$2,HLOOKUP(Table2[[#This Row],[Date]],Funds!$C$10:$GV$11,2,FALSE)))</f>
        <v/>
      </c>
      <c r="J5772" s="215" t="str">
        <f>IF(Table2[[#This Row],[Description]]="","",Table2[[#This Row],[Value]]/Table2[[#This Row],[Conversion]])</f>
        <v/>
      </c>
      <c r="K5772" s="45" t="str">
        <f>IF(Table2[[#This Row],[Description]]="","",DATE(Table2[[#This Row],[Year]],Table2[[#This Row],[Month]],1))</f>
        <v/>
      </c>
    </row>
    <row r="5773" spans="7:11" x14ac:dyDescent="0.25">
      <c r="G5773" s="1" t="str">
        <f>IF(Table2[[#This Row],[Description]]="","",VLOOKUP(Table2[[#This Row],[Description]],$Q$1:$S$101,2,FALSE))</f>
        <v/>
      </c>
      <c r="H5773" s="1" t="str">
        <f>IF(Table2[[#This Row],[Description]]="","",VLOOKUP(Table2[[#This Row],[Description]],$Q$1:$S$101,3,FALSE))</f>
        <v/>
      </c>
      <c r="I5773" s="1" t="str">
        <f>IF(Table2[[#This Row],[Description]]="","",IF(Table2[[#This Row],[Currency]]=$O$2,$P$2,HLOOKUP(Table2[[#This Row],[Date]],Funds!$C$10:$GV$11,2,FALSE)))</f>
        <v/>
      </c>
      <c r="J5773" s="215" t="str">
        <f>IF(Table2[[#This Row],[Description]]="","",Table2[[#This Row],[Value]]/Table2[[#This Row],[Conversion]])</f>
        <v/>
      </c>
      <c r="K5773" s="45" t="str">
        <f>IF(Table2[[#This Row],[Description]]="","",DATE(Table2[[#This Row],[Year]],Table2[[#This Row],[Month]],1))</f>
        <v/>
      </c>
    </row>
    <row r="5774" spans="7:11" x14ac:dyDescent="0.25">
      <c r="G5774" s="1" t="str">
        <f>IF(Table2[[#This Row],[Description]]="","",VLOOKUP(Table2[[#This Row],[Description]],$Q$1:$S$101,2,FALSE))</f>
        <v/>
      </c>
      <c r="H5774" s="1" t="str">
        <f>IF(Table2[[#This Row],[Description]]="","",VLOOKUP(Table2[[#This Row],[Description]],$Q$1:$S$101,3,FALSE))</f>
        <v/>
      </c>
      <c r="I5774" s="1" t="str">
        <f>IF(Table2[[#This Row],[Description]]="","",IF(Table2[[#This Row],[Currency]]=$O$2,$P$2,HLOOKUP(Table2[[#This Row],[Date]],Funds!$C$10:$GV$11,2,FALSE)))</f>
        <v/>
      </c>
      <c r="J5774" s="215" t="str">
        <f>IF(Table2[[#This Row],[Description]]="","",Table2[[#This Row],[Value]]/Table2[[#This Row],[Conversion]])</f>
        <v/>
      </c>
      <c r="K5774" s="45" t="str">
        <f>IF(Table2[[#This Row],[Description]]="","",DATE(Table2[[#This Row],[Year]],Table2[[#This Row],[Month]],1))</f>
        <v/>
      </c>
    </row>
    <row r="5775" spans="7:11" x14ac:dyDescent="0.25">
      <c r="G5775" s="1" t="str">
        <f>IF(Table2[[#This Row],[Description]]="","",VLOOKUP(Table2[[#This Row],[Description]],$Q$1:$S$101,2,FALSE))</f>
        <v/>
      </c>
      <c r="H5775" s="1" t="str">
        <f>IF(Table2[[#This Row],[Description]]="","",VLOOKUP(Table2[[#This Row],[Description]],$Q$1:$S$101,3,FALSE))</f>
        <v/>
      </c>
      <c r="I5775" s="1" t="str">
        <f>IF(Table2[[#This Row],[Description]]="","",IF(Table2[[#This Row],[Currency]]=$O$2,$P$2,HLOOKUP(Table2[[#This Row],[Date]],Funds!$C$10:$GV$11,2,FALSE)))</f>
        <v/>
      </c>
      <c r="J5775" s="215" t="str">
        <f>IF(Table2[[#This Row],[Description]]="","",Table2[[#This Row],[Value]]/Table2[[#This Row],[Conversion]])</f>
        <v/>
      </c>
      <c r="K5775" s="45" t="str">
        <f>IF(Table2[[#This Row],[Description]]="","",DATE(Table2[[#This Row],[Year]],Table2[[#This Row],[Month]],1))</f>
        <v/>
      </c>
    </row>
    <row r="5776" spans="7:11" x14ac:dyDescent="0.25">
      <c r="G5776" s="1" t="str">
        <f>IF(Table2[[#This Row],[Description]]="","",VLOOKUP(Table2[[#This Row],[Description]],$Q$1:$S$101,2,FALSE))</f>
        <v/>
      </c>
      <c r="H5776" s="1" t="str">
        <f>IF(Table2[[#This Row],[Description]]="","",VLOOKUP(Table2[[#This Row],[Description]],$Q$1:$S$101,3,FALSE))</f>
        <v/>
      </c>
      <c r="I5776" s="1" t="str">
        <f>IF(Table2[[#This Row],[Description]]="","",IF(Table2[[#This Row],[Currency]]=$O$2,$P$2,HLOOKUP(Table2[[#This Row],[Date]],Funds!$C$10:$GV$11,2,FALSE)))</f>
        <v/>
      </c>
      <c r="J5776" s="215" t="str">
        <f>IF(Table2[[#This Row],[Description]]="","",Table2[[#This Row],[Value]]/Table2[[#This Row],[Conversion]])</f>
        <v/>
      </c>
      <c r="K5776" s="45" t="str">
        <f>IF(Table2[[#This Row],[Description]]="","",DATE(Table2[[#This Row],[Year]],Table2[[#This Row],[Month]],1))</f>
        <v/>
      </c>
    </row>
    <row r="5777" spans="7:11" x14ac:dyDescent="0.25">
      <c r="G5777" s="1" t="str">
        <f>IF(Table2[[#This Row],[Description]]="","",VLOOKUP(Table2[[#This Row],[Description]],$Q$1:$S$101,2,FALSE))</f>
        <v/>
      </c>
      <c r="H5777" s="1" t="str">
        <f>IF(Table2[[#This Row],[Description]]="","",VLOOKUP(Table2[[#This Row],[Description]],$Q$1:$S$101,3,FALSE))</f>
        <v/>
      </c>
      <c r="I5777" s="1" t="str">
        <f>IF(Table2[[#This Row],[Description]]="","",IF(Table2[[#This Row],[Currency]]=$O$2,$P$2,HLOOKUP(Table2[[#This Row],[Date]],Funds!$C$10:$GV$11,2,FALSE)))</f>
        <v/>
      </c>
      <c r="J5777" s="215" t="str">
        <f>IF(Table2[[#This Row],[Description]]="","",Table2[[#This Row],[Value]]/Table2[[#This Row],[Conversion]])</f>
        <v/>
      </c>
      <c r="K5777" s="45" t="str">
        <f>IF(Table2[[#This Row],[Description]]="","",DATE(Table2[[#This Row],[Year]],Table2[[#This Row],[Month]],1))</f>
        <v/>
      </c>
    </row>
    <row r="5778" spans="7:11" x14ac:dyDescent="0.25">
      <c r="G5778" s="1" t="str">
        <f>IF(Table2[[#This Row],[Description]]="","",VLOOKUP(Table2[[#This Row],[Description]],$Q$1:$S$101,2,FALSE))</f>
        <v/>
      </c>
      <c r="H5778" s="1" t="str">
        <f>IF(Table2[[#This Row],[Description]]="","",VLOOKUP(Table2[[#This Row],[Description]],$Q$1:$S$101,3,FALSE))</f>
        <v/>
      </c>
      <c r="I5778" s="1" t="str">
        <f>IF(Table2[[#This Row],[Description]]="","",IF(Table2[[#This Row],[Currency]]=$O$2,$P$2,HLOOKUP(Table2[[#This Row],[Date]],Funds!$C$10:$GV$11,2,FALSE)))</f>
        <v/>
      </c>
      <c r="J5778" s="215" t="str">
        <f>IF(Table2[[#This Row],[Description]]="","",Table2[[#This Row],[Value]]/Table2[[#This Row],[Conversion]])</f>
        <v/>
      </c>
      <c r="K5778" s="45" t="str">
        <f>IF(Table2[[#This Row],[Description]]="","",DATE(Table2[[#This Row],[Year]],Table2[[#This Row],[Month]],1))</f>
        <v/>
      </c>
    </row>
    <row r="5779" spans="7:11" x14ac:dyDescent="0.25">
      <c r="G5779" s="1" t="str">
        <f>IF(Table2[[#This Row],[Description]]="","",VLOOKUP(Table2[[#This Row],[Description]],$Q$1:$S$101,2,FALSE))</f>
        <v/>
      </c>
      <c r="H5779" s="1" t="str">
        <f>IF(Table2[[#This Row],[Description]]="","",VLOOKUP(Table2[[#This Row],[Description]],$Q$1:$S$101,3,FALSE))</f>
        <v/>
      </c>
      <c r="I5779" s="1" t="str">
        <f>IF(Table2[[#This Row],[Description]]="","",IF(Table2[[#This Row],[Currency]]=$O$2,$P$2,HLOOKUP(Table2[[#This Row],[Date]],Funds!$C$10:$GV$11,2,FALSE)))</f>
        <v/>
      </c>
      <c r="J5779" s="215" t="str">
        <f>IF(Table2[[#This Row],[Description]]="","",Table2[[#This Row],[Value]]/Table2[[#This Row],[Conversion]])</f>
        <v/>
      </c>
      <c r="K5779" s="45" t="str">
        <f>IF(Table2[[#This Row],[Description]]="","",DATE(Table2[[#This Row],[Year]],Table2[[#This Row],[Month]],1))</f>
        <v/>
      </c>
    </row>
    <row r="5780" spans="7:11" x14ac:dyDescent="0.25">
      <c r="G5780" s="1" t="str">
        <f>IF(Table2[[#This Row],[Description]]="","",VLOOKUP(Table2[[#This Row],[Description]],$Q$1:$S$101,2,FALSE))</f>
        <v/>
      </c>
      <c r="H5780" s="1" t="str">
        <f>IF(Table2[[#This Row],[Description]]="","",VLOOKUP(Table2[[#This Row],[Description]],$Q$1:$S$101,3,FALSE))</f>
        <v/>
      </c>
      <c r="I5780" s="1" t="str">
        <f>IF(Table2[[#This Row],[Description]]="","",IF(Table2[[#This Row],[Currency]]=$O$2,$P$2,HLOOKUP(Table2[[#This Row],[Date]],Funds!$C$10:$GV$11,2,FALSE)))</f>
        <v/>
      </c>
      <c r="J5780" s="215" t="str">
        <f>IF(Table2[[#This Row],[Description]]="","",Table2[[#This Row],[Value]]/Table2[[#This Row],[Conversion]])</f>
        <v/>
      </c>
      <c r="K5780" s="45" t="str">
        <f>IF(Table2[[#This Row],[Description]]="","",DATE(Table2[[#This Row],[Year]],Table2[[#This Row],[Month]],1))</f>
        <v/>
      </c>
    </row>
    <row r="5781" spans="7:11" x14ac:dyDescent="0.25">
      <c r="G5781" s="1" t="str">
        <f>IF(Table2[[#This Row],[Description]]="","",VLOOKUP(Table2[[#This Row],[Description]],$Q$1:$S$101,2,FALSE))</f>
        <v/>
      </c>
      <c r="H5781" s="1" t="str">
        <f>IF(Table2[[#This Row],[Description]]="","",VLOOKUP(Table2[[#This Row],[Description]],$Q$1:$S$101,3,FALSE))</f>
        <v/>
      </c>
      <c r="I5781" s="1" t="str">
        <f>IF(Table2[[#This Row],[Description]]="","",IF(Table2[[#This Row],[Currency]]=$O$2,$P$2,HLOOKUP(Table2[[#This Row],[Date]],Funds!$C$10:$GV$11,2,FALSE)))</f>
        <v/>
      </c>
      <c r="J5781" s="215" t="str">
        <f>IF(Table2[[#This Row],[Description]]="","",Table2[[#This Row],[Value]]/Table2[[#This Row],[Conversion]])</f>
        <v/>
      </c>
      <c r="K5781" s="45" t="str">
        <f>IF(Table2[[#This Row],[Description]]="","",DATE(Table2[[#This Row],[Year]],Table2[[#This Row],[Month]],1))</f>
        <v/>
      </c>
    </row>
    <row r="5782" spans="7:11" x14ac:dyDescent="0.25">
      <c r="G5782" s="1" t="str">
        <f>IF(Table2[[#This Row],[Description]]="","",VLOOKUP(Table2[[#This Row],[Description]],$Q$1:$S$101,2,FALSE))</f>
        <v/>
      </c>
      <c r="H5782" s="1" t="str">
        <f>IF(Table2[[#This Row],[Description]]="","",VLOOKUP(Table2[[#This Row],[Description]],$Q$1:$S$101,3,FALSE))</f>
        <v/>
      </c>
      <c r="I5782" s="1" t="str">
        <f>IF(Table2[[#This Row],[Description]]="","",IF(Table2[[#This Row],[Currency]]=$O$2,$P$2,HLOOKUP(Table2[[#This Row],[Date]],Funds!$C$10:$GV$11,2,FALSE)))</f>
        <v/>
      </c>
      <c r="J5782" s="215" t="str">
        <f>IF(Table2[[#This Row],[Description]]="","",Table2[[#This Row],[Value]]/Table2[[#This Row],[Conversion]])</f>
        <v/>
      </c>
      <c r="K5782" s="45" t="str">
        <f>IF(Table2[[#This Row],[Description]]="","",DATE(Table2[[#This Row],[Year]],Table2[[#This Row],[Month]],1))</f>
        <v/>
      </c>
    </row>
    <row r="5783" spans="7:11" x14ac:dyDescent="0.25">
      <c r="G5783" s="1" t="str">
        <f>IF(Table2[[#This Row],[Description]]="","",VLOOKUP(Table2[[#This Row],[Description]],$Q$1:$S$101,2,FALSE))</f>
        <v/>
      </c>
      <c r="H5783" s="1" t="str">
        <f>IF(Table2[[#This Row],[Description]]="","",VLOOKUP(Table2[[#This Row],[Description]],$Q$1:$S$101,3,FALSE))</f>
        <v/>
      </c>
      <c r="I5783" s="1" t="str">
        <f>IF(Table2[[#This Row],[Description]]="","",IF(Table2[[#This Row],[Currency]]=$O$2,$P$2,HLOOKUP(Table2[[#This Row],[Date]],Funds!$C$10:$GV$11,2,FALSE)))</f>
        <v/>
      </c>
      <c r="J5783" s="215" t="str">
        <f>IF(Table2[[#This Row],[Description]]="","",Table2[[#This Row],[Value]]/Table2[[#This Row],[Conversion]])</f>
        <v/>
      </c>
      <c r="K5783" s="45" t="str">
        <f>IF(Table2[[#This Row],[Description]]="","",DATE(Table2[[#This Row],[Year]],Table2[[#This Row],[Month]],1))</f>
        <v/>
      </c>
    </row>
    <row r="5784" spans="7:11" x14ac:dyDescent="0.25">
      <c r="G5784" s="1" t="str">
        <f>IF(Table2[[#This Row],[Description]]="","",VLOOKUP(Table2[[#This Row],[Description]],$Q$1:$S$101,2,FALSE))</f>
        <v/>
      </c>
      <c r="H5784" s="1" t="str">
        <f>IF(Table2[[#This Row],[Description]]="","",VLOOKUP(Table2[[#This Row],[Description]],$Q$1:$S$101,3,FALSE))</f>
        <v/>
      </c>
      <c r="I5784" s="1" t="str">
        <f>IF(Table2[[#This Row],[Description]]="","",IF(Table2[[#This Row],[Currency]]=$O$2,$P$2,HLOOKUP(Table2[[#This Row],[Date]],Funds!$C$10:$GV$11,2,FALSE)))</f>
        <v/>
      </c>
      <c r="J5784" s="215" t="str">
        <f>IF(Table2[[#This Row],[Description]]="","",Table2[[#This Row],[Value]]/Table2[[#This Row],[Conversion]])</f>
        <v/>
      </c>
      <c r="K5784" s="45" t="str">
        <f>IF(Table2[[#This Row],[Description]]="","",DATE(Table2[[#This Row],[Year]],Table2[[#This Row],[Month]],1))</f>
        <v/>
      </c>
    </row>
    <row r="5785" spans="7:11" x14ac:dyDescent="0.25">
      <c r="G5785" s="1" t="str">
        <f>IF(Table2[[#This Row],[Description]]="","",VLOOKUP(Table2[[#This Row],[Description]],$Q$1:$S$101,2,FALSE))</f>
        <v/>
      </c>
      <c r="H5785" s="1" t="str">
        <f>IF(Table2[[#This Row],[Description]]="","",VLOOKUP(Table2[[#This Row],[Description]],$Q$1:$S$101,3,FALSE))</f>
        <v/>
      </c>
      <c r="I5785" s="1" t="str">
        <f>IF(Table2[[#This Row],[Description]]="","",IF(Table2[[#This Row],[Currency]]=$O$2,$P$2,HLOOKUP(Table2[[#This Row],[Date]],Funds!$C$10:$GV$11,2,FALSE)))</f>
        <v/>
      </c>
      <c r="J5785" s="215" t="str">
        <f>IF(Table2[[#This Row],[Description]]="","",Table2[[#This Row],[Value]]/Table2[[#This Row],[Conversion]])</f>
        <v/>
      </c>
      <c r="K5785" s="45" t="str">
        <f>IF(Table2[[#This Row],[Description]]="","",DATE(Table2[[#This Row],[Year]],Table2[[#This Row],[Month]],1))</f>
        <v/>
      </c>
    </row>
    <row r="5786" spans="7:11" x14ac:dyDescent="0.25">
      <c r="G5786" s="1" t="str">
        <f>IF(Table2[[#This Row],[Description]]="","",VLOOKUP(Table2[[#This Row],[Description]],$Q$1:$S$101,2,FALSE))</f>
        <v/>
      </c>
      <c r="H5786" s="1" t="str">
        <f>IF(Table2[[#This Row],[Description]]="","",VLOOKUP(Table2[[#This Row],[Description]],$Q$1:$S$101,3,FALSE))</f>
        <v/>
      </c>
      <c r="I5786" s="1" t="str">
        <f>IF(Table2[[#This Row],[Description]]="","",IF(Table2[[#This Row],[Currency]]=$O$2,$P$2,HLOOKUP(Table2[[#This Row],[Date]],Funds!$C$10:$GV$11,2,FALSE)))</f>
        <v/>
      </c>
      <c r="J5786" s="215" t="str">
        <f>IF(Table2[[#This Row],[Description]]="","",Table2[[#This Row],[Value]]/Table2[[#This Row],[Conversion]])</f>
        <v/>
      </c>
      <c r="K5786" s="45" t="str">
        <f>IF(Table2[[#This Row],[Description]]="","",DATE(Table2[[#This Row],[Year]],Table2[[#This Row],[Month]],1))</f>
        <v/>
      </c>
    </row>
    <row r="5787" spans="7:11" x14ac:dyDescent="0.25">
      <c r="G5787" s="1" t="str">
        <f>IF(Table2[[#This Row],[Description]]="","",VLOOKUP(Table2[[#This Row],[Description]],$Q$1:$S$101,2,FALSE))</f>
        <v/>
      </c>
      <c r="H5787" s="1" t="str">
        <f>IF(Table2[[#This Row],[Description]]="","",VLOOKUP(Table2[[#This Row],[Description]],$Q$1:$S$101,3,FALSE))</f>
        <v/>
      </c>
      <c r="I5787" s="1" t="str">
        <f>IF(Table2[[#This Row],[Description]]="","",IF(Table2[[#This Row],[Currency]]=$O$2,$P$2,HLOOKUP(Table2[[#This Row],[Date]],Funds!$C$10:$GV$11,2,FALSE)))</f>
        <v/>
      </c>
      <c r="J5787" s="215" t="str">
        <f>IF(Table2[[#This Row],[Description]]="","",Table2[[#This Row],[Value]]/Table2[[#This Row],[Conversion]])</f>
        <v/>
      </c>
      <c r="K5787" s="45" t="str">
        <f>IF(Table2[[#This Row],[Description]]="","",DATE(Table2[[#This Row],[Year]],Table2[[#This Row],[Month]],1))</f>
        <v/>
      </c>
    </row>
    <row r="5788" spans="7:11" x14ac:dyDescent="0.25">
      <c r="G5788" s="1" t="str">
        <f>IF(Table2[[#This Row],[Description]]="","",VLOOKUP(Table2[[#This Row],[Description]],$Q$1:$S$101,2,FALSE))</f>
        <v/>
      </c>
      <c r="H5788" s="1" t="str">
        <f>IF(Table2[[#This Row],[Description]]="","",VLOOKUP(Table2[[#This Row],[Description]],$Q$1:$S$101,3,FALSE))</f>
        <v/>
      </c>
      <c r="I5788" s="1" t="str">
        <f>IF(Table2[[#This Row],[Description]]="","",IF(Table2[[#This Row],[Currency]]=$O$2,$P$2,HLOOKUP(Table2[[#This Row],[Date]],Funds!$C$10:$GV$11,2,FALSE)))</f>
        <v/>
      </c>
      <c r="J5788" s="215" t="str">
        <f>IF(Table2[[#This Row],[Description]]="","",Table2[[#This Row],[Value]]/Table2[[#This Row],[Conversion]])</f>
        <v/>
      </c>
      <c r="K5788" s="45" t="str">
        <f>IF(Table2[[#This Row],[Description]]="","",DATE(Table2[[#This Row],[Year]],Table2[[#This Row],[Month]],1))</f>
        <v/>
      </c>
    </row>
    <row r="5789" spans="7:11" x14ac:dyDescent="0.25">
      <c r="G5789" s="1" t="str">
        <f>IF(Table2[[#This Row],[Description]]="","",VLOOKUP(Table2[[#This Row],[Description]],$Q$1:$S$101,2,FALSE))</f>
        <v/>
      </c>
      <c r="H5789" s="1" t="str">
        <f>IF(Table2[[#This Row],[Description]]="","",VLOOKUP(Table2[[#This Row],[Description]],$Q$1:$S$101,3,FALSE))</f>
        <v/>
      </c>
      <c r="I5789" s="1" t="str">
        <f>IF(Table2[[#This Row],[Description]]="","",IF(Table2[[#This Row],[Currency]]=$O$2,$P$2,HLOOKUP(Table2[[#This Row],[Date]],Funds!$C$10:$GV$11,2,FALSE)))</f>
        <v/>
      </c>
      <c r="J5789" s="215" t="str">
        <f>IF(Table2[[#This Row],[Description]]="","",Table2[[#This Row],[Value]]/Table2[[#This Row],[Conversion]])</f>
        <v/>
      </c>
      <c r="K5789" s="45" t="str">
        <f>IF(Table2[[#This Row],[Description]]="","",DATE(Table2[[#This Row],[Year]],Table2[[#This Row],[Month]],1))</f>
        <v/>
      </c>
    </row>
    <row r="5790" spans="7:11" x14ac:dyDescent="0.25">
      <c r="G5790" s="1" t="str">
        <f>IF(Table2[[#This Row],[Description]]="","",VLOOKUP(Table2[[#This Row],[Description]],$Q$1:$S$101,2,FALSE))</f>
        <v/>
      </c>
      <c r="H5790" s="1" t="str">
        <f>IF(Table2[[#This Row],[Description]]="","",VLOOKUP(Table2[[#This Row],[Description]],$Q$1:$S$101,3,FALSE))</f>
        <v/>
      </c>
      <c r="I5790" s="1" t="str">
        <f>IF(Table2[[#This Row],[Description]]="","",IF(Table2[[#This Row],[Currency]]=$O$2,$P$2,HLOOKUP(Table2[[#This Row],[Date]],Funds!$C$10:$GV$11,2,FALSE)))</f>
        <v/>
      </c>
      <c r="J5790" s="215" t="str">
        <f>IF(Table2[[#This Row],[Description]]="","",Table2[[#This Row],[Value]]/Table2[[#This Row],[Conversion]])</f>
        <v/>
      </c>
      <c r="K5790" s="45" t="str">
        <f>IF(Table2[[#This Row],[Description]]="","",DATE(Table2[[#This Row],[Year]],Table2[[#This Row],[Month]],1))</f>
        <v/>
      </c>
    </row>
    <row r="5791" spans="7:11" x14ac:dyDescent="0.25">
      <c r="G5791" s="1" t="str">
        <f>IF(Table2[[#This Row],[Description]]="","",VLOOKUP(Table2[[#This Row],[Description]],$Q$1:$S$101,2,FALSE))</f>
        <v/>
      </c>
      <c r="H5791" s="1" t="str">
        <f>IF(Table2[[#This Row],[Description]]="","",VLOOKUP(Table2[[#This Row],[Description]],$Q$1:$S$101,3,FALSE))</f>
        <v/>
      </c>
      <c r="I5791" s="1" t="str">
        <f>IF(Table2[[#This Row],[Description]]="","",IF(Table2[[#This Row],[Currency]]=$O$2,$P$2,HLOOKUP(Table2[[#This Row],[Date]],Funds!$C$10:$GV$11,2,FALSE)))</f>
        <v/>
      </c>
      <c r="J5791" s="215" t="str">
        <f>IF(Table2[[#This Row],[Description]]="","",Table2[[#This Row],[Value]]/Table2[[#This Row],[Conversion]])</f>
        <v/>
      </c>
      <c r="K5791" s="45" t="str">
        <f>IF(Table2[[#This Row],[Description]]="","",DATE(Table2[[#This Row],[Year]],Table2[[#This Row],[Month]],1))</f>
        <v/>
      </c>
    </row>
    <row r="5792" spans="7:11" x14ac:dyDescent="0.25">
      <c r="G5792" s="1" t="str">
        <f>IF(Table2[[#This Row],[Description]]="","",VLOOKUP(Table2[[#This Row],[Description]],$Q$1:$S$101,2,FALSE))</f>
        <v/>
      </c>
      <c r="H5792" s="1" t="str">
        <f>IF(Table2[[#This Row],[Description]]="","",VLOOKUP(Table2[[#This Row],[Description]],$Q$1:$S$101,3,FALSE))</f>
        <v/>
      </c>
      <c r="I5792" s="1" t="str">
        <f>IF(Table2[[#This Row],[Description]]="","",IF(Table2[[#This Row],[Currency]]=$O$2,$P$2,HLOOKUP(Table2[[#This Row],[Date]],Funds!$C$10:$GV$11,2,FALSE)))</f>
        <v/>
      </c>
      <c r="J5792" s="215" t="str">
        <f>IF(Table2[[#This Row],[Description]]="","",Table2[[#This Row],[Value]]/Table2[[#This Row],[Conversion]])</f>
        <v/>
      </c>
      <c r="K5792" s="45" t="str">
        <f>IF(Table2[[#This Row],[Description]]="","",DATE(Table2[[#This Row],[Year]],Table2[[#This Row],[Month]],1))</f>
        <v/>
      </c>
    </row>
    <row r="5793" spans="7:11" x14ac:dyDescent="0.25">
      <c r="G5793" s="1" t="str">
        <f>IF(Table2[[#This Row],[Description]]="","",VLOOKUP(Table2[[#This Row],[Description]],$Q$1:$S$101,2,FALSE))</f>
        <v/>
      </c>
      <c r="H5793" s="1" t="str">
        <f>IF(Table2[[#This Row],[Description]]="","",VLOOKUP(Table2[[#This Row],[Description]],$Q$1:$S$101,3,FALSE))</f>
        <v/>
      </c>
      <c r="I5793" s="1" t="str">
        <f>IF(Table2[[#This Row],[Description]]="","",IF(Table2[[#This Row],[Currency]]=$O$2,$P$2,HLOOKUP(Table2[[#This Row],[Date]],Funds!$C$10:$GV$11,2,FALSE)))</f>
        <v/>
      </c>
      <c r="J5793" s="215" t="str">
        <f>IF(Table2[[#This Row],[Description]]="","",Table2[[#This Row],[Value]]/Table2[[#This Row],[Conversion]])</f>
        <v/>
      </c>
      <c r="K5793" s="45" t="str">
        <f>IF(Table2[[#This Row],[Description]]="","",DATE(Table2[[#This Row],[Year]],Table2[[#This Row],[Month]],1))</f>
        <v/>
      </c>
    </row>
    <row r="5794" spans="7:11" x14ac:dyDescent="0.25">
      <c r="G5794" s="1" t="str">
        <f>IF(Table2[[#This Row],[Description]]="","",VLOOKUP(Table2[[#This Row],[Description]],$Q$1:$S$101,2,FALSE))</f>
        <v/>
      </c>
      <c r="H5794" s="1" t="str">
        <f>IF(Table2[[#This Row],[Description]]="","",VLOOKUP(Table2[[#This Row],[Description]],$Q$1:$S$101,3,FALSE))</f>
        <v/>
      </c>
      <c r="I5794" s="1" t="str">
        <f>IF(Table2[[#This Row],[Description]]="","",IF(Table2[[#This Row],[Currency]]=$O$2,$P$2,HLOOKUP(Table2[[#This Row],[Date]],Funds!$C$10:$GV$11,2,FALSE)))</f>
        <v/>
      </c>
      <c r="J5794" s="215" t="str">
        <f>IF(Table2[[#This Row],[Description]]="","",Table2[[#This Row],[Value]]/Table2[[#This Row],[Conversion]])</f>
        <v/>
      </c>
      <c r="K5794" s="45" t="str">
        <f>IF(Table2[[#This Row],[Description]]="","",DATE(Table2[[#This Row],[Year]],Table2[[#This Row],[Month]],1))</f>
        <v/>
      </c>
    </row>
    <row r="5795" spans="7:11" x14ac:dyDescent="0.25">
      <c r="G5795" s="1" t="str">
        <f>IF(Table2[[#This Row],[Description]]="","",VLOOKUP(Table2[[#This Row],[Description]],$Q$1:$S$101,2,FALSE))</f>
        <v/>
      </c>
      <c r="H5795" s="1" t="str">
        <f>IF(Table2[[#This Row],[Description]]="","",VLOOKUP(Table2[[#This Row],[Description]],$Q$1:$S$101,3,FALSE))</f>
        <v/>
      </c>
      <c r="I5795" s="1" t="str">
        <f>IF(Table2[[#This Row],[Description]]="","",IF(Table2[[#This Row],[Currency]]=$O$2,$P$2,HLOOKUP(Table2[[#This Row],[Date]],Funds!$C$10:$GV$11,2,FALSE)))</f>
        <v/>
      </c>
      <c r="J5795" s="215" t="str">
        <f>IF(Table2[[#This Row],[Description]]="","",Table2[[#This Row],[Value]]/Table2[[#This Row],[Conversion]])</f>
        <v/>
      </c>
      <c r="K5795" s="45" t="str">
        <f>IF(Table2[[#This Row],[Description]]="","",DATE(Table2[[#This Row],[Year]],Table2[[#This Row],[Month]],1))</f>
        <v/>
      </c>
    </row>
    <row r="5796" spans="7:11" x14ac:dyDescent="0.25">
      <c r="G5796" s="1" t="str">
        <f>IF(Table2[[#This Row],[Description]]="","",VLOOKUP(Table2[[#This Row],[Description]],$Q$1:$S$101,2,FALSE))</f>
        <v/>
      </c>
      <c r="H5796" s="1" t="str">
        <f>IF(Table2[[#This Row],[Description]]="","",VLOOKUP(Table2[[#This Row],[Description]],$Q$1:$S$101,3,FALSE))</f>
        <v/>
      </c>
      <c r="I5796" s="1" t="str">
        <f>IF(Table2[[#This Row],[Description]]="","",IF(Table2[[#This Row],[Currency]]=$O$2,$P$2,HLOOKUP(Table2[[#This Row],[Date]],Funds!$C$10:$GV$11,2,FALSE)))</f>
        <v/>
      </c>
      <c r="J5796" s="215" t="str">
        <f>IF(Table2[[#This Row],[Description]]="","",Table2[[#This Row],[Value]]/Table2[[#This Row],[Conversion]])</f>
        <v/>
      </c>
      <c r="K5796" s="45" t="str">
        <f>IF(Table2[[#This Row],[Description]]="","",DATE(Table2[[#This Row],[Year]],Table2[[#This Row],[Month]],1))</f>
        <v/>
      </c>
    </row>
    <row r="5797" spans="7:11" x14ac:dyDescent="0.25">
      <c r="G5797" s="1" t="str">
        <f>IF(Table2[[#This Row],[Description]]="","",VLOOKUP(Table2[[#This Row],[Description]],$Q$1:$S$101,2,FALSE))</f>
        <v/>
      </c>
      <c r="H5797" s="1" t="str">
        <f>IF(Table2[[#This Row],[Description]]="","",VLOOKUP(Table2[[#This Row],[Description]],$Q$1:$S$101,3,FALSE))</f>
        <v/>
      </c>
      <c r="I5797" s="1" t="str">
        <f>IF(Table2[[#This Row],[Description]]="","",IF(Table2[[#This Row],[Currency]]=$O$2,$P$2,HLOOKUP(Table2[[#This Row],[Date]],Funds!$C$10:$GV$11,2,FALSE)))</f>
        <v/>
      </c>
      <c r="J5797" s="215" t="str">
        <f>IF(Table2[[#This Row],[Description]]="","",Table2[[#This Row],[Value]]/Table2[[#This Row],[Conversion]])</f>
        <v/>
      </c>
      <c r="K5797" s="45" t="str">
        <f>IF(Table2[[#This Row],[Description]]="","",DATE(Table2[[#This Row],[Year]],Table2[[#This Row],[Month]],1))</f>
        <v/>
      </c>
    </row>
    <row r="5798" spans="7:11" x14ac:dyDescent="0.25">
      <c r="G5798" s="1" t="str">
        <f>IF(Table2[[#This Row],[Description]]="","",VLOOKUP(Table2[[#This Row],[Description]],$Q$1:$S$101,2,FALSE))</f>
        <v/>
      </c>
      <c r="H5798" s="1" t="str">
        <f>IF(Table2[[#This Row],[Description]]="","",VLOOKUP(Table2[[#This Row],[Description]],$Q$1:$S$101,3,FALSE))</f>
        <v/>
      </c>
      <c r="I5798" s="1" t="str">
        <f>IF(Table2[[#This Row],[Description]]="","",IF(Table2[[#This Row],[Currency]]=$O$2,$P$2,HLOOKUP(Table2[[#This Row],[Date]],Funds!$C$10:$GV$11,2,FALSE)))</f>
        <v/>
      </c>
      <c r="J5798" s="215" t="str">
        <f>IF(Table2[[#This Row],[Description]]="","",Table2[[#This Row],[Value]]/Table2[[#This Row],[Conversion]])</f>
        <v/>
      </c>
      <c r="K5798" s="45" t="str">
        <f>IF(Table2[[#This Row],[Description]]="","",DATE(Table2[[#This Row],[Year]],Table2[[#This Row],[Month]],1))</f>
        <v/>
      </c>
    </row>
    <row r="5799" spans="7:11" x14ac:dyDescent="0.25">
      <c r="G5799" s="1" t="str">
        <f>IF(Table2[[#This Row],[Description]]="","",VLOOKUP(Table2[[#This Row],[Description]],$Q$1:$S$101,2,FALSE))</f>
        <v/>
      </c>
      <c r="H5799" s="1" t="str">
        <f>IF(Table2[[#This Row],[Description]]="","",VLOOKUP(Table2[[#This Row],[Description]],$Q$1:$S$101,3,FALSE))</f>
        <v/>
      </c>
      <c r="I5799" s="1" t="str">
        <f>IF(Table2[[#This Row],[Description]]="","",IF(Table2[[#This Row],[Currency]]=$O$2,$P$2,HLOOKUP(Table2[[#This Row],[Date]],Funds!$C$10:$GV$11,2,FALSE)))</f>
        <v/>
      </c>
      <c r="J5799" s="215" t="str">
        <f>IF(Table2[[#This Row],[Description]]="","",Table2[[#This Row],[Value]]/Table2[[#This Row],[Conversion]])</f>
        <v/>
      </c>
      <c r="K5799" s="45" t="str">
        <f>IF(Table2[[#This Row],[Description]]="","",DATE(Table2[[#This Row],[Year]],Table2[[#This Row],[Month]],1))</f>
        <v/>
      </c>
    </row>
    <row r="5800" spans="7:11" x14ac:dyDescent="0.25">
      <c r="G5800" s="1" t="str">
        <f>IF(Table2[[#This Row],[Description]]="","",VLOOKUP(Table2[[#This Row],[Description]],$Q$1:$S$101,2,FALSE))</f>
        <v/>
      </c>
      <c r="H5800" s="1" t="str">
        <f>IF(Table2[[#This Row],[Description]]="","",VLOOKUP(Table2[[#This Row],[Description]],$Q$1:$S$101,3,FALSE))</f>
        <v/>
      </c>
      <c r="I5800" s="1" t="str">
        <f>IF(Table2[[#This Row],[Description]]="","",IF(Table2[[#This Row],[Currency]]=$O$2,$P$2,HLOOKUP(Table2[[#This Row],[Date]],Funds!$C$10:$GV$11,2,FALSE)))</f>
        <v/>
      </c>
      <c r="J5800" s="215" t="str">
        <f>IF(Table2[[#This Row],[Description]]="","",Table2[[#This Row],[Value]]/Table2[[#This Row],[Conversion]])</f>
        <v/>
      </c>
      <c r="K5800" s="45" t="str">
        <f>IF(Table2[[#This Row],[Description]]="","",DATE(Table2[[#This Row],[Year]],Table2[[#This Row],[Month]],1))</f>
        <v/>
      </c>
    </row>
    <row r="5801" spans="7:11" x14ac:dyDescent="0.25">
      <c r="G5801" s="1" t="str">
        <f>IF(Table2[[#This Row],[Description]]="","",VLOOKUP(Table2[[#This Row],[Description]],$Q$1:$S$101,2,FALSE))</f>
        <v/>
      </c>
      <c r="H5801" s="1" t="str">
        <f>IF(Table2[[#This Row],[Description]]="","",VLOOKUP(Table2[[#This Row],[Description]],$Q$1:$S$101,3,FALSE))</f>
        <v/>
      </c>
      <c r="I5801" s="1" t="str">
        <f>IF(Table2[[#This Row],[Description]]="","",IF(Table2[[#This Row],[Currency]]=$O$2,$P$2,HLOOKUP(Table2[[#This Row],[Date]],Funds!$C$10:$GV$11,2,FALSE)))</f>
        <v/>
      </c>
      <c r="J5801" s="215" t="str">
        <f>IF(Table2[[#This Row],[Description]]="","",Table2[[#This Row],[Value]]/Table2[[#This Row],[Conversion]])</f>
        <v/>
      </c>
      <c r="K5801" s="45" t="str">
        <f>IF(Table2[[#This Row],[Description]]="","",DATE(Table2[[#This Row],[Year]],Table2[[#This Row],[Month]],1))</f>
        <v/>
      </c>
    </row>
    <row r="5802" spans="7:11" x14ac:dyDescent="0.25">
      <c r="G5802" s="1" t="str">
        <f>IF(Table2[[#This Row],[Description]]="","",VLOOKUP(Table2[[#This Row],[Description]],$Q$1:$S$101,2,FALSE))</f>
        <v/>
      </c>
      <c r="H5802" s="1" t="str">
        <f>IF(Table2[[#This Row],[Description]]="","",VLOOKUP(Table2[[#This Row],[Description]],$Q$1:$S$101,3,FALSE))</f>
        <v/>
      </c>
      <c r="I5802" s="1" t="str">
        <f>IF(Table2[[#This Row],[Description]]="","",IF(Table2[[#This Row],[Currency]]=$O$2,$P$2,HLOOKUP(Table2[[#This Row],[Date]],Funds!$C$10:$GV$11,2,FALSE)))</f>
        <v/>
      </c>
      <c r="J5802" s="215" t="str">
        <f>IF(Table2[[#This Row],[Description]]="","",Table2[[#This Row],[Value]]/Table2[[#This Row],[Conversion]])</f>
        <v/>
      </c>
      <c r="K5802" s="45" t="str">
        <f>IF(Table2[[#This Row],[Description]]="","",DATE(Table2[[#This Row],[Year]],Table2[[#This Row],[Month]],1))</f>
        <v/>
      </c>
    </row>
    <row r="5803" spans="7:11" x14ac:dyDescent="0.25">
      <c r="G5803" s="1" t="str">
        <f>IF(Table2[[#This Row],[Description]]="","",VLOOKUP(Table2[[#This Row],[Description]],$Q$1:$S$101,2,FALSE))</f>
        <v/>
      </c>
      <c r="H5803" s="1" t="str">
        <f>IF(Table2[[#This Row],[Description]]="","",VLOOKUP(Table2[[#This Row],[Description]],$Q$1:$S$101,3,FALSE))</f>
        <v/>
      </c>
      <c r="I5803" s="1" t="str">
        <f>IF(Table2[[#This Row],[Description]]="","",IF(Table2[[#This Row],[Currency]]=$O$2,$P$2,HLOOKUP(Table2[[#This Row],[Date]],Funds!$C$10:$GV$11,2,FALSE)))</f>
        <v/>
      </c>
      <c r="J5803" s="215" t="str">
        <f>IF(Table2[[#This Row],[Description]]="","",Table2[[#This Row],[Value]]/Table2[[#This Row],[Conversion]])</f>
        <v/>
      </c>
      <c r="K5803" s="45" t="str">
        <f>IF(Table2[[#This Row],[Description]]="","",DATE(Table2[[#This Row],[Year]],Table2[[#This Row],[Month]],1))</f>
        <v/>
      </c>
    </row>
    <row r="5804" spans="7:11" x14ac:dyDescent="0.25">
      <c r="G5804" s="1" t="str">
        <f>IF(Table2[[#This Row],[Description]]="","",VLOOKUP(Table2[[#This Row],[Description]],$Q$1:$S$101,2,FALSE))</f>
        <v/>
      </c>
      <c r="H5804" s="1" t="str">
        <f>IF(Table2[[#This Row],[Description]]="","",VLOOKUP(Table2[[#This Row],[Description]],$Q$1:$S$101,3,FALSE))</f>
        <v/>
      </c>
      <c r="I5804" s="1" t="str">
        <f>IF(Table2[[#This Row],[Description]]="","",IF(Table2[[#This Row],[Currency]]=$O$2,$P$2,HLOOKUP(Table2[[#This Row],[Date]],Funds!$C$10:$GV$11,2,FALSE)))</f>
        <v/>
      </c>
      <c r="J5804" s="215" t="str">
        <f>IF(Table2[[#This Row],[Description]]="","",Table2[[#This Row],[Value]]/Table2[[#This Row],[Conversion]])</f>
        <v/>
      </c>
      <c r="K5804" s="45" t="str">
        <f>IF(Table2[[#This Row],[Description]]="","",DATE(Table2[[#This Row],[Year]],Table2[[#This Row],[Month]],1))</f>
        <v/>
      </c>
    </row>
    <row r="5805" spans="7:11" x14ac:dyDescent="0.25">
      <c r="G5805" s="1" t="str">
        <f>IF(Table2[[#This Row],[Description]]="","",VLOOKUP(Table2[[#This Row],[Description]],$Q$1:$S$101,2,FALSE))</f>
        <v/>
      </c>
      <c r="H5805" s="1" t="str">
        <f>IF(Table2[[#This Row],[Description]]="","",VLOOKUP(Table2[[#This Row],[Description]],$Q$1:$S$101,3,FALSE))</f>
        <v/>
      </c>
      <c r="I5805" s="1" t="str">
        <f>IF(Table2[[#This Row],[Description]]="","",IF(Table2[[#This Row],[Currency]]=$O$2,$P$2,HLOOKUP(Table2[[#This Row],[Date]],Funds!$C$10:$GV$11,2,FALSE)))</f>
        <v/>
      </c>
      <c r="J5805" s="215" t="str">
        <f>IF(Table2[[#This Row],[Description]]="","",Table2[[#This Row],[Value]]/Table2[[#This Row],[Conversion]])</f>
        <v/>
      </c>
      <c r="K5805" s="45" t="str">
        <f>IF(Table2[[#This Row],[Description]]="","",DATE(Table2[[#This Row],[Year]],Table2[[#This Row],[Month]],1))</f>
        <v/>
      </c>
    </row>
    <row r="5806" spans="7:11" x14ac:dyDescent="0.25">
      <c r="G5806" s="1" t="str">
        <f>IF(Table2[[#This Row],[Description]]="","",VLOOKUP(Table2[[#This Row],[Description]],$Q$1:$S$101,2,FALSE))</f>
        <v/>
      </c>
      <c r="H5806" s="1" t="str">
        <f>IF(Table2[[#This Row],[Description]]="","",VLOOKUP(Table2[[#This Row],[Description]],$Q$1:$S$101,3,FALSE))</f>
        <v/>
      </c>
      <c r="I5806" s="1" t="str">
        <f>IF(Table2[[#This Row],[Description]]="","",IF(Table2[[#This Row],[Currency]]=$O$2,$P$2,HLOOKUP(Table2[[#This Row],[Date]],Funds!$C$10:$GV$11,2,FALSE)))</f>
        <v/>
      </c>
      <c r="J5806" s="215" t="str">
        <f>IF(Table2[[#This Row],[Description]]="","",Table2[[#This Row],[Value]]/Table2[[#This Row],[Conversion]])</f>
        <v/>
      </c>
      <c r="K5806" s="45" t="str">
        <f>IF(Table2[[#This Row],[Description]]="","",DATE(Table2[[#This Row],[Year]],Table2[[#This Row],[Month]],1))</f>
        <v/>
      </c>
    </row>
    <row r="5807" spans="7:11" x14ac:dyDescent="0.25">
      <c r="G5807" s="1" t="str">
        <f>IF(Table2[[#This Row],[Description]]="","",VLOOKUP(Table2[[#This Row],[Description]],$Q$1:$S$101,2,FALSE))</f>
        <v/>
      </c>
      <c r="H5807" s="1" t="str">
        <f>IF(Table2[[#This Row],[Description]]="","",VLOOKUP(Table2[[#This Row],[Description]],$Q$1:$S$101,3,FALSE))</f>
        <v/>
      </c>
      <c r="I5807" s="1" t="str">
        <f>IF(Table2[[#This Row],[Description]]="","",IF(Table2[[#This Row],[Currency]]=$O$2,$P$2,HLOOKUP(Table2[[#This Row],[Date]],Funds!$C$10:$GV$11,2,FALSE)))</f>
        <v/>
      </c>
      <c r="J5807" s="215" t="str">
        <f>IF(Table2[[#This Row],[Description]]="","",Table2[[#This Row],[Value]]/Table2[[#This Row],[Conversion]])</f>
        <v/>
      </c>
      <c r="K5807" s="45" t="str">
        <f>IF(Table2[[#This Row],[Description]]="","",DATE(Table2[[#This Row],[Year]],Table2[[#This Row],[Month]],1))</f>
        <v/>
      </c>
    </row>
    <row r="5808" spans="7:11" x14ac:dyDescent="0.25">
      <c r="G5808" s="1" t="str">
        <f>IF(Table2[[#This Row],[Description]]="","",VLOOKUP(Table2[[#This Row],[Description]],$Q$1:$S$101,2,FALSE))</f>
        <v/>
      </c>
      <c r="H5808" s="1" t="str">
        <f>IF(Table2[[#This Row],[Description]]="","",VLOOKUP(Table2[[#This Row],[Description]],$Q$1:$S$101,3,FALSE))</f>
        <v/>
      </c>
      <c r="I5808" s="1" t="str">
        <f>IF(Table2[[#This Row],[Description]]="","",IF(Table2[[#This Row],[Currency]]=$O$2,$P$2,HLOOKUP(Table2[[#This Row],[Date]],Funds!$C$10:$GV$11,2,FALSE)))</f>
        <v/>
      </c>
      <c r="J5808" s="215" t="str">
        <f>IF(Table2[[#This Row],[Description]]="","",Table2[[#This Row],[Value]]/Table2[[#This Row],[Conversion]])</f>
        <v/>
      </c>
      <c r="K5808" s="45" t="str">
        <f>IF(Table2[[#This Row],[Description]]="","",DATE(Table2[[#This Row],[Year]],Table2[[#This Row],[Month]],1))</f>
        <v/>
      </c>
    </row>
    <row r="5809" spans="7:11" x14ac:dyDescent="0.25">
      <c r="G5809" s="1" t="str">
        <f>IF(Table2[[#This Row],[Description]]="","",VLOOKUP(Table2[[#This Row],[Description]],$Q$1:$S$101,2,FALSE))</f>
        <v/>
      </c>
      <c r="H5809" s="1" t="str">
        <f>IF(Table2[[#This Row],[Description]]="","",VLOOKUP(Table2[[#This Row],[Description]],$Q$1:$S$101,3,FALSE))</f>
        <v/>
      </c>
      <c r="I5809" s="1" t="str">
        <f>IF(Table2[[#This Row],[Description]]="","",IF(Table2[[#This Row],[Currency]]=$O$2,$P$2,HLOOKUP(Table2[[#This Row],[Date]],Funds!$C$10:$GV$11,2,FALSE)))</f>
        <v/>
      </c>
      <c r="J5809" s="215" t="str">
        <f>IF(Table2[[#This Row],[Description]]="","",Table2[[#This Row],[Value]]/Table2[[#This Row],[Conversion]])</f>
        <v/>
      </c>
      <c r="K5809" s="45" t="str">
        <f>IF(Table2[[#This Row],[Description]]="","",DATE(Table2[[#This Row],[Year]],Table2[[#This Row],[Month]],1))</f>
        <v/>
      </c>
    </row>
    <row r="5810" spans="7:11" x14ac:dyDescent="0.25">
      <c r="G5810" s="1" t="str">
        <f>IF(Table2[[#This Row],[Description]]="","",VLOOKUP(Table2[[#This Row],[Description]],$Q$1:$S$101,2,FALSE))</f>
        <v/>
      </c>
      <c r="H5810" s="1" t="str">
        <f>IF(Table2[[#This Row],[Description]]="","",VLOOKUP(Table2[[#This Row],[Description]],$Q$1:$S$101,3,FALSE))</f>
        <v/>
      </c>
      <c r="I5810" s="1" t="str">
        <f>IF(Table2[[#This Row],[Description]]="","",IF(Table2[[#This Row],[Currency]]=$O$2,$P$2,HLOOKUP(Table2[[#This Row],[Date]],Funds!$C$10:$GV$11,2,FALSE)))</f>
        <v/>
      </c>
      <c r="J5810" s="215" t="str">
        <f>IF(Table2[[#This Row],[Description]]="","",Table2[[#This Row],[Value]]/Table2[[#This Row],[Conversion]])</f>
        <v/>
      </c>
      <c r="K5810" s="45" t="str">
        <f>IF(Table2[[#This Row],[Description]]="","",DATE(Table2[[#This Row],[Year]],Table2[[#This Row],[Month]],1))</f>
        <v/>
      </c>
    </row>
    <row r="5811" spans="7:11" x14ac:dyDescent="0.25">
      <c r="G5811" s="1" t="str">
        <f>IF(Table2[[#This Row],[Description]]="","",VLOOKUP(Table2[[#This Row],[Description]],$Q$1:$S$101,2,FALSE))</f>
        <v/>
      </c>
      <c r="H5811" s="1" t="str">
        <f>IF(Table2[[#This Row],[Description]]="","",VLOOKUP(Table2[[#This Row],[Description]],$Q$1:$S$101,3,FALSE))</f>
        <v/>
      </c>
      <c r="I5811" s="1" t="str">
        <f>IF(Table2[[#This Row],[Description]]="","",IF(Table2[[#This Row],[Currency]]=$O$2,$P$2,HLOOKUP(Table2[[#This Row],[Date]],Funds!$C$10:$GV$11,2,FALSE)))</f>
        <v/>
      </c>
      <c r="J5811" s="215" t="str">
        <f>IF(Table2[[#This Row],[Description]]="","",Table2[[#This Row],[Value]]/Table2[[#This Row],[Conversion]])</f>
        <v/>
      </c>
      <c r="K5811" s="45" t="str">
        <f>IF(Table2[[#This Row],[Description]]="","",DATE(Table2[[#This Row],[Year]],Table2[[#This Row],[Month]],1))</f>
        <v/>
      </c>
    </row>
    <row r="5812" spans="7:11" x14ac:dyDescent="0.25">
      <c r="G5812" s="1" t="str">
        <f>IF(Table2[[#This Row],[Description]]="","",VLOOKUP(Table2[[#This Row],[Description]],$Q$1:$S$101,2,FALSE))</f>
        <v/>
      </c>
      <c r="H5812" s="1" t="str">
        <f>IF(Table2[[#This Row],[Description]]="","",VLOOKUP(Table2[[#This Row],[Description]],$Q$1:$S$101,3,FALSE))</f>
        <v/>
      </c>
      <c r="I5812" s="1" t="str">
        <f>IF(Table2[[#This Row],[Description]]="","",IF(Table2[[#This Row],[Currency]]=$O$2,$P$2,HLOOKUP(Table2[[#This Row],[Date]],Funds!$C$10:$GV$11,2,FALSE)))</f>
        <v/>
      </c>
      <c r="J5812" s="215" t="str">
        <f>IF(Table2[[#This Row],[Description]]="","",Table2[[#This Row],[Value]]/Table2[[#This Row],[Conversion]])</f>
        <v/>
      </c>
      <c r="K5812" s="45" t="str">
        <f>IF(Table2[[#This Row],[Description]]="","",DATE(Table2[[#This Row],[Year]],Table2[[#This Row],[Month]],1))</f>
        <v/>
      </c>
    </row>
    <row r="5813" spans="7:11" x14ac:dyDescent="0.25">
      <c r="G5813" s="1" t="str">
        <f>IF(Table2[[#This Row],[Description]]="","",VLOOKUP(Table2[[#This Row],[Description]],$Q$1:$S$101,2,FALSE))</f>
        <v/>
      </c>
      <c r="H5813" s="1" t="str">
        <f>IF(Table2[[#This Row],[Description]]="","",VLOOKUP(Table2[[#This Row],[Description]],$Q$1:$S$101,3,FALSE))</f>
        <v/>
      </c>
      <c r="I5813" s="1" t="str">
        <f>IF(Table2[[#This Row],[Description]]="","",IF(Table2[[#This Row],[Currency]]=$O$2,$P$2,HLOOKUP(Table2[[#This Row],[Date]],Funds!$C$10:$GV$11,2,FALSE)))</f>
        <v/>
      </c>
      <c r="J5813" s="215" t="str">
        <f>IF(Table2[[#This Row],[Description]]="","",Table2[[#This Row],[Value]]/Table2[[#This Row],[Conversion]])</f>
        <v/>
      </c>
      <c r="K5813" s="45" t="str">
        <f>IF(Table2[[#This Row],[Description]]="","",DATE(Table2[[#This Row],[Year]],Table2[[#This Row],[Month]],1))</f>
        <v/>
      </c>
    </row>
    <row r="5814" spans="7:11" x14ac:dyDescent="0.25">
      <c r="G5814" s="1" t="str">
        <f>IF(Table2[[#This Row],[Description]]="","",VLOOKUP(Table2[[#This Row],[Description]],$Q$1:$S$101,2,FALSE))</f>
        <v/>
      </c>
      <c r="H5814" s="1" t="str">
        <f>IF(Table2[[#This Row],[Description]]="","",VLOOKUP(Table2[[#This Row],[Description]],$Q$1:$S$101,3,FALSE))</f>
        <v/>
      </c>
      <c r="I5814" s="1" t="str">
        <f>IF(Table2[[#This Row],[Description]]="","",IF(Table2[[#This Row],[Currency]]=$O$2,$P$2,HLOOKUP(Table2[[#This Row],[Date]],Funds!$C$10:$GV$11,2,FALSE)))</f>
        <v/>
      </c>
      <c r="J5814" s="215" t="str">
        <f>IF(Table2[[#This Row],[Description]]="","",Table2[[#This Row],[Value]]/Table2[[#This Row],[Conversion]])</f>
        <v/>
      </c>
      <c r="K5814" s="45" t="str">
        <f>IF(Table2[[#This Row],[Description]]="","",DATE(Table2[[#This Row],[Year]],Table2[[#This Row],[Month]],1))</f>
        <v/>
      </c>
    </row>
    <row r="5815" spans="7:11" x14ac:dyDescent="0.25">
      <c r="G5815" s="1" t="str">
        <f>IF(Table2[[#This Row],[Description]]="","",VLOOKUP(Table2[[#This Row],[Description]],$Q$1:$S$101,2,FALSE))</f>
        <v/>
      </c>
      <c r="H5815" s="1" t="str">
        <f>IF(Table2[[#This Row],[Description]]="","",VLOOKUP(Table2[[#This Row],[Description]],$Q$1:$S$101,3,FALSE))</f>
        <v/>
      </c>
      <c r="I5815" s="1" t="str">
        <f>IF(Table2[[#This Row],[Description]]="","",IF(Table2[[#This Row],[Currency]]=$O$2,$P$2,HLOOKUP(Table2[[#This Row],[Date]],Funds!$C$10:$GV$11,2,FALSE)))</f>
        <v/>
      </c>
      <c r="J5815" s="215" t="str">
        <f>IF(Table2[[#This Row],[Description]]="","",Table2[[#This Row],[Value]]/Table2[[#This Row],[Conversion]])</f>
        <v/>
      </c>
      <c r="K5815" s="45" t="str">
        <f>IF(Table2[[#This Row],[Description]]="","",DATE(Table2[[#This Row],[Year]],Table2[[#This Row],[Month]],1))</f>
        <v/>
      </c>
    </row>
    <row r="5816" spans="7:11" x14ac:dyDescent="0.25">
      <c r="G5816" s="1" t="str">
        <f>IF(Table2[[#This Row],[Description]]="","",VLOOKUP(Table2[[#This Row],[Description]],$Q$1:$S$101,2,FALSE))</f>
        <v/>
      </c>
      <c r="H5816" s="1" t="str">
        <f>IF(Table2[[#This Row],[Description]]="","",VLOOKUP(Table2[[#This Row],[Description]],$Q$1:$S$101,3,FALSE))</f>
        <v/>
      </c>
      <c r="I5816" s="1" t="str">
        <f>IF(Table2[[#This Row],[Description]]="","",IF(Table2[[#This Row],[Currency]]=$O$2,$P$2,HLOOKUP(Table2[[#This Row],[Date]],Funds!$C$10:$GV$11,2,FALSE)))</f>
        <v/>
      </c>
      <c r="J5816" s="215" t="str">
        <f>IF(Table2[[#This Row],[Description]]="","",Table2[[#This Row],[Value]]/Table2[[#This Row],[Conversion]])</f>
        <v/>
      </c>
      <c r="K5816" s="45" t="str">
        <f>IF(Table2[[#This Row],[Description]]="","",DATE(Table2[[#This Row],[Year]],Table2[[#This Row],[Month]],1))</f>
        <v/>
      </c>
    </row>
    <row r="5817" spans="7:11" x14ac:dyDescent="0.25">
      <c r="G5817" s="1" t="str">
        <f>IF(Table2[[#This Row],[Description]]="","",VLOOKUP(Table2[[#This Row],[Description]],$Q$1:$S$101,2,FALSE))</f>
        <v/>
      </c>
      <c r="H5817" s="1" t="str">
        <f>IF(Table2[[#This Row],[Description]]="","",VLOOKUP(Table2[[#This Row],[Description]],$Q$1:$S$101,3,FALSE))</f>
        <v/>
      </c>
      <c r="I5817" s="1" t="str">
        <f>IF(Table2[[#This Row],[Description]]="","",IF(Table2[[#This Row],[Currency]]=$O$2,$P$2,HLOOKUP(Table2[[#This Row],[Date]],Funds!$C$10:$GV$11,2,FALSE)))</f>
        <v/>
      </c>
      <c r="J5817" s="215" t="str">
        <f>IF(Table2[[#This Row],[Description]]="","",Table2[[#This Row],[Value]]/Table2[[#This Row],[Conversion]])</f>
        <v/>
      </c>
      <c r="K5817" s="45" t="str">
        <f>IF(Table2[[#This Row],[Description]]="","",DATE(Table2[[#This Row],[Year]],Table2[[#This Row],[Month]],1))</f>
        <v/>
      </c>
    </row>
    <row r="5818" spans="7:11" x14ac:dyDescent="0.25">
      <c r="G5818" s="1" t="str">
        <f>IF(Table2[[#This Row],[Description]]="","",VLOOKUP(Table2[[#This Row],[Description]],$Q$1:$S$101,2,FALSE))</f>
        <v/>
      </c>
      <c r="H5818" s="1" t="str">
        <f>IF(Table2[[#This Row],[Description]]="","",VLOOKUP(Table2[[#This Row],[Description]],$Q$1:$S$101,3,FALSE))</f>
        <v/>
      </c>
      <c r="I5818" s="1" t="str">
        <f>IF(Table2[[#This Row],[Description]]="","",IF(Table2[[#This Row],[Currency]]=$O$2,$P$2,HLOOKUP(Table2[[#This Row],[Date]],Funds!$C$10:$GV$11,2,FALSE)))</f>
        <v/>
      </c>
      <c r="J5818" s="215" t="str">
        <f>IF(Table2[[#This Row],[Description]]="","",Table2[[#This Row],[Value]]/Table2[[#This Row],[Conversion]])</f>
        <v/>
      </c>
      <c r="K5818" s="45" t="str">
        <f>IF(Table2[[#This Row],[Description]]="","",DATE(Table2[[#This Row],[Year]],Table2[[#This Row],[Month]],1))</f>
        <v/>
      </c>
    </row>
    <row r="5819" spans="7:11" x14ac:dyDescent="0.25">
      <c r="G5819" s="1" t="str">
        <f>IF(Table2[[#This Row],[Description]]="","",VLOOKUP(Table2[[#This Row],[Description]],$Q$1:$S$101,2,FALSE))</f>
        <v/>
      </c>
      <c r="H5819" s="1" t="str">
        <f>IF(Table2[[#This Row],[Description]]="","",VLOOKUP(Table2[[#This Row],[Description]],$Q$1:$S$101,3,FALSE))</f>
        <v/>
      </c>
      <c r="I5819" s="1" t="str">
        <f>IF(Table2[[#This Row],[Description]]="","",IF(Table2[[#This Row],[Currency]]=$O$2,$P$2,HLOOKUP(Table2[[#This Row],[Date]],Funds!$C$10:$GV$11,2,FALSE)))</f>
        <v/>
      </c>
      <c r="J5819" s="215" t="str">
        <f>IF(Table2[[#This Row],[Description]]="","",Table2[[#This Row],[Value]]/Table2[[#This Row],[Conversion]])</f>
        <v/>
      </c>
      <c r="K5819" s="45" t="str">
        <f>IF(Table2[[#This Row],[Description]]="","",DATE(Table2[[#This Row],[Year]],Table2[[#This Row],[Month]],1))</f>
        <v/>
      </c>
    </row>
    <row r="5820" spans="7:11" x14ac:dyDescent="0.25">
      <c r="G5820" s="1" t="str">
        <f>IF(Table2[[#This Row],[Description]]="","",VLOOKUP(Table2[[#This Row],[Description]],$Q$1:$S$101,2,FALSE))</f>
        <v/>
      </c>
      <c r="H5820" s="1" t="str">
        <f>IF(Table2[[#This Row],[Description]]="","",VLOOKUP(Table2[[#This Row],[Description]],$Q$1:$S$101,3,FALSE))</f>
        <v/>
      </c>
      <c r="I5820" s="1" t="str">
        <f>IF(Table2[[#This Row],[Description]]="","",IF(Table2[[#This Row],[Currency]]=$O$2,$P$2,HLOOKUP(Table2[[#This Row],[Date]],Funds!$C$10:$GV$11,2,FALSE)))</f>
        <v/>
      </c>
      <c r="J5820" s="215" t="str">
        <f>IF(Table2[[#This Row],[Description]]="","",Table2[[#This Row],[Value]]/Table2[[#This Row],[Conversion]])</f>
        <v/>
      </c>
      <c r="K5820" s="45" t="str">
        <f>IF(Table2[[#This Row],[Description]]="","",DATE(Table2[[#This Row],[Year]],Table2[[#This Row],[Month]],1))</f>
        <v/>
      </c>
    </row>
    <row r="5821" spans="7:11" x14ac:dyDescent="0.25">
      <c r="G5821" s="1" t="str">
        <f>IF(Table2[[#This Row],[Description]]="","",VLOOKUP(Table2[[#This Row],[Description]],$Q$1:$S$101,2,FALSE))</f>
        <v/>
      </c>
      <c r="H5821" s="1" t="str">
        <f>IF(Table2[[#This Row],[Description]]="","",VLOOKUP(Table2[[#This Row],[Description]],$Q$1:$S$101,3,FALSE))</f>
        <v/>
      </c>
      <c r="I5821" s="1" t="str">
        <f>IF(Table2[[#This Row],[Description]]="","",IF(Table2[[#This Row],[Currency]]=$O$2,$P$2,HLOOKUP(Table2[[#This Row],[Date]],Funds!$C$10:$GV$11,2,FALSE)))</f>
        <v/>
      </c>
      <c r="J5821" s="215" t="str">
        <f>IF(Table2[[#This Row],[Description]]="","",Table2[[#This Row],[Value]]/Table2[[#This Row],[Conversion]])</f>
        <v/>
      </c>
      <c r="K5821" s="45" t="str">
        <f>IF(Table2[[#This Row],[Description]]="","",DATE(Table2[[#This Row],[Year]],Table2[[#This Row],[Month]],1))</f>
        <v/>
      </c>
    </row>
    <row r="5822" spans="7:11" x14ac:dyDescent="0.25">
      <c r="G5822" s="1" t="str">
        <f>IF(Table2[[#This Row],[Description]]="","",VLOOKUP(Table2[[#This Row],[Description]],$Q$1:$S$101,2,FALSE))</f>
        <v/>
      </c>
      <c r="H5822" s="1" t="str">
        <f>IF(Table2[[#This Row],[Description]]="","",VLOOKUP(Table2[[#This Row],[Description]],$Q$1:$S$101,3,FALSE))</f>
        <v/>
      </c>
      <c r="I5822" s="1" t="str">
        <f>IF(Table2[[#This Row],[Description]]="","",IF(Table2[[#This Row],[Currency]]=$O$2,$P$2,HLOOKUP(Table2[[#This Row],[Date]],Funds!$C$10:$GV$11,2,FALSE)))</f>
        <v/>
      </c>
      <c r="J5822" s="215" t="str">
        <f>IF(Table2[[#This Row],[Description]]="","",Table2[[#This Row],[Value]]/Table2[[#This Row],[Conversion]])</f>
        <v/>
      </c>
      <c r="K5822" s="45" t="str">
        <f>IF(Table2[[#This Row],[Description]]="","",DATE(Table2[[#This Row],[Year]],Table2[[#This Row],[Month]],1))</f>
        <v/>
      </c>
    </row>
    <row r="5823" spans="7:11" x14ac:dyDescent="0.25">
      <c r="G5823" s="1" t="str">
        <f>IF(Table2[[#This Row],[Description]]="","",VLOOKUP(Table2[[#This Row],[Description]],$Q$1:$S$101,2,FALSE))</f>
        <v/>
      </c>
      <c r="H5823" s="1" t="str">
        <f>IF(Table2[[#This Row],[Description]]="","",VLOOKUP(Table2[[#This Row],[Description]],$Q$1:$S$101,3,FALSE))</f>
        <v/>
      </c>
      <c r="I5823" s="1" t="str">
        <f>IF(Table2[[#This Row],[Description]]="","",IF(Table2[[#This Row],[Currency]]=$O$2,$P$2,HLOOKUP(Table2[[#This Row],[Date]],Funds!$C$10:$GV$11,2,FALSE)))</f>
        <v/>
      </c>
      <c r="J5823" s="215" t="str">
        <f>IF(Table2[[#This Row],[Description]]="","",Table2[[#This Row],[Value]]/Table2[[#This Row],[Conversion]])</f>
        <v/>
      </c>
      <c r="K5823" s="45" t="str">
        <f>IF(Table2[[#This Row],[Description]]="","",DATE(Table2[[#This Row],[Year]],Table2[[#This Row],[Month]],1))</f>
        <v/>
      </c>
    </row>
    <row r="5824" spans="7:11" x14ac:dyDescent="0.25">
      <c r="G5824" s="1" t="str">
        <f>IF(Table2[[#This Row],[Description]]="","",VLOOKUP(Table2[[#This Row],[Description]],$Q$1:$S$101,2,FALSE))</f>
        <v/>
      </c>
      <c r="H5824" s="1" t="str">
        <f>IF(Table2[[#This Row],[Description]]="","",VLOOKUP(Table2[[#This Row],[Description]],$Q$1:$S$101,3,FALSE))</f>
        <v/>
      </c>
      <c r="I5824" s="1" t="str">
        <f>IF(Table2[[#This Row],[Description]]="","",IF(Table2[[#This Row],[Currency]]=$O$2,$P$2,HLOOKUP(Table2[[#This Row],[Date]],Funds!$C$10:$GV$11,2,FALSE)))</f>
        <v/>
      </c>
      <c r="J5824" s="215" t="str">
        <f>IF(Table2[[#This Row],[Description]]="","",Table2[[#This Row],[Value]]/Table2[[#This Row],[Conversion]])</f>
        <v/>
      </c>
      <c r="K5824" s="45" t="str">
        <f>IF(Table2[[#This Row],[Description]]="","",DATE(Table2[[#This Row],[Year]],Table2[[#This Row],[Month]],1))</f>
        <v/>
      </c>
    </row>
    <row r="5825" spans="7:11" x14ac:dyDescent="0.25">
      <c r="G5825" s="1" t="str">
        <f>IF(Table2[[#This Row],[Description]]="","",VLOOKUP(Table2[[#This Row],[Description]],$Q$1:$S$101,2,FALSE))</f>
        <v/>
      </c>
      <c r="H5825" s="1" t="str">
        <f>IF(Table2[[#This Row],[Description]]="","",VLOOKUP(Table2[[#This Row],[Description]],$Q$1:$S$101,3,FALSE))</f>
        <v/>
      </c>
      <c r="I5825" s="1" t="str">
        <f>IF(Table2[[#This Row],[Description]]="","",IF(Table2[[#This Row],[Currency]]=$O$2,$P$2,HLOOKUP(Table2[[#This Row],[Date]],Funds!$C$10:$GV$11,2,FALSE)))</f>
        <v/>
      </c>
      <c r="J5825" s="215" t="str">
        <f>IF(Table2[[#This Row],[Description]]="","",Table2[[#This Row],[Value]]/Table2[[#This Row],[Conversion]])</f>
        <v/>
      </c>
      <c r="K5825" s="45" t="str">
        <f>IF(Table2[[#This Row],[Description]]="","",DATE(Table2[[#This Row],[Year]],Table2[[#This Row],[Month]],1))</f>
        <v/>
      </c>
    </row>
    <row r="5826" spans="7:11" x14ac:dyDescent="0.25">
      <c r="G5826" s="1" t="str">
        <f>IF(Table2[[#This Row],[Description]]="","",VLOOKUP(Table2[[#This Row],[Description]],$Q$1:$S$101,2,FALSE))</f>
        <v/>
      </c>
      <c r="H5826" s="1" t="str">
        <f>IF(Table2[[#This Row],[Description]]="","",VLOOKUP(Table2[[#This Row],[Description]],$Q$1:$S$101,3,FALSE))</f>
        <v/>
      </c>
      <c r="I5826" s="1" t="str">
        <f>IF(Table2[[#This Row],[Description]]="","",IF(Table2[[#This Row],[Currency]]=$O$2,$P$2,HLOOKUP(Table2[[#This Row],[Date]],Funds!$C$10:$GV$11,2,FALSE)))</f>
        <v/>
      </c>
      <c r="J5826" s="215" t="str">
        <f>IF(Table2[[#This Row],[Description]]="","",Table2[[#This Row],[Value]]/Table2[[#This Row],[Conversion]])</f>
        <v/>
      </c>
      <c r="K5826" s="45" t="str">
        <f>IF(Table2[[#This Row],[Description]]="","",DATE(Table2[[#This Row],[Year]],Table2[[#This Row],[Month]],1))</f>
        <v/>
      </c>
    </row>
    <row r="5827" spans="7:11" x14ac:dyDescent="0.25">
      <c r="G5827" s="1" t="str">
        <f>IF(Table2[[#This Row],[Description]]="","",VLOOKUP(Table2[[#This Row],[Description]],$Q$1:$S$101,2,FALSE))</f>
        <v/>
      </c>
      <c r="H5827" s="1" t="str">
        <f>IF(Table2[[#This Row],[Description]]="","",VLOOKUP(Table2[[#This Row],[Description]],$Q$1:$S$101,3,FALSE))</f>
        <v/>
      </c>
      <c r="I5827" s="1" t="str">
        <f>IF(Table2[[#This Row],[Description]]="","",IF(Table2[[#This Row],[Currency]]=$O$2,$P$2,HLOOKUP(Table2[[#This Row],[Date]],Funds!$C$10:$GV$11,2,FALSE)))</f>
        <v/>
      </c>
      <c r="J5827" s="215" t="str">
        <f>IF(Table2[[#This Row],[Description]]="","",Table2[[#This Row],[Value]]/Table2[[#This Row],[Conversion]])</f>
        <v/>
      </c>
      <c r="K5827" s="45" t="str">
        <f>IF(Table2[[#This Row],[Description]]="","",DATE(Table2[[#This Row],[Year]],Table2[[#This Row],[Month]],1))</f>
        <v/>
      </c>
    </row>
    <row r="5828" spans="7:11" x14ac:dyDescent="0.25">
      <c r="G5828" s="1" t="str">
        <f>IF(Table2[[#This Row],[Description]]="","",VLOOKUP(Table2[[#This Row],[Description]],$Q$1:$S$101,2,FALSE))</f>
        <v/>
      </c>
      <c r="H5828" s="1" t="str">
        <f>IF(Table2[[#This Row],[Description]]="","",VLOOKUP(Table2[[#This Row],[Description]],$Q$1:$S$101,3,FALSE))</f>
        <v/>
      </c>
      <c r="I5828" s="1" t="str">
        <f>IF(Table2[[#This Row],[Description]]="","",IF(Table2[[#This Row],[Currency]]=$O$2,$P$2,HLOOKUP(Table2[[#This Row],[Date]],Funds!$C$10:$GV$11,2,FALSE)))</f>
        <v/>
      </c>
      <c r="J5828" s="215" t="str">
        <f>IF(Table2[[#This Row],[Description]]="","",Table2[[#This Row],[Value]]/Table2[[#This Row],[Conversion]])</f>
        <v/>
      </c>
      <c r="K5828" s="45" t="str">
        <f>IF(Table2[[#This Row],[Description]]="","",DATE(Table2[[#This Row],[Year]],Table2[[#This Row],[Month]],1))</f>
        <v/>
      </c>
    </row>
    <row r="5829" spans="7:11" x14ac:dyDescent="0.25">
      <c r="G5829" s="1" t="str">
        <f>IF(Table2[[#This Row],[Description]]="","",VLOOKUP(Table2[[#This Row],[Description]],$Q$1:$S$101,2,FALSE))</f>
        <v/>
      </c>
      <c r="H5829" s="1" t="str">
        <f>IF(Table2[[#This Row],[Description]]="","",VLOOKUP(Table2[[#This Row],[Description]],$Q$1:$S$101,3,FALSE))</f>
        <v/>
      </c>
      <c r="I5829" s="1" t="str">
        <f>IF(Table2[[#This Row],[Description]]="","",IF(Table2[[#This Row],[Currency]]=$O$2,$P$2,HLOOKUP(Table2[[#This Row],[Date]],Funds!$C$10:$GV$11,2,FALSE)))</f>
        <v/>
      </c>
      <c r="J5829" s="215" t="str">
        <f>IF(Table2[[#This Row],[Description]]="","",Table2[[#This Row],[Value]]/Table2[[#This Row],[Conversion]])</f>
        <v/>
      </c>
      <c r="K5829" s="45" t="str">
        <f>IF(Table2[[#This Row],[Description]]="","",DATE(Table2[[#This Row],[Year]],Table2[[#This Row],[Month]],1))</f>
        <v/>
      </c>
    </row>
    <row r="5830" spans="7:11" x14ac:dyDescent="0.25">
      <c r="G5830" s="1" t="str">
        <f>IF(Table2[[#This Row],[Description]]="","",VLOOKUP(Table2[[#This Row],[Description]],$Q$1:$S$101,2,FALSE))</f>
        <v/>
      </c>
      <c r="H5830" s="1" t="str">
        <f>IF(Table2[[#This Row],[Description]]="","",VLOOKUP(Table2[[#This Row],[Description]],$Q$1:$S$101,3,FALSE))</f>
        <v/>
      </c>
      <c r="I5830" s="1" t="str">
        <f>IF(Table2[[#This Row],[Description]]="","",IF(Table2[[#This Row],[Currency]]=$O$2,$P$2,HLOOKUP(Table2[[#This Row],[Date]],Funds!$C$10:$GV$11,2,FALSE)))</f>
        <v/>
      </c>
      <c r="J5830" s="215" t="str">
        <f>IF(Table2[[#This Row],[Description]]="","",Table2[[#This Row],[Value]]/Table2[[#This Row],[Conversion]])</f>
        <v/>
      </c>
      <c r="K5830" s="45" t="str">
        <f>IF(Table2[[#This Row],[Description]]="","",DATE(Table2[[#This Row],[Year]],Table2[[#This Row],[Month]],1))</f>
        <v/>
      </c>
    </row>
    <row r="5831" spans="7:11" x14ac:dyDescent="0.25">
      <c r="G5831" s="1" t="str">
        <f>IF(Table2[[#This Row],[Description]]="","",VLOOKUP(Table2[[#This Row],[Description]],$Q$1:$S$101,2,FALSE))</f>
        <v/>
      </c>
      <c r="H5831" s="1" t="str">
        <f>IF(Table2[[#This Row],[Description]]="","",VLOOKUP(Table2[[#This Row],[Description]],$Q$1:$S$101,3,FALSE))</f>
        <v/>
      </c>
      <c r="I5831" s="1" t="str">
        <f>IF(Table2[[#This Row],[Description]]="","",IF(Table2[[#This Row],[Currency]]=$O$2,$P$2,HLOOKUP(Table2[[#This Row],[Date]],Funds!$C$10:$GV$11,2,FALSE)))</f>
        <v/>
      </c>
      <c r="J5831" s="215" t="str">
        <f>IF(Table2[[#This Row],[Description]]="","",Table2[[#This Row],[Value]]/Table2[[#This Row],[Conversion]])</f>
        <v/>
      </c>
      <c r="K5831" s="45" t="str">
        <f>IF(Table2[[#This Row],[Description]]="","",DATE(Table2[[#This Row],[Year]],Table2[[#This Row],[Month]],1))</f>
        <v/>
      </c>
    </row>
    <row r="5832" spans="7:11" x14ac:dyDescent="0.25">
      <c r="G5832" s="1" t="str">
        <f>IF(Table2[[#This Row],[Description]]="","",VLOOKUP(Table2[[#This Row],[Description]],$Q$1:$S$101,2,FALSE))</f>
        <v/>
      </c>
      <c r="H5832" s="1" t="str">
        <f>IF(Table2[[#This Row],[Description]]="","",VLOOKUP(Table2[[#This Row],[Description]],$Q$1:$S$101,3,FALSE))</f>
        <v/>
      </c>
      <c r="I5832" s="1" t="str">
        <f>IF(Table2[[#This Row],[Description]]="","",IF(Table2[[#This Row],[Currency]]=$O$2,$P$2,HLOOKUP(Table2[[#This Row],[Date]],Funds!$C$10:$GV$11,2,FALSE)))</f>
        <v/>
      </c>
      <c r="J5832" s="215" t="str">
        <f>IF(Table2[[#This Row],[Description]]="","",Table2[[#This Row],[Value]]/Table2[[#This Row],[Conversion]])</f>
        <v/>
      </c>
      <c r="K5832" s="45" t="str">
        <f>IF(Table2[[#This Row],[Description]]="","",DATE(Table2[[#This Row],[Year]],Table2[[#This Row],[Month]],1))</f>
        <v/>
      </c>
    </row>
    <row r="5833" spans="7:11" x14ac:dyDescent="0.25">
      <c r="G5833" s="1" t="str">
        <f>IF(Table2[[#This Row],[Description]]="","",VLOOKUP(Table2[[#This Row],[Description]],$Q$1:$S$101,2,FALSE))</f>
        <v/>
      </c>
      <c r="H5833" s="1" t="str">
        <f>IF(Table2[[#This Row],[Description]]="","",VLOOKUP(Table2[[#This Row],[Description]],$Q$1:$S$101,3,FALSE))</f>
        <v/>
      </c>
      <c r="I5833" s="1" t="str">
        <f>IF(Table2[[#This Row],[Description]]="","",IF(Table2[[#This Row],[Currency]]=$O$2,$P$2,HLOOKUP(Table2[[#This Row],[Date]],Funds!$C$10:$GV$11,2,FALSE)))</f>
        <v/>
      </c>
      <c r="J5833" s="215" t="str">
        <f>IF(Table2[[#This Row],[Description]]="","",Table2[[#This Row],[Value]]/Table2[[#This Row],[Conversion]])</f>
        <v/>
      </c>
      <c r="K5833" s="45" t="str">
        <f>IF(Table2[[#This Row],[Description]]="","",DATE(Table2[[#This Row],[Year]],Table2[[#This Row],[Month]],1))</f>
        <v/>
      </c>
    </row>
    <row r="5834" spans="7:11" x14ac:dyDescent="0.25">
      <c r="G5834" s="1" t="str">
        <f>IF(Table2[[#This Row],[Description]]="","",VLOOKUP(Table2[[#This Row],[Description]],$Q$1:$S$101,2,FALSE))</f>
        <v/>
      </c>
      <c r="H5834" s="1" t="str">
        <f>IF(Table2[[#This Row],[Description]]="","",VLOOKUP(Table2[[#This Row],[Description]],$Q$1:$S$101,3,FALSE))</f>
        <v/>
      </c>
      <c r="I5834" s="1" t="str">
        <f>IF(Table2[[#This Row],[Description]]="","",IF(Table2[[#This Row],[Currency]]=$O$2,$P$2,HLOOKUP(Table2[[#This Row],[Date]],Funds!$C$10:$GV$11,2,FALSE)))</f>
        <v/>
      </c>
      <c r="J5834" s="215" t="str">
        <f>IF(Table2[[#This Row],[Description]]="","",Table2[[#This Row],[Value]]/Table2[[#This Row],[Conversion]])</f>
        <v/>
      </c>
      <c r="K5834" s="45" t="str">
        <f>IF(Table2[[#This Row],[Description]]="","",DATE(Table2[[#This Row],[Year]],Table2[[#This Row],[Month]],1))</f>
        <v/>
      </c>
    </row>
    <row r="5835" spans="7:11" x14ac:dyDescent="0.25">
      <c r="G5835" s="1" t="str">
        <f>IF(Table2[[#This Row],[Description]]="","",VLOOKUP(Table2[[#This Row],[Description]],$Q$1:$S$101,2,FALSE))</f>
        <v/>
      </c>
      <c r="H5835" s="1" t="str">
        <f>IF(Table2[[#This Row],[Description]]="","",VLOOKUP(Table2[[#This Row],[Description]],$Q$1:$S$101,3,FALSE))</f>
        <v/>
      </c>
      <c r="I5835" s="1" t="str">
        <f>IF(Table2[[#This Row],[Description]]="","",IF(Table2[[#This Row],[Currency]]=$O$2,$P$2,HLOOKUP(Table2[[#This Row],[Date]],Funds!$C$10:$GV$11,2,FALSE)))</f>
        <v/>
      </c>
      <c r="J5835" s="215" t="str">
        <f>IF(Table2[[#This Row],[Description]]="","",Table2[[#This Row],[Value]]/Table2[[#This Row],[Conversion]])</f>
        <v/>
      </c>
      <c r="K5835" s="45" t="str">
        <f>IF(Table2[[#This Row],[Description]]="","",DATE(Table2[[#This Row],[Year]],Table2[[#This Row],[Month]],1))</f>
        <v/>
      </c>
    </row>
    <row r="5836" spans="7:11" x14ac:dyDescent="0.25">
      <c r="G5836" s="1" t="str">
        <f>IF(Table2[[#This Row],[Description]]="","",VLOOKUP(Table2[[#This Row],[Description]],$Q$1:$S$101,2,FALSE))</f>
        <v/>
      </c>
      <c r="H5836" s="1" t="str">
        <f>IF(Table2[[#This Row],[Description]]="","",VLOOKUP(Table2[[#This Row],[Description]],$Q$1:$S$101,3,FALSE))</f>
        <v/>
      </c>
      <c r="I5836" s="1" t="str">
        <f>IF(Table2[[#This Row],[Description]]="","",IF(Table2[[#This Row],[Currency]]=$O$2,$P$2,HLOOKUP(Table2[[#This Row],[Date]],Funds!$C$10:$GV$11,2,FALSE)))</f>
        <v/>
      </c>
      <c r="J5836" s="215" t="str">
        <f>IF(Table2[[#This Row],[Description]]="","",Table2[[#This Row],[Value]]/Table2[[#This Row],[Conversion]])</f>
        <v/>
      </c>
      <c r="K5836" s="45" t="str">
        <f>IF(Table2[[#This Row],[Description]]="","",DATE(Table2[[#This Row],[Year]],Table2[[#This Row],[Month]],1))</f>
        <v/>
      </c>
    </row>
    <row r="5837" spans="7:11" x14ac:dyDescent="0.25">
      <c r="G5837" s="1" t="str">
        <f>IF(Table2[[#This Row],[Description]]="","",VLOOKUP(Table2[[#This Row],[Description]],$Q$1:$S$101,2,FALSE))</f>
        <v/>
      </c>
      <c r="H5837" s="1" t="str">
        <f>IF(Table2[[#This Row],[Description]]="","",VLOOKUP(Table2[[#This Row],[Description]],$Q$1:$S$101,3,FALSE))</f>
        <v/>
      </c>
      <c r="I5837" s="1" t="str">
        <f>IF(Table2[[#This Row],[Description]]="","",IF(Table2[[#This Row],[Currency]]=$O$2,$P$2,HLOOKUP(Table2[[#This Row],[Date]],Funds!$C$10:$GV$11,2,FALSE)))</f>
        <v/>
      </c>
      <c r="J5837" s="215" t="str">
        <f>IF(Table2[[#This Row],[Description]]="","",Table2[[#This Row],[Value]]/Table2[[#This Row],[Conversion]])</f>
        <v/>
      </c>
      <c r="K5837" s="45" t="str">
        <f>IF(Table2[[#This Row],[Description]]="","",DATE(Table2[[#This Row],[Year]],Table2[[#This Row],[Month]],1))</f>
        <v/>
      </c>
    </row>
    <row r="5838" spans="7:11" x14ac:dyDescent="0.25">
      <c r="G5838" s="1" t="str">
        <f>IF(Table2[[#This Row],[Description]]="","",VLOOKUP(Table2[[#This Row],[Description]],$Q$1:$S$101,2,FALSE))</f>
        <v/>
      </c>
      <c r="H5838" s="1" t="str">
        <f>IF(Table2[[#This Row],[Description]]="","",VLOOKUP(Table2[[#This Row],[Description]],$Q$1:$S$101,3,FALSE))</f>
        <v/>
      </c>
      <c r="I5838" s="1" t="str">
        <f>IF(Table2[[#This Row],[Description]]="","",IF(Table2[[#This Row],[Currency]]=$O$2,$P$2,HLOOKUP(Table2[[#This Row],[Date]],Funds!$C$10:$GV$11,2,FALSE)))</f>
        <v/>
      </c>
      <c r="J5838" s="215" t="str">
        <f>IF(Table2[[#This Row],[Description]]="","",Table2[[#This Row],[Value]]/Table2[[#This Row],[Conversion]])</f>
        <v/>
      </c>
      <c r="K5838" s="45" t="str">
        <f>IF(Table2[[#This Row],[Description]]="","",DATE(Table2[[#This Row],[Year]],Table2[[#This Row],[Month]],1))</f>
        <v/>
      </c>
    </row>
    <row r="5839" spans="7:11" x14ac:dyDescent="0.25">
      <c r="G5839" s="1" t="str">
        <f>IF(Table2[[#This Row],[Description]]="","",VLOOKUP(Table2[[#This Row],[Description]],$Q$1:$S$101,2,FALSE))</f>
        <v/>
      </c>
      <c r="H5839" s="1" t="str">
        <f>IF(Table2[[#This Row],[Description]]="","",VLOOKUP(Table2[[#This Row],[Description]],$Q$1:$S$101,3,FALSE))</f>
        <v/>
      </c>
      <c r="I5839" s="1" t="str">
        <f>IF(Table2[[#This Row],[Description]]="","",IF(Table2[[#This Row],[Currency]]=$O$2,$P$2,HLOOKUP(Table2[[#This Row],[Date]],Funds!$C$10:$GV$11,2,FALSE)))</f>
        <v/>
      </c>
      <c r="J5839" s="215" t="str">
        <f>IF(Table2[[#This Row],[Description]]="","",Table2[[#This Row],[Value]]/Table2[[#This Row],[Conversion]])</f>
        <v/>
      </c>
      <c r="K5839" s="45" t="str">
        <f>IF(Table2[[#This Row],[Description]]="","",DATE(Table2[[#This Row],[Year]],Table2[[#This Row],[Month]],1))</f>
        <v/>
      </c>
    </row>
    <row r="5840" spans="7:11" x14ac:dyDescent="0.25">
      <c r="G5840" s="1" t="str">
        <f>IF(Table2[[#This Row],[Description]]="","",VLOOKUP(Table2[[#This Row],[Description]],$Q$1:$S$101,2,FALSE))</f>
        <v/>
      </c>
      <c r="H5840" s="1" t="str">
        <f>IF(Table2[[#This Row],[Description]]="","",VLOOKUP(Table2[[#This Row],[Description]],$Q$1:$S$101,3,FALSE))</f>
        <v/>
      </c>
      <c r="I5840" s="1" t="str">
        <f>IF(Table2[[#This Row],[Description]]="","",IF(Table2[[#This Row],[Currency]]=$O$2,$P$2,HLOOKUP(Table2[[#This Row],[Date]],Funds!$C$10:$GV$11,2,FALSE)))</f>
        <v/>
      </c>
      <c r="J5840" s="215" t="str">
        <f>IF(Table2[[#This Row],[Description]]="","",Table2[[#This Row],[Value]]/Table2[[#This Row],[Conversion]])</f>
        <v/>
      </c>
      <c r="K5840" s="45" t="str">
        <f>IF(Table2[[#This Row],[Description]]="","",DATE(Table2[[#This Row],[Year]],Table2[[#This Row],[Month]],1))</f>
        <v/>
      </c>
    </row>
    <row r="5841" spans="7:11" x14ac:dyDescent="0.25">
      <c r="G5841" s="1" t="str">
        <f>IF(Table2[[#This Row],[Description]]="","",VLOOKUP(Table2[[#This Row],[Description]],$Q$1:$S$101,2,FALSE))</f>
        <v/>
      </c>
      <c r="H5841" s="1" t="str">
        <f>IF(Table2[[#This Row],[Description]]="","",VLOOKUP(Table2[[#This Row],[Description]],$Q$1:$S$101,3,FALSE))</f>
        <v/>
      </c>
      <c r="I5841" s="1" t="str">
        <f>IF(Table2[[#This Row],[Description]]="","",IF(Table2[[#This Row],[Currency]]=$O$2,$P$2,HLOOKUP(Table2[[#This Row],[Date]],Funds!$C$10:$GV$11,2,FALSE)))</f>
        <v/>
      </c>
      <c r="J5841" s="215" t="str">
        <f>IF(Table2[[#This Row],[Description]]="","",Table2[[#This Row],[Value]]/Table2[[#This Row],[Conversion]])</f>
        <v/>
      </c>
      <c r="K5841" s="45" t="str">
        <f>IF(Table2[[#This Row],[Description]]="","",DATE(Table2[[#This Row],[Year]],Table2[[#This Row],[Month]],1))</f>
        <v/>
      </c>
    </row>
    <row r="5842" spans="7:11" x14ac:dyDescent="0.25">
      <c r="G5842" s="1" t="str">
        <f>IF(Table2[[#This Row],[Description]]="","",VLOOKUP(Table2[[#This Row],[Description]],$Q$1:$S$101,2,FALSE))</f>
        <v/>
      </c>
      <c r="H5842" s="1" t="str">
        <f>IF(Table2[[#This Row],[Description]]="","",VLOOKUP(Table2[[#This Row],[Description]],$Q$1:$S$101,3,FALSE))</f>
        <v/>
      </c>
      <c r="I5842" s="1" t="str">
        <f>IF(Table2[[#This Row],[Description]]="","",IF(Table2[[#This Row],[Currency]]=$O$2,$P$2,HLOOKUP(Table2[[#This Row],[Date]],Funds!$C$10:$GV$11,2,FALSE)))</f>
        <v/>
      </c>
      <c r="J5842" s="215" t="str">
        <f>IF(Table2[[#This Row],[Description]]="","",Table2[[#This Row],[Value]]/Table2[[#This Row],[Conversion]])</f>
        <v/>
      </c>
      <c r="K5842" s="45" t="str">
        <f>IF(Table2[[#This Row],[Description]]="","",DATE(Table2[[#This Row],[Year]],Table2[[#This Row],[Month]],1))</f>
        <v/>
      </c>
    </row>
    <row r="5843" spans="7:11" x14ac:dyDescent="0.25">
      <c r="G5843" s="1" t="str">
        <f>IF(Table2[[#This Row],[Description]]="","",VLOOKUP(Table2[[#This Row],[Description]],$Q$1:$S$101,2,FALSE))</f>
        <v/>
      </c>
      <c r="H5843" s="1" t="str">
        <f>IF(Table2[[#This Row],[Description]]="","",VLOOKUP(Table2[[#This Row],[Description]],$Q$1:$S$101,3,FALSE))</f>
        <v/>
      </c>
      <c r="I5843" s="1" t="str">
        <f>IF(Table2[[#This Row],[Description]]="","",IF(Table2[[#This Row],[Currency]]=$O$2,$P$2,HLOOKUP(Table2[[#This Row],[Date]],Funds!$C$10:$GV$11,2,FALSE)))</f>
        <v/>
      </c>
      <c r="J5843" s="215" t="str">
        <f>IF(Table2[[#This Row],[Description]]="","",Table2[[#This Row],[Value]]/Table2[[#This Row],[Conversion]])</f>
        <v/>
      </c>
      <c r="K5843" s="45" t="str">
        <f>IF(Table2[[#This Row],[Description]]="","",DATE(Table2[[#This Row],[Year]],Table2[[#This Row],[Month]],1))</f>
        <v/>
      </c>
    </row>
    <row r="5844" spans="7:11" x14ac:dyDescent="0.25">
      <c r="G5844" s="1" t="str">
        <f>IF(Table2[[#This Row],[Description]]="","",VLOOKUP(Table2[[#This Row],[Description]],$Q$1:$S$101,2,FALSE))</f>
        <v/>
      </c>
      <c r="H5844" s="1" t="str">
        <f>IF(Table2[[#This Row],[Description]]="","",VLOOKUP(Table2[[#This Row],[Description]],$Q$1:$S$101,3,FALSE))</f>
        <v/>
      </c>
      <c r="I5844" s="1" t="str">
        <f>IF(Table2[[#This Row],[Description]]="","",IF(Table2[[#This Row],[Currency]]=$O$2,$P$2,HLOOKUP(Table2[[#This Row],[Date]],Funds!$C$10:$GV$11,2,FALSE)))</f>
        <v/>
      </c>
      <c r="J5844" s="215" t="str">
        <f>IF(Table2[[#This Row],[Description]]="","",Table2[[#This Row],[Value]]/Table2[[#This Row],[Conversion]])</f>
        <v/>
      </c>
      <c r="K5844" s="45" t="str">
        <f>IF(Table2[[#This Row],[Description]]="","",DATE(Table2[[#This Row],[Year]],Table2[[#This Row],[Month]],1))</f>
        <v/>
      </c>
    </row>
    <row r="5845" spans="7:11" x14ac:dyDescent="0.25">
      <c r="G5845" s="1" t="str">
        <f>IF(Table2[[#This Row],[Description]]="","",VLOOKUP(Table2[[#This Row],[Description]],$Q$1:$S$101,2,FALSE))</f>
        <v/>
      </c>
      <c r="H5845" s="1" t="str">
        <f>IF(Table2[[#This Row],[Description]]="","",VLOOKUP(Table2[[#This Row],[Description]],$Q$1:$S$101,3,FALSE))</f>
        <v/>
      </c>
      <c r="I5845" s="1" t="str">
        <f>IF(Table2[[#This Row],[Description]]="","",IF(Table2[[#This Row],[Currency]]=$O$2,$P$2,HLOOKUP(Table2[[#This Row],[Date]],Funds!$C$10:$GV$11,2,FALSE)))</f>
        <v/>
      </c>
      <c r="J5845" s="215" t="str">
        <f>IF(Table2[[#This Row],[Description]]="","",Table2[[#This Row],[Value]]/Table2[[#This Row],[Conversion]])</f>
        <v/>
      </c>
      <c r="K5845" s="45" t="str">
        <f>IF(Table2[[#This Row],[Description]]="","",DATE(Table2[[#This Row],[Year]],Table2[[#This Row],[Month]],1))</f>
        <v/>
      </c>
    </row>
    <row r="5846" spans="7:11" x14ac:dyDescent="0.25">
      <c r="G5846" s="1" t="str">
        <f>IF(Table2[[#This Row],[Description]]="","",VLOOKUP(Table2[[#This Row],[Description]],$Q$1:$S$101,2,FALSE))</f>
        <v/>
      </c>
      <c r="H5846" s="1" t="str">
        <f>IF(Table2[[#This Row],[Description]]="","",VLOOKUP(Table2[[#This Row],[Description]],$Q$1:$S$101,3,FALSE))</f>
        <v/>
      </c>
      <c r="I5846" s="1" t="str">
        <f>IF(Table2[[#This Row],[Description]]="","",IF(Table2[[#This Row],[Currency]]=$O$2,$P$2,HLOOKUP(Table2[[#This Row],[Date]],Funds!$C$10:$GV$11,2,FALSE)))</f>
        <v/>
      </c>
      <c r="J5846" s="215" t="str">
        <f>IF(Table2[[#This Row],[Description]]="","",Table2[[#This Row],[Value]]/Table2[[#This Row],[Conversion]])</f>
        <v/>
      </c>
      <c r="K5846" s="45" t="str">
        <f>IF(Table2[[#This Row],[Description]]="","",DATE(Table2[[#This Row],[Year]],Table2[[#This Row],[Month]],1))</f>
        <v/>
      </c>
    </row>
    <row r="5847" spans="7:11" x14ac:dyDescent="0.25">
      <c r="G5847" s="1" t="str">
        <f>IF(Table2[[#This Row],[Description]]="","",VLOOKUP(Table2[[#This Row],[Description]],$Q$1:$S$101,2,FALSE))</f>
        <v/>
      </c>
      <c r="H5847" s="1" t="str">
        <f>IF(Table2[[#This Row],[Description]]="","",VLOOKUP(Table2[[#This Row],[Description]],$Q$1:$S$101,3,FALSE))</f>
        <v/>
      </c>
      <c r="I5847" s="1" t="str">
        <f>IF(Table2[[#This Row],[Description]]="","",IF(Table2[[#This Row],[Currency]]=$O$2,$P$2,HLOOKUP(Table2[[#This Row],[Date]],Funds!$C$10:$GV$11,2,FALSE)))</f>
        <v/>
      </c>
      <c r="J5847" s="215" t="str">
        <f>IF(Table2[[#This Row],[Description]]="","",Table2[[#This Row],[Value]]/Table2[[#This Row],[Conversion]])</f>
        <v/>
      </c>
      <c r="K5847" s="45" t="str">
        <f>IF(Table2[[#This Row],[Description]]="","",DATE(Table2[[#This Row],[Year]],Table2[[#This Row],[Month]],1))</f>
        <v/>
      </c>
    </row>
    <row r="5848" spans="7:11" x14ac:dyDescent="0.25">
      <c r="G5848" s="1" t="str">
        <f>IF(Table2[[#This Row],[Description]]="","",VLOOKUP(Table2[[#This Row],[Description]],$Q$1:$S$101,2,FALSE))</f>
        <v/>
      </c>
      <c r="H5848" s="1" t="str">
        <f>IF(Table2[[#This Row],[Description]]="","",VLOOKUP(Table2[[#This Row],[Description]],$Q$1:$S$101,3,FALSE))</f>
        <v/>
      </c>
      <c r="I5848" s="1" t="str">
        <f>IF(Table2[[#This Row],[Description]]="","",IF(Table2[[#This Row],[Currency]]=$O$2,$P$2,HLOOKUP(Table2[[#This Row],[Date]],Funds!$C$10:$GV$11,2,FALSE)))</f>
        <v/>
      </c>
      <c r="J5848" s="215" t="str">
        <f>IF(Table2[[#This Row],[Description]]="","",Table2[[#This Row],[Value]]/Table2[[#This Row],[Conversion]])</f>
        <v/>
      </c>
      <c r="K5848" s="45" t="str">
        <f>IF(Table2[[#This Row],[Description]]="","",DATE(Table2[[#This Row],[Year]],Table2[[#This Row],[Month]],1))</f>
        <v/>
      </c>
    </row>
    <row r="5849" spans="7:11" x14ac:dyDescent="0.25">
      <c r="G5849" s="1" t="str">
        <f>IF(Table2[[#This Row],[Description]]="","",VLOOKUP(Table2[[#This Row],[Description]],$Q$1:$S$101,2,FALSE))</f>
        <v/>
      </c>
      <c r="H5849" s="1" t="str">
        <f>IF(Table2[[#This Row],[Description]]="","",VLOOKUP(Table2[[#This Row],[Description]],$Q$1:$S$101,3,FALSE))</f>
        <v/>
      </c>
      <c r="I5849" s="1" t="str">
        <f>IF(Table2[[#This Row],[Description]]="","",IF(Table2[[#This Row],[Currency]]=$O$2,$P$2,HLOOKUP(Table2[[#This Row],[Date]],Funds!$C$10:$GV$11,2,FALSE)))</f>
        <v/>
      </c>
      <c r="J5849" s="215" t="str">
        <f>IF(Table2[[#This Row],[Description]]="","",Table2[[#This Row],[Value]]/Table2[[#This Row],[Conversion]])</f>
        <v/>
      </c>
      <c r="K5849" s="45" t="str">
        <f>IF(Table2[[#This Row],[Description]]="","",DATE(Table2[[#This Row],[Year]],Table2[[#This Row],[Month]],1))</f>
        <v/>
      </c>
    </row>
    <row r="5850" spans="7:11" x14ac:dyDescent="0.25">
      <c r="G5850" s="1" t="str">
        <f>IF(Table2[[#This Row],[Description]]="","",VLOOKUP(Table2[[#This Row],[Description]],$Q$1:$S$101,2,FALSE))</f>
        <v/>
      </c>
      <c r="H5850" s="1" t="str">
        <f>IF(Table2[[#This Row],[Description]]="","",VLOOKUP(Table2[[#This Row],[Description]],$Q$1:$S$101,3,FALSE))</f>
        <v/>
      </c>
      <c r="I5850" s="1" t="str">
        <f>IF(Table2[[#This Row],[Description]]="","",IF(Table2[[#This Row],[Currency]]=$O$2,$P$2,HLOOKUP(Table2[[#This Row],[Date]],Funds!$C$10:$GV$11,2,FALSE)))</f>
        <v/>
      </c>
      <c r="J5850" s="215" t="str">
        <f>IF(Table2[[#This Row],[Description]]="","",Table2[[#This Row],[Value]]/Table2[[#This Row],[Conversion]])</f>
        <v/>
      </c>
      <c r="K5850" s="45" t="str">
        <f>IF(Table2[[#This Row],[Description]]="","",DATE(Table2[[#This Row],[Year]],Table2[[#This Row],[Month]],1))</f>
        <v/>
      </c>
    </row>
    <row r="5851" spans="7:11" x14ac:dyDescent="0.25">
      <c r="G5851" s="1" t="str">
        <f>IF(Table2[[#This Row],[Description]]="","",VLOOKUP(Table2[[#This Row],[Description]],$Q$1:$S$101,2,FALSE))</f>
        <v/>
      </c>
      <c r="H5851" s="1" t="str">
        <f>IF(Table2[[#This Row],[Description]]="","",VLOOKUP(Table2[[#This Row],[Description]],$Q$1:$S$101,3,FALSE))</f>
        <v/>
      </c>
      <c r="I5851" s="1" t="str">
        <f>IF(Table2[[#This Row],[Description]]="","",IF(Table2[[#This Row],[Currency]]=$O$2,$P$2,HLOOKUP(Table2[[#This Row],[Date]],Funds!$C$10:$GV$11,2,FALSE)))</f>
        <v/>
      </c>
      <c r="J5851" s="215" t="str">
        <f>IF(Table2[[#This Row],[Description]]="","",Table2[[#This Row],[Value]]/Table2[[#This Row],[Conversion]])</f>
        <v/>
      </c>
      <c r="K5851" s="45" t="str">
        <f>IF(Table2[[#This Row],[Description]]="","",DATE(Table2[[#This Row],[Year]],Table2[[#This Row],[Month]],1))</f>
        <v/>
      </c>
    </row>
    <row r="5852" spans="7:11" x14ac:dyDescent="0.25">
      <c r="G5852" s="1" t="str">
        <f>IF(Table2[[#This Row],[Description]]="","",VLOOKUP(Table2[[#This Row],[Description]],$Q$1:$S$101,2,FALSE))</f>
        <v/>
      </c>
      <c r="H5852" s="1" t="str">
        <f>IF(Table2[[#This Row],[Description]]="","",VLOOKUP(Table2[[#This Row],[Description]],$Q$1:$S$101,3,FALSE))</f>
        <v/>
      </c>
      <c r="I5852" s="1" t="str">
        <f>IF(Table2[[#This Row],[Description]]="","",IF(Table2[[#This Row],[Currency]]=$O$2,$P$2,HLOOKUP(Table2[[#This Row],[Date]],Funds!$C$10:$GV$11,2,FALSE)))</f>
        <v/>
      </c>
      <c r="J5852" s="215" t="str">
        <f>IF(Table2[[#This Row],[Description]]="","",Table2[[#This Row],[Value]]/Table2[[#This Row],[Conversion]])</f>
        <v/>
      </c>
      <c r="K5852" s="45" t="str">
        <f>IF(Table2[[#This Row],[Description]]="","",DATE(Table2[[#This Row],[Year]],Table2[[#This Row],[Month]],1))</f>
        <v/>
      </c>
    </row>
    <row r="5853" spans="7:11" x14ac:dyDescent="0.25">
      <c r="G5853" s="1" t="str">
        <f>IF(Table2[[#This Row],[Description]]="","",VLOOKUP(Table2[[#This Row],[Description]],$Q$1:$S$101,2,FALSE))</f>
        <v/>
      </c>
      <c r="H5853" s="1" t="str">
        <f>IF(Table2[[#This Row],[Description]]="","",VLOOKUP(Table2[[#This Row],[Description]],$Q$1:$S$101,3,FALSE))</f>
        <v/>
      </c>
      <c r="I5853" s="1" t="str">
        <f>IF(Table2[[#This Row],[Description]]="","",IF(Table2[[#This Row],[Currency]]=$O$2,$P$2,HLOOKUP(Table2[[#This Row],[Date]],Funds!$C$10:$GV$11,2,FALSE)))</f>
        <v/>
      </c>
      <c r="J5853" s="215" t="str">
        <f>IF(Table2[[#This Row],[Description]]="","",Table2[[#This Row],[Value]]/Table2[[#This Row],[Conversion]])</f>
        <v/>
      </c>
      <c r="K5853" s="45" t="str">
        <f>IF(Table2[[#This Row],[Description]]="","",DATE(Table2[[#This Row],[Year]],Table2[[#This Row],[Month]],1))</f>
        <v/>
      </c>
    </row>
    <row r="5854" spans="7:11" x14ac:dyDescent="0.25">
      <c r="G5854" s="1" t="str">
        <f>IF(Table2[[#This Row],[Description]]="","",VLOOKUP(Table2[[#This Row],[Description]],$Q$1:$S$101,2,FALSE))</f>
        <v/>
      </c>
      <c r="H5854" s="1" t="str">
        <f>IF(Table2[[#This Row],[Description]]="","",VLOOKUP(Table2[[#This Row],[Description]],$Q$1:$S$101,3,FALSE))</f>
        <v/>
      </c>
      <c r="I5854" s="1" t="str">
        <f>IF(Table2[[#This Row],[Description]]="","",IF(Table2[[#This Row],[Currency]]=$O$2,$P$2,HLOOKUP(Table2[[#This Row],[Date]],Funds!$C$10:$GV$11,2,FALSE)))</f>
        <v/>
      </c>
      <c r="J5854" s="215" t="str">
        <f>IF(Table2[[#This Row],[Description]]="","",Table2[[#This Row],[Value]]/Table2[[#This Row],[Conversion]])</f>
        <v/>
      </c>
      <c r="K5854" s="45" t="str">
        <f>IF(Table2[[#This Row],[Description]]="","",DATE(Table2[[#This Row],[Year]],Table2[[#This Row],[Month]],1))</f>
        <v/>
      </c>
    </row>
    <row r="5855" spans="7:11" x14ac:dyDescent="0.25">
      <c r="G5855" s="1" t="str">
        <f>IF(Table2[[#This Row],[Description]]="","",VLOOKUP(Table2[[#This Row],[Description]],$Q$1:$S$101,2,FALSE))</f>
        <v/>
      </c>
      <c r="H5855" s="1" t="str">
        <f>IF(Table2[[#This Row],[Description]]="","",VLOOKUP(Table2[[#This Row],[Description]],$Q$1:$S$101,3,FALSE))</f>
        <v/>
      </c>
      <c r="I5855" s="1" t="str">
        <f>IF(Table2[[#This Row],[Description]]="","",IF(Table2[[#This Row],[Currency]]=$O$2,$P$2,HLOOKUP(Table2[[#This Row],[Date]],Funds!$C$10:$GV$11,2,FALSE)))</f>
        <v/>
      </c>
      <c r="J5855" s="215" t="str">
        <f>IF(Table2[[#This Row],[Description]]="","",Table2[[#This Row],[Value]]/Table2[[#This Row],[Conversion]])</f>
        <v/>
      </c>
      <c r="K5855" s="45" t="str">
        <f>IF(Table2[[#This Row],[Description]]="","",DATE(Table2[[#This Row],[Year]],Table2[[#This Row],[Month]],1))</f>
        <v/>
      </c>
    </row>
    <row r="5856" spans="7:11" x14ac:dyDescent="0.25">
      <c r="G5856" s="1" t="str">
        <f>IF(Table2[[#This Row],[Description]]="","",VLOOKUP(Table2[[#This Row],[Description]],$Q$1:$S$101,2,FALSE))</f>
        <v/>
      </c>
      <c r="H5856" s="1" t="str">
        <f>IF(Table2[[#This Row],[Description]]="","",VLOOKUP(Table2[[#This Row],[Description]],$Q$1:$S$101,3,FALSE))</f>
        <v/>
      </c>
      <c r="I5856" s="1" t="str">
        <f>IF(Table2[[#This Row],[Description]]="","",IF(Table2[[#This Row],[Currency]]=$O$2,$P$2,HLOOKUP(Table2[[#This Row],[Date]],Funds!$C$10:$GV$11,2,FALSE)))</f>
        <v/>
      </c>
      <c r="J5856" s="215" t="str">
        <f>IF(Table2[[#This Row],[Description]]="","",Table2[[#This Row],[Value]]/Table2[[#This Row],[Conversion]])</f>
        <v/>
      </c>
      <c r="K5856" s="45" t="str">
        <f>IF(Table2[[#This Row],[Description]]="","",DATE(Table2[[#This Row],[Year]],Table2[[#This Row],[Month]],1))</f>
        <v/>
      </c>
    </row>
    <row r="5857" spans="7:11" x14ac:dyDescent="0.25">
      <c r="G5857" s="1" t="str">
        <f>IF(Table2[[#This Row],[Description]]="","",VLOOKUP(Table2[[#This Row],[Description]],$Q$1:$S$101,2,FALSE))</f>
        <v/>
      </c>
      <c r="H5857" s="1" t="str">
        <f>IF(Table2[[#This Row],[Description]]="","",VLOOKUP(Table2[[#This Row],[Description]],$Q$1:$S$101,3,FALSE))</f>
        <v/>
      </c>
      <c r="I5857" s="1" t="str">
        <f>IF(Table2[[#This Row],[Description]]="","",IF(Table2[[#This Row],[Currency]]=$O$2,$P$2,HLOOKUP(Table2[[#This Row],[Date]],Funds!$C$10:$GV$11,2,FALSE)))</f>
        <v/>
      </c>
      <c r="J5857" s="215" t="str">
        <f>IF(Table2[[#This Row],[Description]]="","",Table2[[#This Row],[Value]]/Table2[[#This Row],[Conversion]])</f>
        <v/>
      </c>
      <c r="K5857" s="45" t="str">
        <f>IF(Table2[[#This Row],[Description]]="","",DATE(Table2[[#This Row],[Year]],Table2[[#This Row],[Month]],1))</f>
        <v/>
      </c>
    </row>
    <row r="5858" spans="7:11" x14ac:dyDescent="0.25">
      <c r="G5858" s="1" t="str">
        <f>IF(Table2[[#This Row],[Description]]="","",VLOOKUP(Table2[[#This Row],[Description]],$Q$1:$S$101,2,FALSE))</f>
        <v/>
      </c>
      <c r="H5858" s="1" t="str">
        <f>IF(Table2[[#This Row],[Description]]="","",VLOOKUP(Table2[[#This Row],[Description]],$Q$1:$S$101,3,FALSE))</f>
        <v/>
      </c>
      <c r="I5858" s="1" t="str">
        <f>IF(Table2[[#This Row],[Description]]="","",IF(Table2[[#This Row],[Currency]]=$O$2,$P$2,HLOOKUP(Table2[[#This Row],[Date]],Funds!$C$10:$GV$11,2,FALSE)))</f>
        <v/>
      </c>
      <c r="J5858" s="215" t="str">
        <f>IF(Table2[[#This Row],[Description]]="","",Table2[[#This Row],[Value]]/Table2[[#This Row],[Conversion]])</f>
        <v/>
      </c>
      <c r="K5858" s="45" t="str">
        <f>IF(Table2[[#This Row],[Description]]="","",DATE(Table2[[#This Row],[Year]],Table2[[#This Row],[Month]],1))</f>
        <v/>
      </c>
    </row>
    <row r="5859" spans="7:11" x14ac:dyDescent="0.25">
      <c r="G5859" s="1" t="str">
        <f>IF(Table2[[#This Row],[Description]]="","",VLOOKUP(Table2[[#This Row],[Description]],$Q$1:$S$101,2,FALSE))</f>
        <v/>
      </c>
      <c r="H5859" s="1" t="str">
        <f>IF(Table2[[#This Row],[Description]]="","",VLOOKUP(Table2[[#This Row],[Description]],$Q$1:$S$101,3,FALSE))</f>
        <v/>
      </c>
      <c r="I5859" s="1" t="str">
        <f>IF(Table2[[#This Row],[Description]]="","",IF(Table2[[#This Row],[Currency]]=$O$2,$P$2,HLOOKUP(Table2[[#This Row],[Date]],Funds!$C$10:$GV$11,2,FALSE)))</f>
        <v/>
      </c>
      <c r="J5859" s="215" t="str">
        <f>IF(Table2[[#This Row],[Description]]="","",Table2[[#This Row],[Value]]/Table2[[#This Row],[Conversion]])</f>
        <v/>
      </c>
      <c r="K5859" s="45" t="str">
        <f>IF(Table2[[#This Row],[Description]]="","",DATE(Table2[[#This Row],[Year]],Table2[[#This Row],[Month]],1))</f>
        <v/>
      </c>
    </row>
    <row r="5860" spans="7:11" x14ac:dyDescent="0.25">
      <c r="G5860" s="1" t="str">
        <f>IF(Table2[[#This Row],[Description]]="","",VLOOKUP(Table2[[#This Row],[Description]],$Q$1:$S$101,2,FALSE))</f>
        <v/>
      </c>
      <c r="H5860" s="1" t="str">
        <f>IF(Table2[[#This Row],[Description]]="","",VLOOKUP(Table2[[#This Row],[Description]],$Q$1:$S$101,3,FALSE))</f>
        <v/>
      </c>
      <c r="I5860" s="1" t="str">
        <f>IF(Table2[[#This Row],[Description]]="","",IF(Table2[[#This Row],[Currency]]=$O$2,$P$2,HLOOKUP(Table2[[#This Row],[Date]],Funds!$C$10:$GV$11,2,FALSE)))</f>
        <v/>
      </c>
      <c r="J5860" s="215" t="str">
        <f>IF(Table2[[#This Row],[Description]]="","",Table2[[#This Row],[Value]]/Table2[[#This Row],[Conversion]])</f>
        <v/>
      </c>
      <c r="K5860" s="45" t="str">
        <f>IF(Table2[[#This Row],[Description]]="","",DATE(Table2[[#This Row],[Year]],Table2[[#This Row],[Month]],1))</f>
        <v/>
      </c>
    </row>
    <row r="5861" spans="7:11" x14ac:dyDescent="0.25">
      <c r="G5861" s="1" t="str">
        <f>IF(Table2[[#This Row],[Description]]="","",VLOOKUP(Table2[[#This Row],[Description]],$Q$1:$S$101,2,FALSE))</f>
        <v/>
      </c>
      <c r="H5861" s="1" t="str">
        <f>IF(Table2[[#This Row],[Description]]="","",VLOOKUP(Table2[[#This Row],[Description]],$Q$1:$S$101,3,FALSE))</f>
        <v/>
      </c>
      <c r="I5861" s="1" t="str">
        <f>IF(Table2[[#This Row],[Description]]="","",IF(Table2[[#This Row],[Currency]]=$O$2,$P$2,HLOOKUP(Table2[[#This Row],[Date]],Funds!$C$10:$GV$11,2,FALSE)))</f>
        <v/>
      </c>
      <c r="J5861" s="215" t="str">
        <f>IF(Table2[[#This Row],[Description]]="","",Table2[[#This Row],[Value]]/Table2[[#This Row],[Conversion]])</f>
        <v/>
      </c>
      <c r="K5861" s="45" t="str">
        <f>IF(Table2[[#This Row],[Description]]="","",DATE(Table2[[#This Row],[Year]],Table2[[#This Row],[Month]],1))</f>
        <v/>
      </c>
    </row>
    <row r="5862" spans="7:11" x14ac:dyDescent="0.25">
      <c r="G5862" s="1" t="str">
        <f>IF(Table2[[#This Row],[Description]]="","",VLOOKUP(Table2[[#This Row],[Description]],$Q$1:$S$101,2,FALSE))</f>
        <v/>
      </c>
      <c r="H5862" s="1" t="str">
        <f>IF(Table2[[#This Row],[Description]]="","",VLOOKUP(Table2[[#This Row],[Description]],$Q$1:$S$101,3,FALSE))</f>
        <v/>
      </c>
      <c r="I5862" s="1" t="str">
        <f>IF(Table2[[#This Row],[Description]]="","",IF(Table2[[#This Row],[Currency]]=$O$2,$P$2,HLOOKUP(Table2[[#This Row],[Date]],Funds!$C$10:$GV$11,2,FALSE)))</f>
        <v/>
      </c>
      <c r="J5862" s="215" t="str">
        <f>IF(Table2[[#This Row],[Description]]="","",Table2[[#This Row],[Value]]/Table2[[#This Row],[Conversion]])</f>
        <v/>
      </c>
      <c r="K5862" s="45" t="str">
        <f>IF(Table2[[#This Row],[Description]]="","",DATE(Table2[[#This Row],[Year]],Table2[[#This Row],[Month]],1))</f>
        <v/>
      </c>
    </row>
    <row r="5863" spans="7:11" x14ac:dyDescent="0.25">
      <c r="G5863" s="1" t="str">
        <f>IF(Table2[[#This Row],[Description]]="","",VLOOKUP(Table2[[#This Row],[Description]],$Q$1:$S$101,2,FALSE))</f>
        <v/>
      </c>
      <c r="H5863" s="1" t="str">
        <f>IF(Table2[[#This Row],[Description]]="","",VLOOKUP(Table2[[#This Row],[Description]],$Q$1:$S$101,3,FALSE))</f>
        <v/>
      </c>
      <c r="I5863" s="1" t="str">
        <f>IF(Table2[[#This Row],[Description]]="","",IF(Table2[[#This Row],[Currency]]=$O$2,$P$2,HLOOKUP(Table2[[#This Row],[Date]],Funds!$C$10:$GV$11,2,FALSE)))</f>
        <v/>
      </c>
      <c r="J5863" s="215" t="str">
        <f>IF(Table2[[#This Row],[Description]]="","",Table2[[#This Row],[Value]]/Table2[[#This Row],[Conversion]])</f>
        <v/>
      </c>
      <c r="K5863" s="45" t="str">
        <f>IF(Table2[[#This Row],[Description]]="","",DATE(Table2[[#This Row],[Year]],Table2[[#This Row],[Month]],1))</f>
        <v/>
      </c>
    </row>
    <row r="5864" spans="7:11" x14ac:dyDescent="0.25">
      <c r="G5864" s="1" t="str">
        <f>IF(Table2[[#This Row],[Description]]="","",VLOOKUP(Table2[[#This Row],[Description]],$Q$1:$S$101,2,FALSE))</f>
        <v/>
      </c>
      <c r="H5864" s="1" t="str">
        <f>IF(Table2[[#This Row],[Description]]="","",VLOOKUP(Table2[[#This Row],[Description]],$Q$1:$S$101,3,FALSE))</f>
        <v/>
      </c>
      <c r="I5864" s="1" t="str">
        <f>IF(Table2[[#This Row],[Description]]="","",IF(Table2[[#This Row],[Currency]]=$O$2,$P$2,HLOOKUP(Table2[[#This Row],[Date]],Funds!$C$10:$GV$11,2,FALSE)))</f>
        <v/>
      </c>
      <c r="J5864" s="215" t="str">
        <f>IF(Table2[[#This Row],[Description]]="","",Table2[[#This Row],[Value]]/Table2[[#This Row],[Conversion]])</f>
        <v/>
      </c>
      <c r="K5864" s="45" t="str">
        <f>IF(Table2[[#This Row],[Description]]="","",DATE(Table2[[#This Row],[Year]],Table2[[#This Row],[Month]],1))</f>
        <v/>
      </c>
    </row>
    <row r="5865" spans="7:11" x14ac:dyDescent="0.25">
      <c r="G5865" s="1" t="str">
        <f>IF(Table2[[#This Row],[Description]]="","",VLOOKUP(Table2[[#This Row],[Description]],$Q$1:$S$101,2,FALSE))</f>
        <v/>
      </c>
      <c r="H5865" s="1" t="str">
        <f>IF(Table2[[#This Row],[Description]]="","",VLOOKUP(Table2[[#This Row],[Description]],$Q$1:$S$101,3,FALSE))</f>
        <v/>
      </c>
      <c r="I5865" s="1" t="str">
        <f>IF(Table2[[#This Row],[Description]]="","",IF(Table2[[#This Row],[Currency]]=$O$2,$P$2,HLOOKUP(Table2[[#This Row],[Date]],Funds!$C$10:$GV$11,2,FALSE)))</f>
        <v/>
      </c>
      <c r="J5865" s="215" t="str">
        <f>IF(Table2[[#This Row],[Description]]="","",Table2[[#This Row],[Value]]/Table2[[#This Row],[Conversion]])</f>
        <v/>
      </c>
      <c r="K5865" s="45" t="str">
        <f>IF(Table2[[#This Row],[Description]]="","",DATE(Table2[[#This Row],[Year]],Table2[[#This Row],[Month]],1))</f>
        <v/>
      </c>
    </row>
    <row r="5866" spans="7:11" x14ac:dyDescent="0.25">
      <c r="G5866" s="1" t="str">
        <f>IF(Table2[[#This Row],[Description]]="","",VLOOKUP(Table2[[#This Row],[Description]],$Q$1:$S$101,2,FALSE))</f>
        <v/>
      </c>
      <c r="H5866" s="1" t="str">
        <f>IF(Table2[[#This Row],[Description]]="","",VLOOKUP(Table2[[#This Row],[Description]],$Q$1:$S$101,3,FALSE))</f>
        <v/>
      </c>
      <c r="I5866" s="1" t="str">
        <f>IF(Table2[[#This Row],[Description]]="","",IF(Table2[[#This Row],[Currency]]=$O$2,$P$2,HLOOKUP(Table2[[#This Row],[Date]],Funds!$C$10:$GV$11,2,FALSE)))</f>
        <v/>
      </c>
      <c r="J5866" s="215" t="str">
        <f>IF(Table2[[#This Row],[Description]]="","",Table2[[#This Row],[Value]]/Table2[[#This Row],[Conversion]])</f>
        <v/>
      </c>
      <c r="K5866" s="45" t="str">
        <f>IF(Table2[[#This Row],[Description]]="","",DATE(Table2[[#This Row],[Year]],Table2[[#This Row],[Month]],1))</f>
        <v/>
      </c>
    </row>
    <row r="5867" spans="7:11" x14ac:dyDescent="0.25">
      <c r="G5867" s="1" t="str">
        <f>IF(Table2[[#This Row],[Description]]="","",VLOOKUP(Table2[[#This Row],[Description]],$Q$1:$S$101,2,FALSE))</f>
        <v/>
      </c>
      <c r="H5867" s="1" t="str">
        <f>IF(Table2[[#This Row],[Description]]="","",VLOOKUP(Table2[[#This Row],[Description]],$Q$1:$S$101,3,FALSE))</f>
        <v/>
      </c>
      <c r="I5867" s="1" t="str">
        <f>IF(Table2[[#This Row],[Description]]="","",IF(Table2[[#This Row],[Currency]]=$O$2,$P$2,HLOOKUP(Table2[[#This Row],[Date]],Funds!$C$10:$GV$11,2,FALSE)))</f>
        <v/>
      </c>
      <c r="J5867" s="215" t="str">
        <f>IF(Table2[[#This Row],[Description]]="","",Table2[[#This Row],[Value]]/Table2[[#This Row],[Conversion]])</f>
        <v/>
      </c>
      <c r="K5867" s="45" t="str">
        <f>IF(Table2[[#This Row],[Description]]="","",DATE(Table2[[#This Row],[Year]],Table2[[#This Row],[Month]],1))</f>
        <v/>
      </c>
    </row>
    <row r="5868" spans="7:11" x14ac:dyDescent="0.25">
      <c r="G5868" s="1" t="str">
        <f>IF(Table2[[#This Row],[Description]]="","",VLOOKUP(Table2[[#This Row],[Description]],$Q$1:$S$101,2,FALSE))</f>
        <v/>
      </c>
      <c r="H5868" s="1" t="str">
        <f>IF(Table2[[#This Row],[Description]]="","",VLOOKUP(Table2[[#This Row],[Description]],$Q$1:$S$101,3,FALSE))</f>
        <v/>
      </c>
      <c r="I5868" s="1" t="str">
        <f>IF(Table2[[#This Row],[Description]]="","",IF(Table2[[#This Row],[Currency]]=$O$2,$P$2,HLOOKUP(Table2[[#This Row],[Date]],Funds!$C$10:$GV$11,2,FALSE)))</f>
        <v/>
      </c>
      <c r="J5868" s="215" t="str">
        <f>IF(Table2[[#This Row],[Description]]="","",Table2[[#This Row],[Value]]/Table2[[#This Row],[Conversion]])</f>
        <v/>
      </c>
      <c r="K5868" s="45" t="str">
        <f>IF(Table2[[#This Row],[Description]]="","",DATE(Table2[[#This Row],[Year]],Table2[[#This Row],[Month]],1))</f>
        <v/>
      </c>
    </row>
    <row r="5869" spans="7:11" x14ac:dyDescent="0.25">
      <c r="G5869" s="1" t="str">
        <f>IF(Table2[[#This Row],[Description]]="","",VLOOKUP(Table2[[#This Row],[Description]],$Q$1:$S$101,2,FALSE))</f>
        <v/>
      </c>
      <c r="H5869" s="1" t="str">
        <f>IF(Table2[[#This Row],[Description]]="","",VLOOKUP(Table2[[#This Row],[Description]],$Q$1:$S$101,3,FALSE))</f>
        <v/>
      </c>
      <c r="I5869" s="1" t="str">
        <f>IF(Table2[[#This Row],[Description]]="","",IF(Table2[[#This Row],[Currency]]=$O$2,$P$2,HLOOKUP(Table2[[#This Row],[Date]],Funds!$C$10:$GV$11,2,FALSE)))</f>
        <v/>
      </c>
      <c r="J5869" s="215" t="str">
        <f>IF(Table2[[#This Row],[Description]]="","",Table2[[#This Row],[Value]]/Table2[[#This Row],[Conversion]])</f>
        <v/>
      </c>
      <c r="K5869" s="45" t="str">
        <f>IF(Table2[[#This Row],[Description]]="","",DATE(Table2[[#This Row],[Year]],Table2[[#This Row],[Month]],1))</f>
        <v/>
      </c>
    </row>
    <row r="5870" spans="7:11" x14ac:dyDescent="0.25">
      <c r="G5870" s="1" t="str">
        <f>IF(Table2[[#This Row],[Description]]="","",VLOOKUP(Table2[[#This Row],[Description]],$Q$1:$S$101,2,FALSE))</f>
        <v/>
      </c>
      <c r="H5870" s="1" t="str">
        <f>IF(Table2[[#This Row],[Description]]="","",VLOOKUP(Table2[[#This Row],[Description]],$Q$1:$S$101,3,FALSE))</f>
        <v/>
      </c>
      <c r="I5870" s="1" t="str">
        <f>IF(Table2[[#This Row],[Description]]="","",IF(Table2[[#This Row],[Currency]]=$O$2,$P$2,HLOOKUP(Table2[[#This Row],[Date]],Funds!$C$10:$GV$11,2,FALSE)))</f>
        <v/>
      </c>
      <c r="J5870" s="215" t="str">
        <f>IF(Table2[[#This Row],[Description]]="","",Table2[[#This Row],[Value]]/Table2[[#This Row],[Conversion]])</f>
        <v/>
      </c>
      <c r="K5870" s="45" t="str">
        <f>IF(Table2[[#This Row],[Description]]="","",DATE(Table2[[#This Row],[Year]],Table2[[#This Row],[Month]],1))</f>
        <v/>
      </c>
    </row>
    <row r="5871" spans="7:11" x14ac:dyDescent="0.25">
      <c r="G5871" s="1" t="str">
        <f>IF(Table2[[#This Row],[Description]]="","",VLOOKUP(Table2[[#This Row],[Description]],$Q$1:$S$101,2,FALSE))</f>
        <v/>
      </c>
      <c r="H5871" s="1" t="str">
        <f>IF(Table2[[#This Row],[Description]]="","",VLOOKUP(Table2[[#This Row],[Description]],$Q$1:$S$101,3,FALSE))</f>
        <v/>
      </c>
      <c r="I5871" s="1" t="str">
        <f>IF(Table2[[#This Row],[Description]]="","",IF(Table2[[#This Row],[Currency]]=$O$2,$P$2,HLOOKUP(Table2[[#This Row],[Date]],Funds!$C$10:$GV$11,2,FALSE)))</f>
        <v/>
      </c>
      <c r="J5871" s="215" t="str">
        <f>IF(Table2[[#This Row],[Description]]="","",Table2[[#This Row],[Value]]/Table2[[#This Row],[Conversion]])</f>
        <v/>
      </c>
      <c r="K5871" s="45" t="str">
        <f>IF(Table2[[#This Row],[Description]]="","",DATE(Table2[[#This Row],[Year]],Table2[[#This Row],[Month]],1))</f>
        <v/>
      </c>
    </row>
    <row r="5872" spans="7:11" x14ac:dyDescent="0.25">
      <c r="G5872" s="1" t="str">
        <f>IF(Table2[[#This Row],[Description]]="","",VLOOKUP(Table2[[#This Row],[Description]],$Q$1:$S$101,2,FALSE))</f>
        <v/>
      </c>
      <c r="H5872" s="1" t="str">
        <f>IF(Table2[[#This Row],[Description]]="","",VLOOKUP(Table2[[#This Row],[Description]],$Q$1:$S$101,3,FALSE))</f>
        <v/>
      </c>
      <c r="I5872" s="1" t="str">
        <f>IF(Table2[[#This Row],[Description]]="","",IF(Table2[[#This Row],[Currency]]=$O$2,$P$2,HLOOKUP(Table2[[#This Row],[Date]],Funds!$C$10:$GV$11,2,FALSE)))</f>
        <v/>
      </c>
      <c r="J5872" s="215" t="str">
        <f>IF(Table2[[#This Row],[Description]]="","",Table2[[#This Row],[Value]]/Table2[[#This Row],[Conversion]])</f>
        <v/>
      </c>
      <c r="K5872" s="45" t="str">
        <f>IF(Table2[[#This Row],[Description]]="","",DATE(Table2[[#This Row],[Year]],Table2[[#This Row],[Month]],1))</f>
        <v/>
      </c>
    </row>
    <row r="5873" spans="7:11" x14ac:dyDescent="0.25">
      <c r="G5873" s="1" t="str">
        <f>IF(Table2[[#This Row],[Description]]="","",VLOOKUP(Table2[[#This Row],[Description]],$Q$1:$S$101,2,FALSE))</f>
        <v/>
      </c>
      <c r="H5873" s="1" t="str">
        <f>IF(Table2[[#This Row],[Description]]="","",VLOOKUP(Table2[[#This Row],[Description]],$Q$1:$S$101,3,FALSE))</f>
        <v/>
      </c>
      <c r="I5873" s="1" t="str">
        <f>IF(Table2[[#This Row],[Description]]="","",IF(Table2[[#This Row],[Currency]]=$O$2,$P$2,HLOOKUP(Table2[[#This Row],[Date]],Funds!$C$10:$GV$11,2,FALSE)))</f>
        <v/>
      </c>
      <c r="J5873" s="215" t="str">
        <f>IF(Table2[[#This Row],[Description]]="","",Table2[[#This Row],[Value]]/Table2[[#This Row],[Conversion]])</f>
        <v/>
      </c>
      <c r="K5873" s="45" t="str">
        <f>IF(Table2[[#This Row],[Description]]="","",DATE(Table2[[#This Row],[Year]],Table2[[#This Row],[Month]],1))</f>
        <v/>
      </c>
    </row>
    <row r="5874" spans="7:11" x14ac:dyDescent="0.25">
      <c r="G5874" s="1" t="str">
        <f>IF(Table2[[#This Row],[Description]]="","",VLOOKUP(Table2[[#This Row],[Description]],$Q$1:$S$101,2,FALSE))</f>
        <v/>
      </c>
      <c r="H5874" s="1" t="str">
        <f>IF(Table2[[#This Row],[Description]]="","",VLOOKUP(Table2[[#This Row],[Description]],$Q$1:$S$101,3,FALSE))</f>
        <v/>
      </c>
      <c r="I5874" s="1" t="str">
        <f>IF(Table2[[#This Row],[Description]]="","",IF(Table2[[#This Row],[Currency]]=$O$2,$P$2,HLOOKUP(Table2[[#This Row],[Date]],Funds!$C$10:$GV$11,2,FALSE)))</f>
        <v/>
      </c>
      <c r="J5874" s="215" t="str">
        <f>IF(Table2[[#This Row],[Description]]="","",Table2[[#This Row],[Value]]/Table2[[#This Row],[Conversion]])</f>
        <v/>
      </c>
      <c r="K5874" s="45" t="str">
        <f>IF(Table2[[#This Row],[Description]]="","",DATE(Table2[[#This Row],[Year]],Table2[[#This Row],[Month]],1))</f>
        <v/>
      </c>
    </row>
    <row r="5875" spans="7:11" x14ac:dyDescent="0.25">
      <c r="G5875" s="1" t="str">
        <f>IF(Table2[[#This Row],[Description]]="","",VLOOKUP(Table2[[#This Row],[Description]],$Q$1:$S$101,2,FALSE))</f>
        <v/>
      </c>
      <c r="H5875" s="1" t="str">
        <f>IF(Table2[[#This Row],[Description]]="","",VLOOKUP(Table2[[#This Row],[Description]],$Q$1:$S$101,3,FALSE))</f>
        <v/>
      </c>
      <c r="I5875" s="1" t="str">
        <f>IF(Table2[[#This Row],[Description]]="","",IF(Table2[[#This Row],[Currency]]=$O$2,$P$2,HLOOKUP(Table2[[#This Row],[Date]],Funds!$C$10:$GV$11,2,FALSE)))</f>
        <v/>
      </c>
      <c r="J5875" s="215" t="str">
        <f>IF(Table2[[#This Row],[Description]]="","",Table2[[#This Row],[Value]]/Table2[[#This Row],[Conversion]])</f>
        <v/>
      </c>
      <c r="K5875" s="45" t="str">
        <f>IF(Table2[[#This Row],[Description]]="","",DATE(Table2[[#This Row],[Year]],Table2[[#This Row],[Month]],1))</f>
        <v/>
      </c>
    </row>
    <row r="5876" spans="7:11" x14ac:dyDescent="0.25">
      <c r="G5876" s="1" t="str">
        <f>IF(Table2[[#This Row],[Description]]="","",VLOOKUP(Table2[[#This Row],[Description]],$Q$1:$S$101,2,FALSE))</f>
        <v/>
      </c>
      <c r="H5876" s="1" t="str">
        <f>IF(Table2[[#This Row],[Description]]="","",VLOOKUP(Table2[[#This Row],[Description]],$Q$1:$S$101,3,FALSE))</f>
        <v/>
      </c>
      <c r="I5876" s="1" t="str">
        <f>IF(Table2[[#This Row],[Description]]="","",IF(Table2[[#This Row],[Currency]]=$O$2,$P$2,HLOOKUP(Table2[[#This Row],[Date]],Funds!$C$10:$GV$11,2,FALSE)))</f>
        <v/>
      </c>
      <c r="J5876" s="215" t="str">
        <f>IF(Table2[[#This Row],[Description]]="","",Table2[[#This Row],[Value]]/Table2[[#This Row],[Conversion]])</f>
        <v/>
      </c>
      <c r="K5876" s="45" t="str">
        <f>IF(Table2[[#This Row],[Description]]="","",DATE(Table2[[#This Row],[Year]],Table2[[#This Row],[Month]],1))</f>
        <v/>
      </c>
    </row>
    <row r="5877" spans="7:11" x14ac:dyDescent="0.25">
      <c r="G5877" s="1" t="str">
        <f>IF(Table2[[#This Row],[Description]]="","",VLOOKUP(Table2[[#This Row],[Description]],$Q$1:$S$101,2,FALSE))</f>
        <v/>
      </c>
      <c r="H5877" s="1" t="str">
        <f>IF(Table2[[#This Row],[Description]]="","",VLOOKUP(Table2[[#This Row],[Description]],$Q$1:$S$101,3,FALSE))</f>
        <v/>
      </c>
      <c r="I5877" s="1" t="str">
        <f>IF(Table2[[#This Row],[Description]]="","",IF(Table2[[#This Row],[Currency]]=$O$2,$P$2,HLOOKUP(Table2[[#This Row],[Date]],Funds!$C$10:$GV$11,2,FALSE)))</f>
        <v/>
      </c>
      <c r="J5877" s="215" t="str">
        <f>IF(Table2[[#This Row],[Description]]="","",Table2[[#This Row],[Value]]/Table2[[#This Row],[Conversion]])</f>
        <v/>
      </c>
      <c r="K5877" s="45" t="str">
        <f>IF(Table2[[#This Row],[Description]]="","",DATE(Table2[[#This Row],[Year]],Table2[[#This Row],[Month]],1))</f>
        <v/>
      </c>
    </row>
    <row r="5878" spans="7:11" x14ac:dyDescent="0.25">
      <c r="G5878" s="1" t="str">
        <f>IF(Table2[[#This Row],[Description]]="","",VLOOKUP(Table2[[#This Row],[Description]],$Q$1:$S$101,2,FALSE))</f>
        <v/>
      </c>
      <c r="H5878" s="1" t="str">
        <f>IF(Table2[[#This Row],[Description]]="","",VLOOKUP(Table2[[#This Row],[Description]],$Q$1:$S$101,3,FALSE))</f>
        <v/>
      </c>
      <c r="I5878" s="1" t="str">
        <f>IF(Table2[[#This Row],[Description]]="","",IF(Table2[[#This Row],[Currency]]=$O$2,$P$2,HLOOKUP(Table2[[#This Row],[Date]],Funds!$C$10:$GV$11,2,FALSE)))</f>
        <v/>
      </c>
      <c r="J5878" s="215" t="str">
        <f>IF(Table2[[#This Row],[Description]]="","",Table2[[#This Row],[Value]]/Table2[[#This Row],[Conversion]])</f>
        <v/>
      </c>
      <c r="K5878" s="45" t="str">
        <f>IF(Table2[[#This Row],[Description]]="","",DATE(Table2[[#This Row],[Year]],Table2[[#This Row],[Month]],1))</f>
        <v/>
      </c>
    </row>
    <row r="5879" spans="7:11" x14ac:dyDescent="0.25">
      <c r="G5879" s="1" t="str">
        <f>IF(Table2[[#This Row],[Description]]="","",VLOOKUP(Table2[[#This Row],[Description]],$Q$1:$S$101,2,FALSE))</f>
        <v/>
      </c>
      <c r="H5879" s="1" t="str">
        <f>IF(Table2[[#This Row],[Description]]="","",VLOOKUP(Table2[[#This Row],[Description]],$Q$1:$S$101,3,FALSE))</f>
        <v/>
      </c>
      <c r="I5879" s="1" t="str">
        <f>IF(Table2[[#This Row],[Description]]="","",IF(Table2[[#This Row],[Currency]]=$O$2,$P$2,HLOOKUP(Table2[[#This Row],[Date]],Funds!$C$10:$GV$11,2,FALSE)))</f>
        <v/>
      </c>
      <c r="J5879" s="215" t="str">
        <f>IF(Table2[[#This Row],[Description]]="","",Table2[[#This Row],[Value]]/Table2[[#This Row],[Conversion]])</f>
        <v/>
      </c>
      <c r="K5879" s="45" t="str">
        <f>IF(Table2[[#This Row],[Description]]="","",DATE(Table2[[#This Row],[Year]],Table2[[#This Row],[Month]],1))</f>
        <v/>
      </c>
    </row>
    <row r="5880" spans="7:11" x14ac:dyDescent="0.25">
      <c r="G5880" s="1" t="str">
        <f>IF(Table2[[#This Row],[Description]]="","",VLOOKUP(Table2[[#This Row],[Description]],$Q$1:$S$101,2,FALSE))</f>
        <v/>
      </c>
      <c r="H5880" s="1" t="str">
        <f>IF(Table2[[#This Row],[Description]]="","",VLOOKUP(Table2[[#This Row],[Description]],$Q$1:$S$101,3,FALSE))</f>
        <v/>
      </c>
      <c r="I5880" s="1" t="str">
        <f>IF(Table2[[#This Row],[Description]]="","",IF(Table2[[#This Row],[Currency]]=$O$2,$P$2,HLOOKUP(Table2[[#This Row],[Date]],Funds!$C$10:$GV$11,2,FALSE)))</f>
        <v/>
      </c>
      <c r="J5880" s="215" t="str">
        <f>IF(Table2[[#This Row],[Description]]="","",Table2[[#This Row],[Value]]/Table2[[#This Row],[Conversion]])</f>
        <v/>
      </c>
      <c r="K5880" s="45" t="str">
        <f>IF(Table2[[#This Row],[Description]]="","",DATE(Table2[[#This Row],[Year]],Table2[[#This Row],[Month]],1))</f>
        <v/>
      </c>
    </row>
    <row r="5881" spans="7:11" x14ac:dyDescent="0.25">
      <c r="G5881" s="1" t="str">
        <f>IF(Table2[[#This Row],[Description]]="","",VLOOKUP(Table2[[#This Row],[Description]],$Q$1:$S$101,2,FALSE))</f>
        <v/>
      </c>
      <c r="H5881" s="1" t="str">
        <f>IF(Table2[[#This Row],[Description]]="","",VLOOKUP(Table2[[#This Row],[Description]],$Q$1:$S$101,3,FALSE))</f>
        <v/>
      </c>
      <c r="I5881" s="1" t="str">
        <f>IF(Table2[[#This Row],[Description]]="","",IF(Table2[[#This Row],[Currency]]=$O$2,$P$2,HLOOKUP(Table2[[#This Row],[Date]],Funds!$C$10:$GV$11,2,FALSE)))</f>
        <v/>
      </c>
      <c r="J5881" s="215" t="str">
        <f>IF(Table2[[#This Row],[Description]]="","",Table2[[#This Row],[Value]]/Table2[[#This Row],[Conversion]])</f>
        <v/>
      </c>
      <c r="K5881" s="45" t="str">
        <f>IF(Table2[[#This Row],[Description]]="","",DATE(Table2[[#This Row],[Year]],Table2[[#This Row],[Month]],1))</f>
        <v/>
      </c>
    </row>
    <row r="5882" spans="7:11" x14ac:dyDescent="0.25">
      <c r="G5882" s="1" t="str">
        <f>IF(Table2[[#This Row],[Description]]="","",VLOOKUP(Table2[[#This Row],[Description]],$Q$1:$S$101,2,FALSE))</f>
        <v/>
      </c>
      <c r="H5882" s="1" t="str">
        <f>IF(Table2[[#This Row],[Description]]="","",VLOOKUP(Table2[[#This Row],[Description]],$Q$1:$S$101,3,FALSE))</f>
        <v/>
      </c>
      <c r="I5882" s="1" t="str">
        <f>IF(Table2[[#This Row],[Description]]="","",IF(Table2[[#This Row],[Currency]]=$O$2,$P$2,HLOOKUP(Table2[[#This Row],[Date]],Funds!$C$10:$GV$11,2,FALSE)))</f>
        <v/>
      </c>
      <c r="J5882" s="215" t="str">
        <f>IF(Table2[[#This Row],[Description]]="","",Table2[[#This Row],[Value]]/Table2[[#This Row],[Conversion]])</f>
        <v/>
      </c>
      <c r="K5882" s="45" t="str">
        <f>IF(Table2[[#This Row],[Description]]="","",DATE(Table2[[#This Row],[Year]],Table2[[#This Row],[Month]],1))</f>
        <v/>
      </c>
    </row>
    <row r="5883" spans="7:11" x14ac:dyDescent="0.25">
      <c r="G5883" s="1" t="str">
        <f>IF(Table2[[#This Row],[Description]]="","",VLOOKUP(Table2[[#This Row],[Description]],$Q$1:$S$101,2,FALSE))</f>
        <v/>
      </c>
      <c r="H5883" s="1" t="str">
        <f>IF(Table2[[#This Row],[Description]]="","",VLOOKUP(Table2[[#This Row],[Description]],$Q$1:$S$101,3,FALSE))</f>
        <v/>
      </c>
      <c r="I5883" s="1" t="str">
        <f>IF(Table2[[#This Row],[Description]]="","",IF(Table2[[#This Row],[Currency]]=$O$2,$P$2,HLOOKUP(Table2[[#This Row],[Date]],Funds!$C$10:$GV$11,2,FALSE)))</f>
        <v/>
      </c>
      <c r="J5883" s="215" t="str">
        <f>IF(Table2[[#This Row],[Description]]="","",Table2[[#This Row],[Value]]/Table2[[#This Row],[Conversion]])</f>
        <v/>
      </c>
      <c r="K5883" s="45" t="str">
        <f>IF(Table2[[#This Row],[Description]]="","",DATE(Table2[[#This Row],[Year]],Table2[[#This Row],[Month]],1))</f>
        <v/>
      </c>
    </row>
    <row r="5884" spans="7:11" x14ac:dyDescent="0.25">
      <c r="G5884" s="1" t="str">
        <f>IF(Table2[[#This Row],[Description]]="","",VLOOKUP(Table2[[#This Row],[Description]],$Q$1:$S$101,2,FALSE))</f>
        <v/>
      </c>
      <c r="H5884" s="1" t="str">
        <f>IF(Table2[[#This Row],[Description]]="","",VLOOKUP(Table2[[#This Row],[Description]],$Q$1:$S$101,3,FALSE))</f>
        <v/>
      </c>
      <c r="I5884" s="1" t="str">
        <f>IF(Table2[[#This Row],[Description]]="","",IF(Table2[[#This Row],[Currency]]=$O$2,$P$2,HLOOKUP(Table2[[#This Row],[Date]],Funds!$C$10:$GV$11,2,FALSE)))</f>
        <v/>
      </c>
      <c r="J5884" s="215" t="str">
        <f>IF(Table2[[#This Row],[Description]]="","",Table2[[#This Row],[Value]]/Table2[[#This Row],[Conversion]])</f>
        <v/>
      </c>
      <c r="K5884" s="45" t="str">
        <f>IF(Table2[[#This Row],[Description]]="","",DATE(Table2[[#This Row],[Year]],Table2[[#This Row],[Month]],1))</f>
        <v/>
      </c>
    </row>
    <row r="5885" spans="7:11" x14ac:dyDescent="0.25">
      <c r="G5885" s="1" t="str">
        <f>IF(Table2[[#This Row],[Description]]="","",VLOOKUP(Table2[[#This Row],[Description]],$Q$1:$S$101,2,FALSE))</f>
        <v/>
      </c>
      <c r="H5885" s="1" t="str">
        <f>IF(Table2[[#This Row],[Description]]="","",VLOOKUP(Table2[[#This Row],[Description]],$Q$1:$S$101,3,FALSE))</f>
        <v/>
      </c>
      <c r="I5885" s="1" t="str">
        <f>IF(Table2[[#This Row],[Description]]="","",IF(Table2[[#This Row],[Currency]]=$O$2,$P$2,HLOOKUP(Table2[[#This Row],[Date]],Funds!$C$10:$GV$11,2,FALSE)))</f>
        <v/>
      </c>
      <c r="J5885" s="215" t="str">
        <f>IF(Table2[[#This Row],[Description]]="","",Table2[[#This Row],[Value]]/Table2[[#This Row],[Conversion]])</f>
        <v/>
      </c>
      <c r="K5885" s="45" t="str">
        <f>IF(Table2[[#This Row],[Description]]="","",DATE(Table2[[#This Row],[Year]],Table2[[#This Row],[Month]],1))</f>
        <v/>
      </c>
    </row>
    <row r="5886" spans="7:11" x14ac:dyDescent="0.25">
      <c r="G5886" s="1" t="str">
        <f>IF(Table2[[#This Row],[Description]]="","",VLOOKUP(Table2[[#This Row],[Description]],$Q$1:$S$101,2,FALSE))</f>
        <v/>
      </c>
      <c r="H5886" s="1" t="str">
        <f>IF(Table2[[#This Row],[Description]]="","",VLOOKUP(Table2[[#This Row],[Description]],$Q$1:$S$101,3,FALSE))</f>
        <v/>
      </c>
      <c r="I5886" s="1" t="str">
        <f>IF(Table2[[#This Row],[Description]]="","",IF(Table2[[#This Row],[Currency]]=$O$2,$P$2,HLOOKUP(Table2[[#This Row],[Date]],Funds!$C$10:$GV$11,2,FALSE)))</f>
        <v/>
      </c>
      <c r="J5886" s="215" t="str">
        <f>IF(Table2[[#This Row],[Description]]="","",Table2[[#This Row],[Value]]/Table2[[#This Row],[Conversion]])</f>
        <v/>
      </c>
      <c r="K5886" s="45" t="str">
        <f>IF(Table2[[#This Row],[Description]]="","",DATE(Table2[[#This Row],[Year]],Table2[[#This Row],[Month]],1))</f>
        <v/>
      </c>
    </row>
    <row r="5887" spans="7:11" x14ac:dyDescent="0.25">
      <c r="G5887" s="1" t="str">
        <f>IF(Table2[[#This Row],[Description]]="","",VLOOKUP(Table2[[#This Row],[Description]],$Q$1:$S$101,2,FALSE))</f>
        <v/>
      </c>
      <c r="H5887" s="1" t="str">
        <f>IF(Table2[[#This Row],[Description]]="","",VLOOKUP(Table2[[#This Row],[Description]],$Q$1:$S$101,3,FALSE))</f>
        <v/>
      </c>
      <c r="I5887" s="1" t="str">
        <f>IF(Table2[[#This Row],[Description]]="","",IF(Table2[[#This Row],[Currency]]=$O$2,$P$2,HLOOKUP(Table2[[#This Row],[Date]],Funds!$C$10:$GV$11,2,FALSE)))</f>
        <v/>
      </c>
      <c r="J5887" s="215" t="str">
        <f>IF(Table2[[#This Row],[Description]]="","",Table2[[#This Row],[Value]]/Table2[[#This Row],[Conversion]])</f>
        <v/>
      </c>
      <c r="K5887" s="45" t="str">
        <f>IF(Table2[[#This Row],[Description]]="","",DATE(Table2[[#This Row],[Year]],Table2[[#This Row],[Month]],1))</f>
        <v/>
      </c>
    </row>
    <row r="5888" spans="7:11" x14ac:dyDescent="0.25">
      <c r="G5888" s="1" t="str">
        <f>IF(Table2[[#This Row],[Description]]="","",VLOOKUP(Table2[[#This Row],[Description]],$Q$1:$S$101,2,FALSE))</f>
        <v/>
      </c>
      <c r="H5888" s="1" t="str">
        <f>IF(Table2[[#This Row],[Description]]="","",VLOOKUP(Table2[[#This Row],[Description]],$Q$1:$S$101,3,FALSE))</f>
        <v/>
      </c>
      <c r="I5888" s="1" t="str">
        <f>IF(Table2[[#This Row],[Description]]="","",IF(Table2[[#This Row],[Currency]]=$O$2,$P$2,HLOOKUP(Table2[[#This Row],[Date]],Funds!$C$10:$GV$11,2,FALSE)))</f>
        <v/>
      </c>
      <c r="J5888" s="215" t="str">
        <f>IF(Table2[[#This Row],[Description]]="","",Table2[[#This Row],[Value]]/Table2[[#This Row],[Conversion]])</f>
        <v/>
      </c>
      <c r="K5888" s="45" t="str">
        <f>IF(Table2[[#This Row],[Description]]="","",DATE(Table2[[#This Row],[Year]],Table2[[#This Row],[Month]],1))</f>
        <v/>
      </c>
    </row>
    <row r="5889" spans="7:11" x14ac:dyDescent="0.25">
      <c r="G5889" s="1" t="str">
        <f>IF(Table2[[#This Row],[Description]]="","",VLOOKUP(Table2[[#This Row],[Description]],$Q$1:$S$101,2,FALSE))</f>
        <v/>
      </c>
      <c r="H5889" s="1" t="str">
        <f>IF(Table2[[#This Row],[Description]]="","",VLOOKUP(Table2[[#This Row],[Description]],$Q$1:$S$101,3,FALSE))</f>
        <v/>
      </c>
      <c r="I5889" s="1" t="str">
        <f>IF(Table2[[#This Row],[Description]]="","",IF(Table2[[#This Row],[Currency]]=$O$2,$P$2,HLOOKUP(Table2[[#This Row],[Date]],Funds!$C$10:$GV$11,2,FALSE)))</f>
        <v/>
      </c>
      <c r="J5889" s="215" t="str">
        <f>IF(Table2[[#This Row],[Description]]="","",Table2[[#This Row],[Value]]/Table2[[#This Row],[Conversion]])</f>
        <v/>
      </c>
      <c r="K5889" s="45" t="str">
        <f>IF(Table2[[#This Row],[Description]]="","",DATE(Table2[[#This Row],[Year]],Table2[[#This Row],[Month]],1))</f>
        <v/>
      </c>
    </row>
    <row r="5890" spans="7:11" x14ac:dyDescent="0.25">
      <c r="G5890" s="1" t="str">
        <f>IF(Table2[[#This Row],[Description]]="","",VLOOKUP(Table2[[#This Row],[Description]],$Q$1:$S$101,2,FALSE))</f>
        <v/>
      </c>
      <c r="H5890" s="1" t="str">
        <f>IF(Table2[[#This Row],[Description]]="","",VLOOKUP(Table2[[#This Row],[Description]],$Q$1:$S$101,3,FALSE))</f>
        <v/>
      </c>
      <c r="I5890" s="1" t="str">
        <f>IF(Table2[[#This Row],[Description]]="","",IF(Table2[[#This Row],[Currency]]=$O$2,$P$2,HLOOKUP(Table2[[#This Row],[Date]],Funds!$C$10:$GV$11,2,FALSE)))</f>
        <v/>
      </c>
      <c r="J5890" s="215" t="str">
        <f>IF(Table2[[#This Row],[Description]]="","",Table2[[#This Row],[Value]]/Table2[[#This Row],[Conversion]])</f>
        <v/>
      </c>
      <c r="K5890" s="45" t="str">
        <f>IF(Table2[[#This Row],[Description]]="","",DATE(Table2[[#This Row],[Year]],Table2[[#This Row],[Month]],1))</f>
        <v/>
      </c>
    </row>
    <row r="5891" spans="7:11" x14ac:dyDescent="0.25">
      <c r="G5891" s="1" t="str">
        <f>IF(Table2[[#This Row],[Description]]="","",VLOOKUP(Table2[[#This Row],[Description]],$Q$1:$S$101,2,FALSE))</f>
        <v/>
      </c>
      <c r="H5891" s="1" t="str">
        <f>IF(Table2[[#This Row],[Description]]="","",VLOOKUP(Table2[[#This Row],[Description]],$Q$1:$S$101,3,FALSE))</f>
        <v/>
      </c>
      <c r="I5891" s="1" t="str">
        <f>IF(Table2[[#This Row],[Description]]="","",IF(Table2[[#This Row],[Currency]]=$O$2,$P$2,HLOOKUP(Table2[[#This Row],[Date]],Funds!$C$10:$GV$11,2,FALSE)))</f>
        <v/>
      </c>
      <c r="J5891" s="215" t="str">
        <f>IF(Table2[[#This Row],[Description]]="","",Table2[[#This Row],[Value]]/Table2[[#This Row],[Conversion]])</f>
        <v/>
      </c>
      <c r="K5891" s="45" t="str">
        <f>IF(Table2[[#This Row],[Description]]="","",DATE(Table2[[#This Row],[Year]],Table2[[#This Row],[Month]],1))</f>
        <v/>
      </c>
    </row>
    <row r="5892" spans="7:11" x14ac:dyDescent="0.25">
      <c r="G5892" s="1" t="str">
        <f>IF(Table2[[#This Row],[Description]]="","",VLOOKUP(Table2[[#This Row],[Description]],$Q$1:$S$101,2,FALSE))</f>
        <v/>
      </c>
      <c r="H5892" s="1" t="str">
        <f>IF(Table2[[#This Row],[Description]]="","",VLOOKUP(Table2[[#This Row],[Description]],$Q$1:$S$101,3,FALSE))</f>
        <v/>
      </c>
      <c r="I5892" s="1" t="str">
        <f>IF(Table2[[#This Row],[Description]]="","",IF(Table2[[#This Row],[Currency]]=$O$2,$P$2,HLOOKUP(Table2[[#This Row],[Date]],Funds!$C$10:$GV$11,2,FALSE)))</f>
        <v/>
      </c>
      <c r="J5892" s="215" t="str">
        <f>IF(Table2[[#This Row],[Description]]="","",Table2[[#This Row],[Value]]/Table2[[#This Row],[Conversion]])</f>
        <v/>
      </c>
      <c r="K5892" s="45" t="str">
        <f>IF(Table2[[#This Row],[Description]]="","",DATE(Table2[[#This Row],[Year]],Table2[[#This Row],[Month]],1))</f>
        <v/>
      </c>
    </row>
    <row r="5893" spans="7:11" x14ac:dyDescent="0.25">
      <c r="G5893" s="1" t="str">
        <f>IF(Table2[[#This Row],[Description]]="","",VLOOKUP(Table2[[#This Row],[Description]],$Q$1:$S$101,2,FALSE))</f>
        <v/>
      </c>
      <c r="H5893" s="1" t="str">
        <f>IF(Table2[[#This Row],[Description]]="","",VLOOKUP(Table2[[#This Row],[Description]],$Q$1:$S$101,3,FALSE))</f>
        <v/>
      </c>
      <c r="I5893" s="1" t="str">
        <f>IF(Table2[[#This Row],[Description]]="","",IF(Table2[[#This Row],[Currency]]=$O$2,$P$2,HLOOKUP(Table2[[#This Row],[Date]],Funds!$C$10:$GV$11,2,FALSE)))</f>
        <v/>
      </c>
      <c r="J5893" s="215" t="str">
        <f>IF(Table2[[#This Row],[Description]]="","",Table2[[#This Row],[Value]]/Table2[[#This Row],[Conversion]])</f>
        <v/>
      </c>
      <c r="K5893" s="45" t="str">
        <f>IF(Table2[[#This Row],[Description]]="","",DATE(Table2[[#This Row],[Year]],Table2[[#This Row],[Month]],1))</f>
        <v/>
      </c>
    </row>
    <row r="5894" spans="7:11" x14ac:dyDescent="0.25">
      <c r="G5894" s="1" t="str">
        <f>IF(Table2[[#This Row],[Description]]="","",VLOOKUP(Table2[[#This Row],[Description]],$Q$1:$S$101,2,FALSE))</f>
        <v/>
      </c>
      <c r="H5894" s="1" t="str">
        <f>IF(Table2[[#This Row],[Description]]="","",VLOOKUP(Table2[[#This Row],[Description]],$Q$1:$S$101,3,FALSE))</f>
        <v/>
      </c>
      <c r="I5894" s="1" t="str">
        <f>IF(Table2[[#This Row],[Description]]="","",IF(Table2[[#This Row],[Currency]]=$O$2,$P$2,HLOOKUP(Table2[[#This Row],[Date]],Funds!$C$10:$GV$11,2,FALSE)))</f>
        <v/>
      </c>
      <c r="J5894" s="215" t="str">
        <f>IF(Table2[[#This Row],[Description]]="","",Table2[[#This Row],[Value]]/Table2[[#This Row],[Conversion]])</f>
        <v/>
      </c>
      <c r="K5894" s="45" t="str">
        <f>IF(Table2[[#This Row],[Description]]="","",DATE(Table2[[#This Row],[Year]],Table2[[#This Row],[Month]],1))</f>
        <v/>
      </c>
    </row>
    <row r="5895" spans="7:11" x14ac:dyDescent="0.25">
      <c r="G5895" s="1" t="str">
        <f>IF(Table2[[#This Row],[Description]]="","",VLOOKUP(Table2[[#This Row],[Description]],$Q$1:$S$101,2,FALSE))</f>
        <v/>
      </c>
      <c r="H5895" s="1" t="str">
        <f>IF(Table2[[#This Row],[Description]]="","",VLOOKUP(Table2[[#This Row],[Description]],$Q$1:$S$101,3,FALSE))</f>
        <v/>
      </c>
      <c r="I5895" s="1" t="str">
        <f>IF(Table2[[#This Row],[Description]]="","",IF(Table2[[#This Row],[Currency]]=$O$2,$P$2,HLOOKUP(Table2[[#This Row],[Date]],Funds!$C$10:$GV$11,2,FALSE)))</f>
        <v/>
      </c>
      <c r="J5895" s="215" t="str">
        <f>IF(Table2[[#This Row],[Description]]="","",Table2[[#This Row],[Value]]/Table2[[#This Row],[Conversion]])</f>
        <v/>
      </c>
      <c r="K5895" s="45" t="str">
        <f>IF(Table2[[#This Row],[Description]]="","",DATE(Table2[[#This Row],[Year]],Table2[[#This Row],[Month]],1))</f>
        <v/>
      </c>
    </row>
    <row r="5896" spans="7:11" x14ac:dyDescent="0.25">
      <c r="G5896" s="1" t="str">
        <f>IF(Table2[[#This Row],[Description]]="","",VLOOKUP(Table2[[#This Row],[Description]],$Q$1:$S$101,2,FALSE))</f>
        <v/>
      </c>
      <c r="H5896" s="1" t="str">
        <f>IF(Table2[[#This Row],[Description]]="","",VLOOKUP(Table2[[#This Row],[Description]],$Q$1:$S$101,3,FALSE))</f>
        <v/>
      </c>
      <c r="I5896" s="1" t="str">
        <f>IF(Table2[[#This Row],[Description]]="","",IF(Table2[[#This Row],[Currency]]=$O$2,$P$2,HLOOKUP(Table2[[#This Row],[Date]],Funds!$C$10:$GV$11,2,FALSE)))</f>
        <v/>
      </c>
      <c r="J5896" s="215" t="str">
        <f>IF(Table2[[#This Row],[Description]]="","",Table2[[#This Row],[Value]]/Table2[[#This Row],[Conversion]])</f>
        <v/>
      </c>
      <c r="K5896" s="45" t="str">
        <f>IF(Table2[[#This Row],[Description]]="","",DATE(Table2[[#This Row],[Year]],Table2[[#This Row],[Month]],1))</f>
        <v/>
      </c>
    </row>
    <row r="5897" spans="7:11" x14ac:dyDescent="0.25">
      <c r="G5897" s="1" t="str">
        <f>IF(Table2[[#This Row],[Description]]="","",VLOOKUP(Table2[[#This Row],[Description]],$Q$1:$S$101,2,FALSE))</f>
        <v/>
      </c>
      <c r="H5897" s="1" t="str">
        <f>IF(Table2[[#This Row],[Description]]="","",VLOOKUP(Table2[[#This Row],[Description]],$Q$1:$S$101,3,FALSE))</f>
        <v/>
      </c>
      <c r="I5897" s="1" t="str">
        <f>IF(Table2[[#This Row],[Description]]="","",IF(Table2[[#This Row],[Currency]]=$O$2,$P$2,HLOOKUP(Table2[[#This Row],[Date]],Funds!$C$10:$GV$11,2,FALSE)))</f>
        <v/>
      </c>
      <c r="J5897" s="215" t="str">
        <f>IF(Table2[[#This Row],[Description]]="","",Table2[[#This Row],[Value]]/Table2[[#This Row],[Conversion]])</f>
        <v/>
      </c>
      <c r="K5897" s="45" t="str">
        <f>IF(Table2[[#This Row],[Description]]="","",DATE(Table2[[#This Row],[Year]],Table2[[#This Row],[Month]],1))</f>
        <v/>
      </c>
    </row>
    <row r="5898" spans="7:11" x14ac:dyDescent="0.25">
      <c r="G5898" s="1" t="str">
        <f>IF(Table2[[#This Row],[Description]]="","",VLOOKUP(Table2[[#This Row],[Description]],$Q$1:$S$101,2,FALSE))</f>
        <v/>
      </c>
      <c r="H5898" s="1" t="str">
        <f>IF(Table2[[#This Row],[Description]]="","",VLOOKUP(Table2[[#This Row],[Description]],$Q$1:$S$101,3,FALSE))</f>
        <v/>
      </c>
      <c r="I5898" s="1" t="str">
        <f>IF(Table2[[#This Row],[Description]]="","",IF(Table2[[#This Row],[Currency]]=$O$2,$P$2,HLOOKUP(Table2[[#This Row],[Date]],Funds!$C$10:$GV$11,2,FALSE)))</f>
        <v/>
      </c>
      <c r="J5898" s="215" t="str">
        <f>IF(Table2[[#This Row],[Description]]="","",Table2[[#This Row],[Value]]/Table2[[#This Row],[Conversion]])</f>
        <v/>
      </c>
      <c r="K5898" s="45" t="str">
        <f>IF(Table2[[#This Row],[Description]]="","",DATE(Table2[[#This Row],[Year]],Table2[[#This Row],[Month]],1))</f>
        <v/>
      </c>
    </row>
    <row r="5899" spans="7:11" x14ac:dyDescent="0.25">
      <c r="G5899" s="1" t="str">
        <f>IF(Table2[[#This Row],[Description]]="","",VLOOKUP(Table2[[#This Row],[Description]],$Q$1:$S$101,2,FALSE))</f>
        <v/>
      </c>
      <c r="H5899" s="1" t="str">
        <f>IF(Table2[[#This Row],[Description]]="","",VLOOKUP(Table2[[#This Row],[Description]],$Q$1:$S$101,3,FALSE))</f>
        <v/>
      </c>
      <c r="I5899" s="1" t="str">
        <f>IF(Table2[[#This Row],[Description]]="","",IF(Table2[[#This Row],[Currency]]=$O$2,$P$2,HLOOKUP(Table2[[#This Row],[Date]],Funds!$C$10:$GV$11,2,FALSE)))</f>
        <v/>
      </c>
      <c r="J5899" s="215" t="str">
        <f>IF(Table2[[#This Row],[Description]]="","",Table2[[#This Row],[Value]]/Table2[[#This Row],[Conversion]])</f>
        <v/>
      </c>
      <c r="K5899" s="45" t="str">
        <f>IF(Table2[[#This Row],[Description]]="","",DATE(Table2[[#This Row],[Year]],Table2[[#This Row],[Month]],1))</f>
        <v/>
      </c>
    </row>
    <row r="5900" spans="7:11" x14ac:dyDescent="0.25">
      <c r="G5900" s="1" t="str">
        <f>IF(Table2[[#This Row],[Description]]="","",VLOOKUP(Table2[[#This Row],[Description]],$Q$1:$S$101,2,FALSE))</f>
        <v/>
      </c>
      <c r="H5900" s="1" t="str">
        <f>IF(Table2[[#This Row],[Description]]="","",VLOOKUP(Table2[[#This Row],[Description]],$Q$1:$S$101,3,FALSE))</f>
        <v/>
      </c>
      <c r="I5900" s="1" t="str">
        <f>IF(Table2[[#This Row],[Description]]="","",IF(Table2[[#This Row],[Currency]]=$O$2,$P$2,HLOOKUP(Table2[[#This Row],[Date]],Funds!$C$10:$GV$11,2,FALSE)))</f>
        <v/>
      </c>
      <c r="J5900" s="215" t="str">
        <f>IF(Table2[[#This Row],[Description]]="","",Table2[[#This Row],[Value]]/Table2[[#This Row],[Conversion]])</f>
        <v/>
      </c>
      <c r="K5900" s="45" t="str">
        <f>IF(Table2[[#This Row],[Description]]="","",DATE(Table2[[#This Row],[Year]],Table2[[#This Row],[Month]],1))</f>
        <v/>
      </c>
    </row>
    <row r="5901" spans="7:11" x14ac:dyDescent="0.25">
      <c r="G5901" s="1" t="str">
        <f>IF(Table2[[#This Row],[Description]]="","",VLOOKUP(Table2[[#This Row],[Description]],$Q$1:$S$101,2,FALSE))</f>
        <v/>
      </c>
      <c r="H5901" s="1" t="str">
        <f>IF(Table2[[#This Row],[Description]]="","",VLOOKUP(Table2[[#This Row],[Description]],$Q$1:$S$101,3,FALSE))</f>
        <v/>
      </c>
      <c r="I5901" s="1" t="str">
        <f>IF(Table2[[#This Row],[Description]]="","",IF(Table2[[#This Row],[Currency]]=$O$2,$P$2,HLOOKUP(Table2[[#This Row],[Date]],Funds!$C$10:$GV$11,2,FALSE)))</f>
        <v/>
      </c>
      <c r="J5901" s="215" t="str">
        <f>IF(Table2[[#This Row],[Description]]="","",Table2[[#This Row],[Value]]/Table2[[#This Row],[Conversion]])</f>
        <v/>
      </c>
      <c r="K5901" s="45" t="str">
        <f>IF(Table2[[#This Row],[Description]]="","",DATE(Table2[[#This Row],[Year]],Table2[[#This Row],[Month]],1))</f>
        <v/>
      </c>
    </row>
    <row r="5902" spans="7:11" x14ac:dyDescent="0.25">
      <c r="G5902" s="1" t="str">
        <f>IF(Table2[[#This Row],[Description]]="","",VLOOKUP(Table2[[#This Row],[Description]],$Q$1:$S$101,2,FALSE))</f>
        <v/>
      </c>
      <c r="H5902" s="1" t="str">
        <f>IF(Table2[[#This Row],[Description]]="","",VLOOKUP(Table2[[#This Row],[Description]],$Q$1:$S$101,3,FALSE))</f>
        <v/>
      </c>
      <c r="I5902" s="1" t="str">
        <f>IF(Table2[[#This Row],[Description]]="","",IF(Table2[[#This Row],[Currency]]=$O$2,$P$2,HLOOKUP(Table2[[#This Row],[Date]],Funds!$C$10:$GV$11,2,FALSE)))</f>
        <v/>
      </c>
      <c r="J5902" s="215" t="str">
        <f>IF(Table2[[#This Row],[Description]]="","",Table2[[#This Row],[Value]]/Table2[[#This Row],[Conversion]])</f>
        <v/>
      </c>
      <c r="K5902" s="45" t="str">
        <f>IF(Table2[[#This Row],[Description]]="","",DATE(Table2[[#This Row],[Year]],Table2[[#This Row],[Month]],1))</f>
        <v/>
      </c>
    </row>
    <row r="5903" spans="7:11" x14ac:dyDescent="0.25">
      <c r="G5903" s="1" t="str">
        <f>IF(Table2[[#This Row],[Description]]="","",VLOOKUP(Table2[[#This Row],[Description]],$Q$1:$S$101,2,FALSE))</f>
        <v/>
      </c>
      <c r="H5903" s="1" t="str">
        <f>IF(Table2[[#This Row],[Description]]="","",VLOOKUP(Table2[[#This Row],[Description]],$Q$1:$S$101,3,FALSE))</f>
        <v/>
      </c>
      <c r="I5903" s="1" t="str">
        <f>IF(Table2[[#This Row],[Description]]="","",IF(Table2[[#This Row],[Currency]]=$O$2,$P$2,HLOOKUP(Table2[[#This Row],[Date]],Funds!$C$10:$GV$11,2,FALSE)))</f>
        <v/>
      </c>
      <c r="J5903" s="215" t="str">
        <f>IF(Table2[[#This Row],[Description]]="","",Table2[[#This Row],[Value]]/Table2[[#This Row],[Conversion]])</f>
        <v/>
      </c>
      <c r="K5903" s="45" t="str">
        <f>IF(Table2[[#This Row],[Description]]="","",DATE(Table2[[#This Row],[Year]],Table2[[#This Row],[Month]],1))</f>
        <v/>
      </c>
    </row>
    <row r="5904" spans="7:11" x14ac:dyDescent="0.25">
      <c r="G5904" s="1" t="str">
        <f>IF(Table2[[#This Row],[Description]]="","",VLOOKUP(Table2[[#This Row],[Description]],$Q$1:$S$101,2,FALSE))</f>
        <v/>
      </c>
      <c r="H5904" s="1" t="str">
        <f>IF(Table2[[#This Row],[Description]]="","",VLOOKUP(Table2[[#This Row],[Description]],$Q$1:$S$101,3,FALSE))</f>
        <v/>
      </c>
      <c r="I5904" s="1" t="str">
        <f>IF(Table2[[#This Row],[Description]]="","",IF(Table2[[#This Row],[Currency]]=$O$2,$P$2,HLOOKUP(Table2[[#This Row],[Date]],Funds!$C$10:$GV$11,2,FALSE)))</f>
        <v/>
      </c>
      <c r="J5904" s="215" t="str">
        <f>IF(Table2[[#This Row],[Description]]="","",Table2[[#This Row],[Value]]/Table2[[#This Row],[Conversion]])</f>
        <v/>
      </c>
      <c r="K5904" s="45" t="str">
        <f>IF(Table2[[#This Row],[Description]]="","",DATE(Table2[[#This Row],[Year]],Table2[[#This Row],[Month]],1))</f>
        <v/>
      </c>
    </row>
    <row r="5905" spans="7:11" x14ac:dyDescent="0.25">
      <c r="G5905" s="1" t="str">
        <f>IF(Table2[[#This Row],[Description]]="","",VLOOKUP(Table2[[#This Row],[Description]],$Q$1:$S$101,2,FALSE))</f>
        <v/>
      </c>
      <c r="H5905" s="1" t="str">
        <f>IF(Table2[[#This Row],[Description]]="","",VLOOKUP(Table2[[#This Row],[Description]],$Q$1:$S$101,3,FALSE))</f>
        <v/>
      </c>
      <c r="I5905" s="1" t="str">
        <f>IF(Table2[[#This Row],[Description]]="","",IF(Table2[[#This Row],[Currency]]=$O$2,$P$2,HLOOKUP(Table2[[#This Row],[Date]],Funds!$C$10:$GV$11,2,FALSE)))</f>
        <v/>
      </c>
      <c r="J5905" s="215" t="str">
        <f>IF(Table2[[#This Row],[Description]]="","",Table2[[#This Row],[Value]]/Table2[[#This Row],[Conversion]])</f>
        <v/>
      </c>
      <c r="K5905" s="45" t="str">
        <f>IF(Table2[[#This Row],[Description]]="","",DATE(Table2[[#This Row],[Year]],Table2[[#This Row],[Month]],1))</f>
        <v/>
      </c>
    </row>
    <row r="5906" spans="7:11" x14ac:dyDescent="0.25">
      <c r="G5906" s="1" t="str">
        <f>IF(Table2[[#This Row],[Description]]="","",VLOOKUP(Table2[[#This Row],[Description]],$Q$1:$S$101,2,FALSE))</f>
        <v/>
      </c>
      <c r="H5906" s="1" t="str">
        <f>IF(Table2[[#This Row],[Description]]="","",VLOOKUP(Table2[[#This Row],[Description]],$Q$1:$S$101,3,FALSE))</f>
        <v/>
      </c>
      <c r="I5906" s="1" t="str">
        <f>IF(Table2[[#This Row],[Description]]="","",IF(Table2[[#This Row],[Currency]]=$O$2,$P$2,HLOOKUP(Table2[[#This Row],[Date]],Funds!$C$10:$GV$11,2,FALSE)))</f>
        <v/>
      </c>
      <c r="J5906" s="215" t="str">
        <f>IF(Table2[[#This Row],[Description]]="","",Table2[[#This Row],[Value]]/Table2[[#This Row],[Conversion]])</f>
        <v/>
      </c>
      <c r="K5906" s="45" t="str">
        <f>IF(Table2[[#This Row],[Description]]="","",DATE(Table2[[#This Row],[Year]],Table2[[#This Row],[Month]],1))</f>
        <v/>
      </c>
    </row>
    <row r="5907" spans="7:11" x14ac:dyDescent="0.25">
      <c r="G5907" s="1" t="str">
        <f>IF(Table2[[#This Row],[Description]]="","",VLOOKUP(Table2[[#This Row],[Description]],$Q$1:$S$101,2,FALSE))</f>
        <v/>
      </c>
      <c r="H5907" s="1" t="str">
        <f>IF(Table2[[#This Row],[Description]]="","",VLOOKUP(Table2[[#This Row],[Description]],$Q$1:$S$101,3,FALSE))</f>
        <v/>
      </c>
      <c r="I5907" s="1" t="str">
        <f>IF(Table2[[#This Row],[Description]]="","",IF(Table2[[#This Row],[Currency]]=$O$2,$P$2,HLOOKUP(Table2[[#This Row],[Date]],Funds!$C$10:$GV$11,2,FALSE)))</f>
        <v/>
      </c>
      <c r="J5907" s="215" t="str">
        <f>IF(Table2[[#This Row],[Description]]="","",Table2[[#This Row],[Value]]/Table2[[#This Row],[Conversion]])</f>
        <v/>
      </c>
      <c r="K5907" s="45" t="str">
        <f>IF(Table2[[#This Row],[Description]]="","",DATE(Table2[[#This Row],[Year]],Table2[[#This Row],[Month]],1))</f>
        <v/>
      </c>
    </row>
    <row r="5908" spans="7:11" x14ac:dyDescent="0.25">
      <c r="G5908" s="1" t="str">
        <f>IF(Table2[[#This Row],[Description]]="","",VLOOKUP(Table2[[#This Row],[Description]],$Q$1:$S$101,2,FALSE))</f>
        <v/>
      </c>
      <c r="H5908" s="1" t="str">
        <f>IF(Table2[[#This Row],[Description]]="","",VLOOKUP(Table2[[#This Row],[Description]],$Q$1:$S$101,3,FALSE))</f>
        <v/>
      </c>
      <c r="I5908" s="1" t="str">
        <f>IF(Table2[[#This Row],[Description]]="","",IF(Table2[[#This Row],[Currency]]=$O$2,$P$2,HLOOKUP(Table2[[#This Row],[Date]],Funds!$C$10:$GV$11,2,FALSE)))</f>
        <v/>
      </c>
      <c r="J5908" s="215" t="str">
        <f>IF(Table2[[#This Row],[Description]]="","",Table2[[#This Row],[Value]]/Table2[[#This Row],[Conversion]])</f>
        <v/>
      </c>
      <c r="K5908" s="45" t="str">
        <f>IF(Table2[[#This Row],[Description]]="","",DATE(Table2[[#This Row],[Year]],Table2[[#This Row],[Month]],1))</f>
        <v/>
      </c>
    </row>
    <row r="5909" spans="7:11" x14ac:dyDescent="0.25">
      <c r="G5909" s="1" t="str">
        <f>IF(Table2[[#This Row],[Description]]="","",VLOOKUP(Table2[[#This Row],[Description]],$Q$1:$S$101,2,FALSE))</f>
        <v/>
      </c>
      <c r="H5909" s="1" t="str">
        <f>IF(Table2[[#This Row],[Description]]="","",VLOOKUP(Table2[[#This Row],[Description]],$Q$1:$S$101,3,FALSE))</f>
        <v/>
      </c>
      <c r="I5909" s="1" t="str">
        <f>IF(Table2[[#This Row],[Description]]="","",IF(Table2[[#This Row],[Currency]]=$O$2,$P$2,HLOOKUP(Table2[[#This Row],[Date]],Funds!$C$10:$GV$11,2,FALSE)))</f>
        <v/>
      </c>
      <c r="J5909" s="215" t="str">
        <f>IF(Table2[[#This Row],[Description]]="","",Table2[[#This Row],[Value]]/Table2[[#This Row],[Conversion]])</f>
        <v/>
      </c>
      <c r="K5909" s="45" t="str">
        <f>IF(Table2[[#This Row],[Description]]="","",DATE(Table2[[#This Row],[Year]],Table2[[#This Row],[Month]],1))</f>
        <v/>
      </c>
    </row>
    <row r="5910" spans="7:11" x14ac:dyDescent="0.25">
      <c r="G5910" s="1" t="str">
        <f>IF(Table2[[#This Row],[Description]]="","",VLOOKUP(Table2[[#This Row],[Description]],$Q$1:$S$101,2,FALSE))</f>
        <v/>
      </c>
      <c r="H5910" s="1" t="str">
        <f>IF(Table2[[#This Row],[Description]]="","",VLOOKUP(Table2[[#This Row],[Description]],$Q$1:$S$101,3,FALSE))</f>
        <v/>
      </c>
      <c r="I5910" s="1" t="str">
        <f>IF(Table2[[#This Row],[Description]]="","",IF(Table2[[#This Row],[Currency]]=$O$2,$P$2,HLOOKUP(Table2[[#This Row],[Date]],Funds!$C$10:$GV$11,2,FALSE)))</f>
        <v/>
      </c>
      <c r="J5910" s="215" t="str">
        <f>IF(Table2[[#This Row],[Description]]="","",Table2[[#This Row],[Value]]/Table2[[#This Row],[Conversion]])</f>
        <v/>
      </c>
      <c r="K5910" s="45" t="str">
        <f>IF(Table2[[#This Row],[Description]]="","",DATE(Table2[[#This Row],[Year]],Table2[[#This Row],[Month]],1))</f>
        <v/>
      </c>
    </row>
    <row r="5911" spans="7:11" x14ac:dyDescent="0.25">
      <c r="G5911" s="1" t="str">
        <f>IF(Table2[[#This Row],[Description]]="","",VLOOKUP(Table2[[#This Row],[Description]],$Q$1:$S$101,2,FALSE))</f>
        <v/>
      </c>
      <c r="H5911" s="1" t="str">
        <f>IF(Table2[[#This Row],[Description]]="","",VLOOKUP(Table2[[#This Row],[Description]],$Q$1:$S$101,3,FALSE))</f>
        <v/>
      </c>
      <c r="I5911" s="1" t="str">
        <f>IF(Table2[[#This Row],[Description]]="","",IF(Table2[[#This Row],[Currency]]=$O$2,$P$2,HLOOKUP(Table2[[#This Row],[Date]],Funds!$C$10:$GV$11,2,FALSE)))</f>
        <v/>
      </c>
      <c r="J5911" s="215" t="str">
        <f>IF(Table2[[#This Row],[Description]]="","",Table2[[#This Row],[Value]]/Table2[[#This Row],[Conversion]])</f>
        <v/>
      </c>
      <c r="K5911" s="45" t="str">
        <f>IF(Table2[[#This Row],[Description]]="","",DATE(Table2[[#This Row],[Year]],Table2[[#This Row],[Month]],1))</f>
        <v/>
      </c>
    </row>
    <row r="5912" spans="7:11" x14ac:dyDescent="0.25">
      <c r="G5912" s="1" t="str">
        <f>IF(Table2[[#This Row],[Description]]="","",VLOOKUP(Table2[[#This Row],[Description]],$Q$1:$S$101,2,FALSE))</f>
        <v/>
      </c>
      <c r="H5912" s="1" t="str">
        <f>IF(Table2[[#This Row],[Description]]="","",VLOOKUP(Table2[[#This Row],[Description]],$Q$1:$S$101,3,FALSE))</f>
        <v/>
      </c>
      <c r="I5912" s="1" t="str">
        <f>IF(Table2[[#This Row],[Description]]="","",IF(Table2[[#This Row],[Currency]]=$O$2,$P$2,HLOOKUP(Table2[[#This Row],[Date]],Funds!$C$10:$GV$11,2,FALSE)))</f>
        <v/>
      </c>
      <c r="J5912" s="215" t="str">
        <f>IF(Table2[[#This Row],[Description]]="","",Table2[[#This Row],[Value]]/Table2[[#This Row],[Conversion]])</f>
        <v/>
      </c>
      <c r="K5912" s="45" t="str">
        <f>IF(Table2[[#This Row],[Description]]="","",DATE(Table2[[#This Row],[Year]],Table2[[#This Row],[Month]],1))</f>
        <v/>
      </c>
    </row>
    <row r="5913" spans="7:11" x14ac:dyDescent="0.25">
      <c r="G5913" s="1" t="str">
        <f>IF(Table2[[#This Row],[Description]]="","",VLOOKUP(Table2[[#This Row],[Description]],$Q$1:$S$101,2,FALSE))</f>
        <v/>
      </c>
      <c r="H5913" s="1" t="str">
        <f>IF(Table2[[#This Row],[Description]]="","",VLOOKUP(Table2[[#This Row],[Description]],$Q$1:$S$101,3,FALSE))</f>
        <v/>
      </c>
      <c r="I5913" s="1" t="str">
        <f>IF(Table2[[#This Row],[Description]]="","",IF(Table2[[#This Row],[Currency]]=$O$2,$P$2,HLOOKUP(Table2[[#This Row],[Date]],Funds!$C$10:$GV$11,2,FALSE)))</f>
        <v/>
      </c>
      <c r="J5913" s="215" t="str">
        <f>IF(Table2[[#This Row],[Description]]="","",Table2[[#This Row],[Value]]/Table2[[#This Row],[Conversion]])</f>
        <v/>
      </c>
      <c r="K5913" s="45" t="str">
        <f>IF(Table2[[#This Row],[Description]]="","",DATE(Table2[[#This Row],[Year]],Table2[[#This Row],[Month]],1))</f>
        <v/>
      </c>
    </row>
    <row r="5914" spans="7:11" x14ac:dyDescent="0.25">
      <c r="G5914" s="1" t="str">
        <f>IF(Table2[[#This Row],[Description]]="","",VLOOKUP(Table2[[#This Row],[Description]],$Q$1:$S$101,2,FALSE))</f>
        <v/>
      </c>
      <c r="H5914" s="1" t="str">
        <f>IF(Table2[[#This Row],[Description]]="","",VLOOKUP(Table2[[#This Row],[Description]],$Q$1:$S$101,3,FALSE))</f>
        <v/>
      </c>
      <c r="I5914" s="1" t="str">
        <f>IF(Table2[[#This Row],[Description]]="","",IF(Table2[[#This Row],[Currency]]=$O$2,$P$2,HLOOKUP(Table2[[#This Row],[Date]],Funds!$C$10:$GV$11,2,FALSE)))</f>
        <v/>
      </c>
      <c r="J5914" s="215" t="str">
        <f>IF(Table2[[#This Row],[Description]]="","",Table2[[#This Row],[Value]]/Table2[[#This Row],[Conversion]])</f>
        <v/>
      </c>
      <c r="K5914" s="45" t="str">
        <f>IF(Table2[[#This Row],[Description]]="","",DATE(Table2[[#This Row],[Year]],Table2[[#This Row],[Month]],1))</f>
        <v/>
      </c>
    </row>
    <row r="5915" spans="7:11" x14ac:dyDescent="0.25">
      <c r="G5915" s="1" t="str">
        <f>IF(Table2[[#This Row],[Description]]="","",VLOOKUP(Table2[[#This Row],[Description]],$Q$1:$S$101,2,FALSE))</f>
        <v/>
      </c>
      <c r="H5915" s="1" t="str">
        <f>IF(Table2[[#This Row],[Description]]="","",VLOOKUP(Table2[[#This Row],[Description]],$Q$1:$S$101,3,FALSE))</f>
        <v/>
      </c>
      <c r="I5915" s="1" t="str">
        <f>IF(Table2[[#This Row],[Description]]="","",IF(Table2[[#This Row],[Currency]]=$O$2,$P$2,HLOOKUP(Table2[[#This Row],[Date]],Funds!$C$10:$GV$11,2,FALSE)))</f>
        <v/>
      </c>
      <c r="J5915" s="215" t="str">
        <f>IF(Table2[[#This Row],[Description]]="","",Table2[[#This Row],[Value]]/Table2[[#This Row],[Conversion]])</f>
        <v/>
      </c>
      <c r="K5915" s="45" t="str">
        <f>IF(Table2[[#This Row],[Description]]="","",DATE(Table2[[#This Row],[Year]],Table2[[#This Row],[Month]],1))</f>
        <v/>
      </c>
    </row>
    <row r="5916" spans="7:11" x14ac:dyDescent="0.25">
      <c r="G5916" s="1" t="str">
        <f>IF(Table2[[#This Row],[Description]]="","",VLOOKUP(Table2[[#This Row],[Description]],$Q$1:$S$101,2,FALSE))</f>
        <v/>
      </c>
      <c r="H5916" s="1" t="str">
        <f>IF(Table2[[#This Row],[Description]]="","",VLOOKUP(Table2[[#This Row],[Description]],$Q$1:$S$101,3,FALSE))</f>
        <v/>
      </c>
      <c r="I5916" s="1" t="str">
        <f>IF(Table2[[#This Row],[Description]]="","",IF(Table2[[#This Row],[Currency]]=$O$2,$P$2,HLOOKUP(Table2[[#This Row],[Date]],Funds!$C$10:$GV$11,2,FALSE)))</f>
        <v/>
      </c>
      <c r="J5916" s="215" t="str">
        <f>IF(Table2[[#This Row],[Description]]="","",Table2[[#This Row],[Value]]/Table2[[#This Row],[Conversion]])</f>
        <v/>
      </c>
      <c r="K5916" s="45" t="str">
        <f>IF(Table2[[#This Row],[Description]]="","",DATE(Table2[[#This Row],[Year]],Table2[[#This Row],[Month]],1))</f>
        <v/>
      </c>
    </row>
    <row r="5917" spans="7:11" x14ac:dyDescent="0.25">
      <c r="G5917" s="1" t="str">
        <f>IF(Table2[[#This Row],[Description]]="","",VLOOKUP(Table2[[#This Row],[Description]],$Q$1:$S$101,2,FALSE))</f>
        <v/>
      </c>
      <c r="H5917" s="1" t="str">
        <f>IF(Table2[[#This Row],[Description]]="","",VLOOKUP(Table2[[#This Row],[Description]],$Q$1:$S$101,3,FALSE))</f>
        <v/>
      </c>
      <c r="I5917" s="1" t="str">
        <f>IF(Table2[[#This Row],[Description]]="","",IF(Table2[[#This Row],[Currency]]=$O$2,$P$2,HLOOKUP(Table2[[#This Row],[Date]],Funds!$C$10:$GV$11,2,FALSE)))</f>
        <v/>
      </c>
      <c r="J5917" s="215" t="str">
        <f>IF(Table2[[#This Row],[Description]]="","",Table2[[#This Row],[Value]]/Table2[[#This Row],[Conversion]])</f>
        <v/>
      </c>
      <c r="K5917" s="45" t="str">
        <f>IF(Table2[[#This Row],[Description]]="","",DATE(Table2[[#This Row],[Year]],Table2[[#This Row],[Month]],1))</f>
        <v/>
      </c>
    </row>
    <row r="5918" spans="7:11" x14ac:dyDescent="0.25">
      <c r="G5918" s="1" t="str">
        <f>IF(Table2[[#This Row],[Description]]="","",VLOOKUP(Table2[[#This Row],[Description]],$Q$1:$S$101,2,FALSE))</f>
        <v/>
      </c>
      <c r="H5918" s="1" t="str">
        <f>IF(Table2[[#This Row],[Description]]="","",VLOOKUP(Table2[[#This Row],[Description]],$Q$1:$S$101,3,FALSE))</f>
        <v/>
      </c>
      <c r="I5918" s="1" t="str">
        <f>IF(Table2[[#This Row],[Description]]="","",IF(Table2[[#This Row],[Currency]]=$O$2,$P$2,HLOOKUP(Table2[[#This Row],[Date]],Funds!$C$10:$GV$11,2,FALSE)))</f>
        <v/>
      </c>
      <c r="J5918" s="215" t="str">
        <f>IF(Table2[[#This Row],[Description]]="","",Table2[[#This Row],[Value]]/Table2[[#This Row],[Conversion]])</f>
        <v/>
      </c>
      <c r="K5918" s="45" t="str">
        <f>IF(Table2[[#This Row],[Description]]="","",DATE(Table2[[#This Row],[Year]],Table2[[#This Row],[Month]],1))</f>
        <v/>
      </c>
    </row>
    <row r="5919" spans="7:11" x14ac:dyDescent="0.25">
      <c r="G5919" s="1" t="str">
        <f>IF(Table2[[#This Row],[Description]]="","",VLOOKUP(Table2[[#This Row],[Description]],$Q$1:$S$101,2,FALSE))</f>
        <v/>
      </c>
      <c r="H5919" s="1" t="str">
        <f>IF(Table2[[#This Row],[Description]]="","",VLOOKUP(Table2[[#This Row],[Description]],$Q$1:$S$101,3,FALSE))</f>
        <v/>
      </c>
      <c r="I5919" s="1" t="str">
        <f>IF(Table2[[#This Row],[Description]]="","",IF(Table2[[#This Row],[Currency]]=$O$2,$P$2,HLOOKUP(Table2[[#This Row],[Date]],Funds!$C$10:$GV$11,2,FALSE)))</f>
        <v/>
      </c>
      <c r="J5919" s="215" t="str">
        <f>IF(Table2[[#This Row],[Description]]="","",Table2[[#This Row],[Value]]/Table2[[#This Row],[Conversion]])</f>
        <v/>
      </c>
      <c r="K5919" s="45" t="str">
        <f>IF(Table2[[#This Row],[Description]]="","",DATE(Table2[[#This Row],[Year]],Table2[[#This Row],[Month]],1))</f>
        <v/>
      </c>
    </row>
    <row r="5920" spans="7:11" x14ac:dyDescent="0.25">
      <c r="G5920" s="1" t="str">
        <f>IF(Table2[[#This Row],[Description]]="","",VLOOKUP(Table2[[#This Row],[Description]],$Q$1:$S$101,2,FALSE))</f>
        <v/>
      </c>
      <c r="H5920" s="1" t="str">
        <f>IF(Table2[[#This Row],[Description]]="","",VLOOKUP(Table2[[#This Row],[Description]],$Q$1:$S$101,3,FALSE))</f>
        <v/>
      </c>
      <c r="I5920" s="1" t="str">
        <f>IF(Table2[[#This Row],[Description]]="","",IF(Table2[[#This Row],[Currency]]=$O$2,$P$2,HLOOKUP(Table2[[#This Row],[Date]],Funds!$C$10:$GV$11,2,FALSE)))</f>
        <v/>
      </c>
      <c r="J5920" s="215" t="str">
        <f>IF(Table2[[#This Row],[Description]]="","",Table2[[#This Row],[Value]]/Table2[[#This Row],[Conversion]])</f>
        <v/>
      </c>
      <c r="K5920" s="45" t="str">
        <f>IF(Table2[[#This Row],[Description]]="","",DATE(Table2[[#This Row],[Year]],Table2[[#This Row],[Month]],1))</f>
        <v/>
      </c>
    </row>
    <row r="5921" spans="7:11" x14ac:dyDescent="0.25">
      <c r="G5921" s="1" t="str">
        <f>IF(Table2[[#This Row],[Description]]="","",VLOOKUP(Table2[[#This Row],[Description]],$Q$1:$S$101,2,FALSE))</f>
        <v/>
      </c>
      <c r="H5921" s="1" t="str">
        <f>IF(Table2[[#This Row],[Description]]="","",VLOOKUP(Table2[[#This Row],[Description]],$Q$1:$S$101,3,FALSE))</f>
        <v/>
      </c>
      <c r="I5921" s="1" t="str">
        <f>IF(Table2[[#This Row],[Description]]="","",IF(Table2[[#This Row],[Currency]]=$O$2,$P$2,HLOOKUP(Table2[[#This Row],[Date]],Funds!$C$10:$GV$11,2,FALSE)))</f>
        <v/>
      </c>
      <c r="J5921" s="215" t="str">
        <f>IF(Table2[[#This Row],[Description]]="","",Table2[[#This Row],[Value]]/Table2[[#This Row],[Conversion]])</f>
        <v/>
      </c>
      <c r="K5921" s="45" t="str">
        <f>IF(Table2[[#This Row],[Description]]="","",DATE(Table2[[#This Row],[Year]],Table2[[#This Row],[Month]],1))</f>
        <v/>
      </c>
    </row>
    <row r="5922" spans="7:11" x14ac:dyDescent="0.25">
      <c r="G5922" s="1" t="str">
        <f>IF(Table2[[#This Row],[Description]]="","",VLOOKUP(Table2[[#This Row],[Description]],$Q$1:$S$101,2,FALSE))</f>
        <v/>
      </c>
      <c r="H5922" s="1" t="str">
        <f>IF(Table2[[#This Row],[Description]]="","",VLOOKUP(Table2[[#This Row],[Description]],$Q$1:$S$101,3,FALSE))</f>
        <v/>
      </c>
      <c r="I5922" s="1" t="str">
        <f>IF(Table2[[#This Row],[Description]]="","",IF(Table2[[#This Row],[Currency]]=$O$2,$P$2,HLOOKUP(Table2[[#This Row],[Date]],Funds!$C$10:$GV$11,2,FALSE)))</f>
        <v/>
      </c>
      <c r="J5922" s="215" t="str">
        <f>IF(Table2[[#This Row],[Description]]="","",Table2[[#This Row],[Value]]/Table2[[#This Row],[Conversion]])</f>
        <v/>
      </c>
      <c r="K5922" s="45" t="str">
        <f>IF(Table2[[#This Row],[Description]]="","",DATE(Table2[[#This Row],[Year]],Table2[[#This Row],[Month]],1))</f>
        <v/>
      </c>
    </row>
    <row r="5923" spans="7:11" x14ac:dyDescent="0.25">
      <c r="G5923" s="1" t="str">
        <f>IF(Table2[[#This Row],[Description]]="","",VLOOKUP(Table2[[#This Row],[Description]],$Q$1:$S$101,2,FALSE))</f>
        <v/>
      </c>
      <c r="H5923" s="1" t="str">
        <f>IF(Table2[[#This Row],[Description]]="","",VLOOKUP(Table2[[#This Row],[Description]],$Q$1:$S$101,3,FALSE))</f>
        <v/>
      </c>
      <c r="I5923" s="1" t="str">
        <f>IF(Table2[[#This Row],[Description]]="","",IF(Table2[[#This Row],[Currency]]=$O$2,$P$2,HLOOKUP(Table2[[#This Row],[Date]],Funds!$C$10:$GV$11,2,FALSE)))</f>
        <v/>
      </c>
      <c r="J5923" s="215" t="str">
        <f>IF(Table2[[#This Row],[Description]]="","",Table2[[#This Row],[Value]]/Table2[[#This Row],[Conversion]])</f>
        <v/>
      </c>
      <c r="K5923" s="45" t="str">
        <f>IF(Table2[[#This Row],[Description]]="","",DATE(Table2[[#This Row],[Year]],Table2[[#This Row],[Month]],1))</f>
        <v/>
      </c>
    </row>
    <row r="5924" spans="7:11" x14ac:dyDescent="0.25">
      <c r="G5924" s="1" t="str">
        <f>IF(Table2[[#This Row],[Description]]="","",VLOOKUP(Table2[[#This Row],[Description]],$Q$1:$S$101,2,FALSE))</f>
        <v/>
      </c>
      <c r="H5924" s="1" t="str">
        <f>IF(Table2[[#This Row],[Description]]="","",VLOOKUP(Table2[[#This Row],[Description]],$Q$1:$S$101,3,FALSE))</f>
        <v/>
      </c>
      <c r="I5924" s="1" t="str">
        <f>IF(Table2[[#This Row],[Description]]="","",IF(Table2[[#This Row],[Currency]]=$O$2,$P$2,HLOOKUP(Table2[[#This Row],[Date]],Funds!$C$10:$GV$11,2,FALSE)))</f>
        <v/>
      </c>
      <c r="J5924" s="215" t="str">
        <f>IF(Table2[[#This Row],[Description]]="","",Table2[[#This Row],[Value]]/Table2[[#This Row],[Conversion]])</f>
        <v/>
      </c>
      <c r="K5924" s="45" t="str">
        <f>IF(Table2[[#This Row],[Description]]="","",DATE(Table2[[#This Row],[Year]],Table2[[#This Row],[Month]],1))</f>
        <v/>
      </c>
    </row>
    <row r="5925" spans="7:11" x14ac:dyDescent="0.25">
      <c r="G5925" s="1" t="str">
        <f>IF(Table2[[#This Row],[Description]]="","",VLOOKUP(Table2[[#This Row],[Description]],$Q$1:$S$101,2,FALSE))</f>
        <v/>
      </c>
      <c r="H5925" s="1" t="str">
        <f>IF(Table2[[#This Row],[Description]]="","",VLOOKUP(Table2[[#This Row],[Description]],$Q$1:$S$101,3,FALSE))</f>
        <v/>
      </c>
      <c r="I5925" s="1" t="str">
        <f>IF(Table2[[#This Row],[Description]]="","",IF(Table2[[#This Row],[Currency]]=$O$2,$P$2,HLOOKUP(Table2[[#This Row],[Date]],Funds!$C$10:$GV$11,2,FALSE)))</f>
        <v/>
      </c>
      <c r="J5925" s="215" t="str">
        <f>IF(Table2[[#This Row],[Description]]="","",Table2[[#This Row],[Value]]/Table2[[#This Row],[Conversion]])</f>
        <v/>
      </c>
      <c r="K5925" s="45" t="str">
        <f>IF(Table2[[#This Row],[Description]]="","",DATE(Table2[[#This Row],[Year]],Table2[[#This Row],[Month]],1))</f>
        <v/>
      </c>
    </row>
    <row r="5926" spans="7:11" x14ac:dyDescent="0.25">
      <c r="G5926" s="1" t="str">
        <f>IF(Table2[[#This Row],[Description]]="","",VLOOKUP(Table2[[#This Row],[Description]],$Q$1:$S$101,2,FALSE))</f>
        <v/>
      </c>
      <c r="H5926" s="1" t="str">
        <f>IF(Table2[[#This Row],[Description]]="","",VLOOKUP(Table2[[#This Row],[Description]],$Q$1:$S$101,3,FALSE))</f>
        <v/>
      </c>
      <c r="I5926" s="1" t="str">
        <f>IF(Table2[[#This Row],[Description]]="","",IF(Table2[[#This Row],[Currency]]=$O$2,$P$2,HLOOKUP(Table2[[#This Row],[Date]],Funds!$C$10:$GV$11,2,FALSE)))</f>
        <v/>
      </c>
      <c r="J5926" s="215" t="str">
        <f>IF(Table2[[#This Row],[Description]]="","",Table2[[#This Row],[Value]]/Table2[[#This Row],[Conversion]])</f>
        <v/>
      </c>
      <c r="K5926" s="45" t="str">
        <f>IF(Table2[[#This Row],[Description]]="","",DATE(Table2[[#This Row],[Year]],Table2[[#This Row],[Month]],1))</f>
        <v/>
      </c>
    </row>
    <row r="5927" spans="7:11" x14ac:dyDescent="0.25">
      <c r="G5927" s="1" t="str">
        <f>IF(Table2[[#This Row],[Description]]="","",VLOOKUP(Table2[[#This Row],[Description]],$Q$1:$S$101,2,FALSE))</f>
        <v/>
      </c>
      <c r="H5927" s="1" t="str">
        <f>IF(Table2[[#This Row],[Description]]="","",VLOOKUP(Table2[[#This Row],[Description]],$Q$1:$S$101,3,FALSE))</f>
        <v/>
      </c>
      <c r="I5927" s="1" t="str">
        <f>IF(Table2[[#This Row],[Description]]="","",IF(Table2[[#This Row],[Currency]]=$O$2,$P$2,HLOOKUP(Table2[[#This Row],[Date]],Funds!$C$10:$GV$11,2,FALSE)))</f>
        <v/>
      </c>
      <c r="J5927" s="215" t="str">
        <f>IF(Table2[[#This Row],[Description]]="","",Table2[[#This Row],[Value]]/Table2[[#This Row],[Conversion]])</f>
        <v/>
      </c>
      <c r="K5927" s="45" t="str">
        <f>IF(Table2[[#This Row],[Description]]="","",DATE(Table2[[#This Row],[Year]],Table2[[#This Row],[Month]],1))</f>
        <v/>
      </c>
    </row>
    <row r="5928" spans="7:11" x14ac:dyDescent="0.25">
      <c r="G5928" s="1" t="str">
        <f>IF(Table2[[#This Row],[Description]]="","",VLOOKUP(Table2[[#This Row],[Description]],$Q$1:$S$101,2,FALSE))</f>
        <v/>
      </c>
      <c r="H5928" s="1" t="str">
        <f>IF(Table2[[#This Row],[Description]]="","",VLOOKUP(Table2[[#This Row],[Description]],$Q$1:$S$101,3,FALSE))</f>
        <v/>
      </c>
      <c r="I5928" s="1" t="str">
        <f>IF(Table2[[#This Row],[Description]]="","",IF(Table2[[#This Row],[Currency]]=$O$2,$P$2,HLOOKUP(Table2[[#This Row],[Date]],Funds!$C$10:$GV$11,2,FALSE)))</f>
        <v/>
      </c>
      <c r="J5928" s="215" t="str">
        <f>IF(Table2[[#This Row],[Description]]="","",Table2[[#This Row],[Value]]/Table2[[#This Row],[Conversion]])</f>
        <v/>
      </c>
      <c r="K5928" s="45" t="str">
        <f>IF(Table2[[#This Row],[Description]]="","",DATE(Table2[[#This Row],[Year]],Table2[[#This Row],[Month]],1))</f>
        <v/>
      </c>
    </row>
    <row r="5929" spans="7:11" x14ac:dyDescent="0.25">
      <c r="G5929" s="1" t="str">
        <f>IF(Table2[[#This Row],[Description]]="","",VLOOKUP(Table2[[#This Row],[Description]],$Q$1:$S$101,2,FALSE))</f>
        <v/>
      </c>
      <c r="H5929" s="1" t="str">
        <f>IF(Table2[[#This Row],[Description]]="","",VLOOKUP(Table2[[#This Row],[Description]],$Q$1:$S$101,3,FALSE))</f>
        <v/>
      </c>
      <c r="I5929" s="1" t="str">
        <f>IF(Table2[[#This Row],[Description]]="","",IF(Table2[[#This Row],[Currency]]=$O$2,$P$2,HLOOKUP(Table2[[#This Row],[Date]],Funds!$C$10:$GV$11,2,FALSE)))</f>
        <v/>
      </c>
      <c r="J5929" s="215" t="str">
        <f>IF(Table2[[#This Row],[Description]]="","",Table2[[#This Row],[Value]]/Table2[[#This Row],[Conversion]])</f>
        <v/>
      </c>
      <c r="K5929" s="45" t="str">
        <f>IF(Table2[[#This Row],[Description]]="","",DATE(Table2[[#This Row],[Year]],Table2[[#This Row],[Month]],1))</f>
        <v/>
      </c>
    </row>
    <row r="5930" spans="7:11" x14ac:dyDescent="0.25">
      <c r="G5930" s="1" t="str">
        <f>IF(Table2[[#This Row],[Description]]="","",VLOOKUP(Table2[[#This Row],[Description]],$Q$1:$S$101,2,FALSE))</f>
        <v/>
      </c>
      <c r="H5930" s="1" t="str">
        <f>IF(Table2[[#This Row],[Description]]="","",VLOOKUP(Table2[[#This Row],[Description]],$Q$1:$S$101,3,FALSE))</f>
        <v/>
      </c>
      <c r="I5930" s="1" t="str">
        <f>IF(Table2[[#This Row],[Description]]="","",IF(Table2[[#This Row],[Currency]]=$O$2,$P$2,HLOOKUP(Table2[[#This Row],[Date]],Funds!$C$10:$GV$11,2,FALSE)))</f>
        <v/>
      </c>
      <c r="J5930" s="215" t="str">
        <f>IF(Table2[[#This Row],[Description]]="","",Table2[[#This Row],[Value]]/Table2[[#This Row],[Conversion]])</f>
        <v/>
      </c>
      <c r="K5930" s="45" t="str">
        <f>IF(Table2[[#This Row],[Description]]="","",DATE(Table2[[#This Row],[Year]],Table2[[#This Row],[Month]],1))</f>
        <v/>
      </c>
    </row>
    <row r="5931" spans="7:11" x14ac:dyDescent="0.25">
      <c r="G5931" s="1" t="str">
        <f>IF(Table2[[#This Row],[Description]]="","",VLOOKUP(Table2[[#This Row],[Description]],$Q$1:$S$101,2,FALSE))</f>
        <v/>
      </c>
      <c r="H5931" s="1" t="str">
        <f>IF(Table2[[#This Row],[Description]]="","",VLOOKUP(Table2[[#This Row],[Description]],$Q$1:$S$101,3,FALSE))</f>
        <v/>
      </c>
      <c r="I5931" s="1" t="str">
        <f>IF(Table2[[#This Row],[Description]]="","",IF(Table2[[#This Row],[Currency]]=$O$2,$P$2,HLOOKUP(Table2[[#This Row],[Date]],Funds!$C$10:$GV$11,2,FALSE)))</f>
        <v/>
      </c>
      <c r="J5931" s="215" t="str">
        <f>IF(Table2[[#This Row],[Description]]="","",Table2[[#This Row],[Value]]/Table2[[#This Row],[Conversion]])</f>
        <v/>
      </c>
      <c r="K5931" s="45" t="str">
        <f>IF(Table2[[#This Row],[Description]]="","",DATE(Table2[[#This Row],[Year]],Table2[[#This Row],[Month]],1))</f>
        <v/>
      </c>
    </row>
    <row r="5932" spans="7:11" x14ac:dyDescent="0.25">
      <c r="G5932" s="1" t="str">
        <f>IF(Table2[[#This Row],[Description]]="","",VLOOKUP(Table2[[#This Row],[Description]],$Q$1:$S$101,2,FALSE))</f>
        <v/>
      </c>
      <c r="H5932" s="1" t="str">
        <f>IF(Table2[[#This Row],[Description]]="","",VLOOKUP(Table2[[#This Row],[Description]],$Q$1:$S$101,3,FALSE))</f>
        <v/>
      </c>
      <c r="I5932" s="1" t="str">
        <f>IF(Table2[[#This Row],[Description]]="","",IF(Table2[[#This Row],[Currency]]=$O$2,$P$2,HLOOKUP(Table2[[#This Row],[Date]],Funds!$C$10:$GV$11,2,FALSE)))</f>
        <v/>
      </c>
      <c r="J5932" s="215" t="str">
        <f>IF(Table2[[#This Row],[Description]]="","",Table2[[#This Row],[Value]]/Table2[[#This Row],[Conversion]])</f>
        <v/>
      </c>
      <c r="K5932" s="45" t="str">
        <f>IF(Table2[[#This Row],[Description]]="","",DATE(Table2[[#This Row],[Year]],Table2[[#This Row],[Month]],1))</f>
        <v/>
      </c>
    </row>
    <row r="5933" spans="7:11" x14ac:dyDescent="0.25">
      <c r="G5933" s="1" t="str">
        <f>IF(Table2[[#This Row],[Description]]="","",VLOOKUP(Table2[[#This Row],[Description]],$Q$1:$S$101,2,FALSE))</f>
        <v/>
      </c>
      <c r="H5933" s="1" t="str">
        <f>IF(Table2[[#This Row],[Description]]="","",VLOOKUP(Table2[[#This Row],[Description]],$Q$1:$S$101,3,FALSE))</f>
        <v/>
      </c>
      <c r="I5933" s="1" t="str">
        <f>IF(Table2[[#This Row],[Description]]="","",IF(Table2[[#This Row],[Currency]]=$O$2,$P$2,HLOOKUP(Table2[[#This Row],[Date]],Funds!$C$10:$GV$11,2,FALSE)))</f>
        <v/>
      </c>
      <c r="J5933" s="215" t="str">
        <f>IF(Table2[[#This Row],[Description]]="","",Table2[[#This Row],[Value]]/Table2[[#This Row],[Conversion]])</f>
        <v/>
      </c>
      <c r="K5933" s="45" t="str">
        <f>IF(Table2[[#This Row],[Description]]="","",DATE(Table2[[#This Row],[Year]],Table2[[#This Row],[Month]],1))</f>
        <v/>
      </c>
    </row>
    <row r="5934" spans="7:11" x14ac:dyDescent="0.25">
      <c r="G5934" s="1" t="str">
        <f>IF(Table2[[#This Row],[Description]]="","",VLOOKUP(Table2[[#This Row],[Description]],$Q$1:$S$101,2,FALSE))</f>
        <v/>
      </c>
      <c r="H5934" s="1" t="str">
        <f>IF(Table2[[#This Row],[Description]]="","",VLOOKUP(Table2[[#This Row],[Description]],$Q$1:$S$101,3,FALSE))</f>
        <v/>
      </c>
      <c r="I5934" s="1" t="str">
        <f>IF(Table2[[#This Row],[Description]]="","",IF(Table2[[#This Row],[Currency]]=$O$2,$P$2,HLOOKUP(Table2[[#This Row],[Date]],Funds!$C$10:$GV$11,2,FALSE)))</f>
        <v/>
      </c>
      <c r="J5934" s="215" t="str">
        <f>IF(Table2[[#This Row],[Description]]="","",Table2[[#This Row],[Value]]/Table2[[#This Row],[Conversion]])</f>
        <v/>
      </c>
      <c r="K5934" s="45" t="str">
        <f>IF(Table2[[#This Row],[Description]]="","",DATE(Table2[[#This Row],[Year]],Table2[[#This Row],[Month]],1))</f>
        <v/>
      </c>
    </row>
    <row r="5935" spans="7:11" x14ac:dyDescent="0.25">
      <c r="G5935" s="1" t="str">
        <f>IF(Table2[[#This Row],[Description]]="","",VLOOKUP(Table2[[#This Row],[Description]],$Q$1:$S$101,2,FALSE))</f>
        <v/>
      </c>
      <c r="H5935" s="1" t="str">
        <f>IF(Table2[[#This Row],[Description]]="","",VLOOKUP(Table2[[#This Row],[Description]],$Q$1:$S$101,3,FALSE))</f>
        <v/>
      </c>
      <c r="I5935" s="1" t="str">
        <f>IF(Table2[[#This Row],[Description]]="","",IF(Table2[[#This Row],[Currency]]=$O$2,$P$2,HLOOKUP(Table2[[#This Row],[Date]],Funds!$C$10:$GV$11,2,FALSE)))</f>
        <v/>
      </c>
      <c r="J5935" s="215" t="str">
        <f>IF(Table2[[#This Row],[Description]]="","",Table2[[#This Row],[Value]]/Table2[[#This Row],[Conversion]])</f>
        <v/>
      </c>
      <c r="K5935" s="45" t="str">
        <f>IF(Table2[[#This Row],[Description]]="","",DATE(Table2[[#This Row],[Year]],Table2[[#This Row],[Month]],1))</f>
        <v/>
      </c>
    </row>
    <row r="5936" spans="7:11" x14ac:dyDescent="0.25">
      <c r="G5936" s="1" t="str">
        <f>IF(Table2[[#This Row],[Description]]="","",VLOOKUP(Table2[[#This Row],[Description]],$Q$1:$S$101,2,FALSE))</f>
        <v/>
      </c>
      <c r="H5936" s="1" t="str">
        <f>IF(Table2[[#This Row],[Description]]="","",VLOOKUP(Table2[[#This Row],[Description]],$Q$1:$S$101,3,FALSE))</f>
        <v/>
      </c>
      <c r="I5936" s="1" t="str">
        <f>IF(Table2[[#This Row],[Description]]="","",IF(Table2[[#This Row],[Currency]]=$O$2,$P$2,HLOOKUP(Table2[[#This Row],[Date]],Funds!$C$10:$GV$11,2,FALSE)))</f>
        <v/>
      </c>
      <c r="J5936" s="215" t="str">
        <f>IF(Table2[[#This Row],[Description]]="","",Table2[[#This Row],[Value]]/Table2[[#This Row],[Conversion]])</f>
        <v/>
      </c>
      <c r="K5936" s="45" t="str">
        <f>IF(Table2[[#This Row],[Description]]="","",DATE(Table2[[#This Row],[Year]],Table2[[#This Row],[Month]],1))</f>
        <v/>
      </c>
    </row>
    <row r="5937" spans="7:11" x14ac:dyDescent="0.25">
      <c r="G5937" s="1" t="str">
        <f>IF(Table2[[#This Row],[Description]]="","",VLOOKUP(Table2[[#This Row],[Description]],$Q$1:$S$101,2,FALSE))</f>
        <v/>
      </c>
      <c r="H5937" s="1" t="str">
        <f>IF(Table2[[#This Row],[Description]]="","",VLOOKUP(Table2[[#This Row],[Description]],$Q$1:$S$101,3,FALSE))</f>
        <v/>
      </c>
      <c r="I5937" s="1" t="str">
        <f>IF(Table2[[#This Row],[Description]]="","",IF(Table2[[#This Row],[Currency]]=$O$2,$P$2,HLOOKUP(Table2[[#This Row],[Date]],Funds!$C$10:$GV$11,2,FALSE)))</f>
        <v/>
      </c>
      <c r="J5937" s="215" t="str">
        <f>IF(Table2[[#This Row],[Description]]="","",Table2[[#This Row],[Value]]/Table2[[#This Row],[Conversion]])</f>
        <v/>
      </c>
      <c r="K5937" s="45" t="str">
        <f>IF(Table2[[#This Row],[Description]]="","",DATE(Table2[[#This Row],[Year]],Table2[[#This Row],[Month]],1))</f>
        <v/>
      </c>
    </row>
    <row r="5938" spans="7:11" x14ac:dyDescent="0.25">
      <c r="G5938" s="1" t="str">
        <f>IF(Table2[[#This Row],[Description]]="","",VLOOKUP(Table2[[#This Row],[Description]],$Q$1:$S$101,2,FALSE))</f>
        <v/>
      </c>
      <c r="H5938" s="1" t="str">
        <f>IF(Table2[[#This Row],[Description]]="","",VLOOKUP(Table2[[#This Row],[Description]],$Q$1:$S$101,3,FALSE))</f>
        <v/>
      </c>
      <c r="I5938" s="1" t="str">
        <f>IF(Table2[[#This Row],[Description]]="","",IF(Table2[[#This Row],[Currency]]=$O$2,$P$2,HLOOKUP(Table2[[#This Row],[Date]],Funds!$C$10:$GV$11,2,FALSE)))</f>
        <v/>
      </c>
      <c r="J5938" s="215" t="str">
        <f>IF(Table2[[#This Row],[Description]]="","",Table2[[#This Row],[Value]]/Table2[[#This Row],[Conversion]])</f>
        <v/>
      </c>
      <c r="K5938" s="45" t="str">
        <f>IF(Table2[[#This Row],[Description]]="","",DATE(Table2[[#This Row],[Year]],Table2[[#This Row],[Month]],1))</f>
        <v/>
      </c>
    </row>
    <row r="5939" spans="7:11" x14ac:dyDescent="0.25">
      <c r="G5939" s="1" t="str">
        <f>IF(Table2[[#This Row],[Description]]="","",VLOOKUP(Table2[[#This Row],[Description]],$Q$1:$S$101,2,FALSE))</f>
        <v/>
      </c>
      <c r="H5939" s="1" t="str">
        <f>IF(Table2[[#This Row],[Description]]="","",VLOOKUP(Table2[[#This Row],[Description]],$Q$1:$S$101,3,FALSE))</f>
        <v/>
      </c>
      <c r="I5939" s="1" t="str">
        <f>IF(Table2[[#This Row],[Description]]="","",IF(Table2[[#This Row],[Currency]]=$O$2,$P$2,HLOOKUP(Table2[[#This Row],[Date]],Funds!$C$10:$GV$11,2,FALSE)))</f>
        <v/>
      </c>
      <c r="J5939" s="215" t="str">
        <f>IF(Table2[[#This Row],[Description]]="","",Table2[[#This Row],[Value]]/Table2[[#This Row],[Conversion]])</f>
        <v/>
      </c>
      <c r="K5939" s="45" t="str">
        <f>IF(Table2[[#This Row],[Description]]="","",DATE(Table2[[#This Row],[Year]],Table2[[#This Row],[Month]],1))</f>
        <v/>
      </c>
    </row>
    <row r="5940" spans="7:11" x14ac:dyDescent="0.25">
      <c r="G5940" s="1" t="str">
        <f>IF(Table2[[#This Row],[Description]]="","",VLOOKUP(Table2[[#This Row],[Description]],$Q$1:$S$101,2,FALSE))</f>
        <v/>
      </c>
      <c r="H5940" s="1" t="str">
        <f>IF(Table2[[#This Row],[Description]]="","",VLOOKUP(Table2[[#This Row],[Description]],$Q$1:$S$101,3,FALSE))</f>
        <v/>
      </c>
      <c r="I5940" s="1" t="str">
        <f>IF(Table2[[#This Row],[Description]]="","",IF(Table2[[#This Row],[Currency]]=$O$2,$P$2,HLOOKUP(Table2[[#This Row],[Date]],Funds!$C$10:$GV$11,2,FALSE)))</f>
        <v/>
      </c>
      <c r="J5940" s="215" t="str">
        <f>IF(Table2[[#This Row],[Description]]="","",Table2[[#This Row],[Value]]/Table2[[#This Row],[Conversion]])</f>
        <v/>
      </c>
      <c r="K5940" s="45" t="str">
        <f>IF(Table2[[#This Row],[Description]]="","",DATE(Table2[[#This Row],[Year]],Table2[[#This Row],[Month]],1))</f>
        <v/>
      </c>
    </row>
    <row r="5941" spans="7:11" x14ac:dyDescent="0.25">
      <c r="G5941" s="1" t="str">
        <f>IF(Table2[[#This Row],[Description]]="","",VLOOKUP(Table2[[#This Row],[Description]],$Q$1:$S$101,2,FALSE))</f>
        <v/>
      </c>
      <c r="H5941" s="1" t="str">
        <f>IF(Table2[[#This Row],[Description]]="","",VLOOKUP(Table2[[#This Row],[Description]],$Q$1:$S$101,3,FALSE))</f>
        <v/>
      </c>
      <c r="I5941" s="1" t="str">
        <f>IF(Table2[[#This Row],[Description]]="","",IF(Table2[[#This Row],[Currency]]=$O$2,$P$2,HLOOKUP(Table2[[#This Row],[Date]],Funds!$C$10:$GV$11,2,FALSE)))</f>
        <v/>
      </c>
      <c r="J5941" s="215" t="str">
        <f>IF(Table2[[#This Row],[Description]]="","",Table2[[#This Row],[Value]]/Table2[[#This Row],[Conversion]])</f>
        <v/>
      </c>
      <c r="K5941" s="45" t="str">
        <f>IF(Table2[[#This Row],[Description]]="","",DATE(Table2[[#This Row],[Year]],Table2[[#This Row],[Month]],1))</f>
        <v/>
      </c>
    </row>
    <row r="5942" spans="7:11" x14ac:dyDescent="0.25">
      <c r="G5942" s="1" t="str">
        <f>IF(Table2[[#This Row],[Description]]="","",VLOOKUP(Table2[[#This Row],[Description]],$Q$1:$S$101,2,FALSE))</f>
        <v/>
      </c>
      <c r="H5942" s="1" t="str">
        <f>IF(Table2[[#This Row],[Description]]="","",VLOOKUP(Table2[[#This Row],[Description]],$Q$1:$S$101,3,FALSE))</f>
        <v/>
      </c>
      <c r="I5942" s="1" t="str">
        <f>IF(Table2[[#This Row],[Description]]="","",IF(Table2[[#This Row],[Currency]]=$O$2,$P$2,HLOOKUP(Table2[[#This Row],[Date]],Funds!$C$10:$GV$11,2,FALSE)))</f>
        <v/>
      </c>
      <c r="J5942" s="215" t="str">
        <f>IF(Table2[[#This Row],[Description]]="","",Table2[[#This Row],[Value]]/Table2[[#This Row],[Conversion]])</f>
        <v/>
      </c>
      <c r="K5942" s="45" t="str">
        <f>IF(Table2[[#This Row],[Description]]="","",DATE(Table2[[#This Row],[Year]],Table2[[#This Row],[Month]],1))</f>
        <v/>
      </c>
    </row>
    <row r="5943" spans="7:11" x14ac:dyDescent="0.25">
      <c r="G5943" s="1" t="str">
        <f>IF(Table2[[#This Row],[Description]]="","",VLOOKUP(Table2[[#This Row],[Description]],$Q$1:$S$101,2,FALSE))</f>
        <v/>
      </c>
      <c r="H5943" s="1" t="str">
        <f>IF(Table2[[#This Row],[Description]]="","",VLOOKUP(Table2[[#This Row],[Description]],$Q$1:$S$101,3,FALSE))</f>
        <v/>
      </c>
      <c r="I5943" s="1" t="str">
        <f>IF(Table2[[#This Row],[Description]]="","",IF(Table2[[#This Row],[Currency]]=$O$2,$P$2,HLOOKUP(Table2[[#This Row],[Date]],Funds!$C$10:$GV$11,2,FALSE)))</f>
        <v/>
      </c>
      <c r="J5943" s="215" t="str">
        <f>IF(Table2[[#This Row],[Description]]="","",Table2[[#This Row],[Value]]/Table2[[#This Row],[Conversion]])</f>
        <v/>
      </c>
      <c r="K5943" s="45" t="str">
        <f>IF(Table2[[#This Row],[Description]]="","",DATE(Table2[[#This Row],[Year]],Table2[[#This Row],[Month]],1))</f>
        <v/>
      </c>
    </row>
    <row r="5944" spans="7:11" x14ac:dyDescent="0.25">
      <c r="G5944" s="1" t="str">
        <f>IF(Table2[[#This Row],[Description]]="","",VLOOKUP(Table2[[#This Row],[Description]],$Q$1:$S$101,2,FALSE))</f>
        <v/>
      </c>
      <c r="H5944" s="1" t="str">
        <f>IF(Table2[[#This Row],[Description]]="","",VLOOKUP(Table2[[#This Row],[Description]],$Q$1:$S$101,3,FALSE))</f>
        <v/>
      </c>
      <c r="I5944" s="1" t="str">
        <f>IF(Table2[[#This Row],[Description]]="","",IF(Table2[[#This Row],[Currency]]=$O$2,$P$2,HLOOKUP(Table2[[#This Row],[Date]],Funds!$C$10:$GV$11,2,FALSE)))</f>
        <v/>
      </c>
      <c r="J5944" s="215" t="str">
        <f>IF(Table2[[#This Row],[Description]]="","",Table2[[#This Row],[Value]]/Table2[[#This Row],[Conversion]])</f>
        <v/>
      </c>
      <c r="K5944" s="45" t="str">
        <f>IF(Table2[[#This Row],[Description]]="","",DATE(Table2[[#This Row],[Year]],Table2[[#This Row],[Month]],1))</f>
        <v/>
      </c>
    </row>
    <row r="5945" spans="7:11" x14ac:dyDescent="0.25">
      <c r="G5945" s="1" t="str">
        <f>IF(Table2[[#This Row],[Description]]="","",VLOOKUP(Table2[[#This Row],[Description]],$Q$1:$S$101,2,FALSE))</f>
        <v/>
      </c>
      <c r="H5945" s="1" t="str">
        <f>IF(Table2[[#This Row],[Description]]="","",VLOOKUP(Table2[[#This Row],[Description]],$Q$1:$S$101,3,FALSE))</f>
        <v/>
      </c>
      <c r="I5945" s="1" t="str">
        <f>IF(Table2[[#This Row],[Description]]="","",IF(Table2[[#This Row],[Currency]]=$O$2,$P$2,HLOOKUP(Table2[[#This Row],[Date]],Funds!$C$10:$GV$11,2,FALSE)))</f>
        <v/>
      </c>
      <c r="J5945" s="215" t="str">
        <f>IF(Table2[[#This Row],[Description]]="","",Table2[[#This Row],[Value]]/Table2[[#This Row],[Conversion]])</f>
        <v/>
      </c>
      <c r="K5945" s="45" t="str">
        <f>IF(Table2[[#This Row],[Description]]="","",DATE(Table2[[#This Row],[Year]],Table2[[#This Row],[Month]],1))</f>
        <v/>
      </c>
    </row>
    <row r="5946" spans="7:11" x14ac:dyDescent="0.25">
      <c r="G5946" s="1" t="str">
        <f>IF(Table2[[#This Row],[Description]]="","",VLOOKUP(Table2[[#This Row],[Description]],$Q$1:$S$101,2,FALSE))</f>
        <v/>
      </c>
      <c r="H5946" s="1" t="str">
        <f>IF(Table2[[#This Row],[Description]]="","",VLOOKUP(Table2[[#This Row],[Description]],$Q$1:$S$101,3,FALSE))</f>
        <v/>
      </c>
      <c r="I5946" s="1" t="str">
        <f>IF(Table2[[#This Row],[Description]]="","",IF(Table2[[#This Row],[Currency]]=$O$2,$P$2,HLOOKUP(Table2[[#This Row],[Date]],Funds!$C$10:$GV$11,2,FALSE)))</f>
        <v/>
      </c>
      <c r="J5946" s="215" t="str">
        <f>IF(Table2[[#This Row],[Description]]="","",Table2[[#This Row],[Value]]/Table2[[#This Row],[Conversion]])</f>
        <v/>
      </c>
      <c r="K5946" s="45" t="str">
        <f>IF(Table2[[#This Row],[Description]]="","",DATE(Table2[[#This Row],[Year]],Table2[[#This Row],[Month]],1))</f>
        <v/>
      </c>
    </row>
    <row r="5947" spans="7:11" x14ac:dyDescent="0.25">
      <c r="G5947" s="1" t="str">
        <f>IF(Table2[[#This Row],[Description]]="","",VLOOKUP(Table2[[#This Row],[Description]],$Q$1:$S$101,2,FALSE))</f>
        <v/>
      </c>
      <c r="H5947" s="1" t="str">
        <f>IF(Table2[[#This Row],[Description]]="","",VLOOKUP(Table2[[#This Row],[Description]],$Q$1:$S$101,3,FALSE))</f>
        <v/>
      </c>
      <c r="I5947" s="1" t="str">
        <f>IF(Table2[[#This Row],[Description]]="","",IF(Table2[[#This Row],[Currency]]=$O$2,$P$2,HLOOKUP(Table2[[#This Row],[Date]],Funds!$C$10:$GV$11,2,FALSE)))</f>
        <v/>
      </c>
      <c r="J5947" s="215" t="str">
        <f>IF(Table2[[#This Row],[Description]]="","",Table2[[#This Row],[Value]]/Table2[[#This Row],[Conversion]])</f>
        <v/>
      </c>
      <c r="K5947" s="45" t="str">
        <f>IF(Table2[[#This Row],[Description]]="","",DATE(Table2[[#This Row],[Year]],Table2[[#This Row],[Month]],1))</f>
        <v/>
      </c>
    </row>
    <row r="5948" spans="7:11" x14ac:dyDescent="0.25">
      <c r="G5948" s="1" t="str">
        <f>IF(Table2[[#This Row],[Description]]="","",VLOOKUP(Table2[[#This Row],[Description]],$Q$1:$S$101,2,FALSE))</f>
        <v/>
      </c>
      <c r="H5948" s="1" t="str">
        <f>IF(Table2[[#This Row],[Description]]="","",VLOOKUP(Table2[[#This Row],[Description]],$Q$1:$S$101,3,FALSE))</f>
        <v/>
      </c>
      <c r="I5948" s="1" t="str">
        <f>IF(Table2[[#This Row],[Description]]="","",IF(Table2[[#This Row],[Currency]]=$O$2,$P$2,HLOOKUP(Table2[[#This Row],[Date]],Funds!$C$10:$GV$11,2,FALSE)))</f>
        <v/>
      </c>
      <c r="J5948" s="215" t="str">
        <f>IF(Table2[[#This Row],[Description]]="","",Table2[[#This Row],[Value]]/Table2[[#This Row],[Conversion]])</f>
        <v/>
      </c>
      <c r="K5948" s="45" t="str">
        <f>IF(Table2[[#This Row],[Description]]="","",DATE(Table2[[#This Row],[Year]],Table2[[#This Row],[Month]],1))</f>
        <v/>
      </c>
    </row>
    <row r="5949" spans="7:11" x14ac:dyDescent="0.25">
      <c r="G5949" s="1" t="str">
        <f>IF(Table2[[#This Row],[Description]]="","",VLOOKUP(Table2[[#This Row],[Description]],$Q$1:$S$101,2,FALSE))</f>
        <v/>
      </c>
      <c r="H5949" s="1" t="str">
        <f>IF(Table2[[#This Row],[Description]]="","",VLOOKUP(Table2[[#This Row],[Description]],$Q$1:$S$101,3,FALSE))</f>
        <v/>
      </c>
      <c r="I5949" s="1" t="str">
        <f>IF(Table2[[#This Row],[Description]]="","",IF(Table2[[#This Row],[Currency]]=$O$2,$P$2,HLOOKUP(Table2[[#This Row],[Date]],Funds!$C$10:$GV$11,2,FALSE)))</f>
        <v/>
      </c>
      <c r="J5949" s="215" t="str">
        <f>IF(Table2[[#This Row],[Description]]="","",Table2[[#This Row],[Value]]/Table2[[#This Row],[Conversion]])</f>
        <v/>
      </c>
      <c r="K5949" s="45" t="str">
        <f>IF(Table2[[#This Row],[Description]]="","",DATE(Table2[[#This Row],[Year]],Table2[[#This Row],[Month]],1))</f>
        <v/>
      </c>
    </row>
    <row r="5950" spans="7:11" x14ac:dyDescent="0.25">
      <c r="G5950" s="1" t="str">
        <f>IF(Table2[[#This Row],[Description]]="","",VLOOKUP(Table2[[#This Row],[Description]],$Q$1:$S$101,2,FALSE))</f>
        <v/>
      </c>
      <c r="H5950" s="1" t="str">
        <f>IF(Table2[[#This Row],[Description]]="","",VLOOKUP(Table2[[#This Row],[Description]],$Q$1:$S$101,3,FALSE))</f>
        <v/>
      </c>
      <c r="I5950" s="1" t="str">
        <f>IF(Table2[[#This Row],[Description]]="","",IF(Table2[[#This Row],[Currency]]=$O$2,$P$2,HLOOKUP(Table2[[#This Row],[Date]],Funds!$C$10:$GV$11,2,FALSE)))</f>
        <v/>
      </c>
      <c r="J5950" s="215" t="str">
        <f>IF(Table2[[#This Row],[Description]]="","",Table2[[#This Row],[Value]]/Table2[[#This Row],[Conversion]])</f>
        <v/>
      </c>
      <c r="K5950" s="45" t="str">
        <f>IF(Table2[[#This Row],[Description]]="","",DATE(Table2[[#This Row],[Year]],Table2[[#This Row],[Month]],1))</f>
        <v/>
      </c>
    </row>
    <row r="5951" spans="7:11" x14ac:dyDescent="0.25">
      <c r="G5951" s="1" t="str">
        <f>IF(Table2[[#This Row],[Description]]="","",VLOOKUP(Table2[[#This Row],[Description]],$Q$1:$S$101,2,FALSE))</f>
        <v/>
      </c>
      <c r="H5951" s="1" t="str">
        <f>IF(Table2[[#This Row],[Description]]="","",VLOOKUP(Table2[[#This Row],[Description]],$Q$1:$S$101,3,FALSE))</f>
        <v/>
      </c>
      <c r="I5951" s="1" t="str">
        <f>IF(Table2[[#This Row],[Description]]="","",IF(Table2[[#This Row],[Currency]]=$O$2,$P$2,HLOOKUP(Table2[[#This Row],[Date]],Funds!$C$10:$GV$11,2,FALSE)))</f>
        <v/>
      </c>
      <c r="J5951" s="215" t="str">
        <f>IF(Table2[[#This Row],[Description]]="","",Table2[[#This Row],[Value]]/Table2[[#This Row],[Conversion]])</f>
        <v/>
      </c>
      <c r="K5951" s="45" t="str">
        <f>IF(Table2[[#This Row],[Description]]="","",DATE(Table2[[#This Row],[Year]],Table2[[#This Row],[Month]],1))</f>
        <v/>
      </c>
    </row>
    <row r="5952" spans="7:11" x14ac:dyDescent="0.25">
      <c r="G5952" s="1" t="str">
        <f>IF(Table2[[#This Row],[Description]]="","",VLOOKUP(Table2[[#This Row],[Description]],$Q$1:$S$101,2,FALSE))</f>
        <v/>
      </c>
      <c r="H5952" s="1" t="str">
        <f>IF(Table2[[#This Row],[Description]]="","",VLOOKUP(Table2[[#This Row],[Description]],$Q$1:$S$101,3,FALSE))</f>
        <v/>
      </c>
      <c r="I5952" s="1" t="str">
        <f>IF(Table2[[#This Row],[Description]]="","",IF(Table2[[#This Row],[Currency]]=$O$2,$P$2,HLOOKUP(Table2[[#This Row],[Date]],Funds!$C$10:$GV$11,2,FALSE)))</f>
        <v/>
      </c>
      <c r="J5952" s="215" t="str">
        <f>IF(Table2[[#This Row],[Description]]="","",Table2[[#This Row],[Value]]/Table2[[#This Row],[Conversion]])</f>
        <v/>
      </c>
      <c r="K5952" s="45" t="str">
        <f>IF(Table2[[#This Row],[Description]]="","",DATE(Table2[[#This Row],[Year]],Table2[[#This Row],[Month]],1))</f>
        <v/>
      </c>
    </row>
    <row r="5953" spans="7:11" x14ac:dyDescent="0.25">
      <c r="G5953" s="1" t="str">
        <f>IF(Table2[[#This Row],[Description]]="","",VLOOKUP(Table2[[#This Row],[Description]],$Q$1:$S$101,2,FALSE))</f>
        <v/>
      </c>
      <c r="H5953" s="1" t="str">
        <f>IF(Table2[[#This Row],[Description]]="","",VLOOKUP(Table2[[#This Row],[Description]],$Q$1:$S$101,3,FALSE))</f>
        <v/>
      </c>
      <c r="I5953" s="1" t="str">
        <f>IF(Table2[[#This Row],[Description]]="","",IF(Table2[[#This Row],[Currency]]=$O$2,$P$2,HLOOKUP(Table2[[#This Row],[Date]],Funds!$C$10:$GV$11,2,FALSE)))</f>
        <v/>
      </c>
      <c r="J5953" s="215" t="str">
        <f>IF(Table2[[#This Row],[Description]]="","",Table2[[#This Row],[Value]]/Table2[[#This Row],[Conversion]])</f>
        <v/>
      </c>
      <c r="K5953" s="45" t="str">
        <f>IF(Table2[[#This Row],[Description]]="","",DATE(Table2[[#This Row],[Year]],Table2[[#This Row],[Month]],1))</f>
        <v/>
      </c>
    </row>
    <row r="5954" spans="7:11" x14ac:dyDescent="0.25">
      <c r="G5954" s="1" t="str">
        <f>IF(Table2[[#This Row],[Description]]="","",VLOOKUP(Table2[[#This Row],[Description]],$Q$1:$S$101,2,FALSE))</f>
        <v/>
      </c>
      <c r="H5954" s="1" t="str">
        <f>IF(Table2[[#This Row],[Description]]="","",VLOOKUP(Table2[[#This Row],[Description]],$Q$1:$S$101,3,FALSE))</f>
        <v/>
      </c>
      <c r="I5954" s="1" t="str">
        <f>IF(Table2[[#This Row],[Description]]="","",IF(Table2[[#This Row],[Currency]]=$O$2,$P$2,HLOOKUP(Table2[[#This Row],[Date]],Funds!$C$10:$GV$11,2,FALSE)))</f>
        <v/>
      </c>
      <c r="J5954" s="215" t="str">
        <f>IF(Table2[[#This Row],[Description]]="","",Table2[[#This Row],[Value]]/Table2[[#This Row],[Conversion]])</f>
        <v/>
      </c>
      <c r="K5954" s="45" t="str">
        <f>IF(Table2[[#This Row],[Description]]="","",DATE(Table2[[#This Row],[Year]],Table2[[#This Row],[Month]],1))</f>
        <v/>
      </c>
    </row>
    <row r="5955" spans="7:11" x14ac:dyDescent="0.25">
      <c r="G5955" s="1" t="str">
        <f>IF(Table2[[#This Row],[Description]]="","",VLOOKUP(Table2[[#This Row],[Description]],$Q$1:$S$101,2,FALSE))</f>
        <v/>
      </c>
      <c r="H5955" s="1" t="str">
        <f>IF(Table2[[#This Row],[Description]]="","",VLOOKUP(Table2[[#This Row],[Description]],$Q$1:$S$101,3,FALSE))</f>
        <v/>
      </c>
      <c r="I5955" s="1" t="str">
        <f>IF(Table2[[#This Row],[Description]]="","",IF(Table2[[#This Row],[Currency]]=$O$2,$P$2,HLOOKUP(Table2[[#This Row],[Date]],Funds!$C$10:$GV$11,2,FALSE)))</f>
        <v/>
      </c>
      <c r="J5955" s="215" t="str">
        <f>IF(Table2[[#This Row],[Description]]="","",Table2[[#This Row],[Value]]/Table2[[#This Row],[Conversion]])</f>
        <v/>
      </c>
      <c r="K5955" s="45" t="str">
        <f>IF(Table2[[#This Row],[Description]]="","",DATE(Table2[[#This Row],[Year]],Table2[[#This Row],[Month]],1))</f>
        <v/>
      </c>
    </row>
    <row r="5956" spans="7:11" x14ac:dyDescent="0.25">
      <c r="G5956" s="1" t="str">
        <f>IF(Table2[[#This Row],[Description]]="","",VLOOKUP(Table2[[#This Row],[Description]],$Q$1:$S$101,2,FALSE))</f>
        <v/>
      </c>
      <c r="H5956" s="1" t="str">
        <f>IF(Table2[[#This Row],[Description]]="","",VLOOKUP(Table2[[#This Row],[Description]],$Q$1:$S$101,3,FALSE))</f>
        <v/>
      </c>
      <c r="I5956" s="1" t="str">
        <f>IF(Table2[[#This Row],[Description]]="","",IF(Table2[[#This Row],[Currency]]=$O$2,$P$2,HLOOKUP(Table2[[#This Row],[Date]],Funds!$C$10:$GV$11,2,FALSE)))</f>
        <v/>
      </c>
      <c r="J5956" s="215" t="str">
        <f>IF(Table2[[#This Row],[Description]]="","",Table2[[#This Row],[Value]]/Table2[[#This Row],[Conversion]])</f>
        <v/>
      </c>
      <c r="K5956" s="45" t="str">
        <f>IF(Table2[[#This Row],[Description]]="","",DATE(Table2[[#This Row],[Year]],Table2[[#This Row],[Month]],1))</f>
        <v/>
      </c>
    </row>
    <row r="5957" spans="7:11" x14ac:dyDescent="0.25">
      <c r="G5957" s="1" t="str">
        <f>IF(Table2[[#This Row],[Description]]="","",VLOOKUP(Table2[[#This Row],[Description]],$Q$1:$S$101,2,FALSE))</f>
        <v/>
      </c>
      <c r="H5957" s="1" t="str">
        <f>IF(Table2[[#This Row],[Description]]="","",VLOOKUP(Table2[[#This Row],[Description]],$Q$1:$S$101,3,FALSE))</f>
        <v/>
      </c>
      <c r="I5957" s="1" t="str">
        <f>IF(Table2[[#This Row],[Description]]="","",IF(Table2[[#This Row],[Currency]]=$O$2,$P$2,HLOOKUP(Table2[[#This Row],[Date]],Funds!$C$10:$GV$11,2,FALSE)))</f>
        <v/>
      </c>
      <c r="J5957" s="215" t="str">
        <f>IF(Table2[[#This Row],[Description]]="","",Table2[[#This Row],[Value]]/Table2[[#This Row],[Conversion]])</f>
        <v/>
      </c>
      <c r="K5957" s="45" t="str">
        <f>IF(Table2[[#This Row],[Description]]="","",DATE(Table2[[#This Row],[Year]],Table2[[#This Row],[Month]],1))</f>
        <v/>
      </c>
    </row>
    <row r="5958" spans="7:11" x14ac:dyDescent="0.25">
      <c r="G5958" s="1" t="str">
        <f>IF(Table2[[#This Row],[Description]]="","",VLOOKUP(Table2[[#This Row],[Description]],$Q$1:$S$101,2,FALSE))</f>
        <v/>
      </c>
      <c r="H5958" s="1" t="str">
        <f>IF(Table2[[#This Row],[Description]]="","",VLOOKUP(Table2[[#This Row],[Description]],$Q$1:$S$101,3,FALSE))</f>
        <v/>
      </c>
      <c r="I5958" s="1" t="str">
        <f>IF(Table2[[#This Row],[Description]]="","",IF(Table2[[#This Row],[Currency]]=$O$2,$P$2,HLOOKUP(Table2[[#This Row],[Date]],Funds!$C$10:$GV$11,2,FALSE)))</f>
        <v/>
      </c>
      <c r="J5958" s="215" t="str">
        <f>IF(Table2[[#This Row],[Description]]="","",Table2[[#This Row],[Value]]/Table2[[#This Row],[Conversion]])</f>
        <v/>
      </c>
      <c r="K5958" s="45" t="str">
        <f>IF(Table2[[#This Row],[Description]]="","",DATE(Table2[[#This Row],[Year]],Table2[[#This Row],[Month]],1))</f>
        <v/>
      </c>
    </row>
    <row r="5959" spans="7:11" x14ac:dyDescent="0.25">
      <c r="G5959" s="1" t="str">
        <f>IF(Table2[[#This Row],[Description]]="","",VLOOKUP(Table2[[#This Row],[Description]],$Q$1:$S$101,2,FALSE))</f>
        <v/>
      </c>
      <c r="H5959" s="1" t="str">
        <f>IF(Table2[[#This Row],[Description]]="","",VLOOKUP(Table2[[#This Row],[Description]],$Q$1:$S$101,3,FALSE))</f>
        <v/>
      </c>
      <c r="I5959" s="1" t="str">
        <f>IF(Table2[[#This Row],[Description]]="","",IF(Table2[[#This Row],[Currency]]=$O$2,$P$2,HLOOKUP(Table2[[#This Row],[Date]],Funds!$C$10:$GV$11,2,FALSE)))</f>
        <v/>
      </c>
      <c r="J5959" s="215" t="str">
        <f>IF(Table2[[#This Row],[Description]]="","",Table2[[#This Row],[Value]]/Table2[[#This Row],[Conversion]])</f>
        <v/>
      </c>
      <c r="K5959" s="45" t="str">
        <f>IF(Table2[[#This Row],[Description]]="","",DATE(Table2[[#This Row],[Year]],Table2[[#This Row],[Month]],1))</f>
        <v/>
      </c>
    </row>
    <row r="5960" spans="7:11" x14ac:dyDescent="0.25">
      <c r="G5960" s="1" t="str">
        <f>IF(Table2[[#This Row],[Description]]="","",VLOOKUP(Table2[[#This Row],[Description]],$Q$1:$S$101,2,FALSE))</f>
        <v/>
      </c>
      <c r="H5960" s="1" t="str">
        <f>IF(Table2[[#This Row],[Description]]="","",VLOOKUP(Table2[[#This Row],[Description]],$Q$1:$S$101,3,FALSE))</f>
        <v/>
      </c>
      <c r="I5960" s="1" t="str">
        <f>IF(Table2[[#This Row],[Description]]="","",IF(Table2[[#This Row],[Currency]]=$O$2,$P$2,HLOOKUP(Table2[[#This Row],[Date]],Funds!$C$10:$GV$11,2,FALSE)))</f>
        <v/>
      </c>
      <c r="J5960" s="215" t="str">
        <f>IF(Table2[[#This Row],[Description]]="","",Table2[[#This Row],[Value]]/Table2[[#This Row],[Conversion]])</f>
        <v/>
      </c>
      <c r="K5960" s="45" t="str">
        <f>IF(Table2[[#This Row],[Description]]="","",DATE(Table2[[#This Row],[Year]],Table2[[#This Row],[Month]],1))</f>
        <v/>
      </c>
    </row>
    <row r="5961" spans="7:11" x14ac:dyDescent="0.25">
      <c r="G5961" s="1" t="str">
        <f>IF(Table2[[#This Row],[Description]]="","",VLOOKUP(Table2[[#This Row],[Description]],$Q$1:$S$101,2,FALSE))</f>
        <v/>
      </c>
      <c r="H5961" s="1" t="str">
        <f>IF(Table2[[#This Row],[Description]]="","",VLOOKUP(Table2[[#This Row],[Description]],$Q$1:$S$101,3,FALSE))</f>
        <v/>
      </c>
      <c r="I5961" s="1" t="str">
        <f>IF(Table2[[#This Row],[Description]]="","",IF(Table2[[#This Row],[Currency]]=$O$2,$P$2,HLOOKUP(Table2[[#This Row],[Date]],Funds!$C$10:$GV$11,2,FALSE)))</f>
        <v/>
      </c>
      <c r="J5961" s="215" t="str">
        <f>IF(Table2[[#This Row],[Description]]="","",Table2[[#This Row],[Value]]/Table2[[#This Row],[Conversion]])</f>
        <v/>
      </c>
      <c r="K5961" s="45" t="str">
        <f>IF(Table2[[#This Row],[Description]]="","",DATE(Table2[[#This Row],[Year]],Table2[[#This Row],[Month]],1))</f>
        <v/>
      </c>
    </row>
    <row r="5962" spans="7:11" x14ac:dyDescent="0.25">
      <c r="G5962" s="1" t="str">
        <f>IF(Table2[[#This Row],[Description]]="","",VLOOKUP(Table2[[#This Row],[Description]],$Q$1:$S$101,2,FALSE))</f>
        <v/>
      </c>
      <c r="H5962" s="1" t="str">
        <f>IF(Table2[[#This Row],[Description]]="","",VLOOKUP(Table2[[#This Row],[Description]],$Q$1:$S$101,3,FALSE))</f>
        <v/>
      </c>
      <c r="I5962" s="1" t="str">
        <f>IF(Table2[[#This Row],[Description]]="","",IF(Table2[[#This Row],[Currency]]=$O$2,$P$2,HLOOKUP(Table2[[#This Row],[Date]],Funds!$C$10:$GV$11,2,FALSE)))</f>
        <v/>
      </c>
      <c r="J5962" s="215" t="str">
        <f>IF(Table2[[#This Row],[Description]]="","",Table2[[#This Row],[Value]]/Table2[[#This Row],[Conversion]])</f>
        <v/>
      </c>
      <c r="K5962" s="45" t="str">
        <f>IF(Table2[[#This Row],[Description]]="","",DATE(Table2[[#This Row],[Year]],Table2[[#This Row],[Month]],1))</f>
        <v/>
      </c>
    </row>
    <row r="5963" spans="7:11" x14ac:dyDescent="0.25">
      <c r="G5963" s="1" t="str">
        <f>IF(Table2[[#This Row],[Description]]="","",VLOOKUP(Table2[[#This Row],[Description]],$Q$1:$S$101,2,FALSE))</f>
        <v/>
      </c>
      <c r="H5963" s="1" t="str">
        <f>IF(Table2[[#This Row],[Description]]="","",VLOOKUP(Table2[[#This Row],[Description]],$Q$1:$S$101,3,FALSE))</f>
        <v/>
      </c>
      <c r="I5963" s="1" t="str">
        <f>IF(Table2[[#This Row],[Description]]="","",IF(Table2[[#This Row],[Currency]]=$O$2,$P$2,HLOOKUP(Table2[[#This Row],[Date]],Funds!$C$10:$GV$11,2,FALSE)))</f>
        <v/>
      </c>
      <c r="J5963" s="215" t="str">
        <f>IF(Table2[[#This Row],[Description]]="","",Table2[[#This Row],[Value]]/Table2[[#This Row],[Conversion]])</f>
        <v/>
      </c>
      <c r="K5963" s="45" t="str">
        <f>IF(Table2[[#This Row],[Description]]="","",DATE(Table2[[#This Row],[Year]],Table2[[#This Row],[Month]],1))</f>
        <v/>
      </c>
    </row>
    <row r="5964" spans="7:11" x14ac:dyDescent="0.25">
      <c r="G5964" s="1" t="str">
        <f>IF(Table2[[#This Row],[Description]]="","",VLOOKUP(Table2[[#This Row],[Description]],$Q$1:$S$101,2,FALSE))</f>
        <v/>
      </c>
      <c r="H5964" s="1" t="str">
        <f>IF(Table2[[#This Row],[Description]]="","",VLOOKUP(Table2[[#This Row],[Description]],$Q$1:$S$101,3,FALSE))</f>
        <v/>
      </c>
      <c r="I5964" s="1" t="str">
        <f>IF(Table2[[#This Row],[Description]]="","",IF(Table2[[#This Row],[Currency]]=$O$2,$P$2,HLOOKUP(Table2[[#This Row],[Date]],Funds!$C$10:$GV$11,2,FALSE)))</f>
        <v/>
      </c>
      <c r="J5964" s="215" t="str">
        <f>IF(Table2[[#This Row],[Description]]="","",Table2[[#This Row],[Value]]/Table2[[#This Row],[Conversion]])</f>
        <v/>
      </c>
      <c r="K5964" s="45" t="str">
        <f>IF(Table2[[#This Row],[Description]]="","",DATE(Table2[[#This Row],[Year]],Table2[[#This Row],[Month]],1))</f>
        <v/>
      </c>
    </row>
    <row r="5965" spans="7:11" x14ac:dyDescent="0.25">
      <c r="G5965" s="1" t="str">
        <f>IF(Table2[[#This Row],[Description]]="","",VLOOKUP(Table2[[#This Row],[Description]],$Q$1:$S$101,2,FALSE))</f>
        <v/>
      </c>
      <c r="H5965" s="1" t="str">
        <f>IF(Table2[[#This Row],[Description]]="","",VLOOKUP(Table2[[#This Row],[Description]],$Q$1:$S$101,3,FALSE))</f>
        <v/>
      </c>
      <c r="I5965" s="1" t="str">
        <f>IF(Table2[[#This Row],[Description]]="","",IF(Table2[[#This Row],[Currency]]=$O$2,$P$2,HLOOKUP(Table2[[#This Row],[Date]],Funds!$C$10:$GV$11,2,FALSE)))</f>
        <v/>
      </c>
      <c r="J5965" s="215" t="str">
        <f>IF(Table2[[#This Row],[Description]]="","",Table2[[#This Row],[Value]]/Table2[[#This Row],[Conversion]])</f>
        <v/>
      </c>
      <c r="K5965" s="45" t="str">
        <f>IF(Table2[[#This Row],[Description]]="","",DATE(Table2[[#This Row],[Year]],Table2[[#This Row],[Month]],1))</f>
        <v/>
      </c>
    </row>
    <row r="5966" spans="7:11" x14ac:dyDescent="0.25">
      <c r="G5966" s="1" t="str">
        <f>IF(Table2[[#This Row],[Description]]="","",VLOOKUP(Table2[[#This Row],[Description]],$Q$1:$S$101,2,FALSE))</f>
        <v/>
      </c>
      <c r="H5966" s="1" t="str">
        <f>IF(Table2[[#This Row],[Description]]="","",VLOOKUP(Table2[[#This Row],[Description]],$Q$1:$S$101,3,FALSE))</f>
        <v/>
      </c>
      <c r="I5966" s="1" t="str">
        <f>IF(Table2[[#This Row],[Description]]="","",IF(Table2[[#This Row],[Currency]]=$O$2,$P$2,HLOOKUP(Table2[[#This Row],[Date]],Funds!$C$10:$GV$11,2,FALSE)))</f>
        <v/>
      </c>
      <c r="J5966" s="215" t="str">
        <f>IF(Table2[[#This Row],[Description]]="","",Table2[[#This Row],[Value]]/Table2[[#This Row],[Conversion]])</f>
        <v/>
      </c>
      <c r="K5966" s="45" t="str">
        <f>IF(Table2[[#This Row],[Description]]="","",DATE(Table2[[#This Row],[Year]],Table2[[#This Row],[Month]],1))</f>
        <v/>
      </c>
    </row>
    <row r="5967" spans="7:11" x14ac:dyDescent="0.25">
      <c r="G5967" s="1" t="str">
        <f>IF(Table2[[#This Row],[Description]]="","",VLOOKUP(Table2[[#This Row],[Description]],$Q$1:$S$101,2,FALSE))</f>
        <v/>
      </c>
      <c r="H5967" s="1" t="str">
        <f>IF(Table2[[#This Row],[Description]]="","",VLOOKUP(Table2[[#This Row],[Description]],$Q$1:$S$101,3,FALSE))</f>
        <v/>
      </c>
      <c r="I5967" s="1" t="str">
        <f>IF(Table2[[#This Row],[Description]]="","",IF(Table2[[#This Row],[Currency]]=$O$2,$P$2,HLOOKUP(Table2[[#This Row],[Date]],Funds!$C$10:$GV$11,2,FALSE)))</f>
        <v/>
      </c>
      <c r="J5967" s="215" t="str">
        <f>IF(Table2[[#This Row],[Description]]="","",Table2[[#This Row],[Value]]/Table2[[#This Row],[Conversion]])</f>
        <v/>
      </c>
      <c r="K5967" s="45" t="str">
        <f>IF(Table2[[#This Row],[Description]]="","",DATE(Table2[[#This Row],[Year]],Table2[[#This Row],[Month]],1))</f>
        <v/>
      </c>
    </row>
    <row r="5968" spans="7:11" x14ac:dyDescent="0.25">
      <c r="G5968" s="1" t="str">
        <f>IF(Table2[[#This Row],[Description]]="","",VLOOKUP(Table2[[#This Row],[Description]],$Q$1:$S$101,2,FALSE))</f>
        <v/>
      </c>
      <c r="H5968" s="1" t="str">
        <f>IF(Table2[[#This Row],[Description]]="","",VLOOKUP(Table2[[#This Row],[Description]],$Q$1:$S$101,3,FALSE))</f>
        <v/>
      </c>
      <c r="I5968" s="1" t="str">
        <f>IF(Table2[[#This Row],[Description]]="","",IF(Table2[[#This Row],[Currency]]=$O$2,$P$2,HLOOKUP(Table2[[#This Row],[Date]],Funds!$C$10:$GV$11,2,FALSE)))</f>
        <v/>
      </c>
      <c r="J5968" s="215" t="str">
        <f>IF(Table2[[#This Row],[Description]]="","",Table2[[#This Row],[Value]]/Table2[[#This Row],[Conversion]])</f>
        <v/>
      </c>
      <c r="K5968" s="45" t="str">
        <f>IF(Table2[[#This Row],[Description]]="","",DATE(Table2[[#This Row],[Year]],Table2[[#This Row],[Month]],1))</f>
        <v/>
      </c>
    </row>
    <row r="5969" spans="7:11" x14ac:dyDescent="0.25">
      <c r="G5969" s="1" t="str">
        <f>IF(Table2[[#This Row],[Description]]="","",VLOOKUP(Table2[[#This Row],[Description]],$Q$1:$S$101,2,FALSE))</f>
        <v/>
      </c>
      <c r="H5969" s="1" t="str">
        <f>IF(Table2[[#This Row],[Description]]="","",VLOOKUP(Table2[[#This Row],[Description]],$Q$1:$S$101,3,FALSE))</f>
        <v/>
      </c>
      <c r="I5969" s="1" t="str">
        <f>IF(Table2[[#This Row],[Description]]="","",IF(Table2[[#This Row],[Currency]]=$O$2,$P$2,HLOOKUP(Table2[[#This Row],[Date]],Funds!$C$10:$GV$11,2,FALSE)))</f>
        <v/>
      </c>
      <c r="J5969" s="215" t="str">
        <f>IF(Table2[[#This Row],[Description]]="","",Table2[[#This Row],[Value]]/Table2[[#This Row],[Conversion]])</f>
        <v/>
      </c>
      <c r="K5969" s="45" t="str">
        <f>IF(Table2[[#This Row],[Description]]="","",DATE(Table2[[#This Row],[Year]],Table2[[#This Row],[Month]],1))</f>
        <v/>
      </c>
    </row>
    <row r="5970" spans="7:11" x14ac:dyDescent="0.25">
      <c r="G5970" s="1" t="str">
        <f>IF(Table2[[#This Row],[Description]]="","",VLOOKUP(Table2[[#This Row],[Description]],$Q$1:$S$101,2,FALSE))</f>
        <v/>
      </c>
      <c r="H5970" s="1" t="str">
        <f>IF(Table2[[#This Row],[Description]]="","",VLOOKUP(Table2[[#This Row],[Description]],$Q$1:$S$101,3,FALSE))</f>
        <v/>
      </c>
      <c r="I5970" s="1" t="str">
        <f>IF(Table2[[#This Row],[Description]]="","",IF(Table2[[#This Row],[Currency]]=$O$2,$P$2,HLOOKUP(Table2[[#This Row],[Date]],Funds!$C$10:$GV$11,2,FALSE)))</f>
        <v/>
      </c>
      <c r="J5970" s="215" t="str">
        <f>IF(Table2[[#This Row],[Description]]="","",Table2[[#This Row],[Value]]/Table2[[#This Row],[Conversion]])</f>
        <v/>
      </c>
      <c r="K5970" s="45" t="str">
        <f>IF(Table2[[#This Row],[Description]]="","",DATE(Table2[[#This Row],[Year]],Table2[[#This Row],[Month]],1))</f>
        <v/>
      </c>
    </row>
    <row r="5971" spans="7:11" x14ac:dyDescent="0.25">
      <c r="G5971" s="1" t="str">
        <f>IF(Table2[[#This Row],[Description]]="","",VLOOKUP(Table2[[#This Row],[Description]],$Q$1:$S$101,2,FALSE))</f>
        <v/>
      </c>
      <c r="H5971" s="1" t="str">
        <f>IF(Table2[[#This Row],[Description]]="","",VLOOKUP(Table2[[#This Row],[Description]],$Q$1:$S$101,3,FALSE))</f>
        <v/>
      </c>
      <c r="I5971" s="1" t="str">
        <f>IF(Table2[[#This Row],[Description]]="","",IF(Table2[[#This Row],[Currency]]=$O$2,$P$2,HLOOKUP(Table2[[#This Row],[Date]],Funds!$C$10:$GV$11,2,FALSE)))</f>
        <v/>
      </c>
      <c r="J5971" s="215" t="str">
        <f>IF(Table2[[#This Row],[Description]]="","",Table2[[#This Row],[Value]]/Table2[[#This Row],[Conversion]])</f>
        <v/>
      </c>
      <c r="K5971" s="45" t="str">
        <f>IF(Table2[[#This Row],[Description]]="","",DATE(Table2[[#This Row],[Year]],Table2[[#This Row],[Month]],1))</f>
        <v/>
      </c>
    </row>
    <row r="5972" spans="7:11" x14ac:dyDescent="0.25">
      <c r="G5972" s="1" t="str">
        <f>IF(Table2[[#This Row],[Description]]="","",VLOOKUP(Table2[[#This Row],[Description]],$Q$1:$S$101,2,FALSE))</f>
        <v/>
      </c>
      <c r="H5972" s="1" t="str">
        <f>IF(Table2[[#This Row],[Description]]="","",VLOOKUP(Table2[[#This Row],[Description]],$Q$1:$S$101,3,FALSE))</f>
        <v/>
      </c>
      <c r="I5972" s="1" t="str">
        <f>IF(Table2[[#This Row],[Description]]="","",IF(Table2[[#This Row],[Currency]]=$O$2,$P$2,HLOOKUP(Table2[[#This Row],[Date]],Funds!$C$10:$GV$11,2,FALSE)))</f>
        <v/>
      </c>
      <c r="J5972" s="215" t="str">
        <f>IF(Table2[[#This Row],[Description]]="","",Table2[[#This Row],[Value]]/Table2[[#This Row],[Conversion]])</f>
        <v/>
      </c>
      <c r="K5972" s="45" t="str">
        <f>IF(Table2[[#This Row],[Description]]="","",DATE(Table2[[#This Row],[Year]],Table2[[#This Row],[Month]],1))</f>
        <v/>
      </c>
    </row>
    <row r="5973" spans="7:11" x14ac:dyDescent="0.25">
      <c r="G5973" s="1" t="str">
        <f>IF(Table2[[#This Row],[Description]]="","",VLOOKUP(Table2[[#This Row],[Description]],$Q$1:$S$101,2,FALSE))</f>
        <v/>
      </c>
      <c r="H5973" s="1" t="str">
        <f>IF(Table2[[#This Row],[Description]]="","",VLOOKUP(Table2[[#This Row],[Description]],$Q$1:$S$101,3,FALSE))</f>
        <v/>
      </c>
      <c r="I5973" s="1" t="str">
        <f>IF(Table2[[#This Row],[Description]]="","",IF(Table2[[#This Row],[Currency]]=$O$2,$P$2,HLOOKUP(Table2[[#This Row],[Date]],Funds!$C$10:$GV$11,2,FALSE)))</f>
        <v/>
      </c>
      <c r="J5973" s="215" t="str">
        <f>IF(Table2[[#This Row],[Description]]="","",Table2[[#This Row],[Value]]/Table2[[#This Row],[Conversion]])</f>
        <v/>
      </c>
      <c r="K5973" s="45" t="str">
        <f>IF(Table2[[#This Row],[Description]]="","",DATE(Table2[[#This Row],[Year]],Table2[[#This Row],[Month]],1))</f>
        <v/>
      </c>
    </row>
    <row r="5974" spans="7:11" x14ac:dyDescent="0.25">
      <c r="G5974" s="1" t="str">
        <f>IF(Table2[[#This Row],[Description]]="","",VLOOKUP(Table2[[#This Row],[Description]],$Q$1:$S$101,2,FALSE))</f>
        <v/>
      </c>
      <c r="H5974" s="1" t="str">
        <f>IF(Table2[[#This Row],[Description]]="","",VLOOKUP(Table2[[#This Row],[Description]],$Q$1:$S$101,3,FALSE))</f>
        <v/>
      </c>
      <c r="I5974" s="1" t="str">
        <f>IF(Table2[[#This Row],[Description]]="","",IF(Table2[[#This Row],[Currency]]=$O$2,$P$2,HLOOKUP(Table2[[#This Row],[Date]],Funds!$C$10:$GV$11,2,FALSE)))</f>
        <v/>
      </c>
      <c r="J5974" s="215" t="str">
        <f>IF(Table2[[#This Row],[Description]]="","",Table2[[#This Row],[Value]]/Table2[[#This Row],[Conversion]])</f>
        <v/>
      </c>
      <c r="K5974" s="45" t="str">
        <f>IF(Table2[[#This Row],[Description]]="","",DATE(Table2[[#This Row],[Year]],Table2[[#This Row],[Month]],1))</f>
        <v/>
      </c>
    </row>
    <row r="5975" spans="7:11" x14ac:dyDescent="0.25">
      <c r="G5975" s="1" t="str">
        <f>IF(Table2[[#This Row],[Description]]="","",VLOOKUP(Table2[[#This Row],[Description]],$Q$1:$S$101,2,FALSE))</f>
        <v/>
      </c>
      <c r="H5975" s="1" t="str">
        <f>IF(Table2[[#This Row],[Description]]="","",VLOOKUP(Table2[[#This Row],[Description]],$Q$1:$S$101,3,FALSE))</f>
        <v/>
      </c>
      <c r="I5975" s="1" t="str">
        <f>IF(Table2[[#This Row],[Description]]="","",IF(Table2[[#This Row],[Currency]]=$O$2,$P$2,HLOOKUP(Table2[[#This Row],[Date]],Funds!$C$10:$GV$11,2,FALSE)))</f>
        <v/>
      </c>
      <c r="J5975" s="215" t="str">
        <f>IF(Table2[[#This Row],[Description]]="","",Table2[[#This Row],[Value]]/Table2[[#This Row],[Conversion]])</f>
        <v/>
      </c>
      <c r="K5975" s="45" t="str">
        <f>IF(Table2[[#This Row],[Description]]="","",DATE(Table2[[#This Row],[Year]],Table2[[#This Row],[Month]],1))</f>
        <v/>
      </c>
    </row>
    <row r="5976" spans="7:11" x14ac:dyDescent="0.25">
      <c r="G5976" s="1" t="str">
        <f>IF(Table2[[#This Row],[Description]]="","",VLOOKUP(Table2[[#This Row],[Description]],$Q$1:$S$101,2,FALSE))</f>
        <v/>
      </c>
      <c r="H5976" s="1" t="str">
        <f>IF(Table2[[#This Row],[Description]]="","",VLOOKUP(Table2[[#This Row],[Description]],$Q$1:$S$101,3,FALSE))</f>
        <v/>
      </c>
      <c r="I5976" s="1" t="str">
        <f>IF(Table2[[#This Row],[Description]]="","",IF(Table2[[#This Row],[Currency]]=$O$2,$P$2,HLOOKUP(Table2[[#This Row],[Date]],Funds!$C$10:$GV$11,2,FALSE)))</f>
        <v/>
      </c>
      <c r="J5976" s="215" t="str">
        <f>IF(Table2[[#This Row],[Description]]="","",Table2[[#This Row],[Value]]/Table2[[#This Row],[Conversion]])</f>
        <v/>
      </c>
      <c r="K5976" s="45" t="str">
        <f>IF(Table2[[#This Row],[Description]]="","",DATE(Table2[[#This Row],[Year]],Table2[[#This Row],[Month]],1))</f>
        <v/>
      </c>
    </row>
    <row r="5977" spans="7:11" x14ac:dyDescent="0.25">
      <c r="G5977" s="1" t="str">
        <f>IF(Table2[[#This Row],[Description]]="","",VLOOKUP(Table2[[#This Row],[Description]],$Q$1:$S$101,2,FALSE))</f>
        <v/>
      </c>
      <c r="H5977" s="1" t="str">
        <f>IF(Table2[[#This Row],[Description]]="","",VLOOKUP(Table2[[#This Row],[Description]],$Q$1:$S$101,3,FALSE))</f>
        <v/>
      </c>
      <c r="I5977" s="1" t="str">
        <f>IF(Table2[[#This Row],[Description]]="","",IF(Table2[[#This Row],[Currency]]=$O$2,$P$2,HLOOKUP(Table2[[#This Row],[Date]],Funds!$C$10:$GV$11,2,FALSE)))</f>
        <v/>
      </c>
      <c r="J5977" s="215" t="str">
        <f>IF(Table2[[#This Row],[Description]]="","",Table2[[#This Row],[Value]]/Table2[[#This Row],[Conversion]])</f>
        <v/>
      </c>
      <c r="K5977" s="45" t="str">
        <f>IF(Table2[[#This Row],[Description]]="","",DATE(Table2[[#This Row],[Year]],Table2[[#This Row],[Month]],1))</f>
        <v/>
      </c>
    </row>
    <row r="5978" spans="7:11" x14ac:dyDescent="0.25">
      <c r="G5978" s="1" t="str">
        <f>IF(Table2[[#This Row],[Description]]="","",VLOOKUP(Table2[[#This Row],[Description]],$Q$1:$S$101,2,FALSE))</f>
        <v/>
      </c>
      <c r="H5978" s="1" t="str">
        <f>IF(Table2[[#This Row],[Description]]="","",VLOOKUP(Table2[[#This Row],[Description]],$Q$1:$S$101,3,FALSE))</f>
        <v/>
      </c>
      <c r="I5978" s="1" t="str">
        <f>IF(Table2[[#This Row],[Description]]="","",IF(Table2[[#This Row],[Currency]]=$O$2,$P$2,HLOOKUP(Table2[[#This Row],[Date]],Funds!$C$10:$GV$11,2,FALSE)))</f>
        <v/>
      </c>
      <c r="J5978" s="215" t="str">
        <f>IF(Table2[[#This Row],[Description]]="","",Table2[[#This Row],[Value]]/Table2[[#This Row],[Conversion]])</f>
        <v/>
      </c>
      <c r="K5978" s="45" t="str">
        <f>IF(Table2[[#This Row],[Description]]="","",DATE(Table2[[#This Row],[Year]],Table2[[#This Row],[Month]],1))</f>
        <v/>
      </c>
    </row>
    <row r="5979" spans="7:11" x14ac:dyDescent="0.25">
      <c r="G5979" s="1" t="str">
        <f>IF(Table2[[#This Row],[Description]]="","",VLOOKUP(Table2[[#This Row],[Description]],$Q$1:$S$101,2,FALSE))</f>
        <v/>
      </c>
      <c r="H5979" s="1" t="str">
        <f>IF(Table2[[#This Row],[Description]]="","",VLOOKUP(Table2[[#This Row],[Description]],$Q$1:$S$101,3,FALSE))</f>
        <v/>
      </c>
      <c r="I5979" s="1" t="str">
        <f>IF(Table2[[#This Row],[Description]]="","",IF(Table2[[#This Row],[Currency]]=$O$2,$P$2,HLOOKUP(Table2[[#This Row],[Date]],Funds!$C$10:$GV$11,2,FALSE)))</f>
        <v/>
      </c>
      <c r="J5979" s="215" t="str">
        <f>IF(Table2[[#This Row],[Description]]="","",Table2[[#This Row],[Value]]/Table2[[#This Row],[Conversion]])</f>
        <v/>
      </c>
      <c r="K5979" s="45" t="str">
        <f>IF(Table2[[#This Row],[Description]]="","",DATE(Table2[[#This Row],[Year]],Table2[[#This Row],[Month]],1))</f>
        <v/>
      </c>
    </row>
    <row r="5980" spans="7:11" x14ac:dyDescent="0.25">
      <c r="G5980" s="1" t="str">
        <f>IF(Table2[[#This Row],[Description]]="","",VLOOKUP(Table2[[#This Row],[Description]],$Q$1:$S$101,2,FALSE))</f>
        <v/>
      </c>
      <c r="H5980" s="1" t="str">
        <f>IF(Table2[[#This Row],[Description]]="","",VLOOKUP(Table2[[#This Row],[Description]],$Q$1:$S$101,3,FALSE))</f>
        <v/>
      </c>
      <c r="I5980" s="1" t="str">
        <f>IF(Table2[[#This Row],[Description]]="","",IF(Table2[[#This Row],[Currency]]=$O$2,$P$2,HLOOKUP(Table2[[#This Row],[Date]],Funds!$C$10:$GV$11,2,FALSE)))</f>
        <v/>
      </c>
      <c r="J5980" s="215" t="str">
        <f>IF(Table2[[#This Row],[Description]]="","",Table2[[#This Row],[Value]]/Table2[[#This Row],[Conversion]])</f>
        <v/>
      </c>
      <c r="K5980" s="45" t="str">
        <f>IF(Table2[[#This Row],[Description]]="","",DATE(Table2[[#This Row],[Year]],Table2[[#This Row],[Month]],1))</f>
        <v/>
      </c>
    </row>
    <row r="5981" spans="7:11" x14ac:dyDescent="0.25">
      <c r="G5981" s="1" t="str">
        <f>IF(Table2[[#This Row],[Description]]="","",VLOOKUP(Table2[[#This Row],[Description]],$Q$1:$S$101,2,FALSE))</f>
        <v/>
      </c>
      <c r="H5981" s="1" t="str">
        <f>IF(Table2[[#This Row],[Description]]="","",VLOOKUP(Table2[[#This Row],[Description]],$Q$1:$S$101,3,FALSE))</f>
        <v/>
      </c>
      <c r="I5981" s="1" t="str">
        <f>IF(Table2[[#This Row],[Description]]="","",IF(Table2[[#This Row],[Currency]]=$O$2,$P$2,HLOOKUP(Table2[[#This Row],[Date]],Funds!$C$10:$GV$11,2,FALSE)))</f>
        <v/>
      </c>
      <c r="J5981" s="215" t="str">
        <f>IF(Table2[[#This Row],[Description]]="","",Table2[[#This Row],[Value]]/Table2[[#This Row],[Conversion]])</f>
        <v/>
      </c>
      <c r="K5981" s="45" t="str">
        <f>IF(Table2[[#This Row],[Description]]="","",DATE(Table2[[#This Row],[Year]],Table2[[#This Row],[Month]],1))</f>
        <v/>
      </c>
    </row>
    <row r="5982" spans="7:11" x14ac:dyDescent="0.25">
      <c r="G5982" s="1" t="str">
        <f>IF(Table2[[#This Row],[Description]]="","",VLOOKUP(Table2[[#This Row],[Description]],$Q$1:$S$101,2,FALSE))</f>
        <v/>
      </c>
      <c r="H5982" s="1" t="str">
        <f>IF(Table2[[#This Row],[Description]]="","",VLOOKUP(Table2[[#This Row],[Description]],$Q$1:$S$101,3,FALSE))</f>
        <v/>
      </c>
      <c r="I5982" s="1" t="str">
        <f>IF(Table2[[#This Row],[Description]]="","",IF(Table2[[#This Row],[Currency]]=$O$2,$P$2,HLOOKUP(Table2[[#This Row],[Date]],Funds!$C$10:$GV$11,2,FALSE)))</f>
        <v/>
      </c>
      <c r="J5982" s="215" t="str">
        <f>IF(Table2[[#This Row],[Description]]="","",Table2[[#This Row],[Value]]/Table2[[#This Row],[Conversion]])</f>
        <v/>
      </c>
      <c r="K5982" s="45" t="str">
        <f>IF(Table2[[#This Row],[Description]]="","",DATE(Table2[[#This Row],[Year]],Table2[[#This Row],[Month]],1))</f>
        <v/>
      </c>
    </row>
    <row r="5983" spans="7:11" x14ac:dyDescent="0.25">
      <c r="G5983" s="1" t="str">
        <f>IF(Table2[[#This Row],[Description]]="","",VLOOKUP(Table2[[#This Row],[Description]],$Q$1:$S$101,2,FALSE))</f>
        <v/>
      </c>
      <c r="H5983" s="1" t="str">
        <f>IF(Table2[[#This Row],[Description]]="","",VLOOKUP(Table2[[#This Row],[Description]],$Q$1:$S$101,3,FALSE))</f>
        <v/>
      </c>
      <c r="I5983" s="1" t="str">
        <f>IF(Table2[[#This Row],[Description]]="","",IF(Table2[[#This Row],[Currency]]=$O$2,$P$2,HLOOKUP(Table2[[#This Row],[Date]],Funds!$C$10:$GV$11,2,FALSE)))</f>
        <v/>
      </c>
      <c r="J5983" s="215" t="str">
        <f>IF(Table2[[#This Row],[Description]]="","",Table2[[#This Row],[Value]]/Table2[[#This Row],[Conversion]])</f>
        <v/>
      </c>
      <c r="K5983" s="45" t="str">
        <f>IF(Table2[[#This Row],[Description]]="","",DATE(Table2[[#This Row],[Year]],Table2[[#This Row],[Month]],1))</f>
        <v/>
      </c>
    </row>
    <row r="5984" spans="7:11" x14ac:dyDescent="0.25">
      <c r="G5984" s="1" t="str">
        <f>IF(Table2[[#This Row],[Description]]="","",VLOOKUP(Table2[[#This Row],[Description]],$Q$1:$S$101,2,FALSE))</f>
        <v/>
      </c>
      <c r="H5984" s="1" t="str">
        <f>IF(Table2[[#This Row],[Description]]="","",VLOOKUP(Table2[[#This Row],[Description]],$Q$1:$S$101,3,FALSE))</f>
        <v/>
      </c>
      <c r="I5984" s="1" t="str">
        <f>IF(Table2[[#This Row],[Description]]="","",IF(Table2[[#This Row],[Currency]]=$O$2,$P$2,HLOOKUP(Table2[[#This Row],[Date]],Funds!$C$10:$GV$11,2,FALSE)))</f>
        <v/>
      </c>
      <c r="J5984" s="215" t="str">
        <f>IF(Table2[[#This Row],[Description]]="","",Table2[[#This Row],[Value]]/Table2[[#This Row],[Conversion]])</f>
        <v/>
      </c>
      <c r="K5984" s="45" t="str">
        <f>IF(Table2[[#This Row],[Description]]="","",DATE(Table2[[#This Row],[Year]],Table2[[#This Row],[Month]],1))</f>
        <v/>
      </c>
    </row>
    <row r="5985" spans="7:11" x14ac:dyDescent="0.25">
      <c r="G5985" s="1" t="str">
        <f>IF(Table2[[#This Row],[Description]]="","",VLOOKUP(Table2[[#This Row],[Description]],$Q$1:$S$101,2,FALSE))</f>
        <v/>
      </c>
      <c r="H5985" s="1" t="str">
        <f>IF(Table2[[#This Row],[Description]]="","",VLOOKUP(Table2[[#This Row],[Description]],$Q$1:$S$101,3,FALSE))</f>
        <v/>
      </c>
      <c r="I5985" s="1" t="str">
        <f>IF(Table2[[#This Row],[Description]]="","",IF(Table2[[#This Row],[Currency]]=$O$2,$P$2,HLOOKUP(Table2[[#This Row],[Date]],Funds!$C$10:$GV$11,2,FALSE)))</f>
        <v/>
      </c>
      <c r="J5985" s="215" t="str">
        <f>IF(Table2[[#This Row],[Description]]="","",Table2[[#This Row],[Value]]/Table2[[#This Row],[Conversion]])</f>
        <v/>
      </c>
      <c r="K5985" s="45" t="str">
        <f>IF(Table2[[#This Row],[Description]]="","",DATE(Table2[[#This Row],[Year]],Table2[[#This Row],[Month]],1))</f>
        <v/>
      </c>
    </row>
    <row r="5986" spans="7:11" x14ac:dyDescent="0.25">
      <c r="G5986" s="1" t="str">
        <f>IF(Table2[[#This Row],[Description]]="","",VLOOKUP(Table2[[#This Row],[Description]],$Q$1:$S$101,2,FALSE))</f>
        <v/>
      </c>
      <c r="H5986" s="1" t="str">
        <f>IF(Table2[[#This Row],[Description]]="","",VLOOKUP(Table2[[#This Row],[Description]],$Q$1:$S$101,3,FALSE))</f>
        <v/>
      </c>
      <c r="I5986" s="1" t="str">
        <f>IF(Table2[[#This Row],[Description]]="","",IF(Table2[[#This Row],[Currency]]=$O$2,$P$2,HLOOKUP(Table2[[#This Row],[Date]],Funds!$C$10:$GV$11,2,FALSE)))</f>
        <v/>
      </c>
      <c r="J5986" s="215" t="str">
        <f>IF(Table2[[#This Row],[Description]]="","",Table2[[#This Row],[Value]]/Table2[[#This Row],[Conversion]])</f>
        <v/>
      </c>
      <c r="K5986" s="45" t="str">
        <f>IF(Table2[[#This Row],[Description]]="","",DATE(Table2[[#This Row],[Year]],Table2[[#This Row],[Month]],1))</f>
        <v/>
      </c>
    </row>
    <row r="5987" spans="7:11" x14ac:dyDescent="0.25">
      <c r="G5987" s="1" t="str">
        <f>IF(Table2[[#This Row],[Description]]="","",VLOOKUP(Table2[[#This Row],[Description]],$Q$1:$S$101,2,FALSE))</f>
        <v/>
      </c>
      <c r="H5987" s="1" t="str">
        <f>IF(Table2[[#This Row],[Description]]="","",VLOOKUP(Table2[[#This Row],[Description]],$Q$1:$S$101,3,FALSE))</f>
        <v/>
      </c>
      <c r="I5987" s="1" t="str">
        <f>IF(Table2[[#This Row],[Description]]="","",IF(Table2[[#This Row],[Currency]]=$O$2,$P$2,HLOOKUP(Table2[[#This Row],[Date]],Funds!$C$10:$GV$11,2,FALSE)))</f>
        <v/>
      </c>
      <c r="J5987" s="215" t="str">
        <f>IF(Table2[[#This Row],[Description]]="","",Table2[[#This Row],[Value]]/Table2[[#This Row],[Conversion]])</f>
        <v/>
      </c>
      <c r="K5987" s="45" t="str">
        <f>IF(Table2[[#This Row],[Description]]="","",DATE(Table2[[#This Row],[Year]],Table2[[#This Row],[Month]],1))</f>
        <v/>
      </c>
    </row>
    <row r="5988" spans="7:11" x14ac:dyDescent="0.25">
      <c r="G5988" s="1" t="str">
        <f>IF(Table2[[#This Row],[Description]]="","",VLOOKUP(Table2[[#This Row],[Description]],$Q$1:$S$101,2,FALSE))</f>
        <v/>
      </c>
      <c r="H5988" s="1" t="str">
        <f>IF(Table2[[#This Row],[Description]]="","",VLOOKUP(Table2[[#This Row],[Description]],$Q$1:$S$101,3,FALSE))</f>
        <v/>
      </c>
      <c r="I5988" s="1" t="str">
        <f>IF(Table2[[#This Row],[Description]]="","",IF(Table2[[#This Row],[Currency]]=$O$2,$P$2,HLOOKUP(Table2[[#This Row],[Date]],Funds!$C$10:$GV$11,2,FALSE)))</f>
        <v/>
      </c>
      <c r="J5988" s="215" t="str">
        <f>IF(Table2[[#This Row],[Description]]="","",Table2[[#This Row],[Value]]/Table2[[#This Row],[Conversion]])</f>
        <v/>
      </c>
      <c r="K5988" s="45" t="str">
        <f>IF(Table2[[#This Row],[Description]]="","",DATE(Table2[[#This Row],[Year]],Table2[[#This Row],[Month]],1))</f>
        <v/>
      </c>
    </row>
    <row r="5989" spans="7:11" x14ac:dyDescent="0.25">
      <c r="G5989" s="1" t="str">
        <f>IF(Table2[[#This Row],[Description]]="","",VLOOKUP(Table2[[#This Row],[Description]],$Q$1:$S$101,2,FALSE))</f>
        <v/>
      </c>
      <c r="H5989" s="1" t="str">
        <f>IF(Table2[[#This Row],[Description]]="","",VLOOKUP(Table2[[#This Row],[Description]],$Q$1:$S$101,3,FALSE))</f>
        <v/>
      </c>
      <c r="I5989" s="1" t="str">
        <f>IF(Table2[[#This Row],[Description]]="","",IF(Table2[[#This Row],[Currency]]=$O$2,$P$2,HLOOKUP(Table2[[#This Row],[Date]],Funds!$C$10:$GV$11,2,FALSE)))</f>
        <v/>
      </c>
      <c r="J5989" s="215" t="str">
        <f>IF(Table2[[#This Row],[Description]]="","",Table2[[#This Row],[Value]]/Table2[[#This Row],[Conversion]])</f>
        <v/>
      </c>
      <c r="K5989" s="45" t="str">
        <f>IF(Table2[[#This Row],[Description]]="","",DATE(Table2[[#This Row],[Year]],Table2[[#This Row],[Month]],1))</f>
        <v/>
      </c>
    </row>
    <row r="5990" spans="7:11" x14ac:dyDescent="0.25">
      <c r="G5990" s="1" t="str">
        <f>IF(Table2[[#This Row],[Description]]="","",VLOOKUP(Table2[[#This Row],[Description]],$Q$1:$S$101,2,FALSE))</f>
        <v/>
      </c>
      <c r="H5990" s="1" t="str">
        <f>IF(Table2[[#This Row],[Description]]="","",VLOOKUP(Table2[[#This Row],[Description]],$Q$1:$S$101,3,FALSE))</f>
        <v/>
      </c>
      <c r="I5990" s="1" t="str">
        <f>IF(Table2[[#This Row],[Description]]="","",IF(Table2[[#This Row],[Currency]]=$O$2,$P$2,HLOOKUP(Table2[[#This Row],[Date]],Funds!$C$10:$GV$11,2,FALSE)))</f>
        <v/>
      </c>
      <c r="J5990" s="215" t="str">
        <f>IF(Table2[[#This Row],[Description]]="","",Table2[[#This Row],[Value]]/Table2[[#This Row],[Conversion]])</f>
        <v/>
      </c>
      <c r="K5990" s="45" t="str">
        <f>IF(Table2[[#This Row],[Description]]="","",DATE(Table2[[#This Row],[Year]],Table2[[#This Row],[Month]],1))</f>
        <v/>
      </c>
    </row>
    <row r="5991" spans="7:11" x14ac:dyDescent="0.25">
      <c r="G5991" s="1" t="str">
        <f>IF(Table2[[#This Row],[Description]]="","",VLOOKUP(Table2[[#This Row],[Description]],$Q$1:$S$101,2,FALSE))</f>
        <v/>
      </c>
      <c r="H5991" s="1" t="str">
        <f>IF(Table2[[#This Row],[Description]]="","",VLOOKUP(Table2[[#This Row],[Description]],$Q$1:$S$101,3,FALSE))</f>
        <v/>
      </c>
      <c r="I5991" s="1" t="str">
        <f>IF(Table2[[#This Row],[Description]]="","",IF(Table2[[#This Row],[Currency]]=$O$2,$P$2,HLOOKUP(Table2[[#This Row],[Date]],Funds!$C$10:$GV$11,2,FALSE)))</f>
        <v/>
      </c>
      <c r="J5991" s="215" t="str">
        <f>IF(Table2[[#This Row],[Description]]="","",Table2[[#This Row],[Value]]/Table2[[#This Row],[Conversion]])</f>
        <v/>
      </c>
      <c r="K5991" s="45" t="str">
        <f>IF(Table2[[#This Row],[Description]]="","",DATE(Table2[[#This Row],[Year]],Table2[[#This Row],[Month]],1))</f>
        <v/>
      </c>
    </row>
    <row r="5992" spans="7:11" x14ac:dyDescent="0.25">
      <c r="G5992" s="1" t="str">
        <f>IF(Table2[[#This Row],[Description]]="","",VLOOKUP(Table2[[#This Row],[Description]],$Q$1:$S$101,2,FALSE))</f>
        <v/>
      </c>
      <c r="H5992" s="1" t="str">
        <f>IF(Table2[[#This Row],[Description]]="","",VLOOKUP(Table2[[#This Row],[Description]],$Q$1:$S$101,3,FALSE))</f>
        <v/>
      </c>
      <c r="I5992" s="1" t="str">
        <f>IF(Table2[[#This Row],[Description]]="","",IF(Table2[[#This Row],[Currency]]=$O$2,$P$2,HLOOKUP(Table2[[#This Row],[Date]],Funds!$C$10:$GV$11,2,FALSE)))</f>
        <v/>
      </c>
      <c r="J5992" s="215" t="str">
        <f>IF(Table2[[#This Row],[Description]]="","",Table2[[#This Row],[Value]]/Table2[[#This Row],[Conversion]])</f>
        <v/>
      </c>
      <c r="K5992" s="45" t="str">
        <f>IF(Table2[[#This Row],[Description]]="","",DATE(Table2[[#This Row],[Year]],Table2[[#This Row],[Month]],1))</f>
        <v/>
      </c>
    </row>
    <row r="5993" spans="7:11" x14ac:dyDescent="0.25">
      <c r="G5993" s="1" t="str">
        <f>IF(Table2[[#This Row],[Description]]="","",VLOOKUP(Table2[[#This Row],[Description]],$Q$1:$S$101,2,FALSE))</f>
        <v/>
      </c>
      <c r="H5993" s="1" t="str">
        <f>IF(Table2[[#This Row],[Description]]="","",VLOOKUP(Table2[[#This Row],[Description]],$Q$1:$S$101,3,FALSE))</f>
        <v/>
      </c>
      <c r="I5993" s="1" t="str">
        <f>IF(Table2[[#This Row],[Description]]="","",IF(Table2[[#This Row],[Currency]]=$O$2,$P$2,HLOOKUP(Table2[[#This Row],[Date]],Funds!$C$10:$GV$11,2,FALSE)))</f>
        <v/>
      </c>
      <c r="J5993" s="215" t="str">
        <f>IF(Table2[[#This Row],[Description]]="","",Table2[[#This Row],[Value]]/Table2[[#This Row],[Conversion]])</f>
        <v/>
      </c>
      <c r="K5993" s="45" t="str">
        <f>IF(Table2[[#This Row],[Description]]="","",DATE(Table2[[#This Row],[Year]],Table2[[#This Row],[Month]],1))</f>
        <v/>
      </c>
    </row>
    <row r="5994" spans="7:11" x14ac:dyDescent="0.25">
      <c r="G5994" s="1" t="str">
        <f>IF(Table2[[#This Row],[Description]]="","",VLOOKUP(Table2[[#This Row],[Description]],$Q$1:$S$101,2,FALSE))</f>
        <v/>
      </c>
      <c r="H5994" s="1" t="str">
        <f>IF(Table2[[#This Row],[Description]]="","",VLOOKUP(Table2[[#This Row],[Description]],$Q$1:$S$101,3,FALSE))</f>
        <v/>
      </c>
      <c r="I5994" s="1" t="str">
        <f>IF(Table2[[#This Row],[Description]]="","",IF(Table2[[#This Row],[Currency]]=$O$2,$P$2,HLOOKUP(Table2[[#This Row],[Date]],Funds!$C$10:$GV$11,2,FALSE)))</f>
        <v/>
      </c>
      <c r="J5994" s="215" t="str">
        <f>IF(Table2[[#This Row],[Description]]="","",Table2[[#This Row],[Value]]/Table2[[#This Row],[Conversion]])</f>
        <v/>
      </c>
      <c r="K5994" s="45" t="str">
        <f>IF(Table2[[#This Row],[Description]]="","",DATE(Table2[[#This Row],[Year]],Table2[[#This Row],[Month]],1))</f>
        <v/>
      </c>
    </row>
    <row r="5995" spans="7:11" x14ac:dyDescent="0.25">
      <c r="G5995" s="1" t="str">
        <f>IF(Table2[[#This Row],[Description]]="","",VLOOKUP(Table2[[#This Row],[Description]],$Q$1:$S$101,2,FALSE))</f>
        <v/>
      </c>
      <c r="H5995" s="1" t="str">
        <f>IF(Table2[[#This Row],[Description]]="","",VLOOKUP(Table2[[#This Row],[Description]],$Q$1:$S$101,3,FALSE))</f>
        <v/>
      </c>
      <c r="I5995" s="1" t="str">
        <f>IF(Table2[[#This Row],[Description]]="","",IF(Table2[[#This Row],[Currency]]=$O$2,$P$2,HLOOKUP(Table2[[#This Row],[Date]],Funds!$C$10:$GV$11,2,FALSE)))</f>
        <v/>
      </c>
      <c r="J5995" s="215" t="str">
        <f>IF(Table2[[#This Row],[Description]]="","",Table2[[#This Row],[Value]]/Table2[[#This Row],[Conversion]])</f>
        <v/>
      </c>
      <c r="K5995" s="45" t="str">
        <f>IF(Table2[[#This Row],[Description]]="","",DATE(Table2[[#This Row],[Year]],Table2[[#This Row],[Month]],1))</f>
        <v/>
      </c>
    </row>
    <row r="5996" spans="7:11" x14ac:dyDescent="0.25">
      <c r="G5996" s="1" t="str">
        <f>IF(Table2[[#This Row],[Description]]="","",VLOOKUP(Table2[[#This Row],[Description]],$Q$1:$S$101,2,FALSE))</f>
        <v/>
      </c>
      <c r="H5996" s="1" t="str">
        <f>IF(Table2[[#This Row],[Description]]="","",VLOOKUP(Table2[[#This Row],[Description]],$Q$1:$S$101,3,FALSE))</f>
        <v/>
      </c>
      <c r="I5996" s="1" t="str">
        <f>IF(Table2[[#This Row],[Description]]="","",IF(Table2[[#This Row],[Currency]]=$O$2,$P$2,HLOOKUP(Table2[[#This Row],[Date]],Funds!$C$10:$GV$11,2,FALSE)))</f>
        <v/>
      </c>
      <c r="J5996" s="215" t="str">
        <f>IF(Table2[[#This Row],[Description]]="","",Table2[[#This Row],[Value]]/Table2[[#This Row],[Conversion]])</f>
        <v/>
      </c>
      <c r="K5996" s="45" t="str">
        <f>IF(Table2[[#This Row],[Description]]="","",DATE(Table2[[#This Row],[Year]],Table2[[#This Row],[Month]],1))</f>
        <v/>
      </c>
    </row>
    <row r="5997" spans="7:11" x14ac:dyDescent="0.25">
      <c r="G5997" s="1" t="str">
        <f>IF(Table2[[#This Row],[Description]]="","",VLOOKUP(Table2[[#This Row],[Description]],$Q$1:$S$101,2,FALSE))</f>
        <v/>
      </c>
      <c r="H5997" s="1" t="str">
        <f>IF(Table2[[#This Row],[Description]]="","",VLOOKUP(Table2[[#This Row],[Description]],$Q$1:$S$101,3,FALSE))</f>
        <v/>
      </c>
      <c r="I5997" s="1" t="str">
        <f>IF(Table2[[#This Row],[Description]]="","",IF(Table2[[#This Row],[Currency]]=$O$2,$P$2,HLOOKUP(Table2[[#This Row],[Date]],Funds!$C$10:$GV$11,2,FALSE)))</f>
        <v/>
      </c>
      <c r="J5997" s="215" t="str">
        <f>IF(Table2[[#This Row],[Description]]="","",Table2[[#This Row],[Value]]/Table2[[#This Row],[Conversion]])</f>
        <v/>
      </c>
      <c r="K5997" s="45" t="str">
        <f>IF(Table2[[#This Row],[Description]]="","",DATE(Table2[[#This Row],[Year]],Table2[[#This Row],[Month]],1))</f>
        <v/>
      </c>
    </row>
    <row r="5998" spans="7:11" x14ac:dyDescent="0.25">
      <c r="G5998" s="1" t="str">
        <f>IF(Table2[[#This Row],[Description]]="","",VLOOKUP(Table2[[#This Row],[Description]],$Q$1:$S$101,2,FALSE))</f>
        <v/>
      </c>
      <c r="H5998" s="1" t="str">
        <f>IF(Table2[[#This Row],[Description]]="","",VLOOKUP(Table2[[#This Row],[Description]],$Q$1:$S$101,3,FALSE))</f>
        <v/>
      </c>
      <c r="I5998" s="1" t="str">
        <f>IF(Table2[[#This Row],[Description]]="","",IF(Table2[[#This Row],[Currency]]=$O$2,$P$2,HLOOKUP(Table2[[#This Row],[Date]],Funds!$C$10:$GV$11,2,FALSE)))</f>
        <v/>
      </c>
      <c r="J5998" s="215" t="str">
        <f>IF(Table2[[#This Row],[Description]]="","",Table2[[#This Row],[Value]]/Table2[[#This Row],[Conversion]])</f>
        <v/>
      </c>
      <c r="K5998" s="45" t="str">
        <f>IF(Table2[[#This Row],[Description]]="","",DATE(Table2[[#This Row],[Year]],Table2[[#This Row],[Month]],1))</f>
        <v/>
      </c>
    </row>
    <row r="5999" spans="7:11" x14ac:dyDescent="0.25">
      <c r="G5999" s="1" t="str">
        <f>IF(Table2[[#This Row],[Description]]="","",VLOOKUP(Table2[[#This Row],[Description]],$Q$1:$S$101,2,FALSE))</f>
        <v/>
      </c>
      <c r="H5999" s="1" t="str">
        <f>IF(Table2[[#This Row],[Description]]="","",VLOOKUP(Table2[[#This Row],[Description]],$Q$1:$S$101,3,FALSE))</f>
        <v/>
      </c>
      <c r="I5999" s="1" t="str">
        <f>IF(Table2[[#This Row],[Description]]="","",IF(Table2[[#This Row],[Currency]]=$O$2,$P$2,HLOOKUP(Table2[[#This Row],[Date]],Funds!$C$10:$GV$11,2,FALSE)))</f>
        <v/>
      </c>
      <c r="J5999" s="215" t="str">
        <f>IF(Table2[[#This Row],[Description]]="","",Table2[[#This Row],[Value]]/Table2[[#This Row],[Conversion]])</f>
        <v/>
      </c>
      <c r="K5999" s="45" t="str">
        <f>IF(Table2[[#This Row],[Description]]="","",DATE(Table2[[#This Row],[Year]],Table2[[#This Row],[Month]],1))</f>
        <v/>
      </c>
    </row>
    <row r="6000" spans="7:11" x14ac:dyDescent="0.25">
      <c r="G6000" s="1" t="str">
        <f>IF(Table2[[#This Row],[Description]]="","",VLOOKUP(Table2[[#This Row],[Description]],$Q$1:$S$101,2,FALSE))</f>
        <v/>
      </c>
      <c r="H6000" s="1" t="str">
        <f>IF(Table2[[#This Row],[Description]]="","",VLOOKUP(Table2[[#This Row],[Description]],$Q$1:$S$101,3,FALSE))</f>
        <v/>
      </c>
      <c r="I6000" s="1" t="str">
        <f>IF(Table2[[#This Row],[Description]]="","",IF(Table2[[#This Row],[Currency]]=$O$2,$P$2,HLOOKUP(Table2[[#This Row],[Date]],Funds!$C$10:$GV$11,2,FALSE)))</f>
        <v/>
      </c>
      <c r="J6000" s="215" t="str">
        <f>IF(Table2[[#This Row],[Description]]="","",Table2[[#This Row],[Value]]/Table2[[#This Row],[Conversion]])</f>
        <v/>
      </c>
      <c r="K6000" s="45" t="str">
        <f>IF(Table2[[#This Row],[Description]]="","",DATE(Table2[[#This Row],[Year]],Table2[[#This Row],[Month]],1))</f>
        <v/>
      </c>
    </row>
    <row r="6001" spans="7:11" x14ac:dyDescent="0.25">
      <c r="G6001" s="1" t="str">
        <f>IF(Table2[[#This Row],[Description]]="","",VLOOKUP(Table2[[#This Row],[Description]],$Q$1:$S$101,2,FALSE))</f>
        <v/>
      </c>
      <c r="H6001" s="1" t="str">
        <f>IF(Table2[[#This Row],[Description]]="","",VLOOKUP(Table2[[#This Row],[Description]],$Q$1:$S$101,3,FALSE))</f>
        <v/>
      </c>
      <c r="I6001" s="1" t="str">
        <f>IF(Table2[[#This Row],[Description]]="","",IF(Table2[[#This Row],[Currency]]=$O$2,$P$2,HLOOKUP(Table2[[#This Row],[Date]],Funds!$C$10:$GV$11,2,FALSE)))</f>
        <v/>
      </c>
      <c r="J6001" s="215" t="str">
        <f>IF(Table2[[#This Row],[Description]]="","",Table2[[#This Row],[Value]]/Table2[[#This Row],[Conversion]])</f>
        <v/>
      </c>
      <c r="K6001" s="45" t="str">
        <f>IF(Table2[[#This Row],[Description]]="","",DATE(Table2[[#This Row],[Year]],Table2[[#This Row],[Month]],1))</f>
        <v/>
      </c>
    </row>
    <row r="6002" spans="7:11" x14ac:dyDescent="0.25">
      <c r="G6002" s="1" t="str">
        <f>IF(Table2[[#This Row],[Description]]="","",VLOOKUP(Table2[[#This Row],[Description]],$Q$1:$S$101,2,FALSE))</f>
        <v/>
      </c>
      <c r="H6002" s="1" t="str">
        <f>IF(Table2[[#This Row],[Description]]="","",VLOOKUP(Table2[[#This Row],[Description]],$Q$1:$S$101,3,FALSE))</f>
        <v/>
      </c>
      <c r="I6002" s="1" t="str">
        <f>IF(Table2[[#This Row],[Description]]="","",IF(Table2[[#This Row],[Currency]]=$O$2,$P$2,HLOOKUP(Table2[[#This Row],[Date]],Funds!$C$10:$GV$11,2,FALSE)))</f>
        <v/>
      </c>
      <c r="J6002" s="215" t="str">
        <f>IF(Table2[[#This Row],[Description]]="","",Table2[[#This Row],[Value]]/Table2[[#This Row],[Conversion]])</f>
        <v/>
      </c>
      <c r="K6002" s="45" t="str">
        <f>IF(Table2[[#This Row],[Description]]="","",DATE(Table2[[#This Row],[Year]],Table2[[#This Row],[Month]],1))</f>
        <v/>
      </c>
    </row>
    <row r="6003" spans="7:11" x14ac:dyDescent="0.25">
      <c r="G6003" s="1" t="str">
        <f>IF(Table2[[#This Row],[Description]]="","",VLOOKUP(Table2[[#This Row],[Description]],$Q$1:$S$101,2,FALSE))</f>
        <v/>
      </c>
      <c r="H6003" s="1" t="str">
        <f>IF(Table2[[#This Row],[Description]]="","",VLOOKUP(Table2[[#This Row],[Description]],$Q$1:$S$101,3,FALSE))</f>
        <v/>
      </c>
      <c r="I6003" s="1" t="str">
        <f>IF(Table2[[#This Row],[Description]]="","",IF(Table2[[#This Row],[Currency]]=$O$2,$P$2,HLOOKUP(Table2[[#This Row],[Date]],Funds!$C$10:$GV$11,2,FALSE)))</f>
        <v/>
      </c>
      <c r="J6003" s="215" t="str">
        <f>IF(Table2[[#This Row],[Description]]="","",Table2[[#This Row],[Value]]/Table2[[#This Row],[Conversion]])</f>
        <v/>
      </c>
      <c r="K6003" s="45" t="str">
        <f>IF(Table2[[#This Row],[Description]]="","",DATE(Table2[[#This Row],[Year]],Table2[[#This Row],[Month]],1))</f>
        <v/>
      </c>
    </row>
    <row r="6004" spans="7:11" x14ac:dyDescent="0.25">
      <c r="G6004" s="1" t="str">
        <f>IF(Table2[[#This Row],[Description]]="","",VLOOKUP(Table2[[#This Row],[Description]],$Q$1:$S$101,2,FALSE))</f>
        <v/>
      </c>
      <c r="H6004" s="1" t="str">
        <f>IF(Table2[[#This Row],[Description]]="","",VLOOKUP(Table2[[#This Row],[Description]],$Q$1:$S$101,3,FALSE))</f>
        <v/>
      </c>
      <c r="I6004" s="1" t="str">
        <f>IF(Table2[[#This Row],[Description]]="","",IF(Table2[[#This Row],[Currency]]=$O$2,$P$2,HLOOKUP(Table2[[#This Row],[Date]],Funds!$C$10:$GV$11,2,FALSE)))</f>
        <v/>
      </c>
      <c r="J6004" s="215" t="str">
        <f>IF(Table2[[#This Row],[Description]]="","",Table2[[#This Row],[Value]]/Table2[[#This Row],[Conversion]])</f>
        <v/>
      </c>
      <c r="K6004" s="45" t="str">
        <f>IF(Table2[[#This Row],[Description]]="","",DATE(Table2[[#This Row],[Year]],Table2[[#This Row],[Month]],1))</f>
        <v/>
      </c>
    </row>
    <row r="6005" spans="7:11" x14ac:dyDescent="0.25">
      <c r="G6005" s="1" t="str">
        <f>IF(Table2[[#This Row],[Description]]="","",VLOOKUP(Table2[[#This Row],[Description]],$Q$1:$S$101,2,FALSE))</f>
        <v/>
      </c>
      <c r="H6005" s="1" t="str">
        <f>IF(Table2[[#This Row],[Description]]="","",VLOOKUP(Table2[[#This Row],[Description]],$Q$1:$S$101,3,FALSE))</f>
        <v/>
      </c>
      <c r="I6005" s="1" t="str">
        <f>IF(Table2[[#This Row],[Description]]="","",IF(Table2[[#This Row],[Currency]]=$O$2,$P$2,HLOOKUP(Table2[[#This Row],[Date]],Funds!$C$10:$GV$11,2,FALSE)))</f>
        <v/>
      </c>
      <c r="J6005" s="215" t="str">
        <f>IF(Table2[[#This Row],[Description]]="","",Table2[[#This Row],[Value]]/Table2[[#This Row],[Conversion]])</f>
        <v/>
      </c>
      <c r="K6005" s="45" t="str">
        <f>IF(Table2[[#This Row],[Description]]="","",DATE(Table2[[#This Row],[Year]],Table2[[#This Row],[Month]],1))</f>
        <v/>
      </c>
    </row>
    <row r="6006" spans="7:11" x14ac:dyDescent="0.25">
      <c r="G6006" s="1" t="str">
        <f>IF(Table2[[#This Row],[Description]]="","",VLOOKUP(Table2[[#This Row],[Description]],$Q$1:$S$101,2,FALSE))</f>
        <v/>
      </c>
      <c r="H6006" s="1" t="str">
        <f>IF(Table2[[#This Row],[Description]]="","",VLOOKUP(Table2[[#This Row],[Description]],$Q$1:$S$101,3,FALSE))</f>
        <v/>
      </c>
      <c r="I6006" s="1" t="str">
        <f>IF(Table2[[#This Row],[Description]]="","",IF(Table2[[#This Row],[Currency]]=$O$2,$P$2,HLOOKUP(Table2[[#This Row],[Date]],Funds!$C$10:$GV$11,2,FALSE)))</f>
        <v/>
      </c>
      <c r="J6006" s="215" t="str">
        <f>IF(Table2[[#This Row],[Description]]="","",Table2[[#This Row],[Value]]/Table2[[#This Row],[Conversion]])</f>
        <v/>
      </c>
      <c r="K6006" s="45" t="str">
        <f>IF(Table2[[#This Row],[Description]]="","",DATE(Table2[[#This Row],[Year]],Table2[[#This Row],[Month]],1))</f>
        <v/>
      </c>
    </row>
    <row r="6007" spans="7:11" x14ac:dyDescent="0.25">
      <c r="G6007" s="1" t="str">
        <f>IF(Table2[[#This Row],[Description]]="","",VLOOKUP(Table2[[#This Row],[Description]],$Q$1:$S$101,2,FALSE))</f>
        <v/>
      </c>
      <c r="H6007" s="1" t="str">
        <f>IF(Table2[[#This Row],[Description]]="","",VLOOKUP(Table2[[#This Row],[Description]],$Q$1:$S$101,3,FALSE))</f>
        <v/>
      </c>
      <c r="I6007" s="1" t="str">
        <f>IF(Table2[[#This Row],[Description]]="","",IF(Table2[[#This Row],[Currency]]=$O$2,$P$2,HLOOKUP(Table2[[#This Row],[Date]],Funds!$C$10:$GV$11,2,FALSE)))</f>
        <v/>
      </c>
      <c r="J6007" s="215" t="str">
        <f>IF(Table2[[#This Row],[Description]]="","",Table2[[#This Row],[Value]]/Table2[[#This Row],[Conversion]])</f>
        <v/>
      </c>
      <c r="K6007" s="45" t="str">
        <f>IF(Table2[[#This Row],[Description]]="","",DATE(Table2[[#This Row],[Year]],Table2[[#This Row],[Month]],1))</f>
        <v/>
      </c>
    </row>
    <row r="6008" spans="7:11" x14ac:dyDescent="0.25">
      <c r="G6008" s="1" t="str">
        <f>IF(Table2[[#This Row],[Description]]="","",VLOOKUP(Table2[[#This Row],[Description]],$Q$1:$S$101,2,FALSE))</f>
        <v/>
      </c>
      <c r="H6008" s="1" t="str">
        <f>IF(Table2[[#This Row],[Description]]="","",VLOOKUP(Table2[[#This Row],[Description]],$Q$1:$S$101,3,FALSE))</f>
        <v/>
      </c>
      <c r="I6008" s="1" t="str">
        <f>IF(Table2[[#This Row],[Description]]="","",IF(Table2[[#This Row],[Currency]]=$O$2,$P$2,HLOOKUP(Table2[[#This Row],[Date]],Funds!$C$10:$GV$11,2,FALSE)))</f>
        <v/>
      </c>
      <c r="J6008" s="215" t="str">
        <f>IF(Table2[[#This Row],[Description]]="","",Table2[[#This Row],[Value]]/Table2[[#This Row],[Conversion]])</f>
        <v/>
      </c>
      <c r="K6008" s="45" t="str">
        <f>IF(Table2[[#This Row],[Description]]="","",DATE(Table2[[#This Row],[Year]],Table2[[#This Row],[Month]],1))</f>
        <v/>
      </c>
    </row>
    <row r="6009" spans="7:11" x14ac:dyDescent="0.25">
      <c r="G6009" s="1" t="str">
        <f>IF(Table2[[#This Row],[Description]]="","",VLOOKUP(Table2[[#This Row],[Description]],$Q$1:$S$101,2,FALSE))</f>
        <v/>
      </c>
      <c r="H6009" s="1" t="str">
        <f>IF(Table2[[#This Row],[Description]]="","",VLOOKUP(Table2[[#This Row],[Description]],$Q$1:$S$101,3,FALSE))</f>
        <v/>
      </c>
      <c r="I6009" s="1" t="str">
        <f>IF(Table2[[#This Row],[Description]]="","",IF(Table2[[#This Row],[Currency]]=$O$2,$P$2,HLOOKUP(Table2[[#This Row],[Date]],Funds!$C$10:$GV$11,2,FALSE)))</f>
        <v/>
      </c>
      <c r="J6009" s="215" t="str">
        <f>IF(Table2[[#This Row],[Description]]="","",Table2[[#This Row],[Value]]/Table2[[#This Row],[Conversion]])</f>
        <v/>
      </c>
      <c r="K6009" s="45" t="str">
        <f>IF(Table2[[#This Row],[Description]]="","",DATE(Table2[[#This Row],[Year]],Table2[[#This Row],[Month]],1))</f>
        <v/>
      </c>
    </row>
    <row r="6010" spans="7:11" x14ac:dyDescent="0.25">
      <c r="G6010" s="1" t="str">
        <f>IF(Table2[[#This Row],[Description]]="","",VLOOKUP(Table2[[#This Row],[Description]],$Q$1:$S$101,2,FALSE))</f>
        <v/>
      </c>
      <c r="H6010" s="1" t="str">
        <f>IF(Table2[[#This Row],[Description]]="","",VLOOKUP(Table2[[#This Row],[Description]],$Q$1:$S$101,3,FALSE))</f>
        <v/>
      </c>
      <c r="I6010" s="1" t="str">
        <f>IF(Table2[[#This Row],[Description]]="","",IF(Table2[[#This Row],[Currency]]=$O$2,$P$2,HLOOKUP(Table2[[#This Row],[Date]],Funds!$C$10:$GV$11,2,FALSE)))</f>
        <v/>
      </c>
      <c r="J6010" s="215" t="str">
        <f>IF(Table2[[#This Row],[Description]]="","",Table2[[#This Row],[Value]]/Table2[[#This Row],[Conversion]])</f>
        <v/>
      </c>
      <c r="K6010" s="45" t="str">
        <f>IF(Table2[[#This Row],[Description]]="","",DATE(Table2[[#This Row],[Year]],Table2[[#This Row],[Month]],1))</f>
        <v/>
      </c>
    </row>
    <row r="6011" spans="7:11" x14ac:dyDescent="0.25">
      <c r="G6011" s="1" t="str">
        <f>IF(Table2[[#This Row],[Description]]="","",VLOOKUP(Table2[[#This Row],[Description]],$Q$1:$S$101,2,FALSE))</f>
        <v/>
      </c>
      <c r="H6011" s="1" t="str">
        <f>IF(Table2[[#This Row],[Description]]="","",VLOOKUP(Table2[[#This Row],[Description]],$Q$1:$S$101,3,FALSE))</f>
        <v/>
      </c>
      <c r="I6011" s="1" t="str">
        <f>IF(Table2[[#This Row],[Description]]="","",IF(Table2[[#This Row],[Currency]]=$O$2,$P$2,HLOOKUP(Table2[[#This Row],[Date]],Funds!$C$10:$GV$11,2,FALSE)))</f>
        <v/>
      </c>
      <c r="J6011" s="215" t="str">
        <f>IF(Table2[[#This Row],[Description]]="","",Table2[[#This Row],[Value]]/Table2[[#This Row],[Conversion]])</f>
        <v/>
      </c>
      <c r="K6011" s="45" t="str">
        <f>IF(Table2[[#This Row],[Description]]="","",DATE(Table2[[#This Row],[Year]],Table2[[#This Row],[Month]],1))</f>
        <v/>
      </c>
    </row>
    <row r="6012" spans="7:11" x14ac:dyDescent="0.25">
      <c r="G6012" s="1" t="str">
        <f>IF(Table2[[#This Row],[Description]]="","",VLOOKUP(Table2[[#This Row],[Description]],$Q$1:$S$101,2,FALSE))</f>
        <v/>
      </c>
      <c r="H6012" s="1" t="str">
        <f>IF(Table2[[#This Row],[Description]]="","",VLOOKUP(Table2[[#This Row],[Description]],$Q$1:$S$101,3,FALSE))</f>
        <v/>
      </c>
      <c r="I6012" s="1" t="str">
        <f>IF(Table2[[#This Row],[Description]]="","",IF(Table2[[#This Row],[Currency]]=$O$2,$P$2,HLOOKUP(Table2[[#This Row],[Date]],Funds!$C$10:$GV$11,2,FALSE)))</f>
        <v/>
      </c>
      <c r="J6012" s="215" t="str">
        <f>IF(Table2[[#This Row],[Description]]="","",Table2[[#This Row],[Value]]/Table2[[#This Row],[Conversion]])</f>
        <v/>
      </c>
      <c r="K6012" s="45" t="str">
        <f>IF(Table2[[#This Row],[Description]]="","",DATE(Table2[[#This Row],[Year]],Table2[[#This Row],[Month]],1))</f>
        <v/>
      </c>
    </row>
    <row r="6013" spans="7:11" x14ac:dyDescent="0.25">
      <c r="G6013" s="1" t="str">
        <f>IF(Table2[[#This Row],[Description]]="","",VLOOKUP(Table2[[#This Row],[Description]],$Q$1:$S$101,2,FALSE))</f>
        <v/>
      </c>
      <c r="H6013" s="1" t="str">
        <f>IF(Table2[[#This Row],[Description]]="","",VLOOKUP(Table2[[#This Row],[Description]],$Q$1:$S$101,3,FALSE))</f>
        <v/>
      </c>
      <c r="I6013" s="1" t="str">
        <f>IF(Table2[[#This Row],[Description]]="","",IF(Table2[[#This Row],[Currency]]=$O$2,$P$2,HLOOKUP(Table2[[#This Row],[Date]],Funds!$C$10:$GV$11,2,FALSE)))</f>
        <v/>
      </c>
      <c r="J6013" s="215" t="str">
        <f>IF(Table2[[#This Row],[Description]]="","",Table2[[#This Row],[Value]]/Table2[[#This Row],[Conversion]])</f>
        <v/>
      </c>
      <c r="K6013" s="45" t="str">
        <f>IF(Table2[[#This Row],[Description]]="","",DATE(Table2[[#This Row],[Year]],Table2[[#This Row],[Month]],1))</f>
        <v/>
      </c>
    </row>
    <row r="6014" spans="7:11" x14ac:dyDescent="0.25">
      <c r="G6014" s="1" t="str">
        <f>IF(Table2[[#This Row],[Description]]="","",VLOOKUP(Table2[[#This Row],[Description]],$Q$1:$S$101,2,FALSE))</f>
        <v/>
      </c>
      <c r="H6014" s="1" t="str">
        <f>IF(Table2[[#This Row],[Description]]="","",VLOOKUP(Table2[[#This Row],[Description]],$Q$1:$S$101,3,FALSE))</f>
        <v/>
      </c>
      <c r="I6014" s="1" t="str">
        <f>IF(Table2[[#This Row],[Description]]="","",IF(Table2[[#This Row],[Currency]]=$O$2,$P$2,HLOOKUP(Table2[[#This Row],[Date]],Funds!$C$10:$GV$11,2,FALSE)))</f>
        <v/>
      </c>
      <c r="J6014" s="215" t="str">
        <f>IF(Table2[[#This Row],[Description]]="","",Table2[[#This Row],[Value]]/Table2[[#This Row],[Conversion]])</f>
        <v/>
      </c>
      <c r="K6014" s="45" t="str">
        <f>IF(Table2[[#This Row],[Description]]="","",DATE(Table2[[#This Row],[Year]],Table2[[#This Row],[Month]],1))</f>
        <v/>
      </c>
    </row>
    <row r="6015" spans="7:11" x14ac:dyDescent="0.25">
      <c r="G6015" s="1" t="str">
        <f>IF(Table2[[#This Row],[Description]]="","",VLOOKUP(Table2[[#This Row],[Description]],$Q$1:$S$101,2,FALSE))</f>
        <v/>
      </c>
      <c r="H6015" s="1" t="str">
        <f>IF(Table2[[#This Row],[Description]]="","",VLOOKUP(Table2[[#This Row],[Description]],$Q$1:$S$101,3,FALSE))</f>
        <v/>
      </c>
      <c r="I6015" s="1" t="str">
        <f>IF(Table2[[#This Row],[Description]]="","",IF(Table2[[#This Row],[Currency]]=$O$2,$P$2,HLOOKUP(Table2[[#This Row],[Date]],Funds!$C$10:$GV$11,2,FALSE)))</f>
        <v/>
      </c>
      <c r="J6015" s="215" t="str">
        <f>IF(Table2[[#This Row],[Description]]="","",Table2[[#This Row],[Value]]/Table2[[#This Row],[Conversion]])</f>
        <v/>
      </c>
      <c r="K6015" s="45" t="str">
        <f>IF(Table2[[#This Row],[Description]]="","",DATE(Table2[[#This Row],[Year]],Table2[[#This Row],[Month]],1))</f>
        <v/>
      </c>
    </row>
    <row r="6016" spans="7:11" x14ac:dyDescent="0.25">
      <c r="G6016" s="1" t="str">
        <f>IF(Table2[[#This Row],[Description]]="","",VLOOKUP(Table2[[#This Row],[Description]],$Q$1:$S$101,2,FALSE))</f>
        <v/>
      </c>
      <c r="H6016" s="1" t="str">
        <f>IF(Table2[[#This Row],[Description]]="","",VLOOKUP(Table2[[#This Row],[Description]],$Q$1:$S$101,3,FALSE))</f>
        <v/>
      </c>
      <c r="I6016" s="1" t="str">
        <f>IF(Table2[[#This Row],[Description]]="","",IF(Table2[[#This Row],[Currency]]=$O$2,$P$2,HLOOKUP(Table2[[#This Row],[Date]],Funds!$C$10:$GV$11,2,FALSE)))</f>
        <v/>
      </c>
      <c r="J6016" s="215" t="str">
        <f>IF(Table2[[#This Row],[Description]]="","",Table2[[#This Row],[Value]]/Table2[[#This Row],[Conversion]])</f>
        <v/>
      </c>
      <c r="K6016" s="45" t="str">
        <f>IF(Table2[[#This Row],[Description]]="","",DATE(Table2[[#This Row],[Year]],Table2[[#This Row],[Month]],1))</f>
        <v/>
      </c>
    </row>
    <row r="6017" spans="7:11" x14ac:dyDescent="0.25">
      <c r="G6017" s="1" t="str">
        <f>IF(Table2[[#This Row],[Description]]="","",VLOOKUP(Table2[[#This Row],[Description]],$Q$1:$S$101,2,FALSE))</f>
        <v/>
      </c>
      <c r="H6017" s="1" t="str">
        <f>IF(Table2[[#This Row],[Description]]="","",VLOOKUP(Table2[[#This Row],[Description]],$Q$1:$S$101,3,FALSE))</f>
        <v/>
      </c>
      <c r="I6017" s="1" t="str">
        <f>IF(Table2[[#This Row],[Description]]="","",IF(Table2[[#This Row],[Currency]]=$O$2,$P$2,HLOOKUP(Table2[[#This Row],[Date]],Funds!$C$10:$GV$11,2,FALSE)))</f>
        <v/>
      </c>
      <c r="J6017" s="215" t="str">
        <f>IF(Table2[[#This Row],[Description]]="","",Table2[[#This Row],[Value]]/Table2[[#This Row],[Conversion]])</f>
        <v/>
      </c>
      <c r="K6017" s="45" t="str">
        <f>IF(Table2[[#This Row],[Description]]="","",DATE(Table2[[#This Row],[Year]],Table2[[#This Row],[Month]],1))</f>
        <v/>
      </c>
    </row>
    <row r="6018" spans="7:11" x14ac:dyDescent="0.25">
      <c r="G6018" s="1" t="str">
        <f>IF(Table2[[#This Row],[Description]]="","",VLOOKUP(Table2[[#This Row],[Description]],$Q$1:$S$101,2,FALSE))</f>
        <v/>
      </c>
      <c r="H6018" s="1" t="str">
        <f>IF(Table2[[#This Row],[Description]]="","",VLOOKUP(Table2[[#This Row],[Description]],$Q$1:$S$101,3,FALSE))</f>
        <v/>
      </c>
      <c r="I6018" s="1" t="str">
        <f>IF(Table2[[#This Row],[Description]]="","",IF(Table2[[#This Row],[Currency]]=$O$2,$P$2,HLOOKUP(Table2[[#This Row],[Date]],Funds!$C$10:$GV$11,2,FALSE)))</f>
        <v/>
      </c>
      <c r="J6018" s="215" t="str">
        <f>IF(Table2[[#This Row],[Description]]="","",Table2[[#This Row],[Value]]/Table2[[#This Row],[Conversion]])</f>
        <v/>
      </c>
      <c r="K6018" s="45" t="str">
        <f>IF(Table2[[#This Row],[Description]]="","",DATE(Table2[[#This Row],[Year]],Table2[[#This Row],[Month]],1))</f>
        <v/>
      </c>
    </row>
    <row r="6019" spans="7:11" x14ac:dyDescent="0.25">
      <c r="G6019" s="1" t="str">
        <f>IF(Table2[[#This Row],[Description]]="","",VLOOKUP(Table2[[#This Row],[Description]],$Q$1:$S$101,2,FALSE))</f>
        <v/>
      </c>
      <c r="H6019" s="1" t="str">
        <f>IF(Table2[[#This Row],[Description]]="","",VLOOKUP(Table2[[#This Row],[Description]],$Q$1:$S$101,3,FALSE))</f>
        <v/>
      </c>
      <c r="I6019" s="1" t="str">
        <f>IF(Table2[[#This Row],[Description]]="","",IF(Table2[[#This Row],[Currency]]=$O$2,$P$2,HLOOKUP(Table2[[#This Row],[Date]],Funds!$C$10:$GV$11,2,FALSE)))</f>
        <v/>
      </c>
      <c r="J6019" s="215" t="str">
        <f>IF(Table2[[#This Row],[Description]]="","",Table2[[#This Row],[Value]]/Table2[[#This Row],[Conversion]])</f>
        <v/>
      </c>
      <c r="K6019" s="45" t="str">
        <f>IF(Table2[[#This Row],[Description]]="","",DATE(Table2[[#This Row],[Year]],Table2[[#This Row],[Month]],1))</f>
        <v/>
      </c>
    </row>
    <row r="6020" spans="7:11" x14ac:dyDescent="0.25">
      <c r="G6020" s="1" t="str">
        <f>IF(Table2[[#This Row],[Description]]="","",VLOOKUP(Table2[[#This Row],[Description]],$Q$1:$S$101,2,FALSE))</f>
        <v/>
      </c>
      <c r="H6020" s="1" t="str">
        <f>IF(Table2[[#This Row],[Description]]="","",VLOOKUP(Table2[[#This Row],[Description]],$Q$1:$S$101,3,FALSE))</f>
        <v/>
      </c>
      <c r="I6020" s="1" t="str">
        <f>IF(Table2[[#This Row],[Description]]="","",IF(Table2[[#This Row],[Currency]]=$O$2,$P$2,HLOOKUP(Table2[[#This Row],[Date]],Funds!$C$10:$GV$11,2,FALSE)))</f>
        <v/>
      </c>
      <c r="J6020" s="215" t="str">
        <f>IF(Table2[[#This Row],[Description]]="","",Table2[[#This Row],[Value]]/Table2[[#This Row],[Conversion]])</f>
        <v/>
      </c>
      <c r="K6020" s="45" t="str">
        <f>IF(Table2[[#This Row],[Description]]="","",DATE(Table2[[#This Row],[Year]],Table2[[#This Row],[Month]],1))</f>
        <v/>
      </c>
    </row>
    <row r="6021" spans="7:11" x14ac:dyDescent="0.25">
      <c r="G6021" s="1" t="str">
        <f>IF(Table2[[#This Row],[Description]]="","",VLOOKUP(Table2[[#This Row],[Description]],$Q$1:$S$101,2,FALSE))</f>
        <v/>
      </c>
      <c r="H6021" s="1" t="str">
        <f>IF(Table2[[#This Row],[Description]]="","",VLOOKUP(Table2[[#This Row],[Description]],$Q$1:$S$101,3,FALSE))</f>
        <v/>
      </c>
      <c r="I6021" s="1" t="str">
        <f>IF(Table2[[#This Row],[Description]]="","",IF(Table2[[#This Row],[Currency]]=$O$2,$P$2,HLOOKUP(Table2[[#This Row],[Date]],Funds!$C$10:$GV$11,2,FALSE)))</f>
        <v/>
      </c>
      <c r="J6021" s="215" t="str">
        <f>IF(Table2[[#This Row],[Description]]="","",Table2[[#This Row],[Value]]/Table2[[#This Row],[Conversion]])</f>
        <v/>
      </c>
      <c r="K6021" s="45" t="str">
        <f>IF(Table2[[#This Row],[Description]]="","",DATE(Table2[[#This Row],[Year]],Table2[[#This Row],[Month]],1))</f>
        <v/>
      </c>
    </row>
    <row r="6022" spans="7:11" x14ac:dyDescent="0.25">
      <c r="G6022" s="1" t="str">
        <f>IF(Table2[[#This Row],[Description]]="","",VLOOKUP(Table2[[#This Row],[Description]],$Q$1:$S$101,2,FALSE))</f>
        <v/>
      </c>
      <c r="H6022" s="1" t="str">
        <f>IF(Table2[[#This Row],[Description]]="","",VLOOKUP(Table2[[#This Row],[Description]],$Q$1:$S$101,3,FALSE))</f>
        <v/>
      </c>
      <c r="I6022" s="1" t="str">
        <f>IF(Table2[[#This Row],[Description]]="","",IF(Table2[[#This Row],[Currency]]=$O$2,$P$2,HLOOKUP(Table2[[#This Row],[Date]],Funds!$C$10:$GV$11,2,FALSE)))</f>
        <v/>
      </c>
      <c r="J6022" s="215" t="str">
        <f>IF(Table2[[#This Row],[Description]]="","",Table2[[#This Row],[Value]]/Table2[[#This Row],[Conversion]])</f>
        <v/>
      </c>
      <c r="K6022" s="45" t="str">
        <f>IF(Table2[[#This Row],[Description]]="","",DATE(Table2[[#This Row],[Year]],Table2[[#This Row],[Month]],1))</f>
        <v/>
      </c>
    </row>
    <row r="6023" spans="7:11" x14ac:dyDescent="0.25">
      <c r="G6023" s="1" t="str">
        <f>IF(Table2[[#This Row],[Description]]="","",VLOOKUP(Table2[[#This Row],[Description]],$Q$1:$S$101,2,FALSE))</f>
        <v/>
      </c>
      <c r="H6023" s="1" t="str">
        <f>IF(Table2[[#This Row],[Description]]="","",VLOOKUP(Table2[[#This Row],[Description]],$Q$1:$S$101,3,FALSE))</f>
        <v/>
      </c>
      <c r="I6023" s="1" t="str">
        <f>IF(Table2[[#This Row],[Description]]="","",IF(Table2[[#This Row],[Currency]]=$O$2,$P$2,HLOOKUP(Table2[[#This Row],[Date]],Funds!$C$10:$GV$11,2,FALSE)))</f>
        <v/>
      </c>
      <c r="J6023" s="215" t="str">
        <f>IF(Table2[[#This Row],[Description]]="","",Table2[[#This Row],[Value]]/Table2[[#This Row],[Conversion]])</f>
        <v/>
      </c>
      <c r="K6023" s="45" t="str">
        <f>IF(Table2[[#This Row],[Description]]="","",DATE(Table2[[#This Row],[Year]],Table2[[#This Row],[Month]],1))</f>
        <v/>
      </c>
    </row>
    <row r="6024" spans="7:11" x14ac:dyDescent="0.25">
      <c r="G6024" s="1" t="str">
        <f>IF(Table2[[#This Row],[Description]]="","",VLOOKUP(Table2[[#This Row],[Description]],$Q$1:$S$101,2,FALSE))</f>
        <v/>
      </c>
      <c r="H6024" s="1" t="str">
        <f>IF(Table2[[#This Row],[Description]]="","",VLOOKUP(Table2[[#This Row],[Description]],$Q$1:$S$101,3,FALSE))</f>
        <v/>
      </c>
      <c r="I6024" s="1" t="str">
        <f>IF(Table2[[#This Row],[Description]]="","",IF(Table2[[#This Row],[Currency]]=$O$2,$P$2,HLOOKUP(Table2[[#This Row],[Date]],Funds!$C$10:$GV$11,2,FALSE)))</f>
        <v/>
      </c>
      <c r="J6024" s="215" t="str">
        <f>IF(Table2[[#This Row],[Description]]="","",Table2[[#This Row],[Value]]/Table2[[#This Row],[Conversion]])</f>
        <v/>
      </c>
      <c r="K6024" s="45" t="str">
        <f>IF(Table2[[#This Row],[Description]]="","",DATE(Table2[[#This Row],[Year]],Table2[[#This Row],[Month]],1))</f>
        <v/>
      </c>
    </row>
    <row r="6025" spans="7:11" x14ac:dyDescent="0.25">
      <c r="G6025" s="1" t="str">
        <f>IF(Table2[[#This Row],[Description]]="","",VLOOKUP(Table2[[#This Row],[Description]],$Q$1:$S$101,2,FALSE))</f>
        <v/>
      </c>
      <c r="H6025" s="1" t="str">
        <f>IF(Table2[[#This Row],[Description]]="","",VLOOKUP(Table2[[#This Row],[Description]],$Q$1:$S$101,3,FALSE))</f>
        <v/>
      </c>
      <c r="I6025" s="1" t="str">
        <f>IF(Table2[[#This Row],[Description]]="","",IF(Table2[[#This Row],[Currency]]=$O$2,$P$2,HLOOKUP(Table2[[#This Row],[Date]],Funds!$C$10:$GV$11,2,FALSE)))</f>
        <v/>
      </c>
      <c r="J6025" s="215" t="str">
        <f>IF(Table2[[#This Row],[Description]]="","",Table2[[#This Row],[Value]]/Table2[[#This Row],[Conversion]])</f>
        <v/>
      </c>
      <c r="K6025" s="45" t="str">
        <f>IF(Table2[[#This Row],[Description]]="","",DATE(Table2[[#This Row],[Year]],Table2[[#This Row],[Month]],1))</f>
        <v/>
      </c>
    </row>
    <row r="6026" spans="7:11" x14ac:dyDescent="0.25">
      <c r="G6026" s="1" t="str">
        <f>IF(Table2[[#This Row],[Description]]="","",VLOOKUP(Table2[[#This Row],[Description]],$Q$1:$S$101,2,FALSE))</f>
        <v/>
      </c>
      <c r="H6026" s="1" t="str">
        <f>IF(Table2[[#This Row],[Description]]="","",VLOOKUP(Table2[[#This Row],[Description]],$Q$1:$S$101,3,FALSE))</f>
        <v/>
      </c>
      <c r="I6026" s="1" t="str">
        <f>IF(Table2[[#This Row],[Description]]="","",IF(Table2[[#This Row],[Currency]]=$O$2,$P$2,HLOOKUP(Table2[[#This Row],[Date]],Funds!$C$10:$GV$11,2,FALSE)))</f>
        <v/>
      </c>
      <c r="J6026" s="215" t="str">
        <f>IF(Table2[[#This Row],[Description]]="","",Table2[[#This Row],[Value]]/Table2[[#This Row],[Conversion]])</f>
        <v/>
      </c>
      <c r="K6026" s="45" t="str">
        <f>IF(Table2[[#This Row],[Description]]="","",DATE(Table2[[#This Row],[Year]],Table2[[#This Row],[Month]],1))</f>
        <v/>
      </c>
    </row>
    <row r="6027" spans="7:11" x14ac:dyDescent="0.25">
      <c r="G6027" s="1" t="str">
        <f>IF(Table2[[#This Row],[Description]]="","",VLOOKUP(Table2[[#This Row],[Description]],$Q$1:$S$101,2,FALSE))</f>
        <v/>
      </c>
      <c r="H6027" s="1" t="str">
        <f>IF(Table2[[#This Row],[Description]]="","",VLOOKUP(Table2[[#This Row],[Description]],$Q$1:$S$101,3,FALSE))</f>
        <v/>
      </c>
      <c r="I6027" s="1" t="str">
        <f>IF(Table2[[#This Row],[Description]]="","",IF(Table2[[#This Row],[Currency]]=$O$2,$P$2,HLOOKUP(Table2[[#This Row],[Date]],Funds!$C$10:$GV$11,2,FALSE)))</f>
        <v/>
      </c>
      <c r="J6027" s="215" t="str">
        <f>IF(Table2[[#This Row],[Description]]="","",Table2[[#This Row],[Value]]/Table2[[#This Row],[Conversion]])</f>
        <v/>
      </c>
      <c r="K6027" s="45" t="str">
        <f>IF(Table2[[#This Row],[Description]]="","",DATE(Table2[[#This Row],[Year]],Table2[[#This Row],[Month]],1))</f>
        <v/>
      </c>
    </row>
    <row r="6028" spans="7:11" x14ac:dyDescent="0.25">
      <c r="G6028" s="1" t="str">
        <f>IF(Table2[[#This Row],[Description]]="","",VLOOKUP(Table2[[#This Row],[Description]],$Q$1:$S$101,2,FALSE))</f>
        <v/>
      </c>
      <c r="H6028" s="1" t="str">
        <f>IF(Table2[[#This Row],[Description]]="","",VLOOKUP(Table2[[#This Row],[Description]],$Q$1:$S$101,3,FALSE))</f>
        <v/>
      </c>
      <c r="I6028" s="1" t="str">
        <f>IF(Table2[[#This Row],[Description]]="","",IF(Table2[[#This Row],[Currency]]=$O$2,$P$2,HLOOKUP(Table2[[#This Row],[Date]],Funds!$C$10:$GV$11,2,FALSE)))</f>
        <v/>
      </c>
      <c r="J6028" s="215" t="str">
        <f>IF(Table2[[#This Row],[Description]]="","",Table2[[#This Row],[Value]]/Table2[[#This Row],[Conversion]])</f>
        <v/>
      </c>
      <c r="K6028" s="45" t="str">
        <f>IF(Table2[[#This Row],[Description]]="","",DATE(Table2[[#This Row],[Year]],Table2[[#This Row],[Month]],1))</f>
        <v/>
      </c>
    </row>
    <row r="6029" spans="7:11" x14ac:dyDescent="0.25">
      <c r="G6029" s="1" t="str">
        <f>IF(Table2[[#This Row],[Description]]="","",VLOOKUP(Table2[[#This Row],[Description]],$Q$1:$S$101,2,FALSE))</f>
        <v/>
      </c>
      <c r="H6029" s="1" t="str">
        <f>IF(Table2[[#This Row],[Description]]="","",VLOOKUP(Table2[[#This Row],[Description]],$Q$1:$S$101,3,FALSE))</f>
        <v/>
      </c>
      <c r="I6029" s="1" t="str">
        <f>IF(Table2[[#This Row],[Description]]="","",IF(Table2[[#This Row],[Currency]]=$O$2,$P$2,HLOOKUP(Table2[[#This Row],[Date]],Funds!$C$10:$GV$11,2,FALSE)))</f>
        <v/>
      </c>
      <c r="J6029" s="215" t="str">
        <f>IF(Table2[[#This Row],[Description]]="","",Table2[[#This Row],[Value]]/Table2[[#This Row],[Conversion]])</f>
        <v/>
      </c>
      <c r="K6029" s="45" t="str">
        <f>IF(Table2[[#This Row],[Description]]="","",DATE(Table2[[#This Row],[Year]],Table2[[#This Row],[Month]],1))</f>
        <v/>
      </c>
    </row>
    <row r="6030" spans="7:11" x14ac:dyDescent="0.25">
      <c r="G6030" s="1" t="str">
        <f>IF(Table2[[#This Row],[Description]]="","",VLOOKUP(Table2[[#This Row],[Description]],$Q$1:$S$101,2,FALSE))</f>
        <v/>
      </c>
      <c r="H6030" s="1" t="str">
        <f>IF(Table2[[#This Row],[Description]]="","",VLOOKUP(Table2[[#This Row],[Description]],$Q$1:$S$101,3,FALSE))</f>
        <v/>
      </c>
      <c r="I6030" s="1" t="str">
        <f>IF(Table2[[#This Row],[Description]]="","",IF(Table2[[#This Row],[Currency]]=$O$2,$P$2,HLOOKUP(Table2[[#This Row],[Date]],Funds!$C$10:$GV$11,2,FALSE)))</f>
        <v/>
      </c>
      <c r="J6030" s="215" t="str">
        <f>IF(Table2[[#This Row],[Description]]="","",Table2[[#This Row],[Value]]/Table2[[#This Row],[Conversion]])</f>
        <v/>
      </c>
      <c r="K6030" s="45" t="str">
        <f>IF(Table2[[#This Row],[Description]]="","",DATE(Table2[[#This Row],[Year]],Table2[[#This Row],[Month]],1))</f>
        <v/>
      </c>
    </row>
    <row r="6031" spans="7:11" x14ac:dyDescent="0.25">
      <c r="G6031" s="1" t="str">
        <f>IF(Table2[[#This Row],[Description]]="","",VLOOKUP(Table2[[#This Row],[Description]],$Q$1:$S$101,2,FALSE))</f>
        <v/>
      </c>
      <c r="H6031" s="1" t="str">
        <f>IF(Table2[[#This Row],[Description]]="","",VLOOKUP(Table2[[#This Row],[Description]],$Q$1:$S$101,3,FALSE))</f>
        <v/>
      </c>
      <c r="I6031" s="1" t="str">
        <f>IF(Table2[[#This Row],[Description]]="","",IF(Table2[[#This Row],[Currency]]=$O$2,$P$2,HLOOKUP(Table2[[#This Row],[Date]],Funds!$C$10:$GV$11,2,FALSE)))</f>
        <v/>
      </c>
      <c r="J6031" s="215" t="str">
        <f>IF(Table2[[#This Row],[Description]]="","",Table2[[#This Row],[Value]]/Table2[[#This Row],[Conversion]])</f>
        <v/>
      </c>
      <c r="K6031" s="45" t="str">
        <f>IF(Table2[[#This Row],[Description]]="","",DATE(Table2[[#This Row],[Year]],Table2[[#This Row],[Month]],1))</f>
        <v/>
      </c>
    </row>
    <row r="6032" spans="7:11" x14ac:dyDescent="0.25">
      <c r="G6032" s="1" t="str">
        <f>IF(Table2[[#This Row],[Description]]="","",VLOOKUP(Table2[[#This Row],[Description]],$Q$1:$S$101,2,FALSE))</f>
        <v/>
      </c>
      <c r="H6032" s="1" t="str">
        <f>IF(Table2[[#This Row],[Description]]="","",VLOOKUP(Table2[[#This Row],[Description]],$Q$1:$S$101,3,FALSE))</f>
        <v/>
      </c>
      <c r="I6032" s="1" t="str">
        <f>IF(Table2[[#This Row],[Description]]="","",IF(Table2[[#This Row],[Currency]]=$O$2,$P$2,HLOOKUP(Table2[[#This Row],[Date]],Funds!$C$10:$GV$11,2,FALSE)))</f>
        <v/>
      </c>
      <c r="J6032" s="215" t="str">
        <f>IF(Table2[[#This Row],[Description]]="","",Table2[[#This Row],[Value]]/Table2[[#This Row],[Conversion]])</f>
        <v/>
      </c>
      <c r="K6032" s="45" t="str">
        <f>IF(Table2[[#This Row],[Description]]="","",DATE(Table2[[#This Row],[Year]],Table2[[#This Row],[Month]],1))</f>
        <v/>
      </c>
    </row>
    <row r="6033" spans="7:11" x14ac:dyDescent="0.25">
      <c r="G6033" s="1" t="str">
        <f>IF(Table2[[#This Row],[Description]]="","",VLOOKUP(Table2[[#This Row],[Description]],$Q$1:$S$101,2,FALSE))</f>
        <v/>
      </c>
      <c r="H6033" s="1" t="str">
        <f>IF(Table2[[#This Row],[Description]]="","",VLOOKUP(Table2[[#This Row],[Description]],$Q$1:$S$101,3,FALSE))</f>
        <v/>
      </c>
      <c r="I6033" s="1" t="str">
        <f>IF(Table2[[#This Row],[Description]]="","",IF(Table2[[#This Row],[Currency]]=$O$2,$P$2,HLOOKUP(Table2[[#This Row],[Date]],Funds!$C$10:$GV$11,2,FALSE)))</f>
        <v/>
      </c>
      <c r="J6033" s="215" t="str">
        <f>IF(Table2[[#This Row],[Description]]="","",Table2[[#This Row],[Value]]/Table2[[#This Row],[Conversion]])</f>
        <v/>
      </c>
      <c r="K6033" s="45" t="str">
        <f>IF(Table2[[#This Row],[Description]]="","",DATE(Table2[[#This Row],[Year]],Table2[[#This Row],[Month]],1))</f>
        <v/>
      </c>
    </row>
    <row r="6034" spans="7:11" x14ac:dyDescent="0.25">
      <c r="G6034" s="1" t="str">
        <f>IF(Table2[[#This Row],[Description]]="","",VLOOKUP(Table2[[#This Row],[Description]],$Q$1:$S$101,2,FALSE))</f>
        <v/>
      </c>
      <c r="H6034" s="1" t="str">
        <f>IF(Table2[[#This Row],[Description]]="","",VLOOKUP(Table2[[#This Row],[Description]],$Q$1:$S$101,3,FALSE))</f>
        <v/>
      </c>
      <c r="I6034" s="1" t="str">
        <f>IF(Table2[[#This Row],[Description]]="","",IF(Table2[[#This Row],[Currency]]=$O$2,$P$2,HLOOKUP(Table2[[#This Row],[Date]],Funds!$C$10:$GV$11,2,FALSE)))</f>
        <v/>
      </c>
      <c r="J6034" s="215" t="str">
        <f>IF(Table2[[#This Row],[Description]]="","",Table2[[#This Row],[Value]]/Table2[[#This Row],[Conversion]])</f>
        <v/>
      </c>
      <c r="K6034" s="45" t="str">
        <f>IF(Table2[[#This Row],[Description]]="","",DATE(Table2[[#This Row],[Year]],Table2[[#This Row],[Month]],1))</f>
        <v/>
      </c>
    </row>
    <row r="6035" spans="7:11" x14ac:dyDescent="0.25">
      <c r="G6035" s="1" t="str">
        <f>IF(Table2[[#This Row],[Description]]="","",VLOOKUP(Table2[[#This Row],[Description]],$Q$1:$S$101,2,FALSE))</f>
        <v/>
      </c>
      <c r="H6035" s="1" t="str">
        <f>IF(Table2[[#This Row],[Description]]="","",VLOOKUP(Table2[[#This Row],[Description]],$Q$1:$S$101,3,FALSE))</f>
        <v/>
      </c>
      <c r="I6035" s="1" t="str">
        <f>IF(Table2[[#This Row],[Description]]="","",IF(Table2[[#This Row],[Currency]]=$O$2,$P$2,HLOOKUP(Table2[[#This Row],[Date]],Funds!$C$10:$GV$11,2,FALSE)))</f>
        <v/>
      </c>
      <c r="J6035" s="215" t="str">
        <f>IF(Table2[[#This Row],[Description]]="","",Table2[[#This Row],[Value]]/Table2[[#This Row],[Conversion]])</f>
        <v/>
      </c>
      <c r="K6035" s="45" t="str">
        <f>IF(Table2[[#This Row],[Description]]="","",DATE(Table2[[#This Row],[Year]],Table2[[#This Row],[Month]],1))</f>
        <v/>
      </c>
    </row>
    <row r="6036" spans="7:11" x14ac:dyDescent="0.25">
      <c r="G6036" s="1" t="str">
        <f>IF(Table2[[#This Row],[Description]]="","",VLOOKUP(Table2[[#This Row],[Description]],$Q$1:$S$101,2,FALSE))</f>
        <v/>
      </c>
      <c r="H6036" s="1" t="str">
        <f>IF(Table2[[#This Row],[Description]]="","",VLOOKUP(Table2[[#This Row],[Description]],$Q$1:$S$101,3,FALSE))</f>
        <v/>
      </c>
      <c r="I6036" s="1" t="str">
        <f>IF(Table2[[#This Row],[Description]]="","",IF(Table2[[#This Row],[Currency]]=$O$2,$P$2,HLOOKUP(Table2[[#This Row],[Date]],Funds!$C$10:$GV$11,2,FALSE)))</f>
        <v/>
      </c>
      <c r="J6036" s="215" t="str">
        <f>IF(Table2[[#This Row],[Description]]="","",Table2[[#This Row],[Value]]/Table2[[#This Row],[Conversion]])</f>
        <v/>
      </c>
      <c r="K6036" s="45" t="str">
        <f>IF(Table2[[#This Row],[Description]]="","",DATE(Table2[[#This Row],[Year]],Table2[[#This Row],[Month]],1))</f>
        <v/>
      </c>
    </row>
    <row r="6037" spans="7:11" x14ac:dyDescent="0.25">
      <c r="G6037" s="1" t="str">
        <f>IF(Table2[[#This Row],[Description]]="","",VLOOKUP(Table2[[#This Row],[Description]],$Q$1:$S$101,2,FALSE))</f>
        <v/>
      </c>
      <c r="H6037" s="1" t="str">
        <f>IF(Table2[[#This Row],[Description]]="","",VLOOKUP(Table2[[#This Row],[Description]],$Q$1:$S$101,3,FALSE))</f>
        <v/>
      </c>
      <c r="I6037" s="1" t="str">
        <f>IF(Table2[[#This Row],[Description]]="","",IF(Table2[[#This Row],[Currency]]=$O$2,$P$2,HLOOKUP(Table2[[#This Row],[Date]],Funds!$C$10:$GV$11,2,FALSE)))</f>
        <v/>
      </c>
      <c r="J6037" s="215" t="str">
        <f>IF(Table2[[#This Row],[Description]]="","",Table2[[#This Row],[Value]]/Table2[[#This Row],[Conversion]])</f>
        <v/>
      </c>
      <c r="K6037" s="45" t="str">
        <f>IF(Table2[[#This Row],[Description]]="","",DATE(Table2[[#This Row],[Year]],Table2[[#This Row],[Month]],1))</f>
        <v/>
      </c>
    </row>
    <row r="6038" spans="7:11" x14ac:dyDescent="0.25">
      <c r="G6038" s="1" t="str">
        <f>IF(Table2[[#This Row],[Description]]="","",VLOOKUP(Table2[[#This Row],[Description]],$Q$1:$S$101,2,FALSE))</f>
        <v/>
      </c>
      <c r="H6038" s="1" t="str">
        <f>IF(Table2[[#This Row],[Description]]="","",VLOOKUP(Table2[[#This Row],[Description]],$Q$1:$S$101,3,FALSE))</f>
        <v/>
      </c>
      <c r="I6038" s="1" t="str">
        <f>IF(Table2[[#This Row],[Description]]="","",IF(Table2[[#This Row],[Currency]]=$O$2,$P$2,HLOOKUP(Table2[[#This Row],[Date]],Funds!$C$10:$GV$11,2,FALSE)))</f>
        <v/>
      </c>
      <c r="J6038" s="215" t="str">
        <f>IF(Table2[[#This Row],[Description]]="","",Table2[[#This Row],[Value]]/Table2[[#This Row],[Conversion]])</f>
        <v/>
      </c>
      <c r="K6038" s="45" t="str">
        <f>IF(Table2[[#This Row],[Description]]="","",DATE(Table2[[#This Row],[Year]],Table2[[#This Row],[Month]],1))</f>
        <v/>
      </c>
    </row>
    <row r="6039" spans="7:11" x14ac:dyDescent="0.25">
      <c r="G6039" s="1" t="str">
        <f>IF(Table2[[#This Row],[Description]]="","",VLOOKUP(Table2[[#This Row],[Description]],$Q$1:$S$101,2,FALSE))</f>
        <v/>
      </c>
      <c r="H6039" s="1" t="str">
        <f>IF(Table2[[#This Row],[Description]]="","",VLOOKUP(Table2[[#This Row],[Description]],$Q$1:$S$101,3,FALSE))</f>
        <v/>
      </c>
      <c r="I6039" s="1" t="str">
        <f>IF(Table2[[#This Row],[Description]]="","",IF(Table2[[#This Row],[Currency]]=$O$2,$P$2,HLOOKUP(Table2[[#This Row],[Date]],Funds!$C$10:$GV$11,2,FALSE)))</f>
        <v/>
      </c>
      <c r="J6039" s="215" t="str">
        <f>IF(Table2[[#This Row],[Description]]="","",Table2[[#This Row],[Value]]/Table2[[#This Row],[Conversion]])</f>
        <v/>
      </c>
      <c r="K6039" s="45" t="str">
        <f>IF(Table2[[#This Row],[Description]]="","",DATE(Table2[[#This Row],[Year]],Table2[[#This Row],[Month]],1))</f>
        <v/>
      </c>
    </row>
    <row r="6040" spans="7:11" x14ac:dyDescent="0.25">
      <c r="G6040" s="1" t="str">
        <f>IF(Table2[[#This Row],[Description]]="","",VLOOKUP(Table2[[#This Row],[Description]],$Q$1:$S$101,2,FALSE))</f>
        <v/>
      </c>
      <c r="H6040" s="1" t="str">
        <f>IF(Table2[[#This Row],[Description]]="","",VLOOKUP(Table2[[#This Row],[Description]],$Q$1:$S$101,3,FALSE))</f>
        <v/>
      </c>
      <c r="I6040" s="1" t="str">
        <f>IF(Table2[[#This Row],[Description]]="","",IF(Table2[[#This Row],[Currency]]=$O$2,$P$2,HLOOKUP(Table2[[#This Row],[Date]],Funds!$C$10:$GV$11,2,FALSE)))</f>
        <v/>
      </c>
      <c r="J6040" s="215" t="str">
        <f>IF(Table2[[#This Row],[Description]]="","",Table2[[#This Row],[Value]]/Table2[[#This Row],[Conversion]])</f>
        <v/>
      </c>
      <c r="K6040" s="45" t="str">
        <f>IF(Table2[[#This Row],[Description]]="","",DATE(Table2[[#This Row],[Year]],Table2[[#This Row],[Month]],1))</f>
        <v/>
      </c>
    </row>
    <row r="6041" spans="7:11" x14ac:dyDescent="0.25">
      <c r="G6041" s="1" t="str">
        <f>IF(Table2[[#This Row],[Description]]="","",VLOOKUP(Table2[[#This Row],[Description]],$Q$1:$S$101,2,FALSE))</f>
        <v/>
      </c>
      <c r="H6041" s="1" t="str">
        <f>IF(Table2[[#This Row],[Description]]="","",VLOOKUP(Table2[[#This Row],[Description]],$Q$1:$S$101,3,FALSE))</f>
        <v/>
      </c>
      <c r="I6041" s="1" t="str">
        <f>IF(Table2[[#This Row],[Description]]="","",IF(Table2[[#This Row],[Currency]]=$O$2,$P$2,HLOOKUP(Table2[[#This Row],[Date]],Funds!$C$10:$GV$11,2,FALSE)))</f>
        <v/>
      </c>
      <c r="J6041" s="215" t="str">
        <f>IF(Table2[[#This Row],[Description]]="","",Table2[[#This Row],[Value]]/Table2[[#This Row],[Conversion]])</f>
        <v/>
      </c>
      <c r="K6041" s="45" t="str">
        <f>IF(Table2[[#This Row],[Description]]="","",DATE(Table2[[#This Row],[Year]],Table2[[#This Row],[Month]],1))</f>
        <v/>
      </c>
    </row>
    <row r="6042" spans="7:11" x14ac:dyDescent="0.25">
      <c r="G6042" s="1" t="str">
        <f>IF(Table2[[#This Row],[Description]]="","",VLOOKUP(Table2[[#This Row],[Description]],$Q$1:$S$101,2,FALSE))</f>
        <v/>
      </c>
      <c r="H6042" s="1" t="str">
        <f>IF(Table2[[#This Row],[Description]]="","",VLOOKUP(Table2[[#This Row],[Description]],$Q$1:$S$101,3,FALSE))</f>
        <v/>
      </c>
      <c r="I6042" s="1" t="str">
        <f>IF(Table2[[#This Row],[Description]]="","",IF(Table2[[#This Row],[Currency]]=$O$2,$P$2,HLOOKUP(Table2[[#This Row],[Date]],Funds!$C$10:$GV$11,2,FALSE)))</f>
        <v/>
      </c>
      <c r="J6042" s="215" t="str">
        <f>IF(Table2[[#This Row],[Description]]="","",Table2[[#This Row],[Value]]/Table2[[#This Row],[Conversion]])</f>
        <v/>
      </c>
      <c r="K6042" s="45" t="str">
        <f>IF(Table2[[#This Row],[Description]]="","",DATE(Table2[[#This Row],[Year]],Table2[[#This Row],[Month]],1))</f>
        <v/>
      </c>
    </row>
    <row r="6043" spans="7:11" x14ac:dyDescent="0.25">
      <c r="G6043" s="1" t="str">
        <f>IF(Table2[[#This Row],[Description]]="","",VLOOKUP(Table2[[#This Row],[Description]],$Q$1:$S$101,2,FALSE))</f>
        <v/>
      </c>
      <c r="H6043" s="1" t="str">
        <f>IF(Table2[[#This Row],[Description]]="","",VLOOKUP(Table2[[#This Row],[Description]],$Q$1:$S$101,3,FALSE))</f>
        <v/>
      </c>
      <c r="I6043" s="1" t="str">
        <f>IF(Table2[[#This Row],[Description]]="","",IF(Table2[[#This Row],[Currency]]=$O$2,$P$2,HLOOKUP(Table2[[#This Row],[Date]],Funds!$C$10:$GV$11,2,FALSE)))</f>
        <v/>
      </c>
      <c r="J6043" s="215" t="str">
        <f>IF(Table2[[#This Row],[Description]]="","",Table2[[#This Row],[Value]]/Table2[[#This Row],[Conversion]])</f>
        <v/>
      </c>
      <c r="K6043" s="45" t="str">
        <f>IF(Table2[[#This Row],[Description]]="","",DATE(Table2[[#This Row],[Year]],Table2[[#This Row],[Month]],1))</f>
        <v/>
      </c>
    </row>
    <row r="6044" spans="7:11" x14ac:dyDescent="0.25">
      <c r="G6044" s="1" t="str">
        <f>IF(Table2[[#This Row],[Description]]="","",VLOOKUP(Table2[[#This Row],[Description]],$Q$1:$S$101,2,FALSE))</f>
        <v/>
      </c>
      <c r="H6044" s="1" t="str">
        <f>IF(Table2[[#This Row],[Description]]="","",VLOOKUP(Table2[[#This Row],[Description]],$Q$1:$S$101,3,FALSE))</f>
        <v/>
      </c>
      <c r="I6044" s="1" t="str">
        <f>IF(Table2[[#This Row],[Description]]="","",IF(Table2[[#This Row],[Currency]]=$O$2,$P$2,HLOOKUP(Table2[[#This Row],[Date]],Funds!$C$10:$GV$11,2,FALSE)))</f>
        <v/>
      </c>
      <c r="J6044" s="215" t="str">
        <f>IF(Table2[[#This Row],[Description]]="","",Table2[[#This Row],[Value]]/Table2[[#This Row],[Conversion]])</f>
        <v/>
      </c>
      <c r="K6044" s="45" t="str">
        <f>IF(Table2[[#This Row],[Description]]="","",DATE(Table2[[#This Row],[Year]],Table2[[#This Row],[Month]],1))</f>
        <v/>
      </c>
    </row>
    <row r="6045" spans="7:11" x14ac:dyDescent="0.25">
      <c r="G6045" s="1" t="str">
        <f>IF(Table2[[#This Row],[Description]]="","",VLOOKUP(Table2[[#This Row],[Description]],$Q$1:$S$101,2,FALSE))</f>
        <v/>
      </c>
      <c r="H6045" s="1" t="str">
        <f>IF(Table2[[#This Row],[Description]]="","",VLOOKUP(Table2[[#This Row],[Description]],$Q$1:$S$101,3,FALSE))</f>
        <v/>
      </c>
      <c r="I6045" s="1" t="str">
        <f>IF(Table2[[#This Row],[Description]]="","",IF(Table2[[#This Row],[Currency]]=$O$2,$P$2,HLOOKUP(Table2[[#This Row],[Date]],Funds!$C$10:$GV$11,2,FALSE)))</f>
        <v/>
      </c>
      <c r="J6045" s="215" t="str">
        <f>IF(Table2[[#This Row],[Description]]="","",Table2[[#This Row],[Value]]/Table2[[#This Row],[Conversion]])</f>
        <v/>
      </c>
      <c r="K6045" s="45" t="str">
        <f>IF(Table2[[#This Row],[Description]]="","",DATE(Table2[[#This Row],[Year]],Table2[[#This Row],[Month]],1))</f>
        <v/>
      </c>
    </row>
    <row r="6046" spans="7:11" x14ac:dyDescent="0.25">
      <c r="G6046" s="1" t="str">
        <f>IF(Table2[[#This Row],[Description]]="","",VLOOKUP(Table2[[#This Row],[Description]],$Q$1:$S$101,2,FALSE))</f>
        <v/>
      </c>
      <c r="H6046" s="1" t="str">
        <f>IF(Table2[[#This Row],[Description]]="","",VLOOKUP(Table2[[#This Row],[Description]],$Q$1:$S$101,3,FALSE))</f>
        <v/>
      </c>
      <c r="I6046" s="1" t="str">
        <f>IF(Table2[[#This Row],[Description]]="","",IF(Table2[[#This Row],[Currency]]=$O$2,$P$2,HLOOKUP(Table2[[#This Row],[Date]],Funds!$C$10:$GV$11,2,FALSE)))</f>
        <v/>
      </c>
      <c r="J6046" s="215" t="str">
        <f>IF(Table2[[#This Row],[Description]]="","",Table2[[#This Row],[Value]]/Table2[[#This Row],[Conversion]])</f>
        <v/>
      </c>
      <c r="K6046" s="45" t="str">
        <f>IF(Table2[[#This Row],[Description]]="","",DATE(Table2[[#This Row],[Year]],Table2[[#This Row],[Month]],1))</f>
        <v/>
      </c>
    </row>
    <row r="6047" spans="7:11" x14ac:dyDescent="0.25">
      <c r="G6047" s="1" t="str">
        <f>IF(Table2[[#This Row],[Description]]="","",VLOOKUP(Table2[[#This Row],[Description]],$Q$1:$S$101,2,FALSE))</f>
        <v/>
      </c>
      <c r="H6047" s="1" t="str">
        <f>IF(Table2[[#This Row],[Description]]="","",VLOOKUP(Table2[[#This Row],[Description]],$Q$1:$S$101,3,FALSE))</f>
        <v/>
      </c>
      <c r="I6047" s="1" t="str">
        <f>IF(Table2[[#This Row],[Description]]="","",IF(Table2[[#This Row],[Currency]]=$O$2,$P$2,HLOOKUP(Table2[[#This Row],[Date]],Funds!$C$10:$GV$11,2,FALSE)))</f>
        <v/>
      </c>
      <c r="J6047" s="215" t="str">
        <f>IF(Table2[[#This Row],[Description]]="","",Table2[[#This Row],[Value]]/Table2[[#This Row],[Conversion]])</f>
        <v/>
      </c>
      <c r="K6047" s="45" t="str">
        <f>IF(Table2[[#This Row],[Description]]="","",DATE(Table2[[#This Row],[Year]],Table2[[#This Row],[Month]],1))</f>
        <v/>
      </c>
    </row>
    <row r="6048" spans="7:11" x14ac:dyDescent="0.25">
      <c r="G6048" s="1" t="str">
        <f>IF(Table2[[#This Row],[Description]]="","",VLOOKUP(Table2[[#This Row],[Description]],$Q$1:$S$101,2,FALSE))</f>
        <v/>
      </c>
      <c r="H6048" s="1" t="str">
        <f>IF(Table2[[#This Row],[Description]]="","",VLOOKUP(Table2[[#This Row],[Description]],$Q$1:$S$101,3,FALSE))</f>
        <v/>
      </c>
      <c r="I6048" s="1" t="str">
        <f>IF(Table2[[#This Row],[Description]]="","",IF(Table2[[#This Row],[Currency]]=$O$2,$P$2,HLOOKUP(Table2[[#This Row],[Date]],Funds!$C$10:$GV$11,2,FALSE)))</f>
        <v/>
      </c>
      <c r="J6048" s="215" t="str">
        <f>IF(Table2[[#This Row],[Description]]="","",Table2[[#This Row],[Value]]/Table2[[#This Row],[Conversion]])</f>
        <v/>
      </c>
      <c r="K6048" s="45" t="str">
        <f>IF(Table2[[#This Row],[Description]]="","",DATE(Table2[[#This Row],[Year]],Table2[[#This Row],[Month]],1))</f>
        <v/>
      </c>
    </row>
    <row r="6049" spans="7:11" x14ac:dyDescent="0.25">
      <c r="G6049" s="1" t="str">
        <f>IF(Table2[[#This Row],[Description]]="","",VLOOKUP(Table2[[#This Row],[Description]],$Q$1:$S$101,2,FALSE))</f>
        <v/>
      </c>
      <c r="H6049" s="1" t="str">
        <f>IF(Table2[[#This Row],[Description]]="","",VLOOKUP(Table2[[#This Row],[Description]],$Q$1:$S$101,3,FALSE))</f>
        <v/>
      </c>
      <c r="I6049" s="1" t="str">
        <f>IF(Table2[[#This Row],[Description]]="","",IF(Table2[[#This Row],[Currency]]=$O$2,$P$2,HLOOKUP(Table2[[#This Row],[Date]],Funds!$C$10:$GV$11,2,FALSE)))</f>
        <v/>
      </c>
      <c r="J6049" s="215" t="str">
        <f>IF(Table2[[#This Row],[Description]]="","",Table2[[#This Row],[Value]]/Table2[[#This Row],[Conversion]])</f>
        <v/>
      </c>
      <c r="K6049" s="45" t="str">
        <f>IF(Table2[[#This Row],[Description]]="","",DATE(Table2[[#This Row],[Year]],Table2[[#This Row],[Month]],1))</f>
        <v/>
      </c>
    </row>
    <row r="6050" spans="7:11" x14ac:dyDescent="0.25">
      <c r="G6050" s="1" t="str">
        <f>IF(Table2[[#This Row],[Description]]="","",VLOOKUP(Table2[[#This Row],[Description]],$Q$1:$S$101,2,FALSE))</f>
        <v/>
      </c>
      <c r="H6050" s="1" t="str">
        <f>IF(Table2[[#This Row],[Description]]="","",VLOOKUP(Table2[[#This Row],[Description]],$Q$1:$S$101,3,FALSE))</f>
        <v/>
      </c>
      <c r="I6050" s="1" t="str">
        <f>IF(Table2[[#This Row],[Description]]="","",IF(Table2[[#This Row],[Currency]]=$O$2,$P$2,HLOOKUP(Table2[[#This Row],[Date]],Funds!$C$10:$GV$11,2,FALSE)))</f>
        <v/>
      </c>
      <c r="J6050" s="215" t="str">
        <f>IF(Table2[[#This Row],[Description]]="","",Table2[[#This Row],[Value]]/Table2[[#This Row],[Conversion]])</f>
        <v/>
      </c>
      <c r="K6050" s="45" t="str">
        <f>IF(Table2[[#This Row],[Description]]="","",DATE(Table2[[#This Row],[Year]],Table2[[#This Row],[Month]],1))</f>
        <v/>
      </c>
    </row>
    <row r="6051" spans="7:11" x14ac:dyDescent="0.25">
      <c r="G6051" s="1" t="str">
        <f>IF(Table2[[#This Row],[Description]]="","",VLOOKUP(Table2[[#This Row],[Description]],$Q$1:$S$101,2,FALSE))</f>
        <v/>
      </c>
      <c r="H6051" s="1" t="str">
        <f>IF(Table2[[#This Row],[Description]]="","",VLOOKUP(Table2[[#This Row],[Description]],$Q$1:$S$101,3,FALSE))</f>
        <v/>
      </c>
      <c r="I6051" s="1" t="str">
        <f>IF(Table2[[#This Row],[Description]]="","",IF(Table2[[#This Row],[Currency]]=$O$2,$P$2,HLOOKUP(Table2[[#This Row],[Date]],Funds!$C$10:$GV$11,2,FALSE)))</f>
        <v/>
      </c>
      <c r="J6051" s="215" t="str">
        <f>IF(Table2[[#This Row],[Description]]="","",Table2[[#This Row],[Value]]/Table2[[#This Row],[Conversion]])</f>
        <v/>
      </c>
      <c r="K6051" s="45" t="str">
        <f>IF(Table2[[#This Row],[Description]]="","",DATE(Table2[[#This Row],[Year]],Table2[[#This Row],[Month]],1))</f>
        <v/>
      </c>
    </row>
    <row r="6052" spans="7:11" x14ac:dyDescent="0.25">
      <c r="G6052" s="1" t="str">
        <f>IF(Table2[[#This Row],[Description]]="","",VLOOKUP(Table2[[#This Row],[Description]],$Q$1:$S$101,2,FALSE))</f>
        <v/>
      </c>
      <c r="H6052" s="1" t="str">
        <f>IF(Table2[[#This Row],[Description]]="","",VLOOKUP(Table2[[#This Row],[Description]],$Q$1:$S$101,3,FALSE))</f>
        <v/>
      </c>
      <c r="I6052" s="1" t="str">
        <f>IF(Table2[[#This Row],[Description]]="","",IF(Table2[[#This Row],[Currency]]=$O$2,$P$2,HLOOKUP(Table2[[#This Row],[Date]],Funds!$C$10:$GV$11,2,FALSE)))</f>
        <v/>
      </c>
      <c r="J6052" s="215" t="str">
        <f>IF(Table2[[#This Row],[Description]]="","",Table2[[#This Row],[Value]]/Table2[[#This Row],[Conversion]])</f>
        <v/>
      </c>
      <c r="K6052" s="45" t="str">
        <f>IF(Table2[[#This Row],[Description]]="","",DATE(Table2[[#This Row],[Year]],Table2[[#This Row],[Month]],1))</f>
        <v/>
      </c>
    </row>
    <row r="6053" spans="7:11" x14ac:dyDescent="0.25">
      <c r="G6053" s="1" t="str">
        <f>IF(Table2[[#This Row],[Description]]="","",VLOOKUP(Table2[[#This Row],[Description]],$Q$1:$S$101,2,FALSE))</f>
        <v/>
      </c>
      <c r="H6053" s="1" t="str">
        <f>IF(Table2[[#This Row],[Description]]="","",VLOOKUP(Table2[[#This Row],[Description]],$Q$1:$S$101,3,FALSE))</f>
        <v/>
      </c>
      <c r="I6053" s="1" t="str">
        <f>IF(Table2[[#This Row],[Description]]="","",IF(Table2[[#This Row],[Currency]]=$O$2,$P$2,HLOOKUP(Table2[[#This Row],[Date]],Funds!$C$10:$GV$11,2,FALSE)))</f>
        <v/>
      </c>
      <c r="J6053" s="215" t="str">
        <f>IF(Table2[[#This Row],[Description]]="","",Table2[[#This Row],[Value]]/Table2[[#This Row],[Conversion]])</f>
        <v/>
      </c>
      <c r="K6053" s="45" t="str">
        <f>IF(Table2[[#This Row],[Description]]="","",DATE(Table2[[#This Row],[Year]],Table2[[#This Row],[Month]],1))</f>
        <v/>
      </c>
    </row>
    <row r="6054" spans="7:11" x14ac:dyDescent="0.25">
      <c r="G6054" s="1" t="str">
        <f>IF(Table2[[#This Row],[Description]]="","",VLOOKUP(Table2[[#This Row],[Description]],$Q$1:$S$101,2,FALSE))</f>
        <v/>
      </c>
      <c r="H6054" s="1" t="str">
        <f>IF(Table2[[#This Row],[Description]]="","",VLOOKUP(Table2[[#This Row],[Description]],$Q$1:$S$101,3,FALSE))</f>
        <v/>
      </c>
      <c r="I6054" s="1" t="str">
        <f>IF(Table2[[#This Row],[Description]]="","",IF(Table2[[#This Row],[Currency]]=$O$2,$P$2,HLOOKUP(Table2[[#This Row],[Date]],Funds!$C$10:$GV$11,2,FALSE)))</f>
        <v/>
      </c>
      <c r="J6054" s="215" t="str">
        <f>IF(Table2[[#This Row],[Description]]="","",Table2[[#This Row],[Value]]/Table2[[#This Row],[Conversion]])</f>
        <v/>
      </c>
      <c r="K6054" s="45" t="str">
        <f>IF(Table2[[#This Row],[Description]]="","",DATE(Table2[[#This Row],[Year]],Table2[[#This Row],[Month]],1))</f>
        <v/>
      </c>
    </row>
    <row r="6055" spans="7:11" x14ac:dyDescent="0.25">
      <c r="G6055" s="1" t="str">
        <f>IF(Table2[[#This Row],[Description]]="","",VLOOKUP(Table2[[#This Row],[Description]],$Q$1:$S$101,2,FALSE))</f>
        <v/>
      </c>
      <c r="H6055" s="1" t="str">
        <f>IF(Table2[[#This Row],[Description]]="","",VLOOKUP(Table2[[#This Row],[Description]],$Q$1:$S$101,3,FALSE))</f>
        <v/>
      </c>
      <c r="I6055" s="1" t="str">
        <f>IF(Table2[[#This Row],[Description]]="","",IF(Table2[[#This Row],[Currency]]=$O$2,$P$2,HLOOKUP(Table2[[#This Row],[Date]],Funds!$C$10:$GV$11,2,FALSE)))</f>
        <v/>
      </c>
      <c r="J6055" s="215" t="str">
        <f>IF(Table2[[#This Row],[Description]]="","",Table2[[#This Row],[Value]]/Table2[[#This Row],[Conversion]])</f>
        <v/>
      </c>
      <c r="K6055" s="45" t="str">
        <f>IF(Table2[[#This Row],[Description]]="","",DATE(Table2[[#This Row],[Year]],Table2[[#This Row],[Month]],1))</f>
        <v/>
      </c>
    </row>
    <row r="6056" spans="7:11" x14ac:dyDescent="0.25">
      <c r="G6056" s="1" t="str">
        <f>IF(Table2[[#This Row],[Description]]="","",VLOOKUP(Table2[[#This Row],[Description]],$Q$1:$S$101,2,FALSE))</f>
        <v/>
      </c>
      <c r="H6056" s="1" t="str">
        <f>IF(Table2[[#This Row],[Description]]="","",VLOOKUP(Table2[[#This Row],[Description]],$Q$1:$S$101,3,FALSE))</f>
        <v/>
      </c>
      <c r="I6056" s="1" t="str">
        <f>IF(Table2[[#This Row],[Description]]="","",IF(Table2[[#This Row],[Currency]]=$O$2,$P$2,HLOOKUP(Table2[[#This Row],[Date]],Funds!$C$10:$GV$11,2,FALSE)))</f>
        <v/>
      </c>
      <c r="J6056" s="215" t="str">
        <f>IF(Table2[[#This Row],[Description]]="","",Table2[[#This Row],[Value]]/Table2[[#This Row],[Conversion]])</f>
        <v/>
      </c>
      <c r="K6056" s="45" t="str">
        <f>IF(Table2[[#This Row],[Description]]="","",DATE(Table2[[#This Row],[Year]],Table2[[#This Row],[Month]],1))</f>
        <v/>
      </c>
    </row>
    <row r="6057" spans="7:11" x14ac:dyDescent="0.25">
      <c r="G6057" s="1" t="str">
        <f>IF(Table2[[#This Row],[Description]]="","",VLOOKUP(Table2[[#This Row],[Description]],$Q$1:$S$101,2,FALSE))</f>
        <v/>
      </c>
      <c r="H6057" s="1" t="str">
        <f>IF(Table2[[#This Row],[Description]]="","",VLOOKUP(Table2[[#This Row],[Description]],$Q$1:$S$101,3,FALSE))</f>
        <v/>
      </c>
      <c r="I6057" s="1" t="str">
        <f>IF(Table2[[#This Row],[Description]]="","",IF(Table2[[#This Row],[Currency]]=$O$2,$P$2,HLOOKUP(Table2[[#This Row],[Date]],Funds!$C$10:$GV$11,2,FALSE)))</f>
        <v/>
      </c>
      <c r="J6057" s="215" t="str">
        <f>IF(Table2[[#This Row],[Description]]="","",Table2[[#This Row],[Value]]/Table2[[#This Row],[Conversion]])</f>
        <v/>
      </c>
      <c r="K6057" s="45" t="str">
        <f>IF(Table2[[#This Row],[Description]]="","",DATE(Table2[[#This Row],[Year]],Table2[[#This Row],[Month]],1))</f>
        <v/>
      </c>
    </row>
    <row r="6058" spans="7:11" x14ac:dyDescent="0.25">
      <c r="G6058" s="1" t="str">
        <f>IF(Table2[[#This Row],[Description]]="","",VLOOKUP(Table2[[#This Row],[Description]],$Q$1:$S$101,2,FALSE))</f>
        <v/>
      </c>
      <c r="H6058" s="1" t="str">
        <f>IF(Table2[[#This Row],[Description]]="","",VLOOKUP(Table2[[#This Row],[Description]],$Q$1:$S$101,3,FALSE))</f>
        <v/>
      </c>
      <c r="I6058" s="1" t="str">
        <f>IF(Table2[[#This Row],[Description]]="","",IF(Table2[[#This Row],[Currency]]=$O$2,$P$2,HLOOKUP(Table2[[#This Row],[Date]],Funds!$C$10:$GV$11,2,FALSE)))</f>
        <v/>
      </c>
      <c r="J6058" s="215" t="str">
        <f>IF(Table2[[#This Row],[Description]]="","",Table2[[#This Row],[Value]]/Table2[[#This Row],[Conversion]])</f>
        <v/>
      </c>
      <c r="K6058" s="45" t="str">
        <f>IF(Table2[[#This Row],[Description]]="","",DATE(Table2[[#This Row],[Year]],Table2[[#This Row],[Month]],1))</f>
        <v/>
      </c>
    </row>
    <row r="6059" spans="7:11" x14ac:dyDescent="0.25">
      <c r="G6059" s="1" t="str">
        <f>IF(Table2[[#This Row],[Description]]="","",VLOOKUP(Table2[[#This Row],[Description]],$Q$1:$S$101,2,FALSE))</f>
        <v/>
      </c>
      <c r="H6059" s="1" t="str">
        <f>IF(Table2[[#This Row],[Description]]="","",VLOOKUP(Table2[[#This Row],[Description]],$Q$1:$S$101,3,FALSE))</f>
        <v/>
      </c>
      <c r="I6059" s="1" t="str">
        <f>IF(Table2[[#This Row],[Description]]="","",IF(Table2[[#This Row],[Currency]]=$O$2,$P$2,HLOOKUP(Table2[[#This Row],[Date]],Funds!$C$10:$GV$11,2,FALSE)))</f>
        <v/>
      </c>
      <c r="J6059" s="215" t="str">
        <f>IF(Table2[[#This Row],[Description]]="","",Table2[[#This Row],[Value]]/Table2[[#This Row],[Conversion]])</f>
        <v/>
      </c>
      <c r="K6059" s="45" t="str">
        <f>IF(Table2[[#This Row],[Description]]="","",DATE(Table2[[#This Row],[Year]],Table2[[#This Row],[Month]],1))</f>
        <v/>
      </c>
    </row>
    <row r="6060" spans="7:11" x14ac:dyDescent="0.25">
      <c r="G6060" s="1" t="str">
        <f>IF(Table2[[#This Row],[Description]]="","",VLOOKUP(Table2[[#This Row],[Description]],$Q$1:$S$101,2,FALSE))</f>
        <v/>
      </c>
      <c r="H6060" s="1" t="str">
        <f>IF(Table2[[#This Row],[Description]]="","",VLOOKUP(Table2[[#This Row],[Description]],$Q$1:$S$101,3,FALSE))</f>
        <v/>
      </c>
      <c r="I6060" s="1" t="str">
        <f>IF(Table2[[#This Row],[Description]]="","",IF(Table2[[#This Row],[Currency]]=$O$2,$P$2,HLOOKUP(Table2[[#This Row],[Date]],Funds!$C$10:$GV$11,2,FALSE)))</f>
        <v/>
      </c>
      <c r="J6060" s="215" t="str">
        <f>IF(Table2[[#This Row],[Description]]="","",Table2[[#This Row],[Value]]/Table2[[#This Row],[Conversion]])</f>
        <v/>
      </c>
      <c r="K6060" s="45" t="str">
        <f>IF(Table2[[#This Row],[Description]]="","",DATE(Table2[[#This Row],[Year]],Table2[[#This Row],[Month]],1))</f>
        <v/>
      </c>
    </row>
    <row r="6061" spans="7:11" x14ac:dyDescent="0.25">
      <c r="G6061" s="1" t="str">
        <f>IF(Table2[[#This Row],[Description]]="","",VLOOKUP(Table2[[#This Row],[Description]],$Q$1:$S$101,2,FALSE))</f>
        <v/>
      </c>
      <c r="H6061" s="1" t="str">
        <f>IF(Table2[[#This Row],[Description]]="","",VLOOKUP(Table2[[#This Row],[Description]],$Q$1:$S$101,3,FALSE))</f>
        <v/>
      </c>
      <c r="I6061" s="1" t="str">
        <f>IF(Table2[[#This Row],[Description]]="","",IF(Table2[[#This Row],[Currency]]=$O$2,$P$2,HLOOKUP(Table2[[#This Row],[Date]],Funds!$C$10:$GV$11,2,FALSE)))</f>
        <v/>
      </c>
      <c r="J6061" s="215" t="str">
        <f>IF(Table2[[#This Row],[Description]]="","",Table2[[#This Row],[Value]]/Table2[[#This Row],[Conversion]])</f>
        <v/>
      </c>
      <c r="K6061" s="45" t="str">
        <f>IF(Table2[[#This Row],[Description]]="","",DATE(Table2[[#This Row],[Year]],Table2[[#This Row],[Month]],1))</f>
        <v/>
      </c>
    </row>
    <row r="6062" spans="7:11" x14ac:dyDescent="0.25">
      <c r="G6062" s="1" t="str">
        <f>IF(Table2[[#This Row],[Description]]="","",VLOOKUP(Table2[[#This Row],[Description]],$Q$1:$S$101,2,FALSE))</f>
        <v/>
      </c>
      <c r="H6062" s="1" t="str">
        <f>IF(Table2[[#This Row],[Description]]="","",VLOOKUP(Table2[[#This Row],[Description]],$Q$1:$S$101,3,FALSE))</f>
        <v/>
      </c>
      <c r="I6062" s="1" t="str">
        <f>IF(Table2[[#This Row],[Description]]="","",IF(Table2[[#This Row],[Currency]]=$O$2,$P$2,HLOOKUP(Table2[[#This Row],[Date]],Funds!$C$10:$GV$11,2,FALSE)))</f>
        <v/>
      </c>
      <c r="J6062" s="215" t="str">
        <f>IF(Table2[[#This Row],[Description]]="","",Table2[[#This Row],[Value]]/Table2[[#This Row],[Conversion]])</f>
        <v/>
      </c>
      <c r="K6062" s="45" t="str">
        <f>IF(Table2[[#This Row],[Description]]="","",DATE(Table2[[#This Row],[Year]],Table2[[#This Row],[Month]],1))</f>
        <v/>
      </c>
    </row>
    <row r="6063" spans="7:11" x14ac:dyDescent="0.25">
      <c r="G6063" s="1" t="str">
        <f>IF(Table2[[#This Row],[Description]]="","",VLOOKUP(Table2[[#This Row],[Description]],$Q$1:$S$101,2,FALSE))</f>
        <v/>
      </c>
      <c r="H6063" s="1" t="str">
        <f>IF(Table2[[#This Row],[Description]]="","",VLOOKUP(Table2[[#This Row],[Description]],$Q$1:$S$101,3,FALSE))</f>
        <v/>
      </c>
      <c r="I6063" s="1" t="str">
        <f>IF(Table2[[#This Row],[Description]]="","",IF(Table2[[#This Row],[Currency]]=$O$2,$P$2,HLOOKUP(Table2[[#This Row],[Date]],Funds!$C$10:$GV$11,2,FALSE)))</f>
        <v/>
      </c>
      <c r="J6063" s="215" t="str">
        <f>IF(Table2[[#This Row],[Description]]="","",Table2[[#This Row],[Value]]/Table2[[#This Row],[Conversion]])</f>
        <v/>
      </c>
      <c r="K6063" s="45" t="str">
        <f>IF(Table2[[#This Row],[Description]]="","",DATE(Table2[[#This Row],[Year]],Table2[[#This Row],[Month]],1))</f>
        <v/>
      </c>
    </row>
    <row r="6064" spans="7:11" x14ac:dyDescent="0.25">
      <c r="G6064" s="1" t="str">
        <f>IF(Table2[[#This Row],[Description]]="","",VLOOKUP(Table2[[#This Row],[Description]],$Q$1:$S$101,2,FALSE))</f>
        <v/>
      </c>
      <c r="H6064" s="1" t="str">
        <f>IF(Table2[[#This Row],[Description]]="","",VLOOKUP(Table2[[#This Row],[Description]],$Q$1:$S$101,3,FALSE))</f>
        <v/>
      </c>
      <c r="I6064" s="1" t="str">
        <f>IF(Table2[[#This Row],[Description]]="","",IF(Table2[[#This Row],[Currency]]=$O$2,$P$2,HLOOKUP(Table2[[#This Row],[Date]],Funds!$C$10:$GV$11,2,FALSE)))</f>
        <v/>
      </c>
      <c r="J6064" s="215" t="str">
        <f>IF(Table2[[#This Row],[Description]]="","",Table2[[#This Row],[Value]]/Table2[[#This Row],[Conversion]])</f>
        <v/>
      </c>
      <c r="K6064" s="45" t="str">
        <f>IF(Table2[[#This Row],[Description]]="","",DATE(Table2[[#This Row],[Year]],Table2[[#This Row],[Month]],1))</f>
        <v/>
      </c>
    </row>
    <row r="6065" spans="7:11" x14ac:dyDescent="0.25">
      <c r="G6065" s="1" t="str">
        <f>IF(Table2[[#This Row],[Description]]="","",VLOOKUP(Table2[[#This Row],[Description]],$Q$1:$S$101,2,FALSE))</f>
        <v/>
      </c>
      <c r="H6065" s="1" t="str">
        <f>IF(Table2[[#This Row],[Description]]="","",VLOOKUP(Table2[[#This Row],[Description]],$Q$1:$S$101,3,FALSE))</f>
        <v/>
      </c>
      <c r="I6065" s="1" t="str">
        <f>IF(Table2[[#This Row],[Description]]="","",IF(Table2[[#This Row],[Currency]]=$O$2,$P$2,HLOOKUP(Table2[[#This Row],[Date]],Funds!$C$10:$GV$11,2,FALSE)))</f>
        <v/>
      </c>
      <c r="J6065" s="215" t="str">
        <f>IF(Table2[[#This Row],[Description]]="","",Table2[[#This Row],[Value]]/Table2[[#This Row],[Conversion]])</f>
        <v/>
      </c>
      <c r="K6065" s="45" t="str">
        <f>IF(Table2[[#This Row],[Description]]="","",DATE(Table2[[#This Row],[Year]],Table2[[#This Row],[Month]],1))</f>
        <v/>
      </c>
    </row>
    <row r="6066" spans="7:11" x14ac:dyDescent="0.25">
      <c r="G6066" s="1" t="str">
        <f>IF(Table2[[#This Row],[Description]]="","",VLOOKUP(Table2[[#This Row],[Description]],$Q$1:$S$101,2,FALSE))</f>
        <v/>
      </c>
      <c r="H6066" s="1" t="str">
        <f>IF(Table2[[#This Row],[Description]]="","",VLOOKUP(Table2[[#This Row],[Description]],$Q$1:$S$101,3,FALSE))</f>
        <v/>
      </c>
      <c r="I6066" s="1" t="str">
        <f>IF(Table2[[#This Row],[Description]]="","",IF(Table2[[#This Row],[Currency]]=$O$2,$P$2,HLOOKUP(Table2[[#This Row],[Date]],Funds!$C$10:$GV$11,2,FALSE)))</f>
        <v/>
      </c>
      <c r="J6066" s="215" t="str">
        <f>IF(Table2[[#This Row],[Description]]="","",Table2[[#This Row],[Value]]/Table2[[#This Row],[Conversion]])</f>
        <v/>
      </c>
      <c r="K6066" s="45" t="str">
        <f>IF(Table2[[#This Row],[Description]]="","",DATE(Table2[[#This Row],[Year]],Table2[[#This Row],[Month]],1))</f>
        <v/>
      </c>
    </row>
    <row r="6067" spans="7:11" x14ac:dyDescent="0.25">
      <c r="G6067" s="1" t="str">
        <f>IF(Table2[[#This Row],[Description]]="","",VLOOKUP(Table2[[#This Row],[Description]],$Q$1:$S$101,2,FALSE))</f>
        <v/>
      </c>
      <c r="H6067" s="1" t="str">
        <f>IF(Table2[[#This Row],[Description]]="","",VLOOKUP(Table2[[#This Row],[Description]],$Q$1:$S$101,3,FALSE))</f>
        <v/>
      </c>
      <c r="I6067" s="1" t="str">
        <f>IF(Table2[[#This Row],[Description]]="","",IF(Table2[[#This Row],[Currency]]=$O$2,$P$2,HLOOKUP(Table2[[#This Row],[Date]],Funds!$C$10:$GV$11,2,FALSE)))</f>
        <v/>
      </c>
      <c r="J6067" s="215" t="str">
        <f>IF(Table2[[#This Row],[Description]]="","",Table2[[#This Row],[Value]]/Table2[[#This Row],[Conversion]])</f>
        <v/>
      </c>
      <c r="K6067" s="45" t="str">
        <f>IF(Table2[[#This Row],[Description]]="","",DATE(Table2[[#This Row],[Year]],Table2[[#This Row],[Month]],1))</f>
        <v/>
      </c>
    </row>
    <row r="6068" spans="7:11" x14ac:dyDescent="0.25">
      <c r="G6068" s="1" t="str">
        <f>IF(Table2[[#This Row],[Description]]="","",VLOOKUP(Table2[[#This Row],[Description]],$Q$1:$S$101,2,FALSE))</f>
        <v/>
      </c>
      <c r="H6068" s="1" t="str">
        <f>IF(Table2[[#This Row],[Description]]="","",VLOOKUP(Table2[[#This Row],[Description]],$Q$1:$S$101,3,FALSE))</f>
        <v/>
      </c>
      <c r="I6068" s="1" t="str">
        <f>IF(Table2[[#This Row],[Description]]="","",IF(Table2[[#This Row],[Currency]]=$O$2,$P$2,HLOOKUP(Table2[[#This Row],[Date]],Funds!$C$10:$GV$11,2,FALSE)))</f>
        <v/>
      </c>
      <c r="J6068" s="215" t="str">
        <f>IF(Table2[[#This Row],[Description]]="","",Table2[[#This Row],[Value]]/Table2[[#This Row],[Conversion]])</f>
        <v/>
      </c>
      <c r="K6068" s="45" t="str">
        <f>IF(Table2[[#This Row],[Description]]="","",DATE(Table2[[#This Row],[Year]],Table2[[#This Row],[Month]],1))</f>
        <v/>
      </c>
    </row>
    <row r="6069" spans="7:11" x14ac:dyDescent="0.25">
      <c r="G6069" s="1" t="str">
        <f>IF(Table2[[#This Row],[Description]]="","",VLOOKUP(Table2[[#This Row],[Description]],$Q$1:$S$101,2,FALSE))</f>
        <v/>
      </c>
      <c r="H6069" s="1" t="str">
        <f>IF(Table2[[#This Row],[Description]]="","",VLOOKUP(Table2[[#This Row],[Description]],$Q$1:$S$101,3,FALSE))</f>
        <v/>
      </c>
      <c r="I6069" s="1" t="str">
        <f>IF(Table2[[#This Row],[Description]]="","",IF(Table2[[#This Row],[Currency]]=$O$2,$P$2,HLOOKUP(Table2[[#This Row],[Date]],Funds!$C$10:$GV$11,2,FALSE)))</f>
        <v/>
      </c>
      <c r="J6069" s="215" t="str">
        <f>IF(Table2[[#This Row],[Description]]="","",Table2[[#This Row],[Value]]/Table2[[#This Row],[Conversion]])</f>
        <v/>
      </c>
      <c r="K6069" s="45" t="str">
        <f>IF(Table2[[#This Row],[Description]]="","",DATE(Table2[[#This Row],[Year]],Table2[[#This Row],[Month]],1))</f>
        <v/>
      </c>
    </row>
    <row r="6070" spans="7:11" x14ac:dyDescent="0.25">
      <c r="G6070" s="1" t="str">
        <f>IF(Table2[[#This Row],[Description]]="","",VLOOKUP(Table2[[#This Row],[Description]],$Q$1:$S$101,2,FALSE))</f>
        <v/>
      </c>
      <c r="H6070" s="1" t="str">
        <f>IF(Table2[[#This Row],[Description]]="","",VLOOKUP(Table2[[#This Row],[Description]],$Q$1:$S$101,3,FALSE))</f>
        <v/>
      </c>
      <c r="I6070" s="1" t="str">
        <f>IF(Table2[[#This Row],[Description]]="","",IF(Table2[[#This Row],[Currency]]=$O$2,$P$2,HLOOKUP(Table2[[#This Row],[Date]],Funds!$C$10:$GV$11,2,FALSE)))</f>
        <v/>
      </c>
      <c r="J6070" s="215" t="str">
        <f>IF(Table2[[#This Row],[Description]]="","",Table2[[#This Row],[Value]]/Table2[[#This Row],[Conversion]])</f>
        <v/>
      </c>
      <c r="K6070" s="45" t="str">
        <f>IF(Table2[[#This Row],[Description]]="","",DATE(Table2[[#This Row],[Year]],Table2[[#This Row],[Month]],1))</f>
        <v/>
      </c>
    </row>
    <row r="6071" spans="7:11" x14ac:dyDescent="0.25">
      <c r="G6071" s="1" t="str">
        <f>IF(Table2[[#This Row],[Description]]="","",VLOOKUP(Table2[[#This Row],[Description]],$Q$1:$S$101,2,FALSE))</f>
        <v/>
      </c>
      <c r="H6071" s="1" t="str">
        <f>IF(Table2[[#This Row],[Description]]="","",VLOOKUP(Table2[[#This Row],[Description]],$Q$1:$S$101,3,FALSE))</f>
        <v/>
      </c>
      <c r="I6071" s="1" t="str">
        <f>IF(Table2[[#This Row],[Description]]="","",IF(Table2[[#This Row],[Currency]]=$O$2,$P$2,HLOOKUP(Table2[[#This Row],[Date]],Funds!$C$10:$GV$11,2,FALSE)))</f>
        <v/>
      </c>
      <c r="J6071" s="215" t="str">
        <f>IF(Table2[[#This Row],[Description]]="","",Table2[[#This Row],[Value]]/Table2[[#This Row],[Conversion]])</f>
        <v/>
      </c>
      <c r="K6071" s="45" t="str">
        <f>IF(Table2[[#This Row],[Description]]="","",DATE(Table2[[#This Row],[Year]],Table2[[#This Row],[Month]],1))</f>
        <v/>
      </c>
    </row>
    <row r="6072" spans="7:11" x14ac:dyDescent="0.25">
      <c r="G6072" s="1" t="str">
        <f>IF(Table2[[#This Row],[Description]]="","",VLOOKUP(Table2[[#This Row],[Description]],$Q$1:$S$101,2,FALSE))</f>
        <v/>
      </c>
      <c r="H6072" s="1" t="str">
        <f>IF(Table2[[#This Row],[Description]]="","",VLOOKUP(Table2[[#This Row],[Description]],$Q$1:$S$101,3,FALSE))</f>
        <v/>
      </c>
      <c r="I6072" s="1" t="str">
        <f>IF(Table2[[#This Row],[Description]]="","",IF(Table2[[#This Row],[Currency]]=$O$2,$P$2,HLOOKUP(Table2[[#This Row],[Date]],Funds!$C$10:$GV$11,2,FALSE)))</f>
        <v/>
      </c>
      <c r="J6072" s="215" t="str">
        <f>IF(Table2[[#This Row],[Description]]="","",Table2[[#This Row],[Value]]/Table2[[#This Row],[Conversion]])</f>
        <v/>
      </c>
      <c r="K6072" s="45" t="str">
        <f>IF(Table2[[#This Row],[Description]]="","",DATE(Table2[[#This Row],[Year]],Table2[[#This Row],[Month]],1))</f>
        <v/>
      </c>
    </row>
    <row r="6073" spans="7:11" x14ac:dyDescent="0.25">
      <c r="G6073" s="1" t="str">
        <f>IF(Table2[[#This Row],[Description]]="","",VLOOKUP(Table2[[#This Row],[Description]],$Q$1:$S$101,2,FALSE))</f>
        <v/>
      </c>
      <c r="H6073" s="1" t="str">
        <f>IF(Table2[[#This Row],[Description]]="","",VLOOKUP(Table2[[#This Row],[Description]],$Q$1:$S$101,3,FALSE))</f>
        <v/>
      </c>
      <c r="I6073" s="1" t="str">
        <f>IF(Table2[[#This Row],[Description]]="","",IF(Table2[[#This Row],[Currency]]=$O$2,$P$2,HLOOKUP(Table2[[#This Row],[Date]],Funds!$C$10:$GV$11,2,FALSE)))</f>
        <v/>
      </c>
      <c r="J6073" s="215" t="str">
        <f>IF(Table2[[#This Row],[Description]]="","",Table2[[#This Row],[Value]]/Table2[[#This Row],[Conversion]])</f>
        <v/>
      </c>
      <c r="K6073" s="45" t="str">
        <f>IF(Table2[[#This Row],[Description]]="","",DATE(Table2[[#This Row],[Year]],Table2[[#This Row],[Month]],1))</f>
        <v/>
      </c>
    </row>
    <row r="6074" spans="7:11" x14ac:dyDescent="0.25">
      <c r="G6074" s="1" t="str">
        <f>IF(Table2[[#This Row],[Description]]="","",VLOOKUP(Table2[[#This Row],[Description]],$Q$1:$S$101,2,FALSE))</f>
        <v/>
      </c>
      <c r="H6074" s="1" t="str">
        <f>IF(Table2[[#This Row],[Description]]="","",VLOOKUP(Table2[[#This Row],[Description]],$Q$1:$S$101,3,FALSE))</f>
        <v/>
      </c>
      <c r="I6074" s="1" t="str">
        <f>IF(Table2[[#This Row],[Description]]="","",IF(Table2[[#This Row],[Currency]]=$O$2,$P$2,HLOOKUP(Table2[[#This Row],[Date]],Funds!$C$10:$GV$11,2,FALSE)))</f>
        <v/>
      </c>
      <c r="J6074" s="215" t="str">
        <f>IF(Table2[[#This Row],[Description]]="","",Table2[[#This Row],[Value]]/Table2[[#This Row],[Conversion]])</f>
        <v/>
      </c>
      <c r="K6074" s="45" t="str">
        <f>IF(Table2[[#This Row],[Description]]="","",DATE(Table2[[#This Row],[Year]],Table2[[#This Row],[Month]],1))</f>
        <v/>
      </c>
    </row>
    <row r="6075" spans="7:11" x14ac:dyDescent="0.25">
      <c r="G6075" s="1" t="str">
        <f>IF(Table2[[#This Row],[Description]]="","",VLOOKUP(Table2[[#This Row],[Description]],$Q$1:$S$101,2,FALSE))</f>
        <v/>
      </c>
      <c r="H6075" s="1" t="str">
        <f>IF(Table2[[#This Row],[Description]]="","",VLOOKUP(Table2[[#This Row],[Description]],$Q$1:$S$101,3,FALSE))</f>
        <v/>
      </c>
      <c r="I6075" s="1" t="str">
        <f>IF(Table2[[#This Row],[Description]]="","",IF(Table2[[#This Row],[Currency]]=$O$2,$P$2,HLOOKUP(Table2[[#This Row],[Date]],Funds!$C$10:$GV$11,2,FALSE)))</f>
        <v/>
      </c>
      <c r="J6075" s="215" t="str">
        <f>IF(Table2[[#This Row],[Description]]="","",Table2[[#This Row],[Value]]/Table2[[#This Row],[Conversion]])</f>
        <v/>
      </c>
      <c r="K6075" s="45" t="str">
        <f>IF(Table2[[#This Row],[Description]]="","",DATE(Table2[[#This Row],[Year]],Table2[[#This Row],[Month]],1))</f>
        <v/>
      </c>
    </row>
    <row r="6076" spans="7:11" x14ac:dyDescent="0.25">
      <c r="G6076" s="1" t="str">
        <f>IF(Table2[[#This Row],[Description]]="","",VLOOKUP(Table2[[#This Row],[Description]],$Q$1:$S$101,2,FALSE))</f>
        <v/>
      </c>
      <c r="H6076" s="1" t="str">
        <f>IF(Table2[[#This Row],[Description]]="","",VLOOKUP(Table2[[#This Row],[Description]],$Q$1:$S$101,3,FALSE))</f>
        <v/>
      </c>
      <c r="I6076" s="1" t="str">
        <f>IF(Table2[[#This Row],[Description]]="","",IF(Table2[[#This Row],[Currency]]=$O$2,$P$2,HLOOKUP(Table2[[#This Row],[Date]],Funds!$C$10:$GV$11,2,FALSE)))</f>
        <v/>
      </c>
      <c r="J6076" s="215" t="str">
        <f>IF(Table2[[#This Row],[Description]]="","",Table2[[#This Row],[Value]]/Table2[[#This Row],[Conversion]])</f>
        <v/>
      </c>
      <c r="K6076" s="45" t="str">
        <f>IF(Table2[[#This Row],[Description]]="","",DATE(Table2[[#This Row],[Year]],Table2[[#This Row],[Month]],1))</f>
        <v/>
      </c>
    </row>
    <row r="6077" spans="7:11" x14ac:dyDescent="0.25">
      <c r="G6077" s="1" t="str">
        <f>IF(Table2[[#This Row],[Description]]="","",VLOOKUP(Table2[[#This Row],[Description]],$Q$1:$S$101,2,FALSE))</f>
        <v/>
      </c>
      <c r="H6077" s="1" t="str">
        <f>IF(Table2[[#This Row],[Description]]="","",VLOOKUP(Table2[[#This Row],[Description]],$Q$1:$S$101,3,FALSE))</f>
        <v/>
      </c>
      <c r="I6077" s="1" t="str">
        <f>IF(Table2[[#This Row],[Description]]="","",IF(Table2[[#This Row],[Currency]]=$O$2,$P$2,HLOOKUP(Table2[[#This Row],[Date]],Funds!$C$10:$GV$11,2,FALSE)))</f>
        <v/>
      </c>
      <c r="J6077" s="215" t="str">
        <f>IF(Table2[[#This Row],[Description]]="","",Table2[[#This Row],[Value]]/Table2[[#This Row],[Conversion]])</f>
        <v/>
      </c>
      <c r="K6077" s="45" t="str">
        <f>IF(Table2[[#This Row],[Description]]="","",DATE(Table2[[#This Row],[Year]],Table2[[#This Row],[Month]],1))</f>
        <v/>
      </c>
    </row>
    <row r="6078" spans="7:11" x14ac:dyDescent="0.25">
      <c r="G6078" s="1" t="str">
        <f>IF(Table2[[#This Row],[Description]]="","",VLOOKUP(Table2[[#This Row],[Description]],$Q$1:$S$101,2,FALSE))</f>
        <v/>
      </c>
      <c r="H6078" s="1" t="str">
        <f>IF(Table2[[#This Row],[Description]]="","",VLOOKUP(Table2[[#This Row],[Description]],$Q$1:$S$101,3,FALSE))</f>
        <v/>
      </c>
      <c r="I6078" s="1" t="str">
        <f>IF(Table2[[#This Row],[Description]]="","",IF(Table2[[#This Row],[Currency]]=$O$2,$P$2,HLOOKUP(Table2[[#This Row],[Date]],Funds!$C$10:$GV$11,2,FALSE)))</f>
        <v/>
      </c>
      <c r="J6078" s="215" t="str">
        <f>IF(Table2[[#This Row],[Description]]="","",Table2[[#This Row],[Value]]/Table2[[#This Row],[Conversion]])</f>
        <v/>
      </c>
      <c r="K6078" s="45" t="str">
        <f>IF(Table2[[#This Row],[Description]]="","",DATE(Table2[[#This Row],[Year]],Table2[[#This Row],[Month]],1))</f>
        <v/>
      </c>
    </row>
    <row r="6079" spans="7:11" x14ac:dyDescent="0.25">
      <c r="G6079" s="1" t="str">
        <f>IF(Table2[[#This Row],[Description]]="","",VLOOKUP(Table2[[#This Row],[Description]],$Q$1:$S$101,2,FALSE))</f>
        <v/>
      </c>
      <c r="H6079" s="1" t="str">
        <f>IF(Table2[[#This Row],[Description]]="","",VLOOKUP(Table2[[#This Row],[Description]],$Q$1:$S$101,3,FALSE))</f>
        <v/>
      </c>
      <c r="I6079" s="1" t="str">
        <f>IF(Table2[[#This Row],[Description]]="","",IF(Table2[[#This Row],[Currency]]=$O$2,$P$2,HLOOKUP(Table2[[#This Row],[Date]],Funds!$C$10:$GV$11,2,FALSE)))</f>
        <v/>
      </c>
      <c r="J6079" s="215" t="str">
        <f>IF(Table2[[#This Row],[Description]]="","",Table2[[#This Row],[Value]]/Table2[[#This Row],[Conversion]])</f>
        <v/>
      </c>
      <c r="K6079" s="45" t="str">
        <f>IF(Table2[[#This Row],[Description]]="","",DATE(Table2[[#This Row],[Year]],Table2[[#This Row],[Month]],1))</f>
        <v/>
      </c>
    </row>
    <row r="6080" spans="7:11" x14ac:dyDescent="0.25">
      <c r="G6080" s="1" t="str">
        <f>IF(Table2[[#This Row],[Description]]="","",VLOOKUP(Table2[[#This Row],[Description]],$Q$1:$S$101,2,FALSE))</f>
        <v/>
      </c>
      <c r="H6080" s="1" t="str">
        <f>IF(Table2[[#This Row],[Description]]="","",VLOOKUP(Table2[[#This Row],[Description]],$Q$1:$S$101,3,FALSE))</f>
        <v/>
      </c>
      <c r="I6080" s="1" t="str">
        <f>IF(Table2[[#This Row],[Description]]="","",IF(Table2[[#This Row],[Currency]]=$O$2,$P$2,HLOOKUP(Table2[[#This Row],[Date]],Funds!$C$10:$GV$11,2,FALSE)))</f>
        <v/>
      </c>
      <c r="J6080" s="215" t="str">
        <f>IF(Table2[[#This Row],[Description]]="","",Table2[[#This Row],[Value]]/Table2[[#This Row],[Conversion]])</f>
        <v/>
      </c>
      <c r="K6080" s="45" t="str">
        <f>IF(Table2[[#This Row],[Description]]="","",DATE(Table2[[#This Row],[Year]],Table2[[#This Row],[Month]],1))</f>
        <v/>
      </c>
    </row>
    <row r="6081" spans="7:11" x14ac:dyDescent="0.25">
      <c r="G6081" s="1" t="str">
        <f>IF(Table2[[#This Row],[Description]]="","",VLOOKUP(Table2[[#This Row],[Description]],$Q$1:$S$101,2,FALSE))</f>
        <v/>
      </c>
      <c r="H6081" s="1" t="str">
        <f>IF(Table2[[#This Row],[Description]]="","",VLOOKUP(Table2[[#This Row],[Description]],$Q$1:$S$101,3,FALSE))</f>
        <v/>
      </c>
      <c r="I6081" s="1" t="str">
        <f>IF(Table2[[#This Row],[Description]]="","",IF(Table2[[#This Row],[Currency]]=$O$2,$P$2,HLOOKUP(Table2[[#This Row],[Date]],Funds!$C$10:$GV$11,2,FALSE)))</f>
        <v/>
      </c>
      <c r="J6081" s="215" t="str">
        <f>IF(Table2[[#This Row],[Description]]="","",Table2[[#This Row],[Value]]/Table2[[#This Row],[Conversion]])</f>
        <v/>
      </c>
      <c r="K6081" s="45" t="str">
        <f>IF(Table2[[#This Row],[Description]]="","",DATE(Table2[[#This Row],[Year]],Table2[[#This Row],[Month]],1))</f>
        <v/>
      </c>
    </row>
    <row r="6082" spans="7:11" x14ac:dyDescent="0.25">
      <c r="G6082" s="1" t="str">
        <f>IF(Table2[[#This Row],[Description]]="","",VLOOKUP(Table2[[#This Row],[Description]],$Q$1:$S$101,2,FALSE))</f>
        <v/>
      </c>
      <c r="H6082" s="1" t="str">
        <f>IF(Table2[[#This Row],[Description]]="","",VLOOKUP(Table2[[#This Row],[Description]],$Q$1:$S$101,3,FALSE))</f>
        <v/>
      </c>
      <c r="I6082" s="1" t="str">
        <f>IF(Table2[[#This Row],[Description]]="","",IF(Table2[[#This Row],[Currency]]=$O$2,$P$2,HLOOKUP(Table2[[#This Row],[Date]],Funds!$C$10:$GV$11,2,FALSE)))</f>
        <v/>
      </c>
      <c r="J6082" s="215" t="str">
        <f>IF(Table2[[#This Row],[Description]]="","",Table2[[#This Row],[Value]]/Table2[[#This Row],[Conversion]])</f>
        <v/>
      </c>
      <c r="K6082" s="45" t="str">
        <f>IF(Table2[[#This Row],[Description]]="","",DATE(Table2[[#This Row],[Year]],Table2[[#This Row],[Month]],1))</f>
        <v/>
      </c>
    </row>
    <row r="6083" spans="7:11" x14ac:dyDescent="0.25">
      <c r="G6083" s="1" t="str">
        <f>IF(Table2[[#This Row],[Description]]="","",VLOOKUP(Table2[[#This Row],[Description]],$Q$1:$S$101,2,FALSE))</f>
        <v/>
      </c>
      <c r="H6083" s="1" t="str">
        <f>IF(Table2[[#This Row],[Description]]="","",VLOOKUP(Table2[[#This Row],[Description]],$Q$1:$S$101,3,FALSE))</f>
        <v/>
      </c>
      <c r="I6083" s="1" t="str">
        <f>IF(Table2[[#This Row],[Description]]="","",IF(Table2[[#This Row],[Currency]]=$O$2,$P$2,HLOOKUP(Table2[[#This Row],[Date]],Funds!$C$10:$GV$11,2,FALSE)))</f>
        <v/>
      </c>
      <c r="J6083" s="215" t="str">
        <f>IF(Table2[[#This Row],[Description]]="","",Table2[[#This Row],[Value]]/Table2[[#This Row],[Conversion]])</f>
        <v/>
      </c>
      <c r="K6083" s="45" t="str">
        <f>IF(Table2[[#This Row],[Description]]="","",DATE(Table2[[#This Row],[Year]],Table2[[#This Row],[Month]],1))</f>
        <v/>
      </c>
    </row>
    <row r="6084" spans="7:11" x14ac:dyDescent="0.25">
      <c r="G6084" s="1" t="str">
        <f>IF(Table2[[#This Row],[Description]]="","",VLOOKUP(Table2[[#This Row],[Description]],$Q$1:$S$101,2,FALSE))</f>
        <v/>
      </c>
      <c r="H6084" s="1" t="str">
        <f>IF(Table2[[#This Row],[Description]]="","",VLOOKUP(Table2[[#This Row],[Description]],$Q$1:$S$101,3,FALSE))</f>
        <v/>
      </c>
      <c r="I6084" s="1" t="str">
        <f>IF(Table2[[#This Row],[Description]]="","",IF(Table2[[#This Row],[Currency]]=$O$2,$P$2,HLOOKUP(Table2[[#This Row],[Date]],Funds!$C$10:$GV$11,2,FALSE)))</f>
        <v/>
      </c>
      <c r="J6084" s="215" t="str">
        <f>IF(Table2[[#This Row],[Description]]="","",Table2[[#This Row],[Value]]/Table2[[#This Row],[Conversion]])</f>
        <v/>
      </c>
      <c r="K6084" s="45" t="str">
        <f>IF(Table2[[#This Row],[Description]]="","",DATE(Table2[[#This Row],[Year]],Table2[[#This Row],[Month]],1))</f>
        <v/>
      </c>
    </row>
    <row r="6085" spans="7:11" x14ac:dyDescent="0.25">
      <c r="G6085" s="1" t="str">
        <f>IF(Table2[[#This Row],[Description]]="","",VLOOKUP(Table2[[#This Row],[Description]],$Q$1:$S$101,2,FALSE))</f>
        <v/>
      </c>
      <c r="H6085" s="1" t="str">
        <f>IF(Table2[[#This Row],[Description]]="","",VLOOKUP(Table2[[#This Row],[Description]],$Q$1:$S$101,3,FALSE))</f>
        <v/>
      </c>
      <c r="I6085" s="1" t="str">
        <f>IF(Table2[[#This Row],[Description]]="","",IF(Table2[[#This Row],[Currency]]=$O$2,$P$2,HLOOKUP(Table2[[#This Row],[Date]],Funds!$C$10:$GV$11,2,FALSE)))</f>
        <v/>
      </c>
      <c r="J6085" s="215" t="str">
        <f>IF(Table2[[#This Row],[Description]]="","",Table2[[#This Row],[Value]]/Table2[[#This Row],[Conversion]])</f>
        <v/>
      </c>
      <c r="K6085" s="45" t="str">
        <f>IF(Table2[[#This Row],[Description]]="","",DATE(Table2[[#This Row],[Year]],Table2[[#This Row],[Month]],1))</f>
        <v/>
      </c>
    </row>
    <row r="6086" spans="7:11" x14ac:dyDescent="0.25">
      <c r="G6086" s="1" t="str">
        <f>IF(Table2[[#This Row],[Description]]="","",VLOOKUP(Table2[[#This Row],[Description]],$Q$1:$S$101,2,FALSE))</f>
        <v/>
      </c>
      <c r="H6086" s="1" t="str">
        <f>IF(Table2[[#This Row],[Description]]="","",VLOOKUP(Table2[[#This Row],[Description]],$Q$1:$S$101,3,FALSE))</f>
        <v/>
      </c>
      <c r="I6086" s="1" t="str">
        <f>IF(Table2[[#This Row],[Description]]="","",IF(Table2[[#This Row],[Currency]]=$O$2,$P$2,HLOOKUP(Table2[[#This Row],[Date]],Funds!$C$10:$GV$11,2,FALSE)))</f>
        <v/>
      </c>
      <c r="J6086" s="215" t="str">
        <f>IF(Table2[[#This Row],[Description]]="","",Table2[[#This Row],[Value]]/Table2[[#This Row],[Conversion]])</f>
        <v/>
      </c>
      <c r="K6086" s="45" t="str">
        <f>IF(Table2[[#This Row],[Description]]="","",DATE(Table2[[#This Row],[Year]],Table2[[#This Row],[Month]],1))</f>
        <v/>
      </c>
    </row>
    <row r="6087" spans="7:11" x14ac:dyDescent="0.25">
      <c r="G6087" s="1" t="str">
        <f>IF(Table2[[#This Row],[Description]]="","",VLOOKUP(Table2[[#This Row],[Description]],$Q$1:$S$101,2,FALSE))</f>
        <v/>
      </c>
      <c r="H6087" s="1" t="str">
        <f>IF(Table2[[#This Row],[Description]]="","",VLOOKUP(Table2[[#This Row],[Description]],$Q$1:$S$101,3,FALSE))</f>
        <v/>
      </c>
      <c r="I6087" s="1" t="str">
        <f>IF(Table2[[#This Row],[Description]]="","",IF(Table2[[#This Row],[Currency]]=$O$2,$P$2,HLOOKUP(Table2[[#This Row],[Date]],Funds!$C$10:$GV$11,2,FALSE)))</f>
        <v/>
      </c>
      <c r="J6087" s="215" t="str">
        <f>IF(Table2[[#This Row],[Description]]="","",Table2[[#This Row],[Value]]/Table2[[#This Row],[Conversion]])</f>
        <v/>
      </c>
      <c r="K6087" s="45" t="str">
        <f>IF(Table2[[#This Row],[Description]]="","",DATE(Table2[[#This Row],[Year]],Table2[[#This Row],[Month]],1))</f>
        <v/>
      </c>
    </row>
    <row r="6088" spans="7:11" x14ac:dyDescent="0.25">
      <c r="G6088" s="1" t="str">
        <f>IF(Table2[[#This Row],[Description]]="","",VLOOKUP(Table2[[#This Row],[Description]],$Q$1:$S$101,2,FALSE))</f>
        <v/>
      </c>
      <c r="H6088" s="1" t="str">
        <f>IF(Table2[[#This Row],[Description]]="","",VLOOKUP(Table2[[#This Row],[Description]],$Q$1:$S$101,3,FALSE))</f>
        <v/>
      </c>
      <c r="I6088" s="1" t="str">
        <f>IF(Table2[[#This Row],[Description]]="","",IF(Table2[[#This Row],[Currency]]=$O$2,$P$2,HLOOKUP(Table2[[#This Row],[Date]],Funds!$C$10:$GV$11,2,FALSE)))</f>
        <v/>
      </c>
      <c r="J6088" s="215" t="str">
        <f>IF(Table2[[#This Row],[Description]]="","",Table2[[#This Row],[Value]]/Table2[[#This Row],[Conversion]])</f>
        <v/>
      </c>
      <c r="K6088" s="45" t="str">
        <f>IF(Table2[[#This Row],[Description]]="","",DATE(Table2[[#This Row],[Year]],Table2[[#This Row],[Month]],1))</f>
        <v/>
      </c>
    </row>
    <row r="6089" spans="7:11" x14ac:dyDescent="0.25">
      <c r="G6089" s="1" t="str">
        <f>IF(Table2[[#This Row],[Description]]="","",VLOOKUP(Table2[[#This Row],[Description]],$Q$1:$S$101,2,FALSE))</f>
        <v/>
      </c>
      <c r="H6089" s="1" t="str">
        <f>IF(Table2[[#This Row],[Description]]="","",VLOOKUP(Table2[[#This Row],[Description]],$Q$1:$S$101,3,FALSE))</f>
        <v/>
      </c>
      <c r="I6089" s="1" t="str">
        <f>IF(Table2[[#This Row],[Description]]="","",IF(Table2[[#This Row],[Currency]]=$O$2,$P$2,HLOOKUP(Table2[[#This Row],[Date]],Funds!$C$10:$GV$11,2,FALSE)))</f>
        <v/>
      </c>
      <c r="J6089" s="215" t="str">
        <f>IF(Table2[[#This Row],[Description]]="","",Table2[[#This Row],[Value]]/Table2[[#This Row],[Conversion]])</f>
        <v/>
      </c>
      <c r="K6089" s="45" t="str">
        <f>IF(Table2[[#This Row],[Description]]="","",DATE(Table2[[#This Row],[Year]],Table2[[#This Row],[Month]],1))</f>
        <v/>
      </c>
    </row>
    <row r="6090" spans="7:11" x14ac:dyDescent="0.25">
      <c r="G6090" s="1" t="str">
        <f>IF(Table2[[#This Row],[Description]]="","",VLOOKUP(Table2[[#This Row],[Description]],$Q$1:$S$101,2,FALSE))</f>
        <v/>
      </c>
      <c r="H6090" s="1" t="str">
        <f>IF(Table2[[#This Row],[Description]]="","",VLOOKUP(Table2[[#This Row],[Description]],$Q$1:$S$101,3,FALSE))</f>
        <v/>
      </c>
      <c r="I6090" s="1" t="str">
        <f>IF(Table2[[#This Row],[Description]]="","",IF(Table2[[#This Row],[Currency]]=$O$2,$P$2,HLOOKUP(Table2[[#This Row],[Date]],Funds!$C$10:$GV$11,2,FALSE)))</f>
        <v/>
      </c>
      <c r="J6090" s="215" t="str">
        <f>IF(Table2[[#This Row],[Description]]="","",Table2[[#This Row],[Value]]/Table2[[#This Row],[Conversion]])</f>
        <v/>
      </c>
      <c r="K6090" s="45" t="str">
        <f>IF(Table2[[#This Row],[Description]]="","",DATE(Table2[[#This Row],[Year]],Table2[[#This Row],[Month]],1))</f>
        <v/>
      </c>
    </row>
    <row r="6091" spans="7:11" x14ac:dyDescent="0.25">
      <c r="G6091" s="1" t="str">
        <f>IF(Table2[[#This Row],[Description]]="","",VLOOKUP(Table2[[#This Row],[Description]],$Q$1:$S$101,2,FALSE))</f>
        <v/>
      </c>
      <c r="H6091" s="1" t="str">
        <f>IF(Table2[[#This Row],[Description]]="","",VLOOKUP(Table2[[#This Row],[Description]],$Q$1:$S$101,3,FALSE))</f>
        <v/>
      </c>
      <c r="I6091" s="1" t="str">
        <f>IF(Table2[[#This Row],[Description]]="","",IF(Table2[[#This Row],[Currency]]=$O$2,$P$2,HLOOKUP(Table2[[#This Row],[Date]],Funds!$C$10:$GV$11,2,FALSE)))</f>
        <v/>
      </c>
      <c r="J6091" s="215" t="str">
        <f>IF(Table2[[#This Row],[Description]]="","",Table2[[#This Row],[Value]]/Table2[[#This Row],[Conversion]])</f>
        <v/>
      </c>
      <c r="K6091" s="45" t="str">
        <f>IF(Table2[[#This Row],[Description]]="","",DATE(Table2[[#This Row],[Year]],Table2[[#This Row],[Month]],1))</f>
        <v/>
      </c>
    </row>
    <row r="6092" spans="7:11" x14ac:dyDescent="0.25">
      <c r="G6092" s="1" t="str">
        <f>IF(Table2[[#This Row],[Description]]="","",VLOOKUP(Table2[[#This Row],[Description]],$Q$1:$S$101,2,FALSE))</f>
        <v/>
      </c>
      <c r="H6092" s="1" t="str">
        <f>IF(Table2[[#This Row],[Description]]="","",VLOOKUP(Table2[[#This Row],[Description]],$Q$1:$S$101,3,FALSE))</f>
        <v/>
      </c>
      <c r="I6092" s="1" t="str">
        <f>IF(Table2[[#This Row],[Description]]="","",IF(Table2[[#This Row],[Currency]]=$O$2,$P$2,HLOOKUP(Table2[[#This Row],[Date]],Funds!$C$10:$GV$11,2,FALSE)))</f>
        <v/>
      </c>
      <c r="J6092" s="215" t="str">
        <f>IF(Table2[[#This Row],[Description]]="","",Table2[[#This Row],[Value]]/Table2[[#This Row],[Conversion]])</f>
        <v/>
      </c>
      <c r="K6092" s="45" t="str">
        <f>IF(Table2[[#This Row],[Description]]="","",DATE(Table2[[#This Row],[Year]],Table2[[#This Row],[Month]],1))</f>
        <v/>
      </c>
    </row>
    <row r="6093" spans="7:11" x14ac:dyDescent="0.25">
      <c r="G6093" s="1" t="str">
        <f>IF(Table2[[#This Row],[Description]]="","",VLOOKUP(Table2[[#This Row],[Description]],$Q$1:$S$101,2,FALSE))</f>
        <v/>
      </c>
      <c r="H6093" s="1" t="str">
        <f>IF(Table2[[#This Row],[Description]]="","",VLOOKUP(Table2[[#This Row],[Description]],$Q$1:$S$101,3,FALSE))</f>
        <v/>
      </c>
      <c r="I6093" s="1" t="str">
        <f>IF(Table2[[#This Row],[Description]]="","",IF(Table2[[#This Row],[Currency]]=$O$2,$P$2,HLOOKUP(Table2[[#This Row],[Date]],Funds!$C$10:$GV$11,2,FALSE)))</f>
        <v/>
      </c>
      <c r="J6093" s="215" t="str">
        <f>IF(Table2[[#This Row],[Description]]="","",Table2[[#This Row],[Value]]/Table2[[#This Row],[Conversion]])</f>
        <v/>
      </c>
      <c r="K6093" s="45" t="str">
        <f>IF(Table2[[#This Row],[Description]]="","",DATE(Table2[[#This Row],[Year]],Table2[[#This Row],[Month]],1))</f>
        <v/>
      </c>
    </row>
    <row r="6094" spans="7:11" x14ac:dyDescent="0.25">
      <c r="G6094" s="1" t="str">
        <f>IF(Table2[[#This Row],[Description]]="","",VLOOKUP(Table2[[#This Row],[Description]],$Q$1:$S$101,2,FALSE))</f>
        <v/>
      </c>
      <c r="H6094" s="1" t="str">
        <f>IF(Table2[[#This Row],[Description]]="","",VLOOKUP(Table2[[#This Row],[Description]],$Q$1:$S$101,3,FALSE))</f>
        <v/>
      </c>
      <c r="I6094" s="1" t="str">
        <f>IF(Table2[[#This Row],[Description]]="","",IF(Table2[[#This Row],[Currency]]=$O$2,$P$2,HLOOKUP(Table2[[#This Row],[Date]],Funds!$C$10:$GV$11,2,FALSE)))</f>
        <v/>
      </c>
      <c r="J6094" s="215" t="str">
        <f>IF(Table2[[#This Row],[Description]]="","",Table2[[#This Row],[Value]]/Table2[[#This Row],[Conversion]])</f>
        <v/>
      </c>
      <c r="K6094" s="45" t="str">
        <f>IF(Table2[[#This Row],[Description]]="","",DATE(Table2[[#This Row],[Year]],Table2[[#This Row],[Month]],1))</f>
        <v/>
      </c>
    </row>
    <row r="6095" spans="7:11" x14ac:dyDescent="0.25">
      <c r="G6095" s="1" t="str">
        <f>IF(Table2[[#This Row],[Description]]="","",VLOOKUP(Table2[[#This Row],[Description]],$Q$1:$S$101,2,FALSE))</f>
        <v/>
      </c>
      <c r="H6095" s="1" t="str">
        <f>IF(Table2[[#This Row],[Description]]="","",VLOOKUP(Table2[[#This Row],[Description]],$Q$1:$S$101,3,FALSE))</f>
        <v/>
      </c>
      <c r="I6095" s="1" t="str">
        <f>IF(Table2[[#This Row],[Description]]="","",IF(Table2[[#This Row],[Currency]]=$O$2,$P$2,HLOOKUP(Table2[[#This Row],[Date]],Funds!$C$10:$GV$11,2,FALSE)))</f>
        <v/>
      </c>
      <c r="J6095" s="215" t="str">
        <f>IF(Table2[[#This Row],[Description]]="","",Table2[[#This Row],[Value]]/Table2[[#This Row],[Conversion]])</f>
        <v/>
      </c>
      <c r="K6095" s="45" t="str">
        <f>IF(Table2[[#This Row],[Description]]="","",DATE(Table2[[#This Row],[Year]],Table2[[#This Row],[Month]],1))</f>
        <v/>
      </c>
    </row>
    <row r="6096" spans="7:11" x14ac:dyDescent="0.25">
      <c r="G6096" s="1" t="str">
        <f>IF(Table2[[#This Row],[Description]]="","",VLOOKUP(Table2[[#This Row],[Description]],$Q$1:$S$101,2,FALSE))</f>
        <v/>
      </c>
      <c r="H6096" s="1" t="str">
        <f>IF(Table2[[#This Row],[Description]]="","",VLOOKUP(Table2[[#This Row],[Description]],$Q$1:$S$101,3,FALSE))</f>
        <v/>
      </c>
      <c r="I6096" s="1" t="str">
        <f>IF(Table2[[#This Row],[Description]]="","",IF(Table2[[#This Row],[Currency]]=$O$2,$P$2,HLOOKUP(Table2[[#This Row],[Date]],Funds!$C$10:$GV$11,2,FALSE)))</f>
        <v/>
      </c>
      <c r="J6096" s="215" t="str">
        <f>IF(Table2[[#This Row],[Description]]="","",Table2[[#This Row],[Value]]/Table2[[#This Row],[Conversion]])</f>
        <v/>
      </c>
      <c r="K6096" s="45" t="str">
        <f>IF(Table2[[#This Row],[Description]]="","",DATE(Table2[[#This Row],[Year]],Table2[[#This Row],[Month]],1))</f>
        <v/>
      </c>
    </row>
    <row r="6097" spans="7:11" x14ac:dyDescent="0.25">
      <c r="G6097" s="1" t="str">
        <f>IF(Table2[[#This Row],[Description]]="","",VLOOKUP(Table2[[#This Row],[Description]],$Q$1:$S$101,2,FALSE))</f>
        <v/>
      </c>
      <c r="H6097" s="1" t="str">
        <f>IF(Table2[[#This Row],[Description]]="","",VLOOKUP(Table2[[#This Row],[Description]],$Q$1:$S$101,3,FALSE))</f>
        <v/>
      </c>
      <c r="I6097" s="1" t="str">
        <f>IF(Table2[[#This Row],[Description]]="","",IF(Table2[[#This Row],[Currency]]=$O$2,$P$2,HLOOKUP(Table2[[#This Row],[Date]],Funds!$C$10:$GV$11,2,FALSE)))</f>
        <v/>
      </c>
      <c r="J6097" s="215" t="str">
        <f>IF(Table2[[#This Row],[Description]]="","",Table2[[#This Row],[Value]]/Table2[[#This Row],[Conversion]])</f>
        <v/>
      </c>
      <c r="K6097" s="45" t="str">
        <f>IF(Table2[[#This Row],[Description]]="","",DATE(Table2[[#This Row],[Year]],Table2[[#This Row],[Month]],1))</f>
        <v/>
      </c>
    </row>
    <row r="6098" spans="7:11" x14ac:dyDescent="0.25">
      <c r="G6098" s="1" t="str">
        <f>IF(Table2[[#This Row],[Description]]="","",VLOOKUP(Table2[[#This Row],[Description]],$Q$1:$S$101,2,FALSE))</f>
        <v/>
      </c>
      <c r="H6098" s="1" t="str">
        <f>IF(Table2[[#This Row],[Description]]="","",VLOOKUP(Table2[[#This Row],[Description]],$Q$1:$S$101,3,FALSE))</f>
        <v/>
      </c>
      <c r="I6098" s="1" t="str">
        <f>IF(Table2[[#This Row],[Description]]="","",IF(Table2[[#This Row],[Currency]]=$O$2,$P$2,HLOOKUP(Table2[[#This Row],[Date]],Funds!$C$10:$GV$11,2,FALSE)))</f>
        <v/>
      </c>
      <c r="J6098" s="215" t="str">
        <f>IF(Table2[[#This Row],[Description]]="","",Table2[[#This Row],[Value]]/Table2[[#This Row],[Conversion]])</f>
        <v/>
      </c>
      <c r="K6098" s="45" t="str">
        <f>IF(Table2[[#This Row],[Description]]="","",DATE(Table2[[#This Row],[Year]],Table2[[#This Row],[Month]],1))</f>
        <v/>
      </c>
    </row>
    <row r="6099" spans="7:11" x14ac:dyDescent="0.25">
      <c r="G6099" s="1" t="str">
        <f>IF(Table2[[#This Row],[Description]]="","",VLOOKUP(Table2[[#This Row],[Description]],$Q$1:$S$101,2,FALSE))</f>
        <v/>
      </c>
      <c r="H6099" s="1" t="str">
        <f>IF(Table2[[#This Row],[Description]]="","",VLOOKUP(Table2[[#This Row],[Description]],$Q$1:$S$101,3,FALSE))</f>
        <v/>
      </c>
      <c r="I6099" s="1" t="str">
        <f>IF(Table2[[#This Row],[Description]]="","",IF(Table2[[#This Row],[Currency]]=$O$2,$P$2,HLOOKUP(Table2[[#This Row],[Date]],Funds!$C$10:$GV$11,2,FALSE)))</f>
        <v/>
      </c>
      <c r="J6099" s="215" t="str">
        <f>IF(Table2[[#This Row],[Description]]="","",Table2[[#This Row],[Value]]/Table2[[#This Row],[Conversion]])</f>
        <v/>
      </c>
      <c r="K6099" s="45" t="str">
        <f>IF(Table2[[#This Row],[Description]]="","",DATE(Table2[[#This Row],[Year]],Table2[[#This Row],[Month]],1))</f>
        <v/>
      </c>
    </row>
    <row r="6100" spans="7:11" x14ac:dyDescent="0.25">
      <c r="G6100" s="1" t="str">
        <f>IF(Table2[[#This Row],[Description]]="","",VLOOKUP(Table2[[#This Row],[Description]],$Q$1:$S$101,2,FALSE))</f>
        <v/>
      </c>
      <c r="H6100" s="1" t="str">
        <f>IF(Table2[[#This Row],[Description]]="","",VLOOKUP(Table2[[#This Row],[Description]],$Q$1:$S$101,3,FALSE))</f>
        <v/>
      </c>
      <c r="I6100" s="1" t="str">
        <f>IF(Table2[[#This Row],[Description]]="","",IF(Table2[[#This Row],[Currency]]=$O$2,$P$2,HLOOKUP(Table2[[#This Row],[Date]],Funds!$C$10:$GV$11,2,FALSE)))</f>
        <v/>
      </c>
      <c r="J6100" s="215" t="str">
        <f>IF(Table2[[#This Row],[Description]]="","",Table2[[#This Row],[Value]]/Table2[[#This Row],[Conversion]])</f>
        <v/>
      </c>
      <c r="K6100" s="45" t="str">
        <f>IF(Table2[[#This Row],[Description]]="","",DATE(Table2[[#This Row],[Year]],Table2[[#This Row],[Month]],1))</f>
        <v/>
      </c>
    </row>
    <row r="6101" spans="7:11" x14ac:dyDescent="0.25">
      <c r="G6101" s="1" t="str">
        <f>IF(Table2[[#This Row],[Description]]="","",VLOOKUP(Table2[[#This Row],[Description]],$Q$1:$S$101,2,FALSE))</f>
        <v/>
      </c>
      <c r="H6101" s="1" t="str">
        <f>IF(Table2[[#This Row],[Description]]="","",VLOOKUP(Table2[[#This Row],[Description]],$Q$1:$S$101,3,FALSE))</f>
        <v/>
      </c>
      <c r="I6101" s="1" t="str">
        <f>IF(Table2[[#This Row],[Description]]="","",IF(Table2[[#This Row],[Currency]]=$O$2,$P$2,HLOOKUP(Table2[[#This Row],[Date]],Funds!$C$10:$GV$11,2,FALSE)))</f>
        <v/>
      </c>
      <c r="J6101" s="215" t="str">
        <f>IF(Table2[[#This Row],[Description]]="","",Table2[[#This Row],[Value]]/Table2[[#This Row],[Conversion]])</f>
        <v/>
      </c>
      <c r="K6101" s="45" t="str">
        <f>IF(Table2[[#This Row],[Description]]="","",DATE(Table2[[#This Row],[Year]],Table2[[#This Row],[Month]],1))</f>
        <v/>
      </c>
    </row>
    <row r="6102" spans="7:11" x14ac:dyDescent="0.25">
      <c r="G6102" s="1" t="str">
        <f>IF(Table2[[#This Row],[Description]]="","",VLOOKUP(Table2[[#This Row],[Description]],$Q$1:$S$101,2,FALSE))</f>
        <v/>
      </c>
      <c r="H6102" s="1" t="str">
        <f>IF(Table2[[#This Row],[Description]]="","",VLOOKUP(Table2[[#This Row],[Description]],$Q$1:$S$101,3,FALSE))</f>
        <v/>
      </c>
      <c r="I6102" s="1" t="str">
        <f>IF(Table2[[#This Row],[Description]]="","",IF(Table2[[#This Row],[Currency]]=$O$2,$P$2,HLOOKUP(Table2[[#This Row],[Date]],Funds!$C$10:$GV$11,2,FALSE)))</f>
        <v/>
      </c>
      <c r="J6102" s="215" t="str">
        <f>IF(Table2[[#This Row],[Description]]="","",Table2[[#This Row],[Value]]/Table2[[#This Row],[Conversion]])</f>
        <v/>
      </c>
      <c r="K6102" s="45" t="str">
        <f>IF(Table2[[#This Row],[Description]]="","",DATE(Table2[[#This Row],[Year]],Table2[[#This Row],[Month]],1))</f>
        <v/>
      </c>
    </row>
    <row r="6103" spans="7:11" x14ac:dyDescent="0.25">
      <c r="G6103" s="1" t="str">
        <f>IF(Table2[[#This Row],[Description]]="","",VLOOKUP(Table2[[#This Row],[Description]],$Q$1:$S$101,2,FALSE))</f>
        <v/>
      </c>
      <c r="H6103" s="1" t="str">
        <f>IF(Table2[[#This Row],[Description]]="","",VLOOKUP(Table2[[#This Row],[Description]],$Q$1:$S$101,3,FALSE))</f>
        <v/>
      </c>
      <c r="I6103" s="1" t="str">
        <f>IF(Table2[[#This Row],[Description]]="","",IF(Table2[[#This Row],[Currency]]=$O$2,$P$2,HLOOKUP(Table2[[#This Row],[Date]],Funds!$C$10:$GV$11,2,FALSE)))</f>
        <v/>
      </c>
      <c r="J6103" s="215" t="str">
        <f>IF(Table2[[#This Row],[Description]]="","",Table2[[#This Row],[Value]]/Table2[[#This Row],[Conversion]])</f>
        <v/>
      </c>
      <c r="K6103" s="45" t="str">
        <f>IF(Table2[[#This Row],[Description]]="","",DATE(Table2[[#This Row],[Year]],Table2[[#This Row],[Month]],1))</f>
        <v/>
      </c>
    </row>
    <row r="6104" spans="7:11" x14ac:dyDescent="0.25">
      <c r="G6104" s="1" t="str">
        <f>IF(Table2[[#This Row],[Description]]="","",VLOOKUP(Table2[[#This Row],[Description]],$Q$1:$S$101,2,FALSE))</f>
        <v/>
      </c>
      <c r="H6104" s="1" t="str">
        <f>IF(Table2[[#This Row],[Description]]="","",VLOOKUP(Table2[[#This Row],[Description]],$Q$1:$S$101,3,FALSE))</f>
        <v/>
      </c>
      <c r="I6104" s="1" t="str">
        <f>IF(Table2[[#This Row],[Description]]="","",IF(Table2[[#This Row],[Currency]]=$O$2,$P$2,HLOOKUP(Table2[[#This Row],[Date]],Funds!$C$10:$GV$11,2,FALSE)))</f>
        <v/>
      </c>
      <c r="J6104" s="215" t="str">
        <f>IF(Table2[[#This Row],[Description]]="","",Table2[[#This Row],[Value]]/Table2[[#This Row],[Conversion]])</f>
        <v/>
      </c>
      <c r="K6104" s="45" t="str">
        <f>IF(Table2[[#This Row],[Description]]="","",DATE(Table2[[#This Row],[Year]],Table2[[#This Row],[Month]],1))</f>
        <v/>
      </c>
    </row>
    <row r="6105" spans="7:11" x14ac:dyDescent="0.25">
      <c r="G6105" s="1" t="str">
        <f>IF(Table2[[#This Row],[Description]]="","",VLOOKUP(Table2[[#This Row],[Description]],$Q$1:$S$101,2,FALSE))</f>
        <v/>
      </c>
      <c r="H6105" s="1" t="str">
        <f>IF(Table2[[#This Row],[Description]]="","",VLOOKUP(Table2[[#This Row],[Description]],$Q$1:$S$101,3,FALSE))</f>
        <v/>
      </c>
      <c r="I6105" s="1" t="str">
        <f>IF(Table2[[#This Row],[Description]]="","",IF(Table2[[#This Row],[Currency]]=$O$2,$P$2,HLOOKUP(Table2[[#This Row],[Date]],Funds!$C$10:$GV$11,2,FALSE)))</f>
        <v/>
      </c>
      <c r="J6105" s="215" t="str">
        <f>IF(Table2[[#This Row],[Description]]="","",Table2[[#This Row],[Value]]/Table2[[#This Row],[Conversion]])</f>
        <v/>
      </c>
      <c r="K6105" s="45" t="str">
        <f>IF(Table2[[#This Row],[Description]]="","",DATE(Table2[[#This Row],[Year]],Table2[[#This Row],[Month]],1))</f>
        <v/>
      </c>
    </row>
    <row r="6106" spans="7:11" x14ac:dyDescent="0.25">
      <c r="G6106" s="1" t="str">
        <f>IF(Table2[[#This Row],[Description]]="","",VLOOKUP(Table2[[#This Row],[Description]],$Q$1:$S$101,2,FALSE))</f>
        <v/>
      </c>
      <c r="H6106" s="1" t="str">
        <f>IF(Table2[[#This Row],[Description]]="","",VLOOKUP(Table2[[#This Row],[Description]],$Q$1:$S$101,3,FALSE))</f>
        <v/>
      </c>
      <c r="I6106" s="1" t="str">
        <f>IF(Table2[[#This Row],[Description]]="","",IF(Table2[[#This Row],[Currency]]=$O$2,$P$2,HLOOKUP(Table2[[#This Row],[Date]],Funds!$C$10:$GV$11,2,FALSE)))</f>
        <v/>
      </c>
      <c r="J6106" s="215" t="str">
        <f>IF(Table2[[#This Row],[Description]]="","",Table2[[#This Row],[Value]]/Table2[[#This Row],[Conversion]])</f>
        <v/>
      </c>
      <c r="K6106" s="45" t="str">
        <f>IF(Table2[[#This Row],[Description]]="","",DATE(Table2[[#This Row],[Year]],Table2[[#This Row],[Month]],1))</f>
        <v/>
      </c>
    </row>
    <row r="6107" spans="7:11" x14ac:dyDescent="0.25">
      <c r="G6107" s="1" t="str">
        <f>IF(Table2[[#This Row],[Description]]="","",VLOOKUP(Table2[[#This Row],[Description]],$Q$1:$S$101,2,FALSE))</f>
        <v/>
      </c>
      <c r="H6107" s="1" t="str">
        <f>IF(Table2[[#This Row],[Description]]="","",VLOOKUP(Table2[[#This Row],[Description]],$Q$1:$S$101,3,FALSE))</f>
        <v/>
      </c>
      <c r="I6107" s="1" t="str">
        <f>IF(Table2[[#This Row],[Description]]="","",IF(Table2[[#This Row],[Currency]]=$O$2,$P$2,HLOOKUP(Table2[[#This Row],[Date]],Funds!$C$10:$GV$11,2,FALSE)))</f>
        <v/>
      </c>
      <c r="J6107" s="215" t="str">
        <f>IF(Table2[[#This Row],[Description]]="","",Table2[[#This Row],[Value]]/Table2[[#This Row],[Conversion]])</f>
        <v/>
      </c>
      <c r="K6107" s="45" t="str">
        <f>IF(Table2[[#This Row],[Description]]="","",DATE(Table2[[#This Row],[Year]],Table2[[#This Row],[Month]],1))</f>
        <v/>
      </c>
    </row>
    <row r="6108" spans="7:11" x14ac:dyDescent="0.25">
      <c r="G6108" s="1" t="str">
        <f>IF(Table2[[#This Row],[Description]]="","",VLOOKUP(Table2[[#This Row],[Description]],$Q$1:$S$101,2,FALSE))</f>
        <v/>
      </c>
      <c r="H6108" s="1" t="str">
        <f>IF(Table2[[#This Row],[Description]]="","",VLOOKUP(Table2[[#This Row],[Description]],$Q$1:$S$101,3,FALSE))</f>
        <v/>
      </c>
      <c r="I6108" s="1" t="str">
        <f>IF(Table2[[#This Row],[Description]]="","",IF(Table2[[#This Row],[Currency]]=$O$2,$P$2,HLOOKUP(Table2[[#This Row],[Date]],Funds!$C$10:$GV$11,2,FALSE)))</f>
        <v/>
      </c>
      <c r="J6108" s="215" t="str">
        <f>IF(Table2[[#This Row],[Description]]="","",Table2[[#This Row],[Value]]/Table2[[#This Row],[Conversion]])</f>
        <v/>
      </c>
      <c r="K6108" s="45" t="str">
        <f>IF(Table2[[#This Row],[Description]]="","",DATE(Table2[[#This Row],[Year]],Table2[[#This Row],[Month]],1))</f>
        <v/>
      </c>
    </row>
    <row r="6109" spans="7:11" x14ac:dyDescent="0.25">
      <c r="G6109" s="1" t="str">
        <f>IF(Table2[[#This Row],[Description]]="","",VLOOKUP(Table2[[#This Row],[Description]],$Q$1:$S$101,2,FALSE))</f>
        <v/>
      </c>
      <c r="H6109" s="1" t="str">
        <f>IF(Table2[[#This Row],[Description]]="","",VLOOKUP(Table2[[#This Row],[Description]],$Q$1:$S$101,3,FALSE))</f>
        <v/>
      </c>
      <c r="I6109" s="1" t="str">
        <f>IF(Table2[[#This Row],[Description]]="","",IF(Table2[[#This Row],[Currency]]=$O$2,$P$2,HLOOKUP(Table2[[#This Row],[Date]],Funds!$C$10:$GV$11,2,FALSE)))</f>
        <v/>
      </c>
      <c r="J6109" s="215" t="str">
        <f>IF(Table2[[#This Row],[Description]]="","",Table2[[#This Row],[Value]]/Table2[[#This Row],[Conversion]])</f>
        <v/>
      </c>
      <c r="K6109" s="45" t="str">
        <f>IF(Table2[[#This Row],[Description]]="","",DATE(Table2[[#This Row],[Year]],Table2[[#This Row],[Month]],1))</f>
        <v/>
      </c>
    </row>
    <row r="6110" spans="7:11" x14ac:dyDescent="0.25">
      <c r="G6110" s="1" t="str">
        <f>IF(Table2[[#This Row],[Description]]="","",VLOOKUP(Table2[[#This Row],[Description]],$Q$1:$S$101,2,FALSE))</f>
        <v/>
      </c>
      <c r="H6110" s="1" t="str">
        <f>IF(Table2[[#This Row],[Description]]="","",VLOOKUP(Table2[[#This Row],[Description]],$Q$1:$S$101,3,FALSE))</f>
        <v/>
      </c>
      <c r="I6110" s="1" t="str">
        <f>IF(Table2[[#This Row],[Description]]="","",IF(Table2[[#This Row],[Currency]]=$O$2,$P$2,HLOOKUP(Table2[[#This Row],[Date]],Funds!$C$10:$GV$11,2,FALSE)))</f>
        <v/>
      </c>
      <c r="J6110" s="215" t="str">
        <f>IF(Table2[[#This Row],[Description]]="","",Table2[[#This Row],[Value]]/Table2[[#This Row],[Conversion]])</f>
        <v/>
      </c>
      <c r="K6110" s="45" t="str">
        <f>IF(Table2[[#This Row],[Description]]="","",DATE(Table2[[#This Row],[Year]],Table2[[#This Row],[Month]],1))</f>
        <v/>
      </c>
    </row>
    <row r="6111" spans="7:11" x14ac:dyDescent="0.25">
      <c r="G6111" s="1" t="str">
        <f>IF(Table2[[#This Row],[Description]]="","",VLOOKUP(Table2[[#This Row],[Description]],$Q$1:$S$101,2,FALSE))</f>
        <v/>
      </c>
      <c r="H6111" s="1" t="str">
        <f>IF(Table2[[#This Row],[Description]]="","",VLOOKUP(Table2[[#This Row],[Description]],$Q$1:$S$101,3,FALSE))</f>
        <v/>
      </c>
      <c r="I6111" s="1" t="str">
        <f>IF(Table2[[#This Row],[Description]]="","",IF(Table2[[#This Row],[Currency]]=$O$2,$P$2,HLOOKUP(Table2[[#This Row],[Date]],Funds!$C$10:$GV$11,2,FALSE)))</f>
        <v/>
      </c>
      <c r="J6111" s="215" t="str">
        <f>IF(Table2[[#This Row],[Description]]="","",Table2[[#This Row],[Value]]/Table2[[#This Row],[Conversion]])</f>
        <v/>
      </c>
      <c r="K6111" s="45" t="str">
        <f>IF(Table2[[#This Row],[Description]]="","",DATE(Table2[[#This Row],[Year]],Table2[[#This Row],[Month]],1))</f>
        <v/>
      </c>
    </row>
    <row r="6112" spans="7:11" x14ac:dyDescent="0.25">
      <c r="G6112" s="1" t="str">
        <f>IF(Table2[[#This Row],[Description]]="","",VLOOKUP(Table2[[#This Row],[Description]],$Q$1:$S$101,2,FALSE))</f>
        <v/>
      </c>
      <c r="H6112" s="1" t="str">
        <f>IF(Table2[[#This Row],[Description]]="","",VLOOKUP(Table2[[#This Row],[Description]],$Q$1:$S$101,3,FALSE))</f>
        <v/>
      </c>
      <c r="I6112" s="1" t="str">
        <f>IF(Table2[[#This Row],[Description]]="","",IF(Table2[[#This Row],[Currency]]=$O$2,$P$2,HLOOKUP(Table2[[#This Row],[Date]],Funds!$C$10:$GV$11,2,FALSE)))</f>
        <v/>
      </c>
      <c r="J6112" s="215" t="str">
        <f>IF(Table2[[#This Row],[Description]]="","",Table2[[#This Row],[Value]]/Table2[[#This Row],[Conversion]])</f>
        <v/>
      </c>
      <c r="K6112" s="45" t="str">
        <f>IF(Table2[[#This Row],[Description]]="","",DATE(Table2[[#This Row],[Year]],Table2[[#This Row],[Month]],1))</f>
        <v/>
      </c>
    </row>
    <row r="6113" spans="7:11" x14ac:dyDescent="0.25">
      <c r="G6113" s="1" t="str">
        <f>IF(Table2[[#This Row],[Description]]="","",VLOOKUP(Table2[[#This Row],[Description]],$Q$1:$S$101,2,FALSE))</f>
        <v/>
      </c>
      <c r="H6113" s="1" t="str">
        <f>IF(Table2[[#This Row],[Description]]="","",VLOOKUP(Table2[[#This Row],[Description]],$Q$1:$S$101,3,FALSE))</f>
        <v/>
      </c>
      <c r="I6113" s="1" t="str">
        <f>IF(Table2[[#This Row],[Description]]="","",IF(Table2[[#This Row],[Currency]]=$O$2,$P$2,HLOOKUP(Table2[[#This Row],[Date]],Funds!$C$10:$GV$11,2,FALSE)))</f>
        <v/>
      </c>
      <c r="J6113" s="215" t="str">
        <f>IF(Table2[[#This Row],[Description]]="","",Table2[[#This Row],[Value]]/Table2[[#This Row],[Conversion]])</f>
        <v/>
      </c>
      <c r="K6113" s="45" t="str">
        <f>IF(Table2[[#This Row],[Description]]="","",DATE(Table2[[#This Row],[Year]],Table2[[#This Row],[Month]],1))</f>
        <v/>
      </c>
    </row>
    <row r="6114" spans="7:11" x14ac:dyDescent="0.25">
      <c r="G6114" s="1" t="str">
        <f>IF(Table2[[#This Row],[Description]]="","",VLOOKUP(Table2[[#This Row],[Description]],$Q$1:$S$101,2,FALSE))</f>
        <v/>
      </c>
      <c r="H6114" s="1" t="str">
        <f>IF(Table2[[#This Row],[Description]]="","",VLOOKUP(Table2[[#This Row],[Description]],$Q$1:$S$101,3,FALSE))</f>
        <v/>
      </c>
      <c r="I6114" s="1" t="str">
        <f>IF(Table2[[#This Row],[Description]]="","",IF(Table2[[#This Row],[Currency]]=$O$2,$P$2,HLOOKUP(Table2[[#This Row],[Date]],Funds!$C$10:$GV$11,2,FALSE)))</f>
        <v/>
      </c>
      <c r="J6114" s="215" t="str">
        <f>IF(Table2[[#This Row],[Description]]="","",Table2[[#This Row],[Value]]/Table2[[#This Row],[Conversion]])</f>
        <v/>
      </c>
      <c r="K6114" s="45" t="str">
        <f>IF(Table2[[#This Row],[Description]]="","",DATE(Table2[[#This Row],[Year]],Table2[[#This Row],[Month]],1))</f>
        <v/>
      </c>
    </row>
    <row r="6115" spans="7:11" x14ac:dyDescent="0.25">
      <c r="G6115" s="1" t="str">
        <f>IF(Table2[[#This Row],[Description]]="","",VLOOKUP(Table2[[#This Row],[Description]],$Q$1:$S$101,2,FALSE))</f>
        <v/>
      </c>
      <c r="H6115" s="1" t="str">
        <f>IF(Table2[[#This Row],[Description]]="","",VLOOKUP(Table2[[#This Row],[Description]],$Q$1:$S$101,3,FALSE))</f>
        <v/>
      </c>
      <c r="I6115" s="1" t="str">
        <f>IF(Table2[[#This Row],[Description]]="","",IF(Table2[[#This Row],[Currency]]=$O$2,$P$2,HLOOKUP(Table2[[#This Row],[Date]],Funds!$C$10:$GV$11,2,FALSE)))</f>
        <v/>
      </c>
      <c r="J6115" s="215" t="str">
        <f>IF(Table2[[#This Row],[Description]]="","",Table2[[#This Row],[Value]]/Table2[[#This Row],[Conversion]])</f>
        <v/>
      </c>
      <c r="K6115" s="45" t="str">
        <f>IF(Table2[[#This Row],[Description]]="","",DATE(Table2[[#This Row],[Year]],Table2[[#This Row],[Month]],1))</f>
        <v/>
      </c>
    </row>
    <row r="6116" spans="7:11" x14ac:dyDescent="0.25">
      <c r="G6116" s="1" t="str">
        <f>IF(Table2[[#This Row],[Description]]="","",VLOOKUP(Table2[[#This Row],[Description]],$Q$1:$S$101,2,FALSE))</f>
        <v/>
      </c>
      <c r="H6116" s="1" t="str">
        <f>IF(Table2[[#This Row],[Description]]="","",VLOOKUP(Table2[[#This Row],[Description]],$Q$1:$S$101,3,FALSE))</f>
        <v/>
      </c>
      <c r="I6116" s="1" t="str">
        <f>IF(Table2[[#This Row],[Description]]="","",IF(Table2[[#This Row],[Currency]]=$O$2,$P$2,HLOOKUP(Table2[[#This Row],[Date]],Funds!$C$10:$GV$11,2,FALSE)))</f>
        <v/>
      </c>
      <c r="J6116" s="215" t="str">
        <f>IF(Table2[[#This Row],[Description]]="","",Table2[[#This Row],[Value]]/Table2[[#This Row],[Conversion]])</f>
        <v/>
      </c>
      <c r="K6116" s="45" t="str">
        <f>IF(Table2[[#This Row],[Description]]="","",DATE(Table2[[#This Row],[Year]],Table2[[#This Row],[Month]],1))</f>
        <v/>
      </c>
    </row>
    <row r="6117" spans="7:11" x14ac:dyDescent="0.25">
      <c r="G6117" s="1" t="str">
        <f>IF(Table2[[#This Row],[Description]]="","",VLOOKUP(Table2[[#This Row],[Description]],$Q$1:$S$101,2,FALSE))</f>
        <v/>
      </c>
      <c r="H6117" s="1" t="str">
        <f>IF(Table2[[#This Row],[Description]]="","",VLOOKUP(Table2[[#This Row],[Description]],$Q$1:$S$101,3,FALSE))</f>
        <v/>
      </c>
      <c r="I6117" s="1" t="str">
        <f>IF(Table2[[#This Row],[Description]]="","",IF(Table2[[#This Row],[Currency]]=$O$2,$P$2,HLOOKUP(Table2[[#This Row],[Date]],Funds!$C$10:$GV$11,2,FALSE)))</f>
        <v/>
      </c>
      <c r="J6117" s="215" t="str">
        <f>IF(Table2[[#This Row],[Description]]="","",Table2[[#This Row],[Value]]/Table2[[#This Row],[Conversion]])</f>
        <v/>
      </c>
      <c r="K6117" s="45" t="str">
        <f>IF(Table2[[#This Row],[Description]]="","",DATE(Table2[[#This Row],[Year]],Table2[[#This Row],[Month]],1))</f>
        <v/>
      </c>
    </row>
    <row r="6118" spans="7:11" x14ac:dyDescent="0.25">
      <c r="G6118" s="1" t="str">
        <f>IF(Table2[[#This Row],[Description]]="","",VLOOKUP(Table2[[#This Row],[Description]],$Q$1:$S$101,2,FALSE))</f>
        <v/>
      </c>
      <c r="H6118" s="1" t="str">
        <f>IF(Table2[[#This Row],[Description]]="","",VLOOKUP(Table2[[#This Row],[Description]],$Q$1:$S$101,3,FALSE))</f>
        <v/>
      </c>
      <c r="I6118" s="1" t="str">
        <f>IF(Table2[[#This Row],[Description]]="","",IF(Table2[[#This Row],[Currency]]=$O$2,$P$2,HLOOKUP(Table2[[#This Row],[Date]],Funds!$C$10:$GV$11,2,FALSE)))</f>
        <v/>
      </c>
      <c r="J6118" s="215" t="str">
        <f>IF(Table2[[#This Row],[Description]]="","",Table2[[#This Row],[Value]]/Table2[[#This Row],[Conversion]])</f>
        <v/>
      </c>
      <c r="K6118" s="45" t="str">
        <f>IF(Table2[[#This Row],[Description]]="","",DATE(Table2[[#This Row],[Year]],Table2[[#This Row],[Month]],1))</f>
        <v/>
      </c>
    </row>
    <row r="6119" spans="7:11" x14ac:dyDescent="0.25">
      <c r="G6119" s="1" t="str">
        <f>IF(Table2[[#This Row],[Description]]="","",VLOOKUP(Table2[[#This Row],[Description]],$Q$1:$S$101,2,FALSE))</f>
        <v/>
      </c>
      <c r="H6119" s="1" t="str">
        <f>IF(Table2[[#This Row],[Description]]="","",VLOOKUP(Table2[[#This Row],[Description]],$Q$1:$S$101,3,FALSE))</f>
        <v/>
      </c>
      <c r="I6119" s="1" t="str">
        <f>IF(Table2[[#This Row],[Description]]="","",IF(Table2[[#This Row],[Currency]]=$O$2,$P$2,HLOOKUP(Table2[[#This Row],[Date]],Funds!$C$10:$GV$11,2,FALSE)))</f>
        <v/>
      </c>
      <c r="J6119" s="215" t="str">
        <f>IF(Table2[[#This Row],[Description]]="","",Table2[[#This Row],[Value]]/Table2[[#This Row],[Conversion]])</f>
        <v/>
      </c>
      <c r="K6119" s="45" t="str">
        <f>IF(Table2[[#This Row],[Description]]="","",DATE(Table2[[#This Row],[Year]],Table2[[#This Row],[Month]],1))</f>
        <v/>
      </c>
    </row>
    <row r="6120" spans="7:11" x14ac:dyDescent="0.25">
      <c r="G6120" s="1" t="str">
        <f>IF(Table2[[#This Row],[Description]]="","",VLOOKUP(Table2[[#This Row],[Description]],$Q$1:$S$101,2,FALSE))</f>
        <v/>
      </c>
      <c r="H6120" s="1" t="str">
        <f>IF(Table2[[#This Row],[Description]]="","",VLOOKUP(Table2[[#This Row],[Description]],$Q$1:$S$101,3,FALSE))</f>
        <v/>
      </c>
      <c r="I6120" s="1" t="str">
        <f>IF(Table2[[#This Row],[Description]]="","",IF(Table2[[#This Row],[Currency]]=$O$2,$P$2,HLOOKUP(Table2[[#This Row],[Date]],Funds!$C$10:$GV$11,2,FALSE)))</f>
        <v/>
      </c>
      <c r="J6120" s="215" t="str">
        <f>IF(Table2[[#This Row],[Description]]="","",Table2[[#This Row],[Value]]/Table2[[#This Row],[Conversion]])</f>
        <v/>
      </c>
      <c r="K6120" s="45" t="str">
        <f>IF(Table2[[#This Row],[Description]]="","",DATE(Table2[[#This Row],[Year]],Table2[[#This Row],[Month]],1))</f>
        <v/>
      </c>
    </row>
    <row r="6121" spans="7:11" x14ac:dyDescent="0.25">
      <c r="G6121" s="1" t="str">
        <f>IF(Table2[[#This Row],[Description]]="","",VLOOKUP(Table2[[#This Row],[Description]],$Q$1:$S$101,2,FALSE))</f>
        <v/>
      </c>
      <c r="H6121" s="1" t="str">
        <f>IF(Table2[[#This Row],[Description]]="","",VLOOKUP(Table2[[#This Row],[Description]],$Q$1:$S$101,3,FALSE))</f>
        <v/>
      </c>
      <c r="I6121" s="1" t="str">
        <f>IF(Table2[[#This Row],[Description]]="","",IF(Table2[[#This Row],[Currency]]=$O$2,$P$2,HLOOKUP(Table2[[#This Row],[Date]],Funds!$C$10:$GV$11,2,FALSE)))</f>
        <v/>
      </c>
      <c r="J6121" s="215" t="str">
        <f>IF(Table2[[#This Row],[Description]]="","",Table2[[#This Row],[Value]]/Table2[[#This Row],[Conversion]])</f>
        <v/>
      </c>
      <c r="K6121" s="45" t="str">
        <f>IF(Table2[[#This Row],[Description]]="","",DATE(Table2[[#This Row],[Year]],Table2[[#This Row],[Month]],1))</f>
        <v/>
      </c>
    </row>
    <row r="6122" spans="7:11" x14ac:dyDescent="0.25">
      <c r="G6122" s="1" t="str">
        <f>IF(Table2[[#This Row],[Description]]="","",VLOOKUP(Table2[[#This Row],[Description]],$Q$1:$S$101,2,FALSE))</f>
        <v/>
      </c>
      <c r="H6122" s="1" t="str">
        <f>IF(Table2[[#This Row],[Description]]="","",VLOOKUP(Table2[[#This Row],[Description]],$Q$1:$S$101,3,FALSE))</f>
        <v/>
      </c>
      <c r="I6122" s="1" t="str">
        <f>IF(Table2[[#This Row],[Description]]="","",IF(Table2[[#This Row],[Currency]]=$O$2,$P$2,HLOOKUP(Table2[[#This Row],[Date]],Funds!$C$10:$GV$11,2,FALSE)))</f>
        <v/>
      </c>
      <c r="J6122" s="215" t="str">
        <f>IF(Table2[[#This Row],[Description]]="","",Table2[[#This Row],[Value]]/Table2[[#This Row],[Conversion]])</f>
        <v/>
      </c>
      <c r="K6122" s="45" t="str">
        <f>IF(Table2[[#This Row],[Description]]="","",DATE(Table2[[#This Row],[Year]],Table2[[#This Row],[Month]],1))</f>
        <v/>
      </c>
    </row>
    <row r="6123" spans="7:11" x14ac:dyDescent="0.25">
      <c r="G6123" s="1" t="str">
        <f>IF(Table2[[#This Row],[Description]]="","",VLOOKUP(Table2[[#This Row],[Description]],$Q$1:$S$101,2,FALSE))</f>
        <v/>
      </c>
      <c r="H6123" s="1" t="str">
        <f>IF(Table2[[#This Row],[Description]]="","",VLOOKUP(Table2[[#This Row],[Description]],$Q$1:$S$101,3,FALSE))</f>
        <v/>
      </c>
      <c r="I6123" s="1" t="str">
        <f>IF(Table2[[#This Row],[Description]]="","",IF(Table2[[#This Row],[Currency]]=$O$2,$P$2,HLOOKUP(Table2[[#This Row],[Date]],Funds!$C$10:$GV$11,2,FALSE)))</f>
        <v/>
      </c>
      <c r="J6123" s="215" t="str">
        <f>IF(Table2[[#This Row],[Description]]="","",Table2[[#This Row],[Value]]/Table2[[#This Row],[Conversion]])</f>
        <v/>
      </c>
      <c r="K6123" s="45" t="str">
        <f>IF(Table2[[#This Row],[Description]]="","",DATE(Table2[[#This Row],[Year]],Table2[[#This Row],[Month]],1))</f>
        <v/>
      </c>
    </row>
    <row r="6124" spans="7:11" x14ac:dyDescent="0.25">
      <c r="G6124" s="1" t="str">
        <f>IF(Table2[[#This Row],[Description]]="","",VLOOKUP(Table2[[#This Row],[Description]],$Q$1:$S$101,2,FALSE))</f>
        <v/>
      </c>
      <c r="H6124" s="1" t="str">
        <f>IF(Table2[[#This Row],[Description]]="","",VLOOKUP(Table2[[#This Row],[Description]],$Q$1:$S$101,3,FALSE))</f>
        <v/>
      </c>
      <c r="I6124" s="1" t="str">
        <f>IF(Table2[[#This Row],[Description]]="","",IF(Table2[[#This Row],[Currency]]=$O$2,$P$2,HLOOKUP(Table2[[#This Row],[Date]],Funds!$C$10:$GV$11,2,FALSE)))</f>
        <v/>
      </c>
      <c r="J6124" s="215" t="str">
        <f>IF(Table2[[#This Row],[Description]]="","",Table2[[#This Row],[Value]]/Table2[[#This Row],[Conversion]])</f>
        <v/>
      </c>
      <c r="K6124" s="45" t="str">
        <f>IF(Table2[[#This Row],[Description]]="","",DATE(Table2[[#This Row],[Year]],Table2[[#This Row],[Month]],1))</f>
        <v/>
      </c>
    </row>
    <row r="6125" spans="7:11" x14ac:dyDescent="0.25">
      <c r="G6125" s="1" t="str">
        <f>IF(Table2[[#This Row],[Description]]="","",VLOOKUP(Table2[[#This Row],[Description]],$Q$1:$S$101,2,FALSE))</f>
        <v/>
      </c>
      <c r="H6125" s="1" t="str">
        <f>IF(Table2[[#This Row],[Description]]="","",VLOOKUP(Table2[[#This Row],[Description]],$Q$1:$S$101,3,FALSE))</f>
        <v/>
      </c>
      <c r="I6125" s="1" t="str">
        <f>IF(Table2[[#This Row],[Description]]="","",IF(Table2[[#This Row],[Currency]]=$O$2,$P$2,HLOOKUP(Table2[[#This Row],[Date]],Funds!$C$10:$GV$11,2,FALSE)))</f>
        <v/>
      </c>
      <c r="J6125" s="215" t="str">
        <f>IF(Table2[[#This Row],[Description]]="","",Table2[[#This Row],[Value]]/Table2[[#This Row],[Conversion]])</f>
        <v/>
      </c>
      <c r="K6125" s="45" t="str">
        <f>IF(Table2[[#This Row],[Description]]="","",DATE(Table2[[#This Row],[Year]],Table2[[#This Row],[Month]],1))</f>
        <v/>
      </c>
    </row>
    <row r="6126" spans="7:11" x14ac:dyDescent="0.25">
      <c r="G6126" s="1" t="str">
        <f>IF(Table2[[#This Row],[Description]]="","",VLOOKUP(Table2[[#This Row],[Description]],$Q$1:$S$101,2,FALSE))</f>
        <v/>
      </c>
      <c r="H6126" s="1" t="str">
        <f>IF(Table2[[#This Row],[Description]]="","",VLOOKUP(Table2[[#This Row],[Description]],$Q$1:$S$101,3,FALSE))</f>
        <v/>
      </c>
      <c r="I6126" s="1" t="str">
        <f>IF(Table2[[#This Row],[Description]]="","",IF(Table2[[#This Row],[Currency]]=$O$2,$P$2,HLOOKUP(Table2[[#This Row],[Date]],Funds!$C$10:$GV$11,2,FALSE)))</f>
        <v/>
      </c>
      <c r="J6126" s="215" t="str">
        <f>IF(Table2[[#This Row],[Description]]="","",Table2[[#This Row],[Value]]/Table2[[#This Row],[Conversion]])</f>
        <v/>
      </c>
      <c r="K6126" s="45" t="str">
        <f>IF(Table2[[#This Row],[Description]]="","",DATE(Table2[[#This Row],[Year]],Table2[[#This Row],[Month]],1))</f>
        <v/>
      </c>
    </row>
    <row r="6127" spans="7:11" x14ac:dyDescent="0.25">
      <c r="G6127" s="1" t="str">
        <f>IF(Table2[[#This Row],[Description]]="","",VLOOKUP(Table2[[#This Row],[Description]],$Q$1:$S$101,2,FALSE))</f>
        <v/>
      </c>
      <c r="H6127" s="1" t="str">
        <f>IF(Table2[[#This Row],[Description]]="","",VLOOKUP(Table2[[#This Row],[Description]],$Q$1:$S$101,3,FALSE))</f>
        <v/>
      </c>
      <c r="I6127" s="1" t="str">
        <f>IF(Table2[[#This Row],[Description]]="","",IF(Table2[[#This Row],[Currency]]=$O$2,$P$2,HLOOKUP(Table2[[#This Row],[Date]],Funds!$C$10:$GV$11,2,FALSE)))</f>
        <v/>
      </c>
      <c r="J6127" s="215" t="str">
        <f>IF(Table2[[#This Row],[Description]]="","",Table2[[#This Row],[Value]]/Table2[[#This Row],[Conversion]])</f>
        <v/>
      </c>
      <c r="K6127" s="45" t="str">
        <f>IF(Table2[[#This Row],[Description]]="","",DATE(Table2[[#This Row],[Year]],Table2[[#This Row],[Month]],1))</f>
        <v/>
      </c>
    </row>
    <row r="6128" spans="7:11" x14ac:dyDescent="0.25">
      <c r="G6128" s="1" t="str">
        <f>IF(Table2[[#This Row],[Description]]="","",VLOOKUP(Table2[[#This Row],[Description]],$Q$1:$S$101,2,FALSE))</f>
        <v/>
      </c>
      <c r="H6128" s="1" t="str">
        <f>IF(Table2[[#This Row],[Description]]="","",VLOOKUP(Table2[[#This Row],[Description]],$Q$1:$S$101,3,FALSE))</f>
        <v/>
      </c>
      <c r="I6128" s="1" t="str">
        <f>IF(Table2[[#This Row],[Description]]="","",IF(Table2[[#This Row],[Currency]]=$O$2,$P$2,HLOOKUP(Table2[[#This Row],[Date]],Funds!$C$10:$GV$11,2,FALSE)))</f>
        <v/>
      </c>
      <c r="J6128" s="215" t="str">
        <f>IF(Table2[[#This Row],[Description]]="","",Table2[[#This Row],[Value]]/Table2[[#This Row],[Conversion]])</f>
        <v/>
      </c>
      <c r="K6128" s="45" t="str">
        <f>IF(Table2[[#This Row],[Description]]="","",DATE(Table2[[#This Row],[Year]],Table2[[#This Row],[Month]],1))</f>
        <v/>
      </c>
    </row>
    <row r="6129" spans="7:11" x14ac:dyDescent="0.25">
      <c r="G6129" s="1" t="str">
        <f>IF(Table2[[#This Row],[Description]]="","",VLOOKUP(Table2[[#This Row],[Description]],$Q$1:$S$101,2,FALSE))</f>
        <v/>
      </c>
      <c r="H6129" s="1" t="str">
        <f>IF(Table2[[#This Row],[Description]]="","",VLOOKUP(Table2[[#This Row],[Description]],$Q$1:$S$101,3,FALSE))</f>
        <v/>
      </c>
      <c r="I6129" s="1" t="str">
        <f>IF(Table2[[#This Row],[Description]]="","",IF(Table2[[#This Row],[Currency]]=$O$2,$P$2,HLOOKUP(Table2[[#This Row],[Date]],Funds!$C$10:$GV$11,2,FALSE)))</f>
        <v/>
      </c>
      <c r="J6129" s="215" t="str">
        <f>IF(Table2[[#This Row],[Description]]="","",Table2[[#This Row],[Value]]/Table2[[#This Row],[Conversion]])</f>
        <v/>
      </c>
      <c r="K6129" s="45" t="str">
        <f>IF(Table2[[#This Row],[Description]]="","",DATE(Table2[[#This Row],[Year]],Table2[[#This Row],[Month]],1))</f>
        <v/>
      </c>
    </row>
    <row r="6130" spans="7:11" x14ac:dyDescent="0.25">
      <c r="G6130" s="1" t="str">
        <f>IF(Table2[[#This Row],[Description]]="","",VLOOKUP(Table2[[#This Row],[Description]],$Q$1:$S$101,2,FALSE))</f>
        <v/>
      </c>
      <c r="H6130" s="1" t="str">
        <f>IF(Table2[[#This Row],[Description]]="","",VLOOKUP(Table2[[#This Row],[Description]],$Q$1:$S$101,3,FALSE))</f>
        <v/>
      </c>
      <c r="I6130" s="1" t="str">
        <f>IF(Table2[[#This Row],[Description]]="","",IF(Table2[[#This Row],[Currency]]=$O$2,$P$2,HLOOKUP(Table2[[#This Row],[Date]],Funds!$C$10:$GV$11,2,FALSE)))</f>
        <v/>
      </c>
      <c r="J6130" s="215" t="str">
        <f>IF(Table2[[#This Row],[Description]]="","",Table2[[#This Row],[Value]]/Table2[[#This Row],[Conversion]])</f>
        <v/>
      </c>
      <c r="K6130" s="45" t="str">
        <f>IF(Table2[[#This Row],[Description]]="","",DATE(Table2[[#This Row],[Year]],Table2[[#This Row],[Month]],1))</f>
        <v/>
      </c>
    </row>
    <row r="6131" spans="7:11" x14ac:dyDescent="0.25">
      <c r="G6131" s="1" t="str">
        <f>IF(Table2[[#This Row],[Description]]="","",VLOOKUP(Table2[[#This Row],[Description]],$Q$1:$S$101,2,FALSE))</f>
        <v/>
      </c>
      <c r="H6131" s="1" t="str">
        <f>IF(Table2[[#This Row],[Description]]="","",VLOOKUP(Table2[[#This Row],[Description]],$Q$1:$S$101,3,FALSE))</f>
        <v/>
      </c>
      <c r="I6131" s="1" t="str">
        <f>IF(Table2[[#This Row],[Description]]="","",IF(Table2[[#This Row],[Currency]]=$O$2,$P$2,HLOOKUP(Table2[[#This Row],[Date]],Funds!$C$10:$GV$11,2,FALSE)))</f>
        <v/>
      </c>
      <c r="J6131" s="215" t="str">
        <f>IF(Table2[[#This Row],[Description]]="","",Table2[[#This Row],[Value]]/Table2[[#This Row],[Conversion]])</f>
        <v/>
      </c>
      <c r="K6131" s="45" t="str">
        <f>IF(Table2[[#This Row],[Description]]="","",DATE(Table2[[#This Row],[Year]],Table2[[#This Row],[Month]],1))</f>
        <v/>
      </c>
    </row>
    <row r="6132" spans="7:11" x14ac:dyDescent="0.25">
      <c r="G6132" s="1" t="str">
        <f>IF(Table2[[#This Row],[Description]]="","",VLOOKUP(Table2[[#This Row],[Description]],$Q$1:$S$101,2,FALSE))</f>
        <v/>
      </c>
      <c r="H6132" s="1" t="str">
        <f>IF(Table2[[#This Row],[Description]]="","",VLOOKUP(Table2[[#This Row],[Description]],$Q$1:$S$101,3,FALSE))</f>
        <v/>
      </c>
      <c r="I6132" s="1" t="str">
        <f>IF(Table2[[#This Row],[Description]]="","",IF(Table2[[#This Row],[Currency]]=$O$2,$P$2,HLOOKUP(Table2[[#This Row],[Date]],Funds!$C$10:$GV$11,2,FALSE)))</f>
        <v/>
      </c>
      <c r="J6132" s="215" t="str">
        <f>IF(Table2[[#This Row],[Description]]="","",Table2[[#This Row],[Value]]/Table2[[#This Row],[Conversion]])</f>
        <v/>
      </c>
      <c r="K6132" s="45" t="str">
        <f>IF(Table2[[#This Row],[Description]]="","",DATE(Table2[[#This Row],[Year]],Table2[[#This Row],[Month]],1))</f>
        <v/>
      </c>
    </row>
    <row r="6133" spans="7:11" x14ac:dyDescent="0.25">
      <c r="G6133" s="1" t="str">
        <f>IF(Table2[[#This Row],[Description]]="","",VLOOKUP(Table2[[#This Row],[Description]],$Q$1:$S$101,2,FALSE))</f>
        <v/>
      </c>
      <c r="H6133" s="1" t="str">
        <f>IF(Table2[[#This Row],[Description]]="","",VLOOKUP(Table2[[#This Row],[Description]],$Q$1:$S$101,3,FALSE))</f>
        <v/>
      </c>
      <c r="I6133" s="1" t="str">
        <f>IF(Table2[[#This Row],[Description]]="","",IF(Table2[[#This Row],[Currency]]=$O$2,$P$2,HLOOKUP(Table2[[#This Row],[Date]],Funds!$C$10:$GV$11,2,FALSE)))</f>
        <v/>
      </c>
      <c r="J6133" s="215" t="str">
        <f>IF(Table2[[#This Row],[Description]]="","",Table2[[#This Row],[Value]]/Table2[[#This Row],[Conversion]])</f>
        <v/>
      </c>
      <c r="K6133" s="45" t="str">
        <f>IF(Table2[[#This Row],[Description]]="","",DATE(Table2[[#This Row],[Year]],Table2[[#This Row],[Month]],1))</f>
        <v/>
      </c>
    </row>
    <row r="6134" spans="7:11" x14ac:dyDescent="0.25">
      <c r="G6134" s="1" t="str">
        <f>IF(Table2[[#This Row],[Description]]="","",VLOOKUP(Table2[[#This Row],[Description]],$Q$1:$S$101,2,FALSE))</f>
        <v/>
      </c>
      <c r="H6134" s="1" t="str">
        <f>IF(Table2[[#This Row],[Description]]="","",VLOOKUP(Table2[[#This Row],[Description]],$Q$1:$S$101,3,FALSE))</f>
        <v/>
      </c>
      <c r="I6134" s="1" t="str">
        <f>IF(Table2[[#This Row],[Description]]="","",IF(Table2[[#This Row],[Currency]]=$O$2,$P$2,HLOOKUP(Table2[[#This Row],[Date]],Funds!$C$10:$GV$11,2,FALSE)))</f>
        <v/>
      </c>
      <c r="J6134" s="215" t="str">
        <f>IF(Table2[[#This Row],[Description]]="","",Table2[[#This Row],[Value]]/Table2[[#This Row],[Conversion]])</f>
        <v/>
      </c>
      <c r="K6134" s="45" t="str">
        <f>IF(Table2[[#This Row],[Description]]="","",DATE(Table2[[#This Row],[Year]],Table2[[#This Row],[Month]],1))</f>
        <v/>
      </c>
    </row>
    <row r="6135" spans="7:11" x14ac:dyDescent="0.25">
      <c r="G6135" s="1" t="str">
        <f>IF(Table2[[#This Row],[Description]]="","",VLOOKUP(Table2[[#This Row],[Description]],$Q$1:$S$101,2,FALSE))</f>
        <v/>
      </c>
      <c r="H6135" s="1" t="str">
        <f>IF(Table2[[#This Row],[Description]]="","",VLOOKUP(Table2[[#This Row],[Description]],$Q$1:$S$101,3,FALSE))</f>
        <v/>
      </c>
      <c r="I6135" s="1" t="str">
        <f>IF(Table2[[#This Row],[Description]]="","",IF(Table2[[#This Row],[Currency]]=$O$2,$P$2,HLOOKUP(Table2[[#This Row],[Date]],Funds!$C$10:$GV$11,2,FALSE)))</f>
        <v/>
      </c>
      <c r="J6135" s="215" t="str">
        <f>IF(Table2[[#This Row],[Description]]="","",Table2[[#This Row],[Value]]/Table2[[#This Row],[Conversion]])</f>
        <v/>
      </c>
      <c r="K6135" s="45" t="str">
        <f>IF(Table2[[#This Row],[Description]]="","",DATE(Table2[[#This Row],[Year]],Table2[[#This Row],[Month]],1))</f>
        <v/>
      </c>
    </row>
    <row r="6136" spans="7:11" x14ac:dyDescent="0.25">
      <c r="G6136" s="1" t="str">
        <f>IF(Table2[[#This Row],[Description]]="","",VLOOKUP(Table2[[#This Row],[Description]],$Q$1:$S$101,2,FALSE))</f>
        <v/>
      </c>
      <c r="H6136" s="1" t="str">
        <f>IF(Table2[[#This Row],[Description]]="","",VLOOKUP(Table2[[#This Row],[Description]],$Q$1:$S$101,3,FALSE))</f>
        <v/>
      </c>
      <c r="I6136" s="1" t="str">
        <f>IF(Table2[[#This Row],[Description]]="","",IF(Table2[[#This Row],[Currency]]=$O$2,$P$2,HLOOKUP(Table2[[#This Row],[Date]],Funds!$C$10:$GV$11,2,FALSE)))</f>
        <v/>
      </c>
      <c r="J6136" s="215" t="str">
        <f>IF(Table2[[#This Row],[Description]]="","",Table2[[#This Row],[Value]]/Table2[[#This Row],[Conversion]])</f>
        <v/>
      </c>
      <c r="K6136" s="45" t="str">
        <f>IF(Table2[[#This Row],[Description]]="","",DATE(Table2[[#This Row],[Year]],Table2[[#This Row],[Month]],1))</f>
        <v/>
      </c>
    </row>
    <row r="6137" spans="7:11" x14ac:dyDescent="0.25">
      <c r="G6137" s="1" t="str">
        <f>IF(Table2[[#This Row],[Description]]="","",VLOOKUP(Table2[[#This Row],[Description]],$Q$1:$S$101,2,FALSE))</f>
        <v/>
      </c>
      <c r="H6137" s="1" t="str">
        <f>IF(Table2[[#This Row],[Description]]="","",VLOOKUP(Table2[[#This Row],[Description]],$Q$1:$S$101,3,FALSE))</f>
        <v/>
      </c>
      <c r="I6137" s="1" t="str">
        <f>IF(Table2[[#This Row],[Description]]="","",IF(Table2[[#This Row],[Currency]]=$O$2,$P$2,HLOOKUP(Table2[[#This Row],[Date]],Funds!$C$10:$GV$11,2,FALSE)))</f>
        <v/>
      </c>
      <c r="J6137" s="215" t="str">
        <f>IF(Table2[[#This Row],[Description]]="","",Table2[[#This Row],[Value]]/Table2[[#This Row],[Conversion]])</f>
        <v/>
      </c>
      <c r="K6137" s="45" t="str">
        <f>IF(Table2[[#This Row],[Description]]="","",DATE(Table2[[#This Row],[Year]],Table2[[#This Row],[Month]],1))</f>
        <v/>
      </c>
    </row>
    <row r="6138" spans="7:11" x14ac:dyDescent="0.25">
      <c r="G6138" s="1" t="str">
        <f>IF(Table2[[#This Row],[Description]]="","",VLOOKUP(Table2[[#This Row],[Description]],$Q$1:$S$101,2,FALSE))</f>
        <v/>
      </c>
      <c r="H6138" s="1" t="str">
        <f>IF(Table2[[#This Row],[Description]]="","",VLOOKUP(Table2[[#This Row],[Description]],$Q$1:$S$101,3,FALSE))</f>
        <v/>
      </c>
      <c r="I6138" s="1" t="str">
        <f>IF(Table2[[#This Row],[Description]]="","",IF(Table2[[#This Row],[Currency]]=$O$2,$P$2,HLOOKUP(Table2[[#This Row],[Date]],Funds!$C$10:$GV$11,2,FALSE)))</f>
        <v/>
      </c>
      <c r="J6138" s="215" t="str">
        <f>IF(Table2[[#This Row],[Description]]="","",Table2[[#This Row],[Value]]/Table2[[#This Row],[Conversion]])</f>
        <v/>
      </c>
      <c r="K6138" s="45" t="str">
        <f>IF(Table2[[#This Row],[Description]]="","",DATE(Table2[[#This Row],[Year]],Table2[[#This Row],[Month]],1))</f>
        <v/>
      </c>
    </row>
    <row r="6139" spans="7:11" x14ac:dyDescent="0.25">
      <c r="G6139" s="1" t="str">
        <f>IF(Table2[[#This Row],[Description]]="","",VLOOKUP(Table2[[#This Row],[Description]],$Q$1:$S$101,2,FALSE))</f>
        <v/>
      </c>
      <c r="H6139" s="1" t="str">
        <f>IF(Table2[[#This Row],[Description]]="","",VLOOKUP(Table2[[#This Row],[Description]],$Q$1:$S$101,3,FALSE))</f>
        <v/>
      </c>
      <c r="I6139" s="1" t="str">
        <f>IF(Table2[[#This Row],[Description]]="","",IF(Table2[[#This Row],[Currency]]=$O$2,$P$2,HLOOKUP(Table2[[#This Row],[Date]],Funds!$C$10:$GV$11,2,FALSE)))</f>
        <v/>
      </c>
      <c r="J6139" s="215" t="str">
        <f>IF(Table2[[#This Row],[Description]]="","",Table2[[#This Row],[Value]]/Table2[[#This Row],[Conversion]])</f>
        <v/>
      </c>
      <c r="K6139" s="45" t="str">
        <f>IF(Table2[[#This Row],[Description]]="","",DATE(Table2[[#This Row],[Year]],Table2[[#This Row],[Month]],1))</f>
        <v/>
      </c>
    </row>
    <row r="6140" spans="7:11" x14ac:dyDescent="0.25">
      <c r="G6140" s="1" t="str">
        <f>IF(Table2[[#This Row],[Description]]="","",VLOOKUP(Table2[[#This Row],[Description]],$Q$1:$S$101,2,FALSE))</f>
        <v/>
      </c>
      <c r="H6140" s="1" t="str">
        <f>IF(Table2[[#This Row],[Description]]="","",VLOOKUP(Table2[[#This Row],[Description]],$Q$1:$S$101,3,FALSE))</f>
        <v/>
      </c>
      <c r="I6140" s="1" t="str">
        <f>IF(Table2[[#This Row],[Description]]="","",IF(Table2[[#This Row],[Currency]]=$O$2,$P$2,HLOOKUP(Table2[[#This Row],[Date]],Funds!$C$10:$GV$11,2,FALSE)))</f>
        <v/>
      </c>
      <c r="J6140" s="215" t="str">
        <f>IF(Table2[[#This Row],[Description]]="","",Table2[[#This Row],[Value]]/Table2[[#This Row],[Conversion]])</f>
        <v/>
      </c>
      <c r="K6140" s="45" t="str">
        <f>IF(Table2[[#This Row],[Description]]="","",DATE(Table2[[#This Row],[Year]],Table2[[#This Row],[Month]],1))</f>
        <v/>
      </c>
    </row>
    <row r="6141" spans="7:11" x14ac:dyDescent="0.25">
      <c r="G6141" s="1" t="str">
        <f>IF(Table2[[#This Row],[Description]]="","",VLOOKUP(Table2[[#This Row],[Description]],$Q$1:$S$101,2,FALSE))</f>
        <v/>
      </c>
      <c r="H6141" s="1" t="str">
        <f>IF(Table2[[#This Row],[Description]]="","",VLOOKUP(Table2[[#This Row],[Description]],$Q$1:$S$101,3,FALSE))</f>
        <v/>
      </c>
      <c r="I6141" s="1" t="str">
        <f>IF(Table2[[#This Row],[Description]]="","",IF(Table2[[#This Row],[Currency]]=$O$2,$P$2,HLOOKUP(Table2[[#This Row],[Date]],Funds!$C$10:$GV$11,2,FALSE)))</f>
        <v/>
      </c>
      <c r="J6141" s="215" t="str">
        <f>IF(Table2[[#This Row],[Description]]="","",Table2[[#This Row],[Value]]/Table2[[#This Row],[Conversion]])</f>
        <v/>
      </c>
      <c r="K6141" s="45" t="str">
        <f>IF(Table2[[#This Row],[Description]]="","",DATE(Table2[[#This Row],[Year]],Table2[[#This Row],[Month]],1))</f>
        <v/>
      </c>
    </row>
    <row r="6142" spans="7:11" x14ac:dyDescent="0.25">
      <c r="G6142" s="1" t="str">
        <f>IF(Table2[[#This Row],[Description]]="","",VLOOKUP(Table2[[#This Row],[Description]],$Q$1:$S$101,2,FALSE))</f>
        <v/>
      </c>
      <c r="H6142" s="1" t="str">
        <f>IF(Table2[[#This Row],[Description]]="","",VLOOKUP(Table2[[#This Row],[Description]],$Q$1:$S$101,3,FALSE))</f>
        <v/>
      </c>
      <c r="I6142" s="1" t="str">
        <f>IF(Table2[[#This Row],[Description]]="","",IF(Table2[[#This Row],[Currency]]=$O$2,$P$2,HLOOKUP(Table2[[#This Row],[Date]],Funds!$C$10:$GV$11,2,FALSE)))</f>
        <v/>
      </c>
      <c r="J6142" s="215" t="str">
        <f>IF(Table2[[#This Row],[Description]]="","",Table2[[#This Row],[Value]]/Table2[[#This Row],[Conversion]])</f>
        <v/>
      </c>
      <c r="K6142" s="45" t="str">
        <f>IF(Table2[[#This Row],[Description]]="","",DATE(Table2[[#This Row],[Year]],Table2[[#This Row],[Month]],1))</f>
        <v/>
      </c>
    </row>
    <row r="6143" spans="7:11" x14ac:dyDescent="0.25">
      <c r="G6143" s="1" t="str">
        <f>IF(Table2[[#This Row],[Description]]="","",VLOOKUP(Table2[[#This Row],[Description]],$Q$1:$S$101,2,FALSE))</f>
        <v/>
      </c>
      <c r="H6143" s="1" t="str">
        <f>IF(Table2[[#This Row],[Description]]="","",VLOOKUP(Table2[[#This Row],[Description]],$Q$1:$S$101,3,FALSE))</f>
        <v/>
      </c>
      <c r="I6143" s="1" t="str">
        <f>IF(Table2[[#This Row],[Description]]="","",IF(Table2[[#This Row],[Currency]]=$O$2,$P$2,HLOOKUP(Table2[[#This Row],[Date]],Funds!$C$10:$GV$11,2,FALSE)))</f>
        <v/>
      </c>
      <c r="J6143" s="215" t="str">
        <f>IF(Table2[[#This Row],[Description]]="","",Table2[[#This Row],[Value]]/Table2[[#This Row],[Conversion]])</f>
        <v/>
      </c>
      <c r="K6143" s="45" t="str">
        <f>IF(Table2[[#This Row],[Description]]="","",DATE(Table2[[#This Row],[Year]],Table2[[#This Row],[Month]],1))</f>
        <v/>
      </c>
    </row>
    <row r="6144" spans="7:11" x14ac:dyDescent="0.25">
      <c r="G6144" s="1" t="str">
        <f>IF(Table2[[#This Row],[Description]]="","",VLOOKUP(Table2[[#This Row],[Description]],$Q$1:$S$101,2,FALSE))</f>
        <v/>
      </c>
      <c r="H6144" s="1" t="str">
        <f>IF(Table2[[#This Row],[Description]]="","",VLOOKUP(Table2[[#This Row],[Description]],$Q$1:$S$101,3,FALSE))</f>
        <v/>
      </c>
      <c r="I6144" s="1" t="str">
        <f>IF(Table2[[#This Row],[Description]]="","",IF(Table2[[#This Row],[Currency]]=$O$2,$P$2,HLOOKUP(Table2[[#This Row],[Date]],Funds!$C$10:$GV$11,2,FALSE)))</f>
        <v/>
      </c>
      <c r="J6144" s="215" t="str">
        <f>IF(Table2[[#This Row],[Description]]="","",Table2[[#This Row],[Value]]/Table2[[#This Row],[Conversion]])</f>
        <v/>
      </c>
      <c r="K6144" s="45" t="str">
        <f>IF(Table2[[#This Row],[Description]]="","",DATE(Table2[[#This Row],[Year]],Table2[[#This Row],[Month]],1))</f>
        <v/>
      </c>
    </row>
    <row r="6145" spans="7:11" x14ac:dyDescent="0.25">
      <c r="G6145" s="1" t="str">
        <f>IF(Table2[[#This Row],[Description]]="","",VLOOKUP(Table2[[#This Row],[Description]],$Q$1:$S$101,2,FALSE))</f>
        <v/>
      </c>
      <c r="H6145" s="1" t="str">
        <f>IF(Table2[[#This Row],[Description]]="","",VLOOKUP(Table2[[#This Row],[Description]],$Q$1:$S$101,3,FALSE))</f>
        <v/>
      </c>
      <c r="I6145" s="1" t="str">
        <f>IF(Table2[[#This Row],[Description]]="","",IF(Table2[[#This Row],[Currency]]=$O$2,$P$2,HLOOKUP(Table2[[#This Row],[Date]],Funds!$C$10:$GV$11,2,FALSE)))</f>
        <v/>
      </c>
      <c r="J6145" s="215" t="str">
        <f>IF(Table2[[#This Row],[Description]]="","",Table2[[#This Row],[Value]]/Table2[[#This Row],[Conversion]])</f>
        <v/>
      </c>
      <c r="K6145" s="45" t="str">
        <f>IF(Table2[[#This Row],[Description]]="","",DATE(Table2[[#This Row],[Year]],Table2[[#This Row],[Month]],1))</f>
        <v/>
      </c>
    </row>
    <row r="6146" spans="7:11" x14ac:dyDescent="0.25">
      <c r="G6146" s="1" t="str">
        <f>IF(Table2[[#This Row],[Description]]="","",VLOOKUP(Table2[[#This Row],[Description]],$Q$1:$S$101,2,FALSE))</f>
        <v/>
      </c>
      <c r="H6146" s="1" t="str">
        <f>IF(Table2[[#This Row],[Description]]="","",VLOOKUP(Table2[[#This Row],[Description]],$Q$1:$S$101,3,FALSE))</f>
        <v/>
      </c>
      <c r="I6146" s="1" t="str">
        <f>IF(Table2[[#This Row],[Description]]="","",IF(Table2[[#This Row],[Currency]]=$O$2,$P$2,HLOOKUP(Table2[[#This Row],[Date]],Funds!$C$10:$GV$11,2,FALSE)))</f>
        <v/>
      </c>
      <c r="J6146" s="215" t="str">
        <f>IF(Table2[[#This Row],[Description]]="","",Table2[[#This Row],[Value]]/Table2[[#This Row],[Conversion]])</f>
        <v/>
      </c>
      <c r="K6146" s="45" t="str">
        <f>IF(Table2[[#This Row],[Description]]="","",DATE(Table2[[#This Row],[Year]],Table2[[#This Row],[Month]],1))</f>
        <v/>
      </c>
    </row>
    <row r="6147" spans="7:11" x14ac:dyDescent="0.25">
      <c r="G6147" s="1" t="str">
        <f>IF(Table2[[#This Row],[Description]]="","",VLOOKUP(Table2[[#This Row],[Description]],$Q$1:$S$101,2,FALSE))</f>
        <v/>
      </c>
      <c r="H6147" s="1" t="str">
        <f>IF(Table2[[#This Row],[Description]]="","",VLOOKUP(Table2[[#This Row],[Description]],$Q$1:$S$101,3,FALSE))</f>
        <v/>
      </c>
      <c r="I6147" s="1" t="str">
        <f>IF(Table2[[#This Row],[Description]]="","",IF(Table2[[#This Row],[Currency]]=$O$2,$P$2,HLOOKUP(Table2[[#This Row],[Date]],Funds!$C$10:$GV$11,2,FALSE)))</f>
        <v/>
      </c>
      <c r="J6147" s="215" t="str">
        <f>IF(Table2[[#This Row],[Description]]="","",Table2[[#This Row],[Value]]/Table2[[#This Row],[Conversion]])</f>
        <v/>
      </c>
      <c r="K6147" s="45" t="str">
        <f>IF(Table2[[#This Row],[Description]]="","",DATE(Table2[[#This Row],[Year]],Table2[[#This Row],[Month]],1))</f>
        <v/>
      </c>
    </row>
    <row r="6148" spans="7:11" x14ac:dyDescent="0.25">
      <c r="G6148" s="1" t="str">
        <f>IF(Table2[[#This Row],[Description]]="","",VLOOKUP(Table2[[#This Row],[Description]],$Q$1:$S$101,2,FALSE))</f>
        <v/>
      </c>
      <c r="H6148" s="1" t="str">
        <f>IF(Table2[[#This Row],[Description]]="","",VLOOKUP(Table2[[#This Row],[Description]],$Q$1:$S$101,3,FALSE))</f>
        <v/>
      </c>
      <c r="I6148" s="1" t="str">
        <f>IF(Table2[[#This Row],[Description]]="","",IF(Table2[[#This Row],[Currency]]=$O$2,$P$2,HLOOKUP(Table2[[#This Row],[Date]],Funds!$C$10:$GV$11,2,FALSE)))</f>
        <v/>
      </c>
      <c r="J6148" s="215" t="str">
        <f>IF(Table2[[#This Row],[Description]]="","",Table2[[#This Row],[Value]]/Table2[[#This Row],[Conversion]])</f>
        <v/>
      </c>
      <c r="K6148" s="45" t="str">
        <f>IF(Table2[[#This Row],[Description]]="","",DATE(Table2[[#This Row],[Year]],Table2[[#This Row],[Month]],1))</f>
        <v/>
      </c>
    </row>
    <row r="6149" spans="7:11" x14ac:dyDescent="0.25">
      <c r="G6149" s="1" t="str">
        <f>IF(Table2[[#This Row],[Description]]="","",VLOOKUP(Table2[[#This Row],[Description]],$Q$1:$S$101,2,FALSE))</f>
        <v/>
      </c>
      <c r="H6149" s="1" t="str">
        <f>IF(Table2[[#This Row],[Description]]="","",VLOOKUP(Table2[[#This Row],[Description]],$Q$1:$S$101,3,FALSE))</f>
        <v/>
      </c>
      <c r="I6149" s="1" t="str">
        <f>IF(Table2[[#This Row],[Description]]="","",IF(Table2[[#This Row],[Currency]]=$O$2,$P$2,HLOOKUP(Table2[[#This Row],[Date]],Funds!$C$10:$GV$11,2,FALSE)))</f>
        <v/>
      </c>
      <c r="J6149" s="215" t="str">
        <f>IF(Table2[[#This Row],[Description]]="","",Table2[[#This Row],[Value]]/Table2[[#This Row],[Conversion]])</f>
        <v/>
      </c>
      <c r="K6149" s="45" t="str">
        <f>IF(Table2[[#This Row],[Description]]="","",DATE(Table2[[#This Row],[Year]],Table2[[#This Row],[Month]],1))</f>
        <v/>
      </c>
    </row>
    <row r="6150" spans="7:11" x14ac:dyDescent="0.25">
      <c r="G6150" s="1" t="str">
        <f>IF(Table2[[#This Row],[Description]]="","",VLOOKUP(Table2[[#This Row],[Description]],$Q$1:$S$101,2,FALSE))</f>
        <v/>
      </c>
      <c r="H6150" s="1" t="str">
        <f>IF(Table2[[#This Row],[Description]]="","",VLOOKUP(Table2[[#This Row],[Description]],$Q$1:$S$101,3,FALSE))</f>
        <v/>
      </c>
      <c r="I6150" s="1" t="str">
        <f>IF(Table2[[#This Row],[Description]]="","",IF(Table2[[#This Row],[Currency]]=$O$2,$P$2,HLOOKUP(Table2[[#This Row],[Date]],Funds!$C$10:$GV$11,2,FALSE)))</f>
        <v/>
      </c>
      <c r="J6150" s="215" t="str">
        <f>IF(Table2[[#This Row],[Description]]="","",Table2[[#This Row],[Value]]/Table2[[#This Row],[Conversion]])</f>
        <v/>
      </c>
      <c r="K6150" s="45" t="str">
        <f>IF(Table2[[#This Row],[Description]]="","",DATE(Table2[[#This Row],[Year]],Table2[[#This Row],[Month]],1))</f>
        <v/>
      </c>
    </row>
    <row r="6151" spans="7:11" x14ac:dyDescent="0.25">
      <c r="G6151" s="1" t="str">
        <f>IF(Table2[[#This Row],[Description]]="","",VLOOKUP(Table2[[#This Row],[Description]],$Q$1:$S$101,2,FALSE))</f>
        <v/>
      </c>
      <c r="H6151" s="1" t="str">
        <f>IF(Table2[[#This Row],[Description]]="","",VLOOKUP(Table2[[#This Row],[Description]],$Q$1:$S$101,3,FALSE))</f>
        <v/>
      </c>
      <c r="I6151" s="1" t="str">
        <f>IF(Table2[[#This Row],[Description]]="","",IF(Table2[[#This Row],[Currency]]=$O$2,$P$2,HLOOKUP(Table2[[#This Row],[Date]],Funds!$C$10:$GV$11,2,FALSE)))</f>
        <v/>
      </c>
      <c r="J6151" s="215" t="str">
        <f>IF(Table2[[#This Row],[Description]]="","",Table2[[#This Row],[Value]]/Table2[[#This Row],[Conversion]])</f>
        <v/>
      </c>
      <c r="K6151" s="45" t="str">
        <f>IF(Table2[[#This Row],[Description]]="","",DATE(Table2[[#This Row],[Year]],Table2[[#This Row],[Month]],1))</f>
        <v/>
      </c>
    </row>
    <row r="6152" spans="7:11" x14ac:dyDescent="0.25">
      <c r="G6152" s="1" t="str">
        <f>IF(Table2[[#This Row],[Description]]="","",VLOOKUP(Table2[[#This Row],[Description]],$Q$1:$S$101,2,FALSE))</f>
        <v/>
      </c>
      <c r="H6152" s="1" t="str">
        <f>IF(Table2[[#This Row],[Description]]="","",VLOOKUP(Table2[[#This Row],[Description]],$Q$1:$S$101,3,FALSE))</f>
        <v/>
      </c>
      <c r="I6152" s="1" t="str">
        <f>IF(Table2[[#This Row],[Description]]="","",IF(Table2[[#This Row],[Currency]]=$O$2,$P$2,HLOOKUP(Table2[[#This Row],[Date]],Funds!$C$10:$GV$11,2,FALSE)))</f>
        <v/>
      </c>
      <c r="J6152" s="215" t="str">
        <f>IF(Table2[[#This Row],[Description]]="","",Table2[[#This Row],[Value]]/Table2[[#This Row],[Conversion]])</f>
        <v/>
      </c>
      <c r="K6152" s="45" t="str">
        <f>IF(Table2[[#This Row],[Description]]="","",DATE(Table2[[#This Row],[Year]],Table2[[#This Row],[Month]],1))</f>
        <v/>
      </c>
    </row>
    <row r="6153" spans="7:11" x14ac:dyDescent="0.25">
      <c r="G6153" s="1" t="str">
        <f>IF(Table2[[#This Row],[Description]]="","",VLOOKUP(Table2[[#This Row],[Description]],$Q$1:$S$101,2,FALSE))</f>
        <v/>
      </c>
      <c r="H6153" s="1" t="str">
        <f>IF(Table2[[#This Row],[Description]]="","",VLOOKUP(Table2[[#This Row],[Description]],$Q$1:$S$101,3,FALSE))</f>
        <v/>
      </c>
      <c r="I6153" s="1" t="str">
        <f>IF(Table2[[#This Row],[Description]]="","",IF(Table2[[#This Row],[Currency]]=$O$2,$P$2,HLOOKUP(Table2[[#This Row],[Date]],Funds!$C$10:$GV$11,2,FALSE)))</f>
        <v/>
      </c>
      <c r="J6153" s="215" t="str">
        <f>IF(Table2[[#This Row],[Description]]="","",Table2[[#This Row],[Value]]/Table2[[#This Row],[Conversion]])</f>
        <v/>
      </c>
      <c r="K6153" s="45" t="str">
        <f>IF(Table2[[#This Row],[Description]]="","",DATE(Table2[[#This Row],[Year]],Table2[[#This Row],[Month]],1))</f>
        <v/>
      </c>
    </row>
    <row r="6154" spans="7:11" x14ac:dyDescent="0.25">
      <c r="G6154" s="1" t="str">
        <f>IF(Table2[[#This Row],[Description]]="","",VLOOKUP(Table2[[#This Row],[Description]],$Q$1:$S$101,2,FALSE))</f>
        <v/>
      </c>
      <c r="H6154" s="1" t="str">
        <f>IF(Table2[[#This Row],[Description]]="","",VLOOKUP(Table2[[#This Row],[Description]],$Q$1:$S$101,3,FALSE))</f>
        <v/>
      </c>
      <c r="I6154" s="1" t="str">
        <f>IF(Table2[[#This Row],[Description]]="","",IF(Table2[[#This Row],[Currency]]=$O$2,$P$2,HLOOKUP(Table2[[#This Row],[Date]],Funds!$C$10:$GV$11,2,FALSE)))</f>
        <v/>
      </c>
      <c r="J6154" s="215" t="str">
        <f>IF(Table2[[#This Row],[Description]]="","",Table2[[#This Row],[Value]]/Table2[[#This Row],[Conversion]])</f>
        <v/>
      </c>
      <c r="K6154" s="45" t="str">
        <f>IF(Table2[[#This Row],[Description]]="","",DATE(Table2[[#This Row],[Year]],Table2[[#This Row],[Month]],1))</f>
        <v/>
      </c>
    </row>
    <row r="6155" spans="7:11" x14ac:dyDescent="0.25">
      <c r="G6155" s="1" t="str">
        <f>IF(Table2[[#This Row],[Description]]="","",VLOOKUP(Table2[[#This Row],[Description]],$Q$1:$S$101,2,FALSE))</f>
        <v/>
      </c>
      <c r="H6155" s="1" t="str">
        <f>IF(Table2[[#This Row],[Description]]="","",VLOOKUP(Table2[[#This Row],[Description]],$Q$1:$S$101,3,FALSE))</f>
        <v/>
      </c>
      <c r="I6155" s="1" t="str">
        <f>IF(Table2[[#This Row],[Description]]="","",IF(Table2[[#This Row],[Currency]]=$O$2,$P$2,HLOOKUP(Table2[[#This Row],[Date]],Funds!$C$10:$GV$11,2,FALSE)))</f>
        <v/>
      </c>
      <c r="J6155" s="215" t="str">
        <f>IF(Table2[[#This Row],[Description]]="","",Table2[[#This Row],[Value]]/Table2[[#This Row],[Conversion]])</f>
        <v/>
      </c>
      <c r="K6155" s="45" t="str">
        <f>IF(Table2[[#This Row],[Description]]="","",DATE(Table2[[#This Row],[Year]],Table2[[#This Row],[Month]],1))</f>
        <v/>
      </c>
    </row>
    <row r="6156" spans="7:11" x14ac:dyDescent="0.25">
      <c r="G6156" s="1" t="str">
        <f>IF(Table2[[#This Row],[Description]]="","",VLOOKUP(Table2[[#This Row],[Description]],$Q$1:$S$101,2,FALSE))</f>
        <v/>
      </c>
      <c r="H6156" s="1" t="str">
        <f>IF(Table2[[#This Row],[Description]]="","",VLOOKUP(Table2[[#This Row],[Description]],$Q$1:$S$101,3,FALSE))</f>
        <v/>
      </c>
      <c r="I6156" s="1" t="str">
        <f>IF(Table2[[#This Row],[Description]]="","",IF(Table2[[#This Row],[Currency]]=$O$2,$P$2,HLOOKUP(Table2[[#This Row],[Date]],Funds!$C$10:$GV$11,2,FALSE)))</f>
        <v/>
      </c>
      <c r="J6156" s="215" t="str">
        <f>IF(Table2[[#This Row],[Description]]="","",Table2[[#This Row],[Value]]/Table2[[#This Row],[Conversion]])</f>
        <v/>
      </c>
      <c r="K6156" s="45" t="str">
        <f>IF(Table2[[#This Row],[Description]]="","",DATE(Table2[[#This Row],[Year]],Table2[[#This Row],[Month]],1))</f>
        <v/>
      </c>
    </row>
    <row r="6157" spans="7:11" x14ac:dyDescent="0.25">
      <c r="G6157" s="1" t="str">
        <f>IF(Table2[[#This Row],[Description]]="","",VLOOKUP(Table2[[#This Row],[Description]],$Q$1:$S$101,2,FALSE))</f>
        <v/>
      </c>
      <c r="H6157" s="1" t="str">
        <f>IF(Table2[[#This Row],[Description]]="","",VLOOKUP(Table2[[#This Row],[Description]],$Q$1:$S$101,3,FALSE))</f>
        <v/>
      </c>
      <c r="I6157" s="1" t="str">
        <f>IF(Table2[[#This Row],[Description]]="","",IF(Table2[[#This Row],[Currency]]=$O$2,$P$2,HLOOKUP(Table2[[#This Row],[Date]],Funds!$C$10:$GV$11,2,FALSE)))</f>
        <v/>
      </c>
      <c r="J6157" s="215" t="str">
        <f>IF(Table2[[#This Row],[Description]]="","",Table2[[#This Row],[Value]]/Table2[[#This Row],[Conversion]])</f>
        <v/>
      </c>
      <c r="K6157" s="45" t="str">
        <f>IF(Table2[[#This Row],[Description]]="","",DATE(Table2[[#This Row],[Year]],Table2[[#This Row],[Month]],1))</f>
        <v/>
      </c>
    </row>
    <row r="6158" spans="7:11" x14ac:dyDescent="0.25">
      <c r="G6158" s="1" t="str">
        <f>IF(Table2[[#This Row],[Description]]="","",VLOOKUP(Table2[[#This Row],[Description]],$Q$1:$S$101,2,FALSE))</f>
        <v/>
      </c>
      <c r="H6158" s="1" t="str">
        <f>IF(Table2[[#This Row],[Description]]="","",VLOOKUP(Table2[[#This Row],[Description]],$Q$1:$S$101,3,FALSE))</f>
        <v/>
      </c>
      <c r="I6158" s="1" t="str">
        <f>IF(Table2[[#This Row],[Description]]="","",IF(Table2[[#This Row],[Currency]]=$O$2,$P$2,HLOOKUP(Table2[[#This Row],[Date]],Funds!$C$10:$GV$11,2,FALSE)))</f>
        <v/>
      </c>
      <c r="J6158" s="215" t="str">
        <f>IF(Table2[[#This Row],[Description]]="","",Table2[[#This Row],[Value]]/Table2[[#This Row],[Conversion]])</f>
        <v/>
      </c>
      <c r="K6158" s="45" t="str">
        <f>IF(Table2[[#This Row],[Description]]="","",DATE(Table2[[#This Row],[Year]],Table2[[#This Row],[Month]],1))</f>
        <v/>
      </c>
    </row>
    <row r="6159" spans="7:11" x14ac:dyDescent="0.25">
      <c r="G6159" s="1" t="str">
        <f>IF(Table2[[#This Row],[Description]]="","",VLOOKUP(Table2[[#This Row],[Description]],$Q$1:$S$101,2,FALSE))</f>
        <v/>
      </c>
      <c r="H6159" s="1" t="str">
        <f>IF(Table2[[#This Row],[Description]]="","",VLOOKUP(Table2[[#This Row],[Description]],$Q$1:$S$101,3,FALSE))</f>
        <v/>
      </c>
      <c r="I6159" s="1" t="str">
        <f>IF(Table2[[#This Row],[Description]]="","",IF(Table2[[#This Row],[Currency]]=$O$2,$P$2,HLOOKUP(Table2[[#This Row],[Date]],Funds!$C$10:$GV$11,2,FALSE)))</f>
        <v/>
      </c>
      <c r="J6159" s="215" t="str">
        <f>IF(Table2[[#This Row],[Description]]="","",Table2[[#This Row],[Value]]/Table2[[#This Row],[Conversion]])</f>
        <v/>
      </c>
      <c r="K6159" s="45" t="str">
        <f>IF(Table2[[#This Row],[Description]]="","",DATE(Table2[[#This Row],[Year]],Table2[[#This Row],[Month]],1))</f>
        <v/>
      </c>
    </row>
    <row r="6160" spans="7:11" x14ac:dyDescent="0.25">
      <c r="G6160" s="1" t="str">
        <f>IF(Table2[[#This Row],[Description]]="","",VLOOKUP(Table2[[#This Row],[Description]],$Q$1:$S$101,2,FALSE))</f>
        <v/>
      </c>
      <c r="H6160" s="1" t="str">
        <f>IF(Table2[[#This Row],[Description]]="","",VLOOKUP(Table2[[#This Row],[Description]],$Q$1:$S$101,3,FALSE))</f>
        <v/>
      </c>
      <c r="I6160" s="1" t="str">
        <f>IF(Table2[[#This Row],[Description]]="","",IF(Table2[[#This Row],[Currency]]=$O$2,$P$2,HLOOKUP(Table2[[#This Row],[Date]],Funds!$C$10:$GV$11,2,FALSE)))</f>
        <v/>
      </c>
      <c r="J6160" s="215" t="str">
        <f>IF(Table2[[#This Row],[Description]]="","",Table2[[#This Row],[Value]]/Table2[[#This Row],[Conversion]])</f>
        <v/>
      </c>
      <c r="K6160" s="45" t="str">
        <f>IF(Table2[[#This Row],[Description]]="","",DATE(Table2[[#This Row],[Year]],Table2[[#This Row],[Month]],1))</f>
        <v/>
      </c>
    </row>
    <row r="6161" spans="7:11" x14ac:dyDescent="0.25">
      <c r="G6161" s="1" t="str">
        <f>IF(Table2[[#This Row],[Description]]="","",VLOOKUP(Table2[[#This Row],[Description]],$Q$1:$S$101,2,FALSE))</f>
        <v/>
      </c>
      <c r="H6161" s="1" t="str">
        <f>IF(Table2[[#This Row],[Description]]="","",VLOOKUP(Table2[[#This Row],[Description]],$Q$1:$S$101,3,FALSE))</f>
        <v/>
      </c>
      <c r="I6161" s="1" t="str">
        <f>IF(Table2[[#This Row],[Description]]="","",IF(Table2[[#This Row],[Currency]]=$O$2,$P$2,HLOOKUP(Table2[[#This Row],[Date]],Funds!$C$10:$GV$11,2,FALSE)))</f>
        <v/>
      </c>
      <c r="J6161" s="215" t="str">
        <f>IF(Table2[[#This Row],[Description]]="","",Table2[[#This Row],[Value]]/Table2[[#This Row],[Conversion]])</f>
        <v/>
      </c>
      <c r="K6161" s="45" t="str">
        <f>IF(Table2[[#This Row],[Description]]="","",DATE(Table2[[#This Row],[Year]],Table2[[#This Row],[Month]],1))</f>
        <v/>
      </c>
    </row>
    <row r="6162" spans="7:11" x14ac:dyDescent="0.25">
      <c r="G6162" s="1" t="str">
        <f>IF(Table2[[#This Row],[Description]]="","",VLOOKUP(Table2[[#This Row],[Description]],$Q$1:$S$101,2,FALSE))</f>
        <v/>
      </c>
      <c r="H6162" s="1" t="str">
        <f>IF(Table2[[#This Row],[Description]]="","",VLOOKUP(Table2[[#This Row],[Description]],$Q$1:$S$101,3,FALSE))</f>
        <v/>
      </c>
      <c r="I6162" s="1" t="str">
        <f>IF(Table2[[#This Row],[Description]]="","",IF(Table2[[#This Row],[Currency]]=$O$2,$P$2,HLOOKUP(Table2[[#This Row],[Date]],Funds!$C$10:$GV$11,2,FALSE)))</f>
        <v/>
      </c>
      <c r="J6162" s="215" t="str">
        <f>IF(Table2[[#This Row],[Description]]="","",Table2[[#This Row],[Value]]/Table2[[#This Row],[Conversion]])</f>
        <v/>
      </c>
      <c r="K6162" s="45" t="str">
        <f>IF(Table2[[#This Row],[Description]]="","",DATE(Table2[[#This Row],[Year]],Table2[[#This Row],[Month]],1))</f>
        <v/>
      </c>
    </row>
    <row r="6163" spans="7:11" x14ac:dyDescent="0.25">
      <c r="G6163" s="1" t="str">
        <f>IF(Table2[[#This Row],[Description]]="","",VLOOKUP(Table2[[#This Row],[Description]],$Q$1:$S$101,2,FALSE))</f>
        <v/>
      </c>
      <c r="H6163" s="1" t="str">
        <f>IF(Table2[[#This Row],[Description]]="","",VLOOKUP(Table2[[#This Row],[Description]],$Q$1:$S$101,3,FALSE))</f>
        <v/>
      </c>
      <c r="I6163" s="1" t="str">
        <f>IF(Table2[[#This Row],[Description]]="","",IF(Table2[[#This Row],[Currency]]=$O$2,$P$2,HLOOKUP(Table2[[#This Row],[Date]],Funds!$C$10:$GV$11,2,FALSE)))</f>
        <v/>
      </c>
      <c r="J6163" s="215" t="str">
        <f>IF(Table2[[#This Row],[Description]]="","",Table2[[#This Row],[Value]]/Table2[[#This Row],[Conversion]])</f>
        <v/>
      </c>
      <c r="K6163" s="45" t="str">
        <f>IF(Table2[[#This Row],[Description]]="","",DATE(Table2[[#This Row],[Year]],Table2[[#This Row],[Month]],1))</f>
        <v/>
      </c>
    </row>
    <row r="6164" spans="7:11" x14ac:dyDescent="0.25">
      <c r="G6164" s="1" t="str">
        <f>IF(Table2[[#This Row],[Description]]="","",VLOOKUP(Table2[[#This Row],[Description]],$Q$1:$S$101,2,FALSE))</f>
        <v/>
      </c>
      <c r="H6164" s="1" t="str">
        <f>IF(Table2[[#This Row],[Description]]="","",VLOOKUP(Table2[[#This Row],[Description]],$Q$1:$S$101,3,FALSE))</f>
        <v/>
      </c>
      <c r="I6164" s="1" t="str">
        <f>IF(Table2[[#This Row],[Description]]="","",IF(Table2[[#This Row],[Currency]]=$O$2,$P$2,HLOOKUP(Table2[[#This Row],[Date]],Funds!$C$10:$GV$11,2,FALSE)))</f>
        <v/>
      </c>
      <c r="J6164" s="215" t="str">
        <f>IF(Table2[[#This Row],[Description]]="","",Table2[[#This Row],[Value]]/Table2[[#This Row],[Conversion]])</f>
        <v/>
      </c>
      <c r="K6164" s="45" t="str">
        <f>IF(Table2[[#This Row],[Description]]="","",DATE(Table2[[#This Row],[Year]],Table2[[#This Row],[Month]],1))</f>
        <v/>
      </c>
    </row>
    <row r="6165" spans="7:11" x14ac:dyDescent="0.25">
      <c r="G6165" s="1" t="str">
        <f>IF(Table2[[#This Row],[Description]]="","",VLOOKUP(Table2[[#This Row],[Description]],$Q$1:$S$101,2,FALSE))</f>
        <v/>
      </c>
      <c r="H6165" s="1" t="str">
        <f>IF(Table2[[#This Row],[Description]]="","",VLOOKUP(Table2[[#This Row],[Description]],$Q$1:$S$101,3,FALSE))</f>
        <v/>
      </c>
      <c r="I6165" s="1" t="str">
        <f>IF(Table2[[#This Row],[Description]]="","",IF(Table2[[#This Row],[Currency]]=$O$2,$P$2,HLOOKUP(Table2[[#This Row],[Date]],Funds!$C$10:$GV$11,2,FALSE)))</f>
        <v/>
      </c>
      <c r="J6165" s="215" t="str">
        <f>IF(Table2[[#This Row],[Description]]="","",Table2[[#This Row],[Value]]/Table2[[#This Row],[Conversion]])</f>
        <v/>
      </c>
      <c r="K6165" s="45" t="str">
        <f>IF(Table2[[#This Row],[Description]]="","",DATE(Table2[[#This Row],[Year]],Table2[[#This Row],[Month]],1))</f>
        <v/>
      </c>
    </row>
    <row r="6166" spans="7:11" x14ac:dyDescent="0.25">
      <c r="G6166" s="1" t="str">
        <f>IF(Table2[[#This Row],[Description]]="","",VLOOKUP(Table2[[#This Row],[Description]],$Q$1:$S$101,2,FALSE))</f>
        <v/>
      </c>
      <c r="H6166" s="1" t="str">
        <f>IF(Table2[[#This Row],[Description]]="","",VLOOKUP(Table2[[#This Row],[Description]],$Q$1:$S$101,3,FALSE))</f>
        <v/>
      </c>
      <c r="I6166" s="1" t="str">
        <f>IF(Table2[[#This Row],[Description]]="","",IF(Table2[[#This Row],[Currency]]=$O$2,$P$2,HLOOKUP(Table2[[#This Row],[Date]],Funds!$C$10:$GV$11,2,FALSE)))</f>
        <v/>
      </c>
      <c r="J6166" s="215" t="str">
        <f>IF(Table2[[#This Row],[Description]]="","",Table2[[#This Row],[Value]]/Table2[[#This Row],[Conversion]])</f>
        <v/>
      </c>
      <c r="K6166" s="45" t="str">
        <f>IF(Table2[[#This Row],[Description]]="","",DATE(Table2[[#This Row],[Year]],Table2[[#This Row],[Month]],1))</f>
        <v/>
      </c>
    </row>
    <row r="6167" spans="7:11" x14ac:dyDescent="0.25">
      <c r="G6167" s="1" t="str">
        <f>IF(Table2[[#This Row],[Description]]="","",VLOOKUP(Table2[[#This Row],[Description]],$Q$1:$S$101,2,FALSE))</f>
        <v/>
      </c>
      <c r="H6167" s="1" t="str">
        <f>IF(Table2[[#This Row],[Description]]="","",VLOOKUP(Table2[[#This Row],[Description]],$Q$1:$S$101,3,FALSE))</f>
        <v/>
      </c>
      <c r="I6167" s="1" t="str">
        <f>IF(Table2[[#This Row],[Description]]="","",IF(Table2[[#This Row],[Currency]]=$O$2,$P$2,HLOOKUP(Table2[[#This Row],[Date]],Funds!$C$10:$GV$11,2,FALSE)))</f>
        <v/>
      </c>
      <c r="J6167" s="215" t="str">
        <f>IF(Table2[[#This Row],[Description]]="","",Table2[[#This Row],[Value]]/Table2[[#This Row],[Conversion]])</f>
        <v/>
      </c>
      <c r="K6167" s="45" t="str">
        <f>IF(Table2[[#This Row],[Description]]="","",DATE(Table2[[#This Row],[Year]],Table2[[#This Row],[Month]],1))</f>
        <v/>
      </c>
    </row>
    <row r="6168" spans="7:11" x14ac:dyDescent="0.25">
      <c r="G6168" s="1" t="str">
        <f>IF(Table2[[#This Row],[Description]]="","",VLOOKUP(Table2[[#This Row],[Description]],$Q$1:$S$101,2,FALSE))</f>
        <v/>
      </c>
      <c r="H6168" s="1" t="str">
        <f>IF(Table2[[#This Row],[Description]]="","",VLOOKUP(Table2[[#This Row],[Description]],$Q$1:$S$101,3,FALSE))</f>
        <v/>
      </c>
      <c r="I6168" s="1" t="str">
        <f>IF(Table2[[#This Row],[Description]]="","",IF(Table2[[#This Row],[Currency]]=$O$2,$P$2,HLOOKUP(Table2[[#This Row],[Date]],Funds!$C$10:$GV$11,2,FALSE)))</f>
        <v/>
      </c>
      <c r="J6168" s="215" t="str">
        <f>IF(Table2[[#This Row],[Description]]="","",Table2[[#This Row],[Value]]/Table2[[#This Row],[Conversion]])</f>
        <v/>
      </c>
      <c r="K6168" s="45" t="str">
        <f>IF(Table2[[#This Row],[Description]]="","",DATE(Table2[[#This Row],[Year]],Table2[[#This Row],[Month]],1))</f>
        <v/>
      </c>
    </row>
    <row r="6169" spans="7:11" x14ac:dyDescent="0.25">
      <c r="G6169" s="1" t="str">
        <f>IF(Table2[[#This Row],[Description]]="","",VLOOKUP(Table2[[#This Row],[Description]],$Q$1:$S$101,2,FALSE))</f>
        <v/>
      </c>
      <c r="H6169" s="1" t="str">
        <f>IF(Table2[[#This Row],[Description]]="","",VLOOKUP(Table2[[#This Row],[Description]],$Q$1:$S$101,3,FALSE))</f>
        <v/>
      </c>
      <c r="I6169" s="1" t="str">
        <f>IF(Table2[[#This Row],[Description]]="","",IF(Table2[[#This Row],[Currency]]=$O$2,$P$2,HLOOKUP(Table2[[#This Row],[Date]],Funds!$C$10:$GV$11,2,FALSE)))</f>
        <v/>
      </c>
      <c r="J6169" s="215" t="str">
        <f>IF(Table2[[#This Row],[Description]]="","",Table2[[#This Row],[Value]]/Table2[[#This Row],[Conversion]])</f>
        <v/>
      </c>
      <c r="K6169" s="45" t="str">
        <f>IF(Table2[[#This Row],[Description]]="","",DATE(Table2[[#This Row],[Year]],Table2[[#This Row],[Month]],1))</f>
        <v/>
      </c>
    </row>
    <row r="6170" spans="7:11" x14ac:dyDescent="0.25">
      <c r="G6170" s="1" t="str">
        <f>IF(Table2[[#This Row],[Description]]="","",VLOOKUP(Table2[[#This Row],[Description]],$Q$1:$S$101,2,FALSE))</f>
        <v/>
      </c>
      <c r="H6170" s="1" t="str">
        <f>IF(Table2[[#This Row],[Description]]="","",VLOOKUP(Table2[[#This Row],[Description]],$Q$1:$S$101,3,FALSE))</f>
        <v/>
      </c>
      <c r="I6170" s="1" t="str">
        <f>IF(Table2[[#This Row],[Description]]="","",IF(Table2[[#This Row],[Currency]]=$O$2,$P$2,HLOOKUP(Table2[[#This Row],[Date]],Funds!$C$10:$GV$11,2,FALSE)))</f>
        <v/>
      </c>
      <c r="J6170" s="215" t="str">
        <f>IF(Table2[[#This Row],[Description]]="","",Table2[[#This Row],[Value]]/Table2[[#This Row],[Conversion]])</f>
        <v/>
      </c>
      <c r="K6170" s="45" t="str">
        <f>IF(Table2[[#This Row],[Description]]="","",DATE(Table2[[#This Row],[Year]],Table2[[#This Row],[Month]],1))</f>
        <v/>
      </c>
    </row>
    <row r="6171" spans="7:11" x14ac:dyDescent="0.25">
      <c r="G6171" s="1" t="str">
        <f>IF(Table2[[#This Row],[Description]]="","",VLOOKUP(Table2[[#This Row],[Description]],$Q$1:$S$101,2,FALSE))</f>
        <v/>
      </c>
      <c r="H6171" s="1" t="str">
        <f>IF(Table2[[#This Row],[Description]]="","",VLOOKUP(Table2[[#This Row],[Description]],$Q$1:$S$101,3,FALSE))</f>
        <v/>
      </c>
      <c r="I6171" s="1" t="str">
        <f>IF(Table2[[#This Row],[Description]]="","",IF(Table2[[#This Row],[Currency]]=$O$2,$P$2,HLOOKUP(Table2[[#This Row],[Date]],Funds!$C$10:$GV$11,2,FALSE)))</f>
        <v/>
      </c>
      <c r="J6171" s="215" t="str">
        <f>IF(Table2[[#This Row],[Description]]="","",Table2[[#This Row],[Value]]/Table2[[#This Row],[Conversion]])</f>
        <v/>
      </c>
      <c r="K6171" s="45" t="str">
        <f>IF(Table2[[#This Row],[Description]]="","",DATE(Table2[[#This Row],[Year]],Table2[[#This Row],[Month]],1))</f>
        <v/>
      </c>
    </row>
    <row r="6172" spans="7:11" x14ac:dyDescent="0.25">
      <c r="G6172" s="1" t="str">
        <f>IF(Table2[[#This Row],[Description]]="","",VLOOKUP(Table2[[#This Row],[Description]],$Q$1:$S$101,2,FALSE))</f>
        <v/>
      </c>
      <c r="H6172" s="1" t="str">
        <f>IF(Table2[[#This Row],[Description]]="","",VLOOKUP(Table2[[#This Row],[Description]],$Q$1:$S$101,3,FALSE))</f>
        <v/>
      </c>
      <c r="I6172" s="1" t="str">
        <f>IF(Table2[[#This Row],[Description]]="","",IF(Table2[[#This Row],[Currency]]=$O$2,$P$2,HLOOKUP(Table2[[#This Row],[Date]],Funds!$C$10:$GV$11,2,FALSE)))</f>
        <v/>
      </c>
      <c r="J6172" s="215" t="str">
        <f>IF(Table2[[#This Row],[Description]]="","",Table2[[#This Row],[Value]]/Table2[[#This Row],[Conversion]])</f>
        <v/>
      </c>
      <c r="K6172" s="45" t="str">
        <f>IF(Table2[[#This Row],[Description]]="","",DATE(Table2[[#This Row],[Year]],Table2[[#This Row],[Month]],1))</f>
        <v/>
      </c>
    </row>
    <row r="6173" spans="7:11" x14ac:dyDescent="0.25">
      <c r="G6173" s="1" t="str">
        <f>IF(Table2[[#This Row],[Description]]="","",VLOOKUP(Table2[[#This Row],[Description]],$Q$1:$S$101,2,FALSE))</f>
        <v/>
      </c>
      <c r="H6173" s="1" t="str">
        <f>IF(Table2[[#This Row],[Description]]="","",VLOOKUP(Table2[[#This Row],[Description]],$Q$1:$S$101,3,FALSE))</f>
        <v/>
      </c>
      <c r="I6173" s="1" t="str">
        <f>IF(Table2[[#This Row],[Description]]="","",IF(Table2[[#This Row],[Currency]]=$O$2,$P$2,HLOOKUP(Table2[[#This Row],[Date]],Funds!$C$10:$GV$11,2,FALSE)))</f>
        <v/>
      </c>
      <c r="J6173" s="215" t="str">
        <f>IF(Table2[[#This Row],[Description]]="","",Table2[[#This Row],[Value]]/Table2[[#This Row],[Conversion]])</f>
        <v/>
      </c>
      <c r="K6173" s="45" t="str">
        <f>IF(Table2[[#This Row],[Description]]="","",DATE(Table2[[#This Row],[Year]],Table2[[#This Row],[Month]],1))</f>
        <v/>
      </c>
    </row>
    <row r="6174" spans="7:11" x14ac:dyDescent="0.25">
      <c r="G6174" s="1" t="str">
        <f>IF(Table2[[#This Row],[Description]]="","",VLOOKUP(Table2[[#This Row],[Description]],$Q$1:$S$101,2,FALSE))</f>
        <v/>
      </c>
      <c r="H6174" s="1" t="str">
        <f>IF(Table2[[#This Row],[Description]]="","",VLOOKUP(Table2[[#This Row],[Description]],$Q$1:$S$101,3,FALSE))</f>
        <v/>
      </c>
      <c r="I6174" s="1" t="str">
        <f>IF(Table2[[#This Row],[Description]]="","",IF(Table2[[#This Row],[Currency]]=$O$2,$P$2,HLOOKUP(Table2[[#This Row],[Date]],Funds!$C$10:$GV$11,2,FALSE)))</f>
        <v/>
      </c>
      <c r="J6174" s="215" t="str">
        <f>IF(Table2[[#This Row],[Description]]="","",Table2[[#This Row],[Value]]/Table2[[#This Row],[Conversion]])</f>
        <v/>
      </c>
      <c r="K6174" s="45" t="str">
        <f>IF(Table2[[#This Row],[Description]]="","",DATE(Table2[[#This Row],[Year]],Table2[[#This Row],[Month]],1))</f>
        <v/>
      </c>
    </row>
    <row r="6175" spans="7:11" x14ac:dyDescent="0.25">
      <c r="G6175" s="1" t="str">
        <f>IF(Table2[[#This Row],[Description]]="","",VLOOKUP(Table2[[#This Row],[Description]],$Q$1:$S$101,2,FALSE))</f>
        <v/>
      </c>
      <c r="H6175" s="1" t="str">
        <f>IF(Table2[[#This Row],[Description]]="","",VLOOKUP(Table2[[#This Row],[Description]],$Q$1:$S$101,3,FALSE))</f>
        <v/>
      </c>
      <c r="I6175" s="1" t="str">
        <f>IF(Table2[[#This Row],[Description]]="","",IF(Table2[[#This Row],[Currency]]=$O$2,$P$2,HLOOKUP(Table2[[#This Row],[Date]],Funds!$C$10:$GV$11,2,FALSE)))</f>
        <v/>
      </c>
      <c r="J6175" s="215" t="str">
        <f>IF(Table2[[#This Row],[Description]]="","",Table2[[#This Row],[Value]]/Table2[[#This Row],[Conversion]])</f>
        <v/>
      </c>
      <c r="K6175" s="45" t="str">
        <f>IF(Table2[[#This Row],[Description]]="","",DATE(Table2[[#This Row],[Year]],Table2[[#This Row],[Month]],1))</f>
        <v/>
      </c>
    </row>
    <row r="6176" spans="7:11" x14ac:dyDescent="0.25">
      <c r="G6176" s="1" t="str">
        <f>IF(Table2[[#This Row],[Description]]="","",VLOOKUP(Table2[[#This Row],[Description]],$Q$1:$S$101,2,FALSE))</f>
        <v/>
      </c>
      <c r="H6176" s="1" t="str">
        <f>IF(Table2[[#This Row],[Description]]="","",VLOOKUP(Table2[[#This Row],[Description]],$Q$1:$S$101,3,FALSE))</f>
        <v/>
      </c>
      <c r="I6176" s="1" t="str">
        <f>IF(Table2[[#This Row],[Description]]="","",IF(Table2[[#This Row],[Currency]]=$O$2,$P$2,HLOOKUP(Table2[[#This Row],[Date]],Funds!$C$10:$GV$11,2,FALSE)))</f>
        <v/>
      </c>
      <c r="J6176" s="215" t="str">
        <f>IF(Table2[[#This Row],[Description]]="","",Table2[[#This Row],[Value]]/Table2[[#This Row],[Conversion]])</f>
        <v/>
      </c>
      <c r="K6176" s="45" t="str">
        <f>IF(Table2[[#This Row],[Description]]="","",DATE(Table2[[#This Row],[Year]],Table2[[#This Row],[Month]],1))</f>
        <v/>
      </c>
    </row>
    <row r="6177" spans="7:11" x14ac:dyDescent="0.25">
      <c r="G6177" s="1" t="str">
        <f>IF(Table2[[#This Row],[Description]]="","",VLOOKUP(Table2[[#This Row],[Description]],$Q$1:$S$101,2,FALSE))</f>
        <v/>
      </c>
      <c r="H6177" s="1" t="str">
        <f>IF(Table2[[#This Row],[Description]]="","",VLOOKUP(Table2[[#This Row],[Description]],$Q$1:$S$101,3,FALSE))</f>
        <v/>
      </c>
      <c r="I6177" s="1" t="str">
        <f>IF(Table2[[#This Row],[Description]]="","",IF(Table2[[#This Row],[Currency]]=$O$2,$P$2,HLOOKUP(Table2[[#This Row],[Date]],Funds!$C$10:$GV$11,2,FALSE)))</f>
        <v/>
      </c>
      <c r="J6177" s="215" t="str">
        <f>IF(Table2[[#This Row],[Description]]="","",Table2[[#This Row],[Value]]/Table2[[#This Row],[Conversion]])</f>
        <v/>
      </c>
      <c r="K6177" s="45" t="str">
        <f>IF(Table2[[#This Row],[Description]]="","",DATE(Table2[[#This Row],[Year]],Table2[[#This Row],[Month]],1))</f>
        <v/>
      </c>
    </row>
    <row r="6178" spans="7:11" x14ac:dyDescent="0.25">
      <c r="G6178" s="1" t="str">
        <f>IF(Table2[[#This Row],[Description]]="","",VLOOKUP(Table2[[#This Row],[Description]],$Q$1:$S$101,2,FALSE))</f>
        <v/>
      </c>
      <c r="H6178" s="1" t="str">
        <f>IF(Table2[[#This Row],[Description]]="","",VLOOKUP(Table2[[#This Row],[Description]],$Q$1:$S$101,3,FALSE))</f>
        <v/>
      </c>
      <c r="I6178" s="1" t="str">
        <f>IF(Table2[[#This Row],[Description]]="","",IF(Table2[[#This Row],[Currency]]=$O$2,$P$2,HLOOKUP(Table2[[#This Row],[Date]],Funds!$C$10:$GV$11,2,FALSE)))</f>
        <v/>
      </c>
      <c r="J6178" s="215" t="str">
        <f>IF(Table2[[#This Row],[Description]]="","",Table2[[#This Row],[Value]]/Table2[[#This Row],[Conversion]])</f>
        <v/>
      </c>
      <c r="K6178" s="45" t="str">
        <f>IF(Table2[[#This Row],[Description]]="","",DATE(Table2[[#This Row],[Year]],Table2[[#This Row],[Month]],1))</f>
        <v/>
      </c>
    </row>
    <row r="6179" spans="7:11" x14ac:dyDescent="0.25">
      <c r="G6179" s="1" t="str">
        <f>IF(Table2[[#This Row],[Description]]="","",VLOOKUP(Table2[[#This Row],[Description]],$Q$1:$S$101,2,FALSE))</f>
        <v/>
      </c>
      <c r="H6179" s="1" t="str">
        <f>IF(Table2[[#This Row],[Description]]="","",VLOOKUP(Table2[[#This Row],[Description]],$Q$1:$S$101,3,FALSE))</f>
        <v/>
      </c>
      <c r="I6179" s="1" t="str">
        <f>IF(Table2[[#This Row],[Description]]="","",IF(Table2[[#This Row],[Currency]]=$O$2,$P$2,HLOOKUP(Table2[[#This Row],[Date]],Funds!$C$10:$GV$11,2,FALSE)))</f>
        <v/>
      </c>
      <c r="J6179" s="215" t="str">
        <f>IF(Table2[[#This Row],[Description]]="","",Table2[[#This Row],[Value]]/Table2[[#This Row],[Conversion]])</f>
        <v/>
      </c>
      <c r="K6179" s="45" t="str">
        <f>IF(Table2[[#This Row],[Description]]="","",DATE(Table2[[#This Row],[Year]],Table2[[#This Row],[Month]],1))</f>
        <v/>
      </c>
    </row>
    <row r="6180" spans="7:11" x14ac:dyDescent="0.25">
      <c r="G6180" s="1" t="str">
        <f>IF(Table2[[#This Row],[Description]]="","",VLOOKUP(Table2[[#This Row],[Description]],$Q$1:$S$101,2,FALSE))</f>
        <v/>
      </c>
      <c r="H6180" s="1" t="str">
        <f>IF(Table2[[#This Row],[Description]]="","",VLOOKUP(Table2[[#This Row],[Description]],$Q$1:$S$101,3,FALSE))</f>
        <v/>
      </c>
      <c r="I6180" s="1" t="str">
        <f>IF(Table2[[#This Row],[Description]]="","",IF(Table2[[#This Row],[Currency]]=$O$2,$P$2,HLOOKUP(Table2[[#This Row],[Date]],Funds!$C$10:$GV$11,2,FALSE)))</f>
        <v/>
      </c>
      <c r="J6180" s="215" t="str">
        <f>IF(Table2[[#This Row],[Description]]="","",Table2[[#This Row],[Value]]/Table2[[#This Row],[Conversion]])</f>
        <v/>
      </c>
      <c r="K6180" s="45" t="str">
        <f>IF(Table2[[#This Row],[Description]]="","",DATE(Table2[[#This Row],[Year]],Table2[[#This Row],[Month]],1))</f>
        <v/>
      </c>
    </row>
    <row r="6181" spans="7:11" x14ac:dyDescent="0.25">
      <c r="G6181" s="1" t="str">
        <f>IF(Table2[[#This Row],[Description]]="","",VLOOKUP(Table2[[#This Row],[Description]],$Q$1:$S$101,2,FALSE))</f>
        <v/>
      </c>
      <c r="H6181" s="1" t="str">
        <f>IF(Table2[[#This Row],[Description]]="","",VLOOKUP(Table2[[#This Row],[Description]],$Q$1:$S$101,3,FALSE))</f>
        <v/>
      </c>
      <c r="I6181" s="1" t="str">
        <f>IF(Table2[[#This Row],[Description]]="","",IF(Table2[[#This Row],[Currency]]=$O$2,$P$2,HLOOKUP(Table2[[#This Row],[Date]],Funds!$C$10:$GV$11,2,FALSE)))</f>
        <v/>
      </c>
      <c r="J6181" s="215" t="str">
        <f>IF(Table2[[#This Row],[Description]]="","",Table2[[#This Row],[Value]]/Table2[[#This Row],[Conversion]])</f>
        <v/>
      </c>
      <c r="K6181" s="45" t="str">
        <f>IF(Table2[[#This Row],[Description]]="","",DATE(Table2[[#This Row],[Year]],Table2[[#This Row],[Month]],1))</f>
        <v/>
      </c>
    </row>
    <row r="6182" spans="7:11" x14ac:dyDescent="0.25">
      <c r="G6182" s="1" t="str">
        <f>IF(Table2[[#This Row],[Description]]="","",VLOOKUP(Table2[[#This Row],[Description]],$Q$1:$S$101,2,FALSE))</f>
        <v/>
      </c>
      <c r="H6182" s="1" t="str">
        <f>IF(Table2[[#This Row],[Description]]="","",VLOOKUP(Table2[[#This Row],[Description]],$Q$1:$S$101,3,FALSE))</f>
        <v/>
      </c>
      <c r="I6182" s="1" t="str">
        <f>IF(Table2[[#This Row],[Description]]="","",IF(Table2[[#This Row],[Currency]]=$O$2,$P$2,HLOOKUP(Table2[[#This Row],[Date]],Funds!$C$10:$GV$11,2,FALSE)))</f>
        <v/>
      </c>
      <c r="J6182" s="215" t="str">
        <f>IF(Table2[[#This Row],[Description]]="","",Table2[[#This Row],[Value]]/Table2[[#This Row],[Conversion]])</f>
        <v/>
      </c>
      <c r="K6182" s="45" t="str">
        <f>IF(Table2[[#This Row],[Description]]="","",DATE(Table2[[#This Row],[Year]],Table2[[#This Row],[Month]],1))</f>
        <v/>
      </c>
    </row>
    <row r="6183" spans="7:11" x14ac:dyDescent="0.25">
      <c r="G6183" s="1" t="str">
        <f>IF(Table2[[#This Row],[Description]]="","",VLOOKUP(Table2[[#This Row],[Description]],$Q$1:$S$101,2,FALSE))</f>
        <v/>
      </c>
      <c r="H6183" s="1" t="str">
        <f>IF(Table2[[#This Row],[Description]]="","",VLOOKUP(Table2[[#This Row],[Description]],$Q$1:$S$101,3,FALSE))</f>
        <v/>
      </c>
      <c r="I6183" s="1" t="str">
        <f>IF(Table2[[#This Row],[Description]]="","",IF(Table2[[#This Row],[Currency]]=$O$2,$P$2,HLOOKUP(Table2[[#This Row],[Date]],Funds!$C$10:$GV$11,2,FALSE)))</f>
        <v/>
      </c>
      <c r="J6183" s="215" t="str">
        <f>IF(Table2[[#This Row],[Description]]="","",Table2[[#This Row],[Value]]/Table2[[#This Row],[Conversion]])</f>
        <v/>
      </c>
      <c r="K6183" s="45" t="str">
        <f>IF(Table2[[#This Row],[Description]]="","",DATE(Table2[[#This Row],[Year]],Table2[[#This Row],[Month]],1))</f>
        <v/>
      </c>
    </row>
    <row r="6184" spans="7:11" x14ac:dyDescent="0.25">
      <c r="G6184" s="1" t="str">
        <f>IF(Table2[[#This Row],[Description]]="","",VLOOKUP(Table2[[#This Row],[Description]],$Q$1:$S$101,2,FALSE))</f>
        <v/>
      </c>
      <c r="H6184" s="1" t="str">
        <f>IF(Table2[[#This Row],[Description]]="","",VLOOKUP(Table2[[#This Row],[Description]],$Q$1:$S$101,3,FALSE))</f>
        <v/>
      </c>
      <c r="I6184" s="1" t="str">
        <f>IF(Table2[[#This Row],[Description]]="","",IF(Table2[[#This Row],[Currency]]=$O$2,$P$2,HLOOKUP(Table2[[#This Row],[Date]],Funds!$C$10:$GV$11,2,FALSE)))</f>
        <v/>
      </c>
      <c r="J6184" s="215" t="str">
        <f>IF(Table2[[#This Row],[Description]]="","",Table2[[#This Row],[Value]]/Table2[[#This Row],[Conversion]])</f>
        <v/>
      </c>
      <c r="K6184" s="45" t="str">
        <f>IF(Table2[[#This Row],[Description]]="","",DATE(Table2[[#This Row],[Year]],Table2[[#This Row],[Month]],1))</f>
        <v/>
      </c>
    </row>
    <row r="6185" spans="7:11" x14ac:dyDescent="0.25">
      <c r="G6185" s="1" t="str">
        <f>IF(Table2[[#This Row],[Description]]="","",VLOOKUP(Table2[[#This Row],[Description]],$Q$1:$S$101,2,FALSE))</f>
        <v/>
      </c>
      <c r="H6185" s="1" t="str">
        <f>IF(Table2[[#This Row],[Description]]="","",VLOOKUP(Table2[[#This Row],[Description]],$Q$1:$S$101,3,FALSE))</f>
        <v/>
      </c>
      <c r="I6185" s="1" t="str">
        <f>IF(Table2[[#This Row],[Description]]="","",IF(Table2[[#This Row],[Currency]]=$O$2,$P$2,HLOOKUP(Table2[[#This Row],[Date]],Funds!$C$10:$GV$11,2,FALSE)))</f>
        <v/>
      </c>
      <c r="J6185" s="215" t="str">
        <f>IF(Table2[[#This Row],[Description]]="","",Table2[[#This Row],[Value]]/Table2[[#This Row],[Conversion]])</f>
        <v/>
      </c>
      <c r="K6185" s="45" t="str">
        <f>IF(Table2[[#This Row],[Description]]="","",DATE(Table2[[#This Row],[Year]],Table2[[#This Row],[Month]],1))</f>
        <v/>
      </c>
    </row>
    <row r="6186" spans="7:11" x14ac:dyDescent="0.25">
      <c r="G6186" s="1" t="str">
        <f>IF(Table2[[#This Row],[Description]]="","",VLOOKUP(Table2[[#This Row],[Description]],$Q$1:$S$101,2,FALSE))</f>
        <v/>
      </c>
      <c r="H6186" s="1" t="str">
        <f>IF(Table2[[#This Row],[Description]]="","",VLOOKUP(Table2[[#This Row],[Description]],$Q$1:$S$101,3,FALSE))</f>
        <v/>
      </c>
      <c r="I6186" s="1" t="str">
        <f>IF(Table2[[#This Row],[Description]]="","",IF(Table2[[#This Row],[Currency]]=$O$2,$P$2,HLOOKUP(Table2[[#This Row],[Date]],Funds!$C$10:$GV$11,2,FALSE)))</f>
        <v/>
      </c>
      <c r="J6186" s="215" t="str">
        <f>IF(Table2[[#This Row],[Description]]="","",Table2[[#This Row],[Value]]/Table2[[#This Row],[Conversion]])</f>
        <v/>
      </c>
      <c r="K6186" s="45" t="str">
        <f>IF(Table2[[#This Row],[Description]]="","",DATE(Table2[[#This Row],[Year]],Table2[[#This Row],[Month]],1))</f>
        <v/>
      </c>
    </row>
    <row r="6187" spans="7:11" x14ac:dyDescent="0.25">
      <c r="G6187" s="1" t="str">
        <f>IF(Table2[[#This Row],[Description]]="","",VLOOKUP(Table2[[#This Row],[Description]],$Q$1:$S$101,2,FALSE))</f>
        <v/>
      </c>
      <c r="H6187" s="1" t="str">
        <f>IF(Table2[[#This Row],[Description]]="","",VLOOKUP(Table2[[#This Row],[Description]],$Q$1:$S$101,3,FALSE))</f>
        <v/>
      </c>
      <c r="I6187" s="1" t="str">
        <f>IF(Table2[[#This Row],[Description]]="","",IF(Table2[[#This Row],[Currency]]=$O$2,$P$2,HLOOKUP(Table2[[#This Row],[Date]],Funds!$C$10:$GV$11,2,FALSE)))</f>
        <v/>
      </c>
      <c r="J6187" s="215" t="str">
        <f>IF(Table2[[#This Row],[Description]]="","",Table2[[#This Row],[Value]]/Table2[[#This Row],[Conversion]])</f>
        <v/>
      </c>
      <c r="K6187" s="45" t="str">
        <f>IF(Table2[[#This Row],[Description]]="","",DATE(Table2[[#This Row],[Year]],Table2[[#This Row],[Month]],1))</f>
        <v/>
      </c>
    </row>
    <row r="6188" spans="7:11" x14ac:dyDescent="0.25">
      <c r="G6188" s="1" t="str">
        <f>IF(Table2[[#This Row],[Description]]="","",VLOOKUP(Table2[[#This Row],[Description]],$Q$1:$S$101,2,FALSE))</f>
        <v/>
      </c>
      <c r="H6188" s="1" t="str">
        <f>IF(Table2[[#This Row],[Description]]="","",VLOOKUP(Table2[[#This Row],[Description]],$Q$1:$S$101,3,FALSE))</f>
        <v/>
      </c>
      <c r="I6188" s="1" t="str">
        <f>IF(Table2[[#This Row],[Description]]="","",IF(Table2[[#This Row],[Currency]]=$O$2,$P$2,HLOOKUP(Table2[[#This Row],[Date]],Funds!$C$10:$GV$11,2,FALSE)))</f>
        <v/>
      </c>
      <c r="J6188" s="215" t="str">
        <f>IF(Table2[[#This Row],[Description]]="","",Table2[[#This Row],[Value]]/Table2[[#This Row],[Conversion]])</f>
        <v/>
      </c>
      <c r="K6188" s="45" t="str">
        <f>IF(Table2[[#This Row],[Description]]="","",DATE(Table2[[#This Row],[Year]],Table2[[#This Row],[Month]],1))</f>
        <v/>
      </c>
    </row>
    <row r="6189" spans="7:11" x14ac:dyDescent="0.25">
      <c r="G6189" s="1" t="str">
        <f>IF(Table2[[#This Row],[Description]]="","",VLOOKUP(Table2[[#This Row],[Description]],$Q$1:$S$101,2,FALSE))</f>
        <v/>
      </c>
      <c r="H6189" s="1" t="str">
        <f>IF(Table2[[#This Row],[Description]]="","",VLOOKUP(Table2[[#This Row],[Description]],$Q$1:$S$101,3,FALSE))</f>
        <v/>
      </c>
      <c r="I6189" s="1" t="str">
        <f>IF(Table2[[#This Row],[Description]]="","",IF(Table2[[#This Row],[Currency]]=$O$2,$P$2,HLOOKUP(Table2[[#This Row],[Date]],Funds!$C$10:$GV$11,2,FALSE)))</f>
        <v/>
      </c>
      <c r="J6189" s="215" t="str">
        <f>IF(Table2[[#This Row],[Description]]="","",Table2[[#This Row],[Value]]/Table2[[#This Row],[Conversion]])</f>
        <v/>
      </c>
      <c r="K6189" s="45" t="str">
        <f>IF(Table2[[#This Row],[Description]]="","",DATE(Table2[[#This Row],[Year]],Table2[[#This Row],[Month]],1))</f>
        <v/>
      </c>
    </row>
    <row r="6190" spans="7:11" x14ac:dyDescent="0.25">
      <c r="G6190" s="1" t="str">
        <f>IF(Table2[[#This Row],[Description]]="","",VLOOKUP(Table2[[#This Row],[Description]],$Q$1:$S$101,2,FALSE))</f>
        <v/>
      </c>
      <c r="H6190" s="1" t="str">
        <f>IF(Table2[[#This Row],[Description]]="","",VLOOKUP(Table2[[#This Row],[Description]],$Q$1:$S$101,3,FALSE))</f>
        <v/>
      </c>
      <c r="I6190" s="1" t="str">
        <f>IF(Table2[[#This Row],[Description]]="","",IF(Table2[[#This Row],[Currency]]=$O$2,$P$2,HLOOKUP(Table2[[#This Row],[Date]],Funds!$C$10:$GV$11,2,FALSE)))</f>
        <v/>
      </c>
      <c r="J6190" s="215" t="str">
        <f>IF(Table2[[#This Row],[Description]]="","",Table2[[#This Row],[Value]]/Table2[[#This Row],[Conversion]])</f>
        <v/>
      </c>
      <c r="K6190" s="45" t="str">
        <f>IF(Table2[[#This Row],[Description]]="","",DATE(Table2[[#This Row],[Year]],Table2[[#This Row],[Month]],1))</f>
        <v/>
      </c>
    </row>
    <row r="6191" spans="7:11" x14ac:dyDescent="0.25">
      <c r="G6191" s="1" t="str">
        <f>IF(Table2[[#This Row],[Description]]="","",VLOOKUP(Table2[[#This Row],[Description]],$Q$1:$S$101,2,FALSE))</f>
        <v/>
      </c>
      <c r="H6191" s="1" t="str">
        <f>IF(Table2[[#This Row],[Description]]="","",VLOOKUP(Table2[[#This Row],[Description]],$Q$1:$S$101,3,FALSE))</f>
        <v/>
      </c>
      <c r="I6191" s="1" t="str">
        <f>IF(Table2[[#This Row],[Description]]="","",IF(Table2[[#This Row],[Currency]]=$O$2,$P$2,HLOOKUP(Table2[[#This Row],[Date]],Funds!$C$10:$GV$11,2,FALSE)))</f>
        <v/>
      </c>
      <c r="J6191" s="215" t="str">
        <f>IF(Table2[[#This Row],[Description]]="","",Table2[[#This Row],[Value]]/Table2[[#This Row],[Conversion]])</f>
        <v/>
      </c>
      <c r="K6191" s="45" t="str">
        <f>IF(Table2[[#This Row],[Description]]="","",DATE(Table2[[#This Row],[Year]],Table2[[#This Row],[Month]],1))</f>
        <v/>
      </c>
    </row>
    <row r="6192" spans="7:11" x14ac:dyDescent="0.25">
      <c r="G6192" s="1" t="str">
        <f>IF(Table2[[#This Row],[Description]]="","",VLOOKUP(Table2[[#This Row],[Description]],$Q$1:$S$101,2,FALSE))</f>
        <v/>
      </c>
      <c r="H6192" s="1" t="str">
        <f>IF(Table2[[#This Row],[Description]]="","",VLOOKUP(Table2[[#This Row],[Description]],$Q$1:$S$101,3,FALSE))</f>
        <v/>
      </c>
      <c r="I6192" s="1" t="str">
        <f>IF(Table2[[#This Row],[Description]]="","",IF(Table2[[#This Row],[Currency]]=$O$2,$P$2,HLOOKUP(Table2[[#This Row],[Date]],Funds!$C$10:$GV$11,2,FALSE)))</f>
        <v/>
      </c>
      <c r="J6192" s="215" t="str">
        <f>IF(Table2[[#This Row],[Description]]="","",Table2[[#This Row],[Value]]/Table2[[#This Row],[Conversion]])</f>
        <v/>
      </c>
      <c r="K6192" s="45" t="str">
        <f>IF(Table2[[#This Row],[Description]]="","",DATE(Table2[[#This Row],[Year]],Table2[[#This Row],[Month]],1))</f>
        <v/>
      </c>
    </row>
    <row r="6193" spans="7:11" x14ac:dyDescent="0.25">
      <c r="G6193" s="1" t="str">
        <f>IF(Table2[[#This Row],[Description]]="","",VLOOKUP(Table2[[#This Row],[Description]],$Q$1:$S$101,2,FALSE))</f>
        <v/>
      </c>
      <c r="H6193" s="1" t="str">
        <f>IF(Table2[[#This Row],[Description]]="","",VLOOKUP(Table2[[#This Row],[Description]],$Q$1:$S$101,3,FALSE))</f>
        <v/>
      </c>
      <c r="I6193" s="1" t="str">
        <f>IF(Table2[[#This Row],[Description]]="","",IF(Table2[[#This Row],[Currency]]=$O$2,$P$2,HLOOKUP(Table2[[#This Row],[Date]],Funds!$C$10:$GV$11,2,FALSE)))</f>
        <v/>
      </c>
      <c r="J6193" s="215" t="str">
        <f>IF(Table2[[#This Row],[Description]]="","",Table2[[#This Row],[Value]]/Table2[[#This Row],[Conversion]])</f>
        <v/>
      </c>
      <c r="K6193" s="45" t="str">
        <f>IF(Table2[[#This Row],[Description]]="","",DATE(Table2[[#This Row],[Year]],Table2[[#This Row],[Month]],1))</f>
        <v/>
      </c>
    </row>
    <row r="6194" spans="7:11" x14ac:dyDescent="0.25">
      <c r="G6194" s="1" t="str">
        <f>IF(Table2[[#This Row],[Description]]="","",VLOOKUP(Table2[[#This Row],[Description]],$Q$1:$S$101,2,FALSE))</f>
        <v/>
      </c>
      <c r="H6194" s="1" t="str">
        <f>IF(Table2[[#This Row],[Description]]="","",VLOOKUP(Table2[[#This Row],[Description]],$Q$1:$S$101,3,FALSE))</f>
        <v/>
      </c>
      <c r="I6194" s="1" t="str">
        <f>IF(Table2[[#This Row],[Description]]="","",IF(Table2[[#This Row],[Currency]]=$O$2,$P$2,HLOOKUP(Table2[[#This Row],[Date]],Funds!$C$10:$GV$11,2,FALSE)))</f>
        <v/>
      </c>
      <c r="J6194" s="215" t="str">
        <f>IF(Table2[[#This Row],[Description]]="","",Table2[[#This Row],[Value]]/Table2[[#This Row],[Conversion]])</f>
        <v/>
      </c>
      <c r="K6194" s="45" t="str">
        <f>IF(Table2[[#This Row],[Description]]="","",DATE(Table2[[#This Row],[Year]],Table2[[#This Row],[Month]],1))</f>
        <v/>
      </c>
    </row>
    <row r="6195" spans="7:11" x14ac:dyDescent="0.25">
      <c r="G6195" s="1" t="str">
        <f>IF(Table2[[#This Row],[Description]]="","",VLOOKUP(Table2[[#This Row],[Description]],$Q$1:$S$101,2,FALSE))</f>
        <v/>
      </c>
      <c r="H6195" s="1" t="str">
        <f>IF(Table2[[#This Row],[Description]]="","",VLOOKUP(Table2[[#This Row],[Description]],$Q$1:$S$101,3,FALSE))</f>
        <v/>
      </c>
      <c r="I6195" s="1" t="str">
        <f>IF(Table2[[#This Row],[Description]]="","",IF(Table2[[#This Row],[Currency]]=$O$2,$P$2,HLOOKUP(Table2[[#This Row],[Date]],Funds!$C$10:$GV$11,2,FALSE)))</f>
        <v/>
      </c>
      <c r="J6195" s="215" t="str">
        <f>IF(Table2[[#This Row],[Description]]="","",Table2[[#This Row],[Value]]/Table2[[#This Row],[Conversion]])</f>
        <v/>
      </c>
      <c r="K6195" s="45" t="str">
        <f>IF(Table2[[#This Row],[Description]]="","",DATE(Table2[[#This Row],[Year]],Table2[[#This Row],[Month]],1))</f>
        <v/>
      </c>
    </row>
    <row r="6196" spans="7:11" x14ac:dyDescent="0.25">
      <c r="G6196" s="1" t="str">
        <f>IF(Table2[[#This Row],[Description]]="","",VLOOKUP(Table2[[#This Row],[Description]],$Q$1:$S$101,2,FALSE))</f>
        <v/>
      </c>
      <c r="H6196" s="1" t="str">
        <f>IF(Table2[[#This Row],[Description]]="","",VLOOKUP(Table2[[#This Row],[Description]],$Q$1:$S$101,3,FALSE))</f>
        <v/>
      </c>
      <c r="I6196" s="1" t="str">
        <f>IF(Table2[[#This Row],[Description]]="","",IF(Table2[[#This Row],[Currency]]=$O$2,$P$2,HLOOKUP(Table2[[#This Row],[Date]],Funds!$C$10:$GV$11,2,FALSE)))</f>
        <v/>
      </c>
      <c r="J6196" s="215" t="str">
        <f>IF(Table2[[#This Row],[Description]]="","",Table2[[#This Row],[Value]]/Table2[[#This Row],[Conversion]])</f>
        <v/>
      </c>
      <c r="K6196" s="45" t="str">
        <f>IF(Table2[[#This Row],[Description]]="","",DATE(Table2[[#This Row],[Year]],Table2[[#This Row],[Month]],1))</f>
        <v/>
      </c>
    </row>
    <row r="6197" spans="7:11" x14ac:dyDescent="0.25">
      <c r="G6197" s="1" t="str">
        <f>IF(Table2[[#This Row],[Description]]="","",VLOOKUP(Table2[[#This Row],[Description]],$Q$1:$S$101,2,FALSE))</f>
        <v/>
      </c>
      <c r="H6197" s="1" t="str">
        <f>IF(Table2[[#This Row],[Description]]="","",VLOOKUP(Table2[[#This Row],[Description]],$Q$1:$S$101,3,FALSE))</f>
        <v/>
      </c>
      <c r="I6197" s="1" t="str">
        <f>IF(Table2[[#This Row],[Description]]="","",IF(Table2[[#This Row],[Currency]]=$O$2,$P$2,HLOOKUP(Table2[[#This Row],[Date]],Funds!$C$10:$GV$11,2,FALSE)))</f>
        <v/>
      </c>
      <c r="J6197" s="215" t="str">
        <f>IF(Table2[[#This Row],[Description]]="","",Table2[[#This Row],[Value]]/Table2[[#This Row],[Conversion]])</f>
        <v/>
      </c>
      <c r="K6197" s="45" t="str">
        <f>IF(Table2[[#This Row],[Description]]="","",DATE(Table2[[#This Row],[Year]],Table2[[#This Row],[Month]],1))</f>
        <v/>
      </c>
    </row>
    <row r="6198" spans="7:11" x14ac:dyDescent="0.25">
      <c r="G6198" s="1" t="str">
        <f>IF(Table2[[#This Row],[Description]]="","",VLOOKUP(Table2[[#This Row],[Description]],$Q$1:$S$101,2,FALSE))</f>
        <v/>
      </c>
      <c r="H6198" s="1" t="str">
        <f>IF(Table2[[#This Row],[Description]]="","",VLOOKUP(Table2[[#This Row],[Description]],$Q$1:$S$101,3,FALSE))</f>
        <v/>
      </c>
      <c r="I6198" s="1" t="str">
        <f>IF(Table2[[#This Row],[Description]]="","",IF(Table2[[#This Row],[Currency]]=$O$2,$P$2,HLOOKUP(Table2[[#This Row],[Date]],Funds!$C$10:$GV$11,2,FALSE)))</f>
        <v/>
      </c>
      <c r="J6198" s="215" t="str">
        <f>IF(Table2[[#This Row],[Description]]="","",Table2[[#This Row],[Value]]/Table2[[#This Row],[Conversion]])</f>
        <v/>
      </c>
      <c r="K6198" s="45" t="str">
        <f>IF(Table2[[#This Row],[Description]]="","",DATE(Table2[[#This Row],[Year]],Table2[[#This Row],[Month]],1))</f>
        <v/>
      </c>
    </row>
    <row r="6199" spans="7:11" x14ac:dyDescent="0.25">
      <c r="G6199" s="1" t="str">
        <f>IF(Table2[[#This Row],[Description]]="","",VLOOKUP(Table2[[#This Row],[Description]],$Q$1:$S$101,2,FALSE))</f>
        <v/>
      </c>
      <c r="H6199" s="1" t="str">
        <f>IF(Table2[[#This Row],[Description]]="","",VLOOKUP(Table2[[#This Row],[Description]],$Q$1:$S$101,3,FALSE))</f>
        <v/>
      </c>
      <c r="I6199" s="1" t="str">
        <f>IF(Table2[[#This Row],[Description]]="","",IF(Table2[[#This Row],[Currency]]=$O$2,$P$2,HLOOKUP(Table2[[#This Row],[Date]],Funds!$C$10:$GV$11,2,FALSE)))</f>
        <v/>
      </c>
      <c r="J6199" s="215" t="str">
        <f>IF(Table2[[#This Row],[Description]]="","",Table2[[#This Row],[Value]]/Table2[[#This Row],[Conversion]])</f>
        <v/>
      </c>
      <c r="K6199" s="45" t="str">
        <f>IF(Table2[[#This Row],[Description]]="","",DATE(Table2[[#This Row],[Year]],Table2[[#This Row],[Month]],1))</f>
        <v/>
      </c>
    </row>
    <row r="6200" spans="7:11" x14ac:dyDescent="0.25">
      <c r="G6200" s="1" t="str">
        <f>IF(Table2[[#This Row],[Description]]="","",VLOOKUP(Table2[[#This Row],[Description]],$Q$1:$S$101,2,FALSE))</f>
        <v/>
      </c>
      <c r="H6200" s="1" t="str">
        <f>IF(Table2[[#This Row],[Description]]="","",VLOOKUP(Table2[[#This Row],[Description]],$Q$1:$S$101,3,FALSE))</f>
        <v/>
      </c>
      <c r="I6200" s="1" t="str">
        <f>IF(Table2[[#This Row],[Description]]="","",IF(Table2[[#This Row],[Currency]]=$O$2,$P$2,HLOOKUP(Table2[[#This Row],[Date]],Funds!$C$10:$GV$11,2,FALSE)))</f>
        <v/>
      </c>
      <c r="J6200" s="215" t="str">
        <f>IF(Table2[[#This Row],[Description]]="","",Table2[[#This Row],[Value]]/Table2[[#This Row],[Conversion]])</f>
        <v/>
      </c>
      <c r="K6200" s="45" t="str">
        <f>IF(Table2[[#This Row],[Description]]="","",DATE(Table2[[#This Row],[Year]],Table2[[#This Row],[Month]],1))</f>
        <v/>
      </c>
    </row>
    <row r="6201" spans="7:11" x14ac:dyDescent="0.25">
      <c r="G6201" s="1" t="str">
        <f>IF(Table2[[#This Row],[Description]]="","",VLOOKUP(Table2[[#This Row],[Description]],$Q$1:$S$101,2,FALSE))</f>
        <v/>
      </c>
      <c r="H6201" s="1" t="str">
        <f>IF(Table2[[#This Row],[Description]]="","",VLOOKUP(Table2[[#This Row],[Description]],$Q$1:$S$101,3,FALSE))</f>
        <v/>
      </c>
      <c r="I6201" s="1" t="str">
        <f>IF(Table2[[#This Row],[Description]]="","",IF(Table2[[#This Row],[Currency]]=$O$2,$P$2,HLOOKUP(Table2[[#This Row],[Date]],Funds!$C$10:$GV$11,2,FALSE)))</f>
        <v/>
      </c>
      <c r="J6201" s="215" t="str">
        <f>IF(Table2[[#This Row],[Description]]="","",Table2[[#This Row],[Value]]/Table2[[#This Row],[Conversion]])</f>
        <v/>
      </c>
      <c r="K6201" s="45" t="str">
        <f>IF(Table2[[#This Row],[Description]]="","",DATE(Table2[[#This Row],[Year]],Table2[[#This Row],[Month]],1))</f>
        <v/>
      </c>
    </row>
    <row r="6202" spans="7:11" x14ac:dyDescent="0.25">
      <c r="G6202" s="1" t="str">
        <f>IF(Table2[[#This Row],[Description]]="","",VLOOKUP(Table2[[#This Row],[Description]],$Q$1:$S$101,2,FALSE))</f>
        <v/>
      </c>
      <c r="H6202" s="1" t="str">
        <f>IF(Table2[[#This Row],[Description]]="","",VLOOKUP(Table2[[#This Row],[Description]],$Q$1:$S$101,3,FALSE))</f>
        <v/>
      </c>
      <c r="I6202" s="1" t="str">
        <f>IF(Table2[[#This Row],[Description]]="","",IF(Table2[[#This Row],[Currency]]=$O$2,$P$2,HLOOKUP(Table2[[#This Row],[Date]],Funds!$C$10:$GV$11,2,FALSE)))</f>
        <v/>
      </c>
      <c r="J6202" s="215" t="str">
        <f>IF(Table2[[#This Row],[Description]]="","",Table2[[#This Row],[Value]]/Table2[[#This Row],[Conversion]])</f>
        <v/>
      </c>
      <c r="K6202" s="45" t="str">
        <f>IF(Table2[[#This Row],[Description]]="","",DATE(Table2[[#This Row],[Year]],Table2[[#This Row],[Month]],1))</f>
        <v/>
      </c>
    </row>
    <row r="6203" spans="7:11" x14ac:dyDescent="0.25">
      <c r="G6203" s="1" t="str">
        <f>IF(Table2[[#This Row],[Description]]="","",VLOOKUP(Table2[[#This Row],[Description]],$Q$1:$S$101,2,FALSE))</f>
        <v/>
      </c>
      <c r="H6203" s="1" t="str">
        <f>IF(Table2[[#This Row],[Description]]="","",VLOOKUP(Table2[[#This Row],[Description]],$Q$1:$S$101,3,FALSE))</f>
        <v/>
      </c>
      <c r="I6203" s="1" t="str">
        <f>IF(Table2[[#This Row],[Description]]="","",IF(Table2[[#This Row],[Currency]]=$O$2,$P$2,HLOOKUP(Table2[[#This Row],[Date]],Funds!$C$10:$GV$11,2,FALSE)))</f>
        <v/>
      </c>
      <c r="J6203" s="215" t="str">
        <f>IF(Table2[[#This Row],[Description]]="","",Table2[[#This Row],[Value]]/Table2[[#This Row],[Conversion]])</f>
        <v/>
      </c>
      <c r="K6203" s="45" t="str">
        <f>IF(Table2[[#This Row],[Description]]="","",DATE(Table2[[#This Row],[Year]],Table2[[#This Row],[Month]],1))</f>
        <v/>
      </c>
    </row>
    <row r="6204" spans="7:11" x14ac:dyDescent="0.25">
      <c r="G6204" s="1" t="str">
        <f>IF(Table2[[#This Row],[Description]]="","",VLOOKUP(Table2[[#This Row],[Description]],$Q$1:$S$101,2,FALSE))</f>
        <v/>
      </c>
      <c r="H6204" s="1" t="str">
        <f>IF(Table2[[#This Row],[Description]]="","",VLOOKUP(Table2[[#This Row],[Description]],$Q$1:$S$101,3,FALSE))</f>
        <v/>
      </c>
      <c r="I6204" s="1" t="str">
        <f>IF(Table2[[#This Row],[Description]]="","",IF(Table2[[#This Row],[Currency]]=$O$2,$P$2,HLOOKUP(Table2[[#This Row],[Date]],Funds!$C$10:$GV$11,2,FALSE)))</f>
        <v/>
      </c>
      <c r="J6204" s="215" t="str">
        <f>IF(Table2[[#This Row],[Description]]="","",Table2[[#This Row],[Value]]/Table2[[#This Row],[Conversion]])</f>
        <v/>
      </c>
      <c r="K6204" s="45" t="str">
        <f>IF(Table2[[#This Row],[Description]]="","",DATE(Table2[[#This Row],[Year]],Table2[[#This Row],[Month]],1))</f>
        <v/>
      </c>
    </row>
    <row r="6205" spans="7:11" x14ac:dyDescent="0.25">
      <c r="G6205" s="1" t="str">
        <f>IF(Table2[[#This Row],[Description]]="","",VLOOKUP(Table2[[#This Row],[Description]],$Q$1:$S$101,2,FALSE))</f>
        <v/>
      </c>
      <c r="H6205" s="1" t="str">
        <f>IF(Table2[[#This Row],[Description]]="","",VLOOKUP(Table2[[#This Row],[Description]],$Q$1:$S$101,3,FALSE))</f>
        <v/>
      </c>
      <c r="I6205" s="1" t="str">
        <f>IF(Table2[[#This Row],[Description]]="","",IF(Table2[[#This Row],[Currency]]=$O$2,$P$2,HLOOKUP(Table2[[#This Row],[Date]],Funds!$C$10:$GV$11,2,FALSE)))</f>
        <v/>
      </c>
      <c r="J6205" s="215" t="str">
        <f>IF(Table2[[#This Row],[Description]]="","",Table2[[#This Row],[Value]]/Table2[[#This Row],[Conversion]])</f>
        <v/>
      </c>
      <c r="K6205" s="45" t="str">
        <f>IF(Table2[[#This Row],[Description]]="","",DATE(Table2[[#This Row],[Year]],Table2[[#This Row],[Month]],1))</f>
        <v/>
      </c>
    </row>
    <row r="6206" spans="7:11" x14ac:dyDescent="0.25">
      <c r="G6206" s="1" t="str">
        <f>IF(Table2[[#This Row],[Description]]="","",VLOOKUP(Table2[[#This Row],[Description]],$Q$1:$S$101,2,FALSE))</f>
        <v/>
      </c>
      <c r="H6206" s="1" t="str">
        <f>IF(Table2[[#This Row],[Description]]="","",VLOOKUP(Table2[[#This Row],[Description]],$Q$1:$S$101,3,FALSE))</f>
        <v/>
      </c>
      <c r="I6206" s="1" t="str">
        <f>IF(Table2[[#This Row],[Description]]="","",IF(Table2[[#This Row],[Currency]]=$O$2,$P$2,HLOOKUP(Table2[[#This Row],[Date]],Funds!$C$10:$GV$11,2,FALSE)))</f>
        <v/>
      </c>
      <c r="J6206" s="215" t="str">
        <f>IF(Table2[[#This Row],[Description]]="","",Table2[[#This Row],[Value]]/Table2[[#This Row],[Conversion]])</f>
        <v/>
      </c>
      <c r="K6206" s="45" t="str">
        <f>IF(Table2[[#This Row],[Description]]="","",DATE(Table2[[#This Row],[Year]],Table2[[#This Row],[Month]],1))</f>
        <v/>
      </c>
    </row>
    <row r="6207" spans="7:11" x14ac:dyDescent="0.25">
      <c r="G6207" s="1" t="str">
        <f>IF(Table2[[#This Row],[Description]]="","",VLOOKUP(Table2[[#This Row],[Description]],$Q$1:$S$101,2,FALSE))</f>
        <v/>
      </c>
      <c r="H6207" s="1" t="str">
        <f>IF(Table2[[#This Row],[Description]]="","",VLOOKUP(Table2[[#This Row],[Description]],$Q$1:$S$101,3,FALSE))</f>
        <v/>
      </c>
      <c r="I6207" s="1" t="str">
        <f>IF(Table2[[#This Row],[Description]]="","",IF(Table2[[#This Row],[Currency]]=$O$2,$P$2,HLOOKUP(Table2[[#This Row],[Date]],Funds!$C$10:$GV$11,2,FALSE)))</f>
        <v/>
      </c>
      <c r="J6207" s="215" t="str">
        <f>IF(Table2[[#This Row],[Description]]="","",Table2[[#This Row],[Value]]/Table2[[#This Row],[Conversion]])</f>
        <v/>
      </c>
      <c r="K6207" s="45" t="str">
        <f>IF(Table2[[#This Row],[Description]]="","",DATE(Table2[[#This Row],[Year]],Table2[[#This Row],[Month]],1))</f>
        <v/>
      </c>
    </row>
    <row r="6208" spans="7:11" x14ac:dyDescent="0.25">
      <c r="G6208" s="1" t="str">
        <f>IF(Table2[[#This Row],[Description]]="","",VLOOKUP(Table2[[#This Row],[Description]],$Q$1:$S$101,2,FALSE))</f>
        <v/>
      </c>
      <c r="H6208" s="1" t="str">
        <f>IF(Table2[[#This Row],[Description]]="","",VLOOKUP(Table2[[#This Row],[Description]],$Q$1:$S$101,3,FALSE))</f>
        <v/>
      </c>
      <c r="I6208" s="1" t="str">
        <f>IF(Table2[[#This Row],[Description]]="","",IF(Table2[[#This Row],[Currency]]=$O$2,$P$2,HLOOKUP(Table2[[#This Row],[Date]],Funds!$C$10:$GV$11,2,FALSE)))</f>
        <v/>
      </c>
      <c r="J6208" s="215" t="str">
        <f>IF(Table2[[#This Row],[Description]]="","",Table2[[#This Row],[Value]]/Table2[[#This Row],[Conversion]])</f>
        <v/>
      </c>
      <c r="K6208" s="45" t="str">
        <f>IF(Table2[[#This Row],[Description]]="","",DATE(Table2[[#This Row],[Year]],Table2[[#This Row],[Month]],1))</f>
        <v/>
      </c>
    </row>
    <row r="6209" spans="7:11" x14ac:dyDescent="0.25">
      <c r="G6209" s="1" t="str">
        <f>IF(Table2[[#This Row],[Description]]="","",VLOOKUP(Table2[[#This Row],[Description]],$Q$1:$S$101,2,FALSE))</f>
        <v/>
      </c>
      <c r="H6209" s="1" t="str">
        <f>IF(Table2[[#This Row],[Description]]="","",VLOOKUP(Table2[[#This Row],[Description]],$Q$1:$S$101,3,FALSE))</f>
        <v/>
      </c>
      <c r="I6209" s="1" t="str">
        <f>IF(Table2[[#This Row],[Description]]="","",IF(Table2[[#This Row],[Currency]]=$O$2,$P$2,HLOOKUP(Table2[[#This Row],[Date]],Funds!$C$10:$GV$11,2,FALSE)))</f>
        <v/>
      </c>
      <c r="J6209" s="215" t="str">
        <f>IF(Table2[[#This Row],[Description]]="","",Table2[[#This Row],[Value]]/Table2[[#This Row],[Conversion]])</f>
        <v/>
      </c>
      <c r="K6209" s="45" t="str">
        <f>IF(Table2[[#This Row],[Description]]="","",DATE(Table2[[#This Row],[Year]],Table2[[#This Row],[Month]],1))</f>
        <v/>
      </c>
    </row>
    <row r="6210" spans="7:11" x14ac:dyDescent="0.25">
      <c r="G6210" s="1" t="str">
        <f>IF(Table2[[#This Row],[Description]]="","",VLOOKUP(Table2[[#This Row],[Description]],$Q$1:$S$101,2,FALSE))</f>
        <v/>
      </c>
      <c r="H6210" s="1" t="str">
        <f>IF(Table2[[#This Row],[Description]]="","",VLOOKUP(Table2[[#This Row],[Description]],$Q$1:$S$101,3,FALSE))</f>
        <v/>
      </c>
      <c r="I6210" s="1" t="str">
        <f>IF(Table2[[#This Row],[Description]]="","",IF(Table2[[#This Row],[Currency]]=$O$2,$P$2,HLOOKUP(Table2[[#This Row],[Date]],Funds!$C$10:$GV$11,2,FALSE)))</f>
        <v/>
      </c>
      <c r="J6210" s="215" t="str">
        <f>IF(Table2[[#This Row],[Description]]="","",Table2[[#This Row],[Value]]/Table2[[#This Row],[Conversion]])</f>
        <v/>
      </c>
      <c r="K6210" s="45" t="str">
        <f>IF(Table2[[#This Row],[Description]]="","",DATE(Table2[[#This Row],[Year]],Table2[[#This Row],[Month]],1))</f>
        <v/>
      </c>
    </row>
    <row r="6211" spans="7:11" x14ac:dyDescent="0.25">
      <c r="G6211" s="1" t="str">
        <f>IF(Table2[[#This Row],[Description]]="","",VLOOKUP(Table2[[#This Row],[Description]],$Q$1:$S$101,2,FALSE))</f>
        <v/>
      </c>
      <c r="H6211" s="1" t="str">
        <f>IF(Table2[[#This Row],[Description]]="","",VLOOKUP(Table2[[#This Row],[Description]],$Q$1:$S$101,3,FALSE))</f>
        <v/>
      </c>
      <c r="I6211" s="1" t="str">
        <f>IF(Table2[[#This Row],[Description]]="","",IF(Table2[[#This Row],[Currency]]=$O$2,$P$2,HLOOKUP(Table2[[#This Row],[Date]],Funds!$C$10:$GV$11,2,FALSE)))</f>
        <v/>
      </c>
      <c r="J6211" s="215" t="str">
        <f>IF(Table2[[#This Row],[Description]]="","",Table2[[#This Row],[Value]]/Table2[[#This Row],[Conversion]])</f>
        <v/>
      </c>
      <c r="K6211" s="45" t="str">
        <f>IF(Table2[[#This Row],[Description]]="","",DATE(Table2[[#This Row],[Year]],Table2[[#This Row],[Month]],1))</f>
        <v/>
      </c>
    </row>
    <row r="6212" spans="7:11" x14ac:dyDescent="0.25">
      <c r="G6212" s="1" t="str">
        <f>IF(Table2[[#This Row],[Description]]="","",VLOOKUP(Table2[[#This Row],[Description]],$Q$1:$S$101,2,FALSE))</f>
        <v/>
      </c>
      <c r="H6212" s="1" t="str">
        <f>IF(Table2[[#This Row],[Description]]="","",VLOOKUP(Table2[[#This Row],[Description]],$Q$1:$S$101,3,FALSE))</f>
        <v/>
      </c>
      <c r="I6212" s="1" t="str">
        <f>IF(Table2[[#This Row],[Description]]="","",IF(Table2[[#This Row],[Currency]]=$O$2,$P$2,HLOOKUP(Table2[[#This Row],[Date]],Funds!$C$10:$GV$11,2,FALSE)))</f>
        <v/>
      </c>
      <c r="J6212" s="215" t="str">
        <f>IF(Table2[[#This Row],[Description]]="","",Table2[[#This Row],[Value]]/Table2[[#This Row],[Conversion]])</f>
        <v/>
      </c>
      <c r="K6212" s="45" t="str">
        <f>IF(Table2[[#This Row],[Description]]="","",DATE(Table2[[#This Row],[Year]],Table2[[#This Row],[Month]],1))</f>
        <v/>
      </c>
    </row>
    <row r="6213" spans="7:11" x14ac:dyDescent="0.25">
      <c r="G6213" s="1" t="str">
        <f>IF(Table2[[#This Row],[Description]]="","",VLOOKUP(Table2[[#This Row],[Description]],$Q$1:$S$101,2,FALSE))</f>
        <v/>
      </c>
      <c r="H6213" s="1" t="str">
        <f>IF(Table2[[#This Row],[Description]]="","",VLOOKUP(Table2[[#This Row],[Description]],$Q$1:$S$101,3,FALSE))</f>
        <v/>
      </c>
      <c r="I6213" s="1" t="str">
        <f>IF(Table2[[#This Row],[Description]]="","",IF(Table2[[#This Row],[Currency]]=$O$2,$P$2,HLOOKUP(Table2[[#This Row],[Date]],Funds!$C$10:$GV$11,2,FALSE)))</f>
        <v/>
      </c>
      <c r="J6213" s="215" t="str">
        <f>IF(Table2[[#This Row],[Description]]="","",Table2[[#This Row],[Value]]/Table2[[#This Row],[Conversion]])</f>
        <v/>
      </c>
      <c r="K6213" s="45" t="str">
        <f>IF(Table2[[#This Row],[Description]]="","",DATE(Table2[[#This Row],[Year]],Table2[[#This Row],[Month]],1))</f>
        <v/>
      </c>
    </row>
    <row r="6214" spans="7:11" x14ac:dyDescent="0.25">
      <c r="G6214" s="1" t="str">
        <f>IF(Table2[[#This Row],[Description]]="","",VLOOKUP(Table2[[#This Row],[Description]],$Q$1:$S$101,2,FALSE))</f>
        <v/>
      </c>
      <c r="H6214" s="1" t="str">
        <f>IF(Table2[[#This Row],[Description]]="","",VLOOKUP(Table2[[#This Row],[Description]],$Q$1:$S$101,3,FALSE))</f>
        <v/>
      </c>
      <c r="I6214" s="1" t="str">
        <f>IF(Table2[[#This Row],[Description]]="","",IF(Table2[[#This Row],[Currency]]=$O$2,$P$2,HLOOKUP(Table2[[#This Row],[Date]],Funds!$C$10:$GV$11,2,FALSE)))</f>
        <v/>
      </c>
      <c r="J6214" s="215" t="str">
        <f>IF(Table2[[#This Row],[Description]]="","",Table2[[#This Row],[Value]]/Table2[[#This Row],[Conversion]])</f>
        <v/>
      </c>
      <c r="K6214" s="45" t="str">
        <f>IF(Table2[[#This Row],[Description]]="","",DATE(Table2[[#This Row],[Year]],Table2[[#This Row],[Month]],1))</f>
        <v/>
      </c>
    </row>
    <row r="6215" spans="7:11" x14ac:dyDescent="0.25">
      <c r="G6215" s="1" t="str">
        <f>IF(Table2[[#This Row],[Description]]="","",VLOOKUP(Table2[[#This Row],[Description]],$Q$1:$S$101,2,FALSE))</f>
        <v/>
      </c>
      <c r="H6215" s="1" t="str">
        <f>IF(Table2[[#This Row],[Description]]="","",VLOOKUP(Table2[[#This Row],[Description]],$Q$1:$S$101,3,FALSE))</f>
        <v/>
      </c>
      <c r="I6215" s="1" t="str">
        <f>IF(Table2[[#This Row],[Description]]="","",IF(Table2[[#This Row],[Currency]]=$O$2,$P$2,HLOOKUP(Table2[[#This Row],[Date]],Funds!$C$10:$GV$11,2,FALSE)))</f>
        <v/>
      </c>
      <c r="J6215" s="215" t="str">
        <f>IF(Table2[[#This Row],[Description]]="","",Table2[[#This Row],[Value]]/Table2[[#This Row],[Conversion]])</f>
        <v/>
      </c>
      <c r="K6215" s="45" t="str">
        <f>IF(Table2[[#This Row],[Description]]="","",DATE(Table2[[#This Row],[Year]],Table2[[#This Row],[Month]],1))</f>
        <v/>
      </c>
    </row>
    <row r="6216" spans="7:11" x14ac:dyDescent="0.25">
      <c r="G6216" s="1" t="str">
        <f>IF(Table2[[#This Row],[Description]]="","",VLOOKUP(Table2[[#This Row],[Description]],$Q$1:$S$101,2,FALSE))</f>
        <v/>
      </c>
      <c r="H6216" s="1" t="str">
        <f>IF(Table2[[#This Row],[Description]]="","",VLOOKUP(Table2[[#This Row],[Description]],$Q$1:$S$101,3,FALSE))</f>
        <v/>
      </c>
      <c r="I6216" s="1" t="str">
        <f>IF(Table2[[#This Row],[Description]]="","",IF(Table2[[#This Row],[Currency]]=$O$2,$P$2,HLOOKUP(Table2[[#This Row],[Date]],Funds!$C$10:$GV$11,2,FALSE)))</f>
        <v/>
      </c>
      <c r="J6216" s="215" t="str">
        <f>IF(Table2[[#This Row],[Description]]="","",Table2[[#This Row],[Value]]/Table2[[#This Row],[Conversion]])</f>
        <v/>
      </c>
      <c r="K6216" s="45" t="str">
        <f>IF(Table2[[#This Row],[Description]]="","",DATE(Table2[[#This Row],[Year]],Table2[[#This Row],[Month]],1))</f>
        <v/>
      </c>
    </row>
    <row r="6217" spans="7:11" x14ac:dyDescent="0.25">
      <c r="G6217" s="1" t="str">
        <f>IF(Table2[[#This Row],[Description]]="","",VLOOKUP(Table2[[#This Row],[Description]],$Q$1:$S$101,2,FALSE))</f>
        <v/>
      </c>
      <c r="H6217" s="1" t="str">
        <f>IF(Table2[[#This Row],[Description]]="","",VLOOKUP(Table2[[#This Row],[Description]],$Q$1:$S$101,3,FALSE))</f>
        <v/>
      </c>
      <c r="I6217" s="1" t="str">
        <f>IF(Table2[[#This Row],[Description]]="","",IF(Table2[[#This Row],[Currency]]=$O$2,$P$2,HLOOKUP(Table2[[#This Row],[Date]],Funds!$C$10:$GV$11,2,FALSE)))</f>
        <v/>
      </c>
      <c r="J6217" s="215" t="str">
        <f>IF(Table2[[#This Row],[Description]]="","",Table2[[#This Row],[Value]]/Table2[[#This Row],[Conversion]])</f>
        <v/>
      </c>
      <c r="K6217" s="45" t="str">
        <f>IF(Table2[[#This Row],[Description]]="","",DATE(Table2[[#This Row],[Year]],Table2[[#This Row],[Month]],1))</f>
        <v/>
      </c>
    </row>
    <row r="6218" spans="7:11" x14ac:dyDescent="0.25">
      <c r="G6218" s="1" t="str">
        <f>IF(Table2[[#This Row],[Description]]="","",VLOOKUP(Table2[[#This Row],[Description]],$Q$1:$S$101,2,FALSE))</f>
        <v/>
      </c>
      <c r="H6218" s="1" t="str">
        <f>IF(Table2[[#This Row],[Description]]="","",VLOOKUP(Table2[[#This Row],[Description]],$Q$1:$S$101,3,FALSE))</f>
        <v/>
      </c>
      <c r="I6218" s="1" t="str">
        <f>IF(Table2[[#This Row],[Description]]="","",IF(Table2[[#This Row],[Currency]]=$O$2,$P$2,HLOOKUP(Table2[[#This Row],[Date]],Funds!$C$10:$GV$11,2,FALSE)))</f>
        <v/>
      </c>
      <c r="J6218" s="215" t="str">
        <f>IF(Table2[[#This Row],[Description]]="","",Table2[[#This Row],[Value]]/Table2[[#This Row],[Conversion]])</f>
        <v/>
      </c>
      <c r="K6218" s="45" t="str">
        <f>IF(Table2[[#This Row],[Description]]="","",DATE(Table2[[#This Row],[Year]],Table2[[#This Row],[Month]],1))</f>
        <v/>
      </c>
    </row>
    <row r="6219" spans="7:11" x14ac:dyDescent="0.25">
      <c r="G6219" s="1" t="str">
        <f>IF(Table2[[#This Row],[Description]]="","",VLOOKUP(Table2[[#This Row],[Description]],$Q$1:$S$101,2,FALSE))</f>
        <v/>
      </c>
      <c r="H6219" s="1" t="str">
        <f>IF(Table2[[#This Row],[Description]]="","",VLOOKUP(Table2[[#This Row],[Description]],$Q$1:$S$101,3,FALSE))</f>
        <v/>
      </c>
      <c r="I6219" s="1" t="str">
        <f>IF(Table2[[#This Row],[Description]]="","",IF(Table2[[#This Row],[Currency]]=$O$2,$P$2,HLOOKUP(Table2[[#This Row],[Date]],Funds!$C$10:$GV$11,2,FALSE)))</f>
        <v/>
      </c>
      <c r="J6219" s="215" t="str">
        <f>IF(Table2[[#This Row],[Description]]="","",Table2[[#This Row],[Value]]/Table2[[#This Row],[Conversion]])</f>
        <v/>
      </c>
      <c r="K6219" s="45" t="str">
        <f>IF(Table2[[#This Row],[Description]]="","",DATE(Table2[[#This Row],[Year]],Table2[[#This Row],[Month]],1))</f>
        <v/>
      </c>
    </row>
    <row r="6220" spans="7:11" x14ac:dyDescent="0.25">
      <c r="G6220" s="1" t="str">
        <f>IF(Table2[[#This Row],[Description]]="","",VLOOKUP(Table2[[#This Row],[Description]],$Q$1:$S$101,2,FALSE))</f>
        <v/>
      </c>
      <c r="H6220" s="1" t="str">
        <f>IF(Table2[[#This Row],[Description]]="","",VLOOKUP(Table2[[#This Row],[Description]],$Q$1:$S$101,3,FALSE))</f>
        <v/>
      </c>
      <c r="I6220" s="1" t="str">
        <f>IF(Table2[[#This Row],[Description]]="","",IF(Table2[[#This Row],[Currency]]=$O$2,$P$2,HLOOKUP(Table2[[#This Row],[Date]],Funds!$C$10:$GV$11,2,FALSE)))</f>
        <v/>
      </c>
      <c r="J6220" s="215" t="str">
        <f>IF(Table2[[#This Row],[Description]]="","",Table2[[#This Row],[Value]]/Table2[[#This Row],[Conversion]])</f>
        <v/>
      </c>
      <c r="K6220" s="45" t="str">
        <f>IF(Table2[[#This Row],[Description]]="","",DATE(Table2[[#This Row],[Year]],Table2[[#This Row],[Month]],1))</f>
        <v/>
      </c>
    </row>
    <row r="6221" spans="7:11" x14ac:dyDescent="0.25">
      <c r="G6221" s="1" t="str">
        <f>IF(Table2[[#This Row],[Description]]="","",VLOOKUP(Table2[[#This Row],[Description]],$Q$1:$S$101,2,FALSE))</f>
        <v/>
      </c>
      <c r="H6221" s="1" t="str">
        <f>IF(Table2[[#This Row],[Description]]="","",VLOOKUP(Table2[[#This Row],[Description]],$Q$1:$S$101,3,FALSE))</f>
        <v/>
      </c>
      <c r="I6221" s="1" t="str">
        <f>IF(Table2[[#This Row],[Description]]="","",IF(Table2[[#This Row],[Currency]]=$O$2,$P$2,HLOOKUP(Table2[[#This Row],[Date]],Funds!$C$10:$GV$11,2,FALSE)))</f>
        <v/>
      </c>
      <c r="J6221" s="215" t="str">
        <f>IF(Table2[[#This Row],[Description]]="","",Table2[[#This Row],[Value]]/Table2[[#This Row],[Conversion]])</f>
        <v/>
      </c>
      <c r="K6221" s="45" t="str">
        <f>IF(Table2[[#This Row],[Description]]="","",DATE(Table2[[#This Row],[Year]],Table2[[#This Row],[Month]],1))</f>
        <v/>
      </c>
    </row>
    <row r="6222" spans="7:11" x14ac:dyDescent="0.25">
      <c r="G6222" s="1" t="str">
        <f>IF(Table2[[#This Row],[Description]]="","",VLOOKUP(Table2[[#This Row],[Description]],$Q$1:$S$101,2,FALSE))</f>
        <v/>
      </c>
      <c r="H6222" s="1" t="str">
        <f>IF(Table2[[#This Row],[Description]]="","",VLOOKUP(Table2[[#This Row],[Description]],$Q$1:$S$101,3,FALSE))</f>
        <v/>
      </c>
      <c r="I6222" s="1" t="str">
        <f>IF(Table2[[#This Row],[Description]]="","",IF(Table2[[#This Row],[Currency]]=$O$2,$P$2,HLOOKUP(Table2[[#This Row],[Date]],Funds!$C$10:$GV$11,2,FALSE)))</f>
        <v/>
      </c>
      <c r="J6222" s="215" t="str">
        <f>IF(Table2[[#This Row],[Description]]="","",Table2[[#This Row],[Value]]/Table2[[#This Row],[Conversion]])</f>
        <v/>
      </c>
      <c r="K6222" s="45" t="str">
        <f>IF(Table2[[#This Row],[Description]]="","",DATE(Table2[[#This Row],[Year]],Table2[[#This Row],[Month]],1))</f>
        <v/>
      </c>
    </row>
    <row r="6223" spans="7:11" x14ac:dyDescent="0.25">
      <c r="G6223" s="1" t="str">
        <f>IF(Table2[[#This Row],[Description]]="","",VLOOKUP(Table2[[#This Row],[Description]],$Q$1:$S$101,2,FALSE))</f>
        <v/>
      </c>
      <c r="H6223" s="1" t="str">
        <f>IF(Table2[[#This Row],[Description]]="","",VLOOKUP(Table2[[#This Row],[Description]],$Q$1:$S$101,3,FALSE))</f>
        <v/>
      </c>
      <c r="I6223" s="1" t="str">
        <f>IF(Table2[[#This Row],[Description]]="","",IF(Table2[[#This Row],[Currency]]=$O$2,$P$2,HLOOKUP(Table2[[#This Row],[Date]],Funds!$C$10:$GV$11,2,FALSE)))</f>
        <v/>
      </c>
      <c r="J6223" s="215" t="str">
        <f>IF(Table2[[#This Row],[Description]]="","",Table2[[#This Row],[Value]]/Table2[[#This Row],[Conversion]])</f>
        <v/>
      </c>
      <c r="K6223" s="45" t="str">
        <f>IF(Table2[[#This Row],[Description]]="","",DATE(Table2[[#This Row],[Year]],Table2[[#This Row],[Month]],1))</f>
        <v/>
      </c>
    </row>
    <row r="6224" spans="7:11" x14ac:dyDescent="0.25">
      <c r="G6224" s="1" t="str">
        <f>IF(Table2[[#This Row],[Description]]="","",VLOOKUP(Table2[[#This Row],[Description]],$Q$1:$S$101,2,FALSE))</f>
        <v/>
      </c>
      <c r="H6224" s="1" t="str">
        <f>IF(Table2[[#This Row],[Description]]="","",VLOOKUP(Table2[[#This Row],[Description]],$Q$1:$S$101,3,FALSE))</f>
        <v/>
      </c>
      <c r="I6224" s="1" t="str">
        <f>IF(Table2[[#This Row],[Description]]="","",IF(Table2[[#This Row],[Currency]]=$O$2,$P$2,HLOOKUP(Table2[[#This Row],[Date]],Funds!$C$10:$GV$11,2,FALSE)))</f>
        <v/>
      </c>
      <c r="J6224" s="215" t="str">
        <f>IF(Table2[[#This Row],[Description]]="","",Table2[[#This Row],[Value]]/Table2[[#This Row],[Conversion]])</f>
        <v/>
      </c>
      <c r="K6224" s="45" t="str">
        <f>IF(Table2[[#This Row],[Description]]="","",DATE(Table2[[#This Row],[Year]],Table2[[#This Row],[Month]],1))</f>
        <v/>
      </c>
    </row>
    <row r="6225" spans="7:11" x14ac:dyDescent="0.25">
      <c r="G6225" s="1" t="str">
        <f>IF(Table2[[#This Row],[Description]]="","",VLOOKUP(Table2[[#This Row],[Description]],$Q$1:$S$101,2,FALSE))</f>
        <v/>
      </c>
      <c r="H6225" s="1" t="str">
        <f>IF(Table2[[#This Row],[Description]]="","",VLOOKUP(Table2[[#This Row],[Description]],$Q$1:$S$101,3,FALSE))</f>
        <v/>
      </c>
      <c r="I6225" s="1" t="str">
        <f>IF(Table2[[#This Row],[Description]]="","",IF(Table2[[#This Row],[Currency]]=$O$2,$P$2,HLOOKUP(Table2[[#This Row],[Date]],Funds!$C$10:$GV$11,2,FALSE)))</f>
        <v/>
      </c>
      <c r="J6225" s="215" t="str">
        <f>IF(Table2[[#This Row],[Description]]="","",Table2[[#This Row],[Value]]/Table2[[#This Row],[Conversion]])</f>
        <v/>
      </c>
      <c r="K6225" s="45" t="str">
        <f>IF(Table2[[#This Row],[Description]]="","",DATE(Table2[[#This Row],[Year]],Table2[[#This Row],[Month]],1))</f>
        <v/>
      </c>
    </row>
    <row r="6226" spans="7:11" x14ac:dyDescent="0.25">
      <c r="G6226" s="1" t="str">
        <f>IF(Table2[[#This Row],[Description]]="","",VLOOKUP(Table2[[#This Row],[Description]],$Q$1:$S$101,2,FALSE))</f>
        <v/>
      </c>
      <c r="H6226" s="1" t="str">
        <f>IF(Table2[[#This Row],[Description]]="","",VLOOKUP(Table2[[#This Row],[Description]],$Q$1:$S$101,3,FALSE))</f>
        <v/>
      </c>
      <c r="I6226" s="1" t="str">
        <f>IF(Table2[[#This Row],[Description]]="","",IF(Table2[[#This Row],[Currency]]=$O$2,$P$2,HLOOKUP(Table2[[#This Row],[Date]],Funds!$C$10:$GV$11,2,FALSE)))</f>
        <v/>
      </c>
      <c r="J6226" s="215" t="str">
        <f>IF(Table2[[#This Row],[Description]]="","",Table2[[#This Row],[Value]]/Table2[[#This Row],[Conversion]])</f>
        <v/>
      </c>
      <c r="K6226" s="45" t="str">
        <f>IF(Table2[[#This Row],[Description]]="","",DATE(Table2[[#This Row],[Year]],Table2[[#This Row],[Month]],1))</f>
        <v/>
      </c>
    </row>
    <row r="6227" spans="7:11" x14ac:dyDescent="0.25">
      <c r="G6227" s="1" t="str">
        <f>IF(Table2[[#This Row],[Description]]="","",VLOOKUP(Table2[[#This Row],[Description]],$Q$1:$S$101,2,FALSE))</f>
        <v/>
      </c>
      <c r="H6227" s="1" t="str">
        <f>IF(Table2[[#This Row],[Description]]="","",VLOOKUP(Table2[[#This Row],[Description]],$Q$1:$S$101,3,FALSE))</f>
        <v/>
      </c>
      <c r="I6227" s="1" t="str">
        <f>IF(Table2[[#This Row],[Description]]="","",IF(Table2[[#This Row],[Currency]]=$O$2,$P$2,HLOOKUP(Table2[[#This Row],[Date]],Funds!$C$10:$GV$11,2,FALSE)))</f>
        <v/>
      </c>
      <c r="J6227" s="215" t="str">
        <f>IF(Table2[[#This Row],[Description]]="","",Table2[[#This Row],[Value]]/Table2[[#This Row],[Conversion]])</f>
        <v/>
      </c>
      <c r="K6227" s="45" t="str">
        <f>IF(Table2[[#This Row],[Description]]="","",DATE(Table2[[#This Row],[Year]],Table2[[#This Row],[Month]],1))</f>
        <v/>
      </c>
    </row>
    <row r="6228" spans="7:11" x14ac:dyDescent="0.25">
      <c r="G6228" s="1" t="str">
        <f>IF(Table2[[#This Row],[Description]]="","",VLOOKUP(Table2[[#This Row],[Description]],$Q$1:$S$101,2,FALSE))</f>
        <v/>
      </c>
      <c r="H6228" s="1" t="str">
        <f>IF(Table2[[#This Row],[Description]]="","",VLOOKUP(Table2[[#This Row],[Description]],$Q$1:$S$101,3,FALSE))</f>
        <v/>
      </c>
      <c r="I6228" s="1" t="str">
        <f>IF(Table2[[#This Row],[Description]]="","",IF(Table2[[#This Row],[Currency]]=$O$2,$P$2,HLOOKUP(Table2[[#This Row],[Date]],Funds!$C$10:$GV$11,2,FALSE)))</f>
        <v/>
      </c>
      <c r="J6228" s="215" t="str">
        <f>IF(Table2[[#This Row],[Description]]="","",Table2[[#This Row],[Value]]/Table2[[#This Row],[Conversion]])</f>
        <v/>
      </c>
      <c r="K6228" s="45" t="str">
        <f>IF(Table2[[#This Row],[Description]]="","",DATE(Table2[[#This Row],[Year]],Table2[[#This Row],[Month]],1))</f>
        <v/>
      </c>
    </row>
    <row r="6229" spans="7:11" x14ac:dyDescent="0.25">
      <c r="G6229" s="1" t="str">
        <f>IF(Table2[[#This Row],[Description]]="","",VLOOKUP(Table2[[#This Row],[Description]],$Q$1:$S$101,2,FALSE))</f>
        <v/>
      </c>
      <c r="H6229" s="1" t="str">
        <f>IF(Table2[[#This Row],[Description]]="","",VLOOKUP(Table2[[#This Row],[Description]],$Q$1:$S$101,3,FALSE))</f>
        <v/>
      </c>
      <c r="I6229" s="1" t="str">
        <f>IF(Table2[[#This Row],[Description]]="","",IF(Table2[[#This Row],[Currency]]=$O$2,$P$2,HLOOKUP(Table2[[#This Row],[Date]],Funds!$C$10:$GV$11,2,FALSE)))</f>
        <v/>
      </c>
      <c r="J6229" s="215" t="str">
        <f>IF(Table2[[#This Row],[Description]]="","",Table2[[#This Row],[Value]]/Table2[[#This Row],[Conversion]])</f>
        <v/>
      </c>
      <c r="K6229" s="45" t="str">
        <f>IF(Table2[[#This Row],[Description]]="","",DATE(Table2[[#This Row],[Year]],Table2[[#This Row],[Month]],1))</f>
        <v/>
      </c>
    </row>
    <row r="6230" spans="7:11" x14ac:dyDescent="0.25">
      <c r="G6230" s="1" t="str">
        <f>IF(Table2[[#This Row],[Description]]="","",VLOOKUP(Table2[[#This Row],[Description]],$Q$1:$S$101,2,FALSE))</f>
        <v/>
      </c>
      <c r="H6230" s="1" t="str">
        <f>IF(Table2[[#This Row],[Description]]="","",VLOOKUP(Table2[[#This Row],[Description]],$Q$1:$S$101,3,FALSE))</f>
        <v/>
      </c>
      <c r="I6230" s="1" t="str">
        <f>IF(Table2[[#This Row],[Description]]="","",IF(Table2[[#This Row],[Currency]]=$O$2,$P$2,HLOOKUP(Table2[[#This Row],[Date]],Funds!$C$10:$GV$11,2,FALSE)))</f>
        <v/>
      </c>
      <c r="J6230" s="215" t="str">
        <f>IF(Table2[[#This Row],[Description]]="","",Table2[[#This Row],[Value]]/Table2[[#This Row],[Conversion]])</f>
        <v/>
      </c>
      <c r="K6230" s="45" t="str">
        <f>IF(Table2[[#This Row],[Description]]="","",DATE(Table2[[#This Row],[Year]],Table2[[#This Row],[Month]],1))</f>
        <v/>
      </c>
    </row>
    <row r="6231" spans="7:11" x14ac:dyDescent="0.25">
      <c r="G6231" s="1" t="str">
        <f>IF(Table2[[#This Row],[Description]]="","",VLOOKUP(Table2[[#This Row],[Description]],$Q$1:$S$101,2,FALSE))</f>
        <v/>
      </c>
      <c r="H6231" s="1" t="str">
        <f>IF(Table2[[#This Row],[Description]]="","",VLOOKUP(Table2[[#This Row],[Description]],$Q$1:$S$101,3,FALSE))</f>
        <v/>
      </c>
      <c r="I6231" s="1" t="str">
        <f>IF(Table2[[#This Row],[Description]]="","",IF(Table2[[#This Row],[Currency]]=$O$2,$P$2,HLOOKUP(Table2[[#This Row],[Date]],Funds!$C$10:$GV$11,2,FALSE)))</f>
        <v/>
      </c>
      <c r="J6231" s="215" t="str">
        <f>IF(Table2[[#This Row],[Description]]="","",Table2[[#This Row],[Value]]/Table2[[#This Row],[Conversion]])</f>
        <v/>
      </c>
      <c r="K6231" s="45" t="str">
        <f>IF(Table2[[#This Row],[Description]]="","",DATE(Table2[[#This Row],[Year]],Table2[[#This Row],[Month]],1))</f>
        <v/>
      </c>
    </row>
    <row r="6232" spans="7:11" x14ac:dyDescent="0.25">
      <c r="G6232" s="1" t="str">
        <f>IF(Table2[[#This Row],[Description]]="","",VLOOKUP(Table2[[#This Row],[Description]],$Q$1:$S$101,2,FALSE))</f>
        <v/>
      </c>
      <c r="H6232" s="1" t="str">
        <f>IF(Table2[[#This Row],[Description]]="","",VLOOKUP(Table2[[#This Row],[Description]],$Q$1:$S$101,3,FALSE))</f>
        <v/>
      </c>
      <c r="I6232" s="1" t="str">
        <f>IF(Table2[[#This Row],[Description]]="","",IF(Table2[[#This Row],[Currency]]=$O$2,$P$2,HLOOKUP(Table2[[#This Row],[Date]],Funds!$C$10:$GV$11,2,FALSE)))</f>
        <v/>
      </c>
      <c r="J6232" s="215" t="str">
        <f>IF(Table2[[#This Row],[Description]]="","",Table2[[#This Row],[Value]]/Table2[[#This Row],[Conversion]])</f>
        <v/>
      </c>
      <c r="K6232" s="45" t="str">
        <f>IF(Table2[[#This Row],[Description]]="","",DATE(Table2[[#This Row],[Year]],Table2[[#This Row],[Month]],1))</f>
        <v/>
      </c>
    </row>
    <row r="6233" spans="7:11" x14ac:dyDescent="0.25">
      <c r="G6233" s="1" t="str">
        <f>IF(Table2[[#This Row],[Description]]="","",VLOOKUP(Table2[[#This Row],[Description]],$Q$1:$S$101,2,FALSE))</f>
        <v/>
      </c>
      <c r="H6233" s="1" t="str">
        <f>IF(Table2[[#This Row],[Description]]="","",VLOOKUP(Table2[[#This Row],[Description]],$Q$1:$S$101,3,FALSE))</f>
        <v/>
      </c>
      <c r="I6233" s="1" t="str">
        <f>IF(Table2[[#This Row],[Description]]="","",IF(Table2[[#This Row],[Currency]]=$O$2,$P$2,HLOOKUP(Table2[[#This Row],[Date]],Funds!$C$10:$GV$11,2,FALSE)))</f>
        <v/>
      </c>
      <c r="J6233" s="215" t="str">
        <f>IF(Table2[[#This Row],[Description]]="","",Table2[[#This Row],[Value]]/Table2[[#This Row],[Conversion]])</f>
        <v/>
      </c>
      <c r="K6233" s="45" t="str">
        <f>IF(Table2[[#This Row],[Description]]="","",DATE(Table2[[#This Row],[Year]],Table2[[#This Row],[Month]],1))</f>
        <v/>
      </c>
    </row>
    <row r="6234" spans="7:11" x14ac:dyDescent="0.25">
      <c r="G6234" s="1" t="str">
        <f>IF(Table2[[#This Row],[Description]]="","",VLOOKUP(Table2[[#This Row],[Description]],$Q$1:$S$101,2,FALSE))</f>
        <v/>
      </c>
      <c r="H6234" s="1" t="str">
        <f>IF(Table2[[#This Row],[Description]]="","",VLOOKUP(Table2[[#This Row],[Description]],$Q$1:$S$101,3,FALSE))</f>
        <v/>
      </c>
      <c r="I6234" s="1" t="str">
        <f>IF(Table2[[#This Row],[Description]]="","",IF(Table2[[#This Row],[Currency]]=$O$2,$P$2,HLOOKUP(Table2[[#This Row],[Date]],Funds!$C$10:$GV$11,2,FALSE)))</f>
        <v/>
      </c>
      <c r="J6234" s="215" t="str">
        <f>IF(Table2[[#This Row],[Description]]="","",Table2[[#This Row],[Value]]/Table2[[#This Row],[Conversion]])</f>
        <v/>
      </c>
      <c r="K6234" s="45" t="str">
        <f>IF(Table2[[#This Row],[Description]]="","",DATE(Table2[[#This Row],[Year]],Table2[[#This Row],[Month]],1))</f>
        <v/>
      </c>
    </row>
    <row r="6235" spans="7:11" x14ac:dyDescent="0.25">
      <c r="G6235" s="1" t="str">
        <f>IF(Table2[[#This Row],[Description]]="","",VLOOKUP(Table2[[#This Row],[Description]],$Q$1:$S$101,2,FALSE))</f>
        <v/>
      </c>
      <c r="H6235" s="1" t="str">
        <f>IF(Table2[[#This Row],[Description]]="","",VLOOKUP(Table2[[#This Row],[Description]],$Q$1:$S$101,3,FALSE))</f>
        <v/>
      </c>
      <c r="I6235" s="1" t="str">
        <f>IF(Table2[[#This Row],[Description]]="","",IF(Table2[[#This Row],[Currency]]=$O$2,$P$2,HLOOKUP(Table2[[#This Row],[Date]],Funds!$C$10:$GV$11,2,FALSE)))</f>
        <v/>
      </c>
      <c r="J6235" s="215" t="str">
        <f>IF(Table2[[#This Row],[Description]]="","",Table2[[#This Row],[Value]]/Table2[[#This Row],[Conversion]])</f>
        <v/>
      </c>
      <c r="K6235" s="45" t="str">
        <f>IF(Table2[[#This Row],[Description]]="","",DATE(Table2[[#This Row],[Year]],Table2[[#This Row],[Month]],1))</f>
        <v/>
      </c>
    </row>
    <row r="6236" spans="7:11" x14ac:dyDescent="0.25">
      <c r="G6236" s="1" t="str">
        <f>IF(Table2[[#This Row],[Description]]="","",VLOOKUP(Table2[[#This Row],[Description]],$Q$1:$S$101,2,FALSE))</f>
        <v/>
      </c>
      <c r="H6236" s="1" t="str">
        <f>IF(Table2[[#This Row],[Description]]="","",VLOOKUP(Table2[[#This Row],[Description]],$Q$1:$S$101,3,FALSE))</f>
        <v/>
      </c>
      <c r="I6236" s="1" t="str">
        <f>IF(Table2[[#This Row],[Description]]="","",IF(Table2[[#This Row],[Currency]]=$O$2,$P$2,HLOOKUP(Table2[[#This Row],[Date]],Funds!$C$10:$GV$11,2,FALSE)))</f>
        <v/>
      </c>
      <c r="J6236" s="215" t="str">
        <f>IF(Table2[[#This Row],[Description]]="","",Table2[[#This Row],[Value]]/Table2[[#This Row],[Conversion]])</f>
        <v/>
      </c>
      <c r="K6236" s="45" t="str">
        <f>IF(Table2[[#This Row],[Description]]="","",DATE(Table2[[#This Row],[Year]],Table2[[#This Row],[Month]],1))</f>
        <v/>
      </c>
    </row>
    <row r="6237" spans="7:11" x14ac:dyDescent="0.25">
      <c r="G6237" s="1" t="str">
        <f>IF(Table2[[#This Row],[Description]]="","",VLOOKUP(Table2[[#This Row],[Description]],$Q$1:$S$101,2,FALSE))</f>
        <v/>
      </c>
      <c r="H6237" s="1" t="str">
        <f>IF(Table2[[#This Row],[Description]]="","",VLOOKUP(Table2[[#This Row],[Description]],$Q$1:$S$101,3,FALSE))</f>
        <v/>
      </c>
      <c r="I6237" s="1" t="str">
        <f>IF(Table2[[#This Row],[Description]]="","",IF(Table2[[#This Row],[Currency]]=$O$2,$P$2,HLOOKUP(Table2[[#This Row],[Date]],Funds!$C$10:$GV$11,2,FALSE)))</f>
        <v/>
      </c>
      <c r="J6237" s="215" t="str">
        <f>IF(Table2[[#This Row],[Description]]="","",Table2[[#This Row],[Value]]/Table2[[#This Row],[Conversion]])</f>
        <v/>
      </c>
      <c r="K6237" s="45" t="str">
        <f>IF(Table2[[#This Row],[Description]]="","",DATE(Table2[[#This Row],[Year]],Table2[[#This Row],[Month]],1))</f>
        <v/>
      </c>
    </row>
    <row r="6238" spans="7:11" x14ac:dyDescent="0.25">
      <c r="G6238" s="1" t="str">
        <f>IF(Table2[[#This Row],[Description]]="","",VLOOKUP(Table2[[#This Row],[Description]],$Q$1:$S$101,2,FALSE))</f>
        <v/>
      </c>
      <c r="H6238" s="1" t="str">
        <f>IF(Table2[[#This Row],[Description]]="","",VLOOKUP(Table2[[#This Row],[Description]],$Q$1:$S$101,3,FALSE))</f>
        <v/>
      </c>
      <c r="I6238" s="1" t="str">
        <f>IF(Table2[[#This Row],[Description]]="","",IF(Table2[[#This Row],[Currency]]=$O$2,$P$2,HLOOKUP(Table2[[#This Row],[Date]],Funds!$C$10:$GV$11,2,FALSE)))</f>
        <v/>
      </c>
      <c r="J6238" s="215" t="str">
        <f>IF(Table2[[#This Row],[Description]]="","",Table2[[#This Row],[Value]]/Table2[[#This Row],[Conversion]])</f>
        <v/>
      </c>
      <c r="K6238" s="45" t="str">
        <f>IF(Table2[[#This Row],[Description]]="","",DATE(Table2[[#This Row],[Year]],Table2[[#This Row],[Month]],1))</f>
        <v/>
      </c>
    </row>
    <row r="6239" spans="7:11" x14ac:dyDescent="0.25">
      <c r="G6239" s="1" t="str">
        <f>IF(Table2[[#This Row],[Description]]="","",VLOOKUP(Table2[[#This Row],[Description]],$Q$1:$S$101,2,FALSE))</f>
        <v/>
      </c>
      <c r="H6239" s="1" t="str">
        <f>IF(Table2[[#This Row],[Description]]="","",VLOOKUP(Table2[[#This Row],[Description]],$Q$1:$S$101,3,FALSE))</f>
        <v/>
      </c>
      <c r="I6239" s="1" t="str">
        <f>IF(Table2[[#This Row],[Description]]="","",IF(Table2[[#This Row],[Currency]]=$O$2,$P$2,HLOOKUP(Table2[[#This Row],[Date]],Funds!$C$10:$GV$11,2,FALSE)))</f>
        <v/>
      </c>
      <c r="J6239" s="215" t="str">
        <f>IF(Table2[[#This Row],[Description]]="","",Table2[[#This Row],[Value]]/Table2[[#This Row],[Conversion]])</f>
        <v/>
      </c>
      <c r="K6239" s="45" t="str">
        <f>IF(Table2[[#This Row],[Description]]="","",DATE(Table2[[#This Row],[Year]],Table2[[#This Row],[Month]],1))</f>
        <v/>
      </c>
    </row>
    <row r="6240" spans="7:11" x14ac:dyDescent="0.25">
      <c r="G6240" s="1" t="str">
        <f>IF(Table2[[#This Row],[Description]]="","",VLOOKUP(Table2[[#This Row],[Description]],$Q$1:$S$101,2,FALSE))</f>
        <v/>
      </c>
      <c r="H6240" s="1" t="str">
        <f>IF(Table2[[#This Row],[Description]]="","",VLOOKUP(Table2[[#This Row],[Description]],$Q$1:$S$101,3,FALSE))</f>
        <v/>
      </c>
      <c r="I6240" s="1" t="str">
        <f>IF(Table2[[#This Row],[Description]]="","",IF(Table2[[#This Row],[Currency]]=$O$2,$P$2,HLOOKUP(Table2[[#This Row],[Date]],Funds!$C$10:$GV$11,2,FALSE)))</f>
        <v/>
      </c>
      <c r="J6240" s="215" t="str">
        <f>IF(Table2[[#This Row],[Description]]="","",Table2[[#This Row],[Value]]/Table2[[#This Row],[Conversion]])</f>
        <v/>
      </c>
      <c r="K6240" s="45" t="str">
        <f>IF(Table2[[#This Row],[Description]]="","",DATE(Table2[[#This Row],[Year]],Table2[[#This Row],[Month]],1))</f>
        <v/>
      </c>
    </row>
    <row r="6241" spans="7:11" x14ac:dyDescent="0.25">
      <c r="G6241" s="1" t="str">
        <f>IF(Table2[[#This Row],[Description]]="","",VLOOKUP(Table2[[#This Row],[Description]],$Q$1:$S$101,2,FALSE))</f>
        <v/>
      </c>
      <c r="H6241" s="1" t="str">
        <f>IF(Table2[[#This Row],[Description]]="","",VLOOKUP(Table2[[#This Row],[Description]],$Q$1:$S$101,3,FALSE))</f>
        <v/>
      </c>
      <c r="I6241" s="1" t="str">
        <f>IF(Table2[[#This Row],[Description]]="","",IF(Table2[[#This Row],[Currency]]=$O$2,$P$2,HLOOKUP(Table2[[#This Row],[Date]],Funds!$C$10:$GV$11,2,FALSE)))</f>
        <v/>
      </c>
      <c r="J6241" s="215" t="str">
        <f>IF(Table2[[#This Row],[Description]]="","",Table2[[#This Row],[Value]]/Table2[[#This Row],[Conversion]])</f>
        <v/>
      </c>
      <c r="K6241" s="45" t="str">
        <f>IF(Table2[[#This Row],[Description]]="","",DATE(Table2[[#This Row],[Year]],Table2[[#This Row],[Month]],1))</f>
        <v/>
      </c>
    </row>
    <row r="6242" spans="7:11" x14ac:dyDescent="0.25">
      <c r="G6242" s="1" t="str">
        <f>IF(Table2[[#This Row],[Description]]="","",VLOOKUP(Table2[[#This Row],[Description]],$Q$1:$S$101,2,FALSE))</f>
        <v/>
      </c>
      <c r="H6242" s="1" t="str">
        <f>IF(Table2[[#This Row],[Description]]="","",VLOOKUP(Table2[[#This Row],[Description]],$Q$1:$S$101,3,FALSE))</f>
        <v/>
      </c>
      <c r="I6242" s="1" t="str">
        <f>IF(Table2[[#This Row],[Description]]="","",IF(Table2[[#This Row],[Currency]]=$O$2,$P$2,HLOOKUP(Table2[[#This Row],[Date]],Funds!$C$10:$GV$11,2,FALSE)))</f>
        <v/>
      </c>
      <c r="J6242" s="215" t="str">
        <f>IF(Table2[[#This Row],[Description]]="","",Table2[[#This Row],[Value]]/Table2[[#This Row],[Conversion]])</f>
        <v/>
      </c>
      <c r="K6242" s="45" t="str">
        <f>IF(Table2[[#This Row],[Description]]="","",DATE(Table2[[#This Row],[Year]],Table2[[#This Row],[Month]],1))</f>
        <v/>
      </c>
    </row>
    <row r="6243" spans="7:11" x14ac:dyDescent="0.25">
      <c r="G6243" s="1" t="str">
        <f>IF(Table2[[#This Row],[Description]]="","",VLOOKUP(Table2[[#This Row],[Description]],$Q$1:$S$101,2,FALSE))</f>
        <v/>
      </c>
      <c r="H6243" s="1" t="str">
        <f>IF(Table2[[#This Row],[Description]]="","",VLOOKUP(Table2[[#This Row],[Description]],$Q$1:$S$101,3,FALSE))</f>
        <v/>
      </c>
      <c r="I6243" s="1" t="str">
        <f>IF(Table2[[#This Row],[Description]]="","",IF(Table2[[#This Row],[Currency]]=$O$2,$P$2,HLOOKUP(Table2[[#This Row],[Date]],Funds!$C$10:$GV$11,2,FALSE)))</f>
        <v/>
      </c>
      <c r="J6243" s="215" t="str">
        <f>IF(Table2[[#This Row],[Description]]="","",Table2[[#This Row],[Value]]/Table2[[#This Row],[Conversion]])</f>
        <v/>
      </c>
      <c r="K6243" s="45" t="str">
        <f>IF(Table2[[#This Row],[Description]]="","",DATE(Table2[[#This Row],[Year]],Table2[[#This Row],[Month]],1))</f>
        <v/>
      </c>
    </row>
    <row r="6244" spans="7:11" x14ac:dyDescent="0.25">
      <c r="G6244" s="1" t="str">
        <f>IF(Table2[[#This Row],[Description]]="","",VLOOKUP(Table2[[#This Row],[Description]],$Q$1:$S$101,2,FALSE))</f>
        <v/>
      </c>
      <c r="H6244" s="1" t="str">
        <f>IF(Table2[[#This Row],[Description]]="","",VLOOKUP(Table2[[#This Row],[Description]],$Q$1:$S$101,3,FALSE))</f>
        <v/>
      </c>
      <c r="I6244" s="1" t="str">
        <f>IF(Table2[[#This Row],[Description]]="","",IF(Table2[[#This Row],[Currency]]=$O$2,$P$2,HLOOKUP(Table2[[#This Row],[Date]],Funds!$C$10:$GV$11,2,FALSE)))</f>
        <v/>
      </c>
      <c r="J6244" s="215" t="str">
        <f>IF(Table2[[#This Row],[Description]]="","",Table2[[#This Row],[Value]]/Table2[[#This Row],[Conversion]])</f>
        <v/>
      </c>
      <c r="K6244" s="45" t="str">
        <f>IF(Table2[[#This Row],[Description]]="","",DATE(Table2[[#This Row],[Year]],Table2[[#This Row],[Month]],1))</f>
        <v/>
      </c>
    </row>
    <row r="6245" spans="7:11" x14ac:dyDescent="0.25">
      <c r="G6245" s="1" t="str">
        <f>IF(Table2[[#This Row],[Description]]="","",VLOOKUP(Table2[[#This Row],[Description]],$Q$1:$S$101,2,FALSE))</f>
        <v/>
      </c>
      <c r="H6245" s="1" t="str">
        <f>IF(Table2[[#This Row],[Description]]="","",VLOOKUP(Table2[[#This Row],[Description]],$Q$1:$S$101,3,FALSE))</f>
        <v/>
      </c>
      <c r="I6245" s="1" t="str">
        <f>IF(Table2[[#This Row],[Description]]="","",IF(Table2[[#This Row],[Currency]]=$O$2,$P$2,HLOOKUP(Table2[[#This Row],[Date]],Funds!$C$10:$GV$11,2,FALSE)))</f>
        <v/>
      </c>
      <c r="J6245" s="215" t="str">
        <f>IF(Table2[[#This Row],[Description]]="","",Table2[[#This Row],[Value]]/Table2[[#This Row],[Conversion]])</f>
        <v/>
      </c>
      <c r="K6245" s="45" t="str">
        <f>IF(Table2[[#This Row],[Description]]="","",DATE(Table2[[#This Row],[Year]],Table2[[#This Row],[Month]],1))</f>
        <v/>
      </c>
    </row>
    <row r="6246" spans="7:11" x14ac:dyDescent="0.25">
      <c r="G6246" s="1" t="str">
        <f>IF(Table2[[#This Row],[Description]]="","",VLOOKUP(Table2[[#This Row],[Description]],$Q$1:$S$101,2,FALSE))</f>
        <v/>
      </c>
      <c r="H6246" s="1" t="str">
        <f>IF(Table2[[#This Row],[Description]]="","",VLOOKUP(Table2[[#This Row],[Description]],$Q$1:$S$101,3,FALSE))</f>
        <v/>
      </c>
      <c r="I6246" s="1" t="str">
        <f>IF(Table2[[#This Row],[Description]]="","",IF(Table2[[#This Row],[Currency]]=$O$2,$P$2,HLOOKUP(Table2[[#This Row],[Date]],Funds!$C$10:$GV$11,2,FALSE)))</f>
        <v/>
      </c>
      <c r="J6246" s="215" t="str">
        <f>IF(Table2[[#This Row],[Description]]="","",Table2[[#This Row],[Value]]/Table2[[#This Row],[Conversion]])</f>
        <v/>
      </c>
      <c r="K6246" s="45" t="str">
        <f>IF(Table2[[#This Row],[Description]]="","",DATE(Table2[[#This Row],[Year]],Table2[[#This Row],[Month]],1))</f>
        <v/>
      </c>
    </row>
    <row r="6247" spans="7:11" x14ac:dyDescent="0.25">
      <c r="G6247" s="1" t="str">
        <f>IF(Table2[[#This Row],[Description]]="","",VLOOKUP(Table2[[#This Row],[Description]],$Q$1:$S$101,2,FALSE))</f>
        <v/>
      </c>
      <c r="H6247" s="1" t="str">
        <f>IF(Table2[[#This Row],[Description]]="","",VLOOKUP(Table2[[#This Row],[Description]],$Q$1:$S$101,3,FALSE))</f>
        <v/>
      </c>
      <c r="I6247" s="1" t="str">
        <f>IF(Table2[[#This Row],[Description]]="","",IF(Table2[[#This Row],[Currency]]=$O$2,$P$2,HLOOKUP(Table2[[#This Row],[Date]],Funds!$C$10:$GV$11,2,FALSE)))</f>
        <v/>
      </c>
      <c r="J6247" s="215" t="str">
        <f>IF(Table2[[#This Row],[Description]]="","",Table2[[#This Row],[Value]]/Table2[[#This Row],[Conversion]])</f>
        <v/>
      </c>
      <c r="K6247" s="45" t="str">
        <f>IF(Table2[[#This Row],[Description]]="","",DATE(Table2[[#This Row],[Year]],Table2[[#This Row],[Month]],1))</f>
        <v/>
      </c>
    </row>
    <row r="6248" spans="7:11" x14ac:dyDescent="0.25">
      <c r="G6248" s="1" t="str">
        <f>IF(Table2[[#This Row],[Description]]="","",VLOOKUP(Table2[[#This Row],[Description]],$Q$1:$S$101,2,FALSE))</f>
        <v/>
      </c>
      <c r="H6248" s="1" t="str">
        <f>IF(Table2[[#This Row],[Description]]="","",VLOOKUP(Table2[[#This Row],[Description]],$Q$1:$S$101,3,FALSE))</f>
        <v/>
      </c>
      <c r="I6248" s="1" t="str">
        <f>IF(Table2[[#This Row],[Description]]="","",IF(Table2[[#This Row],[Currency]]=$O$2,$P$2,HLOOKUP(Table2[[#This Row],[Date]],Funds!$C$10:$GV$11,2,FALSE)))</f>
        <v/>
      </c>
      <c r="J6248" s="215" t="str">
        <f>IF(Table2[[#This Row],[Description]]="","",Table2[[#This Row],[Value]]/Table2[[#This Row],[Conversion]])</f>
        <v/>
      </c>
      <c r="K6248" s="45" t="str">
        <f>IF(Table2[[#This Row],[Description]]="","",DATE(Table2[[#This Row],[Year]],Table2[[#This Row],[Month]],1))</f>
        <v/>
      </c>
    </row>
    <row r="6249" spans="7:11" x14ac:dyDescent="0.25">
      <c r="G6249" s="1" t="str">
        <f>IF(Table2[[#This Row],[Description]]="","",VLOOKUP(Table2[[#This Row],[Description]],$Q$1:$S$101,2,FALSE))</f>
        <v/>
      </c>
      <c r="H6249" s="1" t="str">
        <f>IF(Table2[[#This Row],[Description]]="","",VLOOKUP(Table2[[#This Row],[Description]],$Q$1:$S$101,3,FALSE))</f>
        <v/>
      </c>
      <c r="I6249" s="1" t="str">
        <f>IF(Table2[[#This Row],[Description]]="","",IF(Table2[[#This Row],[Currency]]=$O$2,$P$2,HLOOKUP(Table2[[#This Row],[Date]],Funds!$C$10:$GV$11,2,FALSE)))</f>
        <v/>
      </c>
      <c r="J6249" s="215" t="str">
        <f>IF(Table2[[#This Row],[Description]]="","",Table2[[#This Row],[Value]]/Table2[[#This Row],[Conversion]])</f>
        <v/>
      </c>
      <c r="K6249" s="45" t="str">
        <f>IF(Table2[[#This Row],[Description]]="","",DATE(Table2[[#This Row],[Year]],Table2[[#This Row],[Month]],1))</f>
        <v/>
      </c>
    </row>
    <row r="6250" spans="7:11" x14ac:dyDescent="0.25">
      <c r="G6250" s="1" t="str">
        <f>IF(Table2[[#This Row],[Description]]="","",VLOOKUP(Table2[[#This Row],[Description]],$Q$1:$S$101,2,FALSE))</f>
        <v/>
      </c>
      <c r="H6250" s="1" t="str">
        <f>IF(Table2[[#This Row],[Description]]="","",VLOOKUP(Table2[[#This Row],[Description]],$Q$1:$S$101,3,FALSE))</f>
        <v/>
      </c>
      <c r="I6250" s="1" t="str">
        <f>IF(Table2[[#This Row],[Description]]="","",IF(Table2[[#This Row],[Currency]]=$O$2,$P$2,HLOOKUP(Table2[[#This Row],[Date]],Funds!$C$10:$GV$11,2,FALSE)))</f>
        <v/>
      </c>
      <c r="J6250" s="215" t="str">
        <f>IF(Table2[[#This Row],[Description]]="","",Table2[[#This Row],[Value]]/Table2[[#This Row],[Conversion]])</f>
        <v/>
      </c>
      <c r="K6250" s="45" t="str">
        <f>IF(Table2[[#This Row],[Description]]="","",DATE(Table2[[#This Row],[Year]],Table2[[#This Row],[Month]],1))</f>
        <v/>
      </c>
    </row>
    <row r="6251" spans="7:11" x14ac:dyDescent="0.25">
      <c r="G6251" s="1" t="str">
        <f>IF(Table2[[#This Row],[Description]]="","",VLOOKUP(Table2[[#This Row],[Description]],$Q$1:$S$101,2,FALSE))</f>
        <v/>
      </c>
      <c r="H6251" s="1" t="str">
        <f>IF(Table2[[#This Row],[Description]]="","",VLOOKUP(Table2[[#This Row],[Description]],$Q$1:$S$101,3,FALSE))</f>
        <v/>
      </c>
      <c r="I6251" s="1" t="str">
        <f>IF(Table2[[#This Row],[Description]]="","",IF(Table2[[#This Row],[Currency]]=$O$2,$P$2,HLOOKUP(Table2[[#This Row],[Date]],Funds!$C$10:$GV$11,2,FALSE)))</f>
        <v/>
      </c>
      <c r="J6251" s="215" t="str">
        <f>IF(Table2[[#This Row],[Description]]="","",Table2[[#This Row],[Value]]/Table2[[#This Row],[Conversion]])</f>
        <v/>
      </c>
      <c r="K6251" s="45" t="str">
        <f>IF(Table2[[#This Row],[Description]]="","",DATE(Table2[[#This Row],[Year]],Table2[[#This Row],[Month]],1))</f>
        <v/>
      </c>
    </row>
    <row r="6252" spans="7:11" x14ac:dyDescent="0.25">
      <c r="G6252" s="1" t="str">
        <f>IF(Table2[[#This Row],[Description]]="","",VLOOKUP(Table2[[#This Row],[Description]],$Q$1:$S$101,2,FALSE))</f>
        <v/>
      </c>
      <c r="H6252" s="1" t="str">
        <f>IF(Table2[[#This Row],[Description]]="","",VLOOKUP(Table2[[#This Row],[Description]],$Q$1:$S$101,3,FALSE))</f>
        <v/>
      </c>
      <c r="I6252" s="1" t="str">
        <f>IF(Table2[[#This Row],[Description]]="","",IF(Table2[[#This Row],[Currency]]=$O$2,$P$2,HLOOKUP(Table2[[#This Row],[Date]],Funds!$C$10:$GV$11,2,FALSE)))</f>
        <v/>
      </c>
      <c r="J6252" s="215" t="str">
        <f>IF(Table2[[#This Row],[Description]]="","",Table2[[#This Row],[Value]]/Table2[[#This Row],[Conversion]])</f>
        <v/>
      </c>
      <c r="K6252" s="45" t="str">
        <f>IF(Table2[[#This Row],[Description]]="","",DATE(Table2[[#This Row],[Year]],Table2[[#This Row],[Month]],1))</f>
        <v/>
      </c>
    </row>
    <row r="6253" spans="7:11" x14ac:dyDescent="0.25">
      <c r="G6253" s="1" t="str">
        <f>IF(Table2[[#This Row],[Description]]="","",VLOOKUP(Table2[[#This Row],[Description]],$Q$1:$S$101,2,FALSE))</f>
        <v/>
      </c>
      <c r="H6253" s="1" t="str">
        <f>IF(Table2[[#This Row],[Description]]="","",VLOOKUP(Table2[[#This Row],[Description]],$Q$1:$S$101,3,FALSE))</f>
        <v/>
      </c>
      <c r="I6253" s="1" t="str">
        <f>IF(Table2[[#This Row],[Description]]="","",IF(Table2[[#This Row],[Currency]]=$O$2,$P$2,HLOOKUP(Table2[[#This Row],[Date]],Funds!$C$10:$GV$11,2,FALSE)))</f>
        <v/>
      </c>
      <c r="J6253" s="215" t="str">
        <f>IF(Table2[[#This Row],[Description]]="","",Table2[[#This Row],[Value]]/Table2[[#This Row],[Conversion]])</f>
        <v/>
      </c>
      <c r="K6253" s="45" t="str">
        <f>IF(Table2[[#This Row],[Description]]="","",DATE(Table2[[#This Row],[Year]],Table2[[#This Row],[Month]],1))</f>
        <v/>
      </c>
    </row>
    <row r="6254" spans="7:11" x14ac:dyDescent="0.25">
      <c r="G6254" s="1" t="str">
        <f>IF(Table2[[#This Row],[Description]]="","",VLOOKUP(Table2[[#This Row],[Description]],$Q$1:$S$101,2,FALSE))</f>
        <v/>
      </c>
      <c r="H6254" s="1" t="str">
        <f>IF(Table2[[#This Row],[Description]]="","",VLOOKUP(Table2[[#This Row],[Description]],$Q$1:$S$101,3,FALSE))</f>
        <v/>
      </c>
      <c r="I6254" s="1" t="str">
        <f>IF(Table2[[#This Row],[Description]]="","",IF(Table2[[#This Row],[Currency]]=$O$2,$P$2,HLOOKUP(Table2[[#This Row],[Date]],Funds!$C$10:$GV$11,2,FALSE)))</f>
        <v/>
      </c>
      <c r="J6254" s="215" t="str">
        <f>IF(Table2[[#This Row],[Description]]="","",Table2[[#This Row],[Value]]/Table2[[#This Row],[Conversion]])</f>
        <v/>
      </c>
      <c r="K6254" s="45" t="str">
        <f>IF(Table2[[#This Row],[Description]]="","",DATE(Table2[[#This Row],[Year]],Table2[[#This Row],[Month]],1))</f>
        <v/>
      </c>
    </row>
    <row r="6255" spans="7:11" x14ac:dyDescent="0.25">
      <c r="G6255" s="1" t="str">
        <f>IF(Table2[[#This Row],[Description]]="","",VLOOKUP(Table2[[#This Row],[Description]],$Q$1:$S$101,2,FALSE))</f>
        <v/>
      </c>
      <c r="H6255" s="1" t="str">
        <f>IF(Table2[[#This Row],[Description]]="","",VLOOKUP(Table2[[#This Row],[Description]],$Q$1:$S$101,3,FALSE))</f>
        <v/>
      </c>
      <c r="I6255" s="1" t="str">
        <f>IF(Table2[[#This Row],[Description]]="","",IF(Table2[[#This Row],[Currency]]=$O$2,$P$2,HLOOKUP(Table2[[#This Row],[Date]],Funds!$C$10:$GV$11,2,FALSE)))</f>
        <v/>
      </c>
      <c r="J6255" s="215" t="str">
        <f>IF(Table2[[#This Row],[Description]]="","",Table2[[#This Row],[Value]]/Table2[[#This Row],[Conversion]])</f>
        <v/>
      </c>
      <c r="K6255" s="45" t="str">
        <f>IF(Table2[[#This Row],[Description]]="","",DATE(Table2[[#This Row],[Year]],Table2[[#This Row],[Month]],1))</f>
        <v/>
      </c>
    </row>
    <row r="6256" spans="7:11" x14ac:dyDescent="0.25">
      <c r="G6256" s="1" t="str">
        <f>IF(Table2[[#This Row],[Description]]="","",VLOOKUP(Table2[[#This Row],[Description]],$Q$1:$S$101,2,FALSE))</f>
        <v/>
      </c>
      <c r="H6256" s="1" t="str">
        <f>IF(Table2[[#This Row],[Description]]="","",VLOOKUP(Table2[[#This Row],[Description]],$Q$1:$S$101,3,FALSE))</f>
        <v/>
      </c>
      <c r="I6256" s="1" t="str">
        <f>IF(Table2[[#This Row],[Description]]="","",IF(Table2[[#This Row],[Currency]]=$O$2,$P$2,HLOOKUP(Table2[[#This Row],[Date]],Funds!$C$10:$GV$11,2,FALSE)))</f>
        <v/>
      </c>
      <c r="J6256" s="215" t="str">
        <f>IF(Table2[[#This Row],[Description]]="","",Table2[[#This Row],[Value]]/Table2[[#This Row],[Conversion]])</f>
        <v/>
      </c>
      <c r="K6256" s="45" t="str">
        <f>IF(Table2[[#This Row],[Description]]="","",DATE(Table2[[#This Row],[Year]],Table2[[#This Row],[Month]],1))</f>
        <v/>
      </c>
    </row>
    <row r="6257" spans="7:11" x14ac:dyDescent="0.25">
      <c r="G6257" s="1" t="str">
        <f>IF(Table2[[#This Row],[Description]]="","",VLOOKUP(Table2[[#This Row],[Description]],$Q$1:$S$101,2,FALSE))</f>
        <v/>
      </c>
      <c r="H6257" s="1" t="str">
        <f>IF(Table2[[#This Row],[Description]]="","",VLOOKUP(Table2[[#This Row],[Description]],$Q$1:$S$101,3,FALSE))</f>
        <v/>
      </c>
      <c r="I6257" s="1" t="str">
        <f>IF(Table2[[#This Row],[Description]]="","",IF(Table2[[#This Row],[Currency]]=$O$2,$P$2,HLOOKUP(Table2[[#This Row],[Date]],Funds!$C$10:$GV$11,2,FALSE)))</f>
        <v/>
      </c>
      <c r="J6257" s="215" t="str">
        <f>IF(Table2[[#This Row],[Description]]="","",Table2[[#This Row],[Value]]/Table2[[#This Row],[Conversion]])</f>
        <v/>
      </c>
      <c r="K6257" s="45" t="str">
        <f>IF(Table2[[#This Row],[Description]]="","",DATE(Table2[[#This Row],[Year]],Table2[[#This Row],[Month]],1))</f>
        <v/>
      </c>
    </row>
    <row r="6258" spans="7:11" x14ac:dyDescent="0.25">
      <c r="G6258" s="1" t="str">
        <f>IF(Table2[[#This Row],[Description]]="","",VLOOKUP(Table2[[#This Row],[Description]],$Q$1:$S$101,2,FALSE))</f>
        <v/>
      </c>
      <c r="H6258" s="1" t="str">
        <f>IF(Table2[[#This Row],[Description]]="","",VLOOKUP(Table2[[#This Row],[Description]],$Q$1:$S$101,3,FALSE))</f>
        <v/>
      </c>
      <c r="I6258" s="1" t="str">
        <f>IF(Table2[[#This Row],[Description]]="","",IF(Table2[[#This Row],[Currency]]=$O$2,$P$2,HLOOKUP(Table2[[#This Row],[Date]],Funds!$C$10:$GV$11,2,FALSE)))</f>
        <v/>
      </c>
      <c r="J6258" s="215" t="str">
        <f>IF(Table2[[#This Row],[Description]]="","",Table2[[#This Row],[Value]]/Table2[[#This Row],[Conversion]])</f>
        <v/>
      </c>
      <c r="K6258" s="45" t="str">
        <f>IF(Table2[[#This Row],[Description]]="","",DATE(Table2[[#This Row],[Year]],Table2[[#This Row],[Month]],1))</f>
        <v/>
      </c>
    </row>
    <row r="6259" spans="7:11" x14ac:dyDescent="0.25">
      <c r="G6259" s="1" t="str">
        <f>IF(Table2[[#This Row],[Description]]="","",VLOOKUP(Table2[[#This Row],[Description]],$Q$1:$S$101,2,FALSE))</f>
        <v/>
      </c>
      <c r="H6259" s="1" t="str">
        <f>IF(Table2[[#This Row],[Description]]="","",VLOOKUP(Table2[[#This Row],[Description]],$Q$1:$S$101,3,FALSE))</f>
        <v/>
      </c>
      <c r="I6259" s="1" t="str">
        <f>IF(Table2[[#This Row],[Description]]="","",IF(Table2[[#This Row],[Currency]]=$O$2,$P$2,HLOOKUP(Table2[[#This Row],[Date]],Funds!$C$10:$GV$11,2,FALSE)))</f>
        <v/>
      </c>
      <c r="J6259" s="215" t="str">
        <f>IF(Table2[[#This Row],[Description]]="","",Table2[[#This Row],[Value]]/Table2[[#This Row],[Conversion]])</f>
        <v/>
      </c>
      <c r="K6259" s="45" t="str">
        <f>IF(Table2[[#This Row],[Description]]="","",DATE(Table2[[#This Row],[Year]],Table2[[#This Row],[Month]],1))</f>
        <v/>
      </c>
    </row>
    <row r="6260" spans="7:11" x14ac:dyDescent="0.25">
      <c r="G6260" s="1" t="str">
        <f>IF(Table2[[#This Row],[Description]]="","",VLOOKUP(Table2[[#This Row],[Description]],$Q$1:$S$101,2,FALSE))</f>
        <v/>
      </c>
      <c r="H6260" s="1" t="str">
        <f>IF(Table2[[#This Row],[Description]]="","",VLOOKUP(Table2[[#This Row],[Description]],$Q$1:$S$101,3,FALSE))</f>
        <v/>
      </c>
      <c r="I6260" s="1" t="str">
        <f>IF(Table2[[#This Row],[Description]]="","",IF(Table2[[#This Row],[Currency]]=$O$2,$P$2,HLOOKUP(Table2[[#This Row],[Date]],Funds!$C$10:$GV$11,2,FALSE)))</f>
        <v/>
      </c>
      <c r="J6260" s="215" t="str">
        <f>IF(Table2[[#This Row],[Description]]="","",Table2[[#This Row],[Value]]/Table2[[#This Row],[Conversion]])</f>
        <v/>
      </c>
      <c r="K6260" s="45" t="str">
        <f>IF(Table2[[#This Row],[Description]]="","",DATE(Table2[[#This Row],[Year]],Table2[[#This Row],[Month]],1))</f>
        <v/>
      </c>
    </row>
    <row r="6261" spans="7:11" x14ac:dyDescent="0.25">
      <c r="G6261" s="1" t="str">
        <f>IF(Table2[[#This Row],[Description]]="","",VLOOKUP(Table2[[#This Row],[Description]],$Q$1:$S$101,2,FALSE))</f>
        <v/>
      </c>
      <c r="H6261" s="1" t="str">
        <f>IF(Table2[[#This Row],[Description]]="","",VLOOKUP(Table2[[#This Row],[Description]],$Q$1:$S$101,3,FALSE))</f>
        <v/>
      </c>
      <c r="I6261" s="1" t="str">
        <f>IF(Table2[[#This Row],[Description]]="","",IF(Table2[[#This Row],[Currency]]=$O$2,$P$2,HLOOKUP(Table2[[#This Row],[Date]],Funds!$C$10:$GV$11,2,FALSE)))</f>
        <v/>
      </c>
      <c r="J6261" s="215" t="str">
        <f>IF(Table2[[#This Row],[Description]]="","",Table2[[#This Row],[Value]]/Table2[[#This Row],[Conversion]])</f>
        <v/>
      </c>
      <c r="K6261" s="45" t="str">
        <f>IF(Table2[[#This Row],[Description]]="","",DATE(Table2[[#This Row],[Year]],Table2[[#This Row],[Month]],1))</f>
        <v/>
      </c>
    </row>
    <row r="6262" spans="7:11" x14ac:dyDescent="0.25">
      <c r="G6262" s="1" t="str">
        <f>IF(Table2[[#This Row],[Description]]="","",VLOOKUP(Table2[[#This Row],[Description]],$Q$1:$S$101,2,FALSE))</f>
        <v/>
      </c>
      <c r="H6262" s="1" t="str">
        <f>IF(Table2[[#This Row],[Description]]="","",VLOOKUP(Table2[[#This Row],[Description]],$Q$1:$S$101,3,FALSE))</f>
        <v/>
      </c>
      <c r="I6262" s="1" t="str">
        <f>IF(Table2[[#This Row],[Description]]="","",IF(Table2[[#This Row],[Currency]]=$O$2,$P$2,HLOOKUP(Table2[[#This Row],[Date]],Funds!$C$10:$GV$11,2,FALSE)))</f>
        <v/>
      </c>
      <c r="J6262" s="215" t="str">
        <f>IF(Table2[[#This Row],[Description]]="","",Table2[[#This Row],[Value]]/Table2[[#This Row],[Conversion]])</f>
        <v/>
      </c>
      <c r="K6262" s="45" t="str">
        <f>IF(Table2[[#This Row],[Description]]="","",DATE(Table2[[#This Row],[Year]],Table2[[#This Row],[Month]],1))</f>
        <v/>
      </c>
    </row>
    <row r="6263" spans="7:11" x14ac:dyDescent="0.25">
      <c r="G6263" s="1" t="str">
        <f>IF(Table2[[#This Row],[Description]]="","",VLOOKUP(Table2[[#This Row],[Description]],$Q$1:$S$101,2,FALSE))</f>
        <v/>
      </c>
      <c r="H6263" s="1" t="str">
        <f>IF(Table2[[#This Row],[Description]]="","",VLOOKUP(Table2[[#This Row],[Description]],$Q$1:$S$101,3,FALSE))</f>
        <v/>
      </c>
      <c r="I6263" s="1" t="str">
        <f>IF(Table2[[#This Row],[Description]]="","",IF(Table2[[#This Row],[Currency]]=$O$2,$P$2,HLOOKUP(Table2[[#This Row],[Date]],Funds!$C$10:$GV$11,2,FALSE)))</f>
        <v/>
      </c>
      <c r="J6263" s="215" t="str">
        <f>IF(Table2[[#This Row],[Description]]="","",Table2[[#This Row],[Value]]/Table2[[#This Row],[Conversion]])</f>
        <v/>
      </c>
      <c r="K6263" s="45" t="str">
        <f>IF(Table2[[#This Row],[Description]]="","",DATE(Table2[[#This Row],[Year]],Table2[[#This Row],[Month]],1))</f>
        <v/>
      </c>
    </row>
    <row r="6264" spans="7:11" x14ac:dyDescent="0.25">
      <c r="G6264" s="1" t="str">
        <f>IF(Table2[[#This Row],[Description]]="","",VLOOKUP(Table2[[#This Row],[Description]],$Q$1:$S$101,2,FALSE))</f>
        <v/>
      </c>
      <c r="H6264" s="1" t="str">
        <f>IF(Table2[[#This Row],[Description]]="","",VLOOKUP(Table2[[#This Row],[Description]],$Q$1:$S$101,3,FALSE))</f>
        <v/>
      </c>
      <c r="I6264" s="1" t="str">
        <f>IF(Table2[[#This Row],[Description]]="","",IF(Table2[[#This Row],[Currency]]=$O$2,$P$2,HLOOKUP(Table2[[#This Row],[Date]],Funds!$C$10:$GV$11,2,FALSE)))</f>
        <v/>
      </c>
      <c r="J6264" s="215" t="str">
        <f>IF(Table2[[#This Row],[Description]]="","",Table2[[#This Row],[Value]]/Table2[[#This Row],[Conversion]])</f>
        <v/>
      </c>
      <c r="K6264" s="45" t="str">
        <f>IF(Table2[[#This Row],[Description]]="","",DATE(Table2[[#This Row],[Year]],Table2[[#This Row],[Month]],1))</f>
        <v/>
      </c>
    </row>
    <row r="6265" spans="7:11" x14ac:dyDescent="0.25">
      <c r="G6265" s="1" t="str">
        <f>IF(Table2[[#This Row],[Description]]="","",VLOOKUP(Table2[[#This Row],[Description]],$Q$1:$S$101,2,FALSE))</f>
        <v/>
      </c>
      <c r="H6265" s="1" t="str">
        <f>IF(Table2[[#This Row],[Description]]="","",VLOOKUP(Table2[[#This Row],[Description]],$Q$1:$S$101,3,FALSE))</f>
        <v/>
      </c>
      <c r="I6265" s="1" t="str">
        <f>IF(Table2[[#This Row],[Description]]="","",IF(Table2[[#This Row],[Currency]]=$O$2,$P$2,HLOOKUP(Table2[[#This Row],[Date]],Funds!$C$10:$GV$11,2,FALSE)))</f>
        <v/>
      </c>
      <c r="J6265" s="215" t="str">
        <f>IF(Table2[[#This Row],[Description]]="","",Table2[[#This Row],[Value]]/Table2[[#This Row],[Conversion]])</f>
        <v/>
      </c>
      <c r="K6265" s="45" t="str">
        <f>IF(Table2[[#This Row],[Description]]="","",DATE(Table2[[#This Row],[Year]],Table2[[#This Row],[Month]],1))</f>
        <v/>
      </c>
    </row>
    <row r="6266" spans="7:11" x14ac:dyDescent="0.25">
      <c r="G6266" s="1" t="str">
        <f>IF(Table2[[#This Row],[Description]]="","",VLOOKUP(Table2[[#This Row],[Description]],$Q$1:$S$101,2,FALSE))</f>
        <v/>
      </c>
      <c r="H6266" s="1" t="str">
        <f>IF(Table2[[#This Row],[Description]]="","",VLOOKUP(Table2[[#This Row],[Description]],$Q$1:$S$101,3,FALSE))</f>
        <v/>
      </c>
      <c r="I6266" s="1" t="str">
        <f>IF(Table2[[#This Row],[Description]]="","",IF(Table2[[#This Row],[Currency]]=$O$2,$P$2,HLOOKUP(Table2[[#This Row],[Date]],Funds!$C$10:$GV$11,2,FALSE)))</f>
        <v/>
      </c>
      <c r="J6266" s="215" t="str">
        <f>IF(Table2[[#This Row],[Description]]="","",Table2[[#This Row],[Value]]/Table2[[#This Row],[Conversion]])</f>
        <v/>
      </c>
      <c r="K6266" s="45" t="str">
        <f>IF(Table2[[#This Row],[Description]]="","",DATE(Table2[[#This Row],[Year]],Table2[[#This Row],[Month]],1))</f>
        <v/>
      </c>
    </row>
    <row r="6267" spans="7:11" x14ac:dyDescent="0.25">
      <c r="G6267" s="1" t="str">
        <f>IF(Table2[[#This Row],[Description]]="","",VLOOKUP(Table2[[#This Row],[Description]],$Q$1:$S$101,2,FALSE))</f>
        <v/>
      </c>
      <c r="H6267" s="1" t="str">
        <f>IF(Table2[[#This Row],[Description]]="","",VLOOKUP(Table2[[#This Row],[Description]],$Q$1:$S$101,3,FALSE))</f>
        <v/>
      </c>
      <c r="I6267" s="1" t="str">
        <f>IF(Table2[[#This Row],[Description]]="","",IF(Table2[[#This Row],[Currency]]=$O$2,$P$2,HLOOKUP(Table2[[#This Row],[Date]],Funds!$C$10:$GV$11,2,FALSE)))</f>
        <v/>
      </c>
      <c r="J6267" s="215" t="str">
        <f>IF(Table2[[#This Row],[Description]]="","",Table2[[#This Row],[Value]]/Table2[[#This Row],[Conversion]])</f>
        <v/>
      </c>
      <c r="K6267" s="45" t="str">
        <f>IF(Table2[[#This Row],[Description]]="","",DATE(Table2[[#This Row],[Year]],Table2[[#This Row],[Month]],1))</f>
        <v/>
      </c>
    </row>
    <row r="6268" spans="7:11" x14ac:dyDescent="0.25">
      <c r="G6268" s="1" t="str">
        <f>IF(Table2[[#This Row],[Description]]="","",VLOOKUP(Table2[[#This Row],[Description]],$Q$1:$S$101,2,FALSE))</f>
        <v/>
      </c>
      <c r="H6268" s="1" t="str">
        <f>IF(Table2[[#This Row],[Description]]="","",VLOOKUP(Table2[[#This Row],[Description]],$Q$1:$S$101,3,FALSE))</f>
        <v/>
      </c>
      <c r="I6268" s="1" t="str">
        <f>IF(Table2[[#This Row],[Description]]="","",IF(Table2[[#This Row],[Currency]]=$O$2,$P$2,HLOOKUP(Table2[[#This Row],[Date]],Funds!$C$10:$GV$11,2,FALSE)))</f>
        <v/>
      </c>
      <c r="J6268" s="215" t="str">
        <f>IF(Table2[[#This Row],[Description]]="","",Table2[[#This Row],[Value]]/Table2[[#This Row],[Conversion]])</f>
        <v/>
      </c>
      <c r="K6268" s="45" t="str">
        <f>IF(Table2[[#This Row],[Description]]="","",DATE(Table2[[#This Row],[Year]],Table2[[#This Row],[Month]],1))</f>
        <v/>
      </c>
    </row>
    <row r="6269" spans="7:11" x14ac:dyDescent="0.25">
      <c r="G6269" s="1" t="str">
        <f>IF(Table2[[#This Row],[Description]]="","",VLOOKUP(Table2[[#This Row],[Description]],$Q$1:$S$101,2,FALSE))</f>
        <v/>
      </c>
      <c r="H6269" s="1" t="str">
        <f>IF(Table2[[#This Row],[Description]]="","",VLOOKUP(Table2[[#This Row],[Description]],$Q$1:$S$101,3,FALSE))</f>
        <v/>
      </c>
      <c r="I6269" s="1" t="str">
        <f>IF(Table2[[#This Row],[Description]]="","",IF(Table2[[#This Row],[Currency]]=$O$2,$P$2,HLOOKUP(Table2[[#This Row],[Date]],Funds!$C$10:$GV$11,2,FALSE)))</f>
        <v/>
      </c>
      <c r="J6269" s="215" t="str">
        <f>IF(Table2[[#This Row],[Description]]="","",Table2[[#This Row],[Value]]/Table2[[#This Row],[Conversion]])</f>
        <v/>
      </c>
      <c r="K6269" s="45" t="str">
        <f>IF(Table2[[#This Row],[Description]]="","",DATE(Table2[[#This Row],[Year]],Table2[[#This Row],[Month]],1))</f>
        <v/>
      </c>
    </row>
    <row r="6270" spans="7:11" x14ac:dyDescent="0.25">
      <c r="G6270" s="1" t="str">
        <f>IF(Table2[[#This Row],[Description]]="","",VLOOKUP(Table2[[#This Row],[Description]],$Q$1:$S$101,2,FALSE))</f>
        <v/>
      </c>
      <c r="H6270" s="1" t="str">
        <f>IF(Table2[[#This Row],[Description]]="","",VLOOKUP(Table2[[#This Row],[Description]],$Q$1:$S$101,3,FALSE))</f>
        <v/>
      </c>
      <c r="I6270" s="1" t="str">
        <f>IF(Table2[[#This Row],[Description]]="","",IF(Table2[[#This Row],[Currency]]=$O$2,$P$2,HLOOKUP(Table2[[#This Row],[Date]],Funds!$C$10:$GV$11,2,FALSE)))</f>
        <v/>
      </c>
      <c r="J6270" s="215" t="str">
        <f>IF(Table2[[#This Row],[Description]]="","",Table2[[#This Row],[Value]]/Table2[[#This Row],[Conversion]])</f>
        <v/>
      </c>
      <c r="K6270" s="45" t="str">
        <f>IF(Table2[[#This Row],[Description]]="","",DATE(Table2[[#This Row],[Year]],Table2[[#This Row],[Month]],1))</f>
        <v/>
      </c>
    </row>
    <row r="6271" spans="7:11" x14ac:dyDescent="0.25">
      <c r="G6271" s="1" t="str">
        <f>IF(Table2[[#This Row],[Description]]="","",VLOOKUP(Table2[[#This Row],[Description]],$Q$1:$S$101,2,FALSE))</f>
        <v/>
      </c>
      <c r="H6271" s="1" t="str">
        <f>IF(Table2[[#This Row],[Description]]="","",VLOOKUP(Table2[[#This Row],[Description]],$Q$1:$S$101,3,FALSE))</f>
        <v/>
      </c>
      <c r="I6271" s="1" t="str">
        <f>IF(Table2[[#This Row],[Description]]="","",IF(Table2[[#This Row],[Currency]]=$O$2,$P$2,HLOOKUP(Table2[[#This Row],[Date]],Funds!$C$10:$GV$11,2,FALSE)))</f>
        <v/>
      </c>
      <c r="J6271" s="215" t="str">
        <f>IF(Table2[[#This Row],[Description]]="","",Table2[[#This Row],[Value]]/Table2[[#This Row],[Conversion]])</f>
        <v/>
      </c>
      <c r="K6271" s="45" t="str">
        <f>IF(Table2[[#This Row],[Description]]="","",DATE(Table2[[#This Row],[Year]],Table2[[#This Row],[Month]],1))</f>
        <v/>
      </c>
    </row>
    <row r="6272" spans="7:11" x14ac:dyDescent="0.25">
      <c r="G6272" s="1" t="str">
        <f>IF(Table2[[#This Row],[Description]]="","",VLOOKUP(Table2[[#This Row],[Description]],$Q$1:$S$101,2,FALSE))</f>
        <v/>
      </c>
      <c r="H6272" s="1" t="str">
        <f>IF(Table2[[#This Row],[Description]]="","",VLOOKUP(Table2[[#This Row],[Description]],$Q$1:$S$101,3,FALSE))</f>
        <v/>
      </c>
      <c r="I6272" s="1" t="str">
        <f>IF(Table2[[#This Row],[Description]]="","",IF(Table2[[#This Row],[Currency]]=$O$2,$P$2,HLOOKUP(Table2[[#This Row],[Date]],Funds!$C$10:$GV$11,2,FALSE)))</f>
        <v/>
      </c>
      <c r="J6272" s="215" t="str">
        <f>IF(Table2[[#This Row],[Description]]="","",Table2[[#This Row],[Value]]/Table2[[#This Row],[Conversion]])</f>
        <v/>
      </c>
      <c r="K6272" s="45" t="str">
        <f>IF(Table2[[#This Row],[Description]]="","",DATE(Table2[[#This Row],[Year]],Table2[[#This Row],[Month]],1))</f>
        <v/>
      </c>
    </row>
    <row r="6273" spans="7:11" x14ac:dyDescent="0.25">
      <c r="G6273" s="1" t="str">
        <f>IF(Table2[[#This Row],[Description]]="","",VLOOKUP(Table2[[#This Row],[Description]],$Q$1:$S$101,2,FALSE))</f>
        <v/>
      </c>
      <c r="H6273" s="1" t="str">
        <f>IF(Table2[[#This Row],[Description]]="","",VLOOKUP(Table2[[#This Row],[Description]],$Q$1:$S$101,3,FALSE))</f>
        <v/>
      </c>
      <c r="I6273" s="1" t="str">
        <f>IF(Table2[[#This Row],[Description]]="","",IF(Table2[[#This Row],[Currency]]=$O$2,$P$2,HLOOKUP(Table2[[#This Row],[Date]],Funds!$C$10:$GV$11,2,FALSE)))</f>
        <v/>
      </c>
      <c r="J6273" s="215" t="str">
        <f>IF(Table2[[#This Row],[Description]]="","",Table2[[#This Row],[Value]]/Table2[[#This Row],[Conversion]])</f>
        <v/>
      </c>
      <c r="K6273" s="45" t="str">
        <f>IF(Table2[[#This Row],[Description]]="","",DATE(Table2[[#This Row],[Year]],Table2[[#This Row],[Month]],1))</f>
        <v/>
      </c>
    </row>
    <row r="6274" spans="7:11" x14ac:dyDescent="0.25">
      <c r="G6274" s="1" t="str">
        <f>IF(Table2[[#This Row],[Description]]="","",VLOOKUP(Table2[[#This Row],[Description]],$Q$1:$S$101,2,FALSE))</f>
        <v/>
      </c>
      <c r="H6274" s="1" t="str">
        <f>IF(Table2[[#This Row],[Description]]="","",VLOOKUP(Table2[[#This Row],[Description]],$Q$1:$S$101,3,FALSE))</f>
        <v/>
      </c>
      <c r="I6274" s="1" t="str">
        <f>IF(Table2[[#This Row],[Description]]="","",IF(Table2[[#This Row],[Currency]]=$O$2,$P$2,HLOOKUP(Table2[[#This Row],[Date]],Funds!$C$10:$GV$11,2,FALSE)))</f>
        <v/>
      </c>
      <c r="J6274" s="215" t="str">
        <f>IF(Table2[[#This Row],[Description]]="","",Table2[[#This Row],[Value]]/Table2[[#This Row],[Conversion]])</f>
        <v/>
      </c>
      <c r="K6274" s="45" t="str">
        <f>IF(Table2[[#This Row],[Description]]="","",DATE(Table2[[#This Row],[Year]],Table2[[#This Row],[Month]],1))</f>
        <v/>
      </c>
    </row>
    <row r="6275" spans="7:11" x14ac:dyDescent="0.25">
      <c r="G6275" s="1" t="str">
        <f>IF(Table2[[#This Row],[Description]]="","",VLOOKUP(Table2[[#This Row],[Description]],$Q$1:$S$101,2,FALSE))</f>
        <v/>
      </c>
      <c r="H6275" s="1" t="str">
        <f>IF(Table2[[#This Row],[Description]]="","",VLOOKUP(Table2[[#This Row],[Description]],$Q$1:$S$101,3,FALSE))</f>
        <v/>
      </c>
      <c r="I6275" s="1" t="str">
        <f>IF(Table2[[#This Row],[Description]]="","",IF(Table2[[#This Row],[Currency]]=$O$2,$P$2,HLOOKUP(Table2[[#This Row],[Date]],Funds!$C$10:$GV$11,2,FALSE)))</f>
        <v/>
      </c>
      <c r="J6275" s="215" t="str">
        <f>IF(Table2[[#This Row],[Description]]="","",Table2[[#This Row],[Value]]/Table2[[#This Row],[Conversion]])</f>
        <v/>
      </c>
      <c r="K6275" s="45" t="str">
        <f>IF(Table2[[#This Row],[Description]]="","",DATE(Table2[[#This Row],[Year]],Table2[[#This Row],[Month]],1))</f>
        <v/>
      </c>
    </row>
    <row r="6276" spans="7:11" x14ac:dyDescent="0.25">
      <c r="G6276" s="1" t="str">
        <f>IF(Table2[[#This Row],[Description]]="","",VLOOKUP(Table2[[#This Row],[Description]],$Q$1:$S$101,2,FALSE))</f>
        <v/>
      </c>
      <c r="H6276" s="1" t="str">
        <f>IF(Table2[[#This Row],[Description]]="","",VLOOKUP(Table2[[#This Row],[Description]],$Q$1:$S$101,3,FALSE))</f>
        <v/>
      </c>
      <c r="I6276" s="1" t="str">
        <f>IF(Table2[[#This Row],[Description]]="","",IF(Table2[[#This Row],[Currency]]=$O$2,$P$2,HLOOKUP(Table2[[#This Row],[Date]],Funds!$C$10:$GV$11,2,FALSE)))</f>
        <v/>
      </c>
      <c r="J6276" s="215" t="str">
        <f>IF(Table2[[#This Row],[Description]]="","",Table2[[#This Row],[Value]]/Table2[[#This Row],[Conversion]])</f>
        <v/>
      </c>
      <c r="K6276" s="45" t="str">
        <f>IF(Table2[[#This Row],[Description]]="","",DATE(Table2[[#This Row],[Year]],Table2[[#This Row],[Month]],1))</f>
        <v/>
      </c>
    </row>
    <row r="6277" spans="7:11" x14ac:dyDescent="0.25">
      <c r="G6277" s="1" t="str">
        <f>IF(Table2[[#This Row],[Description]]="","",VLOOKUP(Table2[[#This Row],[Description]],$Q$1:$S$101,2,FALSE))</f>
        <v/>
      </c>
      <c r="H6277" s="1" t="str">
        <f>IF(Table2[[#This Row],[Description]]="","",VLOOKUP(Table2[[#This Row],[Description]],$Q$1:$S$101,3,FALSE))</f>
        <v/>
      </c>
      <c r="I6277" s="1" t="str">
        <f>IF(Table2[[#This Row],[Description]]="","",IF(Table2[[#This Row],[Currency]]=$O$2,$P$2,HLOOKUP(Table2[[#This Row],[Date]],Funds!$C$10:$GV$11,2,FALSE)))</f>
        <v/>
      </c>
      <c r="J6277" s="215" t="str">
        <f>IF(Table2[[#This Row],[Description]]="","",Table2[[#This Row],[Value]]/Table2[[#This Row],[Conversion]])</f>
        <v/>
      </c>
      <c r="K6277" s="45" t="str">
        <f>IF(Table2[[#This Row],[Description]]="","",DATE(Table2[[#This Row],[Year]],Table2[[#This Row],[Month]],1))</f>
        <v/>
      </c>
    </row>
    <row r="6278" spans="7:11" x14ac:dyDescent="0.25">
      <c r="G6278" s="1" t="str">
        <f>IF(Table2[[#This Row],[Description]]="","",VLOOKUP(Table2[[#This Row],[Description]],$Q$1:$S$101,2,FALSE))</f>
        <v/>
      </c>
      <c r="H6278" s="1" t="str">
        <f>IF(Table2[[#This Row],[Description]]="","",VLOOKUP(Table2[[#This Row],[Description]],$Q$1:$S$101,3,FALSE))</f>
        <v/>
      </c>
      <c r="I6278" s="1" t="str">
        <f>IF(Table2[[#This Row],[Description]]="","",IF(Table2[[#This Row],[Currency]]=$O$2,$P$2,HLOOKUP(Table2[[#This Row],[Date]],Funds!$C$10:$GV$11,2,FALSE)))</f>
        <v/>
      </c>
      <c r="J6278" s="215" t="str">
        <f>IF(Table2[[#This Row],[Description]]="","",Table2[[#This Row],[Value]]/Table2[[#This Row],[Conversion]])</f>
        <v/>
      </c>
      <c r="K6278" s="45" t="str">
        <f>IF(Table2[[#This Row],[Description]]="","",DATE(Table2[[#This Row],[Year]],Table2[[#This Row],[Month]],1))</f>
        <v/>
      </c>
    </row>
    <row r="6279" spans="7:11" x14ac:dyDescent="0.25">
      <c r="G6279" s="1" t="str">
        <f>IF(Table2[[#This Row],[Description]]="","",VLOOKUP(Table2[[#This Row],[Description]],$Q$1:$S$101,2,FALSE))</f>
        <v/>
      </c>
      <c r="H6279" s="1" t="str">
        <f>IF(Table2[[#This Row],[Description]]="","",VLOOKUP(Table2[[#This Row],[Description]],$Q$1:$S$101,3,FALSE))</f>
        <v/>
      </c>
      <c r="I6279" s="1" t="str">
        <f>IF(Table2[[#This Row],[Description]]="","",IF(Table2[[#This Row],[Currency]]=$O$2,$P$2,HLOOKUP(Table2[[#This Row],[Date]],Funds!$C$10:$GV$11,2,FALSE)))</f>
        <v/>
      </c>
      <c r="J6279" s="215" t="str">
        <f>IF(Table2[[#This Row],[Description]]="","",Table2[[#This Row],[Value]]/Table2[[#This Row],[Conversion]])</f>
        <v/>
      </c>
      <c r="K6279" s="45" t="str">
        <f>IF(Table2[[#This Row],[Description]]="","",DATE(Table2[[#This Row],[Year]],Table2[[#This Row],[Month]],1))</f>
        <v/>
      </c>
    </row>
    <row r="6280" spans="7:11" x14ac:dyDescent="0.25">
      <c r="G6280" s="1" t="str">
        <f>IF(Table2[[#This Row],[Description]]="","",VLOOKUP(Table2[[#This Row],[Description]],$Q$1:$S$101,2,FALSE))</f>
        <v/>
      </c>
      <c r="H6280" s="1" t="str">
        <f>IF(Table2[[#This Row],[Description]]="","",VLOOKUP(Table2[[#This Row],[Description]],$Q$1:$S$101,3,FALSE))</f>
        <v/>
      </c>
      <c r="I6280" s="1" t="str">
        <f>IF(Table2[[#This Row],[Description]]="","",IF(Table2[[#This Row],[Currency]]=$O$2,$P$2,HLOOKUP(Table2[[#This Row],[Date]],Funds!$C$10:$GV$11,2,FALSE)))</f>
        <v/>
      </c>
      <c r="J6280" s="215" t="str">
        <f>IF(Table2[[#This Row],[Description]]="","",Table2[[#This Row],[Value]]/Table2[[#This Row],[Conversion]])</f>
        <v/>
      </c>
      <c r="K6280" s="45" t="str">
        <f>IF(Table2[[#This Row],[Description]]="","",DATE(Table2[[#This Row],[Year]],Table2[[#This Row],[Month]],1))</f>
        <v/>
      </c>
    </row>
    <row r="6281" spans="7:11" x14ac:dyDescent="0.25">
      <c r="G6281" s="1" t="str">
        <f>IF(Table2[[#This Row],[Description]]="","",VLOOKUP(Table2[[#This Row],[Description]],$Q$1:$S$101,2,FALSE))</f>
        <v/>
      </c>
      <c r="H6281" s="1" t="str">
        <f>IF(Table2[[#This Row],[Description]]="","",VLOOKUP(Table2[[#This Row],[Description]],$Q$1:$S$101,3,FALSE))</f>
        <v/>
      </c>
      <c r="I6281" s="1" t="str">
        <f>IF(Table2[[#This Row],[Description]]="","",IF(Table2[[#This Row],[Currency]]=$O$2,$P$2,HLOOKUP(Table2[[#This Row],[Date]],Funds!$C$10:$GV$11,2,FALSE)))</f>
        <v/>
      </c>
      <c r="J6281" s="215" t="str">
        <f>IF(Table2[[#This Row],[Description]]="","",Table2[[#This Row],[Value]]/Table2[[#This Row],[Conversion]])</f>
        <v/>
      </c>
      <c r="K6281" s="45" t="str">
        <f>IF(Table2[[#This Row],[Description]]="","",DATE(Table2[[#This Row],[Year]],Table2[[#This Row],[Month]],1))</f>
        <v/>
      </c>
    </row>
    <row r="6282" spans="7:11" x14ac:dyDescent="0.25">
      <c r="G6282" s="1" t="str">
        <f>IF(Table2[[#This Row],[Description]]="","",VLOOKUP(Table2[[#This Row],[Description]],$Q$1:$S$101,2,FALSE))</f>
        <v/>
      </c>
      <c r="H6282" s="1" t="str">
        <f>IF(Table2[[#This Row],[Description]]="","",VLOOKUP(Table2[[#This Row],[Description]],$Q$1:$S$101,3,FALSE))</f>
        <v/>
      </c>
      <c r="I6282" s="1" t="str">
        <f>IF(Table2[[#This Row],[Description]]="","",IF(Table2[[#This Row],[Currency]]=$O$2,$P$2,HLOOKUP(Table2[[#This Row],[Date]],Funds!$C$10:$GV$11,2,FALSE)))</f>
        <v/>
      </c>
      <c r="J6282" s="215" t="str">
        <f>IF(Table2[[#This Row],[Description]]="","",Table2[[#This Row],[Value]]/Table2[[#This Row],[Conversion]])</f>
        <v/>
      </c>
      <c r="K6282" s="45" t="str">
        <f>IF(Table2[[#This Row],[Description]]="","",DATE(Table2[[#This Row],[Year]],Table2[[#This Row],[Month]],1))</f>
        <v/>
      </c>
    </row>
    <row r="6283" spans="7:11" x14ac:dyDescent="0.25">
      <c r="G6283" s="1" t="str">
        <f>IF(Table2[[#This Row],[Description]]="","",VLOOKUP(Table2[[#This Row],[Description]],$Q$1:$S$101,2,FALSE))</f>
        <v/>
      </c>
      <c r="H6283" s="1" t="str">
        <f>IF(Table2[[#This Row],[Description]]="","",VLOOKUP(Table2[[#This Row],[Description]],$Q$1:$S$101,3,FALSE))</f>
        <v/>
      </c>
      <c r="I6283" s="1" t="str">
        <f>IF(Table2[[#This Row],[Description]]="","",IF(Table2[[#This Row],[Currency]]=$O$2,$P$2,HLOOKUP(Table2[[#This Row],[Date]],Funds!$C$10:$GV$11,2,FALSE)))</f>
        <v/>
      </c>
      <c r="J6283" s="215" t="str">
        <f>IF(Table2[[#This Row],[Description]]="","",Table2[[#This Row],[Value]]/Table2[[#This Row],[Conversion]])</f>
        <v/>
      </c>
      <c r="K6283" s="45" t="str">
        <f>IF(Table2[[#This Row],[Description]]="","",DATE(Table2[[#This Row],[Year]],Table2[[#This Row],[Month]],1))</f>
        <v/>
      </c>
    </row>
    <row r="6284" spans="7:11" x14ac:dyDescent="0.25">
      <c r="G6284" s="1" t="str">
        <f>IF(Table2[[#This Row],[Description]]="","",VLOOKUP(Table2[[#This Row],[Description]],$Q$1:$S$101,2,FALSE))</f>
        <v/>
      </c>
      <c r="H6284" s="1" t="str">
        <f>IF(Table2[[#This Row],[Description]]="","",VLOOKUP(Table2[[#This Row],[Description]],$Q$1:$S$101,3,FALSE))</f>
        <v/>
      </c>
      <c r="I6284" s="1" t="str">
        <f>IF(Table2[[#This Row],[Description]]="","",IF(Table2[[#This Row],[Currency]]=$O$2,$P$2,HLOOKUP(Table2[[#This Row],[Date]],Funds!$C$10:$GV$11,2,FALSE)))</f>
        <v/>
      </c>
      <c r="J6284" s="215" t="str">
        <f>IF(Table2[[#This Row],[Description]]="","",Table2[[#This Row],[Value]]/Table2[[#This Row],[Conversion]])</f>
        <v/>
      </c>
      <c r="K6284" s="45" t="str">
        <f>IF(Table2[[#This Row],[Description]]="","",DATE(Table2[[#This Row],[Year]],Table2[[#This Row],[Month]],1))</f>
        <v/>
      </c>
    </row>
    <row r="6285" spans="7:11" x14ac:dyDescent="0.25">
      <c r="G6285" s="1" t="str">
        <f>IF(Table2[[#This Row],[Description]]="","",VLOOKUP(Table2[[#This Row],[Description]],$Q$1:$S$101,2,FALSE))</f>
        <v/>
      </c>
      <c r="H6285" s="1" t="str">
        <f>IF(Table2[[#This Row],[Description]]="","",VLOOKUP(Table2[[#This Row],[Description]],$Q$1:$S$101,3,FALSE))</f>
        <v/>
      </c>
      <c r="I6285" s="1" t="str">
        <f>IF(Table2[[#This Row],[Description]]="","",IF(Table2[[#This Row],[Currency]]=$O$2,$P$2,HLOOKUP(Table2[[#This Row],[Date]],Funds!$C$10:$GV$11,2,FALSE)))</f>
        <v/>
      </c>
      <c r="J6285" s="215" t="str">
        <f>IF(Table2[[#This Row],[Description]]="","",Table2[[#This Row],[Value]]/Table2[[#This Row],[Conversion]])</f>
        <v/>
      </c>
      <c r="K6285" s="45" t="str">
        <f>IF(Table2[[#This Row],[Description]]="","",DATE(Table2[[#This Row],[Year]],Table2[[#This Row],[Month]],1))</f>
        <v/>
      </c>
    </row>
    <row r="6286" spans="7:11" x14ac:dyDescent="0.25">
      <c r="G6286" s="1" t="str">
        <f>IF(Table2[[#This Row],[Description]]="","",VLOOKUP(Table2[[#This Row],[Description]],$Q$1:$S$101,2,FALSE))</f>
        <v/>
      </c>
      <c r="H6286" s="1" t="str">
        <f>IF(Table2[[#This Row],[Description]]="","",VLOOKUP(Table2[[#This Row],[Description]],$Q$1:$S$101,3,FALSE))</f>
        <v/>
      </c>
      <c r="I6286" s="1" t="str">
        <f>IF(Table2[[#This Row],[Description]]="","",IF(Table2[[#This Row],[Currency]]=$O$2,$P$2,HLOOKUP(Table2[[#This Row],[Date]],Funds!$C$10:$GV$11,2,FALSE)))</f>
        <v/>
      </c>
      <c r="J6286" s="215" t="str">
        <f>IF(Table2[[#This Row],[Description]]="","",Table2[[#This Row],[Value]]/Table2[[#This Row],[Conversion]])</f>
        <v/>
      </c>
      <c r="K6286" s="45" t="str">
        <f>IF(Table2[[#This Row],[Description]]="","",DATE(Table2[[#This Row],[Year]],Table2[[#This Row],[Month]],1))</f>
        <v/>
      </c>
    </row>
    <row r="6287" spans="7:11" x14ac:dyDescent="0.25">
      <c r="G6287" s="1" t="str">
        <f>IF(Table2[[#This Row],[Description]]="","",VLOOKUP(Table2[[#This Row],[Description]],$Q$1:$S$101,2,FALSE))</f>
        <v/>
      </c>
      <c r="H6287" s="1" t="str">
        <f>IF(Table2[[#This Row],[Description]]="","",VLOOKUP(Table2[[#This Row],[Description]],$Q$1:$S$101,3,FALSE))</f>
        <v/>
      </c>
      <c r="I6287" s="1" t="str">
        <f>IF(Table2[[#This Row],[Description]]="","",IF(Table2[[#This Row],[Currency]]=$O$2,$P$2,HLOOKUP(Table2[[#This Row],[Date]],Funds!$C$10:$GV$11,2,FALSE)))</f>
        <v/>
      </c>
      <c r="J6287" s="215" t="str">
        <f>IF(Table2[[#This Row],[Description]]="","",Table2[[#This Row],[Value]]/Table2[[#This Row],[Conversion]])</f>
        <v/>
      </c>
      <c r="K6287" s="45" t="str">
        <f>IF(Table2[[#This Row],[Description]]="","",DATE(Table2[[#This Row],[Year]],Table2[[#This Row],[Month]],1))</f>
        <v/>
      </c>
    </row>
    <row r="6288" spans="7:11" x14ac:dyDescent="0.25">
      <c r="G6288" s="1" t="str">
        <f>IF(Table2[[#This Row],[Description]]="","",VLOOKUP(Table2[[#This Row],[Description]],$Q$1:$S$101,2,FALSE))</f>
        <v/>
      </c>
      <c r="H6288" s="1" t="str">
        <f>IF(Table2[[#This Row],[Description]]="","",VLOOKUP(Table2[[#This Row],[Description]],$Q$1:$S$101,3,FALSE))</f>
        <v/>
      </c>
      <c r="I6288" s="1" t="str">
        <f>IF(Table2[[#This Row],[Description]]="","",IF(Table2[[#This Row],[Currency]]=$O$2,$P$2,HLOOKUP(Table2[[#This Row],[Date]],Funds!$C$10:$GV$11,2,FALSE)))</f>
        <v/>
      </c>
      <c r="J6288" s="215" t="str">
        <f>IF(Table2[[#This Row],[Description]]="","",Table2[[#This Row],[Value]]/Table2[[#This Row],[Conversion]])</f>
        <v/>
      </c>
      <c r="K6288" s="45" t="str">
        <f>IF(Table2[[#This Row],[Description]]="","",DATE(Table2[[#This Row],[Year]],Table2[[#This Row],[Month]],1))</f>
        <v/>
      </c>
    </row>
    <row r="6289" spans="7:11" x14ac:dyDescent="0.25">
      <c r="G6289" s="1" t="str">
        <f>IF(Table2[[#This Row],[Description]]="","",VLOOKUP(Table2[[#This Row],[Description]],$Q$1:$S$101,2,FALSE))</f>
        <v/>
      </c>
      <c r="H6289" s="1" t="str">
        <f>IF(Table2[[#This Row],[Description]]="","",VLOOKUP(Table2[[#This Row],[Description]],$Q$1:$S$101,3,FALSE))</f>
        <v/>
      </c>
      <c r="I6289" s="1" t="str">
        <f>IF(Table2[[#This Row],[Description]]="","",IF(Table2[[#This Row],[Currency]]=$O$2,$P$2,HLOOKUP(Table2[[#This Row],[Date]],Funds!$C$10:$GV$11,2,FALSE)))</f>
        <v/>
      </c>
      <c r="J6289" s="215" t="str">
        <f>IF(Table2[[#This Row],[Description]]="","",Table2[[#This Row],[Value]]/Table2[[#This Row],[Conversion]])</f>
        <v/>
      </c>
      <c r="K6289" s="45" t="str">
        <f>IF(Table2[[#This Row],[Description]]="","",DATE(Table2[[#This Row],[Year]],Table2[[#This Row],[Month]],1))</f>
        <v/>
      </c>
    </row>
    <row r="6290" spans="7:11" x14ac:dyDescent="0.25">
      <c r="G6290" s="1" t="str">
        <f>IF(Table2[[#This Row],[Description]]="","",VLOOKUP(Table2[[#This Row],[Description]],$Q$1:$S$101,2,FALSE))</f>
        <v/>
      </c>
      <c r="H6290" s="1" t="str">
        <f>IF(Table2[[#This Row],[Description]]="","",VLOOKUP(Table2[[#This Row],[Description]],$Q$1:$S$101,3,FALSE))</f>
        <v/>
      </c>
      <c r="I6290" s="1" t="str">
        <f>IF(Table2[[#This Row],[Description]]="","",IF(Table2[[#This Row],[Currency]]=$O$2,$P$2,HLOOKUP(Table2[[#This Row],[Date]],Funds!$C$10:$GV$11,2,FALSE)))</f>
        <v/>
      </c>
      <c r="J6290" s="215" t="str">
        <f>IF(Table2[[#This Row],[Description]]="","",Table2[[#This Row],[Value]]/Table2[[#This Row],[Conversion]])</f>
        <v/>
      </c>
      <c r="K6290" s="45" t="str">
        <f>IF(Table2[[#This Row],[Description]]="","",DATE(Table2[[#This Row],[Year]],Table2[[#This Row],[Month]],1))</f>
        <v/>
      </c>
    </row>
    <row r="6291" spans="7:11" x14ac:dyDescent="0.25">
      <c r="G6291" s="1" t="str">
        <f>IF(Table2[[#This Row],[Description]]="","",VLOOKUP(Table2[[#This Row],[Description]],$Q$1:$S$101,2,FALSE))</f>
        <v/>
      </c>
      <c r="H6291" s="1" t="str">
        <f>IF(Table2[[#This Row],[Description]]="","",VLOOKUP(Table2[[#This Row],[Description]],$Q$1:$S$101,3,FALSE))</f>
        <v/>
      </c>
      <c r="I6291" s="1" t="str">
        <f>IF(Table2[[#This Row],[Description]]="","",IF(Table2[[#This Row],[Currency]]=$O$2,$P$2,HLOOKUP(Table2[[#This Row],[Date]],Funds!$C$10:$GV$11,2,FALSE)))</f>
        <v/>
      </c>
      <c r="J6291" s="215" t="str">
        <f>IF(Table2[[#This Row],[Description]]="","",Table2[[#This Row],[Value]]/Table2[[#This Row],[Conversion]])</f>
        <v/>
      </c>
      <c r="K6291" s="45" t="str">
        <f>IF(Table2[[#This Row],[Description]]="","",DATE(Table2[[#This Row],[Year]],Table2[[#This Row],[Month]],1))</f>
        <v/>
      </c>
    </row>
    <row r="6292" spans="7:11" x14ac:dyDescent="0.25">
      <c r="G6292" s="1" t="str">
        <f>IF(Table2[[#This Row],[Description]]="","",VLOOKUP(Table2[[#This Row],[Description]],$Q$1:$S$101,2,FALSE))</f>
        <v/>
      </c>
      <c r="H6292" s="1" t="str">
        <f>IF(Table2[[#This Row],[Description]]="","",VLOOKUP(Table2[[#This Row],[Description]],$Q$1:$S$101,3,FALSE))</f>
        <v/>
      </c>
      <c r="I6292" s="1" t="str">
        <f>IF(Table2[[#This Row],[Description]]="","",IF(Table2[[#This Row],[Currency]]=$O$2,$P$2,HLOOKUP(Table2[[#This Row],[Date]],Funds!$C$10:$GV$11,2,FALSE)))</f>
        <v/>
      </c>
      <c r="J6292" s="215" t="str">
        <f>IF(Table2[[#This Row],[Description]]="","",Table2[[#This Row],[Value]]/Table2[[#This Row],[Conversion]])</f>
        <v/>
      </c>
      <c r="K6292" s="45" t="str">
        <f>IF(Table2[[#This Row],[Description]]="","",DATE(Table2[[#This Row],[Year]],Table2[[#This Row],[Month]],1))</f>
        <v/>
      </c>
    </row>
    <row r="6293" spans="7:11" x14ac:dyDescent="0.25">
      <c r="G6293" s="1" t="str">
        <f>IF(Table2[[#This Row],[Description]]="","",VLOOKUP(Table2[[#This Row],[Description]],$Q$1:$S$101,2,FALSE))</f>
        <v/>
      </c>
      <c r="H6293" s="1" t="str">
        <f>IF(Table2[[#This Row],[Description]]="","",VLOOKUP(Table2[[#This Row],[Description]],$Q$1:$S$101,3,FALSE))</f>
        <v/>
      </c>
      <c r="I6293" s="1" t="str">
        <f>IF(Table2[[#This Row],[Description]]="","",IF(Table2[[#This Row],[Currency]]=$O$2,$P$2,HLOOKUP(Table2[[#This Row],[Date]],Funds!$C$10:$GV$11,2,FALSE)))</f>
        <v/>
      </c>
      <c r="J6293" s="215" t="str">
        <f>IF(Table2[[#This Row],[Description]]="","",Table2[[#This Row],[Value]]/Table2[[#This Row],[Conversion]])</f>
        <v/>
      </c>
      <c r="K6293" s="45" t="str">
        <f>IF(Table2[[#This Row],[Description]]="","",DATE(Table2[[#This Row],[Year]],Table2[[#This Row],[Month]],1))</f>
        <v/>
      </c>
    </row>
    <row r="6294" spans="7:11" x14ac:dyDescent="0.25">
      <c r="G6294" s="1" t="str">
        <f>IF(Table2[[#This Row],[Description]]="","",VLOOKUP(Table2[[#This Row],[Description]],$Q$1:$S$101,2,FALSE))</f>
        <v/>
      </c>
      <c r="H6294" s="1" t="str">
        <f>IF(Table2[[#This Row],[Description]]="","",VLOOKUP(Table2[[#This Row],[Description]],$Q$1:$S$101,3,FALSE))</f>
        <v/>
      </c>
      <c r="I6294" s="1" t="str">
        <f>IF(Table2[[#This Row],[Description]]="","",IF(Table2[[#This Row],[Currency]]=$O$2,$P$2,HLOOKUP(Table2[[#This Row],[Date]],Funds!$C$10:$GV$11,2,FALSE)))</f>
        <v/>
      </c>
      <c r="J6294" s="215" t="str">
        <f>IF(Table2[[#This Row],[Description]]="","",Table2[[#This Row],[Value]]/Table2[[#This Row],[Conversion]])</f>
        <v/>
      </c>
      <c r="K6294" s="45" t="str">
        <f>IF(Table2[[#This Row],[Description]]="","",DATE(Table2[[#This Row],[Year]],Table2[[#This Row],[Month]],1))</f>
        <v/>
      </c>
    </row>
    <row r="6295" spans="7:11" x14ac:dyDescent="0.25">
      <c r="G6295" s="1" t="str">
        <f>IF(Table2[[#This Row],[Description]]="","",VLOOKUP(Table2[[#This Row],[Description]],$Q$1:$S$101,2,FALSE))</f>
        <v/>
      </c>
      <c r="H6295" s="1" t="str">
        <f>IF(Table2[[#This Row],[Description]]="","",VLOOKUP(Table2[[#This Row],[Description]],$Q$1:$S$101,3,FALSE))</f>
        <v/>
      </c>
      <c r="I6295" s="1" t="str">
        <f>IF(Table2[[#This Row],[Description]]="","",IF(Table2[[#This Row],[Currency]]=$O$2,$P$2,HLOOKUP(Table2[[#This Row],[Date]],Funds!$C$10:$GV$11,2,FALSE)))</f>
        <v/>
      </c>
      <c r="J6295" s="215" t="str">
        <f>IF(Table2[[#This Row],[Description]]="","",Table2[[#This Row],[Value]]/Table2[[#This Row],[Conversion]])</f>
        <v/>
      </c>
      <c r="K6295" s="45" t="str">
        <f>IF(Table2[[#This Row],[Description]]="","",DATE(Table2[[#This Row],[Year]],Table2[[#This Row],[Month]],1))</f>
        <v/>
      </c>
    </row>
    <row r="6296" spans="7:11" x14ac:dyDescent="0.25">
      <c r="G6296" s="1" t="str">
        <f>IF(Table2[[#This Row],[Description]]="","",VLOOKUP(Table2[[#This Row],[Description]],$Q$1:$S$101,2,FALSE))</f>
        <v/>
      </c>
      <c r="H6296" s="1" t="str">
        <f>IF(Table2[[#This Row],[Description]]="","",VLOOKUP(Table2[[#This Row],[Description]],$Q$1:$S$101,3,FALSE))</f>
        <v/>
      </c>
      <c r="I6296" s="1" t="str">
        <f>IF(Table2[[#This Row],[Description]]="","",IF(Table2[[#This Row],[Currency]]=$O$2,$P$2,HLOOKUP(Table2[[#This Row],[Date]],Funds!$C$10:$GV$11,2,FALSE)))</f>
        <v/>
      </c>
      <c r="J6296" s="215" t="str">
        <f>IF(Table2[[#This Row],[Description]]="","",Table2[[#This Row],[Value]]/Table2[[#This Row],[Conversion]])</f>
        <v/>
      </c>
      <c r="K6296" s="45" t="str">
        <f>IF(Table2[[#This Row],[Description]]="","",DATE(Table2[[#This Row],[Year]],Table2[[#This Row],[Month]],1))</f>
        <v/>
      </c>
    </row>
    <row r="6297" spans="7:11" x14ac:dyDescent="0.25">
      <c r="G6297" s="1" t="str">
        <f>IF(Table2[[#This Row],[Description]]="","",VLOOKUP(Table2[[#This Row],[Description]],$Q$1:$S$101,2,FALSE))</f>
        <v/>
      </c>
      <c r="H6297" s="1" t="str">
        <f>IF(Table2[[#This Row],[Description]]="","",VLOOKUP(Table2[[#This Row],[Description]],$Q$1:$S$101,3,FALSE))</f>
        <v/>
      </c>
      <c r="I6297" s="1" t="str">
        <f>IF(Table2[[#This Row],[Description]]="","",IF(Table2[[#This Row],[Currency]]=$O$2,$P$2,HLOOKUP(Table2[[#This Row],[Date]],Funds!$C$10:$GV$11,2,FALSE)))</f>
        <v/>
      </c>
      <c r="J6297" s="215" t="str">
        <f>IF(Table2[[#This Row],[Description]]="","",Table2[[#This Row],[Value]]/Table2[[#This Row],[Conversion]])</f>
        <v/>
      </c>
      <c r="K6297" s="45" t="str">
        <f>IF(Table2[[#This Row],[Description]]="","",DATE(Table2[[#This Row],[Year]],Table2[[#This Row],[Month]],1))</f>
        <v/>
      </c>
    </row>
    <row r="6298" spans="7:11" x14ac:dyDescent="0.25">
      <c r="G6298" s="1" t="str">
        <f>IF(Table2[[#This Row],[Description]]="","",VLOOKUP(Table2[[#This Row],[Description]],$Q$1:$S$101,2,FALSE))</f>
        <v/>
      </c>
      <c r="H6298" s="1" t="str">
        <f>IF(Table2[[#This Row],[Description]]="","",VLOOKUP(Table2[[#This Row],[Description]],$Q$1:$S$101,3,FALSE))</f>
        <v/>
      </c>
      <c r="I6298" s="1" t="str">
        <f>IF(Table2[[#This Row],[Description]]="","",IF(Table2[[#This Row],[Currency]]=$O$2,$P$2,HLOOKUP(Table2[[#This Row],[Date]],Funds!$C$10:$GV$11,2,FALSE)))</f>
        <v/>
      </c>
      <c r="J6298" s="215" t="str">
        <f>IF(Table2[[#This Row],[Description]]="","",Table2[[#This Row],[Value]]/Table2[[#This Row],[Conversion]])</f>
        <v/>
      </c>
      <c r="K6298" s="45" t="str">
        <f>IF(Table2[[#This Row],[Description]]="","",DATE(Table2[[#This Row],[Year]],Table2[[#This Row],[Month]],1))</f>
        <v/>
      </c>
    </row>
    <row r="6299" spans="7:11" x14ac:dyDescent="0.25">
      <c r="G6299" s="1" t="str">
        <f>IF(Table2[[#This Row],[Description]]="","",VLOOKUP(Table2[[#This Row],[Description]],$Q$1:$S$101,2,FALSE))</f>
        <v/>
      </c>
      <c r="H6299" s="1" t="str">
        <f>IF(Table2[[#This Row],[Description]]="","",VLOOKUP(Table2[[#This Row],[Description]],$Q$1:$S$101,3,FALSE))</f>
        <v/>
      </c>
      <c r="I6299" s="1" t="str">
        <f>IF(Table2[[#This Row],[Description]]="","",IF(Table2[[#This Row],[Currency]]=$O$2,$P$2,HLOOKUP(Table2[[#This Row],[Date]],Funds!$C$10:$GV$11,2,FALSE)))</f>
        <v/>
      </c>
      <c r="J6299" s="215" t="str">
        <f>IF(Table2[[#This Row],[Description]]="","",Table2[[#This Row],[Value]]/Table2[[#This Row],[Conversion]])</f>
        <v/>
      </c>
      <c r="K6299" s="45" t="str">
        <f>IF(Table2[[#This Row],[Description]]="","",DATE(Table2[[#This Row],[Year]],Table2[[#This Row],[Month]],1))</f>
        <v/>
      </c>
    </row>
    <row r="6300" spans="7:11" x14ac:dyDescent="0.25">
      <c r="G6300" s="1" t="str">
        <f>IF(Table2[[#This Row],[Description]]="","",VLOOKUP(Table2[[#This Row],[Description]],$Q$1:$S$101,2,FALSE))</f>
        <v/>
      </c>
      <c r="H6300" s="1" t="str">
        <f>IF(Table2[[#This Row],[Description]]="","",VLOOKUP(Table2[[#This Row],[Description]],$Q$1:$S$101,3,FALSE))</f>
        <v/>
      </c>
      <c r="I6300" s="1" t="str">
        <f>IF(Table2[[#This Row],[Description]]="","",IF(Table2[[#This Row],[Currency]]=$O$2,$P$2,HLOOKUP(Table2[[#This Row],[Date]],Funds!$C$10:$GV$11,2,FALSE)))</f>
        <v/>
      </c>
      <c r="J6300" s="215" t="str">
        <f>IF(Table2[[#This Row],[Description]]="","",Table2[[#This Row],[Value]]/Table2[[#This Row],[Conversion]])</f>
        <v/>
      </c>
      <c r="K6300" s="45" t="str">
        <f>IF(Table2[[#This Row],[Description]]="","",DATE(Table2[[#This Row],[Year]],Table2[[#This Row],[Month]],1))</f>
        <v/>
      </c>
    </row>
    <row r="6301" spans="7:11" x14ac:dyDescent="0.25">
      <c r="G6301" s="1" t="str">
        <f>IF(Table2[[#This Row],[Description]]="","",VLOOKUP(Table2[[#This Row],[Description]],$Q$1:$S$101,2,FALSE))</f>
        <v/>
      </c>
      <c r="H6301" s="1" t="str">
        <f>IF(Table2[[#This Row],[Description]]="","",VLOOKUP(Table2[[#This Row],[Description]],$Q$1:$S$101,3,FALSE))</f>
        <v/>
      </c>
      <c r="I6301" s="1" t="str">
        <f>IF(Table2[[#This Row],[Description]]="","",IF(Table2[[#This Row],[Currency]]=$O$2,$P$2,HLOOKUP(Table2[[#This Row],[Date]],Funds!$C$10:$GV$11,2,FALSE)))</f>
        <v/>
      </c>
      <c r="J6301" s="215" t="str">
        <f>IF(Table2[[#This Row],[Description]]="","",Table2[[#This Row],[Value]]/Table2[[#This Row],[Conversion]])</f>
        <v/>
      </c>
      <c r="K6301" s="45" t="str">
        <f>IF(Table2[[#This Row],[Description]]="","",DATE(Table2[[#This Row],[Year]],Table2[[#This Row],[Month]],1))</f>
        <v/>
      </c>
    </row>
    <row r="6302" spans="7:11" x14ac:dyDescent="0.25">
      <c r="G6302" s="1" t="str">
        <f>IF(Table2[[#This Row],[Description]]="","",VLOOKUP(Table2[[#This Row],[Description]],$Q$1:$S$101,2,FALSE))</f>
        <v/>
      </c>
      <c r="H6302" s="1" t="str">
        <f>IF(Table2[[#This Row],[Description]]="","",VLOOKUP(Table2[[#This Row],[Description]],$Q$1:$S$101,3,FALSE))</f>
        <v/>
      </c>
      <c r="I6302" s="1" t="str">
        <f>IF(Table2[[#This Row],[Description]]="","",IF(Table2[[#This Row],[Currency]]=$O$2,$P$2,HLOOKUP(Table2[[#This Row],[Date]],Funds!$C$10:$GV$11,2,FALSE)))</f>
        <v/>
      </c>
      <c r="J6302" s="215" t="str">
        <f>IF(Table2[[#This Row],[Description]]="","",Table2[[#This Row],[Value]]/Table2[[#This Row],[Conversion]])</f>
        <v/>
      </c>
      <c r="K6302" s="45" t="str">
        <f>IF(Table2[[#This Row],[Description]]="","",DATE(Table2[[#This Row],[Year]],Table2[[#This Row],[Month]],1))</f>
        <v/>
      </c>
    </row>
    <row r="6303" spans="7:11" x14ac:dyDescent="0.25">
      <c r="G6303" s="1" t="str">
        <f>IF(Table2[[#This Row],[Description]]="","",VLOOKUP(Table2[[#This Row],[Description]],$Q$1:$S$101,2,FALSE))</f>
        <v/>
      </c>
      <c r="H6303" s="1" t="str">
        <f>IF(Table2[[#This Row],[Description]]="","",VLOOKUP(Table2[[#This Row],[Description]],$Q$1:$S$101,3,FALSE))</f>
        <v/>
      </c>
      <c r="I6303" s="1" t="str">
        <f>IF(Table2[[#This Row],[Description]]="","",IF(Table2[[#This Row],[Currency]]=$O$2,$P$2,HLOOKUP(Table2[[#This Row],[Date]],Funds!$C$10:$GV$11,2,FALSE)))</f>
        <v/>
      </c>
      <c r="J6303" s="215" t="str">
        <f>IF(Table2[[#This Row],[Description]]="","",Table2[[#This Row],[Value]]/Table2[[#This Row],[Conversion]])</f>
        <v/>
      </c>
      <c r="K6303" s="45" t="str">
        <f>IF(Table2[[#This Row],[Description]]="","",DATE(Table2[[#This Row],[Year]],Table2[[#This Row],[Month]],1))</f>
        <v/>
      </c>
    </row>
    <row r="6304" spans="7:11" x14ac:dyDescent="0.25">
      <c r="G6304" s="1" t="str">
        <f>IF(Table2[[#This Row],[Description]]="","",VLOOKUP(Table2[[#This Row],[Description]],$Q$1:$S$101,2,FALSE))</f>
        <v/>
      </c>
      <c r="H6304" s="1" t="str">
        <f>IF(Table2[[#This Row],[Description]]="","",VLOOKUP(Table2[[#This Row],[Description]],$Q$1:$S$101,3,FALSE))</f>
        <v/>
      </c>
      <c r="I6304" s="1" t="str">
        <f>IF(Table2[[#This Row],[Description]]="","",IF(Table2[[#This Row],[Currency]]=$O$2,$P$2,HLOOKUP(Table2[[#This Row],[Date]],Funds!$C$10:$GV$11,2,FALSE)))</f>
        <v/>
      </c>
      <c r="J6304" s="215" t="str">
        <f>IF(Table2[[#This Row],[Description]]="","",Table2[[#This Row],[Value]]/Table2[[#This Row],[Conversion]])</f>
        <v/>
      </c>
      <c r="K6304" s="45" t="str">
        <f>IF(Table2[[#This Row],[Description]]="","",DATE(Table2[[#This Row],[Year]],Table2[[#This Row],[Month]],1))</f>
        <v/>
      </c>
    </row>
    <row r="6305" spans="7:11" x14ac:dyDescent="0.25">
      <c r="G6305" s="1" t="str">
        <f>IF(Table2[[#This Row],[Description]]="","",VLOOKUP(Table2[[#This Row],[Description]],$Q$1:$S$101,2,FALSE))</f>
        <v/>
      </c>
      <c r="H6305" s="1" t="str">
        <f>IF(Table2[[#This Row],[Description]]="","",VLOOKUP(Table2[[#This Row],[Description]],$Q$1:$S$101,3,FALSE))</f>
        <v/>
      </c>
      <c r="I6305" s="1" t="str">
        <f>IF(Table2[[#This Row],[Description]]="","",IF(Table2[[#This Row],[Currency]]=$O$2,$P$2,HLOOKUP(Table2[[#This Row],[Date]],Funds!$C$10:$GV$11,2,FALSE)))</f>
        <v/>
      </c>
      <c r="J6305" s="215" t="str">
        <f>IF(Table2[[#This Row],[Description]]="","",Table2[[#This Row],[Value]]/Table2[[#This Row],[Conversion]])</f>
        <v/>
      </c>
      <c r="K6305" s="45" t="str">
        <f>IF(Table2[[#This Row],[Description]]="","",DATE(Table2[[#This Row],[Year]],Table2[[#This Row],[Month]],1))</f>
        <v/>
      </c>
    </row>
    <row r="6306" spans="7:11" x14ac:dyDescent="0.25">
      <c r="G6306" s="1" t="str">
        <f>IF(Table2[[#This Row],[Description]]="","",VLOOKUP(Table2[[#This Row],[Description]],$Q$1:$S$101,2,FALSE))</f>
        <v/>
      </c>
      <c r="H6306" s="1" t="str">
        <f>IF(Table2[[#This Row],[Description]]="","",VLOOKUP(Table2[[#This Row],[Description]],$Q$1:$S$101,3,FALSE))</f>
        <v/>
      </c>
      <c r="I6306" s="1" t="str">
        <f>IF(Table2[[#This Row],[Description]]="","",IF(Table2[[#This Row],[Currency]]=$O$2,$P$2,HLOOKUP(Table2[[#This Row],[Date]],Funds!$C$10:$GV$11,2,FALSE)))</f>
        <v/>
      </c>
      <c r="J6306" s="215" t="str">
        <f>IF(Table2[[#This Row],[Description]]="","",Table2[[#This Row],[Value]]/Table2[[#This Row],[Conversion]])</f>
        <v/>
      </c>
      <c r="K6306" s="45" t="str">
        <f>IF(Table2[[#This Row],[Description]]="","",DATE(Table2[[#This Row],[Year]],Table2[[#This Row],[Month]],1))</f>
        <v/>
      </c>
    </row>
    <row r="6307" spans="7:11" x14ac:dyDescent="0.25">
      <c r="G6307" s="1" t="str">
        <f>IF(Table2[[#This Row],[Description]]="","",VLOOKUP(Table2[[#This Row],[Description]],$Q$1:$S$101,2,FALSE))</f>
        <v/>
      </c>
      <c r="H6307" s="1" t="str">
        <f>IF(Table2[[#This Row],[Description]]="","",VLOOKUP(Table2[[#This Row],[Description]],$Q$1:$S$101,3,FALSE))</f>
        <v/>
      </c>
      <c r="I6307" s="1" t="str">
        <f>IF(Table2[[#This Row],[Description]]="","",IF(Table2[[#This Row],[Currency]]=$O$2,$P$2,HLOOKUP(Table2[[#This Row],[Date]],Funds!$C$10:$GV$11,2,FALSE)))</f>
        <v/>
      </c>
      <c r="J6307" s="215" t="str">
        <f>IF(Table2[[#This Row],[Description]]="","",Table2[[#This Row],[Value]]/Table2[[#This Row],[Conversion]])</f>
        <v/>
      </c>
      <c r="K6307" s="45" t="str">
        <f>IF(Table2[[#This Row],[Description]]="","",DATE(Table2[[#This Row],[Year]],Table2[[#This Row],[Month]],1))</f>
        <v/>
      </c>
    </row>
    <row r="6308" spans="7:11" x14ac:dyDescent="0.25">
      <c r="G6308" s="1" t="str">
        <f>IF(Table2[[#This Row],[Description]]="","",VLOOKUP(Table2[[#This Row],[Description]],$Q$1:$S$101,2,FALSE))</f>
        <v/>
      </c>
      <c r="H6308" s="1" t="str">
        <f>IF(Table2[[#This Row],[Description]]="","",VLOOKUP(Table2[[#This Row],[Description]],$Q$1:$S$101,3,FALSE))</f>
        <v/>
      </c>
      <c r="I6308" s="1" t="str">
        <f>IF(Table2[[#This Row],[Description]]="","",IF(Table2[[#This Row],[Currency]]=$O$2,$P$2,HLOOKUP(Table2[[#This Row],[Date]],Funds!$C$10:$GV$11,2,FALSE)))</f>
        <v/>
      </c>
      <c r="J6308" s="215" t="str">
        <f>IF(Table2[[#This Row],[Description]]="","",Table2[[#This Row],[Value]]/Table2[[#This Row],[Conversion]])</f>
        <v/>
      </c>
      <c r="K6308" s="45" t="str">
        <f>IF(Table2[[#This Row],[Description]]="","",DATE(Table2[[#This Row],[Year]],Table2[[#This Row],[Month]],1))</f>
        <v/>
      </c>
    </row>
    <row r="6309" spans="7:11" x14ac:dyDescent="0.25">
      <c r="G6309" s="1" t="str">
        <f>IF(Table2[[#This Row],[Description]]="","",VLOOKUP(Table2[[#This Row],[Description]],$Q$1:$S$101,2,FALSE))</f>
        <v/>
      </c>
      <c r="H6309" s="1" t="str">
        <f>IF(Table2[[#This Row],[Description]]="","",VLOOKUP(Table2[[#This Row],[Description]],$Q$1:$S$101,3,FALSE))</f>
        <v/>
      </c>
      <c r="I6309" s="1" t="str">
        <f>IF(Table2[[#This Row],[Description]]="","",IF(Table2[[#This Row],[Currency]]=$O$2,$P$2,HLOOKUP(Table2[[#This Row],[Date]],Funds!$C$10:$GV$11,2,FALSE)))</f>
        <v/>
      </c>
      <c r="J6309" s="215" t="str">
        <f>IF(Table2[[#This Row],[Description]]="","",Table2[[#This Row],[Value]]/Table2[[#This Row],[Conversion]])</f>
        <v/>
      </c>
      <c r="K6309" s="45" t="str">
        <f>IF(Table2[[#This Row],[Description]]="","",DATE(Table2[[#This Row],[Year]],Table2[[#This Row],[Month]],1))</f>
        <v/>
      </c>
    </row>
    <row r="6310" spans="7:11" x14ac:dyDescent="0.25">
      <c r="G6310" s="1" t="str">
        <f>IF(Table2[[#This Row],[Description]]="","",VLOOKUP(Table2[[#This Row],[Description]],$Q$1:$S$101,2,FALSE))</f>
        <v/>
      </c>
      <c r="H6310" s="1" t="str">
        <f>IF(Table2[[#This Row],[Description]]="","",VLOOKUP(Table2[[#This Row],[Description]],$Q$1:$S$101,3,FALSE))</f>
        <v/>
      </c>
      <c r="I6310" s="1" t="str">
        <f>IF(Table2[[#This Row],[Description]]="","",IF(Table2[[#This Row],[Currency]]=$O$2,$P$2,HLOOKUP(Table2[[#This Row],[Date]],Funds!$C$10:$GV$11,2,FALSE)))</f>
        <v/>
      </c>
      <c r="J6310" s="215" t="str">
        <f>IF(Table2[[#This Row],[Description]]="","",Table2[[#This Row],[Value]]/Table2[[#This Row],[Conversion]])</f>
        <v/>
      </c>
      <c r="K6310" s="45" t="str">
        <f>IF(Table2[[#This Row],[Description]]="","",DATE(Table2[[#This Row],[Year]],Table2[[#This Row],[Month]],1))</f>
        <v/>
      </c>
    </row>
    <row r="6311" spans="7:11" x14ac:dyDescent="0.25">
      <c r="G6311" s="1" t="str">
        <f>IF(Table2[[#This Row],[Description]]="","",VLOOKUP(Table2[[#This Row],[Description]],$Q$1:$S$101,2,FALSE))</f>
        <v/>
      </c>
      <c r="H6311" s="1" t="str">
        <f>IF(Table2[[#This Row],[Description]]="","",VLOOKUP(Table2[[#This Row],[Description]],$Q$1:$S$101,3,FALSE))</f>
        <v/>
      </c>
      <c r="I6311" s="1" t="str">
        <f>IF(Table2[[#This Row],[Description]]="","",IF(Table2[[#This Row],[Currency]]=$O$2,$P$2,HLOOKUP(Table2[[#This Row],[Date]],Funds!$C$10:$GV$11,2,FALSE)))</f>
        <v/>
      </c>
      <c r="J6311" s="215" t="str">
        <f>IF(Table2[[#This Row],[Description]]="","",Table2[[#This Row],[Value]]/Table2[[#This Row],[Conversion]])</f>
        <v/>
      </c>
      <c r="K6311" s="45" t="str">
        <f>IF(Table2[[#This Row],[Description]]="","",DATE(Table2[[#This Row],[Year]],Table2[[#This Row],[Month]],1))</f>
        <v/>
      </c>
    </row>
    <row r="6312" spans="7:11" x14ac:dyDescent="0.25">
      <c r="G6312" s="1" t="str">
        <f>IF(Table2[[#This Row],[Description]]="","",VLOOKUP(Table2[[#This Row],[Description]],$Q$1:$S$101,2,FALSE))</f>
        <v/>
      </c>
      <c r="H6312" s="1" t="str">
        <f>IF(Table2[[#This Row],[Description]]="","",VLOOKUP(Table2[[#This Row],[Description]],$Q$1:$S$101,3,FALSE))</f>
        <v/>
      </c>
      <c r="I6312" s="1" t="str">
        <f>IF(Table2[[#This Row],[Description]]="","",IF(Table2[[#This Row],[Currency]]=$O$2,$P$2,HLOOKUP(Table2[[#This Row],[Date]],Funds!$C$10:$GV$11,2,FALSE)))</f>
        <v/>
      </c>
      <c r="J6312" s="215" t="str">
        <f>IF(Table2[[#This Row],[Description]]="","",Table2[[#This Row],[Value]]/Table2[[#This Row],[Conversion]])</f>
        <v/>
      </c>
      <c r="K6312" s="45" t="str">
        <f>IF(Table2[[#This Row],[Description]]="","",DATE(Table2[[#This Row],[Year]],Table2[[#This Row],[Month]],1))</f>
        <v/>
      </c>
    </row>
    <row r="6313" spans="7:11" x14ac:dyDescent="0.25">
      <c r="G6313" s="1" t="str">
        <f>IF(Table2[[#This Row],[Description]]="","",VLOOKUP(Table2[[#This Row],[Description]],$Q$1:$S$101,2,FALSE))</f>
        <v/>
      </c>
      <c r="H6313" s="1" t="str">
        <f>IF(Table2[[#This Row],[Description]]="","",VLOOKUP(Table2[[#This Row],[Description]],$Q$1:$S$101,3,FALSE))</f>
        <v/>
      </c>
      <c r="I6313" s="1" t="str">
        <f>IF(Table2[[#This Row],[Description]]="","",IF(Table2[[#This Row],[Currency]]=$O$2,$P$2,HLOOKUP(Table2[[#This Row],[Date]],Funds!$C$10:$GV$11,2,FALSE)))</f>
        <v/>
      </c>
      <c r="J6313" s="215" t="str">
        <f>IF(Table2[[#This Row],[Description]]="","",Table2[[#This Row],[Value]]/Table2[[#This Row],[Conversion]])</f>
        <v/>
      </c>
      <c r="K6313" s="45" t="str">
        <f>IF(Table2[[#This Row],[Description]]="","",DATE(Table2[[#This Row],[Year]],Table2[[#This Row],[Month]],1))</f>
        <v/>
      </c>
    </row>
    <row r="6314" spans="7:11" x14ac:dyDescent="0.25">
      <c r="G6314" s="1" t="str">
        <f>IF(Table2[[#This Row],[Description]]="","",VLOOKUP(Table2[[#This Row],[Description]],$Q$1:$S$101,2,FALSE))</f>
        <v/>
      </c>
      <c r="H6314" s="1" t="str">
        <f>IF(Table2[[#This Row],[Description]]="","",VLOOKUP(Table2[[#This Row],[Description]],$Q$1:$S$101,3,FALSE))</f>
        <v/>
      </c>
      <c r="I6314" s="1" t="str">
        <f>IF(Table2[[#This Row],[Description]]="","",IF(Table2[[#This Row],[Currency]]=$O$2,$P$2,HLOOKUP(Table2[[#This Row],[Date]],Funds!$C$10:$GV$11,2,FALSE)))</f>
        <v/>
      </c>
      <c r="J6314" s="215" t="str">
        <f>IF(Table2[[#This Row],[Description]]="","",Table2[[#This Row],[Value]]/Table2[[#This Row],[Conversion]])</f>
        <v/>
      </c>
      <c r="K6314" s="45" t="str">
        <f>IF(Table2[[#This Row],[Description]]="","",DATE(Table2[[#This Row],[Year]],Table2[[#This Row],[Month]],1))</f>
        <v/>
      </c>
    </row>
    <row r="6315" spans="7:11" x14ac:dyDescent="0.25">
      <c r="G6315" s="1" t="str">
        <f>IF(Table2[[#This Row],[Description]]="","",VLOOKUP(Table2[[#This Row],[Description]],$Q$1:$S$101,2,FALSE))</f>
        <v/>
      </c>
      <c r="H6315" s="1" t="str">
        <f>IF(Table2[[#This Row],[Description]]="","",VLOOKUP(Table2[[#This Row],[Description]],$Q$1:$S$101,3,FALSE))</f>
        <v/>
      </c>
      <c r="I6315" s="1" t="str">
        <f>IF(Table2[[#This Row],[Description]]="","",IF(Table2[[#This Row],[Currency]]=$O$2,$P$2,HLOOKUP(Table2[[#This Row],[Date]],Funds!$C$10:$GV$11,2,FALSE)))</f>
        <v/>
      </c>
      <c r="J6315" s="215" t="str">
        <f>IF(Table2[[#This Row],[Description]]="","",Table2[[#This Row],[Value]]/Table2[[#This Row],[Conversion]])</f>
        <v/>
      </c>
      <c r="K6315" s="45" t="str">
        <f>IF(Table2[[#This Row],[Description]]="","",DATE(Table2[[#This Row],[Year]],Table2[[#This Row],[Month]],1))</f>
        <v/>
      </c>
    </row>
    <row r="6316" spans="7:11" x14ac:dyDescent="0.25">
      <c r="G6316" s="1" t="str">
        <f>IF(Table2[[#This Row],[Description]]="","",VLOOKUP(Table2[[#This Row],[Description]],$Q$1:$S$101,2,FALSE))</f>
        <v/>
      </c>
      <c r="H6316" s="1" t="str">
        <f>IF(Table2[[#This Row],[Description]]="","",VLOOKUP(Table2[[#This Row],[Description]],$Q$1:$S$101,3,FALSE))</f>
        <v/>
      </c>
      <c r="I6316" s="1" t="str">
        <f>IF(Table2[[#This Row],[Description]]="","",IF(Table2[[#This Row],[Currency]]=$O$2,$P$2,HLOOKUP(Table2[[#This Row],[Date]],Funds!$C$10:$GV$11,2,FALSE)))</f>
        <v/>
      </c>
      <c r="J6316" s="215" t="str">
        <f>IF(Table2[[#This Row],[Description]]="","",Table2[[#This Row],[Value]]/Table2[[#This Row],[Conversion]])</f>
        <v/>
      </c>
      <c r="K6316" s="45" t="str">
        <f>IF(Table2[[#This Row],[Description]]="","",DATE(Table2[[#This Row],[Year]],Table2[[#This Row],[Month]],1))</f>
        <v/>
      </c>
    </row>
    <row r="6317" spans="7:11" x14ac:dyDescent="0.25">
      <c r="G6317" s="1" t="str">
        <f>IF(Table2[[#This Row],[Description]]="","",VLOOKUP(Table2[[#This Row],[Description]],$Q$1:$S$101,2,FALSE))</f>
        <v/>
      </c>
      <c r="H6317" s="1" t="str">
        <f>IF(Table2[[#This Row],[Description]]="","",VLOOKUP(Table2[[#This Row],[Description]],$Q$1:$S$101,3,FALSE))</f>
        <v/>
      </c>
      <c r="I6317" s="1" t="str">
        <f>IF(Table2[[#This Row],[Description]]="","",IF(Table2[[#This Row],[Currency]]=$O$2,$P$2,HLOOKUP(Table2[[#This Row],[Date]],Funds!$C$10:$GV$11,2,FALSE)))</f>
        <v/>
      </c>
      <c r="J6317" s="215" t="str">
        <f>IF(Table2[[#This Row],[Description]]="","",Table2[[#This Row],[Value]]/Table2[[#This Row],[Conversion]])</f>
        <v/>
      </c>
      <c r="K6317" s="45" t="str">
        <f>IF(Table2[[#This Row],[Description]]="","",DATE(Table2[[#This Row],[Year]],Table2[[#This Row],[Month]],1))</f>
        <v/>
      </c>
    </row>
    <row r="6318" spans="7:11" x14ac:dyDescent="0.25">
      <c r="G6318" s="1" t="str">
        <f>IF(Table2[[#This Row],[Description]]="","",VLOOKUP(Table2[[#This Row],[Description]],$Q$1:$S$101,2,FALSE))</f>
        <v/>
      </c>
      <c r="H6318" s="1" t="str">
        <f>IF(Table2[[#This Row],[Description]]="","",VLOOKUP(Table2[[#This Row],[Description]],$Q$1:$S$101,3,FALSE))</f>
        <v/>
      </c>
      <c r="I6318" s="1" t="str">
        <f>IF(Table2[[#This Row],[Description]]="","",IF(Table2[[#This Row],[Currency]]=$O$2,$P$2,HLOOKUP(Table2[[#This Row],[Date]],Funds!$C$10:$GV$11,2,FALSE)))</f>
        <v/>
      </c>
      <c r="J6318" s="215" t="str">
        <f>IF(Table2[[#This Row],[Description]]="","",Table2[[#This Row],[Value]]/Table2[[#This Row],[Conversion]])</f>
        <v/>
      </c>
      <c r="K6318" s="45" t="str">
        <f>IF(Table2[[#This Row],[Description]]="","",DATE(Table2[[#This Row],[Year]],Table2[[#This Row],[Month]],1))</f>
        <v/>
      </c>
    </row>
    <row r="6319" spans="7:11" x14ac:dyDescent="0.25">
      <c r="G6319" s="1" t="str">
        <f>IF(Table2[[#This Row],[Description]]="","",VLOOKUP(Table2[[#This Row],[Description]],$Q$1:$S$101,2,FALSE))</f>
        <v/>
      </c>
      <c r="H6319" s="1" t="str">
        <f>IF(Table2[[#This Row],[Description]]="","",VLOOKUP(Table2[[#This Row],[Description]],$Q$1:$S$101,3,FALSE))</f>
        <v/>
      </c>
      <c r="I6319" s="1" t="str">
        <f>IF(Table2[[#This Row],[Description]]="","",IF(Table2[[#This Row],[Currency]]=$O$2,$P$2,HLOOKUP(Table2[[#This Row],[Date]],Funds!$C$10:$GV$11,2,FALSE)))</f>
        <v/>
      </c>
      <c r="J6319" s="215" t="str">
        <f>IF(Table2[[#This Row],[Description]]="","",Table2[[#This Row],[Value]]/Table2[[#This Row],[Conversion]])</f>
        <v/>
      </c>
      <c r="K6319" s="45" t="str">
        <f>IF(Table2[[#This Row],[Description]]="","",DATE(Table2[[#This Row],[Year]],Table2[[#This Row],[Month]],1))</f>
        <v/>
      </c>
    </row>
    <row r="6320" spans="7:11" x14ac:dyDescent="0.25">
      <c r="G6320" s="1" t="str">
        <f>IF(Table2[[#This Row],[Description]]="","",VLOOKUP(Table2[[#This Row],[Description]],$Q$1:$S$101,2,FALSE))</f>
        <v/>
      </c>
      <c r="H6320" s="1" t="str">
        <f>IF(Table2[[#This Row],[Description]]="","",VLOOKUP(Table2[[#This Row],[Description]],$Q$1:$S$101,3,FALSE))</f>
        <v/>
      </c>
      <c r="I6320" s="1" t="str">
        <f>IF(Table2[[#This Row],[Description]]="","",IF(Table2[[#This Row],[Currency]]=$O$2,$P$2,HLOOKUP(Table2[[#This Row],[Date]],Funds!$C$10:$GV$11,2,FALSE)))</f>
        <v/>
      </c>
      <c r="J6320" s="215" t="str">
        <f>IF(Table2[[#This Row],[Description]]="","",Table2[[#This Row],[Value]]/Table2[[#This Row],[Conversion]])</f>
        <v/>
      </c>
      <c r="K6320" s="45" t="str">
        <f>IF(Table2[[#This Row],[Description]]="","",DATE(Table2[[#This Row],[Year]],Table2[[#This Row],[Month]],1))</f>
        <v/>
      </c>
    </row>
    <row r="6321" spans="7:11" x14ac:dyDescent="0.25">
      <c r="G6321" s="1" t="str">
        <f>IF(Table2[[#This Row],[Description]]="","",VLOOKUP(Table2[[#This Row],[Description]],$Q$1:$S$101,2,FALSE))</f>
        <v/>
      </c>
      <c r="H6321" s="1" t="str">
        <f>IF(Table2[[#This Row],[Description]]="","",VLOOKUP(Table2[[#This Row],[Description]],$Q$1:$S$101,3,FALSE))</f>
        <v/>
      </c>
      <c r="I6321" s="1" t="str">
        <f>IF(Table2[[#This Row],[Description]]="","",IF(Table2[[#This Row],[Currency]]=$O$2,$P$2,HLOOKUP(Table2[[#This Row],[Date]],Funds!$C$10:$GV$11,2,FALSE)))</f>
        <v/>
      </c>
      <c r="J6321" s="215" t="str">
        <f>IF(Table2[[#This Row],[Description]]="","",Table2[[#This Row],[Value]]/Table2[[#This Row],[Conversion]])</f>
        <v/>
      </c>
      <c r="K6321" s="45" t="str">
        <f>IF(Table2[[#This Row],[Description]]="","",DATE(Table2[[#This Row],[Year]],Table2[[#This Row],[Month]],1))</f>
        <v/>
      </c>
    </row>
    <row r="6322" spans="7:11" x14ac:dyDescent="0.25">
      <c r="G6322" s="1" t="str">
        <f>IF(Table2[[#This Row],[Description]]="","",VLOOKUP(Table2[[#This Row],[Description]],$Q$1:$S$101,2,FALSE))</f>
        <v/>
      </c>
      <c r="H6322" s="1" t="str">
        <f>IF(Table2[[#This Row],[Description]]="","",VLOOKUP(Table2[[#This Row],[Description]],$Q$1:$S$101,3,FALSE))</f>
        <v/>
      </c>
      <c r="I6322" s="1" t="str">
        <f>IF(Table2[[#This Row],[Description]]="","",IF(Table2[[#This Row],[Currency]]=$O$2,$P$2,HLOOKUP(Table2[[#This Row],[Date]],Funds!$C$10:$GV$11,2,FALSE)))</f>
        <v/>
      </c>
      <c r="J6322" s="215" t="str">
        <f>IF(Table2[[#This Row],[Description]]="","",Table2[[#This Row],[Value]]/Table2[[#This Row],[Conversion]])</f>
        <v/>
      </c>
      <c r="K6322" s="45" t="str">
        <f>IF(Table2[[#This Row],[Description]]="","",DATE(Table2[[#This Row],[Year]],Table2[[#This Row],[Month]],1))</f>
        <v/>
      </c>
    </row>
    <row r="6323" spans="7:11" x14ac:dyDescent="0.25">
      <c r="G6323" s="1" t="str">
        <f>IF(Table2[[#This Row],[Description]]="","",VLOOKUP(Table2[[#This Row],[Description]],$Q$1:$S$101,2,FALSE))</f>
        <v/>
      </c>
      <c r="H6323" s="1" t="str">
        <f>IF(Table2[[#This Row],[Description]]="","",VLOOKUP(Table2[[#This Row],[Description]],$Q$1:$S$101,3,FALSE))</f>
        <v/>
      </c>
      <c r="I6323" s="1" t="str">
        <f>IF(Table2[[#This Row],[Description]]="","",IF(Table2[[#This Row],[Currency]]=$O$2,$P$2,HLOOKUP(Table2[[#This Row],[Date]],Funds!$C$10:$GV$11,2,FALSE)))</f>
        <v/>
      </c>
      <c r="J6323" s="215" t="str">
        <f>IF(Table2[[#This Row],[Description]]="","",Table2[[#This Row],[Value]]/Table2[[#This Row],[Conversion]])</f>
        <v/>
      </c>
      <c r="K6323" s="45" t="str">
        <f>IF(Table2[[#This Row],[Description]]="","",DATE(Table2[[#This Row],[Year]],Table2[[#This Row],[Month]],1))</f>
        <v/>
      </c>
    </row>
    <row r="6324" spans="7:11" x14ac:dyDescent="0.25">
      <c r="G6324" s="1" t="str">
        <f>IF(Table2[[#This Row],[Description]]="","",VLOOKUP(Table2[[#This Row],[Description]],$Q$1:$S$101,2,FALSE))</f>
        <v/>
      </c>
      <c r="H6324" s="1" t="str">
        <f>IF(Table2[[#This Row],[Description]]="","",VLOOKUP(Table2[[#This Row],[Description]],$Q$1:$S$101,3,FALSE))</f>
        <v/>
      </c>
      <c r="I6324" s="1" t="str">
        <f>IF(Table2[[#This Row],[Description]]="","",IF(Table2[[#This Row],[Currency]]=$O$2,$P$2,HLOOKUP(Table2[[#This Row],[Date]],Funds!$C$10:$GV$11,2,FALSE)))</f>
        <v/>
      </c>
      <c r="J6324" s="215" t="str">
        <f>IF(Table2[[#This Row],[Description]]="","",Table2[[#This Row],[Value]]/Table2[[#This Row],[Conversion]])</f>
        <v/>
      </c>
      <c r="K6324" s="45" t="str">
        <f>IF(Table2[[#This Row],[Description]]="","",DATE(Table2[[#This Row],[Year]],Table2[[#This Row],[Month]],1))</f>
        <v/>
      </c>
    </row>
    <row r="6325" spans="7:11" x14ac:dyDescent="0.25">
      <c r="G6325" s="1" t="str">
        <f>IF(Table2[[#This Row],[Description]]="","",VLOOKUP(Table2[[#This Row],[Description]],$Q$1:$S$101,2,FALSE))</f>
        <v/>
      </c>
      <c r="H6325" s="1" t="str">
        <f>IF(Table2[[#This Row],[Description]]="","",VLOOKUP(Table2[[#This Row],[Description]],$Q$1:$S$101,3,FALSE))</f>
        <v/>
      </c>
      <c r="I6325" s="1" t="str">
        <f>IF(Table2[[#This Row],[Description]]="","",IF(Table2[[#This Row],[Currency]]=$O$2,$P$2,HLOOKUP(Table2[[#This Row],[Date]],Funds!$C$10:$GV$11,2,FALSE)))</f>
        <v/>
      </c>
      <c r="J6325" s="215" t="str">
        <f>IF(Table2[[#This Row],[Description]]="","",Table2[[#This Row],[Value]]/Table2[[#This Row],[Conversion]])</f>
        <v/>
      </c>
      <c r="K6325" s="45" t="str">
        <f>IF(Table2[[#This Row],[Description]]="","",DATE(Table2[[#This Row],[Year]],Table2[[#This Row],[Month]],1))</f>
        <v/>
      </c>
    </row>
    <row r="6326" spans="7:11" x14ac:dyDescent="0.25">
      <c r="G6326" s="1" t="str">
        <f>IF(Table2[[#This Row],[Description]]="","",VLOOKUP(Table2[[#This Row],[Description]],$Q$1:$S$101,2,FALSE))</f>
        <v/>
      </c>
      <c r="H6326" s="1" t="str">
        <f>IF(Table2[[#This Row],[Description]]="","",VLOOKUP(Table2[[#This Row],[Description]],$Q$1:$S$101,3,FALSE))</f>
        <v/>
      </c>
      <c r="I6326" s="1" t="str">
        <f>IF(Table2[[#This Row],[Description]]="","",IF(Table2[[#This Row],[Currency]]=$O$2,$P$2,HLOOKUP(Table2[[#This Row],[Date]],Funds!$C$10:$GV$11,2,FALSE)))</f>
        <v/>
      </c>
      <c r="J6326" s="215" t="str">
        <f>IF(Table2[[#This Row],[Description]]="","",Table2[[#This Row],[Value]]/Table2[[#This Row],[Conversion]])</f>
        <v/>
      </c>
      <c r="K6326" s="45" t="str">
        <f>IF(Table2[[#This Row],[Description]]="","",DATE(Table2[[#This Row],[Year]],Table2[[#This Row],[Month]],1))</f>
        <v/>
      </c>
    </row>
    <row r="6327" spans="7:11" x14ac:dyDescent="0.25">
      <c r="G6327" s="1" t="str">
        <f>IF(Table2[[#This Row],[Description]]="","",VLOOKUP(Table2[[#This Row],[Description]],$Q$1:$S$101,2,FALSE))</f>
        <v/>
      </c>
      <c r="H6327" s="1" t="str">
        <f>IF(Table2[[#This Row],[Description]]="","",VLOOKUP(Table2[[#This Row],[Description]],$Q$1:$S$101,3,FALSE))</f>
        <v/>
      </c>
      <c r="I6327" s="1" t="str">
        <f>IF(Table2[[#This Row],[Description]]="","",IF(Table2[[#This Row],[Currency]]=$O$2,$P$2,HLOOKUP(Table2[[#This Row],[Date]],Funds!$C$10:$GV$11,2,FALSE)))</f>
        <v/>
      </c>
      <c r="J6327" s="215" t="str">
        <f>IF(Table2[[#This Row],[Description]]="","",Table2[[#This Row],[Value]]/Table2[[#This Row],[Conversion]])</f>
        <v/>
      </c>
      <c r="K6327" s="45" t="str">
        <f>IF(Table2[[#This Row],[Description]]="","",DATE(Table2[[#This Row],[Year]],Table2[[#This Row],[Month]],1))</f>
        <v/>
      </c>
    </row>
    <row r="6328" spans="7:11" x14ac:dyDescent="0.25">
      <c r="G6328" s="1" t="str">
        <f>IF(Table2[[#This Row],[Description]]="","",VLOOKUP(Table2[[#This Row],[Description]],$Q$1:$S$101,2,FALSE))</f>
        <v/>
      </c>
      <c r="H6328" s="1" t="str">
        <f>IF(Table2[[#This Row],[Description]]="","",VLOOKUP(Table2[[#This Row],[Description]],$Q$1:$S$101,3,FALSE))</f>
        <v/>
      </c>
      <c r="I6328" s="1" t="str">
        <f>IF(Table2[[#This Row],[Description]]="","",IF(Table2[[#This Row],[Currency]]=$O$2,$P$2,HLOOKUP(Table2[[#This Row],[Date]],Funds!$C$10:$GV$11,2,FALSE)))</f>
        <v/>
      </c>
      <c r="J6328" s="215" t="str">
        <f>IF(Table2[[#This Row],[Description]]="","",Table2[[#This Row],[Value]]/Table2[[#This Row],[Conversion]])</f>
        <v/>
      </c>
      <c r="K6328" s="45" t="str">
        <f>IF(Table2[[#This Row],[Description]]="","",DATE(Table2[[#This Row],[Year]],Table2[[#This Row],[Month]],1))</f>
        <v/>
      </c>
    </row>
    <row r="6329" spans="7:11" x14ac:dyDescent="0.25">
      <c r="G6329" s="1" t="str">
        <f>IF(Table2[[#This Row],[Description]]="","",VLOOKUP(Table2[[#This Row],[Description]],$Q$1:$S$101,2,FALSE))</f>
        <v/>
      </c>
      <c r="H6329" s="1" t="str">
        <f>IF(Table2[[#This Row],[Description]]="","",VLOOKUP(Table2[[#This Row],[Description]],$Q$1:$S$101,3,FALSE))</f>
        <v/>
      </c>
      <c r="I6329" s="1" t="str">
        <f>IF(Table2[[#This Row],[Description]]="","",IF(Table2[[#This Row],[Currency]]=$O$2,$P$2,HLOOKUP(Table2[[#This Row],[Date]],Funds!$C$10:$GV$11,2,FALSE)))</f>
        <v/>
      </c>
      <c r="J6329" s="215" t="str">
        <f>IF(Table2[[#This Row],[Description]]="","",Table2[[#This Row],[Value]]/Table2[[#This Row],[Conversion]])</f>
        <v/>
      </c>
      <c r="K6329" s="45" t="str">
        <f>IF(Table2[[#This Row],[Description]]="","",DATE(Table2[[#This Row],[Year]],Table2[[#This Row],[Month]],1))</f>
        <v/>
      </c>
    </row>
    <row r="6330" spans="7:11" x14ac:dyDescent="0.25">
      <c r="G6330" s="1" t="str">
        <f>IF(Table2[[#This Row],[Description]]="","",VLOOKUP(Table2[[#This Row],[Description]],$Q$1:$S$101,2,FALSE))</f>
        <v/>
      </c>
      <c r="H6330" s="1" t="str">
        <f>IF(Table2[[#This Row],[Description]]="","",VLOOKUP(Table2[[#This Row],[Description]],$Q$1:$S$101,3,FALSE))</f>
        <v/>
      </c>
      <c r="I6330" s="1" t="str">
        <f>IF(Table2[[#This Row],[Description]]="","",IF(Table2[[#This Row],[Currency]]=$O$2,$P$2,HLOOKUP(Table2[[#This Row],[Date]],Funds!$C$10:$GV$11,2,FALSE)))</f>
        <v/>
      </c>
      <c r="J6330" s="215" t="str">
        <f>IF(Table2[[#This Row],[Description]]="","",Table2[[#This Row],[Value]]/Table2[[#This Row],[Conversion]])</f>
        <v/>
      </c>
      <c r="K6330" s="45" t="str">
        <f>IF(Table2[[#This Row],[Description]]="","",DATE(Table2[[#This Row],[Year]],Table2[[#This Row],[Month]],1))</f>
        <v/>
      </c>
    </row>
    <row r="6331" spans="7:11" x14ac:dyDescent="0.25">
      <c r="G6331" s="1" t="str">
        <f>IF(Table2[[#This Row],[Description]]="","",VLOOKUP(Table2[[#This Row],[Description]],$Q$1:$S$101,2,FALSE))</f>
        <v/>
      </c>
      <c r="H6331" s="1" t="str">
        <f>IF(Table2[[#This Row],[Description]]="","",VLOOKUP(Table2[[#This Row],[Description]],$Q$1:$S$101,3,FALSE))</f>
        <v/>
      </c>
      <c r="I6331" s="1" t="str">
        <f>IF(Table2[[#This Row],[Description]]="","",IF(Table2[[#This Row],[Currency]]=$O$2,$P$2,HLOOKUP(Table2[[#This Row],[Date]],Funds!$C$10:$GV$11,2,FALSE)))</f>
        <v/>
      </c>
      <c r="J6331" s="215" t="str">
        <f>IF(Table2[[#This Row],[Description]]="","",Table2[[#This Row],[Value]]/Table2[[#This Row],[Conversion]])</f>
        <v/>
      </c>
      <c r="K6331" s="45" t="str">
        <f>IF(Table2[[#This Row],[Description]]="","",DATE(Table2[[#This Row],[Year]],Table2[[#This Row],[Month]],1))</f>
        <v/>
      </c>
    </row>
    <row r="6332" spans="7:11" x14ac:dyDescent="0.25">
      <c r="G6332" s="1" t="str">
        <f>IF(Table2[[#This Row],[Description]]="","",VLOOKUP(Table2[[#This Row],[Description]],$Q$1:$S$101,2,FALSE))</f>
        <v/>
      </c>
      <c r="H6332" s="1" t="str">
        <f>IF(Table2[[#This Row],[Description]]="","",VLOOKUP(Table2[[#This Row],[Description]],$Q$1:$S$101,3,FALSE))</f>
        <v/>
      </c>
      <c r="I6332" s="1" t="str">
        <f>IF(Table2[[#This Row],[Description]]="","",IF(Table2[[#This Row],[Currency]]=$O$2,$P$2,HLOOKUP(Table2[[#This Row],[Date]],Funds!$C$10:$GV$11,2,FALSE)))</f>
        <v/>
      </c>
      <c r="J6332" s="215" t="str">
        <f>IF(Table2[[#This Row],[Description]]="","",Table2[[#This Row],[Value]]/Table2[[#This Row],[Conversion]])</f>
        <v/>
      </c>
      <c r="K6332" s="45" t="str">
        <f>IF(Table2[[#This Row],[Description]]="","",DATE(Table2[[#This Row],[Year]],Table2[[#This Row],[Month]],1))</f>
        <v/>
      </c>
    </row>
    <row r="6333" spans="7:11" x14ac:dyDescent="0.25">
      <c r="G6333" s="1" t="str">
        <f>IF(Table2[[#This Row],[Description]]="","",VLOOKUP(Table2[[#This Row],[Description]],$Q$1:$S$101,2,FALSE))</f>
        <v/>
      </c>
      <c r="H6333" s="1" t="str">
        <f>IF(Table2[[#This Row],[Description]]="","",VLOOKUP(Table2[[#This Row],[Description]],$Q$1:$S$101,3,FALSE))</f>
        <v/>
      </c>
      <c r="I6333" s="1" t="str">
        <f>IF(Table2[[#This Row],[Description]]="","",IF(Table2[[#This Row],[Currency]]=$O$2,$P$2,HLOOKUP(Table2[[#This Row],[Date]],Funds!$C$10:$GV$11,2,FALSE)))</f>
        <v/>
      </c>
      <c r="J6333" s="215" t="str">
        <f>IF(Table2[[#This Row],[Description]]="","",Table2[[#This Row],[Value]]/Table2[[#This Row],[Conversion]])</f>
        <v/>
      </c>
      <c r="K6333" s="45" t="str">
        <f>IF(Table2[[#This Row],[Description]]="","",DATE(Table2[[#This Row],[Year]],Table2[[#This Row],[Month]],1))</f>
        <v/>
      </c>
    </row>
    <row r="6334" spans="7:11" x14ac:dyDescent="0.25">
      <c r="G6334" s="1" t="str">
        <f>IF(Table2[[#This Row],[Description]]="","",VLOOKUP(Table2[[#This Row],[Description]],$Q$1:$S$101,2,FALSE))</f>
        <v/>
      </c>
      <c r="H6334" s="1" t="str">
        <f>IF(Table2[[#This Row],[Description]]="","",VLOOKUP(Table2[[#This Row],[Description]],$Q$1:$S$101,3,FALSE))</f>
        <v/>
      </c>
      <c r="I6334" s="1" t="str">
        <f>IF(Table2[[#This Row],[Description]]="","",IF(Table2[[#This Row],[Currency]]=$O$2,$P$2,HLOOKUP(Table2[[#This Row],[Date]],Funds!$C$10:$GV$11,2,FALSE)))</f>
        <v/>
      </c>
      <c r="J6334" s="215" t="str">
        <f>IF(Table2[[#This Row],[Description]]="","",Table2[[#This Row],[Value]]/Table2[[#This Row],[Conversion]])</f>
        <v/>
      </c>
      <c r="K6334" s="45" t="str">
        <f>IF(Table2[[#This Row],[Description]]="","",DATE(Table2[[#This Row],[Year]],Table2[[#This Row],[Month]],1))</f>
        <v/>
      </c>
    </row>
    <row r="6335" spans="7:11" x14ac:dyDescent="0.25">
      <c r="G6335" s="1" t="str">
        <f>IF(Table2[[#This Row],[Description]]="","",VLOOKUP(Table2[[#This Row],[Description]],$Q$1:$S$101,2,FALSE))</f>
        <v/>
      </c>
      <c r="H6335" s="1" t="str">
        <f>IF(Table2[[#This Row],[Description]]="","",VLOOKUP(Table2[[#This Row],[Description]],$Q$1:$S$101,3,FALSE))</f>
        <v/>
      </c>
      <c r="I6335" s="1" t="str">
        <f>IF(Table2[[#This Row],[Description]]="","",IF(Table2[[#This Row],[Currency]]=$O$2,$P$2,HLOOKUP(Table2[[#This Row],[Date]],Funds!$C$10:$GV$11,2,FALSE)))</f>
        <v/>
      </c>
      <c r="J6335" s="215" t="str">
        <f>IF(Table2[[#This Row],[Description]]="","",Table2[[#This Row],[Value]]/Table2[[#This Row],[Conversion]])</f>
        <v/>
      </c>
      <c r="K6335" s="45" t="str">
        <f>IF(Table2[[#This Row],[Description]]="","",DATE(Table2[[#This Row],[Year]],Table2[[#This Row],[Month]],1))</f>
        <v/>
      </c>
    </row>
    <row r="6336" spans="7:11" x14ac:dyDescent="0.25">
      <c r="G6336" s="1" t="str">
        <f>IF(Table2[[#This Row],[Description]]="","",VLOOKUP(Table2[[#This Row],[Description]],$Q$1:$S$101,2,FALSE))</f>
        <v/>
      </c>
      <c r="H6336" s="1" t="str">
        <f>IF(Table2[[#This Row],[Description]]="","",VLOOKUP(Table2[[#This Row],[Description]],$Q$1:$S$101,3,FALSE))</f>
        <v/>
      </c>
      <c r="I6336" s="1" t="str">
        <f>IF(Table2[[#This Row],[Description]]="","",IF(Table2[[#This Row],[Currency]]=$O$2,$P$2,HLOOKUP(Table2[[#This Row],[Date]],Funds!$C$10:$GV$11,2,FALSE)))</f>
        <v/>
      </c>
      <c r="J6336" s="215" t="str">
        <f>IF(Table2[[#This Row],[Description]]="","",Table2[[#This Row],[Value]]/Table2[[#This Row],[Conversion]])</f>
        <v/>
      </c>
      <c r="K6336" s="45" t="str">
        <f>IF(Table2[[#This Row],[Description]]="","",DATE(Table2[[#This Row],[Year]],Table2[[#This Row],[Month]],1))</f>
        <v/>
      </c>
    </row>
    <row r="6337" spans="7:11" x14ac:dyDescent="0.25">
      <c r="G6337" s="1" t="str">
        <f>IF(Table2[[#This Row],[Description]]="","",VLOOKUP(Table2[[#This Row],[Description]],$Q$1:$S$101,2,FALSE))</f>
        <v/>
      </c>
      <c r="H6337" s="1" t="str">
        <f>IF(Table2[[#This Row],[Description]]="","",VLOOKUP(Table2[[#This Row],[Description]],$Q$1:$S$101,3,FALSE))</f>
        <v/>
      </c>
      <c r="I6337" s="1" t="str">
        <f>IF(Table2[[#This Row],[Description]]="","",IF(Table2[[#This Row],[Currency]]=$O$2,$P$2,HLOOKUP(Table2[[#This Row],[Date]],Funds!$C$10:$GV$11,2,FALSE)))</f>
        <v/>
      </c>
      <c r="J6337" s="215" t="str">
        <f>IF(Table2[[#This Row],[Description]]="","",Table2[[#This Row],[Value]]/Table2[[#This Row],[Conversion]])</f>
        <v/>
      </c>
      <c r="K6337" s="45" t="str">
        <f>IF(Table2[[#This Row],[Description]]="","",DATE(Table2[[#This Row],[Year]],Table2[[#This Row],[Month]],1))</f>
        <v/>
      </c>
    </row>
    <row r="6338" spans="7:11" x14ac:dyDescent="0.25">
      <c r="G6338" s="1" t="str">
        <f>IF(Table2[[#This Row],[Description]]="","",VLOOKUP(Table2[[#This Row],[Description]],$Q$1:$S$101,2,FALSE))</f>
        <v/>
      </c>
      <c r="H6338" s="1" t="str">
        <f>IF(Table2[[#This Row],[Description]]="","",VLOOKUP(Table2[[#This Row],[Description]],$Q$1:$S$101,3,FALSE))</f>
        <v/>
      </c>
      <c r="I6338" s="1" t="str">
        <f>IF(Table2[[#This Row],[Description]]="","",IF(Table2[[#This Row],[Currency]]=$O$2,$P$2,HLOOKUP(Table2[[#This Row],[Date]],Funds!$C$10:$GV$11,2,FALSE)))</f>
        <v/>
      </c>
      <c r="J6338" s="215" t="str">
        <f>IF(Table2[[#This Row],[Description]]="","",Table2[[#This Row],[Value]]/Table2[[#This Row],[Conversion]])</f>
        <v/>
      </c>
      <c r="K6338" s="45" t="str">
        <f>IF(Table2[[#This Row],[Description]]="","",DATE(Table2[[#This Row],[Year]],Table2[[#This Row],[Month]],1))</f>
        <v/>
      </c>
    </row>
    <row r="6339" spans="7:11" x14ac:dyDescent="0.25">
      <c r="G6339" s="1" t="str">
        <f>IF(Table2[[#This Row],[Description]]="","",VLOOKUP(Table2[[#This Row],[Description]],$Q$1:$S$101,2,FALSE))</f>
        <v/>
      </c>
      <c r="H6339" s="1" t="str">
        <f>IF(Table2[[#This Row],[Description]]="","",VLOOKUP(Table2[[#This Row],[Description]],$Q$1:$S$101,3,FALSE))</f>
        <v/>
      </c>
      <c r="I6339" s="1" t="str">
        <f>IF(Table2[[#This Row],[Description]]="","",IF(Table2[[#This Row],[Currency]]=$O$2,$P$2,HLOOKUP(Table2[[#This Row],[Date]],Funds!$C$10:$GV$11,2,FALSE)))</f>
        <v/>
      </c>
      <c r="J6339" s="215" t="str">
        <f>IF(Table2[[#This Row],[Description]]="","",Table2[[#This Row],[Value]]/Table2[[#This Row],[Conversion]])</f>
        <v/>
      </c>
      <c r="K6339" s="45" t="str">
        <f>IF(Table2[[#This Row],[Description]]="","",DATE(Table2[[#This Row],[Year]],Table2[[#This Row],[Month]],1))</f>
        <v/>
      </c>
    </row>
    <row r="6340" spans="7:11" x14ac:dyDescent="0.25">
      <c r="G6340" s="1" t="str">
        <f>IF(Table2[[#This Row],[Description]]="","",VLOOKUP(Table2[[#This Row],[Description]],$Q$1:$S$101,2,FALSE))</f>
        <v/>
      </c>
      <c r="H6340" s="1" t="str">
        <f>IF(Table2[[#This Row],[Description]]="","",VLOOKUP(Table2[[#This Row],[Description]],$Q$1:$S$101,3,FALSE))</f>
        <v/>
      </c>
      <c r="I6340" s="1" t="str">
        <f>IF(Table2[[#This Row],[Description]]="","",IF(Table2[[#This Row],[Currency]]=$O$2,$P$2,HLOOKUP(Table2[[#This Row],[Date]],Funds!$C$10:$GV$11,2,FALSE)))</f>
        <v/>
      </c>
      <c r="J6340" s="215" t="str">
        <f>IF(Table2[[#This Row],[Description]]="","",Table2[[#This Row],[Value]]/Table2[[#This Row],[Conversion]])</f>
        <v/>
      </c>
      <c r="K6340" s="45" t="str">
        <f>IF(Table2[[#This Row],[Description]]="","",DATE(Table2[[#This Row],[Year]],Table2[[#This Row],[Month]],1))</f>
        <v/>
      </c>
    </row>
    <row r="6341" spans="7:11" x14ac:dyDescent="0.25">
      <c r="G6341" s="1" t="str">
        <f>IF(Table2[[#This Row],[Description]]="","",VLOOKUP(Table2[[#This Row],[Description]],$Q$1:$S$101,2,FALSE))</f>
        <v/>
      </c>
      <c r="H6341" s="1" t="str">
        <f>IF(Table2[[#This Row],[Description]]="","",VLOOKUP(Table2[[#This Row],[Description]],$Q$1:$S$101,3,FALSE))</f>
        <v/>
      </c>
      <c r="I6341" s="1" t="str">
        <f>IF(Table2[[#This Row],[Description]]="","",IF(Table2[[#This Row],[Currency]]=$O$2,$P$2,HLOOKUP(Table2[[#This Row],[Date]],Funds!$C$10:$GV$11,2,FALSE)))</f>
        <v/>
      </c>
      <c r="J6341" s="215" t="str">
        <f>IF(Table2[[#This Row],[Description]]="","",Table2[[#This Row],[Value]]/Table2[[#This Row],[Conversion]])</f>
        <v/>
      </c>
      <c r="K6341" s="45" t="str">
        <f>IF(Table2[[#This Row],[Description]]="","",DATE(Table2[[#This Row],[Year]],Table2[[#This Row],[Month]],1))</f>
        <v/>
      </c>
    </row>
    <row r="6342" spans="7:11" x14ac:dyDescent="0.25">
      <c r="G6342" s="1" t="str">
        <f>IF(Table2[[#This Row],[Description]]="","",VLOOKUP(Table2[[#This Row],[Description]],$Q$1:$S$101,2,FALSE))</f>
        <v/>
      </c>
      <c r="H6342" s="1" t="str">
        <f>IF(Table2[[#This Row],[Description]]="","",VLOOKUP(Table2[[#This Row],[Description]],$Q$1:$S$101,3,FALSE))</f>
        <v/>
      </c>
      <c r="I6342" s="1" t="str">
        <f>IF(Table2[[#This Row],[Description]]="","",IF(Table2[[#This Row],[Currency]]=$O$2,$P$2,HLOOKUP(Table2[[#This Row],[Date]],Funds!$C$10:$GV$11,2,FALSE)))</f>
        <v/>
      </c>
      <c r="J6342" s="215" t="str">
        <f>IF(Table2[[#This Row],[Description]]="","",Table2[[#This Row],[Value]]/Table2[[#This Row],[Conversion]])</f>
        <v/>
      </c>
      <c r="K6342" s="45" t="str">
        <f>IF(Table2[[#This Row],[Description]]="","",DATE(Table2[[#This Row],[Year]],Table2[[#This Row],[Month]],1))</f>
        <v/>
      </c>
    </row>
    <row r="6343" spans="7:11" x14ac:dyDescent="0.25">
      <c r="G6343" s="1" t="str">
        <f>IF(Table2[[#This Row],[Description]]="","",VLOOKUP(Table2[[#This Row],[Description]],$Q$1:$S$101,2,FALSE))</f>
        <v/>
      </c>
      <c r="H6343" s="1" t="str">
        <f>IF(Table2[[#This Row],[Description]]="","",VLOOKUP(Table2[[#This Row],[Description]],$Q$1:$S$101,3,FALSE))</f>
        <v/>
      </c>
      <c r="I6343" s="1" t="str">
        <f>IF(Table2[[#This Row],[Description]]="","",IF(Table2[[#This Row],[Currency]]=$O$2,$P$2,HLOOKUP(Table2[[#This Row],[Date]],Funds!$C$10:$GV$11,2,FALSE)))</f>
        <v/>
      </c>
      <c r="J6343" s="215" t="str">
        <f>IF(Table2[[#This Row],[Description]]="","",Table2[[#This Row],[Value]]/Table2[[#This Row],[Conversion]])</f>
        <v/>
      </c>
      <c r="K6343" s="45" t="str">
        <f>IF(Table2[[#This Row],[Description]]="","",DATE(Table2[[#This Row],[Year]],Table2[[#This Row],[Month]],1))</f>
        <v/>
      </c>
    </row>
    <row r="6344" spans="7:11" x14ac:dyDescent="0.25">
      <c r="G6344" s="1" t="str">
        <f>IF(Table2[[#This Row],[Description]]="","",VLOOKUP(Table2[[#This Row],[Description]],$Q$1:$S$101,2,FALSE))</f>
        <v/>
      </c>
      <c r="H6344" s="1" t="str">
        <f>IF(Table2[[#This Row],[Description]]="","",VLOOKUP(Table2[[#This Row],[Description]],$Q$1:$S$101,3,FALSE))</f>
        <v/>
      </c>
      <c r="I6344" s="1" t="str">
        <f>IF(Table2[[#This Row],[Description]]="","",IF(Table2[[#This Row],[Currency]]=$O$2,$P$2,HLOOKUP(Table2[[#This Row],[Date]],Funds!$C$10:$GV$11,2,FALSE)))</f>
        <v/>
      </c>
      <c r="J6344" s="215" t="str">
        <f>IF(Table2[[#This Row],[Description]]="","",Table2[[#This Row],[Value]]/Table2[[#This Row],[Conversion]])</f>
        <v/>
      </c>
      <c r="K6344" s="45" t="str">
        <f>IF(Table2[[#This Row],[Description]]="","",DATE(Table2[[#This Row],[Year]],Table2[[#This Row],[Month]],1))</f>
        <v/>
      </c>
    </row>
    <row r="6345" spans="7:11" x14ac:dyDescent="0.25">
      <c r="G6345" s="1" t="str">
        <f>IF(Table2[[#This Row],[Description]]="","",VLOOKUP(Table2[[#This Row],[Description]],$Q$1:$S$101,2,FALSE))</f>
        <v/>
      </c>
      <c r="H6345" s="1" t="str">
        <f>IF(Table2[[#This Row],[Description]]="","",VLOOKUP(Table2[[#This Row],[Description]],$Q$1:$S$101,3,FALSE))</f>
        <v/>
      </c>
      <c r="I6345" s="1" t="str">
        <f>IF(Table2[[#This Row],[Description]]="","",IF(Table2[[#This Row],[Currency]]=$O$2,$P$2,HLOOKUP(Table2[[#This Row],[Date]],Funds!$C$10:$GV$11,2,FALSE)))</f>
        <v/>
      </c>
      <c r="J6345" s="215" t="str">
        <f>IF(Table2[[#This Row],[Description]]="","",Table2[[#This Row],[Value]]/Table2[[#This Row],[Conversion]])</f>
        <v/>
      </c>
      <c r="K6345" s="45" t="str">
        <f>IF(Table2[[#This Row],[Description]]="","",DATE(Table2[[#This Row],[Year]],Table2[[#This Row],[Month]],1))</f>
        <v/>
      </c>
    </row>
    <row r="6346" spans="7:11" x14ac:dyDescent="0.25">
      <c r="G6346" s="1" t="str">
        <f>IF(Table2[[#This Row],[Description]]="","",VLOOKUP(Table2[[#This Row],[Description]],$Q$1:$S$101,2,FALSE))</f>
        <v/>
      </c>
      <c r="H6346" s="1" t="str">
        <f>IF(Table2[[#This Row],[Description]]="","",VLOOKUP(Table2[[#This Row],[Description]],$Q$1:$S$101,3,FALSE))</f>
        <v/>
      </c>
      <c r="I6346" s="1" t="str">
        <f>IF(Table2[[#This Row],[Description]]="","",IF(Table2[[#This Row],[Currency]]=$O$2,$P$2,HLOOKUP(Table2[[#This Row],[Date]],Funds!$C$10:$GV$11,2,FALSE)))</f>
        <v/>
      </c>
      <c r="J6346" s="215" t="str">
        <f>IF(Table2[[#This Row],[Description]]="","",Table2[[#This Row],[Value]]/Table2[[#This Row],[Conversion]])</f>
        <v/>
      </c>
      <c r="K6346" s="45" t="str">
        <f>IF(Table2[[#This Row],[Description]]="","",DATE(Table2[[#This Row],[Year]],Table2[[#This Row],[Month]],1))</f>
        <v/>
      </c>
    </row>
    <row r="6347" spans="7:11" x14ac:dyDescent="0.25">
      <c r="G6347" s="1" t="str">
        <f>IF(Table2[[#This Row],[Description]]="","",VLOOKUP(Table2[[#This Row],[Description]],$Q$1:$S$101,2,FALSE))</f>
        <v/>
      </c>
      <c r="H6347" s="1" t="str">
        <f>IF(Table2[[#This Row],[Description]]="","",VLOOKUP(Table2[[#This Row],[Description]],$Q$1:$S$101,3,FALSE))</f>
        <v/>
      </c>
      <c r="I6347" s="1" t="str">
        <f>IF(Table2[[#This Row],[Description]]="","",IF(Table2[[#This Row],[Currency]]=$O$2,$P$2,HLOOKUP(Table2[[#This Row],[Date]],Funds!$C$10:$GV$11,2,FALSE)))</f>
        <v/>
      </c>
      <c r="J6347" s="215" t="str">
        <f>IF(Table2[[#This Row],[Description]]="","",Table2[[#This Row],[Value]]/Table2[[#This Row],[Conversion]])</f>
        <v/>
      </c>
      <c r="K6347" s="45" t="str">
        <f>IF(Table2[[#This Row],[Description]]="","",DATE(Table2[[#This Row],[Year]],Table2[[#This Row],[Month]],1))</f>
        <v/>
      </c>
    </row>
    <row r="6348" spans="7:11" x14ac:dyDescent="0.25">
      <c r="G6348" s="1" t="str">
        <f>IF(Table2[[#This Row],[Description]]="","",VLOOKUP(Table2[[#This Row],[Description]],$Q$1:$S$101,2,FALSE))</f>
        <v/>
      </c>
      <c r="H6348" s="1" t="str">
        <f>IF(Table2[[#This Row],[Description]]="","",VLOOKUP(Table2[[#This Row],[Description]],$Q$1:$S$101,3,FALSE))</f>
        <v/>
      </c>
      <c r="I6348" s="1" t="str">
        <f>IF(Table2[[#This Row],[Description]]="","",IF(Table2[[#This Row],[Currency]]=$O$2,$P$2,HLOOKUP(Table2[[#This Row],[Date]],Funds!$C$10:$GV$11,2,FALSE)))</f>
        <v/>
      </c>
      <c r="J6348" s="215" t="str">
        <f>IF(Table2[[#This Row],[Description]]="","",Table2[[#This Row],[Value]]/Table2[[#This Row],[Conversion]])</f>
        <v/>
      </c>
      <c r="K6348" s="45" t="str">
        <f>IF(Table2[[#This Row],[Description]]="","",DATE(Table2[[#This Row],[Year]],Table2[[#This Row],[Month]],1))</f>
        <v/>
      </c>
    </row>
    <row r="6349" spans="7:11" x14ac:dyDescent="0.25">
      <c r="G6349" s="1" t="str">
        <f>IF(Table2[[#This Row],[Description]]="","",VLOOKUP(Table2[[#This Row],[Description]],$Q$1:$S$101,2,FALSE))</f>
        <v/>
      </c>
      <c r="H6349" s="1" t="str">
        <f>IF(Table2[[#This Row],[Description]]="","",VLOOKUP(Table2[[#This Row],[Description]],$Q$1:$S$101,3,FALSE))</f>
        <v/>
      </c>
      <c r="I6349" s="1" t="str">
        <f>IF(Table2[[#This Row],[Description]]="","",IF(Table2[[#This Row],[Currency]]=$O$2,$P$2,HLOOKUP(Table2[[#This Row],[Date]],Funds!$C$10:$GV$11,2,FALSE)))</f>
        <v/>
      </c>
      <c r="J6349" s="215" t="str">
        <f>IF(Table2[[#This Row],[Description]]="","",Table2[[#This Row],[Value]]/Table2[[#This Row],[Conversion]])</f>
        <v/>
      </c>
      <c r="K6349" s="45" t="str">
        <f>IF(Table2[[#This Row],[Description]]="","",DATE(Table2[[#This Row],[Year]],Table2[[#This Row],[Month]],1))</f>
        <v/>
      </c>
    </row>
    <row r="6350" spans="7:11" x14ac:dyDescent="0.25">
      <c r="G6350" s="1" t="str">
        <f>IF(Table2[[#This Row],[Description]]="","",VLOOKUP(Table2[[#This Row],[Description]],$Q$1:$S$101,2,FALSE))</f>
        <v/>
      </c>
      <c r="H6350" s="1" t="str">
        <f>IF(Table2[[#This Row],[Description]]="","",VLOOKUP(Table2[[#This Row],[Description]],$Q$1:$S$101,3,FALSE))</f>
        <v/>
      </c>
      <c r="I6350" s="1" t="str">
        <f>IF(Table2[[#This Row],[Description]]="","",IF(Table2[[#This Row],[Currency]]=$O$2,$P$2,HLOOKUP(Table2[[#This Row],[Date]],Funds!$C$10:$GV$11,2,FALSE)))</f>
        <v/>
      </c>
      <c r="J6350" s="215" t="str">
        <f>IF(Table2[[#This Row],[Description]]="","",Table2[[#This Row],[Value]]/Table2[[#This Row],[Conversion]])</f>
        <v/>
      </c>
      <c r="K6350" s="45" t="str">
        <f>IF(Table2[[#This Row],[Description]]="","",DATE(Table2[[#This Row],[Year]],Table2[[#This Row],[Month]],1))</f>
        <v/>
      </c>
    </row>
    <row r="6351" spans="7:11" x14ac:dyDescent="0.25">
      <c r="G6351" s="1" t="str">
        <f>IF(Table2[[#This Row],[Description]]="","",VLOOKUP(Table2[[#This Row],[Description]],$Q$1:$S$101,2,FALSE))</f>
        <v/>
      </c>
      <c r="H6351" s="1" t="str">
        <f>IF(Table2[[#This Row],[Description]]="","",VLOOKUP(Table2[[#This Row],[Description]],$Q$1:$S$101,3,FALSE))</f>
        <v/>
      </c>
      <c r="I6351" s="1" t="str">
        <f>IF(Table2[[#This Row],[Description]]="","",IF(Table2[[#This Row],[Currency]]=$O$2,$P$2,HLOOKUP(Table2[[#This Row],[Date]],Funds!$C$10:$GV$11,2,FALSE)))</f>
        <v/>
      </c>
      <c r="J6351" s="215" t="str">
        <f>IF(Table2[[#This Row],[Description]]="","",Table2[[#This Row],[Value]]/Table2[[#This Row],[Conversion]])</f>
        <v/>
      </c>
      <c r="K6351" s="45" t="str">
        <f>IF(Table2[[#This Row],[Description]]="","",DATE(Table2[[#This Row],[Year]],Table2[[#This Row],[Month]],1))</f>
        <v/>
      </c>
    </row>
    <row r="6352" spans="7:11" x14ac:dyDescent="0.25">
      <c r="G6352" s="1" t="str">
        <f>IF(Table2[[#This Row],[Description]]="","",VLOOKUP(Table2[[#This Row],[Description]],$Q$1:$S$101,2,FALSE))</f>
        <v/>
      </c>
      <c r="H6352" s="1" t="str">
        <f>IF(Table2[[#This Row],[Description]]="","",VLOOKUP(Table2[[#This Row],[Description]],$Q$1:$S$101,3,FALSE))</f>
        <v/>
      </c>
      <c r="I6352" s="1" t="str">
        <f>IF(Table2[[#This Row],[Description]]="","",IF(Table2[[#This Row],[Currency]]=$O$2,$P$2,HLOOKUP(Table2[[#This Row],[Date]],Funds!$C$10:$GV$11,2,FALSE)))</f>
        <v/>
      </c>
      <c r="J6352" s="215" t="str">
        <f>IF(Table2[[#This Row],[Description]]="","",Table2[[#This Row],[Value]]/Table2[[#This Row],[Conversion]])</f>
        <v/>
      </c>
      <c r="K6352" s="45" t="str">
        <f>IF(Table2[[#This Row],[Description]]="","",DATE(Table2[[#This Row],[Year]],Table2[[#This Row],[Month]],1))</f>
        <v/>
      </c>
    </row>
    <row r="6353" spans="7:11" x14ac:dyDescent="0.25">
      <c r="G6353" s="1" t="str">
        <f>IF(Table2[[#This Row],[Description]]="","",VLOOKUP(Table2[[#This Row],[Description]],$Q$1:$S$101,2,FALSE))</f>
        <v/>
      </c>
      <c r="H6353" s="1" t="str">
        <f>IF(Table2[[#This Row],[Description]]="","",VLOOKUP(Table2[[#This Row],[Description]],$Q$1:$S$101,3,FALSE))</f>
        <v/>
      </c>
      <c r="I6353" s="1" t="str">
        <f>IF(Table2[[#This Row],[Description]]="","",IF(Table2[[#This Row],[Currency]]=$O$2,$P$2,HLOOKUP(Table2[[#This Row],[Date]],Funds!$C$10:$GV$11,2,FALSE)))</f>
        <v/>
      </c>
      <c r="J6353" s="215" t="str">
        <f>IF(Table2[[#This Row],[Description]]="","",Table2[[#This Row],[Value]]/Table2[[#This Row],[Conversion]])</f>
        <v/>
      </c>
      <c r="K6353" s="45" t="str">
        <f>IF(Table2[[#This Row],[Description]]="","",DATE(Table2[[#This Row],[Year]],Table2[[#This Row],[Month]],1))</f>
        <v/>
      </c>
    </row>
    <row r="6354" spans="7:11" x14ac:dyDescent="0.25">
      <c r="G6354" s="1" t="str">
        <f>IF(Table2[[#This Row],[Description]]="","",VLOOKUP(Table2[[#This Row],[Description]],$Q$1:$S$101,2,FALSE))</f>
        <v/>
      </c>
      <c r="H6354" s="1" t="str">
        <f>IF(Table2[[#This Row],[Description]]="","",VLOOKUP(Table2[[#This Row],[Description]],$Q$1:$S$101,3,FALSE))</f>
        <v/>
      </c>
      <c r="I6354" s="1" t="str">
        <f>IF(Table2[[#This Row],[Description]]="","",IF(Table2[[#This Row],[Currency]]=$O$2,$P$2,HLOOKUP(Table2[[#This Row],[Date]],Funds!$C$10:$GV$11,2,FALSE)))</f>
        <v/>
      </c>
      <c r="J6354" s="215" t="str">
        <f>IF(Table2[[#This Row],[Description]]="","",Table2[[#This Row],[Value]]/Table2[[#This Row],[Conversion]])</f>
        <v/>
      </c>
      <c r="K6354" s="45" t="str">
        <f>IF(Table2[[#This Row],[Description]]="","",DATE(Table2[[#This Row],[Year]],Table2[[#This Row],[Month]],1))</f>
        <v/>
      </c>
    </row>
    <row r="6355" spans="7:11" x14ac:dyDescent="0.25">
      <c r="G6355" s="1" t="str">
        <f>IF(Table2[[#This Row],[Description]]="","",VLOOKUP(Table2[[#This Row],[Description]],$Q$1:$S$101,2,FALSE))</f>
        <v/>
      </c>
      <c r="H6355" s="1" t="str">
        <f>IF(Table2[[#This Row],[Description]]="","",VLOOKUP(Table2[[#This Row],[Description]],$Q$1:$S$101,3,FALSE))</f>
        <v/>
      </c>
      <c r="I6355" s="1" t="str">
        <f>IF(Table2[[#This Row],[Description]]="","",IF(Table2[[#This Row],[Currency]]=$O$2,$P$2,HLOOKUP(Table2[[#This Row],[Date]],Funds!$C$10:$GV$11,2,FALSE)))</f>
        <v/>
      </c>
      <c r="J6355" s="215" t="str">
        <f>IF(Table2[[#This Row],[Description]]="","",Table2[[#This Row],[Value]]/Table2[[#This Row],[Conversion]])</f>
        <v/>
      </c>
      <c r="K6355" s="45" t="str">
        <f>IF(Table2[[#This Row],[Description]]="","",DATE(Table2[[#This Row],[Year]],Table2[[#This Row],[Month]],1))</f>
        <v/>
      </c>
    </row>
    <row r="6356" spans="7:11" x14ac:dyDescent="0.25">
      <c r="G6356" s="1" t="str">
        <f>IF(Table2[[#This Row],[Description]]="","",VLOOKUP(Table2[[#This Row],[Description]],$Q$1:$S$101,2,FALSE))</f>
        <v/>
      </c>
      <c r="H6356" s="1" t="str">
        <f>IF(Table2[[#This Row],[Description]]="","",VLOOKUP(Table2[[#This Row],[Description]],$Q$1:$S$101,3,FALSE))</f>
        <v/>
      </c>
      <c r="I6356" s="1" t="str">
        <f>IF(Table2[[#This Row],[Description]]="","",IF(Table2[[#This Row],[Currency]]=$O$2,$P$2,HLOOKUP(Table2[[#This Row],[Date]],Funds!$C$10:$GV$11,2,FALSE)))</f>
        <v/>
      </c>
      <c r="J6356" s="215" t="str">
        <f>IF(Table2[[#This Row],[Description]]="","",Table2[[#This Row],[Value]]/Table2[[#This Row],[Conversion]])</f>
        <v/>
      </c>
      <c r="K6356" s="45" t="str">
        <f>IF(Table2[[#This Row],[Description]]="","",DATE(Table2[[#This Row],[Year]],Table2[[#This Row],[Month]],1))</f>
        <v/>
      </c>
    </row>
    <row r="6357" spans="7:11" x14ac:dyDescent="0.25">
      <c r="G6357" s="1" t="str">
        <f>IF(Table2[[#This Row],[Description]]="","",VLOOKUP(Table2[[#This Row],[Description]],$Q$1:$S$101,2,FALSE))</f>
        <v/>
      </c>
      <c r="H6357" s="1" t="str">
        <f>IF(Table2[[#This Row],[Description]]="","",VLOOKUP(Table2[[#This Row],[Description]],$Q$1:$S$101,3,FALSE))</f>
        <v/>
      </c>
      <c r="I6357" s="1" t="str">
        <f>IF(Table2[[#This Row],[Description]]="","",IF(Table2[[#This Row],[Currency]]=$O$2,$P$2,HLOOKUP(Table2[[#This Row],[Date]],Funds!$C$10:$GV$11,2,FALSE)))</f>
        <v/>
      </c>
      <c r="J6357" s="215" t="str">
        <f>IF(Table2[[#This Row],[Description]]="","",Table2[[#This Row],[Value]]/Table2[[#This Row],[Conversion]])</f>
        <v/>
      </c>
      <c r="K6357" s="45" t="str">
        <f>IF(Table2[[#This Row],[Description]]="","",DATE(Table2[[#This Row],[Year]],Table2[[#This Row],[Month]],1))</f>
        <v/>
      </c>
    </row>
    <row r="6358" spans="7:11" x14ac:dyDescent="0.25">
      <c r="G6358" s="1" t="str">
        <f>IF(Table2[[#This Row],[Description]]="","",VLOOKUP(Table2[[#This Row],[Description]],$Q$1:$S$101,2,FALSE))</f>
        <v/>
      </c>
      <c r="H6358" s="1" t="str">
        <f>IF(Table2[[#This Row],[Description]]="","",VLOOKUP(Table2[[#This Row],[Description]],$Q$1:$S$101,3,FALSE))</f>
        <v/>
      </c>
      <c r="I6358" s="1" t="str">
        <f>IF(Table2[[#This Row],[Description]]="","",IF(Table2[[#This Row],[Currency]]=$O$2,$P$2,HLOOKUP(Table2[[#This Row],[Date]],Funds!$C$10:$GV$11,2,FALSE)))</f>
        <v/>
      </c>
      <c r="J6358" s="215" t="str">
        <f>IF(Table2[[#This Row],[Description]]="","",Table2[[#This Row],[Value]]/Table2[[#This Row],[Conversion]])</f>
        <v/>
      </c>
      <c r="K6358" s="45" t="str">
        <f>IF(Table2[[#This Row],[Description]]="","",DATE(Table2[[#This Row],[Year]],Table2[[#This Row],[Month]],1))</f>
        <v/>
      </c>
    </row>
    <row r="6359" spans="7:11" x14ac:dyDescent="0.25">
      <c r="G6359" s="1" t="str">
        <f>IF(Table2[[#This Row],[Description]]="","",VLOOKUP(Table2[[#This Row],[Description]],$Q$1:$S$101,2,FALSE))</f>
        <v/>
      </c>
      <c r="H6359" s="1" t="str">
        <f>IF(Table2[[#This Row],[Description]]="","",VLOOKUP(Table2[[#This Row],[Description]],$Q$1:$S$101,3,FALSE))</f>
        <v/>
      </c>
      <c r="I6359" s="1" t="str">
        <f>IF(Table2[[#This Row],[Description]]="","",IF(Table2[[#This Row],[Currency]]=$O$2,$P$2,HLOOKUP(Table2[[#This Row],[Date]],Funds!$C$10:$GV$11,2,FALSE)))</f>
        <v/>
      </c>
      <c r="J6359" s="215" t="str">
        <f>IF(Table2[[#This Row],[Description]]="","",Table2[[#This Row],[Value]]/Table2[[#This Row],[Conversion]])</f>
        <v/>
      </c>
      <c r="K6359" s="45" t="str">
        <f>IF(Table2[[#This Row],[Description]]="","",DATE(Table2[[#This Row],[Year]],Table2[[#This Row],[Month]],1))</f>
        <v/>
      </c>
    </row>
    <row r="6360" spans="7:11" x14ac:dyDescent="0.25">
      <c r="G6360" s="1" t="str">
        <f>IF(Table2[[#This Row],[Description]]="","",VLOOKUP(Table2[[#This Row],[Description]],$Q$1:$S$101,2,FALSE))</f>
        <v/>
      </c>
      <c r="H6360" s="1" t="str">
        <f>IF(Table2[[#This Row],[Description]]="","",VLOOKUP(Table2[[#This Row],[Description]],$Q$1:$S$101,3,FALSE))</f>
        <v/>
      </c>
      <c r="I6360" s="1" t="str">
        <f>IF(Table2[[#This Row],[Description]]="","",IF(Table2[[#This Row],[Currency]]=$O$2,$P$2,HLOOKUP(Table2[[#This Row],[Date]],Funds!$C$10:$GV$11,2,FALSE)))</f>
        <v/>
      </c>
      <c r="J6360" s="215" t="str">
        <f>IF(Table2[[#This Row],[Description]]="","",Table2[[#This Row],[Value]]/Table2[[#This Row],[Conversion]])</f>
        <v/>
      </c>
      <c r="K6360" s="45" t="str">
        <f>IF(Table2[[#This Row],[Description]]="","",DATE(Table2[[#This Row],[Year]],Table2[[#This Row],[Month]],1))</f>
        <v/>
      </c>
    </row>
    <row r="6361" spans="7:11" x14ac:dyDescent="0.25">
      <c r="G6361" s="1" t="str">
        <f>IF(Table2[[#This Row],[Description]]="","",VLOOKUP(Table2[[#This Row],[Description]],$Q$1:$S$101,2,FALSE))</f>
        <v/>
      </c>
      <c r="H6361" s="1" t="str">
        <f>IF(Table2[[#This Row],[Description]]="","",VLOOKUP(Table2[[#This Row],[Description]],$Q$1:$S$101,3,FALSE))</f>
        <v/>
      </c>
      <c r="I6361" s="1" t="str">
        <f>IF(Table2[[#This Row],[Description]]="","",IF(Table2[[#This Row],[Currency]]=$O$2,$P$2,HLOOKUP(Table2[[#This Row],[Date]],Funds!$C$10:$GV$11,2,FALSE)))</f>
        <v/>
      </c>
      <c r="J6361" s="215" t="str">
        <f>IF(Table2[[#This Row],[Description]]="","",Table2[[#This Row],[Value]]/Table2[[#This Row],[Conversion]])</f>
        <v/>
      </c>
      <c r="K6361" s="45" t="str">
        <f>IF(Table2[[#This Row],[Description]]="","",DATE(Table2[[#This Row],[Year]],Table2[[#This Row],[Month]],1))</f>
        <v/>
      </c>
    </row>
    <row r="6362" spans="7:11" x14ac:dyDescent="0.25">
      <c r="G6362" s="1" t="str">
        <f>IF(Table2[[#This Row],[Description]]="","",VLOOKUP(Table2[[#This Row],[Description]],$Q$1:$S$101,2,FALSE))</f>
        <v/>
      </c>
      <c r="H6362" s="1" t="str">
        <f>IF(Table2[[#This Row],[Description]]="","",VLOOKUP(Table2[[#This Row],[Description]],$Q$1:$S$101,3,FALSE))</f>
        <v/>
      </c>
      <c r="I6362" s="1" t="str">
        <f>IF(Table2[[#This Row],[Description]]="","",IF(Table2[[#This Row],[Currency]]=$O$2,$P$2,HLOOKUP(Table2[[#This Row],[Date]],Funds!$C$10:$GV$11,2,FALSE)))</f>
        <v/>
      </c>
      <c r="J6362" s="215" t="str">
        <f>IF(Table2[[#This Row],[Description]]="","",Table2[[#This Row],[Value]]/Table2[[#This Row],[Conversion]])</f>
        <v/>
      </c>
      <c r="K6362" s="45" t="str">
        <f>IF(Table2[[#This Row],[Description]]="","",DATE(Table2[[#This Row],[Year]],Table2[[#This Row],[Month]],1))</f>
        <v/>
      </c>
    </row>
    <row r="6363" spans="7:11" x14ac:dyDescent="0.25">
      <c r="G6363" s="1" t="str">
        <f>IF(Table2[[#This Row],[Description]]="","",VLOOKUP(Table2[[#This Row],[Description]],$Q$1:$S$101,2,FALSE))</f>
        <v/>
      </c>
      <c r="H6363" s="1" t="str">
        <f>IF(Table2[[#This Row],[Description]]="","",VLOOKUP(Table2[[#This Row],[Description]],$Q$1:$S$101,3,FALSE))</f>
        <v/>
      </c>
      <c r="I6363" s="1" t="str">
        <f>IF(Table2[[#This Row],[Description]]="","",IF(Table2[[#This Row],[Currency]]=$O$2,$P$2,HLOOKUP(Table2[[#This Row],[Date]],Funds!$C$10:$GV$11,2,FALSE)))</f>
        <v/>
      </c>
      <c r="J6363" s="215" t="str">
        <f>IF(Table2[[#This Row],[Description]]="","",Table2[[#This Row],[Value]]/Table2[[#This Row],[Conversion]])</f>
        <v/>
      </c>
      <c r="K6363" s="45" t="str">
        <f>IF(Table2[[#This Row],[Description]]="","",DATE(Table2[[#This Row],[Year]],Table2[[#This Row],[Month]],1))</f>
        <v/>
      </c>
    </row>
    <row r="6364" spans="7:11" x14ac:dyDescent="0.25">
      <c r="G6364" s="1" t="str">
        <f>IF(Table2[[#This Row],[Description]]="","",VLOOKUP(Table2[[#This Row],[Description]],$Q$1:$S$101,2,FALSE))</f>
        <v/>
      </c>
      <c r="H6364" s="1" t="str">
        <f>IF(Table2[[#This Row],[Description]]="","",VLOOKUP(Table2[[#This Row],[Description]],$Q$1:$S$101,3,FALSE))</f>
        <v/>
      </c>
      <c r="I6364" s="1" t="str">
        <f>IF(Table2[[#This Row],[Description]]="","",IF(Table2[[#This Row],[Currency]]=$O$2,$P$2,HLOOKUP(Table2[[#This Row],[Date]],Funds!$C$10:$GV$11,2,FALSE)))</f>
        <v/>
      </c>
      <c r="J6364" s="215" t="str">
        <f>IF(Table2[[#This Row],[Description]]="","",Table2[[#This Row],[Value]]/Table2[[#This Row],[Conversion]])</f>
        <v/>
      </c>
      <c r="K6364" s="45" t="str">
        <f>IF(Table2[[#This Row],[Description]]="","",DATE(Table2[[#This Row],[Year]],Table2[[#This Row],[Month]],1))</f>
        <v/>
      </c>
    </row>
    <row r="6365" spans="7:11" x14ac:dyDescent="0.25">
      <c r="G6365" s="1" t="str">
        <f>IF(Table2[[#This Row],[Description]]="","",VLOOKUP(Table2[[#This Row],[Description]],$Q$1:$S$101,2,FALSE))</f>
        <v/>
      </c>
      <c r="H6365" s="1" t="str">
        <f>IF(Table2[[#This Row],[Description]]="","",VLOOKUP(Table2[[#This Row],[Description]],$Q$1:$S$101,3,FALSE))</f>
        <v/>
      </c>
      <c r="I6365" s="1" t="str">
        <f>IF(Table2[[#This Row],[Description]]="","",IF(Table2[[#This Row],[Currency]]=$O$2,$P$2,HLOOKUP(Table2[[#This Row],[Date]],Funds!$C$10:$GV$11,2,FALSE)))</f>
        <v/>
      </c>
      <c r="J6365" s="215" t="str">
        <f>IF(Table2[[#This Row],[Description]]="","",Table2[[#This Row],[Value]]/Table2[[#This Row],[Conversion]])</f>
        <v/>
      </c>
      <c r="K6365" s="45" t="str">
        <f>IF(Table2[[#This Row],[Description]]="","",DATE(Table2[[#This Row],[Year]],Table2[[#This Row],[Month]],1))</f>
        <v/>
      </c>
    </row>
    <row r="6366" spans="7:11" x14ac:dyDescent="0.25">
      <c r="G6366" s="1" t="str">
        <f>IF(Table2[[#This Row],[Description]]="","",VLOOKUP(Table2[[#This Row],[Description]],$Q$1:$S$101,2,FALSE))</f>
        <v/>
      </c>
      <c r="H6366" s="1" t="str">
        <f>IF(Table2[[#This Row],[Description]]="","",VLOOKUP(Table2[[#This Row],[Description]],$Q$1:$S$101,3,FALSE))</f>
        <v/>
      </c>
      <c r="I6366" s="1" t="str">
        <f>IF(Table2[[#This Row],[Description]]="","",IF(Table2[[#This Row],[Currency]]=$O$2,$P$2,HLOOKUP(Table2[[#This Row],[Date]],Funds!$C$10:$GV$11,2,FALSE)))</f>
        <v/>
      </c>
      <c r="J6366" s="215" t="str">
        <f>IF(Table2[[#This Row],[Description]]="","",Table2[[#This Row],[Value]]/Table2[[#This Row],[Conversion]])</f>
        <v/>
      </c>
      <c r="K6366" s="45" t="str">
        <f>IF(Table2[[#This Row],[Description]]="","",DATE(Table2[[#This Row],[Year]],Table2[[#This Row],[Month]],1))</f>
        <v/>
      </c>
    </row>
    <row r="6367" spans="7:11" x14ac:dyDescent="0.25">
      <c r="G6367" s="1" t="str">
        <f>IF(Table2[[#This Row],[Description]]="","",VLOOKUP(Table2[[#This Row],[Description]],$Q$1:$S$101,2,FALSE))</f>
        <v/>
      </c>
      <c r="H6367" s="1" t="str">
        <f>IF(Table2[[#This Row],[Description]]="","",VLOOKUP(Table2[[#This Row],[Description]],$Q$1:$S$101,3,FALSE))</f>
        <v/>
      </c>
      <c r="I6367" s="1" t="str">
        <f>IF(Table2[[#This Row],[Description]]="","",IF(Table2[[#This Row],[Currency]]=$O$2,$P$2,HLOOKUP(Table2[[#This Row],[Date]],Funds!$C$10:$GV$11,2,FALSE)))</f>
        <v/>
      </c>
      <c r="J6367" s="215" t="str">
        <f>IF(Table2[[#This Row],[Description]]="","",Table2[[#This Row],[Value]]/Table2[[#This Row],[Conversion]])</f>
        <v/>
      </c>
      <c r="K6367" s="45" t="str">
        <f>IF(Table2[[#This Row],[Description]]="","",DATE(Table2[[#This Row],[Year]],Table2[[#This Row],[Month]],1))</f>
        <v/>
      </c>
    </row>
    <row r="6368" spans="7:11" x14ac:dyDescent="0.25">
      <c r="G6368" s="1" t="str">
        <f>IF(Table2[[#This Row],[Description]]="","",VLOOKUP(Table2[[#This Row],[Description]],$Q$1:$S$101,2,FALSE))</f>
        <v/>
      </c>
      <c r="H6368" s="1" t="str">
        <f>IF(Table2[[#This Row],[Description]]="","",VLOOKUP(Table2[[#This Row],[Description]],$Q$1:$S$101,3,FALSE))</f>
        <v/>
      </c>
      <c r="I6368" s="1" t="str">
        <f>IF(Table2[[#This Row],[Description]]="","",IF(Table2[[#This Row],[Currency]]=$O$2,$P$2,HLOOKUP(Table2[[#This Row],[Date]],Funds!$C$10:$GV$11,2,FALSE)))</f>
        <v/>
      </c>
      <c r="J6368" s="215" t="str">
        <f>IF(Table2[[#This Row],[Description]]="","",Table2[[#This Row],[Value]]/Table2[[#This Row],[Conversion]])</f>
        <v/>
      </c>
      <c r="K6368" s="45" t="str">
        <f>IF(Table2[[#This Row],[Description]]="","",DATE(Table2[[#This Row],[Year]],Table2[[#This Row],[Month]],1))</f>
        <v/>
      </c>
    </row>
    <row r="6369" spans="7:11" x14ac:dyDescent="0.25">
      <c r="G6369" s="1" t="str">
        <f>IF(Table2[[#This Row],[Description]]="","",VLOOKUP(Table2[[#This Row],[Description]],$Q$1:$S$101,2,FALSE))</f>
        <v/>
      </c>
      <c r="H6369" s="1" t="str">
        <f>IF(Table2[[#This Row],[Description]]="","",VLOOKUP(Table2[[#This Row],[Description]],$Q$1:$S$101,3,FALSE))</f>
        <v/>
      </c>
      <c r="I6369" s="1" t="str">
        <f>IF(Table2[[#This Row],[Description]]="","",IF(Table2[[#This Row],[Currency]]=$O$2,$P$2,HLOOKUP(Table2[[#This Row],[Date]],Funds!$C$10:$GV$11,2,FALSE)))</f>
        <v/>
      </c>
      <c r="J6369" s="215" t="str">
        <f>IF(Table2[[#This Row],[Description]]="","",Table2[[#This Row],[Value]]/Table2[[#This Row],[Conversion]])</f>
        <v/>
      </c>
      <c r="K6369" s="45" t="str">
        <f>IF(Table2[[#This Row],[Description]]="","",DATE(Table2[[#This Row],[Year]],Table2[[#This Row],[Month]],1))</f>
        <v/>
      </c>
    </row>
    <row r="6370" spans="7:11" x14ac:dyDescent="0.25">
      <c r="G6370" s="1" t="str">
        <f>IF(Table2[[#This Row],[Description]]="","",VLOOKUP(Table2[[#This Row],[Description]],$Q$1:$S$101,2,FALSE))</f>
        <v/>
      </c>
      <c r="H6370" s="1" t="str">
        <f>IF(Table2[[#This Row],[Description]]="","",VLOOKUP(Table2[[#This Row],[Description]],$Q$1:$S$101,3,FALSE))</f>
        <v/>
      </c>
      <c r="I6370" s="1" t="str">
        <f>IF(Table2[[#This Row],[Description]]="","",IF(Table2[[#This Row],[Currency]]=$O$2,$P$2,HLOOKUP(Table2[[#This Row],[Date]],Funds!$C$10:$GV$11,2,FALSE)))</f>
        <v/>
      </c>
      <c r="J6370" s="215" t="str">
        <f>IF(Table2[[#This Row],[Description]]="","",Table2[[#This Row],[Value]]/Table2[[#This Row],[Conversion]])</f>
        <v/>
      </c>
      <c r="K6370" s="45" t="str">
        <f>IF(Table2[[#This Row],[Description]]="","",DATE(Table2[[#This Row],[Year]],Table2[[#This Row],[Month]],1))</f>
        <v/>
      </c>
    </row>
    <row r="6371" spans="7:11" x14ac:dyDescent="0.25">
      <c r="G6371" s="1" t="str">
        <f>IF(Table2[[#This Row],[Description]]="","",VLOOKUP(Table2[[#This Row],[Description]],$Q$1:$S$101,2,FALSE))</f>
        <v/>
      </c>
      <c r="H6371" s="1" t="str">
        <f>IF(Table2[[#This Row],[Description]]="","",VLOOKUP(Table2[[#This Row],[Description]],$Q$1:$S$101,3,FALSE))</f>
        <v/>
      </c>
      <c r="I6371" s="1" t="str">
        <f>IF(Table2[[#This Row],[Description]]="","",IF(Table2[[#This Row],[Currency]]=$O$2,$P$2,HLOOKUP(Table2[[#This Row],[Date]],Funds!$C$10:$GV$11,2,FALSE)))</f>
        <v/>
      </c>
      <c r="J6371" s="215" t="str">
        <f>IF(Table2[[#This Row],[Description]]="","",Table2[[#This Row],[Value]]/Table2[[#This Row],[Conversion]])</f>
        <v/>
      </c>
      <c r="K6371" s="45" t="str">
        <f>IF(Table2[[#This Row],[Description]]="","",DATE(Table2[[#This Row],[Year]],Table2[[#This Row],[Month]],1))</f>
        <v/>
      </c>
    </row>
    <row r="6372" spans="7:11" x14ac:dyDescent="0.25">
      <c r="G6372" s="1" t="str">
        <f>IF(Table2[[#This Row],[Description]]="","",VLOOKUP(Table2[[#This Row],[Description]],$Q$1:$S$101,2,FALSE))</f>
        <v/>
      </c>
      <c r="H6372" s="1" t="str">
        <f>IF(Table2[[#This Row],[Description]]="","",VLOOKUP(Table2[[#This Row],[Description]],$Q$1:$S$101,3,FALSE))</f>
        <v/>
      </c>
      <c r="I6372" s="1" t="str">
        <f>IF(Table2[[#This Row],[Description]]="","",IF(Table2[[#This Row],[Currency]]=$O$2,$P$2,HLOOKUP(Table2[[#This Row],[Date]],Funds!$C$10:$GV$11,2,FALSE)))</f>
        <v/>
      </c>
      <c r="J6372" s="215" t="str">
        <f>IF(Table2[[#This Row],[Description]]="","",Table2[[#This Row],[Value]]/Table2[[#This Row],[Conversion]])</f>
        <v/>
      </c>
      <c r="K6372" s="45" t="str">
        <f>IF(Table2[[#This Row],[Description]]="","",DATE(Table2[[#This Row],[Year]],Table2[[#This Row],[Month]],1))</f>
        <v/>
      </c>
    </row>
    <row r="6373" spans="7:11" x14ac:dyDescent="0.25">
      <c r="G6373" s="1" t="str">
        <f>IF(Table2[[#This Row],[Description]]="","",VLOOKUP(Table2[[#This Row],[Description]],$Q$1:$S$101,2,FALSE))</f>
        <v/>
      </c>
      <c r="H6373" s="1" t="str">
        <f>IF(Table2[[#This Row],[Description]]="","",VLOOKUP(Table2[[#This Row],[Description]],$Q$1:$S$101,3,FALSE))</f>
        <v/>
      </c>
      <c r="I6373" s="1" t="str">
        <f>IF(Table2[[#This Row],[Description]]="","",IF(Table2[[#This Row],[Currency]]=$O$2,$P$2,HLOOKUP(Table2[[#This Row],[Date]],Funds!$C$10:$GV$11,2,FALSE)))</f>
        <v/>
      </c>
      <c r="J6373" s="215" t="str">
        <f>IF(Table2[[#This Row],[Description]]="","",Table2[[#This Row],[Value]]/Table2[[#This Row],[Conversion]])</f>
        <v/>
      </c>
      <c r="K6373" s="45" t="str">
        <f>IF(Table2[[#This Row],[Description]]="","",DATE(Table2[[#This Row],[Year]],Table2[[#This Row],[Month]],1))</f>
        <v/>
      </c>
    </row>
    <row r="6374" spans="7:11" x14ac:dyDescent="0.25">
      <c r="G6374" s="1" t="str">
        <f>IF(Table2[[#This Row],[Description]]="","",VLOOKUP(Table2[[#This Row],[Description]],$Q$1:$S$101,2,FALSE))</f>
        <v/>
      </c>
      <c r="H6374" s="1" t="str">
        <f>IF(Table2[[#This Row],[Description]]="","",VLOOKUP(Table2[[#This Row],[Description]],$Q$1:$S$101,3,FALSE))</f>
        <v/>
      </c>
      <c r="I6374" s="1" t="str">
        <f>IF(Table2[[#This Row],[Description]]="","",IF(Table2[[#This Row],[Currency]]=$O$2,$P$2,HLOOKUP(Table2[[#This Row],[Date]],Funds!$C$10:$GV$11,2,FALSE)))</f>
        <v/>
      </c>
      <c r="J6374" s="215" t="str">
        <f>IF(Table2[[#This Row],[Description]]="","",Table2[[#This Row],[Value]]/Table2[[#This Row],[Conversion]])</f>
        <v/>
      </c>
      <c r="K6374" s="45" t="str">
        <f>IF(Table2[[#This Row],[Description]]="","",DATE(Table2[[#This Row],[Year]],Table2[[#This Row],[Month]],1))</f>
        <v/>
      </c>
    </row>
    <row r="6375" spans="7:11" x14ac:dyDescent="0.25">
      <c r="G6375" s="1" t="str">
        <f>IF(Table2[[#This Row],[Description]]="","",VLOOKUP(Table2[[#This Row],[Description]],$Q$1:$S$101,2,FALSE))</f>
        <v/>
      </c>
      <c r="H6375" s="1" t="str">
        <f>IF(Table2[[#This Row],[Description]]="","",VLOOKUP(Table2[[#This Row],[Description]],$Q$1:$S$101,3,FALSE))</f>
        <v/>
      </c>
      <c r="I6375" s="1" t="str">
        <f>IF(Table2[[#This Row],[Description]]="","",IF(Table2[[#This Row],[Currency]]=$O$2,$P$2,HLOOKUP(Table2[[#This Row],[Date]],Funds!$C$10:$GV$11,2,FALSE)))</f>
        <v/>
      </c>
      <c r="J6375" s="215" t="str">
        <f>IF(Table2[[#This Row],[Description]]="","",Table2[[#This Row],[Value]]/Table2[[#This Row],[Conversion]])</f>
        <v/>
      </c>
      <c r="K6375" s="45" t="str">
        <f>IF(Table2[[#This Row],[Description]]="","",DATE(Table2[[#This Row],[Year]],Table2[[#This Row],[Month]],1))</f>
        <v/>
      </c>
    </row>
    <row r="6376" spans="7:11" x14ac:dyDescent="0.25">
      <c r="G6376" s="1" t="str">
        <f>IF(Table2[[#This Row],[Description]]="","",VLOOKUP(Table2[[#This Row],[Description]],$Q$1:$S$101,2,FALSE))</f>
        <v/>
      </c>
      <c r="H6376" s="1" t="str">
        <f>IF(Table2[[#This Row],[Description]]="","",VLOOKUP(Table2[[#This Row],[Description]],$Q$1:$S$101,3,FALSE))</f>
        <v/>
      </c>
      <c r="I6376" s="1" t="str">
        <f>IF(Table2[[#This Row],[Description]]="","",IF(Table2[[#This Row],[Currency]]=$O$2,$P$2,HLOOKUP(Table2[[#This Row],[Date]],Funds!$C$10:$GV$11,2,FALSE)))</f>
        <v/>
      </c>
      <c r="J6376" s="215" t="str">
        <f>IF(Table2[[#This Row],[Description]]="","",Table2[[#This Row],[Value]]/Table2[[#This Row],[Conversion]])</f>
        <v/>
      </c>
      <c r="K6376" s="45" t="str">
        <f>IF(Table2[[#This Row],[Description]]="","",DATE(Table2[[#This Row],[Year]],Table2[[#This Row],[Month]],1))</f>
        <v/>
      </c>
    </row>
    <row r="6377" spans="7:11" x14ac:dyDescent="0.25">
      <c r="G6377" s="1" t="str">
        <f>IF(Table2[[#This Row],[Description]]="","",VLOOKUP(Table2[[#This Row],[Description]],$Q$1:$S$101,2,FALSE))</f>
        <v/>
      </c>
      <c r="H6377" s="1" t="str">
        <f>IF(Table2[[#This Row],[Description]]="","",VLOOKUP(Table2[[#This Row],[Description]],$Q$1:$S$101,3,FALSE))</f>
        <v/>
      </c>
      <c r="I6377" s="1" t="str">
        <f>IF(Table2[[#This Row],[Description]]="","",IF(Table2[[#This Row],[Currency]]=$O$2,$P$2,HLOOKUP(Table2[[#This Row],[Date]],Funds!$C$10:$GV$11,2,FALSE)))</f>
        <v/>
      </c>
      <c r="J6377" s="215" t="str">
        <f>IF(Table2[[#This Row],[Description]]="","",Table2[[#This Row],[Value]]/Table2[[#This Row],[Conversion]])</f>
        <v/>
      </c>
      <c r="K6377" s="45" t="str">
        <f>IF(Table2[[#This Row],[Description]]="","",DATE(Table2[[#This Row],[Year]],Table2[[#This Row],[Month]],1))</f>
        <v/>
      </c>
    </row>
    <row r="6378" spans="7:11" x14ac:dyDescent="0.25">
      <c r="G6378" s="1" t="str">
        <f>IF(Table2[[#This Row],[Description]]="","",VLOOKUP(Table2[[#This Row],[Description]],$Q$1:$S$101,2,FALSE))</f>
        <v/>
      </c>
      <c r="H6378" s="1" t="str">
        <f>IF(Table2[[#This Row],[Description]]="","",VLOOKUP(Table2[[#This Row],[Description]],$Q$1:$S$101,3,FALSE))</f>
        <v/>
      </c>
      <c r="I6378" s="1" t="str">
        <f>IF(Table2[[#This Row],[Description]]="","",IF(Table2[[#This Row],[Currency]]=$O$2,$P$2,HLOOKUP(Table2[[#This Row],[Date]],Funds!$C$10:$GV$11,2,FALSE)))</f>
        <v/>
      </c>
      <c r="J6378" s="215" t="str">
        <f>IF(Table2[[#This Row],[Description]]="","",Table2[[#This Row],[Value]]/Table2[[#This Row],[Conversion]])</f>
        <v/>
      </c>
      <c r="K6378" s="45" t="str">
        <f>IF(Table2[[#This Row],[Description]]="","",DATE(Table2[[#This Row],[Year]],Table2[[#This Row],[Month]],1))</f>
        <v/>
      </c>
    </row>
    <row r="6379" spans="7:11" x14ac:dyDescent="0.25">
      <c r="G6379" s="1" t="str">
        <f>IF(Table2[[#This Row],[Description]]="","",VLOOKUP(Table2[[#This Row],[Description]],$Q$1:$S$101,2,FALSE))</f>
        <v/>
      </c>
      <c r="H6379" s="1" t="str">
        <f>IF(Table2[[#This Row],[Description]]="","",VLOOKUP(Table2[[#This Row],[Description]],$Q$1:$S$101,3,FALSE))</f>
        <v/>
      </c>
      <c r="I6379" s="1" t="str">
        <f>IF(Table2[[#This Row],[Description]]="","",IF(Table2[[#This Row],[Currency]]=$O$2,$P$2,HLOOKUP(Table2[[#This Row],[Date]],Funds!$C$10:$GV$11,2,FALSE)))</f>
        <v/>
      </c>
      <c r="J6379" s="215" t="str">
        <f>IF(Table2[[#This Row],[Description]]="","",Table2[[#This Row],[Value]]/Table2[[#This Row],[Conversion]])</f>
        <v/>
      </c>
      <c r="K6379" s="45" t="str">
        <f>IF(Table2[[#This Row],[Description]]="","",DATE(Table2[[#This Row],[Year]],Table2[[#This Row],[Month]],1))</f>
        <v/>
      </c>
    </row>
    <row r="6380" spans="7:11" x14ac:dyDescent="0.25">
      <c r="G6380" s="1" t="str">
        <f>IF(Table2[[#This Row],[Description]]="","",VLOOKUP(Table2[[#This Row],[Description]],$Q$1:$S$101,2,FALSE))</f>
        <v/>
      </c>
      <c r="H6380" s="1" t="str">
        <f>IF(Table2[[#This Row],[Description]]="","",VLOOKUP(Table2[[#This Row],[Description]],$Q$1:$S$101,3,FALSE))</f>
        <v/>
      </c>
      <c r="I6380" s="1" t="str">
        <f>IF(Table2[[#This Row],[Description]]="","",IF(Table2[[#This Row],[Currency]]=$O$2,$P$2,HLOOKUP(Table2[[#This Row],[Date]],Funds!$C$10:$GV$11,2,FALSE)))</f>
        <v/>
      </c>
      <c r="J6380" s="215" t="str">
        <f>IF(Table2[[#This Row],[Description]]="","",Table2[[#This Row],[Value]]/Table2[[#This Row],[Conversion]])</f>
        <v/>
      </c>
      <c r="K6380" s="45" t="str">
        <f>IF(Table2[[#This Row],[Description]]="","",DATE(Table2[[#This Row],[Year]],Table2[[#This Row],[Month]],1))</f>
        <v/>
      </c>
    </row>
    <row r="6381" spans="7:11" x14ac:dyDescent="0.25">
      <c r="G6381" s="1" t="str">
        <f>IF(Table2[[#This Row],[Description]]="","",VLOOKUP(Table2[[#This Row],[Description]],$Q$1:$S$101,2,FALSE))</f>
        <v/>
      </c>
      <c r="H6381" s="1" t="str">
        <f>IF(Table2[[#This Row],[Description]]="","",VLOOKUP(Table2[[#This Row],[Description]],$Q$1:$S$101,3,FALSE))</f>
        <v/>
      </c>
      <c r="I6381" s="1" t="str">
        <f>IF(Table2[[#This Row],[Description]]="","",IF(Table2[[#This Row],[Currency]]=$O$2,$P$2,HLOOKUP(Table2[[#This Row],[Date]],Funds!$C$10:$GV$11,2,FALSE)))</f>
        <v/>
      </c>
      <c r="J6381" s="215" t="str">
        <f>IF(Table2[[#This Row],[Description]]="","",Table2[[#This Row],[Value]]/Table2[[#This Row],[Conversion]])</f>
        <v/>
      </c>
      <c r="K6381" s="45" t="str">
        <f>IF(Table2[[#This Row],[Description]]="","",DATE(Table2[[#This Row],[Year]],Table2[[#This Row],[Month]],1))</f>
        <v/>
      </c>
    </row>
    <row r="6382" spans="7:11" x14ac:dyDescent="0.25">
      <c r="G6382" s="1" t="str">
        <f>IF(Table2[[#This Row],[Description]]="","",VLOOKUP(Table2[[#This Row],[Description]],$Q$1:$S$101,2,FALSE))</f>
        <v/>
      </c>
      <c r="H6382" s="1" t="str">
        <f>IF(Table2[[#This Row],[Description]]="","",VLOOKUP(Table2[[#This Row],[Description]],$Q$1:$S$101,3,FALSE))</f>
        <v/>
      </c>
      <c r="I6382" s="1" t="str">
        <f>IF(Table2[[#This Row],[Description]]="","",IF(Table2[[#This Row],[Currency]]=$O$2,$P$2,HLOOKUP(Table2[[#This Row],[Date]],Funds!$C$10:$GV$11,2,FALSE)))</f>
        <v/>
      </c>
      <c r="J6382" s="215" t="str">
        <f>IF(Table2[[#This Row],[Description]]="","",Table2[[#This Row],[Value]]/Table2[[#This Row],[Conversion]])</f>
        <v/>
      </c>
      <c r="K6382" s="45" t="str">
        <f>IF(Table2[[#This Row],[Description]]="","",DATE(Table2[[#This Row],[Year]],Table2[[#This Row],[Month]],1))</f>
        <v/>
      </c>
    </row>
    <row r="6383" spans="7:11" x14ac:dyDescent="0.25">
      <c r="G6383" s="1" t="str">
        <f>IF(Table2[[#This Row],[Description]]="","",VLOOKUP(Table2[[#This Row],[Description]],$Q$1:$S$101,2,FALSE))</f>
        <v/>
      </c>
      <c r="H6383" s="1" t="str">
        <f>IF(Table2[[#This Row],[Description]]="","",VLOOKUP(Table2[[#This Row],[Description]],$Q$1:$S$101,3,FALSE))</f>
        <v/>
      </c>
      <c r="I6383" s="1" t="str">
        <f>IF(Table2[[#This Row],[Description]]="","",IF(Table2[[#This Row],[Currency]]=$O$2,$P$2,HLOOKUP(Table2[[#This Row],[Date]],Funds!$C$10:$GV$11,2,FALSE)))</f>
        <v/>
      </c>
      <c r="J6383" s="215" t="str">
        <f>IF(Table2[[#This Row],[Description]]="","",Table2[[#This Row],[Value]]/Table2[[#This Row],[Conversion]])</f>
        <v/>
      </c>
      <c r="K6383" s="45" t="str">
        <f>IF(Table2[[#This Row],[Description]]="","",DATE(Table2[[#This Row],[Year]],Table2[[#This Row],[Month]],1))</f>
        <v/>
      </c>
    </row>
    <row r="6384" spans="7:11" x14ac:dyDescent="0.25">
      <c r="G6384" s="1" t="str">
        <f>IF(Table2[[#This Row],[Description]]="","",VLOOKUP(Table2[[#This Row],[Description]],$Q$1:$S$101,2,FALSE))</f>
        <v/>
      </c>
      <c r="H6384" s="1" t="str">
        <f>IF(Table2[[#This Row],[Description]]="","",VLOOKUP(Table2[[#This Row],[Description]],$Q$1:$S$101,3,FALSE))</f>
        <v/>
      </c>
      <c r="I6384" s="1" t="str">
        <f>IF(Table2[[#This Row],[Description]]="","",IF(Table2[[#This Row],[Currency]]=$O$2,$P$2,HLOOKUP(Table2[[#This Row],[Date]],Funds!$C$10:$GV$11,2,FALSE)))</f>
        <v/>
      </c>
      <c r="J6384" s="215" t="str">
        <f>IF(Table2[[#This Row],[Description]]="","",Table2[[#This Row],[Value]]/Table2[[#This Row],[Conversion]])</f>
        <v/>
      </c>
      <c r="K6384" s="45" t="str">
        <f>IF(Table2[[#This Row],[Description]]="","",DATE(Table2[[#This Row],[Year]],Table2[[#This Row],[Month]],1))</f>
        <v/>
      </c>
    </row>
    <row r="6385" spans="7:11" x14ac:dyDescent="0.25">
      <c r="G6385" s="1" t="str">
        <f>IF(Table2[[#This Row],[Description]]="","",VLOOKUP(Table2[[#This Row],[Description]],$Q$1:$S$101,2,FALSE))</f>
        <v/>
      </c>
      <c r="H6385" s="1" t="str">
        <f>IF(Table2[[#This Row],[Description]]="","",VLOOKUP(Table2[[#This Row],[Description]],$Q$1:$S$101,3,FALSE))</f>
        <v/>
      </c>
      <c r="I6385" s="1" t="str">
        <f>IF(Table2[[#This Row],[Description]]="","",IF(Table2[[#This Row],[Currency]]=$O$2,$P$2,HLOOKUP(Table2[[#This Row],[Date]],Funds!$C$10:$GV$11,2,FALSE)))</f>
        <v/>
      </c>
      <c r="J6385" s="215" t="str">
        <f>IF(Table2[[#This Row],[Description]]="","",Table2[[#This Row],[Value]]/Table2[[#This Row],[Conversion]])</f>
        <v/>
      </c>
      <c r="K6385" s="45" t="str">
        <f>IF(Table2[[#This Row],[Description]]="","",DATE(Table2[[#This Row],[Year]],Table2[[#This Row],[Month]],1))</f>
        <v/>
      </c>
    </row>
    <row r="6386" spans="7:11" x14ac:dyDescent="0.25">
      <c r="G6386" s="1" t="str">
        <f>IF(Table2[[#This Row],[Description]]="","",VLOOKUP(Table2[[#This Row],[Description]],$Q$1:$S$101,2,FALSE))</f>
        <v/>
      </c>
      <c r="H6386" s="1" t="str">
        <f>IF(Table2[[#This Row],[Description]]="","",VLOOKUP(Table2[[#This Row],[Description]],$Q$1:$S$101,3,FALSE))</f>
        <v/>
      </c>
      <c r="I6386" s="1" t="str">
        <f>IF(Table2[[#This Row],[Description]]="","",IF(Table2[[#This Row],[Currency]]=$O$2,$P$2,HLOOKUP(Table2[[#This Row],[Date]],Funds!$C$10:$GV$11,2,FALSE)))</f>
        <v/>
      </c>
      <c r="J6386" s="215" t="str">
        <f>IF(Table2[[#This Row],[Description]]="","",Table2[[#This Row],[Value]]/Table2[[#This Row],[Conversion]])</f>
        <v/>
      </c>
      <c r="K6386" s="45" t="str">
        <f>IF(Table2[[#This Row],[Description]]="","",DATE(Table2[[#This Row],[Year]],Table2[[#This Row],[Month]],1))</f>
        <v/>
      </c>
    </row>
    <row r="6387" spans="7:11" x14ac:dyDescent="0.25">
      <c r="G6387" s="1" t="str">
        <f>IF(Table2[[#This Row],[Description]]="","",VLOOKUP(Table2[[#This Row],[Description]],$Q$1:$S$101,2,FALSE))</f>
        <v/>
      </c>
      <c r="H6387" s="1" t="str">
        <f>IF(Table2[[#This Row],[Description]]="","",VLOOKUP(Table2[[#This Row],[Description]],$Q$1:$S$101,3,FALSE))</f>
        <v/>
      </c>
      <c r="I6387" s="1" t="str">
        <f>IF(Table2[[#This Row],[Description]]="","",IF(Table2[[#This Row],[Currency]]=$O$2,$P$2,HLOOKUP(Table2[[#This Row],[Date]],Funds!$C$10:$GV$11,2,FALSE)))</f>
        <v/>
      </c>
      <c r="J6387" s="215" t="str">
        <f>IF(Table2[[#This Row],[Description]]="","",Table2[[#This Row],[Value]]/Table2[[#This Row],[Conversion]])</f>
        <v/>
      </c>
      <c r="K6387" s="45" t="str">
        <f>IF(Table2[[#This Row],[Description]]="","",DATE(Table2[[#This Row],[Year]],Table2[[#This Row],[Month]],1))</f>
        <v/>
      </c>
    </row>
    <row r="6388" spans="7:11" x14ac:dyDescent="0.25">
      <c r="G6388" s="1" t="str">
        <f>IF(Table2[[#This Row],[Description]]="","",VLOOKUP(Table2[[#This Row],[Description]],$Q$1:$S$101,2,FALSE))</f>
        <v/>
      </c>
      <c r="H6388" s="1" t="str">
        <f>IF(Table2[[#This Row],[Description]]="","",VLOOKUP(Table2[[#This Row],[Description]],$Q$1:$S$101,3,FALSE))</f>
        <v/>
      </c>
      <c r="I6388" s="1" t="str">
        <f>IF(Table2[[#This Row],[Description]]="","",IF(Table2[[#This Row],[Currency]]=$O$2,$P$2,HLOOKUP(Table2[[#This Row],[Date]],Funds!$C$10:$GV$11,2,FALSE)))</f>
        <v/>
      </c>
      <c r="J6388" s="215" t="str">
        <f>IF(Table2[[#This Row],[Description]]="","",Table2[[#This Row],[Value]]/Table2[[#This Row],[Conversion]])</f>
        <v/>
      </c>
      <c r="K6388" s="45" t="str">
        <f>IF(Table2[[#This Row],[Description]]="","",DATE(Table2[[#This Row],[Year]],Table2[[#This Row],[Month]],1))</f>
        <v/>
      </c>
    </row>
    <row r="6389" spans="7:11" x14ac:dyDescent="0.25">
      <c r="G6389" s="1" t="str">
        <f>IF(Table2[[#This Row],[Description]]="","",VLOOKUP(Table2[[#This Row],[Description]],$Q$1:$S$101,2,FALSE))</f>
        <v/>
      </c>
      <c r="H6389" s="1" t="str">
        <f>IF(Table2[[#This Row],[Description]]="","",VLOOKUP(Table2[[#This Row],[Description]],$Q$1:$S$101,3,FALSE))</f>
        <v/>
      </c>
      <c r="I6389" s="1" t="str">
        <f>IF(Table2[[#This Row],[Description]]="","",IF(Table2[[#This Row],[Currency]]=$O$2,$P$2,HLOOKUP(Table2[[#This Row],[Date]],Funds!$C$10:$GV$11,2,FALSE)))</f>
        <v/>
      </c>
      <c r="J6389" s="215" t="str">
        <f>IF(Table2[[#This Row],[Description]]="","",Table2[[#This Row],[Value]]/Table2[[#This Row],[Conversion]])</f>
        <v/>
      </c>
      <c r="K6389" s="45" t="str">
        <f>IF(Table2[[#This Row],[Description]]="","",DATE(Table2[[#This Row],[Year]],Table2[[#This Row],[Month]],1))</f>
        <v/>
      </c>
    </row>
    <row r="6390" spans="7:11" x14ac:dyDescent="0.25">
      <c r="G6390" s="1" t="str">
        <f>IF(Table2[[#This Row],[Description]]="","",VLOOKUP(Table2[[#This Row],[Description]],$Q$1:$S$101,2,FALSE))</f>
        <v/>
      </c>
      <c r="H6390" s="1" t="str">
        <f>IF(Table2[[#This Row],[Description]]="","",VLOOKUP(Table2[[#This Row],[Description]],$Q$1:$S$101,3,FALSE))</f>
        <v/>
      </c>
      <c r="I6390" s="1" t="str">
        <f>IF(Table2[[#This Row],[Description]]="","",IF(Table2[[#This Row],[Currency]]=$O$2,$P$2,HLOOKUP(Table2[[#This Row],[Date]],Funds!$C$10:$GV$11,2,FALSE)))</f>
        <v/>
      </c>
      <c r="J6390" s="215" t="str">
        <f>IF(Table2[[#This Row],[Description]]="","",Table2[[#This Row],[Value]]/Table2[[#This Row],[Conversion]])</f>
        <v/>
      </c>
      <c r="K6390" s="45" t="str">
        <f>IF(Table2[[#This Row],[Description]]="","",DATE(Table2[[#This Row],[Year]],Table2[[#This Row],[Month]],1))</f>
        <v/>
      </c>
    </row>
    <row r="6391" spans="7:11" x14ac:dyDescent="0.25">
      <c r="G6391" s="1" t="str">
        <f>IF(Table2[[#This Row],[Description]]="","",VLOOKUP(Table2[[#This Row],[Description]],$Q$1:$S$101,2,FALSE))</f>
        <v/>
      </c>
      <c r="H6391" s="1" t="str">
        <f>IF(Table2[[#This Row],[Description]]="","",VLOOKUP(Table2[[#This Row],[Description]],$Q$1:$S$101,3,FALSE))</f>
        <v/>
      </c>
      <c r="I6391" s="1" t="str">
        <f>IF(Table2[[#This Row],[Description]]="","",IF(Table2[[#This Row],[Currency]]=$O$2,$P$2,HLOOKUP(Table2[[#This Row],[Date]],Funds!$C$10:$GV$11,2,FALSE)))</f>
        <v/>
      </c>
      <c r="J6391" s="215" t="str">
        <f>IF(Table2[[#This Row],[Description]]="","",Table2[[#This Row],[Value]]/Table2[[#This Row],[Conversion]])</f>
        <v/>
      </c>
      <c r="K6391" s="45" t="str">
        <f>IF(Table2[[#This Row],[Description]]="","",DATE(Table2[[#This Row],[Year]],Table2[[#This Row],[Month]],1))</f>
        <v/>
      </c>
    </row>
    <row r="6392" spans="7:11" x14ac:dyDescent="0.25">
      <c r="G6392" s="1" t="str">
        <f>IF(Table2[[#This Row],[Description]]="","",VLOOKUP(Table2[[#This Row],[Description]],$Q$1:$S$101,2,FALSE))</f>
        <v/>
      </c>
      <c r="H6392" s="1" t="str">
        <f>IF(Table2[[#This Row],[Description]]="","",VLOOKUP(Table2[[#This Row],[Description]],$Q$1:$S$101,3,FALSE))</f>
        <v/>
      </c>
      <c r="I6392" s="1" t="str">
        <f>IF(Table2[[#This Row],[Description]]="","",IF(Table2[[#This Row],[Currency]]=$O$2,$P$2,HLOOKUP(Table2[[#This Row],[Date]],Funds!$C$10:$GV$11,2,FALSE)))</f>
        <v/>
      </c>
      <c r="J6392" s="215" t="str">
        <f>IF(Table2[[#This Row],[Description]]="","",Table2[[#This Row],[Value]]/Table2[[#This Row],[Conversion]])</f>
        <v/>
      </c>
      <c r="K6392" s="45" t="str">
        <f>IF(Table2[[#This Row],[Description]]="","",DATE(Table2[[#This Row],[Year]],Table2[[#This Row],[Month]],1))</f>
        <v/>
      </c>
    </row>
    <row r="6393" spans="7:11" x14ac:dyDescent="0.25">
      <c r="G6393" s="1" t="str">
        <f>IF(Table2[[#This Row],[Description]]="","",VLOOKUP(Table2[[#This Row],[Description]],$Q$1:$S$101,2,FALSE))</f>
        <v/>
      </c>
      <c r="H6393" s="1" t="str">
        <f>IF(Table2[[#This Row],[Description]]="","",VLOOKUP(Table2[[#This Row],[Description]],$Q$1:$S$101,3,FALSE))</f>
        <v/>
      </c>
      <c r="I6393" s="1" t="str">
        <f>IF(Table2[[#This Row],[Description]]="","",IF(Table2[[#This Row],[Currency]]=$O$2,$P$2,HLOOKUP(Table2[[#This Row],[Date]],Funds!$C$10:$GV$11,2,FALSE)))</f>
        <v/>
      </c>
      <c r="J6393" s="215" t="str">
        <f>IF(Table2[[#This Row],[Description]]="","",Table2[[#This Row],[Value]]/Table2[[#This Row],[Conversion]])</f>
        <v/>
      </c>
      <c r="K6393" s="45" t="str">
        <f>IF(Table2[[#This Row],[Description]]="","",DATE(Table2[[#This Row],[Year]],Table2[[#This Row],[Month]],1))</f>
        <v/>
      </c>
    </row>
    <row r="6394" spans="7:11" x14ac:dyDescent="0.25">
      <c r="G6394" s="1" t="str">
        <f>IF(Table2[[#This Row],[Description]]="","",VLOOKUP(Table2[[#This Row],[Description]],$Q$1:$S$101,2,FALSE))</f>
        <v/>
      </c>
      <c r="H6394" s="1" t="str">
        <f>IF(Table2[[#This Row],[Description]]="","",VLOOKUP(Table2[[#This Row],[Description]],$Q$1:$S$101,3,FALSE))</f>
        <v/>
      </c>
      <c r="I6394" s="1" t="str">
        <f>IF(Table2[[#This Row],[Description]]="","",IF(Table2[[#This Row],[Currency]]=$O$2,$P$2,HLOOKUP(Table2[[#This Row],[Date]],Funds!$C$10:$GV$11,2,FALSE)))</f>
        <v/>
      </c>
      <c r="J6394" s="215" t="str">
        <f>IF(Table2[[#This Row],[Description]]="","",Table2[[#This Row],[Value]]/Table2[[#This Row],[Conversion]])</f>
        <v/>
      </c>
      <c r="K6394" s="45" t="str">
        <f>IF(Table2[[#This Row],[Description]]="","",DATE(Table2[[#This Row],[Year]],Table2[[#This Row],[Month]],1))</f>
        <v/>
      </c>
    </row>
    <row r="6395" spans="7:11" x14ac:dyDescent="0.25">
      <c r="G6395" s="1" t="str">
        <f>IF(Table2[[#This Row],[Description]]="","",VLOOKUP(Table2[[#This Row],[Description]],$Q$1:$S$101,2,FALSE))</f>
        <v/>
      </c>
      <c r="H6395" s="1" t="str">
        <f>IF(Table2[[#This Row],[Description]]="","",VLOOKUP(Table2[[#This Row],[Description]],$Q$1:$S$101,3,FALSE))</f>
        <v/>
      </c>
      <c r="I6395" s="1" t="str">
        <f>IF(Table2[[#This Row],[Description]]="","",IF(Table2[[#This Row],[Currency]]=$O$2,$P$2,HLOOKUP(Table2[[#This Row],[Date]],Funds!$C$10:$GV$11,2,FALSE)))</f>
        <v/>
      </c>
      <c r="J6395" s="215" t="str">
        <f>IF(Table2[[#This Row],[Description]]="","",Table2[[#This Row],[Value]]/Table2[[#This Row],[Conversion]])</f>
        <v/>
      </c>
      <c r="K6395" s="45" t="str">
        <f>IF(Table2[[#This Row],[Description]]="","",DATE(Table2[[#This Row],[Year]],Table2[[#This Row],[Month]],1))</f>
        <v/>
      </c>
    </row>
    <row r="6396" spans="7:11" x14ac:dyDescent="0.25">
      <c r="G6396" s="1" t="str">
        <f>IF(Table2[[#This Row],[Description]]="","",VLOOKUP(Table2[[#This Row],[Description]],$Q$1:$S$101,2,FALSE))</f>
        <v/>
      </c>
      <c r="H6396" s="1" t="str">
        <f>IF(Table2[[#This Row],[Description]]="","",VLOOKUP(Table2[[#This Row],[Description]],$Q$1:$S$101,3,FALSE))</f>
        <v/>
      </c>
      <c r="I6396" s="1" t="str">
        <f>IF(Table2[[#This Row],[Description]]="","",IF(Table2[[#This Row],[Currency]]=$O$2,$P$2,HLOOKUP(Table2[[#This Row],[Date]],Funds!$C$10:$GV$11,2,FALSE)))</f>
        <v/>
      </c>
      <c r="J6396" s="215" t="str">
        <f>IF(Table2[[#This Row],[Description]]="","",Table2[[#This Row],[Value]]/Table2[[#This Row],[Conversion]])</f>
        <v/>
      </c>
      <c r="K6396" s="45" t="str">
        <f>IF(Table2[[#This Row],[Description]]="","",DATE(Table2[[#This Row],[Year]],Table2[[#This Row],[Month]],1))</f>
        <v/>
      </c>
    </row>
    <row r="6397" spans="7:11" x14ac:dyDescent="0.25">
      <c r="G6397" s="1" t="str">
        <f>IF(Table2[[#This Row],[Description]]="","",VLOOKUP(Table2[[#This Row],[Description]],$Q$1:$S$101,2,FALSE))</f>
        <v/>
      </c>
      <c r="H6397" s="1" t="str">
        <f>IF(Table2[[#This Row],[Description]]="","",VLOOKUP(Table2[[#This Row],[Description]],$Q$1:$S$101,3,FALSE))</f>
        <v/>
      </c>
      <c r="I6397" s="1" t="str">
        <f>IF(Table2[[#This Row],[Description]]="","",IF(Table2[[#This Row],[Currency]]=$O$2,$P$2,HLOOKUP(Table2[[#This Row],[Date]],Funds!$C$10:$GV$11,2,FALSE)))</f>
        <v/>
      </c>
      <c r="J6397" s="215" t="str">
        <f>IF(Table2[[#This Row],[Description]]="","",Table2[[#This Row],[Value]]/Table2[[#This Row],[Conversion]])</f>
        <v/>
      </c>
      <c r="K6397" s="45" t="str">
        <f>IF(Table2[[#This Row],[Description]]="","",DATE(Table2[[#This Row],[Year]],Table2[[#This Row],[Month]],1))</f>
        <v/>
      </c>
    </row>
    <row r="6398" spans="7:11" x14ac:dyDescent="0.25">
      <c r="G6398" s="1" t="str">
        <f>IF(Table2[[#This Row],[Description]]="","",VLOOKUP(Table2[[#This Row],[Description]],$Q$1:$S$101,2,FALSE))</f>
        <v/>
      </c>
      <c r="H6398" s="1" t="str">
        <f>IF(Table2[[#This Row],[Description]]="","",VLOOKUP(Table2[[#This Row],[Description]],$Q$1:$S$101,3,FALSE))</f>
        <v/>
      </c>
      <c r="I6398" s="1" t="str">
        <f>IF(Table2[[#This Row],[Description]]="","",IF(Table2[[#This Row],[Currency]]=$O$2,$P$2,HLOOKUP(Table2[[#This Row],[Date]],Funds!$C$10:$GV$11,2,FALSE)))</f>
        <v/>
      </c>
      <c r="J6398" s="215" t="str">
        <f>IF(Table2[[#This Row],[Description]]="","",Table2[[#This Row],[Value]]/Table2[[#This Row],[Conversion]])</f>
        <v/>
      </c>
      <c r="K6398" s="45" t="str">
        <f>IF(Table2[[#This Row],[Description]]="","",DATE(Table2[[#This Row],[Year]],Table2[[#This Row],[Month]],1))</f>
        <v/>
      </c>
    </row>
    <row r="6399" spans="7:11" x14ac:dyDescent="0.25">
      <c r="G6399" s="1" t="str">
        <f>IF(Table2[[#This Row],[Description]]="","",VLOOKUP(Table2[[#This Row],[Description]],$Q$1:$S$101,2,FALSE))</f>
        <v/>
      </c>
      <c r="H6399" s="1" t="str">
        <f>IF(Table2[[#This Row],[Description]]="","",VLOOKUP(Table2[[#This Row],[Description]],$Q$1:$S$101,3,FALSE))</f>
        <v/>
      </c>
      <c r="I6399" s="1" t="str">
        <f>IF(Table2[[#This Row],[Description]]="","",IF(Table2[[#This Row],[Currency]]=$O$2,$P$2,HLOOKUP(Table2[[#This Row],[Date]],Funds!$C$10:$GV$11,2,FALSE)))</f>
        <v/>
      </c>
      <c r="J6399" s="215" t="str">
        <f>IF(Table2[[#This Row],[Description]]="","",Table2[[#This Row],[Value]]/Table2[[#This Row],[Conversion]])</f>
        <v/>
      </c>
      <c r="K6399" s="45" t="str">
        <f>IF(Table2[[#This Row],[Description]]="","",DATE(Table2[[#This Row],[Year]],Table2[[#This Row],[Month]],1))</f>
        <v/>
      </c>
    </row>
    <row r="6400" spans="7:11" x14ac:dyDescent="0.25">
      <c r="G6400" s="1" t="str">
        <f>IF(Table2[[#This Row],[Description]]="","",VLOOKUP(Table2[[#This Row],[Description]],$Q$1:$S$101,2,FALSE))</f>
        <v/>
      </c>
      <c r="H6400" s="1" t="str">
        <f>IF(Table2[[#This Row],[Description]]="","",VLOOKUP(Table2[[#This Row],[Description]],$Q$1:$S$101,3,FALSE))</f>
        <v/>
      </c>
      <c r="I6400" s="1" t="str">
        <f>IF(Table2[[#This Row],[Description]]="","",IF(Table2[[#This Row],[Currency]]=$O$2,$P$2,HLOOKUP(Table2[[#This Row],[Date]],Funds!$C$10:$GV$11,2,FALSE)))</f>
        <v/>
      </c>
      <c r="J6400" s="215" t="str">
        <f>IF(Table2[[#This Row],[Description]]="","",Table2[[#This Row],[Value]]/Table2[[#This Row],[Conversion]])</f>
        <v/>
      </c>
      <c r="K6400" s="45" t="str">
        <f>IF(Table2[[#This Row],[Description]]="","",DATE(Table2[[#This Row],[Year]],Table2[[#This Row],[Month]],1))</f>
        <v/>
      </c>
    </row>
    <row r="6401" spans="7:11" x14ac:dyDescent="0.25">
      <c r="G6401" s="1" t="str">
        <f>IF(Table2[[#This Row],[Description]]="","",VLOOKUP(Table2[[#This Row],[Description]],$Q$1:$S$101,2,FALSE))</f>
        <v/>
      </c>
      <c r="H6401" s="1" t="str">
        <f>IF(Table2[[#This Row],[Description]]="","",VLOOKUP(Table2[[#This Row],[Description]],$Q$1:$S$101,3,FALSE))</f>
        <v/>
      </c>
      <c r="I6401" s="1" t="str">
        <f>IF(Table2[[#This Row],[Description]]="","",IF(Table2[[#This Row],[Currency]]=$O$2,$P$2,HLOOKUP(Table2[[#This Row],[Date]],Funds!$C$10:$GV$11,2,FALSE)))</f>
        <v/>
      </c>
      <c r="J6401" s="215" t="str">
        <f>IF(Table2[[#This Row],[Description]]="","",Table2[[#This Row],[Value]]/Table2[[#This Row],[Conversion]])</f>
        <v/>
      </c>
      <c r="K6401" s="45" t="str">
        <f>IF(Table2[[#This Row],[Description]]="","",DATE(Table2[[#This Row],[Year]],Table2[[#This Row],[Month]],1))</f>
        <v/>
      </c>
    </row>
    <row r="6402" spans="7:11" x14ac:dyDescent="0.25">
      <c r="G6402" s="1" t="str">
        <f>IF(Table2[[#This Row],[Description]]="","",VLOOKUP(Table2[[#This Row],[Description]],$Q$1:$S$101,2,FALSE))</f>
        <v/>
      </c>
      <c r="H6402" s="1" t="str">
        <f>IF(Table2[[#This Row],[Description]]="","",VLOOKUP(Table2[[#This Row],[Description]],$Q$1:$S$101,3,FALSE))</f>
        <v/>
      </c>
      <c r="I6402" s="1" t="str">
        <f>IF(Table2[[#This Row],[Description]]="","",IF(Table2[[#This Row],[Currency]]=$O$2,$P$2,HLOOKUP(Table2[[#This Row],[Date]],Funds!$C$10:$GV$11,2,FALSE)))</f>
        <v/>
      </c>
      <c r="J6402" s="215" t="str">
        <f>IF(Table2[[#This Row],[Description]]="","",Table2[[#This Row],[Value]]/Table2[[#This Row],[Conversion]])</f>
        <v/>
      </c>
      <c r="K6402" s="45" t="str">
        <f>IF(Table2[[#This Row],[Description]]="","",DATE(Table2[[#This Row],[Year]],Table2[[#This Row],[Month]],1))</f>
        <v/>
      </c>
    </row>
    <row r="6403" spans="7:11" x14ac:dyDescent="0.25">
      <c r="G6403" s="1" t="str">
        <f>IF(Table2[[#This Row],[Description]]="","",VLOOKUP(Table2[[#This Row],[Description]],$Q$1:$S$101,2,FALSE))</f>
        <v/>
      </c>
      <c r="H6403" s="1" t="str">
        <f>IF(Table2[[#This Row],[Description]]="","",VLOOKUP(Table2[[#This Row],[Description]],$Q$1:$S$101,3,FALSE))</f>
        <v/>
      </c>
      <c r="I6403" s="1" t="str">
        <f>IF(Table2[[#This Row],[Description]]="","",IF(Table2[[#This Row],[Currency]]=$O$2,$P$2,HLOOKUP(Table2[[#This Row],[Date]],Funds!$C$10:$GV$11,2,FALSE)))</f>
        <v/>
      </c>
      <c r="J6403" s="215" t="str">
        <f>IF(Table2[[#This Row],[Description]]="","",Table2[[#This Row],[Value]]/Table2[[#This Row],[Conversion]])</f>
        <v/>
      </c>
      <c r="K6403" s="45" t="str">
        <f>IF(Table2[[#This Row],[Description]]="","",DATE(Table2[[#This Row],[Year]],Table2[[#This Row],[Month]],1))</f>
        <v/>
      </c>
    </row>
    <row r="6404" spans="7:11" x14ac:dyDescent="0.25">
      <c r="G6404" s="1" t="str">
        <f>IF(Table2[[#This Row],[Description]]="","",VLOOKUP(Table2[[#This Row],[Description]],$Q$1:$S$101,2,FALSE))</f>
        <v/>
      </c>
      <c r="H6404" s="1" t="str">
        <f>IF(Table2[[#This Row],[Description]]="","",VLOOKUP(Table2[[#This Row],[Description]],$Q$1:$S$101,3,FALSE))</f>
        <v/>
      </c>
      <c r="I6404" s="1" t="str">
        <f>IF(Table2[[#This Row],[Description]]="","",IF(Table2[[#This Row],[Currency]]=$O$2,$P$2,HLOOKUP(Table2[[#This Row],[Date]],Funds!$C$10:$GV$11,2,FALSE)))</f>
        <v/>
      </c>
      <c r="J6404" s="215" t="str">
        <f>IF(Table2[[#This Row],[Description]]="","",Table2[[#This Row],[Value]]/Table2[[#This Row],[Conversion]])</f>
        <v/>
      </c>
      <c r="K6404" s="45" t="str">
        <f>IF(Table2[[#This Row],[Description]]="","",DATE(Table2[[#This Row],[Year]],Table2[[#This Row],[Month]],1))</f>
        <v/>
      </c>
    </row>
    <row r="6405" spans="7:11" x14ac:dyDescent="0.25">
      <c r="G6405" s="1" t="str">
        <f>IF(Table2[[#This Row],[Description]]="","",VLOOKUP(Table2[[#This Row],[Description]],$Q$1:$S$101,2,FALSE))</f>
        <v/>
      </c>
      <c r="H6405" s="1" t="str">
        <f>IF(Table2[[#This Row],[Description]]="","",VLOOKUP(Table2[[#This Row],[Description]],$Q$1:$S$101,3,FALSE))</f>
        <v/>
      </c>
      <c r="I6405" s="1" t="str">
        <f>IF(Table2[[#This Row],[Description]]="","",IF(Table2[[#This Row],[Currency]]=$O$2,$P$2,HLOOKUP(Table2[[#This Row],[Date]],Funds!$C$10:$GV$11,2,FALSE)))</f>
        <v/>
      </c>
      <c r="J6405" s="215" t="str">
        <f>IF(Table2[[#This Row],[Description]]="","",Table2[[#This Row],[Value]]/Table2[[#This Row],[Conversion]])</f>
        <v/>
      </c>
      <c r="K6405" s="45" t="str">
        <f>IF(Table2[[#This Row],[Description]]="","",DATE(Table2[[#This Row],[Year]],Table2[[#This Row],[Month]],1))</f>
        <v/>
      </c>
    </row>
    <row r="6406" spans="7:11" x14ac:dyDescent="0.25">
      <c r="G6406" s="1" t="str">
        <f>IF(Table2[[#This Row],[Description]]="","",VLOOKUP(Table2[[#This Row],[Description]],$Q$1:$S$101,2,FALSE))</f>
        <v/>
      </c>
      <c r="H6406" s="1" t="str">
        <f>IF(Table2[[#This Row],[Description]]="","",VLOOKUP(Table2[[#This Row],[Description]],$Q$1:$S$101,3,FALSE))</f>
        <v/>
      </c>
      <c r="I6406" s="1" t="str">
        <f>IF(Table2[[#This Row],[Description]]="","",IF(Table2[[#This Row],[Currency]]=$O$2,$P$2,HLOOKUP(Table2[[#This Row],[Date]],Funds!$C$10:$GV$11,2,FALSE)))</f>
        <v/>
      </c>
      <c r="J6406" s="215" t="str">
        <f>IF(Table2[[#This Row],[Description]]="","",Table2[[#This Row],[Value]]/Table2[[#This Row],[Conversion]])</f>
        <v/>
      </c>
      <c r="K6406" s="45" t="str">
        <f>IF(Table2[[#This Row],[Description]]="","",DATE(Table2[[#This Row],[Year]],Table2[[#This Row],[Month]],1))</f>
        <v/>
      </c>
    </row>
    <row r="6407" spans="7:11" x14ac:dyDescent="0.25">
      <c r="G6407" s="1" t="str">
        <f>IF(Table2[[#This Row],[Description]]="","",VLOOKUP(Table2[[#This Row],[Description]],$Q$1:$S$101,2,FALSE))</f>
        <v/>
      </c>
      <c r="H6407" s="1" t="str">
        <f>IF(Table2[[#This Row],[Description]]="","",VLOOKUP(Table2[[#This Row],[Description]],$Q$1:$S$101,3,FALSE))</f>
        <v/>
      </c>
      <c r="I6407" s="1" t="str">
        <f>IF(Table2[[#This Row],[Description]]="","",IF(Table2[[#This Row],[Currency]]=$O$2,$P$2,HLOOKUP(Table2[[#This Row],[Date]],Funds!$C$10:$GV$11,2,FALSE)))</f>
        <v/>
      </c>
      <c r="J6407" s="215" t="str">
        <f>IF(Table2[[#This Row],[Description]]="","",Table2[[#This Row],[Value]]/Table2[[#This Row],[Conversion]])</f>
        <v/>
      </c>
      <c r="K6407" s="45" t="str">
        <f>IF(Table2[[#This Row],[Description]]="","",DATE(Table2[[#This Row],[Year]],Table2[[#This Row],[Month]],1))</f>
        <v/>
      </c>
    </row>
    <row r="6408" spans="7:11" x14ac:dyDescent="0.25">
      <c r="G6408" s="1" t="str">
        <f>IF(Table2[[#This Row],[Description]]="","",VLOOKUP(Table2[[#This Row],[Description]],$Q$1:$S$101,2,FALSE))</f>
        <v/>
      </c>
      <c r="H6408" s="1" t="str">
        <f>IF(Table2[[#This Row],[Description]]="","",VLOOKUP(Table2[[#This Row],[Description]],$Q$1:$S$101,3,FALSE))</f>
        <v/>
      </c>
      <c r="I6408" s="1" t="str">
        <f>IF(Table2[[#This Row],[Description]]="","",IF(Table2[[#This Row],[Currency]]=$O$2,$P$2,HLOOKUP(Table2[[#This Row],[Date]],Funds!$C$10:$GV$11,2,FALSE)))</f>
        <v/>
      </c>
      <c r="J6408" s="215" t="str">
        <f>IF(Table2[[#This Row],[Description]]="","",Table2[[#This Row],[Value]]/Table2[[#This Row],[Conversion]])</f>
        <v/>
      </c>
      <c r="K6408" s="45" t="str">
        <f>IF(Table2[[#This Row],[Description]]="","",DATE(Table2[[#This Row],[Year]],Table2[[#This Row],[Month]],1))</f>
        <v/>
      </c>
    </row>
    <row r="6409" spans="7:11" x14ac:dyDescent="0.25">
      <c r="G6409" s="1" t="str">
        <f>IF(Table2[[#This Row],[Description]]="","",VLOOKUP(Table2[[#This Row],[Description]],$Q$1:$S$101,2,FALSE))</f>
        <v/>
      </c>
      <c r="H6409" s="1" t="str">
        <f>IF(Table2[[#This Row],[Description]]="","",VLOOKUP(Table2[[#This Row],[Description]],$Q$1:$S$101,3,FALSE))</f>
        <v/>
      </c>
      <c r="I6409" s="1" t="str">
        <f>IF(Table2[[#This Row],[Description]]="","",IF(Table2[[#This Row],[Currency]]=$O$2,$P$2,HLOOKUP(Table2[[#This Row],[Date]],Funds!$C$10:$GV$11,2,FALSE)))</f>
        <v/>
      </c>
      <c r="J6409" s="215" t="str">
        <f>IF(Table2[[#This Row],[Description]]="","",Table2[[#This Row],[Value]]/Table2[[#This Row],[Conversion]])</f>
        <v/>
      </c>
      <c r="K6409" s="45" t="str">
        <f>IF(Table2[[#This Row],[Description]]="","",DATE(Table2[[#This Row],[Year]],Table2[[#This Row],[Month]],1))</f>
        <v/>
      </c>
    </row>
    <row r="6410" spans="7:11" x14ac:dyDescent="0.25">
      <c r="G6410" s="1" t="str">
        <f>IF(Table2[[#This Row],[Description]]="","",VLOOKUP(Table2[[#This Row],[Description]],$Q$1:$S$101,2,FALSE))</f>
        <v/>
      </c>
      <c r="H6410" s="1" t="str">
        <f>IF(Table2[[#This Row],[Description]]="","",VLOOKUP(Table2[[#This Row],[Description]],$Q$1:$S$101,3,FALSE))</f>
        <v/>
      </c>
      <c r="I6410" s="1" t="str">
        <f>IF(Table2[[#This Row],[Description]]="","",IF(Table2[[#This Row],[Currency]]=$O$2,$P$2,HLOOKUP(Table2[[#This Row],[Date]],Funds!$C$10:$GV$11,2,FALSE)))</f>
        <v/>
      </c>
      <c r="J6410" s="215" t="str">
        <f>IF(Table2[[#This Row],[Description]]="","",Table2[[#This Row],[Value]]/Table2[[#This Row],[Conversion]])</f>
        <v/>
      </c>
      <c r="K6410" s="45" t="str">
        <f>IF(Table2[[#This Row],[Description]]="","",DATE(Table2[[#This Row],[Year]],Table2[[#This Row],[Month]],1))</f>
        <v/>
      </c>
    </row>
    <row r="6411" spans="7:11" x14ac:dyDescent="0.25">
      <c r="G6411" s="1" t="str">
        <f>IF(Table2[[#This Row],[Description]]="","",VLOOKUP(Table2[[#This Row],[Description]],$Q$1:$S$101,2,FALSE))</f>
        <v/>
      </c>
      <c r="H6411" s="1" t="str">
        <f>IF(Table2[[#This Row],[Description]]="","",VLOOKUP(Table2[[#This Row],[Description]],$Q$1:$S$101,3,FALSE))</f>
        <v/>
      </c>
      <c r="I6411" s="1" t="str">
        <f>IF(Table2[[#This Row],[Description]]="","",IF(Table2[[#This Row],[Currency]]=$O$2,$P$2,HLOOKUP(Table2[[#This Row],[Date]],Funds!$C$10:$GV$11,2,FALSE)))</f>
        <v/>
      </c>
      <c r="J6411" s="215" t="str">
        <f>IF(Table2[[#This Row],[Description]]="","",Table2[[#This Row],[Value]]/Table2[[#This Row],[Conversion]])</f>
        <v/>
      </c>
      <c r="K6411" s="45" t="str">
        <f>IF(Table2[[#This Row],[Description]]="","",DATE(Table2[[#This Row],[Year]],Table2[[#This Row],[Month]],1))</f>
        <v/>
      </c>
    </row>
    <row r="6412" spans="7:11" x14ac:dyDescent="0.25">
      <c r="G6412" s="1" t="str">
        <f>IF(Table2[[#This Row],[Description]]="","",VLOOKUP(Table2[[#This Row],[Description]],$Q$1:$S$101,2,FALSE))</f>
        <v/>
      </c>
      <c r="H6412" s="1" t="str">
        <f>IF(Table2[[#This Row],[Description]]="","",VLOOKUP(Table2[[#This Row],[Description]],$Q$1:$S$101,3,FALSE))</f>
        <v/>
      </c>
      <c r="I6412" s="1" t="str">
        <f>IF(Table2[[#This Row],[Description]]="","",IF(Table2[[#This Row],[Currency]]=$O$2,$P$2,HLOOKUP(Table2[[#This Row],[Date]],Funds!$C$10:$GV$11,2,FALSE)))</f>
        <v/>
      </c>
      <c r="J6412" s="215" t="str">
        <f>IF(Table2[[#This Row],[Description]]="","",Table2[[#This Row],[Value]]/Table2[[#This Row],[Conversion]])</f>
        <v/>
      </c>
      <c r="K6412" s="45" t="str">
        <f>IF(Table2[[#This Row],[Description]]="","",DATE(Table2[[#This Row],[Year]],Table2[[#This Row],[Month]],1))</f>
        <v/>
      </c>
    </row>
    <row r="6413" spans="7:11" x14ac:dyDescent="0.25">
      <c r="G6413" s="1" t="str">
        <f>IF(Table2[[#This Row],[Description]]="","",VLOOKUP(Table2[[#This Row],[Description]],$Q$1:$S$101,2,FALSE))</f>
        <v/>
      </c>
      <c r="H6413" s="1" t="str">
        <f>IF(Table2[[#This Row],[Description]]="","",VLOOKUP(Table2[[#This Row],[Description]],$Q$1:$S$101,3,FALSE))</f>
        <v/>
      </c>
      <c r="I6413" s="1" t="str">
        <f>IF(Table2[[#This Row],[Description]]="","",IF(Table2[[#This Row],[Currency]]=$O$2,$P$2,HLOOKUP(Table2[[#This Row],[Date]],Funds!$C$10:$GV$11,2,FALSE)))</f>
        <v/>
      </c>
      <c r="J6413" s="215" t="str">
        <f>IF(Table2[[#This Row],[Description]]="","",Table2[[#This Row],[Value]]/Table2[[#This Row],[Conversion]])</f>
        <v/>
      </c>
      <c r="K6413" s="45" t="str">
        <f>IF(Table2[[#This Row],[Description]]="","",DATE(Table2[[#This Row],[Year]],Table2[[#This Row],[Month]],1))</f>
        <v/>
      </c>
    </row>
    <row r="6414" spans="7:11" x14ac:dyDescent="0.25">
      <c r="G6414" s="1" t="str">
        <f>IF(Table2[[#This Row],[Description]]="","",VLOOKUP(Table2[[#This Row],[Description]],$Q$1:$S$101,2,FALSE))</f>
        <v/>
      </c>
      <c r="H6414" s="1" t="str">
        <f>IF(Table2[[#This Row],[Description]]="","",VLOOKUP(Table2[[#This Row],[Description]],$Q$1:$S$101,3,FALSE))</f>
        <v/>
      </c>
      <c r="I6414" s="1" t="str">
        <f>IF(Table2[[#This Row],[Description]]="","",IF(Table2[[#This Row],[Currency]]=$O$2,$P$2,HLOOKUP(Table2[[#This Row],[Date]],Funds!$C$10:$GV$11,2,FALSE)))</f>
        <v/>
      </c>
      <c r="J6414" s="215" t="str">
        <f>IF(Table2[[#This Row],[Description]]="","",Table2[[#This Row],[Value]]/Table2[[#This Row],[Conversion]])</f>
        <v/>
      </c>
      <c r="K6414" s="45" t="str">
        <f>IF(Table2[[#This Row],[Description]]="","",DATE(Table2[[#This Row],[Year]],Table2[[#This Row],[Month]],1))</f>
        <v/>
      </c>
    </row>
    <row r="6415" spans="7:11" x14ac:dyDescent="0.25">
      <c r="G6415" s="1" t="str">
        <f>IF(Table2[[#This Row],[Description]]="","",VLOOKUP(Table2[[#This Row],[Description]],$Q$1:$S$101,2,FALSE))</f>
        <v/>
      </c>
      <c r="H6415" s="1" t="str">
        <f>IF(Table2[[#This Row],[Description]]="","",VLOOKUP(Table2[[#This Row],[Description]],$Q$1:$S$101,3,FALSE))</f>
        <v/>
      </c>
      <c r="I6415" s="1" t="str">
        <f>IF(Table2[[#This Row],[Description]]="","",IF(Table2[[#This Row],[Currency]]=$O$2,$P$2,HLOOKUP(Table2[[#This Row],[Date]],Funds!$C$10:$GV$11,2,FALSE)))</f>
        <v/>
      </c>
      <c r="J6415" s="215" t="str">
        <f>IF(Table2[[#This Row],[Description]]="","",Table2[[#This Row],[Value]]/Table2[[#This Row],[Conversion]])</f>
        <v/>
      </c>
      <c r="K6415" s="45" t="str">
        <f>IF(Table2[[#This Row],[Description]]="","",DATE(Table2[[#This Row],[Year]],Table2[[#This Row],[Month]],1))</f>
        <v/>
      </c>
    </row>
    <row r="6416" spans="7:11" x14ac:dyDescent="0.25">
      <c r="G6416" s="1" t="str">
        <f>IF(Table2[[#This Row],[Description]]="","",VLOOKUP(Table2[[#This Row],[Description]],$Q$1:$S$101,2,FALSE))</f>
        <v/>
      </c>
      <c r="H6416" s="1" t="str">
        <f>IF(Table2[[#This Row],[Description]]="","",VLOOKUP(Table2[[#This Row],[Description]],$Q$1:$S$101,3,FALSE))</f>
        <v/>
      </c>
      <c r="I6416" s="1" t="str">
        <f>IF(Table2[[#This Row],[Description]]="","",IF(Table2[[#This Row],[Currency]]=$O$2,$P$2,HLOOKUP(Table2[[#This Row],[Date]],Funds!$C$10:$GV$11,2,FALSE)))</f>
        <v/>
      </c>
      <c r="J6416" s="215" t="str">
        <f>IF(Table2[[#This Row],[Description]]="","",Table2[[#This Row],[Value]]/Table2[[#This Row],[Conversion]])</f>
        <v/>
      </c>
      <c r="K6416" s="45" t="str">
        <f>IF(Table2[[#This Row],[Description]]="","",DATE(Table2[[#This Row],[Year]],Table2[[#This Row],[Month]],1))</f>
        <v/>
      </c>
    </row>
    <row r="6417" spans="7:11" x14ac:dyDescent="0.25">
      <c r="G6417" s="1" t="str">
        <f>IF(Table2[[#This Row],[Description]]="","",VLOOKUP(Table2[[#This Row],[Description]],$Q$1:$S$101,2,FALSE))</f>
        <v/>
      </c>
      <c r="H6417" s="1" t="str">
        <f>IF(Table2[[#This Row],[Description]]="","",VLOOKUP(Table2[[#This Row],[Description]],$Q$1:$S$101,3,FALSE))</f>
        <v/>
      </c>
      <c r="I6417" s="1" t="str">
        <f>IF(Table2[[#This Row],[Description]]="","",IF(Table2[[#This Row],[Currency]]=$O$2,$P$2,HLOOKUP(Table2[[#This Row],[Date]],Funds!$C$10:$GV$11,2,FALSE)))</f>
        <v/>
      </c>
      <c r="J6417" s="215" t="str">
        <f>IF(Table2[[#This Row],[Description]]="","",Table2[[#This Row],[Value]]/Table2[[#This Row],[Conversion]])</f>
        <v/>
      </c>
      <c r="K6417" s="45" t="str">
        <f>IF(Table2[[#This Row],[Description]]="","",DATE(Table2[[#This Row],[Year]],Table2[[#This Row],[Month]],1))</f>
        <v/>
      </c>
    </row>
    <row r="6418" spans="7:11" x14ac:dyDescent="0.25">
      <c r="G6418" s="1" t="str">
        <f>IF(Table2[[#This Row],[Description]]="","",VLOOKUP(Table2[[#This Row],[Description]],$Q$1:$S$101,2,FALSE))</f>
        <v/>
      </c>
      <c r="H6418" s="1" t="str">
        <f>IF(Table2[[#This Row],[Description]]="","",VLOOKUP(Table2[[#This Row],[Description]],$Q$1:$S$101,3,FALSE))</f>
        <v/>
      </c>
      <c r="I6418" s="1" t="str">
        <f>IF(Table2[[#This Row],[Description]]="","",IF(Table2[[#This Row],[Currency]]=$O$2,$P$2,HLOOKUP(Table2[[#This Row],[Date]],Funds!$C$10:$GV$11,2,FALSE)))</f>
        <v/>
      </c>
      <c r="J6418" s="215" t="str">
        <f>IF(Table2[[#This Row],[Description]]="","",Table2[[#This Row],[Value]]/Table2[[#This Row],[Conversion]])</f>
        <v/>
      </c>
      <c r="K6418" s="45" t="str">
        <f>IF(Table2[[#This Row],[Description]]="","",DATE(Table2[[#This Row],[Year]],Table2[[#This Row],[Month]],1))</f>
        <v/>
      </c>
    </row>
    <row r="6419" spans="7:11" x14ac:dyDescent="0.25">
      <c r="G6419" s="1" t="str">
        <f>IF(Table2[[#This Row],[Description]]="","",VLOOKUP(Table2[[#This Row],[Description]],$Q$1:$S$101,2,FALSE))</f>
        <v/>
      </c>
      <c r="H6419" s="1" t="str">
        <f>IF(Table2[[#This Row],[Description]]="","",VLOOKUP(Table2[[#This Row],[Description]],$Q$1:$S$101,3,FALSE))</f>
        <v/>
      </c>
      <c r="I6419" s="1" t="str">
        <f>IF(Table2[[#This Row],[Description]]="","",IF(Table2[[#This Row],[Currency]]=$O$2,$P$2,HLOOKUP(Table2[[#This Row],[Date]],Funds!$C$10:$GV$11,2,FALSE)))</f>
        <v/>
      </c>
      <c r="J6419" s="215" t="str">
        <f>IF(Table2[[#This Row],[Description]]="","",Table2[[#This Row],[Value]]/Table2[[#This Row],[Conversion]])</f>
        <v/>
      </c>
      <c r="K6419" s="45" t="str">
        <f>IF(Table2[[#This Row],[Description]]="","",DATE(Table2[[#This Row],[Year]],Table2[[#This Row],[Month]],1))</f>
        <v/>
      </c>
    </row>
    <row r="6420" spans="7:11" x14ac:dyDescent="0.25">
      <c r="G6420" s="1" t="str">
        <f>IF(Table2[[#This Row],[Description]]="","",VLOOKUP(Table2[[#This Row],[Description]],$Q$1:$S$101,2,FALSE))</f>
        <v/>
      </c>
      <c r="H6420" s="1" t="str">
        <f>IF(Table2[[#This Row],[Description]]="","",VLOOKUP(Table2[[#This Row],[Description]],$Q$1:$S$101,3,FALSE))</f>
        <v/>
      </c>
      <c r="I6420" s="1" t="str">
        <f>IF(Table2[[#This Row],[Description]]="","",IF(Table2[[#This Row],[Currency]]=$O$2,$P$2,HLOOKUP(Table2[[#This Row],[Date]],Funds!$C$10:$GV$11,2,FALSE)))</f>
        <v/>
      </c>
      <c r="J6420" s="215" t="str">
        <f>IF(Table2[[#This Row],[Description]]="","",Table2[[#This Row],[Value]]/Table2[[#This Row],[Conversion]])</f>
        <v/>
      </c>
      <c r="K6420" s="45" t="str">
        <f>IF(Table2[[#This Row],[Description]]="","",DATE(Table2[[#This Row],[Year]],Table2[[#This Row],[Month]],1))</f>
        <v/>
      </c>
    </row>
    <row r="6421" spans="7:11" x14ac:dyDescent="0.25">
      <c r="G6421" s="1" t="str">
        <f>IF(Table2[[#This Row],[Description]]="","",VLOOKUP(Table2[[#This Row],[Description]],$Q$1:$S$101,2,FALSE))</f>
        <v/>
      </c>
      <c r="H6421" s="1" t="str">
        <f>IF(Table2[[#This Row],[Description]]="","",VLOOKUP(Table2[[#This Row],[Description]],$Q$1:$S$101,3,FALSE))</f>
        <v/>
      </c>
      <c r="I6421" s="1" t="str">
        <f>IF(Table2[[#This Row],[Description]]="","",IF(Table2[[#This Row],[Currency]]=$O$2,$P$2,HLOOKUP(Table2[[#This Row],[Date]],Funds!$C$10:$GV$11,2,FALSE)))</f>
        <v/>
      </c>
      <c r="J6421" s="215" t="str">
        <f>IF(Table2[[#This Row],[Description]]="","",Table2[[#This Row],[Value]]/Table2[[#This Row],[Conversion]])</f>
        <v/>
      </c>
      <c r="K6421" s="45" t="str">
        <f>IF(Table2[[#This Row],[Description]]="","",DATE(Table2[[#This Row],[Year]],Table2[[#This Row],[Month]],1))</f>
        <v/>
      </c>
    </row>
    <row r="6422" spans="7:11" x14ac:dyDescent="0.25">
      <c r="G6422" s="1" t="str">
        <f>IF(Table2[[#This Row],[Description]]="","",VLOOKUP(Table2[[#This Row],[Description]],$Q$1:$S$101,2,FALSE))</f>
        <v/>
      </c>
      <c r="H6422" s="1" t="str">
        <f>IF(Table2[[#This Row],[Description]]="","",VLOOKUP(Table2[[#This Row],[Description]],$Q$1:$S$101,3,FALSE))</f>
        <v/>
      </c>
      <c r="I6422" s="1" t="str">
        <f>IF(Table2[[#This Row],[Description]]="","",IF(Table2[[#This Row],[Currency]]=$O$2,$P$2,HLOOKUP(Table2[[#This Row],[Date]],Funds!$C$10:$GV$11,2,FALSE)))</f>
        <v/>
      </c>
      <c r="J6422" s="215" t="str">
        <f>IF(Table2[[#This Row],[Description]]="","",Table2[[#This Row],[Value]]/Table2[[#This Row],[Conversion]])</f>
        <v/>
      </c>
      <c r="K6422" s="45" t="str">
        <f>IF(Table2[[#This Row],[Description]]="","",DATE(Table2[[#This Row],[Year]],Table2[[#This Row],[Month]],1))</f>
        <v/>
      </c>
    </row>
    <row r="6423" spans="7:11" x14ac:dyDescent="0.25">
      <c r="G6423" s="1" t="str">
        <f>IF(Table2[[#This Row],[Description]]="","",VLOOKUP(Table2[[#This Row],[Description]],$Q$1:$S$101,2,FALSE))</f>
        <v/>
      </c>
      <c r="H6423" s="1" t="str">
        <f>IF(Table2[[#This Row],[Description]]="","",VLOOKUP(Table2[[#This Row],[Description]],$Q$1:$S$101,3,FALSE))</f>
        <v/>
      </c>
      <c r="I6423" s="1" t="str">
        <f>IF(Table2[[#This Row],[Description]]="","",IF(Table2[[#This Row],[Currency]]=$O$2,$P$2,HLOOKUP(Table2[[#This Row],[Date]],Funds!$C$10:$GV$11,2,FALSE)))</f>
        <v/>
      </c>
      <c r="J6423" s="215" t="str">
        <f>IF(Table2[[#This Row],[Description]]="","",Table2[[#This Row],[Value]]/Table2[[#This Row],[Conversion]])</f>
        <v/>
      </c>
      <c r="K6423" s="45" t="str">
        <f>IF(Table2[[#This Row],[Description]]="","",DATE(Table2[[#This Row],[Year]],Table2[[#This Row],[Month]],1))</f>
        <v/>
      </c>
    </row>
    <row r="6424" spans="7:11" x14ac:dyDescent="0.25">
      <c r="G6424" s="1" t="str">
        <f>IF(Table2[[#This Row],[Description]]="","",VLOOKUP(Table2[[#This Row],[Description]],$Q$1:$S$101,2,FALSE))</f>
        <v/>
      </c>
      <c r="H6424" s="1" t="str">
        <f>IF(Table2[[#This Row],[Description]]="","",VLOOKUP(Table2[[#This Row],[Description]],$Q$1:$S$101,3,FALSE))</f>
        <v/>
      </c>
      <c r="I6424" s="1" t="str">
        <f>IF(Table2[[#This Row],[Description]]="","",IF(Table2[[#This Row],[Currency]]=$O$2,$P$2,HLOOKUP(Table2[[#This Row],[Date]],Funds!$C$10:$GV$11,2,FALSE)))</f>
        <v/>
      </c>
      <c r="J6424" s="215" t="str">
        <f>IF(Table2[[#This Row],[Description]]="","",Table2[[#This Row],[Value]]/Table2[[#This Row],[Conversion]])</f>
        <v/>
      </c>
      <c r="K6424" s="45" t="str">
        <f>IF(Table2[[#This Row],[Description]]="","",DATE(Table2[[#This Row],[Year]],Table2[[#This Row],[Month]],1))</f>
        <v/>
      </c>
    </row>
    <row r="6425" spans="7:11" x14ac:dyDescent="0.25">
      <c r="G6425" s="1" t="str">
        <f>IF(Table2[[#This Row],[Description]]="","",VLOOKUP(Table2[[#This Row],[Description]],$Q$1:$S$101,2,FALSE))</f>
        <v/>
      </c>
      <c r="H6425" s="1" t="str">
        <f>IF(Table2[[#This Row],[Description]]="","",VLOOKUP(Table2[[#This Row],[Description]],$Q$1:$S$101,3,FALSE))</f>
        <v/>
      </c>
      <c r="I6425" s="1" t="str">
        <f>IF(Table2[[#This Row],[Description]]="","",IF(Table2[[#This Row],[Currency]]=$O$2,$P$2,HLOOKUP(Table2[[#This Row],[Date]],Funds!$C$10:$GV$11,2,FALSE)))</f>
        <v/>
      </c>
      <c r="J6425" s="215" t="str">
        <f>IF(Table2[[#This Row],[Description]]="","",Table2[[#This Row],[Value]]/Table2[[#This Row],[Conversion]])</f>
        <v/>
      </c>
      <c r="K6425" s="45" t="str">
        <f>IF(Table2[[#This Row],[Description]]="","",DATE(Table2[[#This Row],[Year]],Table2[[#This Row],[Month]],1))</f>
        <v/>
      </c>
    </row>
    <row r="6426" spans="7:11" x14ac:dyDescent="0.25">
      <c r="G6426" s="1" t="str">
        <f>IF(Table2[[#This Row],[Description]]="","",VLOOKUP(Table2[[#This Row],[Description]],$Q$1:$S$101,2,FALSE))</f>
        <v/>
      </c>
      <c r="H6426" s="1" t="str">
        <f>IF(Table2[[#This Row],[Description]]="","",VLOOKUP(Table2[[#This Row],[Description]],$Q$1:$S$101,3,FALSE))</f>
        <v/>
      </c>
      <c r="I6426" s="1" t="str">
        <f>IF(Table2[[#This Row],[Description]]="","",IF(Table2[[#This Row],[Currency]]=$O$2,$P$2,HLOOKUP(Table2[[#This Row],[Date]],Funds!$C$10:$GV$11,2,FALSE)))</f>
        <v/>
      </c>
      <c r="J6426" s="215" t="str">
        <f>IF(Table2[[#This Row],[Description]]="","",Table2[[#This Row],[Value]]/Table2[[#This Row],[Conversion]])</f>
        <v/>
      </c>
      <c r="K6426" s="45" t="str">
        <f>IF(Table2[[#This Row],[Description]]="","",DATE(Table2[[#This Row],[Year]],Table2[[#This Row],[Month]],1))</f>
        <v/>
      </c>
    </row>
    <row r="6427" spans="7:11" x14ac:dyDescent="0.25">
      <c r="G6427" s="1" t="str">
        <f>IF(Table2[[#This Row],[Description]]="","",VLOOKUP(Table2[[#This Row],[Description]],$Q$1:$S$101,2,FALSE))</f>
        <v/>
      </c>
      <c r="H6427" s="1" t="str">
        <f>IF(Table2[[#This Row],[Description]]="","",VLOOKUP(Table2[[#This Row],[Description]],$Q$1:$S$101,3,FALSE))</f>
        <v/>
      </c>
      <c r="I6427" s="1" t="str">
        <f>IF(Table2[[#This Row],[Description]]="","",IF(Table2[[#This Row],[Currency]]=$O$2,$P$2,HLOOKUP(Table2[[#This Row],[Date]],Funds!$C$10:$GV$11,2,FALSE)))</f>
        <v/>
      </c>
      <c r="J6427" s="215" t="str">
        <f>IF(Table2[[#This Row],[Description]]="","",Table2[[#This Row],[Value]]/Table2[[#This Row],[Conversion]])</f>
        <v/>
      </c>
      <c r="K6427" s="45" t="str">
        <f>IF(Table2[[#This Row],[Description]]="","",DATE(Table2[[#This Row],[Year]],Table2[[#This Row],[Month]],1))</f>
        <v/>
      </c>
    </row>
    <row r="6428" spans="7:11" x14ac:dyDescent="0.25">
      <c r="G6428" s="1" t="str">
        <f>IF(Table2[[#This Row],[Description]]="","",VLOOKUP(Table2[[#This Row],[Description]],$Q$1:$S$101,2,FALSE))</f>
        <v/>
      </c>
      <c r="H6428" s="1" t="str">
        <f>IF(Table2[[#This Row],[Description]]="","",VLOOKUP(Table2[[#This Row],[Description]],$Q$1:$S$101,3,FALSE))</f>
        <v/>
      </c>
      <c r="I6428" s="1" t="str">
        <f>IF(Table2[[#This Row],[Description]]="","",IF(Table2[[#This Row],[Currency]]=$O$2,$P$2,HLOOKUP(Table2[[#This Row],[Date]],Funds!$C$10:$GV$11,2,FALSE)))</f>
        <v/>
      </c>
      <c r="J6428" s="215" t="str">
        <f>IF(Table2[[#This Row],[Description]]="","",Table2[[#This Row],[Value]]/Table2[[#This Row],[Conversion]])</f>
        <v/>
      </c>
      <c r="K6428" s="45" t="str">
        <f>IF(Table2[[#This Row],[Description]]="","",DATE(Table2[[#This Row],[Year]],Table2[[#This Row],[Month]],1))</f>
        <v/>
      </c>
    </row>
    <row r="6429" spans="7:11" x14ac:dyDescent="0.25">
      <c r="G6429" s="1" t="str">
        <f>IF(Table2[[#This Row],[Description]]="","",VLOOKUP(Table2[[#This Row],[Description]],$Q$1:$S$101,2,FALSE))</f>
        <v/>
      </c>
      <c r="H6429" s="1" t="str">
        <f>IF(Table2[[#This Row],[Description]]="","",VLOOKUP(Table2[[#This Row],[Description]],$Q$1:$S$101,3,FALSE))</f>
        <v/>
      </c>
      <c r="I6429" s="1" t="str">
        <f>IF(Table2[[#This Row],[Description]]="","",IF(Table2[[#This Row],[Currency]]=$O$2,$P$2,HLOOKUP(Table2[[#This Row],[Date]],Funds!$C$10:$GV$11,2,FALSE)))</f>
        <v/>
      </c>
      <c r="J6429" s="215" t="str">
        <f>IF(Table2[[#This Row],[Description]]="","",Table2[[#This Row],[Value]]/Table2[[#This Row],[Conversion]])</f>
        <v/>
      </c>
      <c r="K6429" s="45" t="str">
        <f>IF(Table2[[#This Row],[Description]]="","",DATE(Table2[[#This Row],[Year]],Table2[[#This Row],[Month]],1))</f>
        <v/>
      </c>
    </row>
    <row r="6430" spans="7:11" x14ac:dyDescent="0.25">
      <c r="G6430" s="1" t="str">
        <f>IF(Table2[[#This Row],[Description]]="","",VLOOKUP(Table2[[#This Row],[Description]],$Q$1:$S$101,2,FALSE))</f>
        <v/>
      </c>
      <c r="H6430" s="1" t="str">
        <f>IF(Table2[[#This Row],[Description]]="","",VLOOKUP(Table2[[#This Row],[Description]],$Q$1:$S$101,3,FALSE))</f>
        <v/>
      </c>
      <c r="I6430" s="1" t="str">
        <f>IF(Table2[[#This Row],[Description]]="","",IF(Table2[[#This Row],[Currency]]=$O$2,$P$2,HLOOKUP(Table2[[#This Row],[Date]],Funds!$C$10:$GV$11,2,FALSE)))</f>
        <v/>
      </c>
      <c r="J6430" s="215" t="str">
        <f>IF(Table2[[#This Row],[Description]]="","",Table2[[#This Row],[Value]]/Table2[[#This Row],[Conversion]])</f>
        <v/>
      </c>
      <c r="K6430" s="45" t="str">
        <f>IF(Table2[[#This Row],[Description]]="","",DATE(Table2[[#This Row],[Year]],Table2[[#This Row],[Month]],1))</f>
        <v/>
      </c>
    </row>
    <row r="6431" spans="7:11" x14ac:dyDescent="0.25">
      <c r="G6431" s="1" t="str">
        <f>IF(Table2[[#This Row],[Description]]="","",VLOOKUP(Table2[[#This Row],[Description]],$Q$1:$S$101,2,FALSE))</f>
        <v/>
      </c>
      <c r="H6431" s="1" t="str">
        <f>IF(Table2[[#This Row],[Description]]="","",VLOOKUP(Table2[[#This Row],[Description]],$Q$1:$S$101,3,FALSE))</f>
        <v/>
      </c>
      <c r="I6431" s="1" t="str">
        <f>IF(Table2[[#This Row],[Description]]="","",IF(Table2[[#This Row],[Currency]]=$O$2,$P$2,HLOOKUP(Table2[[#This Row],[Date]],Funds!$C$10:$GV$11,2,FALSE)))</f>
        <v/>
      </c>
      <c r="J6431" s="215" t="str">
        <f>IF(Table2[[#This Row],[Description]]="","",Table2[[#This Row],[Value]]/Table2[[#This Row],[Conversion]])</f>
        <v/>
      </c>
      <c r="K6431" s="45" t="str">
        <f>IF(Table2[[#This Row],[Description]]="","",DATE(Table2[[#This Row],[Year]],Table2[[#This Row],[Month]],1))</f>
        <v/>
      </c>
    </row>
    <row r="6432" spans="7:11" x14ac:dyDescent="0.25">
      <c r="G6432" s="1" t="str">
        <f>IF(Table2[[#This Row],[Description]]="","",VLOOKUP(Table2[[#This Row],[Description]],$Q$1:$S$101,2,FALSE))</f>
        <v/>
      </c>
      <c r="H6432" s="1" t="str">
        <f>IF(Table2[[#This Row],[Description]]="","",VLOOKUP(Table2[[#This Row],[Description]],$Q$1:$S$101,3,FALSE))</f>
        <v/>
      </c>
      <c r="I6432" s="1" t="str">
        <f>IF(Table2[[#This Row],[Description]]="","",IF(Table2[[#This Row],[Currency]]=$O$2,$P$2,HLOOKUP(Table2[[#This Row],[Date]],Funds!$C$10:$GV$11,2,FALSE)))</f>
        <v/>
      </c>
      <c r="J6432" s="215" t="str">
        <f>IF(Table2[[#This Row],[Description]]="","",Table2[[#This Row],[Value]]/Table2[[#This Row],[Conversion]])</f>
        <v/>
      </c>
      <c r="K6432" s="45" t="str">
        <f>IF(Table2[[#This Row],[Description]]="","",DATE(Table2[[#This Row],[Year]],Table2[[#This Row],[Month]],1))</f>
        <v/>
      </c>
    </row>
    <row r="6433" spans="7:11" x14ac:dyDescent="0.25">
      <c r="G6433" s="1" t="str">
        <f>IF(Table2[[#This Row],[Description]]="","",VLOOKUP(Table2[[#This Row],[Description]],$Q$1:$S$101,2,FALSE))</f>
        <v/>
      </c>
      <c r="H6433" s="1" t="str">
        <f>IF(Table2[[#This Row],[Description]]="","",VLOOKUP(Table2[[#This Row],[Description]],$Q$1:$S$101,3,FALSE))</f>
        <v/>
      </c>
      <c r="I6433" s="1" t="str">
        <f>IF(Table2[[#This Row],[Description]]="","",IF(Table2[[#This Row],[Currency]]=$O$2,$P$2,HLOOKUP(Table2[[#This Row],[Date]],Funds!$C$10:$GV$11,2,FALSE)))</f>
        <v/>
      </c>
      <c r="J6433" s="215" t="str">
        <f>IF(Table2[[#This Row],[Description]]="","",Table2[[#This Row],[Value]]/Table2[[#This Row],[Conversion]])</f>
        <v/>
      </c>
      <c r="K6433" s="45" t="str">
        <f>IF(Table2[[#This Row],[Description]]="","",DATE(Table2[[#This Row],[Year]],Table2[[#This Row],[Month]],1))</f>
        <v/>
      </c>
    </row>
    <row r="6434" spans="7:11" x14ac:dyDescent="0.25">
      <c r="G6434" s="1" t="str">
        <f>IF(Table2[[#This Row],[Description]]="","",VLOOKUP(Table2[[#This Row],[Description]],$Q$1:$S$101,2,FALSE))</f>
        <v/>
      </c>
      <c r="H6434" s="1" t="str">
        <f>IF(Table2[[#This Row],[Description]]="","",VLOOKUP(Table2[[#This Row],[Description]],$Q$1:$S$101,3,FALSE))</f>
        <v/>
      </c>
      <c r="I6434" s="1" t="str">
        <f>IF(Table2[[#This Row],[Description]]="","",IF(Table2[[#This Row],[Currency]]=$O$2,$P$2,HLOOKUP(Table2[[#This Row],[Date]],Funds!$C$10:$GV$11,2,FALSE)))</f>
        <v/>
      </c>
      <c r="J6434" s="215" t="str">
        <f>IF(Table2[[#This Row],[Description]]="","",Table2[[#This Row],[Value]]/Table2[[#This Row],[Conversion]])</f>
        <v/>
      </c>
      <c r="K6434" s="45" t="str">
        <f>IF(Table2[[#This Row],[Description]]="","",DATE(Table2[[#This Row],[Year]],Table2[[#This Row],[Month]],1))</f>
        <v/>
      </c>
    </row>
    <row r="6435" spans="7:11" x14ac:dyDescent="0.25">
      <c r="G6435" s="1" t="str">
        <f>IF(Table2[[#This Row],[Description]]="","",VLOOKUP(Table2[[#This Row],[Description]],$Q$1:$S$101,2,FALSE))</f>
        <v/>
      </c>
      <c r="H6435" s="1" t="str">
        <f>IF(Table2[[#This Row],[Description]]="","",VLOOKUP(Table2[[#This Row],[Description]],$Q$1:$S$101,3,FALSE))</f>
        <v/>
      </c>
      <c r="I6435" s="1" t="str">
        <f>IF(Table2[[#This Row],[Description]]="","",IF(Table2[[#This Row],[Currency]]=$O$2,$P$2,HLOOKUP(Table2[[#This Row],[Date]],Funds!$C$10:$GV$11,2,FALSE)))</f>
        <v/>
      </c>
      <c r="J6435" s="215" t="str">
        <f>IF(Table2[[#This Row],[Description]]="","",Table2[[#This Row],[Value]]/Table2[[#This Row],[Conversion]])</f>
        <v/>
      </c>
      <c r="K6435" s="45" t="str">
        <f>IF(Table2[[#This Row],[Description]]="","",DATE(Table2[[#This Row],[Year]],Table2[[#This Row],[Month]],1))</f>
        <v/>
      </c>
    </row>
    <row r="6436" spans="7:11" x14ac:dyDescent="0.25">
      <c r="G6436" s="1" t="str">
        <f>IF(Table2[[#This Row],[Description]]="","",VLOOKUP(Table2[[#This Row],[Description]],$Q$1:$S$101,2,FALSE))</f>
        <v/>
      </c>
      <c r="H6436" s="1" t="str">
        <f>IF(Table2[[#This Row],[Description]]="","",VLOOKUP(Table2[[#This Row],[Description]],$Q$1:$S$101,3,FALSE))</f>
        <v/>
      </c>
      <c r="I6436" s="1" t="str">
        <f>IF(Table2[[#This Row],[Description]]="","",IF(Table2[[#This Row],[Currency]]=$O$2,$P$2,HLOOKUP(Table2[[#This Row],[Date]],Funds!$C$10:$GV$11,2,FALSE)))</f>
        <v/>
      </c>
      <c r="J6436" s="215" t="str">
        <f>IF(Table2[[#This Row],[Description]]="","",Table2[[#This Row],[Value]]/Table2[[#This Row],[Conversion]])</f>
        <v/>
      </c>
      <c r="K6436" s="45" t="str">
        <f>IF(Table2[[#This Row],[Description]]="","",DATE(Table2[[#This Row],[Year]],Table2[[#This Row],[Month]],1))</f>
        <v/>
      </c>
    </row>
    <row r="6437" spans="7:11" x14ac:dyDescent="0.25">
      <c r="G6437" s="1" t="str">
        <f>IF(Table2[[#This Row],[Description]]="","",VLOOKUP(Table2[[#This Row],[Description]],$Q$1:$S$101,2,FALSE))</f>
        <v/>
      </c>
      <c r="H6437" s="1" t="str">
        <f>IF(Table2[[#This Row],[Description]]="","",VLOOKUP(Table2[[#This Row],[Description]],$Q$1:$S$101,3,FALSE))</f>
        <v/>
      </c>
      <c r="I6437" s="1" t="str">
        <f>IF(Table2[[#This Row],[Description]]="","",IF(Table2[[#This Row],[Currency]]=$O$2,$P$2,HLOOKUP(Table2[[#This Row],[Date]],Funds!$C$10:$GV$11,2,FALSE)))</f>
        <v/>
      </c>
      <c r="J6437" s="215" t="str">
        <f>IF(Table2[[#This Row],[Description]]="","",Table2[[#This Row],[Value]]/Table2[[#This Row],[Conversion]])</f>
        <v/>
      </c>
      <c r="K6437" s="45" t="str">
        <f>IF(Table2[[#This Row],[Description]]="","",DATE(Table2[[#This Row],[Year]],Table2[[#This Row],[Month]],1))</f>
        <v/>
      </c>
    </row>
    <row r="6438" spans="7:11" x14ac:dyDescent="0.25">
      <c r="G6438" s="1" t="str">
        <f>IF(Table2[[#This Row],[Description]]="","",VLOOKUP(Table2[[#This Row],[Description]],$Q$1:$S$101,2,FALSE))</f>
        <v/>
      </c>
      <c r="H6438" s="1" t="str">
        <f>IF(Table2[[#This Row],[Description]]="","",VLOOKUP(Table2[[#This Row],[Description]],$Q$1:$S$101,3,FALSE))</f>
        <v/>
      </c>
      <c r="I6438" s="1" t="str">
        <f>IF(Table2[[#This Row],[Description]]="","",IF(Table2[[#This Row],[Currency]]=$O$2,$P$2,HLOOKUP(Table2[[#This Row],[Date]],Funds!$C$10:$GV$11,2,FALSE)))</f>
        <v/>
      </c>
      <c r="J6438" s="215" t="str">
        <f>IF(Table2[[#This Row],[Description]]="","",Table2[[#This Row],[Value]]/Table2[[#This Row],[Conversion]])</f>
        <v/>
      </c>
      <c r="K6438" s="45" t="str">
        <f>IF(Table2[[#This Row],[Description]]="","",DATE(Table2[[#This Row],[Year]],Table2[[#This Row],[Month]],1))</f>
        <v/>
      </c>
    </row>
    <row r="6439" spans="7:11" x14ac:dyDescent="0.25">
      <c r="G6439" s="1" t="str">
        <f>IF(Table2[[#This Row],[Description]]="","",VLOOKUP(Table2[[#This Row],[Description]],$Q$1:$S$101,2,FALSE))</f>
        <v/>
      </c>
      <c r="H6439" s="1" t="str">
        <f>IF(Table2[[#This Row],[Description]]="","",VLOOKUP(Table2[[#This Row],[Description]],$Q$1:$S$101,3,FALSE))</f>
        <v/>
      </c>
      <c r="I6439" s="1" t="str">
        <f>IF(Table2[[#This Row],[Description]]="","",IF(Table2[[#This Row],[Currency]]=$O$2,$P$2,HLOOKUP(Table2[[#This Row],[Date]],Funds!$C$10:$GV$11,2,FALSE)))</f>
        <v/>
      </c>
      <c r="J6439" s="215" t="str">
        <f>IF(Table2[[#This Row],[Description]]="","",Table2[[#This Row],[Value]]/Table2[[#This Row],[Conversion]])</f>
        <v/>
      </c>
      <c r="K6439" s="45" t="str">
        <f>IF(Table2[[#This Row],[Description]]="","",DATE(Table2[[#This Row],[Year]],Table2[[#This Row],[Month]],1))</f>
        <v/>
      </c>
    </row>
    <row r="6440" spans="7:11" x14ac:dyDescent="0.25">
      <c r="G6440" s="1" t="str">
        <f>IF(Table2[[#This Row],[Description]]="","",VLOOKUP(Table2[[#This Row],[Description]],$Q$1:$S$101,2,FALSE))</f>
        <v/>
      </c>
      <c r="H6440" s="1" t="str">
        <f>IF(Table2[[#This Row],[Description]]="","",VLOOKUP(Table2[[#This Row],[Description]],$Q$1:$S$101,3,FALSE))</f>
        <v/>
      </c>
      <c r="I6440" s="1" t="str">
        <f>IF(Table2[[#This Row],[Description]]="","",IF(Table2[[#This Row],[Currency]]=$O$2,$P$2,HLOOKUP(Table2[[#This Row],[Date]],Funds!$C$10:$GV$11,2,FALSE)))</f>
        <v/>
      </c>
      <c r="J6440" s="215" t="str">
        <f>IF(Table2[[#This Row],[Description]]="","",Table2[[#This Row],[Value]]/Table2[[#This Row],[Conversion]])</f>
        <v/>
      </c>
      <c r="K6440" s="45" t="str">
        <f>IF(Table2[[#This Row],[Description]]="","",DATE(Table2[[#This Row],[Year]],Table2[[#This Row],[Month]],1))</f>
        <v/>
      </c>
    </row>
    <row r="6441" spans="7:11" x14ac:dyDescent="0.25">
      <c r="G6441" s="1" t="str">
        <f>IF(Table2[[#This Row],[Description]]="","",VLOOKUP(Table2[[#This Row],[Description]],$Q$1:$S$101,2,FALSE))</f>
        <v/>
      </c>
      <c r="H6441" s="1" t="str">
        <f>IF(Table2[[#This Row],[Description]]="","",VLOOKUP(Table2[[#This Row],[Description]],$Q$1:$S$101,3,FALSE))</f>
        <v/>
      </c>
      <c r="I6441" s="1" t="str">
        <f>IF(Table2[[#This Row],[Description]]="","",IF(Table2[[#This Row],[Currency]]=$O$2,$P$2,HLOOKUP(Table2[[#This Row],[Date]],Funds!$C$10:$GV$11,2,FALSE)))</f>
        <v/>
      </c>
      <c r="J6441" s="215" t="str">
        <f>IF(Table2[[#This Row],[Description]]="","",Table2[[#This Row],[Value]]/Table2[[#This Row],[Conversion]])</f>
        <v/>
      </c>
      <c r="K6441" s="45" t="str">
        <f>IF(Table2[[#This Row],[Description]]="","",DATE(Table2[[#This Row],[Year]],Table2[[#This Row],[Month]],1))</f>
        <v/>
      </c>
    </row>
    <row r="6442" spans="7:11" x14ac:dyDescent="0.25">
      <c r="G6442" s="1" t="str">
        <f>IF(Table2[[#This Row],[Description]]="","",VLOOKUP(Table2[[#This Row],[Description]],$Q$1:$S$101,2,FALSE))</f>
        <v/>
      </c>
      <c r="H6442" s="1" t="str">
        <f>IF(Table2[[#This Row],[Description]]="","",VLOOKUP(Table2[[#This Row],[Description]],$Q$1:$S$101,3,FALSE))</f>
        <v/>
      </c>
      <c r="I6442" s="1" t="str">
        <f>IF(Table2[[#This Row],[Description]]="","",IF(Table2[[#This Row],[Currency]]=$O$2,$P$2,HLOOKUP(Table2[[#This Row],[Date]],Funds!$C$10:$GV$11,2,FALSE)))</f>
        <v/>
      </c>
      <c r="J6442" s="215" t="str">
        <f>IF(Table2[[#This Row],[Description]]="","",Table2[[#This Row],[Value]]/Table2[[#This Row],[Conversion]])</f>
        <v/>
      </c>
      <c r="K6442" s="45" t="str">
        <f>IF(Table2[[#This Row],[Description]]="","",DATE(Table2[[#This Row],[Year]],Table2[[#This Row],[Month]],1))</f>
        <v/>
      </c>
    </row>
    <row r="6443" spans="7:11" x14ac:dyDescent="0.25">
      <c r="G6443" s="1" t="str">
        <f>IF(Table2[[#This Row],[Description]]="","",VLOOKUP(Table2[[#This Row],[Description]],$Q$1:$S$101,2,FALSE))</f>
        <v/>
      </c>
      <c r="H6443" s="1" t="str">
        <f>IF(Table2[[#This Row],[Description]]="","",VLOOKUP(Table2[[#This Row],[Description]],$Q$1:$S$101,3,FALSE))</f>
        <v/>
      </c>
      <c r="I6443" s="1" t="str">
        <f>IF(Table2[[#This Row],[Description]]="","",IF(Table2[[#This Row],[Currency]]=$O$2,$P$2,HLOOKUP(Table2[[#This Row],[Date]],Funds!$C$10:$GV$11,2,FALSE)))</f>
        <v/>
      </c>
      <c r="J6443" s="215" t="str">
        <f>IF(Table2[[#This Row],[Description]]="","",Table2[[#This Row],[Value]]/Table2[[#This Row],[Conversion]])</f>
        <v/>
      </c>
      <c r="K6443" s="45" t="str">
        <f>IF(Table2[[#This Row],[Description]]="","",DATE(Table2[[#This Row],[Year]],Table2[[#This Row],[Month]],1))</f>
        <v/>
      </c>
    </row>
    <row r="6444" spans="7:11" x14ac:dyDescent="0.25">
      <c r="G6444" s="1" t="str">
        <f>IF(Table2[[#This Row],[Description]]="","",VLOOKUP(Table2[[#This Row],[Description]],$Q$1:$S$101,2,FALSE))</f>
        <v/>
      </c>
      <c r="H6444" s="1" t="str">
        <f>IF(Table2[[#This Row],[Description]]="","",VLOOKUP(Table2[[#This Row],[Description]],$Q$1:$S$101,3,FALSE))</f>
        <v/>
      </c>
      <c r="I6444" s="1" t="str">
        <f>IF(Table2[[#This Row],[Description]]="","",IF(Table2[[#This Row],[Currency]]=$O$2,$P$2,HLOOKUP(Table2[[#This Row],[Date]],Funds!$C$10:$GV$11,2,FALSE)))</f>
        <v/>
      </c>
      <c r="J6444" s="215" t="str">
        <f>IF(Table2[[#This Row],[Description]]="","",Table2[[#This Row],[Value]]/Table2[[#This Row],[Conversion]])</f>
        <v/>
      </c>
      <c r="K6444" s="45" t="str">
        <f>IF(Table2[[#This Row],[Description]]="","",DATE(Table2[[#This Row],[Year]],Table2[[#This Row],[Month]],1))</f>
        <v/>
      </c>
    </row>
    <row r="6445" spans="7:11" x14ac:dyDescent="0.25">
      <c r="G6445" s="1" t="str">
        <f>IF(Table2[[#This Row],[Description]]="","",VLOOKUP(Table2[[#This Row],[Description]],$Q$1:$S$101,2,FALSE))</f>
        <v/>
      </c>
      <c r="H6445" s="1" t="str">
        <f>IF(Table2[[#This Row],[Description]]="","",VLOOKUP(Table2[[#This Row],[Description]],$Q$1:$S$101,3,FALSE))</f>
        <v/>
      </c>
      <c r="I6445" s="1" t="str">
        <f>IF(Table2[[#This Row],[Description]]="","",IF(Table2[[#This Row],[Currency]]=$O$2,$P$2,HLOOKUP(Table2[[#This Row],[Date]],Funds!$C$10:$GV$11,2,FALSE)))</f>
        <v/>
      </c>
      <c r="J6445" s="215" t="str">
        <f>IF(Table2[[#This Row],[Description]]="","",Table2[[#This Row],[Value]]/Table2[[#This Row],[Conversion]])</f>
        <v/>
      </c>
      <c r="K6445" s="45" t="str">
        <f>IF(Table2[[#This Row],[Description]]="","",DATE(Table2[[#This Row],[Year]],Table2[[#This Row],[Month]],1))</f>
        <v/>
      </c>
    </row>
    <row r="6446" spans="7:11" x14ac:dyDescent="0.25">
      <c r="G6446" s="1" t="str">
        <f>IF(Table2[[#This Row],[Description]]="","",VLOOKUP(Table2[[#This Row],[Description]],$Q$1:$S$101,2,FALSE))</f>
        <v/>
      </c>
      <c r="H6446" s="1" t="str">
        <f>IF(Table2[[#This Row],[Description]]="","",VLOOKUP(Table2[[#This Row],[Description]],$Q$1:$S$101,3,FALSE))</f>
        <v/>
      </c>
      <c r="I6446" s="1" t="str">
        <f>IF(Table2[[#This Row],[Description]]="","",IF(Table2[[#This Row],[Currency]]=$O$2,$P$2,HLOOKUP(Table2[[#This Row],[Date]],Funds!$C$10:$GV$11,2,FALSE)))</f>
        <v/>
      </c>
      <c r="J6446" s="215" t="str">
        <f>IF(Table2[[#This Row],[Description]]="","",Table2[[#This Row],[Value]]/Table2[[#This Row],[Conversion]])</f>
        <v/>
      </c>
      <c r="K6446" s="45" t="str">
        <f>IF(Table2[[#This Row],[Description]]="","",DATE(Table2[[#This Row],[Year]],Table2[[#This Row],[Month]],1))</f>
        <v/>
      </c>
    </row>
    <row r="6447" spans="7:11" x14ac:dyDescent="0.25">
      <c r="G6447" s="1" t="str">
        <f>IF(Table2[[#This Row],[Description]]="","",VLOOKUP(Table2[[#This Row],[Description]],$Q$1:$S$101,2,FALSE))</f>
        <v/>
      </c>
      <c r="H6447" s="1" t="str">
        <f>IF(Table2[[#This Row],[Description]]="","",VLOOKUP(Table2[[#This Row],[Description]],$Q$1:$S$101,3,FALSE))</f>
        <v/>
      </c>
      <c r="I6447" s="1" t="str">
        <f>IF(Table2[[#This Row],[Description]]="","",IF(Table2[[#This Row],[Currency]]=$O$2,$P$2,HLOOKUP(Table2[[#This Row],[Date]],Funds!$C$10:$GV$11,2,FALSE)))</f>
        <v/>
      </c>
      <c r="J6447" s="215" t="str">
        <f>IF(Table2[[#This Row],[Description]]="","",Table2[[#This Row],[Value]]/Table2[[#This Row],[Conversion]])</f>
        <v/>
      </c>
      <c r="K6447" s="45" t="str">
        <f>IF(Table2[[#This Row],[Description]]="","",DATE(Table2[[#This Row],[Year]],Table2[[#This Row],[Month]],1))</f>
        <v/>
      </c>
    </row>
    <row r="6448" spans="7:11" x14ac:dyDescent="0.25">
      <c r="G6448" s="1" t="str">
        <f>IF(Table2[[#This Row],[Description]]="","",VLOOKUP(Table2[[#This Row],[Description]],$Q$1:$S$101,2,FALSE))</f>
        <v/>
      </c>
      <c r="H6448" s="1" t="str">
        <f>IF(Table2[[#This Row],[Description]]="","",VLOOKUP(Table2[[#This Row],[Description]],$Q$1:$S$101,3,FALSE))</f>
        <v/>
      </c>
      <c r="I6448" s="1" t="str">
        <f>IF(Table2[[#This Row],[Description]]="","",IF(Table2[[#This Row],[Currency]]=$O$2,$P$2,HLOOKUP(Table2[[#This Row],[Date]],Funds!$C$10:$GV$11,2,FALSE)))</f>
        <v/>
      </c>
      <c r="J6448" s="215" t="str">
        <f>IF(Table2[[#This Row],[Description]]="","",Table2[[#This Row],[Value]]/Table2[[#This Row],[Conversion]])</f>
        <v/>
      </c>
      <c r="K6448" s="45" t="str">
        <f>IF(Table2[[#This Row],[Description]]="","",DATE(Table2[[#This Row],[Year]],Table2[[#This Row],[Month]],1))</f>
        <v/>
      </c>
    </row>
    <row r="6449" spans="7:11" x14ac:dyDescent="0.25">
      <c r="G6449" s="1" t="str">
        <f>IF(Table2[[#This Row],[Description]]="","",VLOOKUP(Table2[[#This Row],[Description]],$Q$1:$S$101,2,FALSE))</f>
        <v/>
      </c>
      <c r="H6449" s="1" t="str">
        <f>IF(Table2[[#This Row],[Description]]="","",VLOOKUP(Table2[[#This Row],[Description]],$Q$1:$S$101,3,FALSE))</f>
        <v/>
      </c>
      <c r="I6449" s="1" t="str">
        <f>IF(Table2[[#This Row],[Description]]="","",IF(Table2[[#This Row],[Currency]]=$O$2,$P$2,HLOOKUP(Table2[[#This Row],[Date]],Funds!$C$10:$GV$11,2,FALSE)))</f>
        <v/>
      </c>
      <c r="J6449" s="215" t="str">
        <f>IF(Table2[[#This Row],[Description]]="","",Table2[[#This Row],[Value]]/Table2[[#This Row],[Conversion]])</f>
        <v/>
      </c>
      <c r="K6449" s="45" t="str">
        <f>IF(Table2[[#This Row],[Description]]="","",DATE(Table2[[#This Row],[Year]],Table2[[#This Row],[Month]],1))</f>
        <v/>
      </c>
    </row>
    <row r="6450" spans="7:11" x14ac:dyDescent="0.25">
      <c r="G6450" s="1" t="str">
        <f>IF(Table2[[#This Row],[Description]]="","",VLOOKUP(Table2[[#This Row],[Description]],$Q$1:$S$101,2,FALSE))</f>
        <v/>
      </c>
      <c r="H6450" s="1" t="str">
        <f>IF(Table2[[#This Row],[Description]]="","",VLOOKUP(Table2[[#This Row],[Description]],$Q$1:$S$101,3,FALSE))</f>
        <v/>
      </c>
      <c r="I6450" s="1" t="str">
        <f>IF(Table2[[#This Row],[Description]]="","",IF(Table2[[#This Row],[Currency]]=$O$2,$P$2,HLOOKUP(Table2[[#This Row],[Date]],Funds!$C$10:$GV$11,2,FALSE)))</f>
        <v/>
      </c>
      <c r="J6450" s="215" t="str">
        <f>IF(Table2[[#This Row],[Description]]="","",Table2[[#This Row],[Value]]/Table2[[#This Row],[Conversion]])</f>
        <v/>
      </c>
      <c r="K6450" s="45" t="str">
        <f>IF(Table2[[#This Row],[Description]]="","",DATE(Table2[[#This Row],[Year]],Table2[[#This Row],[Month]],1))</f>
        <v/>
      </c>
    </row>
    <row r="6451" spans="7:11" x14ac:dyDescent="0.25">
      <c r="G6451" s="1" t="str">
        <f>IF(Table2[[#This Row],[Description]]="","",VLOOKUP(Table2[[#This Row],[Description]],$Q$1:$S$101,2,FALSE))</f>
        <v/>
      </c>
      <c r="H6451" s="1" t="str">
        <f>IF(Table2[[#This Row],[Description]]="","",VLOOKUP(Table2[[#This Row],[Description]],$Q$1:$S$101,3,FALSE))</f>
        <v/>
      </c>
      <c r="I6451" s="1" t="str">
        <f>IF(Table2[[#This Row],[Description]]="","",IF(Table2[[#This Row],[Currency]]=$O$2,$P$2,HLOOKUP(Table2[[#This Row],[Date]],Funds!$C$10:$GV$11,2,FALSE)))</f>
        <v/>
      </c>
      <c r="J6451" s="215" t="str">
        <f>IF(Table2[[#This Row],[Description]]="","",Table2[[#This Row],[Value]]/Table2[[#This Row],[Conversion]])</f>
        <v/>
      </c>
      <c r="K6451" s="45" t="str">
        <f>IF(Table2[[#This Row],[Description]]="","",DATE(Table2[[#This Row],[Year]],Table2[[#This Row],[Month]],1))</f>
        <v/>
      </c>
    </row>
    <row r="6452" spans="7:11" x14ac:dyDescent="0.25">
      <c r="G6452" s="1" t="str">
        <f>IF(Table2[[#This Row],[Description]]="","",VLOOKUP(Table2[[#This Row],[Description]],$Q$1:$S$101,2,FALSE))</f>
        <v/>
      </c>
      <c r="H6452" s="1" t="str">
        <f>IF(Table2[[#This Row],[Description]]="","",VLOOKUP(Table2[[#This Row],[Description]],$Q$1:$S$101,3,FALSE))</f>
        <v/>
      </c>
      <c r="I6452" s="1" t="str">
        <f>IF(Table2[[#This Row],[Description]]="","",IF(Table2[[#This Row],[Currency]]=$O$2,$P$2,HLOOKUP(Table2[[#This Row],[Date]],Funds!$C$10:$GV$11,2,FALSE)))</f>
        <v/>
      </c>
      <c r="J6452" s="215" t="str">
        <f>IF(Table2[[#This Row],[Description]]="","",Table2[[#This Row],[Value]]/Table2[[#This Row],[Conversion]])</f>
        <v/>
      </c>
      <c r="K6452" s="45" t="str">
        <f>IF(Table2[[#This Row],[Description]]="","",DATE(Table2[[#This Row],[Year]],Table2[[#This Row],[Month]],1))</f>
        <v/>
      </c>
    </row>
    <row r="6453" spans="7:11" x14ac:dyDescent="0.25">
      <c r="G6453" s="1" t="str">
        <f>IF(Table2[[#This Row],[Description]]="","",VLOOKUP(Table2[[#This Row],[Description]],$Q$1:$S$101,2,FALSE))</f>
        <v/>
      </c>
      <c r="H6453" s="1" t="str">
        <f>IF(Table2[[#This Row],[Description]]="","",VLOOKUP(Table2[[#This Row],[Description]],$Q$1:$S$101,3,FALSE))</f>
        <v/>
      </c>
      <c r="I6453" s="1" t="str">
        <f>IF(Table2[[#This Row],[Description]]="","",IF(Table2[[#This Row],[Currency]]=$O$2,$P$2,HLOOKUP(Table2[[#This Row],[Date]],Funds!$C$10:$GV$11,2,FALSE)))</f>
        <v/>
      </c>
      <c r="J6453" s="215" t="str">
        <f>IF(Table2[[#This Row],[Description]]="","",Table2[[#This Row],[Value]]/Table2[[#This Row],[Conversion]])</f>
        <v/>
      </c>
      <c r="K6453" s="45" t="str">
        <f>IF(Table2[[#This Row],[Description]]="","",DATE(Table2[[#This Row],[Year]],Table2[[#This Row],[Month]],1))</f>
        <v/>
      </c>
    </row>
    <row r="6454" spans="7:11" x14ac:dyDescent="0.25">
      <c r="G6454" s="1" t="str">
        <f>IF(Table2[[#This Row],[Description]]="","",VLOOKUP(Table2[[#This Row],[Description]],$Q$1:$S$101,2,FALSE))</f>
        <v/>
      </c>
      <c r="H6454" s="1" t="str">
        <f>IF(Table2[[#This Row],[Description]]="","",VLOOKUP(Table2[[#This Row],[Description]],$Q$1:$S$101,3,FALSE))</f>
        <v/>
      </c>
      <c r="I6454" s="1" t="str">
        <f>IF(Table2[[#This Row],[Description]]="","",IF(Table2[[#This Row],[Currency]]=$O$2,$P$2,HLOOKUP(Table2[[#This Row],[Date]],Funds!$C$10:$GV$11,2,FALSE)))</f>
        <v/>
      </c>
      <c r="J6454" s="215" t="str">
        <f>IF(Table2[[#This Row],[Description]]="","",Table2[[#This Row],[Value]]/Table2[[#This Row],[Conversion]])</f>
        <v/>
      </c>
      <c r="K6454" s="45" t="str">
        <f>IF(Table2[[#This Row],[Description]]="","",DATE(Table2[[#This Row],[Year]],Table2[[#This Row],[Month]],1))</f>
        <v/>
      </c>
    </row>
    <row r="6455" spans="7:11" x14ac:dyDescent="0.25">
      <c r="G6455" s="1" t="str">
        <f>IF(Table2[[#This Row],[Description]]="","",VLOOKUP(Table2[[#This Row],[Description]],$Q$1:$S$101,2,FALSE))</f>
        <v/>
      </c>
      <c r="H6455" s="1" t="str">
        <f>IF(Table2[[#This Row],[Description]]="","",VLOOKUP(Table2[[#This Row],[Description]],$Q$1:$S$101,3,FALSE))</f>
        <v/>
      </c>
      <c r="I6455" s="1" t="str">
        <f>IF(Table2[[#This Row],[Description]]="","",IF(Table2[[#This Row],[Currency]]=$O$2,$P$2,HLOOKUP(Table2[[#This Row],[Date]],Funds!$C$10:$GV$11,2,FALSE)))</f>
        <v/>
      </c>
      <c r="J6455" s="215" t="str">
        <f>IF(Table2[[#This Row],[Description]]="","",Table2[[#This Row],[Value]]/Table2[[#This Row],[Conversion]])</f>
        <v/>
      </c>
      <c r="K6455" s="45" t="str">
        <f>IF(Table2[[#This Row],[Description]]="","",DATE(Table2[[#This Row],[Year]],Table2[[#This Row],[Month]],1))</f>
        <v/>
      </c>
    </row>
    <row r="6456" spans="7:11" x14ac:dyDescent="0.25">
      <c r="G6456" s="1" t="str">
        <f>IF(Table2[[#This Row],[Description]]="","",VLOOKUP(Table2[[#This Row],[Description]],$Q$1:$S$101,2,FALSE))</f>
        <v/>
      </c>
      <c r="H6456" s="1" t="str">
        <f>IF(Table2[[#This Row],[Description]]="","",VLOOKUP(Table2[[#This Row],[Description]],$Q$1:$S$101,3,FALSE))</f>
        <v/>
      </c>
      <c r="I6456" s="1" t="str">
        <f>IF(Table2[[#This Row],[Description]]="","",IF(Table2[[#This Row],[Currency]]=$O$2,$P$2,HLOOKUP(Table2[[#This Row],[Date]],Funds!$C$10:$GV$11,2,FALSE)))</f>
        <v/>
      </c>
      <c r="J6456" s="215" t="str">
        <f>IF(Table2[[#This Row],[Description]]="","",Table2[[#This Row],[Value]]/Table2[[#This Row],[Conversion]])</f>
        <v/>
      </c>
      <c r="K6456" s="45" t="str">
        <f>IF(Table2[[#This Row],[Description]]="","",DATE(Table2[[#This Row],[Year]],Table2[[#This Row],[Month]],1))</f>
        <v/>
      </c>
    </row>
    <row r="6457" spans="7:11" x14ac:dyDescent="0.25">
      <c r="G6457" s="1" t="str">
        <f>IF(Table2[[#This Row],[Description]]="","",VLOOKUP(Table2[[#This Row],[Description]],$Q$1:$S$101,2,FALSE))</f>
        <v/>
      </c>
      <c r="H6457" s="1" t="str">
        <f>IF(Table2[[#This Row],[Description]]="","",VLOOKUP(Table2[[#This Row],[Description]],$Q$1:$S$101,3,FALSE))</f>
        <v/>
      </c>
      <c r="I6457" s="1" t="str">
        <f>IF(Table2[[#This Row],[Description]]="","",IF(Table2[[#This Row],[Currency]]=$O$2,$P$2,HLOOKUP(Table2[[#This Row],[Date]],Funds!$C$10:$GV$11,2,FALSE)))</f>
        <v/>
      </c>
      <c r="J6457" s="215" t="str">
        <f>IF(Table2[[#This Row],[Description]]="","",Table2[[#This Row],[Value]]/Table2[[#This Row],[Conversion]])</f>
        <v/>
      </c>
      <c r="K6457" s="45" t="str">
        <f>IF(Table2[[#This Row],[Description]]="","",DATE(Table2[[#This Row],[Year]],Table2[[#This Row],[Month]],1))</f>
        <v/>
      </c>
    </row>
    <row r="6458" spans="7:11" x14ac:dyDescent="0.25">
      <c r="G6458" s="1" t="str">
        <f>IF(Table2[[#This Row],[Description]]="","",VLOOKUP(Table2[[#This Row],[Description]],$Q$1:$S$101,2,FALSE))</f>
        <v/>
      </c>
      <c r="H6458" s="1" t="str">
        <f>IF(Table2[[#This Row],[Description]]="","",VLOOKUP(Table2[[#This Row],[Description]],$Q$1:$S$101,3,FALSE))</f>
        <v/>
      </c>
      <c r="I6458" s="1" t="str">
        <f>IF(Table2[[#This Row],[Description]]="","",IF(Table2[[#This Row],[Currency]]=$O$2,$P$2,HLOOKUP(Table2[[#This Row],[Date]],Funds!$C$10:$GV$11,2,FALSE)))</f>
        <v/>
      </c>
      <c r="J6458" s="215" t="str">
        <f>IF(Table2[[#This Row],[Description]]="","",Table2[[#This Row],[Value]]/Table2[[#This Row],[Conversion]])</f>
        <v/>
      </c>
      <c r="K6458" s="45" t="str">
        <f>IF(Table2[[#This Row],[Description]]="","",DATE(Table2[[#This Row],[Year]],Table2[[#This Row],[Month]],1))</f>
        <v/>
      </c>
    </row>
    <row r="6459" spans="7:11" x14ac:dyDescent="0.25">
      <c r="G6459" s="1" t="str">
        <f>IF(Table2[[#This Row],[Description]]="","",VLOOKUP(Table2[[#This Row],[Description]],$Q$1:$S$101,2,FALSE))</f>
        <v/>
      </c>
      <c r="H6459" s="1" t="str">
        <f>IF(Table2[[#This Row],[Description]]="","",VLOOKUP(Table2[[#This Row],[Description]],$Q$1:$S$101,3,FALSE))</f>
        <v/>
      </c>
      <c r="I6459" s="1" t="str">
        <f>IF(Table2[[#This Row],[Description]]="","",IF(Table2[[#This Row],[Currency]]=$O$2,$P$2,HLOOKUP(Table2[[#This Row],[Date]],Funds!$C$10:$GV$11,2,FALSE)))</f>
        <v/>
      </c>
      <c r="J6459" s="215" t="str">
        <f>IF(Table2[[#This Row],[Description]]="","",Table2[[#This Row],[Value]]/Table2[[#This Row],[Conversion]])</f>
        <v/>
      </c>
      <c r="K6459" s="45" t="str">
        <f>IF(Table2[[#This Row],[Description]]="","",DATE(Table2[[#This Row],[Year]],Table2[[#This Row],[Month]],1))</f>
        <v/>
      </c>
    </row>
    <row r="6460" spans="7:11" x14ac:dyDescent="0.25">
      <c r="G6460" s="1" t="str">
        <f>IF(Table2[[#This Row],[Description]]="","",VLOOKUP(Table2[[#This Row],[Description]],$Q$1:$S$101,2,FALSE))</f>
        <v/>
      </c>
      <c r="H6460" s="1" t="str">
        <f>IF(Table2[[#This Row],[Description]]="","",VLOOKUP(Table2[[#This Row],[Description]],$Q$1:$S$101,3,FALSE))</f>
        <v/>
      </c>
      <c r="I6460" s="1" t="str">
        <f>IF(Table2[[#This Row],[Description]]="","",IF(Table2[[#This Row],[Currency]]=$O$2,$P$2,HLOOKUP(Table2[[#This Row],[Date]],Funds!$C$10:$GV$11,2,FALSE)))</f>
        <v/>
      </c>
      <c r="J6460" s="215" t="str">
        <f>IF(Table2[[#This Row],[Description]]="","",Table2[[#This Row],[Value]]/Table2[[#This Row],[Conversion]])</f>
        <v/>
      </c>
      <c r="K6460" s="45" t="str">
        <f>IF(Table2[[#This Row],[Description]]="","",DATE(Table2[[#This Row],[Year]],Table2[[#This Row],[Month]],1))</f>
        <v/>
      </c>
    </row>
    <row r="6461" spans="7:11" x14ac:dyDescent="0.25">
      <c r="G6461" s="1" t="str">
        <f>IF(Table2[[#This Row],[Description]]="","",VLOOKUP(Table2[[#This Row],[Description]],$Q$1:$S$101,2,FALSE))</f>
        <v/>
      </c>
      <c r="H6461" s="1" t="str">
        <f>IF(Table2[[#This Row],[Description]]="","",VLOOKUP(Table2[[#This Row],[Description]],$Q$1:$S$101,3,FALSE))</f>
        <v/>
      </c>
      <c r="I6461" s="1" t="str">
        <f>IF(Table2[[#This Row],[Description]]="","",IF(Table2[[#This Row],[Currency]]=$O$2,$P$2,HLOOKUP(Table2[[#This Row],[Date]],Funds!$C$10:$GV$11,2,FALSE)))</f>
        <v/>
      </c>
      <c r="J6461" s="215" t="str">
        <f>IF(Table2[[#This Row],[Description]]="","",Table2[[#This Row],[Value]]/Table2[[#This Row],[Conversion]])</f>
        <v/>
      </c>
      <c r="K6461" s="45" t="str">
        <f>IF(Table2[[#This Row],[Description]]="","",DATE(Table2[[#This Row],[Year]],Table2[[#This Row],[Month]],1))</f>
        <v/>
      </c>
    </row>
    <row r="6462" spans="7:11" x14ac:dyDescent="0.25">
      <c r="G6462" s="1" t="str">
        <f>IF(Table2[[#This Row],[Description]]="","",VLOOKUP(Table2[[#This Row],[Description]],$Q$1:$S$101,2,FALSE))</f>
        <v/>
      </c>
      <c r="H6462" s="1" t="str">
        <f>IF(Table2[[#This Row],[Description]]="","",VLOOKUP(Table2[[#This Row],[Description]],$Q$1:$S$101,3,FALSE))</f>
        <v/>
      </c>
      <c r="I6462" s="1" t="str">
        <f>IF(Table2[[#This Row],[Description]]="","",IF(Table2[[#This Row],[Currency]]=$O$2,$P$2,HLOOKUP(Table2[[#This Row],[Date]],Funds!$C$10:$GV$11,2,FALSE)))</f>
        <v/>
      </c>
      <c r="J6462" s="215" t="str">
        <f>IF(Table2[[#This Row],[Description]]="","",Table2[[#This Row],[Value]]/Table2[[#This Row],[Conversion]])</f>
        <v/>
      </c>
      <c r="K6462" s="45" t="str">
        <f>IF(Table2[[#This Row],[Description]]="","",DATE(Table2[[#This Row],[Year]],Table2[[#This Row],[Month]],1))</f>
        <v/>
      </c>
    </row>
    <row r="6463" spans="7:11" x14ac:dyDescent="0.25">
      <c r="G6463" s="1" t="str">
        <f>IF(Table2[[#This Row],[Description]]="","",VLOOKUP(Table2[[#This Row],[Description]],$Q$1:$S$101,2,FALSE))</f>
        <v/>
      </c>
      <c r="H6463" s="1" t="str">
        <f>IF(Table2[[#This Row],[Description]]="","",VLOOKUP(Table2[[#This Row],[Description]],$Q$1:$S$101,3,FALSE))</f>
        <v/>
      </c>
      <c r="I6463" s="1" t="str">
        <f>IF(Table2[[#This Row],[Description]]="","",IF(Table2[[#This Row],[Currency]]=$O$2,$P$2,HLOOKUP(Table2[[#This Row],[Date]],Funds!$C$10:$GV$11,2,FALSE)))</f>
        <v/>
      </c>
      <c r="J6463" s="215" t="str">
        <f>IF(Table2[[#This Row],[Description]]="","",Table2[[#This Row],[Value]]/Table2[[#This Row],[Conversion]])</f>
        <v/>
      </c>
      <c r="K6463" s="45" t="str">
        <f>IF(Table2[[#This Row],[Description]]="","",DATE(Table2[[#This Row],[Year]],Table2[[#This Row],[Month]],1))</f>
        <v/>
      </c>
    </row>
    <row r="6464" spans="7:11" x14ac:dyDescent="0.25">
      <c r="G6464" s="1" t="str">
        <f>IF(Table2[[#This Row],[Description]]="","",VLOOKUP(Table2[[#This Row],[Description]],$Q$1:$S$101,2,FALSE))</f>
        <v/>
      </c>
      <c r="H6464" s="1" t="str">
        <f>IF(Table2[[#This Row],[Description]]="","",VLOOKUP(Table2[[#This Row],[Description]],$Q$1:$S$101,3,FALSE))</f>
        <v/>
      </c>
      <c r="I6464" s="1" t="str">
        <f>IF(Table2[[#This Row],[Description]]="","",IF(Table2[[#This Row],[Currency]]=$O$2,$P$2,HLOOKUP(Table2[[#This Row],[Date]],Funds!$C$10:$GV$11,2,FALSE)))</f>
        <v/>
      </c>
      <c r="J6464" s="215" t="str">
        <f>IF(Table2[[#This Row],[Description]]="","",Table2[[#This Row],[Value]]/Table2[[#This Row],[Conversion]])</f>
        <v/>
      </c>
      <c r="K6464" s="45" t="str">
        <f>IF(Table2[[#This Row],[Description]]="","",DATE(Table2[[#This Row],[Year]],Table2[[#This Row],[Month]],1))</f>
        <v/>
      </c>
    </row>
    <row r="6465" spans="7:11" x14ac:dyDescent="0.25">
      <c r="G6465" s="1" t="str">
        <f>IF(Table2[[#This Row],[Description]]="","",VLOOKUP(Table2[[#This Row],[Description]],$Q$1:$S$101,2,FALSE))</f>
        <v/>
      </c>
      <c r="H6465" s="1" t="str">
        <f>IF(Table2[[#This Row],[Description]]="","",VLOOKUP(Table2[[#This Row],[Description]],$Q$1:$S$101,3,FALSE))</f>
        <v/>
      </c>
      <c r="I6465" s="1" t="str">
        <f>IF(Table2[[#This Row],[Description]]="","",IF(Table2[[#This Row],[Currency]]=$O$2,$P$2,HLOOKUP(Table2[[#This Row],[Date]],Funds!$C$10:$GV$11,2,FALSE)))</f>
        <v/>
      </c>
      <c r="J6465" s="215" t="str">
        <f>IF(Table2[[#This Row],[Description]]="","",Table2[[#This Row],[Value]]/Table2[[#This Row],[Conversion]])</f>
        <v/>
      </c>
      <c r="K6465" s="45" t="str">
        <f>IF(Table2[[#This Row],[Description]]="","",DATE(Table2[[#This Row],[Year]],Table2[[#This Row],[Month]],1))</f>
        <v/>
      </c>
    </row>
    <row r="6466" spans="7:11" x14ac:dyDescent="0.25">
      <c r="G6466" s="1" t="str">
        <f>IF(Table2[[#This Row],[Description]]="","",VLOOKUP(Table2[[#This Row],[Description]],$Q$1:$S$101,2,FALSE))</f>
        <v/>
      </c>
      <c r="H6466" s="1" t="str">
        <f>IF(Table2[[#This Row],[Description]]="","",VLOOKUP(Table2[[#This Row],[Description]],$Q$1:$S$101,3,FALSE))</f>
        <v/>
      </c>
      <c r="I6466" s="1" t="str">
        <f>IF(Table2[[#This Row],[Description]]="","",IF(Table2[[#This Row],[Currency]]=$O$2,$P$2,HLOOKUP(Table2[[#This Row],[Date]],Funds!$C$10:$GV$11,2,FALSE)))</f>
        <v/>
      </c>
      <c r="J6466" s="215" t="str">
        <f>IF(Table2[[#This Row],[Description]]="","",Table2[[#This Row],[Value]]/Table2[[#This Row],[Conversion]])</f>
        <v/>
      </c>
      <c r="K6466" s="45" t="str">
        <f>IF(Table2[[#This Row],[Description]]="","",DATE(Table2[[#This Row],[Year]],Table2[[#This Row],[Month]],1))</f>
        <v/>
      </c>
    </row>
    <row r="6467" spans="7:11" x14ac:dyDescent="0.25">
      <c r="G6467" s="1" t="str">
        <f>IF(Table2[[#This Row],[Description]]="","",VLOOKUP(Table2[[#This Row],[Description]],$Q$1:$S$101,2,FALSE))</f>
        <v/>
      </c>
      <c r="H6467" s="1" t="str">
        <f>IF(Table2[[#This Row],[Description]]="","",VLOOKUP(Table2[[#This Row],[Description]],$Q$1:$S$101,3,FALSE))</f>
        <v/>
      </c>
      <c r="I6467" s="1" t="str">
        <f>IF(Table2[[#This Row],[Description]]="","",IF(Table2[[#This Row],[Currency]]=$O$2,$P$2,HLOOKUP(Table2[[#This Row],[Date]],Funds!$C$10:$GV$11,2,FALSE)))</f>
        <v/>
      </c>
      <c r="J6467" s="215" t="str">
        <f>IF(Table2[[#This Row],[Description]]="","",Table2[[#This Row],[Value]]/Table2[[#This Row],[Conversion]])</f>
        <v/>
      </c>
      <c r="K6467" s="45" t="str">
        <f>IF(Table2[[#This Row],[Description]]="","",DATE(Table2[[#This Row],[Year]],Table2[[#This Row],[Month]],1))</f>
        <v/>
      </c>
    </row>
    <row r="6468" spans="7:11" x14ac:dyDescent="0.25">
      <c r="G6468" s="1" t="str">
        <f>IF(Table2[[#This Row],[Description]]="","",VLOOKUP(Table2[[#This Row],[Description]],$Q$1:$S$101,2,FALSE))</f>
        <v/>
      </c>
      <c r="H6468" s="1" t="str">
        <f>IF(Table2[[#This Row],[Description]]="","",VLOOKUP(Table2[[#This Row],[Description]],$Q$1:$S$101,3,FALSE))</f>
        <v/>
      </c>
      <c r="I6468" s="1" t="str">
        <f>IF(Table2[[#This Row],[Description]]="","",IF(Table2[[#This Row],[Currency]]=$O$2,$P$2,HLOOKUP(Table2[[#This Row],[Date]],Funds!$C$10:$GV$11,2,FALSE)))</f>
        <v/>
      </c>
      <c r="J6468" s="215" t="str">
        <f>IF(Table2[[#This Row],[Description]]="","",Table2[[#This Row],[Value]]/Table2[[#This Row],[Conversion]])</f>
        <v/>
      </c>
      <c r="K6468" s="45" t="str">
        <f>IF(Table2[[#This Row],[Description]]="","",DATE(Table2[[#This Row],[Year]],Table2[[#This Row],[Month]],1))</f>
        <v/>
      </c>
    </row>
    <row r="6469" spans="7:11" x14ac:dyDescent="0.25">
      <c r="G6469" s="1" t="str">
        <f>IF(Table2[[#This Row],[Description]]="","",VLOOKUP(Table2[[#This Row],[Description]],$Q$1:$S$101,2,FALSE))</f>
        <v/>
      </c>
      <c r="H6469" s="1" t="str">
        <f>IF(Table2[[#This Row],[Description]]="","",VLOOKUP(Table2[[#This Row],[Description]],$Q$1:$S$101,3,FALSE))</f>
        <v/>
      </c>
      <c r="I6469" s="1" t="str">
        <f>IF(Table2[[#This Row],[Description]]="","",IF(Table2[[#This Row],[Currency]]=$O$2,$P$2,HLOOKUP(Table2[[#This Row],[Date]],Funds!$C$10:$GV$11,2,FALSE)))</f>
        <v/>
      </c>
      <c r="J6469" s="215" t="str">
        <f>IF(Table2[[#This Row],[Description]]="","",Table2[[#This Row],[Value]]/Table2[[#This Row],[Conversion]])</f>
        <v/>
      </c>
      <c r="K6469" s="45" t="str">
        <f>IF(Table2[[#This Row],[Description]]="","",DATE(Table2[[#This Row],[Year]],Table2[[#This Row],[Month]],1))</f>
        <v/>
      </c>
    </row>
    <row r="6470" spans="7:11" x14ac:dyDescent="0.25">
      <c r="G6470" s="1" t="str">
        <f>IF(Table2[[#This Row],[Description]]="","",VLOOKUP(Table2[[#This Row],[Description]],$Q$1:$S$101,2,FALSE))</f>
        <v/>
      </c>
      <c r="H6470" s="1" t="str">
        <f>IF(Table2[[#This Row],[Description]]="","",VLOOKUP(Table2[[#This Row],[Description]],$Q$1:$S$101,3,FALSE))</f>
        <v/>
      </c>
      <c r="I6470" s="1" t="str">
        <f>IF(Table2[[#This Row],[Description]]="","",IF(Table2[[#This Row],[Currency]]=$O$2,$P$2,HLOOKUP(Table2[[#This Row],[Date]],Funds!$C$10:$GV$11,2,FALSE)))</f>
        <v/>
      </c>
      <c r="J6470" s="215" t="str">
        <f>IF(Table2[[#This Row],[Description]]="","",Table2[[#This Row],[Value]]/Table2[[#This Row],[Conversion]])</f>
        <v/>
      </c>
      <c r="K6470" s="45" t="str">
        <f>IF(Table2[[#This Row],[Description]]="","",DATE(Table2[[#This Row],[Year]],Table2[[#This Row],[Month]],1))</f>
        <v/>
      </c>
    </row>
    <row r="6471" spans="7:11" x14ac:dyDescent="0.25">
      <c r="G6471" s="1" t="str">
        <f>IF(Table2[[#This Row],[Description]]="","",VLOOKUP(Table2[[#This Row],[Description]],$Q$1:$S$101,2,FALSE))</f>
        <v/>
      </c>
      <c r="H6471" s="1" t="str">
        <f>IF(Table2[[#This Row],[Description]]="","",VLOOKUP(Table2[[#This Row],[Description]],$Q$1:$S$101,3,FALSE))</f>
        <v/>
      </c>
      <c r="I6471" s="1" t="str">
        <f>IF(Table2[[#This Row],[Description]]="","",IF(Table2[[#This Row],[Currency]]=$O$2,$P$2,HLOOKUP(Table2[[#This Row],[Date]],Funds!$C$10:$GV$11,2,FALSE)))</f>
        <v/>
      </c>
      <c r="J6471" s="215" t="str">
        <f>IF(Table2[[#This Row],[Description]]="","",Table2[[#This Row],[Value]]/Table2[[#This Row],[Conversion]])</f>
        <v/>
      </c>
      <c r="K6471" s="45" t="str">
        <f>IF(Table2[[#This Row],[Description]]="","",DATE(Table2[[#This Row],[Year]],Table2[[#This Row],[Month]],1))</f>
        <v/>
      </c>
    </row>
    <row r="6472" spans="7:11" x14ac:dyDescent="0.25">
      <c r="G6472" s="1" t="str">
        <f>IF(Table2[[#This Row],[Description]]="","",VLOOKUP(Table2[[#This Row],[Description]],$Q$1:$S$101,2,FALSE))</f>
        <v/>
      </c>
      <c r="H6472" s="1" t="str">
        <f>IF(Table2[[#This Row],[Description]]="","",VLOOKUP(Table2[[#This Row],[Description]],$Q$1:$S$101,3,FALSE))</f>
        <v/>
      </c>
      <c r="I6472" s="1" t="str">
        <f>IF(Table2[[#This Row],[Description]]="","",IF(Table2[[#This Row],[Currency]]=$O$2,$P$2,HLOOKUP(Table2[[#This Row],[Date]],Funds!$C$10:$GV$11,2,FALSE)))</f>
        <v/>
      </c>
      <c r="J6472" s="215" t="str">
        <f>IF(Table2[[#This Row],[Description]]="","",Table2[[#This Row],[Value]]/Table2[[#This Row],[Conversion]])</f>
        <v/>
      </c>
      <c r="K6472" s="45" t="str">
        <f>IF(Table2[[#This Row],[Description]]="","",DATE(Table2[[#This Row],[Year]],Table2[[#This Row],[Month]],1))</f>
        <v/>
      </c>
    </row>
    <row r="6473" spans="7:11" x14ac:dyDescent="0.25">
      <c r="G6473" s="1" t="str">
        <f>IF(Table2[[#This Row],[Description]]="","",VLOOKUP(Table2[[#This Row],[Description]],$Q$1:$S$101,2,FALSE))</f>
        <v/>
      </c>
      <c r="H6473" s="1" t="str">
        <f>IF(Table2[[#This Row],[Description]]="","",VLOOKUP(Table2[[#This Row],[Description]],$Q$1:$S$101,3,FALSE))</f>
        <v/>
      </c>
      <c r="I6473" s="1" t="str">
        <f>IF(Table2[[#This Row],[Description]]="","",IF(Table2[[#This Row],[Currency]]=$O$2,$P$2,HLOOKUP(Table2[[#This Row],[Date]],Funds!$C$10:$GV$11,2,FALSE)))</f>
        <v/>
      </c>
      <c r="J6473" s="215" t="str">
        <f>IF(Table2[[#This Row],[Description]]="","",Table2[[#This Row],[Value]]/Table2[[#This Row],[Conversion]])</f>
        <v/>
      </c>
      <c r="K6473" s="45" t="str">
        <f>IF(Table2[[#This Row],[Description]]="","",DATE(Table2[[#This Row],[Year]],Table2[[#This Row],[Month]],1))</f>
        <v/>
      </c>
    </row>
    <row r="6474" spans="7:11" x14ac:dyDescent="0.25">
      <c r="G6474" s="1" t="str">
        <f>IF(Table2[[#This Row],[Description]]="","",VLOOKUP(Table2[[#This Row],[Description]],$Q$1:$S$101,2,FALSE))</f>
        <v/>
      </c>
      <c r="H6474" s="1" t="str">
        <f>IF(Table2[[#This Row],[Description]]="","",VLOOKUP(Table2[[#This Row],[Description]],$Q$1:$S$101,3,FALSE))</f>
        <v/>
      </c>
      <c r="I6474" s="1" t="str">
        <f>IF(Table2[[#This Row],[Description]]="","",IF(Table2[[#This Row],[Currency]]=$O$2,$P$2,HLOOKUP(Table2[[#This Row],[Date]],Funds!$C$10:$GV$11,2,FALSE)))</f>
        <v/>
      </c>
      <c r="J6474" s="215" t="str">
        <f>IF(Table2[[#This Row],[Description]]="","",Table2[[#This Row],[Value]]/Table2[[#This Row],[Conversion]])</f>
        <v/>
      </c>
      <c r="K6474" s="45" t="str">
        <f>IF(Table2[[#This Row],[Description]]="","",DATE(Table2[[#This Row],[Year]],Table2[[#This Row],[Month]],1))</f>
        <v/>
      </c>
    </row>
    <row r="6475" spans="7:11" x14ac:dyDescent="0.25">
      <c r="G6475" s="1" t="str">
        <f>IF(Table2[[#This Row],[Description]]="","",VLOOKUP(Table2[[#This Row],[Description]],$Q$1:$S$101,2,FALSE))</f>
        <v/>
      </c>
      <c r="H6475" s="1" t="str">
        <f>IF(Table2[[#This Row],[Description]]="","",VLOOKUP(Table2[[#This Row],[Description]],$Q$1:$S$101,3,FALSE))</f>
        <v/>
      </c>
      <c r="I6475" s="1" t="str">
        <f>IF(Table2[[#This Row],[Description]]="","",IF(Table2[[#This Row],[Currency]]=$O$2,$P$2,HLOOKUP(Table2[[#This Row],[Date]],Funds!$C$10:$GV$11,2,FALSE)))</f>
        <v/>
      </c>
      <c r="J6475" s="215" t="str">
        <f>IF(Table2[[#This Row],[Description]]="","",Table2[[#This Row],[Value]]/Table2[[#This Row],[Conversion]])</f>
        <v/>
      </c>
      <c r="K6475" s="45" t="str">
        <f>IF(Table2[[#This Row],[Description]]="","",DATE(Table2[[#This Row],[Year]],Table2[[#This Row],[Month]],1))</f>
        <v/>
      </c>
    </row>
    <row r="6476" spans="7:11" x14ac:dyDescent="0.25">
      <c r="G6476" s="1" t="str">
        <f>IF(Table2[[#This Row],[Description]]="","",VLOOKUP(Table2[[#This Row],[Description]],$Q$1:$S$101,2,FALSE))</f>
        <v/>
      </c>
      <c r="H6476" s="1" t="str">
        <f>IF(Table2[[#This Row],[Description]]="","",VLOOKUP(Table2[[#This Row],[Description]],$Q$1:$S$101,3,FALSE))</f>
        <v/>
      </c>
      <c r="I6476" s="1" t="str">
        <f>IF(Table2[[#This Row],[Description]]="","",IF(Table2[[#This Row],[Currency]]=$O$2,$P$2,HLOOKUP(Table2[[#This Row],[Date]],Funds!$C$10:$GV$11,2,FALSE)))</f>
        <v/>
      </c>
      <c r="J6476" s="215" t="str">
        <f>IF(Table2[[#This Row],[Description]]="","",Table2[[#This Row],[Value]]/Table2[[#This Row],[Conversion]])</f>
        <v/>
      </c>
      <c r="K6476" s="45" t="str">
        <f>IF(Table2[[#This Row],[Description]]="","",DATE(Table2[[#This Row],[Year]],Table2[[#This Row],[Month]],1))</f>
        <v/>
      </c>
    </row>
    <row r="6477" spans="7:11" x14ac:dyDescent="0.25">
      <c r="G6477" s="1" t="str">
        <f>IF(Table2[[#This Row],[Description]]="","",VLOOKUP(Table2[[#This Row],[Description]],$Q$1:$S$101,2,FALSE))</f>
        <v/>
      </c>
      <c r="H6477" s="1" t="str">
        <f>IF(Table2[[#This Row],[Description]]="","",VLOOKUP(Table2[[#This Row],[Description]],$Q$1:$S$101,3,FALSE))</f>
        <v/>
      </c>
      <c r="I6477" s="1" t="str">
        <f>IF(Table2[[#This Row],[Description]]="","",IF(Table2[[#This Row],[Currency]]=$O$2,$P$2,HLOOKUP(Table2[[#This Row],[Date]],Funds!$C$10:$GV$11,2,FALSE)))</f>
        <v/>
      </c>
      <c r="J6477" s="215" t="str">
        <f>IF(Table2[[#This Row],[Description]]="","",Table2[[#This Row],[Value]]/Table2[[#This Row],[Conversion]])</f>
        <v/>
      </c>
      <c r="K6477" s="45" t="str">
        <f>IF(Table2[[#This Row],[Description]]="","",DATE(Table2[[#This Row],[Year]],Table2[[#This Row],[Month]],1))</f>
        <v/>
      </c>
    </row>
    <row r="6478" spans="7:11" x14ac:dyDescent="0.25">
      <c r="G6478" s="1" t="str">
        <f>IF(Table2[[#This Row],[Description]]="","",VLOOKUP(Table2[[#This Row],[Description]],$Q$1:$S$101,2,FALSE))</f>
        <v/>
      </c>
      <c r="H6478" s="1" t="str">
        <f>IF(Table2[[#This Row],[Description]]="","",VLOOKUP(Table2[[#This Row],[Description]],$Q$1:$S$101,3,FALSE))</f>
        <v/>
      </c>
      <c r="I6478" s="1" t="str">
        <f>IF(Table2[[#This Row],[Description]]="","",IF(Table2[[#This Row],[Currency]]=$O$2,$P$2,HLOOKUP(Table2[[#This Row],[Date]],Funds!$C$10:$GV$11,2,FALSE)))</f>
        <v/>
      </c>
      <c r="J6478" s="215" t="str">
        <f>IF(Table2[[#This Row],[Description]]="","",Table2[[#This Row],[Value]]/Table2[[#This Row],[Conversion]])</f>
        <v/>
      </c>
      <c r="K6478" s="45" t="str">
        <f>IF(Table2[[#This Row],[Description]]="","",DATE(Table2[[#This Row],[Year]],Table2[[#This Row],[Month]],1))</f>
        <v/>
      </c>
    </row>
    <row r="6479" spans="7:11" x14ac:dyDescent="0.25">
      <c r="G6479" s="1" t="str">
        <f>IF(Table2[[#This Row],[Description]]="","",VLOOKUP(Table2[[#This Row],[Description]],$Q$1:$S$101,2,FALSE))</f>
        <v/>
      </c>
      <c r="H6479" s="1" t="str">
        <f>IF(Table2[[#This Row],[Description]]="","",VLOOKUP(Table2[[#This Row],[Description]],$Q$1:$S$101,3,FALSE))</f>
        <v/>
      </c>
      <c r="I6479" s="1" t="str">
        <f>IF(Table2[[#This Row],[Description]]="","",IF(Table2[[#This Row],[Currency]]=$O$2,$P$2,HLOOKUP(Table2[[#This Row],[Date]],Funds!$C$10:$GV$11,2,FALSE)))</f>
        <v/>
      </c>
      <c r="J6479" s="215" t="str">
        <f>IF(Table2[[#This Row],[Description]]="","",Table2[[#This Row],[Value]]/Table2[[#This Row],[Conversion]])</f>
        <v/>
      </c>
      <c r="K6479" s="45" t="str">
        <f>IF(Table2[[#This Row],[Description]]="","",DATE(Table2[[#This Row],[Year]],Table2[[#This Row],[Month]],1))</f>
        <v/>
      </c>
    </row>
    <row r="6480" spans="7:11" x14ac:dyDescent="0.25">
      <c r="G6480" s="1" t="str">
        <f>IF(Table2[[#This Row],[Description]]="","",VLOOKUP(Table2[[#This Row],[Description]],$Q$1:$S$101,2,FALSE))</f>
        <v/>
      </c>
      <c r="H6480" s="1" t="str">
        <f>IF(Table2[[#This Row],[Description]]="","",VLOOKUP(Table2[[#This Row],[Description]],$Q$1:$S$101,3,FALSE))</f>
        <v/>
      </c>
      <c r="I6480" s="1" t="str">
        <f>IF(Table2[[#This Row],[Description]]="","",IF(Table2[[#This Row],[Currency]]=$O$2,$P$2,HLOOKUP(Table2[[#This Row],[Date]],Funds!$C$10:$GV$11,2,FALSE)))</f>
        <v/>
      </c>
      <c r="J6480" s="215" t="str">
        <f>IF(Table2[[#This Row],[Description]]="","",Table2[[#This Row],[Value]]/Table2[[#This Row],[Conversion]])</f>
        <v/>
      </c>
      <c r="K6480" s="45" t="str">
        <f>IF(Table2[[#This Row],[Description]]="","",DATE(Table2[[#This Row],[Year]],Table2[[#This Row],[Month]],1))</f>
        <v/>
      </c>
    </row>
    <row r="6481" spans="7:11" x14ac:dyDescent="0.25">
      <c r="G6481" s="1" t="str">
        <f>IF(Table2[[#This Row],[Description]]="","",VLOOKUP(Table2[[#This Row],[Description]],$Q$1:$S$101,2,FALSE))</f>
        <v/>
      </c>
      <c r="H6481" s="1" t="str">
        <f>IF(Table2[[#This Row],[Description]]="","",VLOOKUP(Table2[[#This Row],[Description]],$Q$1:$S$101,3,FALSE))</f>
        <v/>
      </c>
      <c r="I6481" s="1" t="str">
        <f>IF(Table2[[#This Row],[Description]]="","",IF(Table2[[#This Row],[Currency]]=$O$2,$P$2,HLOOKUP(Table2[[#This Row],[Date]],Funds!$C$10:$GV$11,2,FALSE)))</f>
        <v/>
      </c>
      <c r="J6481" s="215" t="str">
        <f>IF(Table2[[#This Row],[Description]]="","",Table2[[#This Row],[Value]]/Table2[[#This Row],[Conversion]])</f>
        <v/>
      </c>
      <c r="K6481" s="45" t="str">
        <f>IF(Table2[[#This Row],[Description]]="","",DATE(Table2[[#This Row],[Year]],Table2[[#This Row],[Month]],1))</f>
        <v/>
      </c>
    </row>
    <row r="6482" spans="7:11" x14ac:dyDescent="0.25">
      <c r="G6482" s="1" t="str">
        <f>IF(Table2[[#This Row],[Description]]="","",VLOOKUP(Table2[[#This Row],[Description]],$Q$1:$S$101,2,FALSE))</f>
        <v/>
      </c>
      <c r="H6482" s="1" t="str">
        <f>IF(Table2[[#This Row],[Description]]="","",VLOOKUP(Table2[[#This Row],[Description]],$Q$1:$S$101,3,FALSE))</f>
        <v/>
      </c>
      <c r="I6482" s="1" t="str">
        <f>IF(Table2[[#This Row],[Description]]="","",IF(Table2[[#This Row],[Currency]]=$O$2,$P$2,HLOOKUP(Table2[[#This Row],[Date]],Funds!$C$10:$GV$11,2,FALSE)))</f>
        <v/>
      </c>
      <c r="J6482" s="215" t="str">
        <f>IF(Table2[[#This Row],[Description]]="","",Table2[[#This Row],[Value]]/Table2[[#This Row],[Conversion]])</f>
        <v/>
      </c>
      <c r="K6482" s="45" t="str">
        <f>IF(Table2[[#This Row],[Description]]="","",DATE(Table2[[#This Row],[Year]],Table2[[#This Row],[Month]],1))</f>
        <v/>
      </c>
    </row>
    <row r="6483" spans="7:11" x14ac:dyDescent="0.25">
      <c r="G6483" s="1" t="str">
        <f>IF(Table2[[#This Row],[Description]]="","",VLOOKUP(Table2[[#This Row],[Description]],$Q$1:$S$101,2,FALSE))</f>
        <v/>
      </c>
      <c r="H6483" s="1" t="str">
        <f>IF(Table2[[#This Row],[Description]]="","",VLOOKUP(Table2[[#This Row],[Description]],$Q$1:$S$101,3,FALSE))</f>
        <v/>
      </c>
      <c r="I6483" s="1" t="str">
        <f>IF(Table2[[#This Row],[Description]]="","",IF(Table2[[#This Row],[Currency]]=$O$2,$P$2,HLOOKUP(Table2[[#This Row],[Date]],Funds!$C$10:$GV$11,2,FALSE)))</f>
        <v/>
      </c>
      <c r="J6483" s="215" t="str">
        <f>IF(Table2[[#This Row],[Description]]="","",Table2[[#This Row],[Value]]/Table2[[#This Row],[Conversion]])</f>
        <v/>
      </c>
      <c r="K6483" s="45" t="str">
        <f>IF(Table2[[#This Row],[Description]]="","",DATE(Table2[[#This Row],[Year]],Table2[[#This Row],[Month]],1))</f>
        <v/>
      </c>
    </row>
    <row r="6484" spans="7:11" x14ac:dyDescent="0.25">
      <c r="G6484" s="1" t="str">
        <f>IF(Table2[[#This Row],[Description]]="","",VLOOKUP(Table2[[#This Row],[Description]],$Q$1:$S$101,2,FALSE))</f>
        <v/>
      </c>
      <c r="H6484" s="1" t="str">
        <f>IF(Table2[[#This Row],[Description]]="","",VLOOKUP(Table2[[#This Row],[Description]],$Q$1:$S$101,3,FALSE))</f>
        <v/>
      </c>
      <c r="I6484" s="1" t="str">
        <f>IF(Table2[[#This Row],[Description]]="","",IF(Table2[[#This Row],[Currency]]=$O$2,$P$2,HLOOKUP(Table2[[#This Row],[Date]],Funds!$C$10:$GV$11,2,FALSE)))</f>
        <v/>
      </c>
      <c r="J6484" s="215" t="str">
        <f>IF(Table2[[#This Row],[Description]]="","",Table2[[#This Row],[Value]]/Table2[[#This Row],[Conversion]])</f>
        <v/>
      </c>
      <c r="K6484" s="45" t="str">
        <f>IF(Table2[[#This Row],[Description]]="","",DATE(Table2[[#This Row],[Year]],Table2[[#This Row],[Month]],1))</f>
        <v/>
      </c>
    </row>
    <row r="6485" spans="7:11" x14ac:dyDescent="0.25">
      <c r="G6485" s="1" t="str">
        <f>IF(Table2[[#This Row],[Description]]="","",VLOOKUP(Table2[[#This Row],[Description]],$Q$1:$S$101,2,FALSE))</f>
        <v/>
      </c>
      <c r="H6485" s="1" t="str">
        <f>IF(Table2[[#This Row],[Description]]="","",VLOOKUP(Table2[[#This Row],[Description]],$Q$1:$S$101,3,FALSE))</f>
        <v/>
      </c>
      <c r="I6485" s="1" t="str">
        <f>IF(Table2[[#This Row],[Description]]="","",IF(Table2[[#This Row],[Currency]]=$O$2,$P$2,HLOOKUP(Table2[[#This Row],[Date]],Funds!$C$10:$GV$11,2,FALSE)))</f>
        <v/>
      </c>
      <c r="J6485" s="215" t="str">
        <f>IF(Table2[[#This Row],[Description]]="","",Table2[[#This Row],[Value]]/Table2[[#This Row],[Conversion]])</f>
        <v/>
      </c>
      <c r="K6485" s="45" t="str">
        <f>IF(Table2[[#This Row],[Description]]="","",DATE(Table2[[#This Row],[Year]],Table2[[#This Row],[Month]],1))</f>
        <v/>
      </c>
    </row>
    <row r="6486" spans="7:11" x14ac:dyDescent="0.25">
      <c r="G6486" s="1" t="str">
        <f>IF(Table2[[#This Row],[Description]]="","",VLOOKUP(Table2[[#This Row],[Description]],$Q$1:$S$101,2,FALSE))</f>
        <v/>
      </c>
      <c r="H6486" s="1" t="str">
        <f>IF(Table2[[#This Row],[Description]]="","",VLOOKUP(Table2[[#This Row],[Description]],$Q$1:$S$101,3,FALSE))</f>
        <v/>
      </c>
      <c r="I6486" s="1" t="str">
        <f>IF(Table2[[#This Row],[Description]]="","",IF(Table2[[#This Row],[Currency]]=$O$2,$P$2,HLOOKUP(Table2[[#This Row],[Date]],Funds!$C$10:$GV$11,2,FALSE)))</f>
        <v/>
      </c>
      <c r="J6486" s="215" t="str">
        <f>IF(Table2[[#This Row],[Description]]="","",Table2[[#This Row],[Value]]/Table2[[#This Row],[Conversion]])</f>
        <v/>
      </c>
      <c r="K6486" s="45" t="str">
        <f>IF(Table2[[#This Row],[Description]]="","",DATE(Table2[[#This Row],[Year]],Table2[[#This Row],[Month]],1))</f>
        <v/>
      </c>
    </row>
    <row r="6487" spans="7:11" x14ac:dyDescent="0.25">
      <c r="G6487" s="1" t="str">
        <f>IF(Table2[[#This Row],[Description]]="","",VLOOKUP(Table2[[#This Row],[Description]],$Q$1:$S$101,2,FALSE))</f>
        <v/>
      </c>
      <c r="H6487" s="1" t="str">
        <f>IF(Table2[[#This Row],[Description]]="","",VLOOKUP(Table2[[#This Row],[Description]],$Q$1:$S$101,3,FALSE))</f>
        <v/>
      </c>
      <c r="I6487" s="1" t="str">
        <f>IF(Table2[[#This Row],[Description]]="","",IF(Table2[[#This Row],[Currency]]=$O$2,$P$2,HLOOKUP(Table2[[#This Row],[Date]],Funds!$C$10:$GV$11,2,FALSE)))</f>
        <v/>
      </c>
      <c r="J6487" s="215" t="str">
        <f>IF(Table2[[#This Row],[Description]]="","",Table2[[#This Row],[Value]]/Table2[[#This Row],[Conversion]])</f>
        <v/>
      </c>
      <c r="K6487" s="45" t="str">
        <f>IF(Table2[[#This Row],[Description]]="","",DATE(Table2[[#This Row],[Year]],Table2[[#This Row],[Month]],1))</f>
        <v/>
      </c>
    </row>
    <row r="6488" spans="7:11" x14ac:dyDescent="0.25">
      <c r="G6488" s="1" t="str">
        <f>IF(Table2[[#This Row],[Description]]="","",VLOOKUP(Table2[[#This Row],[Description]],$Q$1:$S$101,2,FALSE))</f>
        <v/>
      </c>
      <c r="H6488" s="1" t="str">
        <f>IF(Table2[[#This Row],[Description]]="","",VLOOKUP(Table2[[#This Row],[Description]],$Q$1:$S$101,3,FALSE))</f>
        <v/>
      </c>
      <c r="I6488" s="1" t="str">
        <f>IF(Table2[[#This Row],[Description]]="","",IF(Table2[[#This Row],[Currency]]=$O$2,$P$2,HLOOKUP(Table2[[#This Row],[Date]],Funds!$C$10:$GV$11,2,FALSE)))</f>
        <v/>
      </c>
      <c r="J6488" s="215" t="str">
        <f>IF(Table2[[#This Row],[Description]]="","",Table2[[#This Row],[Value]]/Table2[[#This Row],[Conversion]])</f>
        <v/>
      </c>
      <c r="K6488" s="45" t="str">
        <f>IF(Table2[[#This Row],[Description]]="","",DATE(Table2[[#This Row],[Year]],Table2[[#This Row],[Month]],1))</f>
        <v/>
      </c>
    </row>
    <row r="6489" spans="7:11" x14ac:dyDescent="0.25">
      <c r="G6489" s="1" t="str">
        <f>IF(Table2[[#This Row],[Description]]="","",VLOOKUP(Table2[[#This Row],[Description]],$Q$1:$S$101,2,FALSE))</f>
        <v/>
      </c>
      <c r="H6489" s="1" t="str">
        <f>IF(Table2[[#This Row],[Description]]="","",VLOOKUP(Table2[[#This Row],[Description]],$Q$1:$S$101,3,FALSE))</f>
        <v/>
      </c>
      <c r="I6489" s="1" t="str">
        <f>IF(Table2[[#This Row],[Description]]="","",IF(Table2[[#This Row],[Currency]]=$O$2,$P$2,HLOOKUP(Table2[[#This Row],[Date]],Funds!$C$10:$GV$11,2,FALSE)))</f>
        <v/>
      </c>
      <c r="J6489" s="215" t="str">
        <f>IF(Table2[[#This Row],[Description]]="","",Table2[[#This Row],[Value]]/Table2[[#This Row],[Conversion]])</f>
        <v/>
      </c>
      <c r="K6489" s="45" t="str">
        <f>IF(Table2[[#This Row],[Description]]="","",DATE(Table2[[#This Row],[Year]],Table2[[#This Row],[Month]],1))</f>
        <v/>
      </c>
    </row>
    <row r="6490" spans="7:11" x14ac:dyDescent="0.25">
      <c r="G6490" s="1" t="str">
        <f>IF(Table2[[#This Row],[Description]]="","",VLOOKUP(Table2[[#This Row],[Description]],$Q$1:$S$101,2,FALSE))</f>
        <v/>
      </c>
      <c r="H6490" s="1" t="str">
        <f>IF(Table2[[#This Row],[Description]]="","",VLOOKUP(Table2[[#This Row],[Description]],$Q$1:$S$101,3,FALSE))</f>
        <v/>
      </c>
      <c r="I6490" s="1" t="str">
        <f>IF(Table2[[#This Row],[Description]]="","",IF(Table2[[#This Row],[Currency]]=$O$2,$P$2,HLOOKUP(Table2[[#This Row],[Date]],Funds!$C$10:$GV$11,2,FALSE)))</f>
        <v/>
      </c>
      <c r="J6490" s="215" t="str">
        <f>IF(Table2[[#This Row],[Description]]="","",Table2[[#This Row],[Value]]/Table2[[#This Row],[Conversion]])</f>
        <v/>
      </c>
      <c r="K6490" s="45" t="str">
        <f>IF(Table2[[#This Row],[Description]]="","",DATE(Table2[[#This Row],[Year]],Table2[[#This Row],[Month]],1))</f>
        <v/>
      </c>
    </row>
    <row r="6491" spans="7:11" x14ac:dyDescent="0.25">
      <c r="G6491" s="1" t="str">
        <f>IF(Table2[[#This Row],[Description]]="","",VLOOKUP(Table2[[#This Row],[Description]],$Q$1:$S$101,2,FALSE))</f>
        <v/>
      </c>
      <c r="H6491" s="1" t="str">
        <f>IF(Table2[[#This Row],[Description]]="","",VLOOKUP(Table2[[#This Row],[Description]],$Q$1:$S$101,3,FALSE))</f>
        <v/>
      </c>
      <c r="I6491" s="1" t="str">
        <f>IF(Table2[[#This Row],[Description]]="","",IF(Table2[[#This Row],[Currency]]=$O$2,$P$2,HLOOKUP(Table2[[#This Row],[Date]],Funds!$C$10:$GV$11,2,FALSE)))</f>
        <v/>
      </c>
      <c r="J6491" s="215" t="str">
        <f>IF(Table2[[#This Row],[Description]]="","",Table2[[#This Row],[Value]]/Table2[[#This Row],[Conversion]])</f>
        <v/>
      </c>
      <c r="K6491" s="45" t="str">
        <f>IF(Table2[[#This Row],[Description]]="","",DATE(Table2[[#This Row],[Year]],Table2[[#This Row],[Month]],1))</f>
        <v/>
      </c>
    </row>
    <row r="6492" spans="7:11" x14ac:dyDescent="0.25">
      <c r="G6492" s="1" t="str">
        <f>IF(Table2[[#This Row],[Description]]="","",VLOOKUP(Table2[[#This Row],[Description]],$Q$1:$S$101,2,FALSE))</f>
        <v/>
      </c>
      <c r="H6492" s="1" t="str">
        <f>IF(Table2[[#This Row],[Description]]="","",VLOOKUP(Table2[[#This Row],[Description]],$Q$1:$S$101,3,FALSE))</f>
        <v/>
      </c>
      <c r="I6492" s="1" t="str">
        <f>IF(Table2[[#This Row],[Description]]="","",IF(Table2[[#This Row],[Currency]]=$O$2,$P$2,HLOOKUP(Table2[[#This Row],[Date]],Funds!$C$10:$GV$11,2,FALSE)))</f>
        <v/>
      </c>
      <c r="J6492" s="215" t="str">
        <f>IF(Table2[[#This Row],[Description]]="","",Table2[[#This Row],[Value]]/Table2[[#This Row],[Conversion]])</f>
        <v/>
      </c>
      <c r="K6492" s="45" t="str">
        <f>IF(Table2[[#This Row],[Description]]="","",DATE(Table2[[#This Row],[Year]],Table2[[#This Row],[Month]],1))</f>
        <v/>
      </c>
    </row>
    <row r="6493" spans="7:11" x14ac:dyDescent="0.25">
      <c r="G6493" s="1" t="str">
        <f>IF(Table2[[#This Row],[Description]]="","",VLOOKUP(Table2[[#This Row],[Description]],$Q$1:$S$101,2,FALSE))</f>
        <v/>
      </c>
      <c r="H6493" s="1" t="str">
        <f>IF(Table2[[#This Row],[Description]]="","",VLOOKUP(Table2[[#This Row],[Description]],$Q$1:$S$101,3,FALSE))</f>
        <v/>
      </c>
      <c r="I6493" s="1" t="str">
        <f>IF(Table2[[#This Row],[Description]]="","",IF(Table2[[#This Row],[Currency]]=$O$2,$P$2,HLOOKUP(Table2[[#This Row],[Date]],Funds!$C$10:$GV$11,2,FALSE)))</f>
        <v/>
      </c>
      <c r="J6493" s="215" t="str">
        <f>IF(Table2[[#This Row],[Description]]="","",Table2[[#This Row],[Value]]/Table2[[#This Row],[Conversion]])</f>
        <v/>
      </c>
      <c r="K6493" s="45" t="str">
        <f>IF(Table2[[#This Row],[Description]]="","",DATE(Table2[[#This Row],[Year]],Table2[[#This Row],[Month]],1))</f>
        <v/>
      </c>
    </row>
    <row r="6494" spans="7:11" x14ac:dyDescent="0.25">
      <c r="G6494" s="1" t="str">
        <f>IF(Table2[[#This Row],[Description]]="","",VLOOKUP(Table2[[#This Row],[Description]],$Q$1:$S$101,2,FALSE))</f>
        <v/>
      </c>
      <c r="H6494" s="1" t="str">
        <f>IF(Table2[[#This Row],[Description]]="","",VLOOKUP(Table2[[#This Row],[Description]],$Q$1:$S$101,3,FALSE))</f>
        <v/>
      </c>
      <c r="I6494" s="1" t="str">
        <f>IF(Table2[[#This Row],[Description]]="","",IF(Table2[[#This Row],[Currency]]=$O$2,$P$2,HLOOKUP(Table2[[#This Row],[Date]],Funds!$C$10:$GV$11,2,FALSE)))</f>
        <v/>
      </c>
      <c r="J6494" s="215" t="str">
        <f>IF(Table2[[#This Row],[Description]]="","",Table2[[#This Row],[Value]]/Table2[[#This Row],[Conversion]])</f>
        <v/>
      </c>
      <c r="K6494" s="45" t="str">
        <f>IF(Table2[[#This Row],[Description]]="","",DATE(Table2[[#This Row],[Year]],Table2[[#This Row],[Month]],1))</f>
        <v/>
      </c>
    </row>
    <row r="6495" spans="7:11" x14ac:dyDescent="0.25">
      <c r="G6495" s="1" t="str">
        <f>IF(Table2[[#This Row],[Description]]="","",VLOOKUP(Table2[[#This Row],[Description]],$Q$1:$S$101,2,FALSE))</f>
        <v/>
      </c>
      <c r="H6495" s="1" t="str">
        <f>IF(Table2[[#This Row],[Description]]="","",VLOOKUP(Table2[[#This Row],[Description]],$Q$1:$S$101,3,FALSE))</f>
        <v/>
      </c>
      <c r="I6495" s="1" t="str">
        <f>IF(Table2[[#This Row],[Description]]="","",IF(Table2[[#This Row],[Currency]]=$O$2,$P$2,HLOOKUP(Table2[[#This Row],[Date]],Funds!$C$10:$GV$11,2,FALSE)))</f>
        <v/>
      </c>
      <c r="J6495" s="215" t="str">
        <f>IF(Table2[[#This Row],[Description]]="","",Table2[[#This Row],[Value]]/Table2[[#This Row],[Conversion]])</f>
        <v/>
      </c>
      <c r="K6495" s="45" t="str">
        <f>IF(Table2[[#This Row],[Description]]="","",DATE(Table2[[#This Row],[Year]],Table2[[#This Row],[Month]],1))</f>
        <v/>
      </c>
    </row>
    <row r="6496" spans="7:11" x14ac:dyDescent="0.25">
      <c r="G6496" s="1" t="str">
        <f>IF(Table2[[#This Row],[Description]]="","",VLOOKUP(Table2[[#This Row],[Description]],$Q$1:$S$101,2,FALSE))</f>
        <v/>
      </c>
      <c r="H6496" s="1" t="str">
        <f>IF(Table2[[#This Row],[Description]]="","",VLOOKUP(Table2[[#This Row],[Description]],$Q$1:$S$101,3,FALSE))</f>
        <v/>
      </c>
      <c r="I6496" s="1" t="str">
        <f>IF(Table2[[#This Row],[Description]]="","",IF(Table2[[#This Row],[Currency]]=$O$2,$P$2,HLOOKUP(Table2[[#This Row],[Date]],Funds!$C$10:$GV$11,2,FALSE)))</f>
        <v/>
      </c>
      <c r="J6496" s="215" t="str">
        <f>IF(Table2[[#This Row],[Description]]="","",Table2[[#This Row],[Value]]/Table2[[#This Row],[Conversion]])</f>
        <v/>
      </c>
      <c r="K6496" s="45" t="str">
        <f>IF(Table2[[#This Row],[Description]]="","",DATE(Table2[[#This Row],[Year]],Table2[[#This Row],[Month]],1))</f>
        <v/>
      </c>
    </row>
    <row r="6497" spans="7:11" x14ac:dyDescent="0.25">
      <c r="G6497" s="1" t="str">
        <f>IF(Table2[[#This Row],[Description]]="","",VLOOKUP(Table2[[#This Row],[Description]],$Q$1:$S$101,2,FALSE))</f>
        <v/>
      </c>
      <c r="H6497" s="1" t="str">
        <f>IF(Table2[[#This Row],[Description]]="","",VLOOKUP(Table2[[#This Row],[Description]],$Q$1:$S$101,3,FALSE))</f>
        <v/>
      </c>
      <c r="I6497" s="1" t="str">
        <f>IF(Table2[[#This Row],[Description]]="","",IF(Table2[[#This Row],[Currency]]=$O$2,$P$2,HLOOKUP(Table2[[#This Row],[Date]],Funds!$C$10:$GV$11,2,FALSE)))</f>
        <v/>
      </c>
      <c r="J6497" s="215" t="str">
        <f>IF(Table2[[#This Row],[Description]]="","",Table2[[#This Row],[Value]]/Table2[[#This Row],[Conversion]])</f>
        <v/>
      </c>
      <c r="K6497" s="45" t="str">
        <f>IF(Table2[[#This Row],[Description]]="","",DATE(Table2[[#This Row],[Year]],Table2[[#This Row],[Month]],1))</f>
        <v/>
      </c>
    </row>
    <row r="6498" spans="7:11" x14ac:dyDescent="0.25">
      <c r="G6498" s="1" t="str">
        <f>IF(Table2[[#This Row],[Description]]="","",VLOOKUP(Table2[[#This Row],[Description]],$Q$1:$S$101,2,FALSE))</f>
        <v/>
      </c>
      <c r="H6498" s="1" t="str">
        <f>IF(Table2[[#This Row],[Description]]="","",VLOOKUP(Table2[[#This Row],[Description]],$Q$1:$S$101,3,FALSE))</f>
        <v/>
      </c>
      <c r="I6498" s="1" t="str">
        <f>IF(Table2[[#This Row],[Description]]="","",IF(Table2[[#This Row],[Currency]]=$O$2,$P$2,HLOOKUP(Table2[[#This Row],[Date]],Funds!$C$10:$GV$11,2,FALSE)))</f>
        <v/>
      </c>
      <c r="J6498" s="215" t="str">
        <f>IF(Table2[[#This Row],[Description]]="","",Table2[[#This Row],[Value]]/Table2[[#This Row],[Conversion]])</f>
        <v/>
      </c>
      <c r="K6498" s="45" t="str">
        <f>IF(Table2[[#This Row],[Description]]="","",DATE(Table2[[#This Row],[Year]],Table2[[#This Row],[Month]],1))</f>
        <v/>
      </c>
    </row>
    <row r="6499" spans="7:11" x14ac:dyDescent="0.25">
      <c r="G6499" s="1" t="str">
        <f>IF(Table2[[#This Row],[Description]]="","",VLOOKUP(Table2[[#This Row],[Description]],$Q$1:$S$101,2,FALSE))</f>
        <v/>
      </c>
      <c r="H6499" s="1" t="str">
        <f>IF(Table2[[#This Row],[Description]]="","",VLOOKUP(Table2[[#This Row],[Description]],$Q$1:$S$101,3,FALSE))</f>
        <v/>
      </c>
      <c r="I6499" s="1" t="str">
        <f>IF(Table2[[#This Row],[Description]]="","",IF(Table2[[#This Row],[Currency]]=$O$2,$P$2,HLOOKUP(Table2[[#This Row],[Date]],Funds!$C$10:$GV$11,2,FALSE)))</f>
        <v/>
      </c>
      <c r="J6499" s="215" t="str">
        <f>IF(Table2[[#This Row],[Description]]="","",Table2[[#This Row],[Value]]/Table2[[#This Row],[Conversion]])</f>
        <v/>
      </c>
      <c r="K6499" s="45" t="str">
        <f>IF(Table2[[#This Row],[Description]]="","",DATE(Table2[[#This Row],[Year]],Table2[[#This Row],[Month]],1))</f>
        <v/>
      </c>
    </row>
    <row r="6500" spans="7:11" x14ac:dyDescent="0.25">
      <c r="G6500" s="1" t="str">
        <f>IF(Table2[[#This Row],[Description]]="","",VLOOKUP(Table2[[#This Row],[Description]],$Q$1:$S$101,2,FALSE))</f>
        <v/>
      </c>
      <c r="H6500" s="1" t="str">
        <f>IF(Table2[[#This Row],[Description]]="","",VLOOKUP(Table2[[#This Row],[Description]],$Q$1:$S$101,3,FALSE))</f>
        <v/>
      </c>
      <c r="I6500" s="1" t="str">
        <f>IF(Table2[[#This Row],[Description]]="","",IF(Table2[[#This Row],[Currency]]=$O$2,$P$2,HLOOKUP(Table2[[#This Row],[Date]],Funds!$C$10:$GV$11,2,FALSE)))</f>
        <v/>
      </c>
      <c r="J6500" s="215" t="str">
        <f>IF(Table2[[#This Row],[Description]]="","",Table2[[#This Row],[Value]]/Table2[[#This Row],[Conversion]])</f>
        <v/>
      </c>
      <c r="K6500" s="45" t="str">
        <f>IF(Table2[[#This Row],[Description]]="","",DATE(Table2[[#This Row],[Year]],Table2[[#This Row],[Month]],1))</f>
        <v/>
      </c>
    </row>
    <row r="6501" spans="7:11" x14ac:dyDescent="0.25">
      <c r="G6501" s="1" t="str">
        <f>IF(Table2[[#This Row],[Description]]="","",VLOOKUP(Table2[[#This Row],[Description]],$Q$1:$S$101,2,FALSE))</f>
        <v/>
      </c>
      <c r="H6501" s="1" t="str">
        <f>IF(Table2[[#This Row],[Description]]="","",VLOOKUP(Table2[[#This Row],[Description]],$Q$1:$S$101,3,FALSE))</f>
        <v/>
      </c>
      <c r="I6501" s="1" t="str">
        <f>IF(Table2[[#This Row],[Description]]="","",IF(Table2[[#This Row],[Currency]]=$O$2,$P$2,HLOOKUP(Table2[[#This Row],[Date]],Funds!$C$10:$GV$11,2,FALSE)))</f>
        <v/>
      </c>
      <c r="J6501" s="215" t="str">
        <f>IF(Table2[[#This Row],[Description]]="","",Table2[[#This Row],[Value]]/Table2[[#This Row],[Conversion]])</f>
        <v/>
      </c>
      <c r="K6501" s="45" t="str">
        <f>IF(Table2[[#This Row],[Description]]="","",DATE(Table2[[#This Row],[Year]],Table2[[#This Row],[Month]],1))</f>
        <v/>
      </c>
    </row>
    <row r="6502" spans="7:11" x14ac:dyDescent="0.25">
      <c r="G6502" s="1" t="str">
        <f>IF(Table2[[#This Row],[Description]]="","",VLOOKUP(Table2[[#This Row],[Description]],$Q$1:$S$101,2,FALSE))</f>
        <v/>
      </c>
      <c r="H6502" s="1" t="str">
        <f>IF(Table2[[#This Row],[Description]]="","",VLOOKUP(Table2[[#This Row],[Description]],$Q$1:$S$101,3,FALSE))</f>
        <v/>
      </c>
      <c r="I6502" s="1" t="str">
        <f>IF(Table2[[#This Row],[Description]]="","",IF(Table2[[#This Row],[Currency]]=$O$2,$P$2,HLOOKUP(Table2[[#This Row],[Date]],Funds!$C$10:$GV$11,2,FALSE)))</f>
        <v/>
      </c>
      <c r="J6502" s="215" t="str">
        <f>IF(Table2[[#This Row],[Description]]="","",Table2[[#This Row],[Value]]/Table2[[#This Row],[Conversion]])</f>
        <v/>
      </c>
      <c r="K6502" s="45" t="str">
        <f>IF(Table2[[#This Row],[Description]]="","",DATE(Table2[[#This Row],[Year]],Table2[[#This Row],[Month]],1))</f>
        <v/>
      </c>
    </row>
    <row r="6503" spans="7:11" x14ac:dyDescent="0.25">
      <c r="G6503" s="1" t="str">
        <f>IF(Table2[[#This Row],[Description]]="","",VLOOKUP(Table2[[#This Row],[Description]],$Q$1:$S$101,2,FALSE))</f>
        <v/>
      </c>
      <c r="H6503" s="1" t="str">
        <f>IF(Table2[[#This Row],[Description]]="","",VLOOKUP(Table2[[#This Row],[Description]],$Q$1:$S$101,3,FALSE))</f>
        <v/>
      </c>
      <c r="I6503" s="1" t="str">
        <f>IF(Table2[[#This Row],[Description]]="","",IF(Table2[[#This Row],[Currency]]=$O$2,$P$2,HLOOKUP(Table2[[#This Row],[Date]],Funds!$C$10:$GV$11,2,FALSE)))</f>
        <v/>
      </c>
      <c r="J6503" s="215" t="str">
        <f>IF(Table2[[#This Row],[Description]]="","",Table2[[#This Row],[Value]]/Table2[[#This Row],[Conversion]])</f>
        <v/>
      </c>
      <c r="K6503" s="45" t="str">
        <f>IF(Table2[[#This Row],[Description]]="","",DATE(Table2[[#This Row],[Year]],Table2[[#This Row],[Month]],1))</f>
        <v/>
      </c>
    </row>
    <row r="6504" spans="7:11" x14ac:dyDescent="0.25">
      <c r="G6504" s="1" t="str">
        <f>IF(Table2[[#This Row],[Description]]="","",VLOOKUP(Table2[[#This Row],[Description]],$Q$1:$S$101,2,FALSE))</f>
        <v/>
      </c>
      <c r="H6504" s="1" t="str">
        <f>IF(Table2[[#This Row],[Description]]="","",VLOOKUP(Table2[[#This Row],[Description]],$Q$1:$S$101,3,FALSE))</f>
        <v/>
      </c>
      <c r="I6504" s="1" t="str">
        <f>IF(Table2[[#This Row],[Description]]="","",IF(Table2[[#This Row],[Currency]]=$O$2,$P$2,HLOOKUP(Table2[[#This Row],[Date]],Funds!$C$10:$GV$11,2,FALSE)))</f>
        <v/>
      </c>
      <c r="J6504" s="215" t="str">
        <f>IF(Table2[[#This Row],[Description]]="","",Table2[[#This Row],[Value]]/Table2[[#This Row],[Conversion]])</f>
        <v/>
      </c>
      <c r="K6504" s="45" t="str">
        <f>IF(Table2[[#This Row],[Description]]="","",DATE(Table2[[#This Row],[Year]],Table2[[#This Row],[Month]],1))</f>
        <v/>
      </c>
    </row>
    <row r="6505" spans="7:11" x14ac:dyDescent="0.25">
      <c r="G6505" s="1" t="str">
        <f>IF(Table2[[#This Row],[Description]]="","",VLOOKUP(Table2[[#This Row],[Description]],$Q$1:$S$101,2,FALSE))</f>
        <v/>
      </c>
      <c r="H6505" s="1" t="str">
        <f>IF(Table2[[#This Row],[Description]]="","",VLOOKUP(Table2[[#This Row],[Description]],$Q$1:$S$101,3,FALSE))</f>
        <v/>
      </c>
      <c r="I6505" s="1" t="str">
        <f>IF(Table2[[#This Row],[Description]]="","",IF(Table2[[#This Row],[Currency]]=$O$2,$P$2,HLOOKUP(Table2[[#This Row],[Date]],Funds!$C$10:$GV$11,2,FALSE)))</f>
        <v/>
      </c>
      <c r="J6505" s="215" t="str">
        <f>IF(Table2[[#This Row],[Description]]="","",Table2[[#This Row],[Value]]/Table2[[#This Row],[Conversion]])</f>
        <v/>
      </c>
      <c r="K6505" s="45" t="str">
        <f>IF(Table2[[#This Row],[Description]]="","",DATE(Table2[[#This Row],[Year]],Table2[[#This Row],[Month]],1))</f>
        <v/>
      </c>
    </row>
    <row r="6506" spans="7:11" x14ac:dyDescent="0.25">
      <c r="G6506" s="1" t="str">
        <f>IF(Table2[[#This Row],[Description]]="","",VLOOKUP(Table2[[#This Row],[Description]],$Q$1:$S$101,2,FALSE))</f>
        <v/>
      </c>
      <c r="H6506" s="1" t="str">
        <f>IF(Table2[[#This Row],[Description]]="","",VLOOKUP(Table2[[#This Row],[Description]],$Q$1:$S$101,3,FALSE))</f>
        <v/>
      </c>
      <c r="I6506" s="1" t="str">
        <f>IF(Table2[[#This Row],[Description]]="","",IF(Table2[[#This Row],[Currency]]=$O$2,$P$2,HLOOKUP(Table2[[#This Row],[Date]],Funds!$C$10:$GV$11,2,FALSE)))</f>
        <v/>
      </c>
      <c r="J6506" s="215" t="str">
        <f>IF(Table2[[#This Row],[Description]]="","",Table2[[#This Row],[Value]]/Table2[[#This Row],[Conversion]])</f>
        <v/>
      </c>
      <c r="K6506" s="45" t="str">
        <f>IF(Table2[[#This Row],[Description]]="","",DATE(Table2[[#This Row],[Year]],Table2[[#This Row],[Month]],1))</f>
        <v/>
      </c>
    </row>
    <row r="6507" spans="7:11" x14ac:dyDescent="0.25">
      <c r="G6507" s="1" t="str">
        <f>IF(Table2[[#This Row],[Description]]="","",VLOOKUP(Table2[[#This Row],[Description]],$Q$1:$S$101,2,FALSE))</f>
        <v/>
      </c>
      <c r="H6507" s="1" t="str">
        <f>IF(Table2[[#This Row],[Description]]="","",VLOOKUP(Table2[[#This Row],[Description]],$Q$1:$S$101,3,FALSE))</f>
        <v/>
      </c>
      <c r="I6507" s="1" t="str">
        <f>IF(Table2[[#This Row],[Description]]="","",IF(Table2[[#This Row],[Currency]]=$O$2,$P$2,HLOOKUP(Table2[[#This Row],[Date]],Funds!$C$10:$GV$11,2,FALSE)))</f>
        <v/>
      </c>
      <c r="J6507" s="215" t="str">
        <f>IF(Table2[[#This Row],[Description]]="","",Table2[[#This Row],[Value]]/Table2[[#This Row],[Conversion]])</f>
        <v/>
      </c>
      <c r="K6507" s="45" t="str">
        <f>IF(Table2[[#This Row],[Description]]="","",DATE(Table2[[#This Row],[Year]],Table2[[#This Row],[Month]],1))</f>
        <v/>
      </c>
    </row>
    <row r="6508" spans="7:11" x14ac:dyDescent="0.25">
      <c r="G6508" s="1" t="str">
        <f>IF(Table2[[#This Row],[Description]]="","",VLOOKUP(Table2[[#This Row],[Description]],$Q$1:$S$101,2,FALSE))</f>
        <v/>
      </c>
      <c r="H6508" s="1" t="str">
        <f>IF(Table2[[#This Row],[Description]]="","",VLOOKUP(Table2[[#This Row],[Description]],$Q$1:$S$101,3,FALSE))</f>
        <v/>
      </c>
      <c r="I6508" s="1" t="str">
        <f>IF(Table2[[#This Row],[Description]]="","",IF(Table2[[#This Row],[Currency]]=$O$2,$P$2,HLOOKUP(Table2[[#This Row],[Date]],Funds!$C$10:$GV$11,2,FALSE)))</f>
        <v/>
      </c>
      <c r="J6508" s="215" t="str">
        <f>IF(Table2[[#This Row],[Description]]="","",Table2[[#This Row],[Value]]/Table2[[#This Row],[Conversion]])</f>
        <v/>
      </c>
      <c r="K6508" s="45" t="str">
        <f>IF(Table2[[#This Row],[Description]]="","",DATE(Table2[[#This Row],[Year]],Table2[[#This Row],[Month]],1))</f>
        <v/>
      </c>
    </row>
    <row r="6509" spans="7:11" x14ac:dyDescent="0.25">
      <c r="G6509" s="1" t="str">
        <f>IF(Table2[[#This Row],[Description]]="","",VLOOKUP(Table2[[#This Row],[Description]],$Q$1:$S$101,2,FALSE))</f>
        <v/>
      </c>
      <c r="H6509" s="1" t="str">
        <f>IF(Table2[[#This Row],[Description]]="","",VLOOKUP(Table2[[#This Row],[Description]],$Q$1:$S$101,3,FALSE))</f>
        <v/>
      </c>
      <c r="I6509" s="1" t="str">
        <f>IF(Table2[[#This Row],[Description]]="","",IF(Table2[[#This Row],[Currency]]=$O$2,$P$2,HLOOKUP(Table2[[#This Row],[Date]],Funds!$C$10:$GV$11,2,FALSE)))</f>
        <v/>
      </c>
      <c r="J6509" s="215" t="str">
        <f>IF(Table2[[#This Row],[Description]]="","",Table2[[#This Row],[Value]]/Table2[[#This Row],[Conversion]])</f>
        <v/>
      </c>
      <c r="K6509" s="45" t="str">
        <f>IF(Table2[[#This Row],[Description]]="","",DATE(Table2[[#This Row],[Year]],Table2[[#This Row],[Month]],1))</f>
        <v/>
      </c>
    </row>
    <row r="6510" spans="7:11" x14ac:dyDescent="0.25">
      <c r="G6510" s="1" t="str">
        <f>IF(Table2[[#This Row],[Description]]="","",VLOOKUP(Table2[[#This Row],[Description]],$Q$1:$S$101,2,FALSE))</f>
        <v/>
      </c>
      <c r="H6510" s="1" t="str">
        <f>IF(Table2[[#This Row],[Description]]="","",VLOOKUP(Table2[[#This Row],[Description]],$Q$1:$S$101,3,FALSE))</f>
        <v/>
      </c>
      <c r="I6510" s="1" t="str">
        <f>IF(Table2[[#This Row],[Description]]="","",IF(Table2[[#This Row],[Currency]]=$O$2,$P$2,HLOOKUP(Table2[[#This Row],[Date]],Funds!$C$10:$GV$11,2,FALSE)))</f>
        <v/>
      </c>
      <c r="J6510" s="215" t="str">
        <f>IF(Table2[[#This Row],[Description]]="","",Table2[[#This Row],[Value]]/Table2[[#This Row],[Conversion]])</f>
        <v/>
      </c>
      <c r="K6510" s="45" t="str">
        <f>IF(Table2[[#This Row],[Description]]="","",DATE(Table2[[#This Row],[Year]],Table2[[#This Row],[Month]],1))</f>
        <v/>
      </c>
    </row>
    <row r="6511" spans="7:11" x14ac:dyDescent="0.25">
      <c r="G6511" s="1" t="str">
        <f>IF(Table2[[#This Row],[Description]]="","",VLOOKUP(Table2[[#This Row],[Description]],$Q$1:$S$101,2,FALSE))</f>
        <v/>
      </c>
      <c r="H6511" s="1" t="str">
        <f>IF(Table2[[#This Row],[Description]]="","",VLOOKUP(Table2[[#This Row],[Description]],$Q$1:$S$101,3,FALSE))</f>
        <v/>
      </c>
      <c r="I6511" s="1" t="str">
        <f>IF(Table2[[#This Row],[Description]]="","",IF(Table2[[#This Row],[Currency]]=$O$2,$P$2,HLOOKUP(Table2[[#This Row],[Date]],Funds!$C$10:$GV$11,2,FALSE)))</f>
        <v/>
      </c>
      <c r="J6511" s="215" t="str">
        <f>IF(Table2[[#This Row],[Description]]="","",Table2[[#This Row],[Value]]/Table2[[#This Row],[Conversion]])</f>
        <v/>
      </c>
      <c r="K6511" s="45" t="str">
        <f>IF(Table2[[#This Row],[Description]]="","",DATE(Table2[[#This Row],[Year]],Table2[[#This Row],[Month]],1))</f>
        <v/>
      </c>
    </row>
    <row r="6512" spans="7:11" x14ac:dyDescent="0.25">
      <c r="G6512" s="1" t="str">
        <f>IF(Table2[[#This Row],[Description]]="","",VLOOKUP(Table2[[#This Row],[Description]],$Q$1:$S$101,2,FALSE))</f>
        <v/>
      </c>
      <c r="H6512" s="1" t="str">
        <f>IF(Table2[[#This Row],[Description]]="","",VLOOKUP(Table2[[#This Row],[Description]],$Q$1:$S$101,3,FALSE))</f>
        <v/>
      </c>
      <c r="I6512" s="1" t="str">
        <f>IF(Table2[[#This Row],[Description]]="","",IF(Table2[[#This Row],[Currency]]=$O$2,$P$2,HLOOKUP(Table2[[#This Row],[Date]],Funds!$C$10:$GV$11,2,FALSE)))</f>
        <v/>
      </c>
      <c r="J6512" s="215" t="str">
        <f>IF(Table2[[#This Row],[Description]]="","",Table2[[#This Row],[Value]]/Table2[[#This Row],[Conversion]])</f>
        <v/>
      </c>
      <c r="K6512" s="45" t="str">
        <f>IF(Table2[[#This Row],[Description]]="","",DATE(Table2[[#This Row],[Year]],Table2[[#This Row],[Month]],1))</f>
        <v/>
      </c>
    </row>
    <row r="6513" spans="7:11" x14ac:dyDescent="0.25">
      <c r="G6513" s="1" t="str">
        <f>IF(Table2[[#This Row],[Description]]="","",VLOOKUP(Table2[[#This Row],[Description]],$Q$1:$S$101,2,FALSE))</f>
        <v/>
      </c>
      <c r="H6513" s="1" t="str">
        <f>IF(Table2[[#This Row],[Description]]="","",VLOOKUP(Table2[[#This Row],[Description]],$Q$1:$S$101,3,FALSE))</f>
        <v/>
      </c>
      <c r="I6513" s="1" t="str">
        <f>IF(Table2[[#This Row],[Description]]="","",IF(Table2[[#This Row],[Currency]]=$O$2,$P$2,HLOOKUP(Table2[[#This Row],[Date]],Funds!$C$10:$GV$11,2,FALSE)))</f>
        <v/>
      </c>
      <c r="J6513" s="215" t="str">
        <f>IF(Table2[[#This Row],[Description]]="","",Table2[[#This Row],[Value]]/Table2[[#This Row],[Conversion]])</f>
        <v/>
      </c>
      <c r="K6513" s="45" t="str">
        <f>IF(Table2[[#This Row],[Description]]="","",DATE(Table2[[#This Row],[Year]],Table2[[#This Row],[Month]],1))</f>
        <v/>
      </c>
    </row>
    <row r="6514" spans="7:11" x14ac:dyDescent="0.25">
      <c r="G6514" s="1" t="str">
        <f>IF(Table2[[#This Row],[Description]]="","",VLOOKUP(Table2[[#This Row],[Description]],$Q$1:$S$101,2,FALSE))</f>
        <v/>
      </c>
      <c r="H6514" s="1" t="str">
        <f>IF(Table2[[#This Row],[Description]]="","",VLOOKUP(Table2[[#This Row],[Description]],$Q$1:$S$101,3,FALSE))</f>
        <v/>
      </c>
      <c r="I6514" s="1" t="str">
        <f>IF(Table2[[#This Row],[Description]]="","",IF(Table2[[#This Row],[Currency]]=$O$2,$P$2,HLOOKUP(Table2[[#This Row],[Date]],Funds!$C$10:$GV$11,2,FALSE)))</f>
        <v/>
      </c>
      <c r="J6514" s="215" t="str">
        <f>IF(Table2[[#This Row],[Description]]="","",Table2[[#This Row],[Value]]/Table2[[#This Row],[Conversion]])</f>
        <v/>
      </c>
      <c r="K6514" s="45" t="str">
        <f>IF(Table2[[#This Row],[Description]]="","",DATE(Table2[[#This Row],[Year]],Table2[[#This Row],[Month]],1))</f>
        <v/>
      </c>
    </row>
    <row r="6515" spans="7:11" x14ac:dyDescent="0.25">
      <c r="G6515" s="1" t="str">
        <f>IF(Table2[[#This Row],[Description]]="","",VLOOKUP(Table2[[#This Row],[Description]],$Q$1:$S$101,2,FALSE))</f>
        <v/>
      </c>
      <c r="H6515" s="1" t="str">
        <f>IF(Table2[[#This Row],[Description]]="","",VLOOKUP(Table2[[#This Row],[Description]],$Q$1:$S$101,3,FALSE))</f>
        <v/>
      </c>
      <c r="I6515" s="1" t="str">
        <f>IF(Table2[[#This Row],[Description]]="","",IF(Table2[[#This Row],[Currency]]=$O$2,$P$2,HLOOKUP(Table2[[#This Row],[Date]],Funds!$C$10:$GV$11,2,FALSE)))</f>
        <v/>
      </c>
      <c r="J6515" s="215" t="str">
        <f>IF(Table2[[#This Row],[Description]]="","",Table2[[#This Row],[Value]]/Table2[[#This Row],[Conversion]])</f>
        <v/>
      </c>
      <c r="K6515" s="45" t="str">
        <f>IF(Table2[[#This Row],[Description]]="","",DATE(Table2[[#This Row],[Year]],Table2[[#This Row],[Month]],1))</f>
        <v/>
      </c>
    </row>
    <row r="6516" spans="7:11" x14ac:dyDescent="0.25">
      <c r="G6516" s="1" t="str">
        <f>IF(Table2[[#This Row],[Description]]="","",VLOOKUP(Table2[[#This Row],[Description]],$Q$1:$S$101,2,FALSE))</f>
        <v/>
      </c>
      <c r="H6516" s="1" t="str">
        <f>IF(Table2[[#This Row],[Description]]="","",VLOOKUP(Table2[[#This Row],[Description]],$Q$1:$S$101,3,FALSE))</f>
        <v/>
      </c>
      <c r="I6516" s="1" t="str">
        <f>IF(Table2[[#This Row],[Description]]="","",IF(Table2[[#This Row],[Currency]]=$O$2,$P$2,HLOOKUP(Table2[[#This Row],[Date]],Funds!$C$10:$GV$11,2,FALSE)))</f>
        <v/>
      </c>
      <c r="J6516" s="215" t="str">
        <f>IF(Table2[[#This Row],[Description]]="","",Table2[[#This Row],[Value]]/Table2[[#This Row],[Conversion]])</f>
        <v/>
      </c>
      <c r="K6516" s="45" t="str">
        <f>IF(Table2[[#This Row],[Description]]="","",DATE(Table2[[#This Row],[Year]],Table2[[#This Row],[Month]],1))</f>
        <v/>
      </c>
    </row>
    <row r="6517" spans="7:11" x14ac:dyDescent="0.25">
      <c r="G6517" s="1" t="str">
        <f>IF(Table2[[#This Row],[Description]]="","",VLOOKUP(Table2[[#This Row],[Description]],$Q$1:$S$101,2,FALSE))</f>
        <v/>
      </c>
      <c r="H6517" s="1" t="str">
        <f>IF(Table2[[#This Row],[Description]]="","",VLOOKUP(Table2[[#This Row],[Description]],$Q$1:$S$101,3,FALSE))</f>
        <v/>
      </c>
      <c r="I6517" s="1" t="str">
        <f>IF(Table2[[#This Row],[Description]]="","",IF(Table2[[#This Row],[Currency]]=$O$2,$P$2,HLOOKUP(Table2[[#This Row],[Date]],Funds!$C$10:$GV$11,2,FALSE)))</f>
        <v/>
      </c>
      <c r="J6517" s="215" t="str">
        <f>IF(Table2[[#This Row],[Description]]="","",Table2[[#This Row],[Value]]/Table2[[#This Row],[Conversion]])</f>
        <v/>
      </c>
      <c r="K6517" s="45" t="str">
        <f>IF(Table2[[#This Row],[Description]]="","",DATE(Table2[[#This Row],[Year]],Table2[[#This Row],[Month]],1))</f>
        <v/>
      </c>
    </row>
    <row r="6518" spans="7:11" x14ac:dyDescent="0.25">
      <c r="G6518" s="1" t="str">
        <f>IF(Table2[[#This Row],[Description]]="","",VLOOKUP(Table2[[#This Row],[Description]],$Q$1:$S$101,2,FALSE))</f>
        <v/>
      </c>
      <c r="H6518" s="1" t="str">
        <f>IF(Table2[[#This Row],[Description]]="","",VLOOKUP(Table2[[#This Row],[Description]],$Q$1:$S$101,3,FALSE))</f>
        <v/>
      </c>
      <c r="I6518" s="1" t="str">
        <f>IF(Table2[[#This Row],[Description]]="","",IF(Table2[[#This Row],[Currency]]=$O$2,$P$2,HLOOKUP(Table2[[#This Row],[Date]],Funds!$C$10:$GV$11,2,FALSE)))</f>
        <v/>
      </c>
      <c r="J6518" s="215" t="str">
        <f>IF(Table2[[#This Row],[Description]]="","",Table2[[#This Row],[Value]]/Table2[[#This Row],[Conversion]])</f>
        <v/>
      </c>
      <c r="K6518" s="45" t="str">
        <f>IF(Table2[[#This Row],[Description]]="","",DATE(Table2[[#This Row],[Year]],Table2[[#This Row],[Month]],1))</f>
        <v/>
      </c>
    </row>
    <row r="6519" spans="7:11" x14ac:dyDescent="0.25">
      <c r="G6519" s="1" t="str">
        <f>IF(Table2[[#This Row],[Description]]="","",VLOOKUP(Table2[[#This Row],[Description]],$Q$1:$S$101,2,FALSE))</f>
        <v/>
      </c>
      <c r="H6519" s="1" t="str">
        <f>IF(Table2[[#This Row],[Description]]="","",VLOOKUP(Table2[[#This Row],[Description]],$Q$1:$S$101,3,FALSE))</f>
        <v/>
      </c>
      <c r="I6519" s="1" t="str">
        <f>IF(Table2[[#This Row],[Description]]="","",IF(Table2[[#This Row],[Currency]]=$O$2,$P$2,HLOOKUP(Table2[[#This Row],[Date]],Funds!$C$10:$GV$11,2,FALSE)))</f>
        <v/>
      </c>
      <c r="J6519" s="215" t="str">
        <f>IF(Table2[[#This Row],[Description]]="","",Table2[[#This Row],[Value]]/Table2[[#This Row],[Conversion]])</f>
        <v/>
      </c>
      <c r="K6519" s="45" t="str">
        <f>IF(Table2[[#This Row],[Description]]="","",DATE(Table2[[#This Row],[Year]],Table2[[#This Row],[Month]],1))</f>
        <v/>
      </c>
    </row>
    <row r="6520" spans="7:11" x14ac:dyDescent="0.25">
      <c r="G6520" s="1" t="str">
        <f>IF(Table2[[#This Row],[Description]]="","",VLOOKUP(Table2[[#This Row],[Description]],$Q$1:$S$101,2,FALSE))</f>
        <v/>
      </c>
      <c r="H6520" s="1" t="str">
        <f>IF(Table2[[#This Row],[Description]]="","",VLOOKUP(Table2[[#This Row],[Description]],$Q$1:$S$101,3,FALSE))</f>
        <v/>
      </c>
      <c r="I6520" s="1" t="str">
        <f>IF(Table2[[#This Row],[Description]]="","",IF(Table2[[#This Row],[Currency]]=$O$2,$P$2,HLOOKUP(Table2[[#This Row],[Date]],Funds!$C$10:$GV$11,2,FALSE)))</f>
        <v/>
      </c>
      <c r="J6520" s="215" t="str">
        <f>IF(Table2[[#This Row],[Description]]="","",Table2[[#This Row],[Value]]/Table2[[#This Row],[Conversion]])</f>
        <v/>
      </c>
      <c r="K6520" s="45" t="str">
        <f>IF(Table2[[#This Row],[Description]]="","",DATE(Table2[[#This Row],[Year]],Table2[[#This Row],[Month]],1))</f>
        <v/>
      </c>
    </row>
    <row r="6521" spans="7:11" x14ac:dyDescent="0.25">
      <c r="G6521" s="1" t="str">
        <f>IF(Table2[[#This Row],[Description]]="","",VLOOKUP(Table2[[#This Row],[Description]],$Q$1:$S$101,2,FALSE))</f>
        <v/>
      </c>
      <c r="H6521" s="1" t="str">
        <f>IF(Table2[[#This Row],[Description]]="","",VLOOKUP(Table2[[#This Row],[Description]],$Q$1:$S$101,3,FALSE))</f>
        <v/>
      </c>
      <c r="I6521" s="1" t="str">
        <f>IF(Table2[[#This Row],[Description]]="","",IF(Table2[[#This Row],[Currency]]=$O$2,$P$2,HLOOKUP(Table2[[#This Row],[Date]],Funds!$C$10:$GV$11,2,FALSE)))</f>
        <v/>
      </c>
      <c r="J6521" s="215" t="str">
        <f>IF(Table2[[#This Row],[Description]]="","",Table2[[#This Row],[Value]]/Table2[[#This Row],[Conversion]])</f>
        <v/>
      </c>
      <c r="K6521" s="45" t="str">
        <f>IF(Table2[[#This Row],[Description]]="","",DATE(Table2[[#This Row],[Year]],Table2[[#This Row],[Month]],1))</f>
        <v/>
      </c>
    </row>
    <row r="6522" spans="7:11" x14ac:dyDescent="0.25">
      <c r="G6522" s="1" t="str">
        <f>IF(Table2[[#This Row],[Description]]="","",VLOOKUP(Table2[[#This Row],[Description]],$Q$1:$S$101,2,FALSE))</f>
        <v/>
      </c>
      <c r="H6522" s="1" t="str">
        <f>IF(Table2[[#This Row],[Description]]="","",VLOOKUP(Table2[[#This Row],[Description]],$Q$1:$S$101,3,FALSE))</f>
        <v/>
      </c>
      <c r="I6522" s="1" t="str">
        <f>IF(Table2[[#This Row],[Description]]="","",IF(Table2[[#This Row],[Currency]]=$O$2,$P$2,HLOOKUP(Table2[[#This Row],[Date]],Funds!$C$10:$GV$11,2,FALSE)))</f>
        <v/>
      </c>
      <c r="J6522" s="215" t="str">
        <f>IF(Table2[[#This Row],[Description]]="","",Table2[[#This Row],[Value]]/Table2[[#This Row],[Conversion]])</f>
        <v/>
      </c>
      <c r="K6522" s="45" t="str">
        <f>IF(Table2[[#This Row],[Description]]="","",DATE(Table2[[#This Row],[Year]],Table2[[#This Row],[Month]],1))</f>
        <v/>
      </c>
    </row>
    <row r="6523" spans="7:11" x14ac:dyDescent="0.25">
      <c r="G6523" s="1" t="str">
        <f>IF(Table2[[#This Row],[Description]]="","",VLOOKUP(Table2[[#This Row],[Description]],$Q$1:$S$101,2,FALSE))</f>
        <v/>
      </c>
      <c r="H6523" s="1" t="str">
        <f>IF(Table2[[#This Row],[Description]]="","",VLOOKUP(Table2[[#This Row],[Description]],$Q$1:$S$101,3,FALSE))</f>
        <v/>
      </c>
      <c r="I6523" s="1" t="str">
        <f>IF(Table2[[#This Row],[Description]]="","",IF(Table2[[#This Row],[Currency]]=$O$2,$P$2,HLOOKUP(Table2[[#This Row],[Date]],Funds!$C$10:$GV$11,2,FALSE)))</f>
        <v/>
      </c>
      <c r="J6523" s="215" t="str">
        <f>IF(Table2[[#This Row],[Description]]="","",Table2[[#This Row],[Value]]/Table2[[#This Row],[Conversion]])</f>
        <v/>
      </c>
      <c r="K6523" s="45" t="str">
        <f>IF(Table2[[#This Row],[Description]]="","",DATE(Table2[[#This Row],[Year]],Table2[[#This Row],[Month]],1))</f>
        <v/>
      </c>
    </row>
    <row r="6524" spans="7:11" x14ac:dyDescent="0.25">
      <c r="G6524" s="1" t="str">
        <f>IF(Table2[[#This Row],[Description]]="","",VLOOKUP(Table2[[#This Row],[Description]],$Q$1:$S$101,2,FALSE))</f>
        <v/>
      </c>
      <c r="H6524" s="1" t="str">
        <f>IF(Table2[[#This Row],[Description]]="","",VLOOKUP(Table2[[#This Row],[Description]],$Q$1:$S$101,3,FALSE))</f>
        <v/>
      </c>
      <c r="I6524" s="1" t="str">
        <f>IF(Table2[[#This Row],[Description]]="","",IF(Table2[[#This Row],[Currency]]=$O$2,$P$2,HLOOKUP(Table2[[#This Row],[Date]],Funds!$C$10:$GV$11,2,FALSE)))</f>
        <v/>
      </c>
      <c r="J6524" s="215" t="str">
        <f>IF(Table2[[#This Row],[Description]]="","",Table2[[#This Row],[Value]]/Table2[[#This Row],[Conversion]])</f>
        <v/>
      </c>
      <c r="K6524" s="45" t="str">
        <f>IF(Table2[[#This Row],[Description]]="","",DATE(Table2[[#This Row],[Year]],Table2[[#This Row],[Month]],1))</f>
        <v/>
      </c>
    </row>
    <row r="6525" spans="7:11" x14ac:dyDescent="0.25">
      <c r="G6525" s="1" t="str">
        <f>IF(Table2[[#This Row],[Description]]="","",VLOOKUP(Table2[[#This Row],[Description]],$Q$1:$S$101,2,FALSE))</f>
        <v/>
      </c>
      <c r="H6525" s="1" t="str">
        <f>IF(Table2[[#This Row],[Description]]="","",VLOOKUP(Table2[[#This Row],[Description]],$Q$1:$S$101,3,FALSE))</f>
        <v/>
      </c>
      <c r="I6525" s="1" t="str">
        <f>IF(Table2[[#This Row],[Description]]="","",IF(Table2[[#This Row],[Currency]]=$O$2,$P$2,HLOOKUP(Table2[[#This Row],[Date]],Funds!$C$10:$GV$11,2,FALSE)))</f>
        <v/>
      </c>
      <c r="J6525" s="215" t="str">
        <f>IF(Table2[[#This Row],[Description]]="","",Table2[[#This Row],[Value]]/Table2[[#This Row],[Conversion]])</f>
        <v/>
      </c>
      <c r="K6525" s="45" t="str">
        <f>IF(Table2[[#This Row],[Description]]="","",DATE(Table2[[#This Row],[Year]],Table2[[#This Row],[Month]],1))</f>
        <v/>
      </c>
    </row>
    <row r="6526" spans="7:11" x14ac:dyDescent="0.25">
      <c r="G6526" s="1" t="str">
        <f>IF(Table2[[#This Row],[Description]]="","",VLOOKUP(Table2[[#This Row],[Description]],$Q$1:$S$101,2,FALSE))</f>
        <v/>
      </c>
      <c r="H6526" s="1" t="str">
        <f>IF(Table2[[#This Row],[Description]]="","",VLOOKUP(Table2[[#This Row],[Description]],$Q$1:$S$101,3,FALSE))</f>
        <v/>
      </c>
      <c r="I6526" s="1" t="str">
        <f>IF(Table2[[#This Row],[Description]]="","",IF(Table2[[#This Row],[Currency]]=$O$2,$P$2,HLOOKUP(Table2[[#This Row],[Date]],Funds!$C$10:$GV$11,2,FALSE)))</f>
        <v/>
      </c>
      <c r="J6526" s="215" t="str">
        <f>IF(Table2[[#This Row],[Description]]="","",Table2[[#This Row],[Value]]/Table2[[#This Row],[Conversion]])</f>
        <v/>
      </c>
      <c r="K6526" s="45" t="str">
        <f>IF(Table2[[#This Row],[Description]]="","",DATE(Table2[[#This Row],[Year]],Table2[[#This Row],[Month]],1))</f>
        <v/>
      </c>
    </row>
    <row r="6527" spans="7:11" x14ac:dyDescent="0.25">
      <c r="G6527" s="1" t="str">
        <f>IF(Table2[[#This Row],[Description]]="","",VLOOKUP(Table2[[#This Row],[Description]],$Q$1:$S$101,2,FALSE))</f>
        <v/>
      </c>
      <c r="H6527" s="1" t="str">
        <f>IF(Table2[[#This Row],[Description]]="","",VLOOKUP(Table2[[#This Row],[Description]],$Q$1:$S$101,3,FALSE))</f>
        <v/>
      </c>
      <c r="I6527" s="1" t="str">
        <f>IF(Table2[[#This Row],[Description]]="","",IF(Table2[[#This Row],[Currency]]=$O$2,$P$2,HLOOKUP(Table2[[#This Row],[Date]],Funds!$C$10:$GV$11,2,FALSE)))</f>
        <v/>
      </c>
      <c r="J6527" s="215" t="str">
        <f>IF(Table2[[#This Row],[Description]]="","",Table2[[#This Row],[Value]]/Table2[[#This Row],[Conversion]])</f>
        <v/>
      </c>
      <c r="K6527" s="45" t="str">
        <f>IF(Table2[[#This Row],[Description]]="","",DATE(Table2[[#This Row],[Year]],Table2[[#This Row],[Month]],1))</f>
        <v/>
      </c>
    </row>
    <row r="6528" spans="7:11" x14ac:dyDescent="0.25">
      <c r="G6528" s="1" t="str">
        <f>IF(Table2[[#This Row],[Description]]="","",VLOOKUP(Table2[[#This Row],[Description]],$Q$1:$S$101,2,FALSE))</f>
        <v/>
      </c>
      <c r="H6528" s="1" t="str">
        <f>IF(Table2[[#This Row],[Description]]="","",VLOOKUP(Table2[[#This Row],[Description]],$Q$1:$S$101,3,FALSE))</f>
        <v/>
      </c>
      <c r="I6528" s="1" t="str">
        <f>IF(Table2[[#This Row],[Description]]="","",IF(Table2[[#This Row],[Currency]]=$O$2,$P$2,HLOOKUP(Table2[[#This Row],[Date]],Funds!$C$10:$GV$11,2,FALSE)))</f>
        <v/>
      </c>
      <c r="J6528" s="215" t="str">
        <f>IF(Table2[[#This Row],[Description]]="","",Table2[[#This Row],[Value]]/Table2[[#This Row],[Conversion]])</f>
        <v/>
      </c>
      <c r="K6528" s="45" t="str">
        <f>IF(Table2[[#This Row],[Description]]="","",DATE(Table2[[#This Row],[Year]],Table2[[#This Row],[Month]],1))</f>
        <v/>
      </c>
    </row>
    <row r="6529" spans="7:11" x14ac:dyDescent="0.25">
      <c r="G6529" s="1" t="str">
        <f>IF(Table2[[#This Row],[Description]]="","",VLOOKUP(Table2[[#This Row],[Description]],$Q$1:$S$101,2,FALSE))</f>
        <v/>
      </c>
      <c r="H6529" s="1" t="str">
        <f>IF(Table2[[#This Row],[Description]]="","",VLOOKUP(Table2[[#This Row],[Description]],$Q$1:$S$101,3,FALSE))</f>
        <v/>
      </c>
      <c r="I6529" s="1" t="str">
        <f>IF(Table2[[#This Row],[Description]]="","",IF(Table2[[#This Row],[Currency]]=$O$2,$P$2,HLOOKUP(Table2[[#This Row],[Date]],Funds!$C$10:$GV$11,2,FALSE)))</f>
        <v/>
      </c>
      <c r="J6529" s="215" t="str">
        <f>IF(Table2[[#This Row],[Description]]="","",Table2[[#This Row],[Value]]/Table2[[#This Row],[Conversion]])</f>
        <v/>
      </c>
      <c r="K6529" s="45" t="str">
        <f>IF(Table2[[#This Row],[Description]]="","",DATE(Table2[[#This Row],[Year]],Table2[[#This Row],[Month]],1))</f>
        <v/>
      </c>
    </row>
    <row r="6530" spans="7:11" x14ac:dyDescent="0.25">
      <c r="G6530" s="1" t="str">
        <f>IF(Table2[[#This Row],[Description]]="","",VLOOKUP(Table2[[#This Row],[Description]],$Q$1:$S$101,2,FALSE))</f>
        <v/>
      </c>
      <c r="H6530" s="1" t="str">
        <f>IF(Table2[[#This Row],[Description]]="","",VLOOKUP(Table2[[#This Row],[Description]],$Q$1:$S$101,3,FALSE))</f>
        <v/>
      </c>
      <c r="I6530" s="1" t="str">
        <f>IF(Table2[[#This Row],[Description]]="","",IF(Table2[[#This Row],[Currency]]=$O$2,$P$2,HLOOKUP(Table2[[#This Row],[Date]],Funds!$C$10:$GV$11,2,FALSE)))</f>
        <v/>
      </c>
      <c r="J6530" s="215" t="str">
        <f>IF(Table2[[#This Row],[Description]]="","",Table2[[#This Row],[Value]]/Table2[[#This Row],[Conversion]])</f>
        <v/>
      </c>
      <c r="K6530" s="45" t="str">
        <f>IF(Table2[[#This Row],[Description]]="","",DATE(Table2[[#This Row],[Year]],Table2[[#This Row],[Month]],1))</f>
        <v/>
      </c>
    </row>
    <row r="6531" spans="7:11" x14ac:dyDescent="0.25">
      <c r="G6531" s="1" t="str">
        <f>IF(Table2[[#This Row],[Description]]="","",VLOOKUP(Table2[[#This Row],[Description]],$Q$1:$S$101,2,FALSE))</f>
        <v/>
      </c>
      <c r="H6531" s="1" t="str">
        <f>IF(Table2[[#This Row],[Description]]="","",VLOOKUP(Table2[[#This Row],[Description]],$Q$1:$S$101,3,FALSE))</f>
        <v/>
      </c>
      <c r="I6531" s="1" t="str">
        <f>IF(Table2[[#This Row],[Description]]="","",IF(Table2[[#This Row],[Currency]]=$O$2,$P$2,HLOOKUP(Table2[[#This Row],[Date]],Funds!$C$10:$GV$11,2,FALSE)))</f>
        <v/>
      </c>
      <c r="J6531" s="215" t="str">
        <f>IF(Table2[[#This Row],[Description]]="","",Table2[[#This Row],[Value]]/Table2[[#This Row],[Conversion]])</f>
        <v/>
      </c>
      <c r="K6531" s="45" t="str">
        <f>IF(Table2[[#This Row],[Description]]="","",DATE(Table2[[#This Row],[Year]],Table2[[#This Row],[Month]],1))</f>
        <v/>
      </c>
    </row>
    <row r="6532" spans="7:11" x14ac:dyDescent="0.25">
      <c r="G6532" s="1" t="str">
        <f>IF(Table2[[#This Row],[Description]]="","",VLOOKUP(Table2[[#This Row],[Description]],$Q$1:$S$101,2,FALSE))</f>
        <v/>
      </c>
      <c r="H6532" s="1" t="str">
        <f>IF(Table2[[#This Row],[Description]]="","",VLOOKUP(Table2[[#This Row],[Description]],$Q$1:$S$101,3,FALSE))</f>
        <v/>
      </c>
      <c r="I6532" s="1" t="str">
        <f>IF(Table2[[#This Row],[Description]]="","",IF(Table2[[#This Row],[Currency]]=$O$2,$P$2,HLOOKUP(Table2[[#This Row],[Date]],Funds!$C$10:$GV$11,2,FALSE)))</f>
        <v/>
      </c>
      <c r="J6532" s="215" t="str">
        <f>IF(Table2[[#This Row],[Description]]="","",Table2[[#This Row],[Value]]/Table2[[#This Row],[Conversion]])</f>
        <v/>
      </c>
      <c r="K6532" s="45" t="str">
        <f>IF(Table2[[#This Row],[Description]]="","",DATE(Table2[[#This Row],[Year]],Table2[[#This Row],[Month]],1))</f>
        <v/>
      </c>
    </row>
    <row r="6533" spans="7:11" x14ac:dyDescent="0.25">
      <c r="G6533" s="1" t="str">
        <f>IF(Table2[[#This Row],[Description]]="","",VLOOKUP(Table2[[#This Row],[Description]],$Q$1:$S$101,2,FALSE))</f>
        <v/>
      </c>
      <c r="H6533" s="1" t="str">
        <f>IF(Table2[[#This Row],[Description]]="","",VLOOKUP(Table2[[#This Row],[Description]],$Q$1:$S$101,3,FALSE))</f>
        <v/>
      </c>
      <c r="I6533" s="1" t="str">
        <f>IF(Table2[[#This Row],[Description]]="","",IF(Table2[[#This Row],[Currency]]=$O$2,$P$2,HLOOKUP(Table2[[#This Row],[Date]],Funds!$C$10:$GV$11,2,FALSE)))</f>
        <v/>
      </c>
      <c r="J6533" s="215" t="str">
        <f>IF(Table2[[#This Row],[Description]]="","",Table2[[#This Row],[Value]]/Table2[[#This Row],[Conversion]])</f>
        <v/>
      </c>
      <c r="K6533" s="45" t="str">
        <f>IF(Table2[[#This Row],[Description]]="","",DATE(Table2[[#This Row],[Year]],Table2[[#This Row],[Month]],1))</f>
        <v/>
      </c>
    </row>
    <row r="6534" spans="7:11" x14ac:dyDescent="0.25">
      <c r="G6534" s="1" t="str">
        <f>IF(Table2[[#This Row],[Description]]="","",VLOOKUP(Table2[[#This Row],[Description]],$Q$1:$S$101,2,FALSE))</f>
        <v/>
      </c>
      <c r="H6534" s="1" t="str">
        <f>IF(Table2[[#This Row],[Description]]="","",VLOOKUP(Table2[[#This Row],[Description]],$Q$1:$S$101,3,FALSE))</f>
        <v/>
      </c>
      <c r="I6534" s="1" t="str">
        <f>IF(Table2[[#This Row],[Description]]="","",IF(Table2[[#This Row],[Currency]]=$O$2,$P$2,HLOOKUP(Table2[[#This Row],[Date]],Funds!$C$10:$GV$11,2,FALSE)))</f>
        <v/>
      </c>
      <c r="J6534" s="215" t="str">
        <f>IF(Table2[[#This Row],[Description]]="","",Table2[[#This Row],[Value]]/Table2[[#This Row],[Conversion]])</f>
        <v/>
      </c>
      <c r="K6534" s="45" t="str">
        <f>IF(Table2[[#This Row],[Description]]="","",DATE(Table2[[#This Row],[Year]],Table2[[#This Row],[Month]],1))</f>
        <v/>
      </c>
    </row>
    <row r="6535" spans="7:11" x14ac:dyDescent="0.25">
      <c r="G6535" s="1" t="str">
        <f>IF(Table2[[#This Row],[Description]]="","",VLOOKUP(Table2[[#This Row],[Description]],$Q$1:$S$101,2,FALSE))</f>
        <v/>
      </c>
      <c r="H6535" s="1" t="str">
        <f>IF(Table2[[#This Row],[Description]]="","",VLOOKUP(Table2[[#This Row],[Description]],$Q$1:$S$101,3,FALSE))</f>
        <v/>
      </c>
      <c r="I6535" s="1" t="str">
        <f>IF(Table2[[#This Row],[Description]]="","",IF(Table2[[#This Row],[Currency]]=$O$2,$P$2,HLOOKUP(Table2[[#This Row],[Date]],Funds!$C$10:$GV$11,2,FALSE)))</f>
        <v/>
      </c>
      <c r="J6535" s="215" t="str">
        <f>IF(Table2[[#This Row],[Description]]="","",Table2[[#This Row],[Value]]/Table2[[#This Row],[Conversion]])</f>
        <v/>
      </c>
      <c r="K6535" s="45" t="str">
        <f>IF(Table2[[#This Row],[Description]]="","",DATE(Table2[[#This Row],[Year]],Table2[[#This Row],[Month]],1))</f>
        <v/>
      </c>
    </row>
    <row r="6536" spans="7:11" x14ac:dyDescent="0.25">
      <c r="G6536" s="1" t="str">
        <f>IF(Table2[[#This Row],[Description]]="","",VLOOKUP(Table2[[#This Row],[Description]],$Q$1:$S$101,2,FALSE))</f>
        <v/>
      </c>
      <c r="H6536" s="1" t="str">
        <f>IF(Table2[[#This Row],[Description]]="","",VLOOKUP(Table2[[#This Row],[Description]],$Q$1:$S$101,3,FALSE))</f>
        <v/>
      </c>
      <c r="I6536" s="1" t="str">
        <f>IF(Table2[[#This Row],[Description]]="","",IF(Table2[[#This Row],[Currency]]=$O$2,$P$2,HLOOKUP(Table2[[#This Row],[Date]],Funds!$C$10:$GV$11,2,FALSE)))</f>
        <v/>
      </c>
      <c r="J6536" s="215" t="str">
        <f>IF(Table2[[#This Row],[Description]]="","",Table2[[#This Row],[Value]]/Table2[[#This Row],[Conversion]])</f>
        <v/>
      </c>
      <c r="K6536" s="45" t="str">
        <f>IF(Table2[[#This Row],[Description]]="","",DATE(Table2[[#This Row],[Year]],Table2[[#This Row],[Month]],1))</f>
        <v/>
      </c>
    </row>
    <row r="6537" spans="7:11" x14ac:dyDescent="0.25">
      <c r="G6537" s="1" t="str">
        <f>IF(Table2[[#This Row],[Description]]="","",VLOOKUP(Table2[[#This Row],[Description]],$Q$1:$S$101,2,FALSE))</f>
        <v/>
      </c>
      <c r="H6537" s="1" t="str">
        <f>IF(Table2[[#This Row],[Description]]="","",VLOOKUP(Table2[[#This Row],[Description]],$Q$1:$S$101,3,FALSE))</f>
        <v/>
      </c>
      <c r="I6537" s="1" t="str">
        <f>IF(Table2[[#This Row],[Description]]="","",IF(Table2[[#This Row],[Currency]]=$O$2,$P$2,HLOOKUP(Table2[[#This Row],[Date]],Funds!$C$10:$GV$11,2,FALSE)))</f>
        <v/>
      </c>
      <c r="J6537" s="215" t="str">
        <f>IF(Table2[[#This Row],[Description]]="","",Table2[[#This Row],[Value]]/Table2[[#This Row],[Conversion]])</f>
        <v/>
      </c>
      <c r="K6537" s="45" t="str">
        <f>IF(Table2[[#This Row],[Description]]="","",DATE(Table2[[#This Row],[Year]],Table2[[#This Row],[Month]],1))</f>
        <v/>
      </c>
    </row>
    <row r="6538" spans="7:11" x14ac:dyDescent="0.25">
      <c r="G6538" s="1" t="str">
        <f>IF(Table2[[#This Row],[Description]]="","",VLOOKUP(Table2[[#This Row],[Description]],$Q$1:$S$101,2,FALSE))</f>
        <v/>
      </c>
      <c r="H6538" s="1" t="str">
        <f>IF(Table2[[#This Row],[Description]]="","",VLOOKUP(Table2[[#This Row],[Description]],$Q$1:$S$101,3,FALSE))</f>
        <v/>
      </c>
      <c r="I6538" s="1" t="str">
        <f>IF(Table2[[#This Row],[Description]]="","",IF(Table2[[#This Row],[Currency]]=$O$2,$P$2,HLOOKUP(Table2[[#This Row],[Date]],Funds!$C$10:$GV$11,2,FALSE)))</f>
        <v/>
      </c>
      <c r="J6538" s="215" t="str">
        <f>IF(Table2[[#This Row],[Description]]="","",Table2[[#This Row],[Value]]/Table2[[#This Row],[Conversion]])</f>
        <v/>
      </c>
      <c r="K6538" s="45" t="str">
        <f>IF(Table2[[#This Row],[Description]]="","",DATE(Table2[[#This Row],[Year]],Table2[[#This Row],[Month]],1))</f>
        <v/>
      </c>
    </row>
    <row r="6539" spans="7:11" x14ac:dyDescent="0.25">
      <c r="G6539" s="1" t="str">
        <f>IF(Table2[[#This Row],[Description]]="","",VLOOKUP(Table2[[#This Row],[Description]],$Q$1:$S$101,2,FALSE))</f>
        <v/>
      </c>
      <c r="H6539" s="1" t="str">
        <f>IF(Table2[[#This Row],[Description]]="","",VLOOKUP(Table2[[#This Row],[Description]],$Q$1:$S$101,3,FALSE))</f>
        <v/>
      </c>
      <c r="I6539" s="1" t="str">
        <f>IF(Table2[[#This Row],[Description]]="","",IF(Table2[[#This Row],[Currency]]=$O$2,$P$2,HLOOKUP(Table2[[#This Row],[Date]],Funds!$C$10:$GV$11,2,FALSE)))</f>
        <v/>
      </c>
      <c r="J6539" s="215" t="str">
        <f>IF(Table2[[#This Row],[Description]]="","",Table2[[#This Row],[Value]]/Table2[[#This Row],[Conversion]])</f>
        <v/>
      </c>
      <c r="K6539" s="45" t="str">
        <f>IF(Table2[[#This Row],[Description]]="","",DATE(Table2[[#This Row],[Year]],Table2[[#This Row],[Month]],1))</f>
        <v/>
      </c>
    </row>
    <row r="6540" spans="7:11" x14ac:dyDescent="0.25">
      <c r="G6540" s="1" t="str">
        <f>IF(Table2[[#This Row],[Description]]="","",VLOOKUP(Table2[[#This Row],[Description]],$Q$1:$S$101,2,FALSE))</f>
        <v/>
      </c>
      <c r="H6540" s="1" t="str">
        <f>IF(Table2[[#This Row],[Description]]="","",VLOOKUP(Table2[[#This Row],[Description]],$Q$1:$S$101,3,FALSE))</f>
        <v/>
      </c>
      <c r="I6540" s="1" t="str">
        <f>IF(Table2[[#This Row],[Description]]="","",IF(Table2[[#This Row],[Currency]]=$O$2,$P$2,HLOOKUP(Table2[[#This Row],[Date]],Funds!$C$10:$GV$11,2,FALSE)))</f>
        <v/>
      </c>
      <c r="J6540" s="215" t="str">
        <f>IF(Table2[[#This Row],[Description]]="","",Table2[[#This Row],[Value]]/Table2[[#This Row],[Conversion]])</f>
        <v/>
      </c>
      <c r="K6540" s="45" t="str">
        <f>IF(Table2[[#This Row],[Description]]="","",DATE(Table2[[#This Row],[Year]],Table2[[#This Row],[Month]],1))</f>
        <v/>
      </c>
    </row>
    <row r="6541" spans="7:11" x14ac:dyDescent="0.25">
      <c r="G6541" s="1" t="str">
        <f>IF(Table2[[#This Row],[Description]]="","",VLOOKUP(Table2[[#This Row],[Description]],$Q$1:$S$101,2,FALSE))</f>
        <v/>
      </c>
      <c r="H6541" s="1" t="str">
        <f>IF(Table2[[#This Row],[Description]]="","",VLOOKUP(Table2[[#This Row],[Description]],$Q$1:$S$101,3,FALSE))</f>
        <v/>
      </c>
      <c r="I6541" s="1" t="str">
        <f>IF(Table2[[#This Row],[Description]]="","",IF(Table2[[#This Row],[Currency]]=$O$2,$P$2,HLOOKUP(Table2[[#This Row],[Date]],Funds!$C$10:$GV$11,2,FALSE)))</f>
        <v/>
      </c>
      <c r="J6541" s="215" t="str">
        <f>IF(Table2[[#This Row],[Description]]="","",Table2[[#This Row],[Value]]/Table2[[#This Row],[Conversion]])</f>
        <v/>
      </c>
      <c r="K6541" s="45" t="str">
        <f>IF(Table2[[#This Row],[Description]]="","",DATE(Table2[[#This Row],[Year]],Table2[[#This Row],[Month]],1))</f>
        <v/>
      </c>
    </row>
    <row r="6542" spans="7:11" x14ac:dyDescent="0.25">
      <c r="G6542" s="1" t="str">
        <f>IF(Table2[[#This Row],[Description]]="","",VLOOKUP(Table2[[#This Row],[Description]],$Q$1:$S$101,2,FALSE))</f>
        <v/>
      </c>
      <c r="H6542" s="1" t="str">
        <f>IF(Table2[[#This Row],[Description]]="","",VLOOKUP(Table2[[#This Row],[Description]],$Q$1:$S$101,3,FALSE))</f>
        <v/>
      </c>
      <c r="I6542" s="1" t="str">
        <f>IF(Table2[[#This Row],[Description]]="","",IF(Table2[[#This Row],[Currency]]=$O$2,$P$2,HLOOKUP(Table2[[#This Row],[Date]],Funds!$C$10:$GV$11,2,FALSE)))</f>
        <v/>
      </c>
      <c r="J6542" s="215" t="str">
        <f>IF(Table2[[#This Row],[Description]]="","",Table2[[#This Row],[Value]]/Table2[[#This Row],[Conversion]])</f>
        <v/>
      </c>
      <c r="K6542" s="45" t="str">
        <f>IF(Table2[[#This Row],[Description]]="","",DATE(Table2[[#This Row],[Year]],Table2[[#This Row],[Month]],1))</f>
        <v/>
      </c>
    </row>
    <row r="6543" spans="7:11" x14ac:dyDescent="0.25">
      <c r="G6543" s="1" t="str">
        <f>IF(Table2[[#This Row],[Description]]="","",VLOOKUP(Table2[[#This Row],[Description]],$Q$1:$S$101,2,FALSE))</f>
        <v/>
      </c>
      <c r="H6543" s="1" t="str">
        <f>IF(Table2[[#This Row],[Description]]="","",VLOOKUP(Table2[[#This Row],[Description]],$Q$1:$S$101,3,FALSE))</f>
        <v/>
      </c>
      <c r="I6543" s="1" t="str">
        <f>IF(Table2[[#This Row],[Description]]="","",IF(Table2[[#This Row],[Currency]]=$O$2,$P$2,HLOOKUP(Table2[[#This Row],[Date]],Funds!$C$10:$GV$11,2,FALSE)))</f>
        <v/>
      </c>
      <c r="J6543" s="215" t="str">
        <f>IF(Table2[[#This Row],[Description]]="","",Table2[[#This Row],[Value]]/Table2[[#This Row],[Conversion]])</f>
        <v/>
      </c>
      <c r="K6543" s="45" t="str">
        <f>IF(Table2[[#This Row],[Description]]="","",DATE(Table2[[#This Row],[Year]],Table2[[#This Row],[Month]],1))</f>
        <v/>
      </c>
    </row>
    <row r="6544" spans="7:11" x14ac:dyDescent="0.25">
      <c r="G6544" s="1" t="str">
        <f>IF(Table2[[#This Row],[Description]]="","",VLOOKUP(Table2[[#This Row],[Description]],$Q$1:$S$101,2,FALSE))</f>
        <v/>
      </c>
      <c r="H6544" s="1" t="str">
        <f>IF(Table2[[#This Row],[Description]]="","",VLOOKUP(Table2[[#This Row],[Description]],$Q$1:$S$101,3,FALSE))</f>
        <v/>
      </c>
      <c r="I6544" s="1" t="str">
        <f>IF(Table2[[#This Row],[Description]]="","",IF(Table2[[#This Row],[Currency]]=$O$2,$P$2,HLOOKUP(Table2[[#This Row],[Date]],Funds!$C$10:$GV$11,2,FALSE)))</f>
        <v/>
      </c>
      <c r="J6544" s="215" t="str">
        <f>IF(Table2[[#This Row],[Description]]="","",Table2[[#This Row],[Value]]/Table2[[#This Row],[Conversion]])</f>
        <v/>
      </c>
      <c r="K6544" s="45" t="str">
        <f>IF(Table2[[#This Row],[Description]]="","",DATE(Table2[[#This Row],[Year]],Table2[[#This Row],[Month]],1))</f>
        <v/>
      </c>
    </row>
    <row r="6545" spans="7:11" x14ac:dyDescent="0.25">
      <c r="G6545" s="1" t="str">
        <f>IF(Table2[[#This Row],[Description]]="","",VLOOKUP(Table2[[#This Row],[Description]],$Q$1:$S$101,2,FALSE))</f>
        <v/>
      </c>
      <c r="H6545" s="1" t="str">
        <f>IF(Table2[[#This Row],[Description]]="","",VLOOKUP(Table2[[#This Row],[Description]],$Q$1:$S$101,3,FALSE))</f>
        <v/>
      </c>
      <c r="I6545" s="1" t="str">
        <f>IF(Table2[[#This Row],[Description]]="","",IF(Table2[[#This Row],[Currency]]=$O$2,$P$2,HLOOKUP(Table2[[#This Row],[Date]],Funds!$C$10:$GV$11,2,FALSE)))</f>
        <v/>
      </c>
      <c r="J6545" s="215" t="str">
        <f>IF(Table2[[#This Row],[Description]]="","",Table2[[#This Row],[Value]]/Table2[[#This Row],[Conversion]])</f>
        <v/>
      </c>
      <c r="K6545" s="45" t="str">
        <f>IF(Table2[[#This Row],[Description]]="","",DATE(Table2[[#This Row],[Year]],Table2[[#This Row],[Month]],1))</f>
        <v/>
      </c>
    </row>
    <row r="6546" spans="7:11" x14ac:dyDescent="0.25">
      <c r="G6546" s="1" t="str">
        <f>IF(Table2[[#This Row],[Description]]="","",VLOOKUP(Table2[[#This Row],[Description]],$Q$1:$S$101,2,FALSE))</f>
        <v/>
      </c>
      <c r="H6546" s="1" t="str">
        <f>IF(Table2[[#This Row],[Description]]="","",VLOOKUP(Table2[[#This Row],[Description]],$Q$1:$S$101,3,FALSE))</f>
        <v/>
      </c>
      <c r="I6546" s="1" t="str">
        <f>IF(Table2[[#This Row],[Description]]="","",IF(Table2[[#This Row],[Currency]]=$O$2,$P$2,HLOOKUP(Table2[[#This Row],[Date]],Funds!$C$10:$GV$11,2,FALSE)))</f>
        <v/>
      </c>
      <c r="J6546" s="215" t="str">
        <f>IF(Table2[[#This Row],[Description]]="","",Table2[[#This Row],[Value]]/Table2[[#This Row],[Conversion]])</f>
        <v/>
      </c>
      <c r="K6546" s="45" t="str">
        <f>IF(Table2[[#This Row],[Description]]="","",DATE(Table2[[#This Row],[Year]],Table2[[#This Row],[Month]],1))</f>
        <v/>
      </c>
    </row>
    <row r="6547" spans="7:11" x14ac:dyDescent="0.25">
      <c r="G6547" s="1" t="str">
        <f>IF(Table2[[#This Row],[Description]]="","",VLOOKUP(Table2[[#This Row],[Description]],$Q$1:$S$101,2,FALSE))</f>
        <v/>
      </c>
      <c r="H6547" s="1" t="str">
        <f>IF(Table2[[#This Row],[Description]]="","",VLOOKUP(Table2[[#This Row],[Description]],$Q$1:$S$101,3,FALSE))</f>
        <v/>
      </c>
      <c r="I6547" s="1" t="str">
        <f>IF(Table2[[#This Row],[Description]]="","",IF(Table2[[#This Row],[Currency]]=$O$2,$P$2,HLOOKUP(Table2[[#This Row],[Date]],Funds!$C$10:$GV$11,2,FALSE)))</f>
        <v/>
      </c>
      <c r="J6547" s="215" t="str">
        <f>IF(Table2[[#This Row],[Description]]="","",Table2[[#This Row],[Value]]/Table2[[#This Row],[Conversion]])</f>
        <v/>
      </c>
      <c r="K6547" s="45" t="str">
        <f>IF(Table2[[#This Row],[Description]]="","",DATE(Table2[[#This Row],[Year]],Table2[[#This Row],[Month]],1))</f>
        <v/>
      </c>
    </row>
    <row r="6548" spans="7:11" x14ac:dyDescent="0.25">
      <c r="G6548" s="1" t="str">
        <f>IF(Table2[[#This Row],[Description]]="","",VLOOKUP(Table2[[#This Row],[Description]],$Q$1:$S$101,2,FALSE))</f>
        <v/>
      </c>
      <c r="H6548" s="1" t="str">
        <f>IF(Table2[[#This Row],[Description]]="","",VLOOKUP(Table2[[#This Row],[Description]],$Q$1:$S$101,3,FALSE))</f>
        <v/>
      </c>
      <c r="I6548" s="1" t="str">
        <f>IF(Table2[[#This Row],[Description]]="","",IF(Table2[[#This Row],[Currency]]=$O$2,$P$2,HLOOKUP(Table2[[#This Row],[Date]],Funds!$C$10:$GV$11,2,FALSE)))</f>
        <v/>
      </c>
      <c r="J6548" s="215" t="str">
        <f>IF(Table2[[#This Row],[Description]]="","",Table2[[#This Row],[Value]]/Table2[[#This Row],[Conversion]])</f>
        <v/>
      </c>
      <c r="K6548" s="45" t="str">
        <f>IF(Table2[[#This Row],[Description]]="","",DATE(Table2[[#This Row],[Year]],Table2[[#This Row],[Month]],1))</f>
        <v/>
      </c>
    </row>
    <row r="6549" spans="7:11" x14ac:dyDescent="0.25">
      <c r="G6549" s="1" t="str">
        <f>IF(Table2[[#This Row],[Description]]="","",VLOOKUP(Table2[[#This Row],[Description]],$Q$1:$S$101,2,FALSE))</f>
        <v/>
      </c>
      <c r="H6549" s="1" t="str">
        <f>IF(Table2[[#This Row],[Description]]="","",VLOOKUP(Table2[[#This Row],[Description]],$Q$1:$S$101,3,FALSE))</f>
        <v/>
      </c>
      <c r="I6549" s="1" t="str">
        <f>IF(Table2[[#This Row],[Description]]="","",IF(Table2[[#This Row],[Currency]]=$O$2,$P$2,HLOOKUP(Table2[[#This Row],[Date]],Funds!$C$10:$GV$11,2,FALSE)))</f>
        <v/>
      </c>
      <c r="J6549" s="215" t="str">
        <f>IF(Table2[[#This Row],[Description]]="","",Table2[[#This Row],[Value]]/Table2[[#This Row],[Conversion]])</f>
        <v/>
      </c>
      <c r="K6549" s="45" t="str">
        <f>IF(Table2[[#This Row],[Description]]="","",DATE(Table2[[#This Row],[Year]],Table2[[#This Row],[Month]],1))</f>
        <v/>
      </c>
    </row>
    <row r="6550" spans="7:11" x14ac:dyDescent="0.25">
      <c r="G6550" s="1" t="str">
        <f>IF(Table2[[#This Row],[Description]]="","",VLOOKUP(Table2[[#This Row],[Description]],$Q$1:$S$101,2,FALSE))</f>
        <v/>
      </c>
      <c r="H6550" s="1" t="str">
        <f>IF(Table2[[#This Row],[Description]]="","",VLOOKUP(Table2[[#This Row],[Description]],$Q$1:$S$101,3,FALSE))</f>
        <v/>
      </c>
      <c r="I6550" s="1" t="str">
        <f>IF(Table2[[#This Row],[Description]]="","",IF(Table2[[#This Row],[Currency]]=$O$2,$P$2,HLOOKUP(Table2[[#This Row],[Date]],Funds!$C$10:$GV$11,2,FALSE)))</f>
        <v/>
      </c>
      <c r="J6550" s="215" t="str">
        <f>IF(Table2[[#This Row],[Description]]="","",Table2[[#This Row],[Value]]/Table2[[#This Row],[Conversion]])</f>
        <v/>
      </c>
      <c r="K6550" s="45" t="str">
        <f>IF(Table2[[#This Row],[Description]]="","",DATE(Table2[[#This Row],[Year]],Table2[[#This Row],[Month]],1))</f>
        <v/>
      </c>
    </row>
    <row r="6551" spans="7:11" x14ac:dyDescent="0.25">
      <c r="G6551" s="1" t="str">
        <f>IF(Table2[[#This Row],[Description]]="","",VLOOKUP(Table2[[#This Row],[Description]],$Q$1:$S$101,2,FALSE))</f>
        <v/>
      </c>
      <c r="H6551" s="1" t="str">
        <f>IF(Table2[[#This Row],[Description]]="","",VLOOKUP(Table2[[#This Row],[Description]],$Q$1:$S$101,3,FALSE))</f>
        <v/>
      </c>
      <c r="I6551" s="1" t="str">
        <f>IF(Table2[[#This Row],[Description]]="","",IF(Table2[[#This Row],[Currency]]=$O$2,$P$2,HLOOKUP(Table2[[#This Row],[Date]],Funds!$C$10:$GV$11,2,FALSE)))</f>
        <v/>
      </c>
      <c r="J6551" s="215" t="str">
        <f>IF(Table2[[#This Row],[Description]]="","",Table2[[#This Row],[Value]]/Table2[[#This Row],[Conversion]])</f>
        <v/>
      </c>
      <c r="K6551" s="45" t="str">
        <f>IF(Table2[[#This Row],[Description]]="","",DATE(Table2[[#This Row],[Year]],Table2[[#This Row],[Month]],1))</f>
        <v/>
      </c>
    </row>
    <row r="6552" spans="7:11" x14ac:dyDescent="0.25">
      <c r="G6552" s="1" t="str">
        <f>IF(Table2[[#This Row],[Description]]="","",VLOOKUP(Table2[[#This Row],[Description]],$Q$1:$S$101,2,FALSE))</f>
        <v/>
      </c>
      <c r="H6552" s="1" t="str">
        <f>IF(Table2[[#This Row],[Description]]="","",VLOOKUP(Table2[[#This Row],[Description]],$Q$1:$S$101,3,FALSE))</f>
        <v/>
      </c>
      <c r="I6552" s="1" t="str">
        <f>IF(Table2[[#This Row],[Description]]="","",IF(Table2[[#This Row],[Currency]]=$O$2,$P$2,HLOOKUP(Table2[[#This Row],[Date]],Funds!$C$10:$GV$11,2,FALSE)))</f>
        <v/>
      </c>
      <c r="J6552" s="215" t="str">
        <f>IF(Table2[[#This Row],[Description]]="","",Table2[[#This Row],[Value]]/Table2[[#This Row],[Conversion]])</f>
        <v/>
      </c>
      <c r="K6552" s="45" t="str">
        <f>IF(Table2[[#This Row],[Description]]="","",DATE(Table2[[#This Row],[Year]],Table2[[#This Row],[Month]],1))</f>
        <v/>
      </c>
    </row>
    <row r="6553" spans="7:11" x14ac:dyDescent="0.25">
      <c r="G6553" s="1" t="str">
        <f>IF(Table2[[#This Row],[Description]]="","",VLOOKUP(Table2[[#This Row],[Description]],$Q$1:$S$101,2,FALSE))</f>
        <v/>
      </c>
      <c r="H6553" s="1" t="str">
        <f>IF(Table2[[#This Row],[Description]]="","",VLOOKUP(Table2[[#This Row],[Description]],$Q$1:$S$101,3,FALSE))</f>
        <v/>
      </c>
      <c r="I6553" s="1" t="str">
        <f>IF(Table2[[#This Row],[Description]]="","",IF(Table2[[#This Row],[Currency]]=$O$2,$P$2,HLOOKUP(Table2[[#This Row],[Date]],Funds!$C$10:$GV$11,2,FALSE)))</f>
        <v/>
      </c>
      <c r="J6553" s="215" t="str">
        <f>IF(Table2[[#This Row],[Description]]="","",Table2[[#This Row],[Value]]/Table2[[#This Row],[Conversion]])</f>
        <v/>
      </c>
      <c r="K6553" s="45" t="str">
        <f>IF(Table2[[#This Row],[Description]]="","",DATE(Table2[[#This Row],[Year]],Table2[[#This Row],[Month]],1))</f>
        <v/>
      </c>
    </row>
    <row r="6554" spans="7:11" x14ac:dyDescent="0.25">
      <c r="G6554" s="1" t="str">
        <f>IF(Table2[[#This Row],[Description]]="","",VLOOKUP(Table2[[#This Row],[Description]],$Q$1:$S$101,2,FALSE))</f>
        <v/>
      </c>
      <c r="H6554" s="1" t="str">
        <f>IF(Table2[[#This Row],[Description]]="","",VLOOKUP(Table2[[#This Row],[Description]],$Q$1:$S$101,3,FALSE))</f>
        <v/>
      </c>
      <c r="I6554" s="1" t="str">
        <f>IF(Table2[[#This Row],[Description]]="","",IF(Table2[[#This Row],[Currency]]=$O$2,$P$2,HLOOKUP(Table2[[#This Row],[Date]],Funds!$C$10:$GV$11,2,FALSE)))</f>
        <v/>
      </c>
      <c r="J6554" s="215" t="str">
        <f>IF(Table2[[#This Row],[Description]]="","",Table2[[#This Row],[Value]]/Table2[[#This Row],[Conversion]])</f>
        <v/>
      </c>
      <c r="K6554" s="45" t="str">
        <f>IF(Table2[[#This Row],[Description]]="","",DATE(Table2[[#This Row],[Year]],Table2[[#This Row],[Month]],1))</f>
        <v/>
      </c>
    </row>
    <row r="6555" spans="7:11" x14ac:dyDescent="0.25">
      <c r="G6555" s="1" t="str">
        <f>IF(Table2[[#This Row],[Description]]="","",VLOOKUP(Table2[[#This Row],[Description]],$Q$1:$S$101,2,FALSE))</f>
        <v/>
      </c>
      <c r="H6555" s="1" t="str">
        <f>IF(Table2[[#This Row],[Description]]="","",VLOOKUP(Table2[[#This Row],[Description]],$Q$1:$S$101,3,FALSE))</f>
        <v/>
      </c>
      <c r="I6555" s="1" t="str">
        <f>IF(Table2[[#This Row],[Description]]="","",IF(Table2[[#This Row],[Currency]]=$O$2,$P$2,HLOOKUP(Table2[[#This Row],[Date]],Funds!$C$10:$GV$11,2,FALSE)))</f>
        <v/>
      </c>
      <c r="J6555" s="215" t="str">
        <f>IF(Table2[[#This Row],[Description]]="","",Table2[[#This Row],[Value]]/Table2[[#This Row],[Conversion]])</f>
        <v/>
      </c>
      <c r="K6555" s="45" t="str">
        <f>IF(Table2[[#This Row],[Description]]="","",DATE(Table2[[#This Row],[Year]],Table2[[#This Row],[Month]],1))</f>
        <v/>
      </c>
    </row>
    <row r="6556" spans="7:11" x14ac:dyDescent="0.25">
      <c r="G6556" s="1" t="str">
        <f>IF(Table2[[#This Row],[Description]]="","",VLOOKUP(Table2[[#This Row],[Description]],$Q$1:$S$101,2,FALSE))</f>
        <v/>
      </c>
      <c r="H6556" s="1" t="str">
        <f>IF(Table2[[#This Row],[Description]]="","",VLOOKUP(Table2[[#This Row],[Description]],$Q$1:$S$101,3,FALSE))</f>
        <v/>
      </c>
      <c r="I6556" s="1" t="str">
        <f>IF(Table2[[#This Row],[Description]]="","",IF(Table2[[#This Row],[Currency]]=$O$2,$P$2,HLOOKUP(Table2[[#This Row],[Date]],Funds!$C$10:$GV$11,2,FALSE)))</f>
        <v/>
      </c>
      <c r="J6556" s="215" t="str">
        <f>IF(Table2[[#This Row],[Description]]="","",Table2[[#This Row],[Value]]/Table2[[#This Row],[Conversion]])</f>
        <v/>
      </c>
      <c r="K6556" s="45" t="str">
        <f>IF(Table2[[#This Row],[Description]]="","",DATE(Table2[[#This Row],[Year]],Table2[[#This Row],[Month]],1))</f>
        <v/>
      </c>
    </row>
    <row r="6557" spans="7:11" x14ac:dyDescent="0.25">
      <c r="G6557" s="1" t="str">
        <f>IF(Table2[[#This Row],[Description]]="","",VLOOKUP(Table2[[#This Row],[Description]],$Q$1:$S$101,2,FALSE))</f>
        <v/>
      </c>
      <c r="H6557" s="1" t="str">
        <f>IF(Table2[[#This Row],[Description]]="","",VLOOKUP(Table2[[#This Row],[Description]],$Q$1:$S$101,3,FALSE))</f>
        <v/>
      </c>
      <c r="I6557" s="1" t="str">
        <f>IF(Table2[[#This Row],[Description]]="","",IF(Table2[[#This Row],[Currency]]=$O$2,$P$2,HLOOKUP(Table2[[#This Row],[Date]],Funds!$C$10:$GV$11,2,FALSE)))</f>
        <v/>
      </c>
      <c r="J6557" s="215" t="str">
        <f>IF(Table2[[#This Row],[Description]]="","",Table2[[#This Row],[Value]]/Table2[[#This Row],[Conversion]])</f>
        <v/>
      </c>
      <c r="K6557" s="45" t="str">
        <f>IF(Table2[[#This Row],[Description]]="","",DATE(Table2[[#This Row],[Year]],Table2[[#This Row],[Month]],1))</f>
        <v/>
      </c>
    </row>
    <row r="6558" spans="7:11" x14ac:dyDescent="0.25">
      <c r="G6558" s="1" t="str">
        <f>IF(Table2[[#This Row],[Description]]="","",VLOOKUP(Table2[[#This Row],[Description]],$Q$1:$S$101,2,FALSE))</f>
        <v/>
      </c>
      <c r="H6558" s="1" t="str">
        <f>IF(Table2[[#This Row],[Description]]="","",VLOOKUP(Table2[[#This Row],[Description]],$Q$1:$S$101,3,FALSE))</f>
        <v/>
      </c>
      <c r="I6558" s="1" t="str">
        <f>IF(Table2[[#This Row],[Description]]="","",IF(Table2[[#This Row],[Currency]]=$O$2,$P$2,HLOOKUP(Table2[[#This Row],[Date]],Funds!$C$10:$GV$11,2,FALSE)))</f>
        <v/>
      </c>
      <c r="J6558" s="215" t="str">
        <f>IF(Table2[[#This Row],[Description]]="","",Table2[[#This Row],[Value]]/Table2[[#This Row],[Conversion]])</f>
        <v/>
      </c>
      <c r="K6558" s="45" t="str">
        <f>IF(Table2[[#This Row],[Description]]="","",DATE(Table2[[#This Row],[Year]],Table2[[#This Row],[Month]],1))</f>
        <v/>
      </c>
    </row>
    <row r="6559" spans="7:11" x14ac:dyDescent="0.25">
      <c r="G6559" s="1" t="str">
        <f>IF(Table2[[#This Row],[Description]]="","",VLOOKUP(Table2[[#This Row],[Description]],$Q$1:$S$101,2,FALSE))</f>
        <v/>
      </c>
      <c r="H6559" s="1" t="str">
        <f>IF(Table2[[#This Row],[Description]]="","",VLOOKUP(Table2[[#This Row],[Description]],$Q$1:$S$101,3,FALSE))</f>
        <v/>
      </c>
      <c r="I6559" s="1" t="str">
        <f>IF(Table2[[#This Row],[Description]]="","",IF(Table2[[#This Row],[Currency]]=$O$2,$P$2,HLOOKUP(Table2[[#This Row],[Date]],Funds!$C$10:$GV$11,2,FALSE)))</f>
        <v/>
      </c>
      <c r="J6559" s="215" t="str">
        <f>IF(Table2[[#This Row],[Description]]="","",Table2[[#This Row],[Value]]/Table2[[#This Row],[Conversion]])</f>
        <v/>
      </c>
      <c r="K6559" s="45" t="str">
        <f>IF(Table2[[#This Row],[Description]]="","",DATE(Table2[[#This Row],[Year]],Table2[[#This Row],[Month]],1))</f>
        <v/>
      </c>
    </row>
    <row r="6560" spans="7:11" x14ac:dyDescent="0.25">
      <c r="G6560" s="1" t="str">
        <f>IF(Table2[[#This Row],[Description]]="","",VLOOKUP(Table2[[#This Row],[Description]],$Q$1:$S$101,2,FALSE))</f>
        <v/>
      </c>
      <c r="H6560" s="1" t="str">
        <f>IF(Table2[[#This Row],[Description]]="","",VLOOKUP(Table2[[#This Row],[Description]],$Q$1:$S$101,3,FALSE))</f>
        <v/>
      </c>
      <c r="I6560" s="1" t="str">
        <f>IF(Table2[[#This Row],[Description]]="","",IF(Table2[[#This Row],[Currency]]=$O$2,$P$2,HLOOKUP(Table2[[#This Row],[Date]],Funds!$C$10:$GV$11,2,FALSE)))</f>
        <v/>
      </c>
      <c r="J6560" s="215" t="str">
        <f>IF(Table2[[#This Row],[Description]]="","",Table2[[#This Row],[Value]]/Table2[[#This Row],[Conversion]])</f>
        <v/>
      </c>
      <c r="K6560" s="45" t="str">
        <f>IF(Table2[[#This Row],[Description]]="","",DATE(Table2[[#This Row],[Year]],Table2[[#This Row],[Month]],1))</f>
        <v/>
      </c>
    </row>
    <row r="6561" spans="7:11" x14ac:dyDescent="0.25">
      <c r="G6561" s="1" t="str">
        <f>IF(Table2[[#This Row],[Description]]="","",VLOOKUP(Table2[[#This Row],[Description]],$Q$1:$S$101,2,FALSE))</f>
        <v/>
      </c>
      <c r="H6561" s="1" t="str">
        <f>IF(Table2[[#This Row],[Description]]="","",VLOOKUP(Table2[[#This Row],[Description]],$Q$1:$S$101,3,FALSE))</f>
        <v/>
      </c>
      <c r="I6561" s="1" t="str">
        <f>IF(Table2[[#This Row],[Description]]="","",IF(Table2[[#This Row],[Currency]]=$O$2,$P$2,HLOOKUP(Table2[[#This Row],[Date]],Funds!$C$10:$GV$11,2,FALSE)))</f>
        <v/>
      </c>
      <c r="J6561" s="215" t="str">
        <f>IF(Table2[[#This Row],[Description]]="","",Table2[[#This Row],[Value]]/Table2[[#This Row],[Conversion]])</f>
        <v/>
      </c>
      <c r="K6561" s="45" t="str">
        <f>IF(Table2[[#This Row],[Description]]="","",DATE(Table2[[#This Row],[Year]],Table2[[#This Row],[Month]],1))</f>
        <v/>
      </c>
    </row>
    <row r="6562" spans="7:11" x14ac:dyDescent="0.25">
      <c r="G6562" s="1" t="str">
        <f>IF(Table2[[#This Row],[Description]]="","",VLOOKUP(Table2[[#This Row],[Description]],$Q$1:$S$101,2,FALSE))</f>
        <v/>
      </c>
      <c r="H6562" s="1" t="str">
        <f>IF(Table2[[#This Row],[Description]]="","",VLOOKUP(Table2[[#This Row],[Description]],$Q$1:$S$101,3,FALSE))</f>
        <v/>
      </c>
      <c r="I6562" s="1" t="str">
        <f>IF(Table2[[#This Row],[Description]]="","",IF(Table2[[#This Row],[Currency]]=$O$2,$P$2,HLOOKUP(Table2[[#This Row],[Date]],Funds!$C$10:$GV$11,2,FALSE)))</f>
        <v/>
      </c>
      <c r="J6562" s="215" t="str">
        <f>IF(Table2[[#This Row],[Description]]="","",Table2[[#This Row],[Value]]/Table2[[#This Row],[Conversion]])</f>
        <v/>
      </c>
      <c r="K6562" s="45" t="str">
        <f>IF(Table2[[#This Row],[Description]]="","",DATE(Table2[[#This Row],[Year]],Table2[[#This Row],[Month]],1))</f>
        <v/>
      </c>
    </row>
    <row r="6563" spans="7:11" x14ac:dyDescent="0.25">
      <c r="G6563" s="1" t="str">
        <f>IF(Table2[[#This Row],[Description]]="","",VLOOKUP(Table2[[#This Row],[Description]],$Q$1:$S$101,2,FALSE))</f>
        <v/>
      </c>
      <c r="H6563" s="1" t="str">
        <f>IF(Table2[[#This Row],[Description]]="","",VLOOKUP(Table2[[#This Row],[Description]],$Q$1:$S$101,3,FALSE))</f>
        <v/>
      </c>
      <c r="I6563" s="1" t="str">
        <f>IF(Table2[[#This Row],[Description]]="","",IF(Table2[[#This Row],[Currency]]=$O$2,$P$2,HLOOKUP(Table2[[#This Row],[Date]],Funds!$C$10:$GV$11,2,FALSE)))</f>
        <v/>
      </c>
      <c r="J6563" s="215" t="str">
        <f>IF(Table2[[#This Row],[Description]]="","",Table2[[#This Row],[Value]]/Table2[[#This Row],[Conversion]])</f>
        <v/>
      </c>
      <c r="K6563" s="45" t="str">
        <f>IF(Table2[[#This Row],[Description]]="","",DATE(Table2[[#This Row],[Year]],Table2[[#This Row],[Month]],1))</f>
        <v/>
      </c>
    </row>
    <row r="6564" spans="7:11" x14ac:dyDescent="0.25">
      <c r="G6564" s="1" t="str">
        <f>IF(Table2[[#This Row],[Description]]="","",VLOOKUP(Table2[[#This Row],[Description]],$Q$1:$S$101,2,FALSE))</f>
        <v/>
      </c>
      <c r="H6564" s="1" t="str">
        <f>IF(Table2[[#This Row],[Description]]="","",VLOOKUP(Table2[[#This Row],[Description]],$Q$1:$S$101,3,FALSE))</f>
        <v/>
      </c>
      <c r="I6564" s="1" t="str">
        <f>IF(Table2[[#This Row],[Description]]="","",IF(Table2[[#This Row],[Currency]]=$O$2,$P$2,HLOOKUP(Table2[[#This Row],[Date]],Funds!$C$10:$GV$11,2,FALSE)))</f>
        <v/>
      </c>
      <c r="J6564" s="215" t="str">
        <f>IF(Table2[[#This Row],[Description]]="","",Table2[[#This Row],[Value]]/Table2[[#This Row],[Conversion]])</f>
        <v/>
      </c>
      <c r="K6564" s="45" t="str">
        <f>IF(Table2[[#This Row],[Description]]="","",DATE(Table2[[#This Row],[Year]],Table2[[#This Row],[Month]],1))</f>
        <v/>
      </c>
    </row>
    <row r="6565" spans="7:11" x14ac:dyDescent="0.25">
      <c r="G6565" s="1" t="str">
        <f>IF(Table2[[#This Row],[Description]]="","",VLOOKUP(Table2[[#This Row],[Description]],$Q$1:$S$101,2,FALSE))</f>
        <v/>
      </c>
      <c r="H6565" s="1" t="str">
        <f>IF(Table2[[#This Row],[Description]]="","",VLOOKUP(Table2[[#This Row],[Description]],$Q$1:$S$101,3,FALSE))</f>
        <v/>
      </c>
      <c r="I6565" s="1" t="str">
        <f>IF(Table2[[#This Row],[Description]]="","",IF(Table2[[#This Row],[Currency]]=$O$2,$P$2,HLOOKUP(Table2[[#This Row],[Date]],Funds!$C$10:$GV$11,2,FALSE)))</f>
        <v/>
      </c>
      <c r="J6565" s="215" t="str">
        <f>IF(Table2[[#This Row],[Description]]="","",Table2[[#This Row],[Value]]/Table2[[#This Row],[Conversion]])</f>
        <v/>
      </c>
      <c r="K6565" s="45" t="str">
        <f>IF(Table2[[#This Row],[Description]]="","",DATE(Table2[[#This Row],[Year]],Table2[[#This Row],[Month]],1))</f>
        <v/>
      </c>
    </row>
    <row r="6566" spans="7:11" x14ac:dyDescent="0.25">
      <c r="G6566" s="1" t="str">
        <f>IF(Table2[[#This Row],[Description]]="","",VLOOKUP(Table2[[#This Row],[Description]],$Q$1:$S$101,2,FALSE))</f>
        <v/>
      </c>
      <c r="H6566" s="1" t="str">
        <f>IF(Table2[[#This Row],[Description]]="","",VLOOKUP(Table2[[#This Row],[Description]],$Q$1:$S$101,3,FALSE))</f>
        <v/>
      </c>
      <c r="I6566" s="1" t="str">
        <f>IF(Table2[[#This Row],[Description]]="","",IF(Table2[[#This Row],[Currency]]=$O$2,$P$2,HLOOKUP(Table2[[#This Row],[Date]],Funds!$C$10:$GV$11,2,FALSE)))</f>
        <v/>
      </c>
      <c r="J6566" s="215" t="str">
        <f>IF(Table2[[#This Row],[Description]]="","",Table2[[#This Row],[Value]]/Table2[[#This Row],[Conversion]])</f>
        <v/>
      </c>
      <c r="K6566" s="45" t="str">
        <f>IF(Table2[[#This Row],[Description]]="","",DATE(Table2[[#This Row],[Year]],Table2[[#This Row],[Month]],1))</f>
        <v/>
      </c>
    </row>
    <row r="6567" spans="7:11" x14ac:dyDescent="0.25">
      <c r="G6567" s="1" t="str">
        <f>IF(Table2[[#This Row],[Description]]="","",VLOOKUP(Table2[[#This Row],[Description]],$Q$1:$S$101,2,FALSE))</f>
        <v/>
      </c>
      <c r="H6567" s="1" t="str">
        <f>IF(Table2[[#This Row],[Description]]="","",VLOOKUP(Table2[[#This Row],[Description]],$Q$1:$S$101,3,FALSE))</f>
        <v/>
      </c>
      <c r="I6567" s="1" t="str">
        <f>IF(Table2[[#This Row],[Description]]="","",IF(Table2[[#This Row],[Currency]]=$O$2,$P$2,HLOOKUP(Table2[[#This Row],[Date]],Funds!$C$10:$GV$11,2,FALSE)))</f>
        <v/>
      </c>
      <c r="J6567" s="215" t="str">
        <f>IF(Table2[[#This Row],[Description]]="","",Table2[[#This Row],[Value]]/Table2[[#This Row],[Conversion]])</f>
        <v/>
      </c>
      <c r="K6567" s="45" t="str">
        <f>IF(Table2[[#This Row],[Description]]="","",DATE(Table2[[#This Row],[Year]],Table2[[#This Row],[Month]],1))</f>
        <v/>
      </c>
    </row>
    <row r="6568" spans="7:11" x14ac:dyDescent="0.25">
      <c r="G6568" s="1" t="str">
        <f>IF(Table2[[#This Row],[Description]]="","",VLOOKUP(Table2[[#This Row],[Description]],$Q$1:$S$101,2,FALSE))</f>
        <v/>
      </c>
      <c r="H6568" s="1" t="str">
        <f>IF(Table2[[#This Row],[Description]]="","",VLOOKUP(Table2[[#This Row],[Description]],$Q$1:$S$101,3,FALSE))</f>
        <v/>
      </c>
      <c r="I6568" s="1" t="str">
        <f>IF(Table2[[#This Row],[Description]]="","",IF(Table2[[#This Row],[Currency]]=$O$2,$P$2,HLOOKUP(Table2[[#This Row],[Date]],Funds!$C$10:$GV$11,2,FALSE)))</f>
        <v/>
      </c>
      <c r="J6568" s="215" t="str">
        <f>IF(Table2[[#This Row],[Description]]="","",Table2[[#This Row],[Value]]/Table2[[#This Row],[Conversion]])</f>
        <v/>
      </c>
      <c r="K6568" s="45" t="str">
        <f>IF(Table2[[#This Row],[Description]]="","",DATE(Table2[[#This Row],[Year]],Table2[[#This Row],[Month]],1))</f>
        <v/>
      </c>
    </row>
    <row r="6569" spans="7:11" x14ac:dyDescent="0.25">
      <c r="G6569" s="1" t="str">
        <f>IF(Table2[[#This Row],[Description]]="","",VLOOKUP(Table2[[#This Row],[Description]],$Q$1:$S$101,2,FALSE))</f>
        <v/>
      </c>
      <c r="H6569" s="1" t="str">
        <f>IF(Table2[[#This Row],[Description]]="","",VLOOKUP(Table2[[#This Row],[Description]],$Q$1:$S$101,3,FALSE))</f>
        <v/>
      </c>
      <c r="I6569" s="1" t="str">
        <f>IF(Table2[[#This Row],[Description]]="","",IF(Table2[[#This Row],[Currency]]=$O$2,$P$2,HLOOKUP(Table2[[#This Row],[Date]],Funds!$C$10:$GV$11,2,FALSE)))</f>
        <v/>
      </c>
      <c r="J6569" s="215" t="str">
        <f>IF(Table2[[#This Row],[Description]]="","",Table2[[#This Row],[Value]]/Table2[[#This Row],[Conversion]])</f>
        <v/>
      </c>
      <c r="K6569" s="45" t="str">
        <f>IF(Table2[[#This Row],[Description]]="","",DATE(Table2[[#This Row],[Year]],Table2[[#This Row],[Month]],1))</f>
        <v/>
      </c>
    </row>
    <row r="6570" spans="7:11" x14ac:dyDescent="0.25">
      <c r="G6570" s="1" t="str">
        <f>IF(Table2[[#This Row],[Description]]="","",VLOOKUP(Table2[[#This Row],[Description]],$Q$1:$S$101,2,FALSE))</f>
        <v/>
      </c>
      <c r="H6570" s="1" t="str">
        <f>IF(Table2[[#This Row],[Description]]="","",VLOOKUP(Table2[[#This Row],[Description]],$Q$1:$S$101,3,FALSE))</f>
        <v/>
      </c>
      <c r="I6570" s="1" t="str">
        <f>IF(Table2[[#This Row],[Description]]="","",IF(Table2[[#This Row],[Currency]]=$O$2,$P$2,HLOOKUP(Table2[[#This Row],[Date]],Funds!$C$10:$GV$11,2,FALSE)))</f>
        <v/>
      </c>
      <c r="J6570" s="215" t="str">
        <f>IF(Table2[[#This Row],[Description]]="","",Table2[[#This Row],[Value]]/Table2[[#This Row],[Conversion]])</f>
        <v/>
      </c>
      <c r="K6570" s="45" t="str">
        <f>IF(Table2[[#This Row],[Description]]="","",DATE(Table2[[#This Row],[Year]],Table2[[#This Row],[Month]],1))</f>
        <v/>
      </c>
    </row>
    <row r="6571" spans="7:11" x14ac:dyDescent="0.25">
      <c r="G6571" s="1" t="str">
        <f>IF(Table2[[#This Row],[Description]]="","",VLOOKUP(Table2[[#This Row],[Description]],$Q$1:$S$101,2,FALSE))</f>
        <v/>
      </c>
      <c r="H6571" s="1" t="str">
        <f>IF(Table2[[#This Row],[Description]]="","",VLOOKUP(Table2[[#This Row],[Description]],$Q$1:$S$101,3,FALSE))</f>
        <v/>
      </c>
      <c r="I6571" s="1" t="str">
        <f>IF(Table2[[#This Row],[Description]]="","",IF(Table2[[#This Row],[Currency]]=$O$2,$P$2,HLOOKUP(Table2[[#This Row],[Date]],Funds!$C$10:$GV$11,2,FALSE)))</f>
        <v/>
      </c>
      <c r="J6571" s="215" t="str">
        <f>IF(Table2[[#This Row],[Description]]="","",Table2[[#This Row],[Value]]/Table2[[#This Row],[Conversion]])</f>
        <v/>
      </c>
      <c r="K6571" s="45" t="str">
        <f>IF(Table2[[#This Row],[Description]]="","",DATE(Table2[[#This Row],[Year]],Table2[[#This Row],[Month]],1))</f>
        <v/>
      </c>
    </row>
    <row r="6572" spans="7:11" x14ac:dyDescent="0.25">
      <c r="G6572" s="1" t="str">
        <f>IF(Table2[[#This Row],[Description]]="","",VLOOKUP(Table2[[#This Row],[Description]],$Q$1:$S$101,2,FALSE))</f>
        <v/>
      </c>
      <c r="H6572" s="1" t="str">
        <f>IF(Table2[[#This Row],[Description]]="","",VLOOKUP(Table2[[#This Row],[Description]],$Q$1:$S$101,3,FALSE))</f>
        <v/>
      </c>
      <c r="I6572" s="1" t="str">
        <f>IF(Table2[[#This Row],[Description]]="","",IF(Table2[[#This Row],[Currency]]=$O$2,$P$2,HLOOKUP(Table2[[#This Row],[Date]],Funds!$C$10:$GV$11,2,FALSE)))</f>
        <v/>
      </c>
      <c r="J6572" s="215" t="str">
        <f>IF(Table2[[#This Row],[Description]]="","",Table2[[#This Row],[Value]]/Table2[[#This Row],[Conversion]])</f>
        <v/>
      </c>
      <c r="K6572" s="45" t="str">
        <f>IF(Table2[[#This Row],[Description]]="","",DATE(Table2[[#This Row],[Year]],Table2[[#This Row],[Month]],1))</f>
        <v/>
      </c>
    </row>
    <row r="6573" spans="7:11" x14ac:dyDescent="0.25">
      <c r="G6573" s="1" t="str">
        <f>IF(Table2[[#This Row],[Description]]="","",VLOOKUP(Table2[[#This Row],[Description]],$Q$1:$S$101,2,FALSE))</f>
        <v/>
      </c>
      <c r="H6573" s="1" t="str">
        <f>IF(Table2[[#This Row],[Description]]="","",VLOOKUP(Table2[[#This Row],[Description]],$Q$1:$S$101,3,FALSE))</f>
        <v/>
      </c>
      <c r="I6573" s="1" t="str">
        <f>IF(Table2[[#This Row],[Description]]="","",IF(Table2[[#This Row],[Currency]]=$O$2,$P$2,HLOOKUP(Table2[[#This Row],[Date]],Funds!$C$10:$GV$11,2,FALSE)))</f>
        <v/>
      </c>
      <c r="J6573" s="215" t="str">
        <f>IF(Table2[[#This Row],[Description]]="","",Table2[[#This Row],[Value]]/Table2[[#This Row],[Conversion]])</f>
        <v/>
      </c>
      <c r="K6573" s="45" t="str">
        <f>IF(Table2[[#This Row],[Description]]="","",DATE(Table2[[#This Row],[Year]],Table2[[#This Row],[Month]],1))</f>
        <v/>
      </c>
    </row>
    <row r="6574" spans="7:11" x14ac:dyDescent="0.25">
      <c r="G6574" s="1" t="str">
        <f>IF(Table2[[#This Row],[Description]]="","",VLOOKUP(Table2[[#This Row],[Description]],$Q$1:$S$101,2,FALSE))</f>
        <v/>
      </c>
      <c r="H6574" s="1" t="str">
        <f>IF(Table2[[#This Row],[Description]]="","",VLOOKUP(Table2[[#This Row],[Description]],$Q$1:$S$101,3,FALSE))</f>
        <v/>
      </c>
      <c r="I6574" s="1" t="str">
        <f>IF(Table2[[#This Row],[Description]]="","",IF(Table2[[#This Row],[Currency]]=$O$2,$P$2,HLOOKUP(Table2[[#This Row],[Date]],Funds!$C$10:$GV$11,2,FALSE)))</f>
        <v/>
      </c>
      <c r="J6574" s="215" t="str">
        <f>IF(Table2[[#This Row],[Description]]="","",Table2[[#This Row],[Value]]/Table2[[#This Row],[Conversion]])</f>
        <v/>
      </c>
      <c r="K6574" s="45" t="str">
        <f>IF(Table2[[#This Row],[Description]]="","",DATE(Table2[[#This Row],[Year]],Table2[[#This Row],[Month]],1))</f>
        <v/>
      </c>
    </row>
    <row r="6575" spans="7:11" x14ac:dyDescent="0.25">
      <c r="G6575" s="1" t="str">
        <f>IF(Table2[[#This Row],[Description]]="","",VLOOKUP(Table2[[#This Row],[Description]],$Q$1:$S$101,2,FALSE))</f>
        <v/>
      </c>
      <c r="H6575" s="1" t="str">
        <f>IF(Table2[[#This Row],[Description]]="","",VLOOKUP(Table2[[#This Row],[Description]],$Q$1:$S$101,3,FALSE))</f>
        <v/>
      </c>
      <c r="I6575" s="1" t="str">
        <f>IF(Table2[[#This Row],[Description]]="","",IF(Table2[[#This Row],[Currency]]=$O$2,$P$2,HLOOKUP(Table2[[#This Row],[Date]],Funds!$C$10:$GV$11,2,FALSE)))</f>
        <v/>
      </c>
      <c r="J6575" s="215" t="str">
        <f>IF(Table2[[#This Row],[Description]]="","",Table2[[#This Row],[Value]]/Table2[[#This Row],[Conversion]])</f>
        <v/>
      </c>
      <c r="K6575" s="45" t="str">
        <f>IF(Table2[[#This Row],[Description]]="","",DATE(Table2[[#This Row],[Year]],Table2[[#This Row],[Month]],1))</f>
        <v/>
      </c>
    </row>
    <row r="6576" spans="7:11" x14ac:dyDescent="0.25">
      <c r="G6576" s="1" t="str">
        <f>IF(Table2[[#This Row],[Description]]="","",VLOOKUP(Table2[[#This Row],[Description]],$Q$1:$S$101,2,FALSE))</f>
        <v/>
      </c>
      <c r="H6576" s="1" t="str">
        <f>IF(Table2[[#This Row],[Description]]="","",VLOOKUP(Table2[[#This Row],[Description]],$Q$1:$S$101,3,FALSE))</f>
        <v/>
      </c>
      <c r="I6576" s="1" t="str">
        <f>IF(Table2[[#This Row],[Description]]="","",IF(Table2[[#This Row],[Currency]]=$O$2,$P$2,HLOOKUP(Table2[[#This Row],[Date]],Funds!$C$10:$GV$11,2,FALSE)))</f>
        <v/>
      </c>
      <c r="J6576" s="215" t="str">
        <f>IF(Table2[[#This Row],[Description]]="","",Table2[[#This Row],[Value]]/Table2[[#This Row],[Conversion]])</f>
        <v/>
      </c>
      <c r="K6576" s="45" t="str">
        <f>IF(Table2[[#This Row],[Description]]="","",DATE(Table2[[#This Row],[Year]],Table2[[#This Row],[Month]],1))</f>
        <v/>
      </c>
    </row>
    <row r="6577" spans="7:11" x14ac:dyDescent="0.25">
      <c r="G6577" s="1" t="str">
        <f>IF(Table2[[#This Row],[Description]]="","",VLOOKUP(Table2[[#This Row],[Description]],$Q$1:$S$101,2,FALSE))</f>
        <v/>
      </c>
      <c r="H6577" s="1" t="str">
        <f>IF(Table2[[#This Row],[Description]]="","",VLOOKUP(Table2[[#This Row],[Description]],$Q$1:$S$101,3,FALSE))</f>
        <v/>
      </c>
      <c r="I6577" s="1" t="str">
        <f>IF(Table2[[#This Row],[Description]]="","",IF(Table2[[#This Row],[Currency]]=$O$2,$P$2,HLOOKUP(Table2[[#This Row],[Date]],Funds!$C$10:$GV$11,2,FALSE)))</f>
        <v/>
      </c>
      <c r="J6577" s="215" t="str">
        <f>IF(Table2[[#This Row],[Description]]="","",Table2[[#This Row],[Value]]/Table2[[#This Row],[Conversion]])</f>
        <v/>
      </c>
      <c r="K6577" s="45" t="str">
        <f>IF(Table2[[#This Row],[Description]]="","",DATE(Table2[[#This Row],[Year]],Table2[[#This Row],[Month]],1))</f>
        <v/>
      </c>
    </row>
    <row r="6578" spans="7:11" x14ac:dyDescent="0.25">
      <c r="G6578" s="1" t="str">
        <f>IF(Table2[[#This Row],[Description]]="","",VLOOKUP(Table2[[#This Row],[Description]],$Q$1:$S$101,2,FALSE))</f>
        <v/>
      </c>
      <c r="H6578" s="1" t="str">
        <f>IF(Table2[[#This Row],[Description]]="","",VLOOKUP(Table2[[#This Row],[Description]],$Q$1:$S$101,3,FALSE))</f>
        <v/>
      </c>
      <c r="I6578" s="1" t="str">
        <f>IF(Table2[[#This Row],[Description]]="","",IF(Table2[[#This Row],[Currency]]=$O$2,$P$2,HLOOKUP(Table2[[#This Row],[Date]],Funds!$C$10:$GV$11,2,FALSE)))</f>
        <v/>
      </c>
      <c r="J6578" s="215" t="str">
        <f>IF(Table2[[#This Row],[Description]]="","",Table2[[#This Row],[Value]]/Table2[[#This Row],[Conversion]])</f>
        <v/>
      </c>
      <c r="K6578" s="45" t="str">
        <f>IF(Table2[[#This Row],[Description]]="","",DATE(Table2[[#This Row],[Year]],Table2[[#This Row],[Month]],1))</f>
        <v/>
      </c>
    </row>
    <row r="6579" spans="7:11" x14ac:dyDescent="0.25">
      <c r="G6579" s="1" t="str">
        <f>IF(Table2[[#This Row],[Description]]="","",VLOOKUP(Table2[[#This Row],[Description]],$Q$1:$S$101,2,FALSE))</f>
        <v/>
      </c>
      <c r="H6579" s="1" t="str">
        <f>IF(Table2[[#This Row],[Description]]="","",VLOOKUP(Table2[[#This Row],[Description]],$Q$1:$S$101,3,FALSE))</f>
        <v/>
      </c>
      <c r="I6579" s="1" t="str">
        <f>IF(Table2[[#This Row],[Description]]="","",IF(Table2[[#This Row],[Currency]]=$O$2,$P$2,HLOOKUP(Table2[[#This Row],[Date]],Funds!$C$10:$GV$11,2,FALSE)))</f>
        <v/>
      </c>
      <c r="J6579" s="215" t="str">
        <f>IF(Table2[[#This Row],[Description]]="","",Table2[[#This Row],[Value]]/Table2[[#This Row],[Conversion]])</f>
        <v/>
      </c>
      <c r="K6579" s="45" t="str">
        <f>IF(Table2[[#This Row],[Description]]="","",DATE(Table2[[#This Row],[Year]],Table2[[#This Row],[Month]],1))</f>
        <v/>
      </c>
    </row>
    <row r="6580" spans="7:11" x14ac:dyDescent="0.25">
      <c r="G6580" s="1" t="str">
        <f>IF(Table2[[#This Row],[Description]]="","",VLOOKUP(Table2[[#This Row],[Description]],$Q$1:$S$101,2,FALSE))</f>
        <v/>
      </c>
      <c r="H6580" s="1" t="str">
        <f>IF(Table2[[#This Row],[Description]]="","",VLOOKUP(Table2[[#This Row],[Description]],$Q$1:$S$101,3,FALSE))</f>
        <v/>
      </c>
      <c r="I6580" s="1" t="str">
        <f>IF(Table2[[#This Row],[Description]]="","",IF(Table2[[#This Row],[Currency]]=$O$2,$P$2,HLOOKUP(Table2[[#This Row],[Date]],Funds!$C$10:$GV$11,2,FALSE)))</f>
        <v/>
      </c>
      <c r="J6580" s="215" t="str">
        <f>IF(Table2[[#This Row],[Description]]="","",Table2[[#This Row],[Value]]/Table2[[#This Row],[Conversion]])</f>
        <v/>
      </c>
      <c r="K6580" s="45" t="str">
        <f>IF(Table2[[#This Row],[Description]]="","",DATE(Table2[[#This Row],[Year]],Table2[[#This Row],[Month]],1))</f>
        <v/>
      </c>
    </row>
    <row r="6581" spans="7:11" x14ac:dyDescent="0.25">
      <c r="G6581" s="1" t="str">
        <f>IF(Table2[[#This Row],[Description]]="","",VLOOKUP(Table2[[#This Row],[Description]],$Q$1:$S$101,2,FALSE))</f>
        <v/>
      </c>
      <c r="H6581" s="1" t="str">
        <f>IF(Table2[[#This Row],[Description]]="","",VLOOKUP(Table2[[#This Row],[Description]],$Q$1:$S$101,3,FALSE))</f>
        <v/>
      </c>
      <c r="I6581" s="1" t="str">
        <f>IF(Table2[[#This Row],[Description]]="","",IF(Table2[[#This Row],[Currency]]=$O$2,$P$2,HLOOKUP(Table2[[#This Row],[Date]],Funds!$C$10:$GV$11,2,FALSE)))</f>
        <v/>
      </c>
      <c r="J6581" s="215" t="str">
        <f>IF(Table2[[#This Row],[Description]]="","",Table2[[#This Row],[Value]]/Table2[[#This Row],[Conversion]])</f>
        <v/>
      </c>
      <c r="K6581" s="45" t="str">
        <f>IF(Table2[[#This Row],[Description]]="","",DATE(Table2[[#This Row],[Year]],Table2[[#This Row],[Month]],1))</f>
        <v/>
      </c>
    </row>
    <row r="6582" spans="7:11" x14ac:dyDescent="0.25">
      <c r="G6582" s="1" t="str">
        <f>IF(Table2[[#This Row],[Description]]="","",VLOOKUP(Table2[[#This Row],[Description]],$Q$1:$S$101,2,FALSE))</f>
        <v/>
      </c>
      <c r="H6582" s="1" t="str">
        <f>IF(Table2[[#This Row],[Description]]="","",VLOOKUP(Table2[[#This Row],[Description]],$Q$1:$S$101,3,FALSE))</f>
        <v/>
      </c>
      <c r="I6582" s="1" t="str">
        <f>IF(Table2[[#This Row],[Description]]="","",IF(Table2[[#This Row],[Currency]]=$O$2,$P$2,HLOOKUP(Table2[[#This Row],[Date]],Funds!$C$10:$GV$11,2,FALSE)))</f>
        <v/>
      </c>
      <c r="J6582" s="215" t="str">
        <f>IF(Table2[[#This Row],[Description]]="","",Table2[[#This Row],[Value]]/Table2[[#This Row],[Conversion]])</f>
        <v/>
      </c>
      <c r="K6582" s="45" t="str">
        <f>IF(Table2[[#This Row],[Description]]="","",DATE(Table2[[#This Row],[Year]],Table2[[#This Row],[Month]],1))</f>
        <v/>
      </c>
    </row>
    <row r="6583" spans="7:11" x14ac:dyDescent="0.25">
      <c r="G6583" s="1" t="str">
        <f>IF(Table2[[#This Row],[Description]]="","",VLOOKUP(Table2[[#This Row],[Description]],$Q$1:$S$101,2,FALSE))</f>
        <v/>
      </c>
      <c r="H6583" s="1" t="str">
        <f>IF(Table2[[#This Row],[Description]]="","",VLOOKUP(Table2[[#This Row],[Description]],$Q$1:$S$101,3,FALSE))</f>
        <v/>
      </c>
      <c r="I6583" s="1" t="str">
        <f>IF(Table2[[#This Row],[Description]]="","",IF(Table2[[#This Row],[Currency]]=$O$2,$P$2,HLOOKUP(Table2[[#This Row],[Date]],Funds!$C$10:$GV$11,2,FALSE)))</f>
        <v/>
      </c>
      <c r="J6583" s="215" t="str">
        <f>IF(Table2[[#This Row],[Description]]="","",Table2[[#This Row],[Value]]/Table2[[#This Row],[Conversion]])</f>
        <v/>
      </c>
      <c r="K6583" s="45" t="str">
        <f>IF(Table2[[#This Row],[Description]]="","",DATE(Table2[[#This Row],[Year]],Table2[[#This Row],[Month]],1))</f>
        <v/>
      </c>
    </row>
    <row r="6584" spans="7:11" x14ac:dyDescent="0.25">
      <c r="G6584" s="1" t="str">
        <f>IF(Table2[[#This Row],[Description]]="","",VLOOKUP(Table2[[#This Row],[Description]],$Q$1:$S$101,2,FALSE))</f>
        <v/>
      </c>
      <c r="H6584" s="1" t="str">
        <f>IF(Table2[[#This Row],[Description]]="","",VLOOKUP(Table2[[#This Row],[Description]],$Q$1:$S$101,3,FALSE))</f>
        <v/>
      </c>
      <c r="I6584" s="1" t="str">
        <f>IF(Table2[[#This Row],[Description]]="","",IF(Table2[[#This Row],[Currency]]=$O$2,$P$2,HLOOKUP(Table2[[#This Row],[Date]],Funds!$C$10:$GV$11,2,FALSE)))</f>
        <v/>
      </c>
      <c r="J6584" s="215" t="str">
        <f>IF(Table2[[#This Row],[Description]]="","",Table2[[#This Row],[Value]]/Table2[[#This Row],[Conversion]])</f>
        <v/>
      </c>
      <c r="K6584" s="45" t="str">
        <f>IF(Table2[[#This Row],[Description]]="","",DATE(Table2[[#This Row],[Year]],Table2[[#This Row],[Month]],1))</f>
        <v/>
      </c>
    </row>
    <row r="6585" spans="7:11" x14ac:dyDescent="0.25">
      <c r="G6585" s="1" t="str">
        <f>IF(Table2[[#This Row],[Description]]="","",VLOOKUP(Table2[[#This Row],[Description]],$Q$1:$S$101,2,FALSE))</f>
        <v/>
      </c>
      <c r="H6585" s="1" t="str">
        <f>IF(Table2[[#This Row],[Description]]="","",VLOOKUP(Table2[[#This Row],[Description]],$Q$1:$S$101,3,FALSE))</f>
        <v/>
      </c>
      <c r="I6585" s="1" t="str">
        <f>IF(Table2[[#This Row],[Description]]="","",IF(Table2[[#This Row],[Currency]]=$O$2,$P$2,HLOOKUP(Table2[[#This Row],[Date]],Funds!$C$10:$GV$11,2,FALSE)))</f>
        <v/>
      </c>
      <c r="J6585" s="215" t="str">
        <f>IF(Table2[[#This Row],[Description]]="","",Table2[[#This Row],[Value]]/Table2[[#This Row],[Conversion]])</f>
        <v/>
      </c>
      <c r="K6585" s="45" t="str">
        <f>IF(Table2[[#This Row],[Description]]="","",DATE(Table2[[#This Row],[Year]],Table2[[#This Row],[Month]],1))</f>
        <v/>
      </c>
    </row>
    <row r="6586" spans="7:11" x14ac:dyDescent="0.25">
      <c r="G6586" s="1" t="str">
        <f>IF(Table2[[#This Row],[Description]]="","",VLOOKUP(Table2[[#This Row],[Description]],$Q$1:$S$101,2,FALSE))</f>
        <v/>
      </c>
      <c r="H6586" s="1" t="str">
        <f>IF(Table2[[#This Row],[Description]]="","",VLOOKUP(Table2[[#This Row],[Description]],$Q$1:$S$101,3,FALSE))</f>
        <v/>
      </c>
      <c r="I6586" s="1" t="str">
        <f>IF(Table2[[#This Row],[Description]]="","",IF(Table2[[#This Row],[Currency]]=$O$2,$P$2,HLOOKUP(Table2[[#This Row],[Date]],Funds!$C$10:$GV$11,2,FALSE)))</f>
        <v/>
      </c>
      <c r="J6586" s="215" t="str">
        <f>IF(Table2[[#This Row],[Description]]="","",Table2[[#This Row],[Value]]/Table2[[#This Row],[Conversion]])</f>
        <v/>
      </c>
      <c r="K6586" s="45" t="str">
        <f>IF(Table2[[#This Row],[Description]]="","",DATE(Table2[[#This Row],[Year]],Table2[[#This Row],[Month]],1))</f>
        <v/>
      </c>
    </row>
    <row r="6587" spans="7:11" x14ac:dyDescent="0.25">
      <c r="G6587" s="1" t="str">
        <f>IF(Table2[[#This Row],[Description]]="","",VLOOKUP(Table2[[#This Row],[Description]],$Q$1:$S$101,2,FALSE))</f>
        <v/>
      </c>
      <c r="H6587" s="1" t="str">
        <f>IF(Table2[[#This Row],[Description]]="","",VLOOKUP(Table2[[#This Row],[Description]],$Q$1:$S$101,3,FALSE))</f>
        <v/>
      </c>
      <c r="I6587" s="1" t="str">
        <f>IF(Table2[[#This Row],[Description]]="","",IF(Table2[[#This Row],[Currency]]=$O$2,$P$2,HLOOKUP(Table2[[#This Row],[Date]],Funds!$C$10:$GV$11,2,FALSE)))</f>
        <v/>
      </c>
      <c r="J6587" s="215" t="str">
        <f>IF(Table2[[#This Row],[Description]]="","",Table2[[#This Row],[Value]]/Table2[[#This Row],[Conversion]])</f>
        <v/>
      </c>
      <c r="K6587" s="45" t="str">
        <f>IF(Table2[[#This Row],[Description]]="","",DATE(Table2[[#This Row],[Year]],Table2[[#This Row],[Month]],1))</f>
        <v/>
      </c>
    </row>
    <row r="6588" spans="7:11" x14ac:dyDescent="0.25">
      <c r="G6588" s="1" t="str">
        <f>IF(Table2[[#This Row],[Description]]="","",VLOOKUP(Table2[[#This Row],[Description]],$Q$1:$S$101,2,FALSE))</f>
        <v/>
      </c>
      <c r="H6588" s="1" t="str">
        <f>IF(Table2[[#This Row],[Description]]="","",VLOOKUP(Table2[[#This Row],[Description]],$Q$1:$S$101,3,FALSE))</f>
        <v/>
      </c>
      <c r="I6588" s="1" t="str">
        <f>IF(Table2[[#This Row],[Description]]="","",IF(Table2[[#This Row],[Currency]]=$O$2,$P$2,HLOOKUP(Table2[[#This Row],[Date]],Funds!$C$10:$GV$11,2,FALSE)))</f>
        <v/>
      </c>
      <c r="J6588" s="215" t="str">
        <f>IF(Table2[[#This Row],[Description]]="","",Table2[[#This Row],[Value]]/Table2[[#This Row],[Conversion]])</f>
        <v/>
      </c>
      <c r="K6588" s="45" t="str">
        <f>IF(Table2[[#This Row],[Description]]="","",DATE(Table2[[#This Row],[Year]],Table2[[#This Row],[Month]],1))</f>
        <v/>
      </c>
    </row>
    <row r="6589" spans="7:11" x14ac:dyDescent="0.25">
      <c r="G6589" s="1" t="str">
        <f>IF(Table2[[#This Row],[Description]]="","",VLOOKUP(Table2[[#This Row],[Description]],$Q$1:$S$101,2,FALSE))</f>
        <v/>
      </c>
      <c r="H6589" s="1" t="str">
        <f>IF(Table2[[#This Row],[Description]]="","",VLOOKUP(Table2[[#This Row],[Description]],$Q$1:$S$101,3,FALSE))</f>
        <v/>
      </c>
      <c r="I6589" s="1" t="str">
        <f>IF(Table2[[#This Row],[Description]]="","",IF(Table2[[#This Row],[Currency]]=$O$2,$P$2,HLOOKUP(Table2[[#This Row],[Date]],Funds!$C$10:$GV$11,2,FALSE)))</f>
        <v/>
      </c>
      <c r="J6589" s="215" t="str">
        <f>IF(Table2[[#This Row],[Description]]="","",Table2[[#This Row],[Value]]/Table2[[#This Row],[Conversion]])</f>
        <v/>
      </c>
      <c r="K6589" s="45" t="str">
        <f>IF(Table2[[#This Row],[Description]]="","",DATE(Table2[[#This Row],[Year]],Table2[[#This Row],[Month]],1))</f>
        <v/>
      </c>
    </row>
    <row r="6590" spans="7:11" x14ac:dyDescent="0.25">
      <c r="G6590" s="1" t="str">
        <f>IF(Table2[[#This Row],[Description]]="","",VLOOKUP(Table2[[#This Row],[Description]],$Q$1:$S$101,2,FALSE))</f>
        <v/>
      </c>
      <c r="H6590" s="1" t="str">
        <f>IF(Table2[[#This Row],[Description]]="","",VLOOKUP(Table2[[#This Row],[Description]],$Q$1:$S$101,3,FALSE))</f>
        <v/>
      </c>
      <c r="I6590" s="1" t="str">
        <f>IF(Table2[[#This Row],[Description]]="","",IF(Table2[[#This Row],[Currency]]=$O$2,$P$2,HLOOKUP(Table2[[#This Row],[Date]],Funds!$C$10:$GV$11,2,FALSE)))</f>
        <v/>
      </c>
      <c r="J6590" s="215" t="str">
        <f>IF(Table2[[#This Row],[Description]]="","",Table2[[#This Row],[Value]]/Table2[[#This Row],[Conversion]])</f>
        <v/>
      </c>
      <c r="K6590" s="45" t="str">
        <f>IF(Table2[[#This Row],[Description]]="","",DATE(Table2[[#This Row],[Year]],Table2[[#This Row],[Month]],1))</f>
        <v/>
      </c>
    </row>
    <row r="6591" spans="7:11" x14ac:dyDescent="0.25">
      <c r="G6591" s="1" t="str">
        <f>IF(Table2[[#This Row],[Description]]="","",VLOOKUP(Table2[[#This Row],[Description]],$Q$1:$S$101,2,FALSE))</f>
        <v/>
      </c>
      <c r="H6591" s="1" t="str">
        <f>IF(Table2[[#This Row],[Description]]="","",VLOOKUP(Table2[[#This Row],[Description]],$Q$1:$S$101,3,FALSE))</f>
        <v/>
      </c>
      <c r="I6591" s="1" t="str">
        <f>IF(Table2[[#This Row],[Description]]="","",IF(Table2[[#This Row],[Currency]]=$O$2,$P$2,HLOOKUP(Table2[[#This Row],[Date]],Funds!$C$10:$GV$11,2,FALSE)))</f>
        <v/>
      </c>
      <c r="J6591" s="215" t="str">
        <f>IF(Table2[[#This Row],[Description]]="","",Table2[[#This Row],[Value]]/Table2[[#This Row],[Conversion]])</f>
        <v/>
      </c>
      <c r="K6591" s="45" t="str">
        <f>IF(Table2[[#This Row],[Description]]="","",DATE(Table2[[#This Row],[Year]],Table2[[#This Row],[Month]],1))</f>
        <v/>
      </c>
    </row>
    <row r="6592" spans="7:11" x14ac:dyDescent="0.25">
      <c r="G6592" s="1" t="str">
        <f>IF(Table2[[#This Row],[Description]]="","",VLOOKUP(Table2[[#This Row],[Description]],$Q$1:$S$101,2,FALSE))</f>
        <v/>
      </c>
      <c r="H6592" s="1" t="str">
        <f>IF(Table2[[#This Row],[Description]]="","",VLOOKUP(Table2[[#This Row],[Description]],$Q$1:$S$101,3,FALSE))</f>
        <v/>
      </c>
      <c r="I6592" s="1" t="str">
        <f>IF(Table2[[#This Row],[Description]]="","",IF(Table2[[#This Row],[Currency]]=$O$2,$P$2,HLOOKUP(Table2[[#This Row],[Date]],Funds!$C$10:$GV$11,2,FALSE)))</f>
        <v/>
      </c>
      <c r="J6592" s="215" t="str">
        <f>IF(Table2[[#This Row],[Description]]="","",Table2[[#This Row],[Value]]/Table2[[#This Row],[Conversion]])</f>
        <v/>
      </c>
      <c r="K6592" s="45" t="str">
        <f>IF(Table2[[#This Row],[Description]]="","",DATE(Table2[[#This Row],[Year]],Table2[[#This Row],[Month]],1))</f>
        <v/>
      </c>
    </row>
    <row r="6593" spans="7:11" x14ac:dyDescent="0.25">
      <c r="G6593" s="1" t="str">
        <f>IF(Table2[[#This Row],[Description]]="","",VLOOKUP(Table2[[#This Row],[Description]],$Q$1:$S$101,2,FALSE))</f>
        <v/>
      </c>
      <c r="H6593" s="1" t="str">
        <f>IF(Table2[[#This Row],[Description]]="","",VLOOKUP(Table2[[#This Row],[Description]],$Q$1:$S$101,3,FALSE))</f>
        <v/>
      </c>
      <c r="I6593" s="1" t="str">
        <f>IF(Table2[[#This Row],[Description]]="","",IF(Table2[[#This Row],[Currency]]=$O$2,$P$2,HLOOKUP(Table2[[#This Row],[Date]],Funds!$C$10:$GV$11,2,FALSE)))</f>
        <v/>
      </c>
      <c r="J6593" s="215" t="str">
        <f>IF(Table2[[#This Row],[Description]]="","",Table2[[#This Row],[Value]]/Table2[[#This Row],[Conversion]])</f>
        <v/>
      </c>
      <c r="K6593" s="45" t="str">
        <f>IF(Table2[[#This Row],[Description]]="","",DATE(Table2[[#This Row],[Year]],Table2[[#This Row],[Month]],1))</f>
        <v/>
      </c>
    </row>
    <row r="6594" spans="7:11" x14ac:dyDescent="0.25">
      <c r="G6594" s="1" t="str">
        <f>IF(Table2[[#This Row],[Description]]="","",VLOOKUP(Table2[[#This Row],[Description]],$Q$1:$S$101,2,FALSE))</f>
        <v/>
      </c>
      <c r="H6594" s="1" t="str">
        <f>IF(Table2[[#This Row],[Description]]="","",VLOOKUP(Table2[[#This Row],[Description]],$Q$1:$S$101,3,FALSE))</f>
        <v/>
      </c>
      <c r="I6594" s="1" t="str">
        <f>IF(Table2[[#This Row],[Description]]="","",IF(Table2[[#This Row],[Currency]]=$O$2,$P$2,HLOOKUP(Table2[[#This Row],[Date]],Funds!$C$10:$GV$11,2,FALSE)))</f>
        <v/>
      </c>
      <c r="J6594" s="215" t="str">
        <f>IF(Table2[[#This Row],[Description]]="","",Table2[[#This Row],[Value]]/Table2[[#This Row],[Conversion]])</f>
        <v/>
      </c>
      <c r="K6594" s="45" t="str">
        <f>IF(Table2[[#This Row],[Description]]="","",DATE(Table2[[#This Row],[Year]],Table2[[#This Row],[Month]],1))</f>
        <v/>
      </c>
    </row>
    <row r="6595" spans="7:11" x14ac:dyDescent="0.25">
      <c r="G6595" s="1" t="str">
        <f>IF(Table2[[#This Row],[Description]]="","",VLOOKUP(Table2[[#This Row],[Description]],$Q$1:$S$101,2,FALSE))</f>
        <v/>
      </c>
      <c r="H6595" s="1" t="str">
        <f>IF(Table2[[#This Row],[Description]]="","",VLOOKUP(Table2[[#This Row],[Description]],$Q$1:$S$101,3,FALSE))</f>
        <v/>
      </c>
      <c r="I6595" s="1" t="str">
        <f>IF(Table2[[#This Row],[Description]]="","",IF(Table2[[#This Row],[Currency]]=$O$2,$P$2,HLOOKUP(Table2[[#This Row],[Date]],Funds!$C$10:$GV$11,2,FALSE)))</f>
        <v/>
      </c>
      <c r="J6595" s="215" t="str">
        <f>IF(Table2[[#This Row],[Description]]="","",Table2[[#This Row],[Value]]/Table2[[#This Row],[Conversion]])</f>
        <v/>
      </c>
      <c r="K6595" s="45" t="str">
        <f>IF(Table2[[#This Row],[Description]]="","",DATE(Table2[[#This Row],[Year]],Table2[[#This Row],[Month]],1))</f>
        <v/>
      </c>
    </row>
    <row r="6596" spans="7:11" x14ac:dyDescent="0.25">
      <c r="G6596" s="1" t="str">
        <f>IF(Table2[[#This Row],[Description]]="","",VLOOKUP(Table2[[#This Row],[Description]],$Q$1:$S$101,2,FALSE))</f>
        <v/>
      </c>
      <c r="H6596" s="1" t="str">
        <f>IF(Table2[[#This Row],[Description]]="","",VLOOKUP(Table2[[#This Row],[Description]],$Q$1:$S$101,3,FALSE))</f>
        <v/>
      </c>
      <c r="I6596" s="1" t="str">
        <f>IF(Table2[[#This Row],[Description]]="","",IF(Table2[[#This Row],[Currency]]=$O$2,$P$2,HLOOKUP(Table2[[#This Row],[Date]],Funds!$C$10:$GV$11,2,FALSE)))</f>
        <v/>
      </c>
      <c r="J6596" s="215" t="str">
        <f>IF(Table2[[#This Row],[Description]]="","",Table2[[#This Row],[Value]]/Table2[[#This Row],[Conversion]])</f>
        <v/>
      </c>
      <c r="K6596" s="45" t="str">
        <f>IF(Table2[[#This Row],[Description]]="","",DATE(Table2[[#This Row],[Year]],Table2[[#This Row],[Month]],1))</f>
        <v/>
      </c>
    </row>
    <row r="6597" spans="7:11" x14ac:dyDescent="0.25">
      <c r="G6597" s="1" t="str">
        <f>IF(Table2[[#This Row],[Description]]="","",VLOOKUP(Table2[[#This Row],[Description]],$Q$1:$S$101,2,FALSE))</f>
        <v/>
      </c>
      <c r="H6597" s="1" t="str">
        <f>IF(Table2[[#This Row],[Description]]="","",VLOOKUP(Table2[[#This Row],[Description]],$Q$1:$S$101,3,FALSE))</f>
        <v/>
      </c>
      <c r="I6597" s="1" t="str">
        <f>IF(Table2[[#This Row],[Description]]="","",IF(Table2[[#This Row],[Currency]]=$O$2,$P$2,HLOOKUP(Table2[[#This Row],[Date]],Funds!$C$10:$GV$11,2,FALSE)))</f>
        <v/>
      </c>
      <c r="J6597" s="215" t="str">
        <f>IF(Table2[[#This Row],[Description]]="","",Table2[[#This Row],[Value]]/Table2[[#This Row],[Conversion]])</f>
        <v/>
      </c>
      <c r="K6597" s="45" t="str">
        <f>IF(Table2[[#This Row],[Description]]="","",DATE(Table2[[#This Row],[Year]],Table2[[#This Row],[Month]],1))</f>
        <v/>
      </c>
    </row>
    <row r="6598" spans="7:11" x14ac:dyDescent="0.25">
      <c r="G6598" s="1" t="str">
        <f>IF(Table2[[#This Row],[Description]]="","",VLOOKUP(Table2[[#This Row],[Description]],$Q$1:$S$101,2,FALSE))</f>
        <v/>
      </c>
      <c r="H6598" s="1" t="str">
        <f>IF(Table2[[#This Row],[Description]]="","",VLOOKUP(Table2[[#This Row],[Description]],$Q$1:$S$101,3,FALSE))</f>
        <v/>
      </c>
      <c r="I6598" s="1" t="str">
        <f>IF(Table2[[#This Row],[Description]]="","",IF(Table2[[#This Row],[Currency]]=$O$2,$P$2,HLOOKUP(Table2[[#This Row],[Date]],Funds!$C$10:$GV$11,2,FALSE)))</f>
        <v/>
      </c>
      <c r="J6598" s="215" t="str">
        <f>IF(Table2[[#This Row],[Description]]="","",Table2[[#This Row],[Value]]/Table2[[#This Row],[Conversion]])</f>
        <v/>
      </c>
      <c r="K6598" s="45" t="str">
        <f>IF(Table2[[#This Row],[Description]]="","",DATE(Table2[[#This Row],[Year]],Table2[[#This Row],[Month]],1))</f>
        <v/>
      </c>
    </row>
    <row r="6599" spans="7:11" x14ac:dyDescent="0.25">
      <c r="G6599" s="1" t="str">
        <f>IF(Table2[[#This Row],[Description]]="","",VLOOKUP(Table2[[#This Row],[Description]],$Q$1:$S$101,2,FALSE))</f>
        <v/>
      </c>
      <c r="H6599" s="1" t="str">
        <f>IF(Table2[[#This Row],[Description]]="","",VLOOKUP(Table2[[#This Row],[Description]],$Q$1:$S$101,3,FALSE))</f>
        <v/>
      </c>
      <c r="I6599" s="1" t="str">
        <f>IF(Table2[[#This Row],[Description]]="","",IF(Table2[[#This Row],[Currency]]=$O$2,$P$2,HLOOKUP(Table2[[#This Row],[Date]],Funds!$C$10:$GV$11,2,FALSE)))</f>
        <v/>
      </c>
      <c r="J6599" s="215" t="str">
        <f>IF(Table2[[#This Row],[Description]]="","",Table2[[#This Row],[Value]]/Table2[[#This Row],[Conversion]])</f>
        <v/>
      </c>
      <c r="K6599" s="45" t="str">
        <f>IF(Table2[[#This Row],[Description]]="","",DATE(Table2[[#This Row],[Year]],Table2[[#This Row],[Month]],1))</f>
        <v/>
      </c>
    </row>
    <row r="6600" spans="7:11" x14ac:dyDescent="0.25">
      <c r="G6600" s="1" t="str">
        <f>IF(Table2[[#This Row],[Description]]="","",VLOOKUP(Table2[[#This Row],[Description]],$Q$1:$S$101,2,FALSE))</f>
        <v/>
      </c>
      <c r="H6600" s="1" t="str">
        <f>IF(Table2[[#This Row],[Description]]="","",VLOOKUP(Table2[[#This Row],[Description]],$Q$1:$S$101,3,FALSE))</f>
        <v/>
      </c>
      <c r="I6600" s="1" t="str">
        <f>IF(Table2[[#This Row],[Description]]="","",IF(Table2[[#This Row],[Currency]]=$O$2,$P$2,HLOOKUP(Table2[[#This Row],[Date]],Funds!$C$10:$GV$11,2,FALSE)))</f>
        <v/>
      </c>
      <c r="J6600" s="215" t="str">
        <f>IF(Table2[[#This Row],[Description]]="","",Table2[[#This Row],[Value]]/Table2[[#This Row],[Conversion]])</f>
        <v/>
      </c>
      <c r="K6600" s="45" t="str">
        <f>IF(Table2[[#This Row],[Description]]="","",DATE(Table2[[#This Row],[Year]],Table2[[#This Row],[Month]],1))</f>
        <v/>
      </c>
    </row>
    <row r="6601" spans="7:11" x14ac:dyDescent="0.25">
      <c r="G6601" s="1" t="str">
        <f>IF(Table2[[#This Row],[Description]]="","",VLOOKUP(Table2[[#This Row],[Description]],$Q$1:$S$101,2,FALSE))</f>
        <v/>
      </c>
      <c r="H6601" s="1" t="str">
        <f>IF(Table2[[#This Row],[Description]]="","",VLOOKUP(Table2[[#This Row],[Description]],$Q$1:$S$101,3,FALSE))</f>
        <v/>
      </c>
      <c r="I6601" s="1" t="str">
        <f>IF(Table2[[#This Row],[Description]]="","",IF(Table2[[#This Row],[Currency]]=$O$2,$P$2,HLOOKUP(Table2[[#This Row],[Date]],Funds!$C$10:$GV$11,2,FALSE)))</f>
        <v/>
      </c>
      <c r="J6601" s="215" t="str">
        <f>IF(Table2[[#This Row],[Description]]="","",Table2[[#This Row],[Value]]/Table2[[#This Row],[Conversion]])</f>
        <v/>
      </c>
      <c r="K6601" s="45" t="str">
        <f>IF(Table2[[#This Row],[Description]]="","",DATE(Table2[[#This Row],[Year]],Table2[[#This Row],[Month]],1))</f>
        <v/>
      </c>
    </row>
    <row r="6602" spans="7:11" x14ac:dyDescent="0.25">
      <c r="G6602" s="1" t="str">
        <f>IF(Table2[[#This Row],[Description]]="","",VLOOKUP(Table2[[#This Row],[Description]],$Q$1:$S$101,2,FALSE))</f>
        <v/>
      </c>
      <c r="H6602" s="1" t="str">
        <f>IF(Table2[[#This Row],[Description]]="","",VLOOKUP(Table2[[#This Row],[Description]],$Q$1:$S$101,3,FALSE))</f>
        <v/>
      </c>
      <c r="I6602" s="1" t="str">
        <f>IF(Table2[[#This Row],[Description]]="","",IF(Table2[[#This Row],[Currency]]=$O$2,$P$2,HLOOKUP(Table2[[#This Row],[Date]],Funds!$C$10:$GV$11,2,FALSE)))</f>
        <v/>
      </c>
      <c r="J6602" s="215" t="str">
        <f>IF(Table2[[#This Row],[Description]]="","",Table2[[#This Row],[Value]]/Table2[[#This Row],[Conversion]])</f>
        <v/>
      </c>
      <c r="K6602" s="45" t="str">
        <f>IF(Table2[[#This Row],[Description]]="","",DATE(Table2[[#This Row],[Year]],Table2[[#This Row],[Month]],1))</f>
        <v/>
      </c>
    </row>
    <row r="6603" spans="7:11" x14ac:dyDescent="0.25">
      <c r="G6603" s="1" t="str">
        <f>IF(Table2[[#This Row],[Description]]="","",VLOOKUP(Table2[[#This Row],[Description]],$Q$1:$S$101,2,FALSE))</f>
        <v/>
      </c>
      <c r="H6603" s="1" t="str">
        <f>IF(Table2[[#This Row],[Description]]="","",VLOOKUP(Table2[[#This Row],[Description]],$Q$1:$S$101,3,FALSE))</f>
        <v/>
      </c>
      <c r="I6603" s="1" t="str">
        <f>IF(Table2[[#This Row],[Description]]="","",IF(Table2[[#This Row],[Currency]]=$O$2,$P$2,HLOOKUP(Table2[[#This Row],[Date]],Funds!$C$10:$GV$11,2,FALSE)))</f>
        <v/>
      </c>
      <c r="J6603" s="215" t="str">
        <f>IF(Table2[[#This Row],[Description]]="","",Table2[[#This Row],[Value]]/Table2[[#This Row],[Conversion]])</f>
        <v/>
      </c>
      <c r="K6603" s="45" t="str">
        <f>IF(Table2[[#This Row],[Description]]="","",DATE(Table2[[#This Row],[Year]],Table2[[#This Row],[Month]],1))</f>
        <v/>
      </c>
    </row>
    <row r="6604" spans="7:11" x14ac:dyDescent="0.25">
      <c r="G6604" s="1" t="str">
        <f>IF(Table2[[#This Row],[Description]]="","",VLOOKUP(Table2[[#This Row],[Description]],$Q$1:$S$101,2,FALSE))</f>
        <v/>
      </c>
      <c r="H6604" s="1" t="str">
        <f>IF(Table2[[#This Row],[Description]]="","",VLOOKUP(Table2[[#This Row],[Description]],$Q$1:$S$101,3,FALSE))</f>
        <v/>
      </c>
      <c r="I6604" s="1" t="str">
        <f>IF(Table2[[#This Row],[Description]]="","",IF(Table2[[#This Row],[Currency]]=$O$2,$P$2,HLOOKUP(Table2[[#This Row],[Date]],Funds!$C$10:$GV$11,2,FALSE)))</f>
        <v/>
      </c>
      <c r="J6604" s="215" t="str">
        <f>IF(Table2[[#This Row],[Description]]="","",Table2[[#This Row],[Value]]/Table2[[#This Row],[Conversion]])</f>
        <v/>
      </c>
      <c r="K6604" s="45" t="str">
        <f>IF(Table2[[#This Row],[Description]]="","",DATE(Table2[[#This Row],[Year]],Table2[[#This Row],[Month]],1))</f>
        <v/>
      </c>
    </row>
    <row r="6605" spans="7:11" x14ac:dyDescent="0.25">
      <c r="G6605" s="1" t="str">
        <f>IF(Table2[[#This Row],[Description]]="","",VLOOKUP(Table2[[#This Row],[Description]],$Q$1:$S$101,2,FALSE))</f>
        <v/>
      </c>
      <c r="H6605" s="1" t="str">
        <f>IF(Table2[[#This Row],[Description]]="","",VLOOKUP(Table2[[#This Row],[Description]],$Q$1:$S$101,3,FALSE))</f>
        <v/>
      </c>
      <c r="I6605" s="1" t="str">
        <f>IF(Table2[[#This Row],[Description]]="","",IF(Table2[[#This Row],[Currency]]=$O$2,$P$2,HLOOKUP(Table2[[#This Row],[Date]],Funds!$C$10:$GV$11,2,FALSE)))</f>
        <v/>
      </c>
      <c r="J6605" s="215" t="str">
        <f>IF(Table2[[#This Row],[Description]]="","",Table2[[#This Row],[Value]]/Table2[[#This Row],[Conversion]])</f>
        <v/>
      </c>
      <c r="K6605" s="45" t="str">
        <f>IF(Table2[[#This Row],[Description]]="","",DATE(Table2[[#This Row],[Year]],Table2[[#This Row],[Month]],1))</f>
        <v/>
      </c>
    </row>
    <row r="6606" spans="7:11" x14ac:dyDescent="0.25">
      <c r="G6606" s="1" t="str">
        <f>IF(Table2[[#This Row],[Description]]="","",VLOOKUP(Table2[[#This Row],[Description]],$Q$1:$S$101,2,FALSE))</f>
        <v/>
      </c>
      <c r="H6606" s="1" t="str">
        <f>IF(Table2[[#This Row],[Description]]="","",VLOOKUP(Table2[[#This Row],[Description]],$Q$1:$S$101,3,FALSE))</f>
        <v/>
      </c>
      <c r="I6606" s="1" t="str">
        <f>IF(Table2[[#This Row],[Description]]="","",IF(Table2[[#This Row],[Currency]]=$O$2,$P$2,HLOOKUP(Table2[[#This Row],[Date]],Funds!$C$10:$GV$11,2,FALSE)))</f>
        <v/>
      </c>
      <c r="J6606" s="215" t="str">
        <f>IF(Table2[[#This Row],[Description]]="","",Table2[[#This Row],[Value]]/Table2[[#This Row],[Conversion]])</f>
        <v/>
      </c>
      <c r="K6606" s="45" t="str">
        <f>IF(Table2[[#This Row],[Description]]="","",DATE(Table2[[#This Row],[Year]],Table2[[#This Row],[Month]],1))</f>
        <v/>
      </c>
    </row>
    <row r="6607" spans="7:11" x14ac:dyDescent="0.25">
      <c r="G6607" s="1" t="str">
        <f>IF(Table2[[#This Row],[Description]]="","",VLOOKUP(Table2[[#This Row],[Description]],$Q$1:$S$101,2,FALSE))</f>
        <v/>
      </c>
      <c r="H6607" s="1" t="str">
        <f>IF(Table2[[#This Row],[Description]]="","",VLOOKUP(Table2[[#This Row],[Description]],$Q$1:$S$101,3,FALSE))</f>
        <v/>
      </c>
      <c r="I6607" s="1" t="str">
        <f>IF(Table2[[#This Row],[Description]]="","",IF(Table2[[#This Row],[Currency]]=$O$2,$P$2,HLOOKUP(Table2[[#This Row],[Date]],Funds!$C$10:$GV$11,2,FALSE)))</f>
        <v/>
      </c>
      <c r="J6607" s="215" t="str">
        <f>IF(Table2[[#This Row],[Description]]="","",Table2[[#This Row],[Value]]/Table2[[#This Row],[Conversion]])</f>
        <v/>
      </c>
      <c r="K6607" s="45" t="str">
        <f>IF(Table2[[#This Row],[Description]]="","",DATE(Table2[[#This Row],[Year]],Table2[[#This Row],[Month]],1))</f>
        <v/>
      </c>
    </row>
    <row r="6608" spans="7:11" x14ac:dyDescent="0.25">
      <c r="G6608" s="1" t="str">
        <f>IF(Table2[[#This Row],[Description]]="","",VLOOKUP(Table2[[#This Row],[Description]],$Q$1:$S$101,2,FALSE))</f>
        <v/>
      </c>
      <c r="H6608" s="1" t="str">
        <f>IF(Table2[[#This Row],[Description]]="","",VLOOKUP(Table2[[#This Row],[Description]],$Q$1:$S$101,3,FALSE))</f>
        <v/>
      </c>
      <c r="I6608" s="1" t="str">
        <f>IF(Table2[[#This Row],[Description]]="","",IF(Table2[[#This Row],[Currency]]=$O$2,$P$2,HLOOKUP(Table2[[#This Row],[Date]],Funds!$C$10:$GV$11,2,FALSE)))</f>
        <v/>
      </c>
      <c r="J6608" s="215" t="str">
        <f>IF(Table2[[#This Row],[Description]]="","",Table2[[#This Row],[Value]]/Table2[[#This Row],[Conversion]])</f>
        <v/>
      </c>
      <c r="K6608" s="45" t="str">
        <f>IF(Table2[[#This Row],[Description]]="","",DATE(Table2[[#This Row],[Year]],Table2[[#This Row],[Month]],1))</f>
        <v/>
      </c>
    </row>
    <row r="6609" spans="7:11" x14ac:dyDescent="0.25">
      <c r="G6609" s="1" t="str">
        <f>IF(Table2[[#This Row],[Description]]="","",VLOOKUP(Table2[[#This Row],[Description]],$Q$1:$S$101,2,FALSE))</f>
        <v/>
      </c>
      <c r="H6609" s="1" t="str">
        <f>IF(Table2[[#This Row],[Description]]="","",VLOOKUP(Table2[[#This Row],[Description]],$Q$1:$S$101,3,FALSE))</f>
        <v/>
      </c>
      <c r="I6609" s="1" t="str">
        <f>IF(Table2[[#This Row],[Description]]="","",IF(Table2[[#This Row],[Currency]]=$O$2,$P$2,HLOOKUP(Table2[[#This Row],[Date]],Funds!$C$10:$GV$11,2,FALSE)))</f>
        <v/>
      </c>
      <c r="J6609" s="215" t="str">
        <f>IF(Table2[[#This Row],[Description]]="","",Table2[[#This Row],[Value]]/Table2[[#This Row],[Conversion]])</f>
        <v/>
      </c>
      <c r="K6609" s="45" t="str">
        <f>IF(Table2[[#This Row],[Description]]="","",DATE(Table2[[#This Row],[Year]],Table2[[#This Row],[Month]],1))</f>
        <v/>
      </c>
    </row>
    <row r="6610" spans="7:11" x14ac:dyDescent="0.25">
      <c r="G6610" s="1" t="str">
        <f>IF(Table2[[#This Row],[Description]]="","",VLOOKUP(Table2[[#This Row],[Description]],$Q$1:$S$101,2,FALSE))</f>
        <v/>
      </c>
      <c r="H6610" s="1" t="str">
        <f>IF(Table2[[#This Row],[Description]]="","",VLOOKUP(Table2[[#This Row],[Description]],$Q$1:$S$101,3,FALSE))</f>
        <v/>
      </c>
      <c r="I6610" s="1" t="str">
        <f>IF(Table2[[#This Row],[Description]]="","",IF(Table2[[#This Row],[Currency]]=$O$2,$P$2,HLOOKUP(Table2[[#This Row],[Date]],Funds!$C$10:$GV$11,2,FALSE)))</f>
        <v/>
      </c>
      <c r="J6610" s="215" t="str">
        <f>IF(Table2[[#This Row],[Description]]="","",Table2[[#This Row],[Value]]/Table2[[#This Row],[Conversion]])</f>
        <v/>
      </c>
      <c r="K6610" s="45" t="str">
        <f>IF(Table2[[#This Row],[Description]]="","",DATE(Table2[[#This Row],[Year]],Table2[[#This Row],[Month]],1))</f>
        <v/>
      </c>
    </row>
    <row r="6611" spans="7:11" x14ac:dyDescent="0.25">
      <c r="G6611" s="1" t="str">
        <f>IF(Table2[[#This Row],[Description]]="","",VLOOKUP(Table2[[#This Row],[Description]],$Q$1:$S$101,2,FALSE))</f>
        <v/>
      </c>
      <c r="H6611" s="1" t="str">
        <f>IF(Table2[[#This Row],[Description]]="","",VLOOKUP(Table2[[#This Row],[Description]],$Q$1:$S$101,3,FALSE))</f>
        <v/>
      </c>
      <c r="I6611" s="1" t="str">
        <f>IF(Table2[[#This Row],[Description]]="","",IF(Table2[[#This Row],[Currency]]=$O$2,$P$2,HLOOKUP(Table2[[#This Row],[Date]],Funds!$C$10:$GV$11,2,FALSE)))</f>
        <v/>
      </c>
      <c r="J6611" s="215" t="str">
        <f>IF(Table2[[#This Row],[Description]]="","",Table2[[#This Row],[Value]]/Table2[[#This Row],[Conversion]])</f>
        <v/>
      </c>
      <c r="K6611" s="45" t="str">
        <f>IF(Table2[[#This Row],[Description]]="","",DATE(Table2[[#This Row],[Year]],Table2[[#This Row],[Month]],1))</f>
        <v/>
      </c>
    </row>
    <row r="6612" spans="7:11" x14ac:dyDescent="0.25">
      <c r="G6612" s="1" t="str">
        <f>IF(Table2[[#This Row],[Description]]="","",VLOOKUP(Table2[[#This Row],[Description]],$Q$1:$S$101,2,FALSE))</f>
        <v/>
      </c>
      <c r="H6612" s="1" t="str">
        <f>IF(Table2[[#This Row],[Description]]="","",VLOOKUP(Table2[[#This Row],[Description]],$Q$1:$S$101,3,FALSE))</f>
        <v/>
      </c>
      <c r="I6612" s="1" t="str">
        <f>IF(Table2[[#This Row],[Description]]="","",IF(Table2[[#This Row],[Currency]]=$O$2,$P$2,HLOOKUP(Table2[[#This Row],[Date]],Funds!$C$10:$GV$11,2,FALSE)))</f>
        <v/>
      </c>
      <c r="J6612" s="215" t="str">
        <f>IF(Table2[[#This Row],[Description]]="","",Table2[[#This Row],[Value]]/Table2[[#This Row],[Conversion]])</f>
        <v/>
      </c>
      <c r="K6612" s="45" t="str">
        <f>IF(Table2[[#This Row],[Description]]="","",DATE(Table2[[#This Row],[Year]],Table2[[#This Row],[Month]],1))</f>
        <v/>
      </c>
    </row>
    <row r="6613" spans="7:11" x14ac:dyDescent="0.25">
      <c r="G6613" s="1" t="str">
        <f>IF(Table2[[#This Row],[Description]]="","",VLOOKUP(Table2[[#This Row],[Description]],$Q$1:$S$101,2,FALSE))</f>
        <v/>
      </c>
      <c r="H6613" s="1" t="str">
        <f>IF(Table2[[#This Row],[Description]]="","",VLOOKUP(Table2[[#This Row],[Description]],$Q$1:$S$101,3,FALSE))</f>
        <v/>
      </c>
      <c r="I6613" s="1" t="str">
        <f>IF(Table2[[#This Row],[Description]]="","",IF(Table2[[#This Row],[Currency]]=$O$2,$P$2,HLOOKUP(Table2[[#This Row],[Date]],Funds!$C$10:$GV$11,2,FALSE)))</f>
        <v/>
      </c>
      <c r="J6613" s="215" t="str">
        <f>IF(Table2[[#This Row],[Description]]="","",Table2[[#This Row],[Value]]/Table2[[#This Row],[Conversion]])</f>
        <v/>
      </c>
      <c r="K6613" s="45" t="str">
        <f>IF(Table2[[#This Row],[Description]]="","",DATE(Table2[[#This Row],[Year]],Table2[[#This Row],[Month]],1))</f>
        <v/>
      </c>
    </row>
    <row r="6614" spans="7:11" x14ac:dyDescent="0.25">
      <c r="G6614" s="1" t="str">
        <f>IF(Table2[[#This Row],[Description]]="","",VLOOKUP(Table2[[#This Row],[Description]],$Q$1:$S$101,2,FALSE))</f>
        <v/>
      </c>
      <c r="H6614" s="1" t="str">
        <f>IF(Table2[[#This Row],[Description]]="","",VLOOKUP(Table2[[#This Row],[Description]],$Q$1:$S$101,3,FALSE))</f>
        <v/>
      </c>
      <c r="I6614" s="1" t="str">
        <f>IF(Table2[[#This Row],[Description]]="","",IF(Table2[[#This Row],[Currency]]=$O$2,$P$2,HLOOKUP(Table2[[#This Row],[Date]],Funds!$C$10:$GV$11,2,FALSE)))</f>
        <v/>
      </c>
      <c r="J6614" s="215" t="str">
        <f>IF(Table2[[#This Row],[Description]]="","",Table2[[#This Row],[Value]]/Table2[[#This Row],[Conversion]])</f>
        <v/>
      </c>
      <c r="K6614" s="45" t="str">
        <f>IF(Table2[[#This Row],[Description]]="","",DATE(Table2[[#This Row],[Year]],Table2[[#This Row],[Month]],1))</f>
        <v/>
      </c>
    </row>
    <row r="6615" spans="7:11" x14ac:dyDescent="0.25">
      <c r="G6615" s="1" t="str">
        <f>IF(Table2[[#This Row],[Description]]="","",VLOOKUP(Table2[[#This Row],[Description]],$Q$1:$S$101,2,FALSE))</f>
        <v/>
      </c>
      <c r="H6615" s="1" t="str">
        <f>IF(Table2[[#This Row],[Description]]="","",VLOOKUP(Table2[[#This Row],[Description]],$Q$1:$S$101,3,FALSE))</f>
        <v/>
      </c>
      <c r="I6615" s="1" t="str">
        <f>IF(Table2[[#This Row],[Description]]="","",IF(Table2[[#This Row],[Currency]]=$O$2,$P$2,HLOOKUP(Table2[[#This Row],[Date]],Funds!$C$10:$GV$11,2,FALSE)))</f>
        <v/>
      </c>
      <c r="J6615" s="215" t="str">
        <f>IF(Table2[[#This Row],[Description]]="","",Table2[[#This Row],[Value]]/Table2[[#This Row],[Conversion]])</f>
        <v/>
      </c>
      <c r="K6615" s="45" t="str">
        <f>IF(Table2[[#This Row],[Description]]="","",DATE(Table2[[#This Row],[Year]],Table2[[#This Row],[Month]],1))</f>
        <v/>
      </c>
    </row>
    <row r="6616" spans="7:11" x14ac:dyDescent="0.25">
      <c r="G6616" s="1" t="str">
        <f>IF(Table2[[#This Row],[Description]]="","",VLOOKUP(Table2[[#This Row],[Description]],$Q$1:$S$101,2,FALSE))</f>
        <v/>
      </c>
      <c r="H6616" s="1" t="str">
        <f>IF(Table2[[#This Row],[Description]]="","",VLOOKUP(Table2[[#This Row],[Description]],$Q$1:$S$101,3,FALSE))</f>
        <v/>
      </c>
      <c r="I6616" s="1" t="str">
        <f>IF(Table2[[#This Row],[Description]]="","",IF(Table2[[#This Row],[Currency]]=$O$2,$P$2,HLOOKUP(Table2[[#This Row],[Date]],Funds!$C$10:$GV$11,2,FALSE)))</f>
        <v/>
      </c>
      <c r="J6616" s="215" t="str">
        <f>IF(Table2[[#This Row],[Description]]="","",Table2[[#This Row],[Value]]/Table2[[#This Row],[Conversion]])</f>
        <v/>
      </c>
      <c r="K6616" s="45" t="str">
        <f>IF(Table2[[#This Row],[Description]]="","",DATE(Table2[[#This Row],[Year]],Table2[[#This Row],[Month]],1))</f>
        <v/>
      </c>
    </row>
    <row r="6617" spans="7:11" x14ac:dyDescent="0.25">
      <c r="G6617" s="1" t="str">
        <f>IF(Table2[[#This Row],[Description]]="","",VLOOKUP(Table2[[#This Row],[Description]],$Q$1:$S$101,2,FALSE))</f>
        <v/>
      </c>
      <c r="H6617" s="1" t="str">
        <f>IF(Table2[[#This Row],[Description]]="","",VLOOKUP(Table2[[#This Row],[Description]],$Q$1:$S$101,3,FALSE))</f>
        <v/>
      </c>
      <c r="I6617" s="1" t="str">
        <f>IF(Table2[[#This Row],[Description]]="","",IF(Table2[[#This Row],[Currency]]=$O$2,$P$2,HLOOKUP(Table2[[#This Row],[Date]],Funds!$C$10:$GV$11,2,FALSE)))</f>
        <v/>
      </c>
      <c r="J6617" s="215" t="str">
        <f>IF(Table2[[#This Row],[Description]]="","",Table2[[#This Row],[Value]]/Table2[[#This Row],[Conversion]])</f>
        <v/>
      </c>
      <c r="K6617" s="45" t="str">
        <f>IF(Table2[[#This Row],[Description]]="","",DATE(Table2[[#This Row],[Year]],Table2[[#This Row],[Month]],1))</f>
        <v/>
      </c>
    </row>
    <row r="6618" spans="7:11" x14ac:dyDescent="0.25">
      <c r="G6618" s="1" t="str">
        <f>IF(Table2[[#This Row],[Description]]="","",VLOOKUP(Table2[[#This Row],[Description]],$Q$1:$S$101,2,FALSE))</f>
        <v/>
      </c>
      <c r="H6618" s="1" t="str">
        <f>IF(Table2[[#This Row],[Description]]="","",VLOOKUP(Table2[[#This Row],[Description]],$Q$1:$S$101,3,FALSE))</f>
        <v/>
      </c>
      <c r="I6618" s="1" t="str">
        <f>IF(Table2[[#This Row],[Description]]="","",IF(Table2[[#This Row],[Currency]]=$O$2,$P$2,HLOOKUP(Table2[[#This Row],[Date]],Funds!$C$10:$GV$11,2,FALSE)))</f>
        <v/>
      </c>
      <c r="J6618" s="215" t="str">
        <f>IF(Table2[[#This Row],[Description]]="","",Table2[[#This Row],[Value]]/Table2[[#This Row],[Conversion]])</f>
        <v/>
      </c>
      <c r="K6618" s="45" t="str">
        <f>IF(Table2[[#This Row],[Description]]="","",DATE(Table2[[#This Row],[Year]],Table2[[#This Row],[Month]],1))</f>
        <v/>
      </c>
    </row>
    <row r="6619" spans="7:11" x14ac:dyDescent="0.25">
      <c r="G6619" s="1" t="str">
        <f>IF(Table2[[#This Row],[Description]]="","",VLOOKUP(Table2[[#This Row],[Description]],$Q$1:$S$101,2,FALSE))</f>
        <v/>
      </c>
      <c r="H6619" s="1" t="str">
        <f>IF(Table2[[#This Row],[Description]]="","",VLOOKUP(Table2[[#This Row],[Description]],$Q$1:$S$101,3,FALSE))</f>
        <v/>
      </c>
      <c r="I6619" s="1" t="str">
        <f>IF(Table2[[#This Row],[Description]]="","",IF(Table2[[#This Row],[Currency]]=$O$2,$P$2,HLOOKUP(Table2[[#This Row],[Date]],Funds!$C$10:$GV$11,2,FALSE)))</f>
        <v/>
      </c>
      <c r="J6619" s="215" t="str">
        <f>IF(Table2[[#This Row],[Description]]="","",Table2[[#This Row],[Value]]/Table2[[#This Row],[Conversion]])</f>
        <v/>
      </c>
      <c r="K6619" s="45" t="str">
        <f>IF(Table2[[#This Row],[Description]]="","",DATE(Table2[[#This Row],[Year]],Table2[[#This Row],[Month]],1))</f>
        <v/>
      </c>
    </row>
    <row r="6620" spans="7:11" x14ac:dyDescent="0.25">
      <c r="G6620" s="1" t="str">
        <f>IF(Table2[[#This Row],[Description]]="","",VLOOKUP(Table2[[#This Row],[Description]],$Q$1:$S$101,2,FALSE))</f>
        <v/>
      </c>
      <c r="H6620" s="1" t="str">
        <f>IF(Table2[[#This Row],[Description]]="","",VLOOKUP(Table2[[#This Row],[Description]],$Q$1:$S$101,3,FALSE))</f>
        <v/>
      </c>
      <c r="I6620" s="1" t="str">
        <f>IF(Table2[[#This Row],[Description]]="","",IF(Table2[[#This Row],[Currency]]=$O$2,$P$2,HLOOKUP(Table2[[#This Row],[Date]],Funds!$C$10:$GV$11,2,FALSE)))</f>
        <v/>
      </c>
      <c r="J6620" s="215" t="str">
        <f>IF(Table2[[#This Row],[Description]]="","",Table2[[#This Row],[Value]]/Table2[[#This Row],[Conversion]])</f>
        <v/>
      </c>
      <c r="K6620" s="45" t="str">
        <f>IF(Table2[[#This Row],[Description]]="","",DATE(Table2[[#This Row],[Year]],Table2[[#This Row],[Month]],1))</f>
        <v/>
      </c>
    </row>
    <row r="6621" spans="7:11" x14ac:dyDescent="0.25">
      <c r="G6621" s="1" t="str">
        <f>IF(Table2[[#This Row],[Description]]="","",VLOOKUP(Table2[[#This Row],[Description]],$Q$1:$S$101,2,FALSE))</f>
        <v/>
      </c>
      <c r="H6621" s="1" t="str">
        <f>IF(Table2[[#This Row],[Description]]="","",VLOOKUP(Table2[[#This Row],[Description]],$Q$1:$S$101,3,FALSE))</f>
        <v/>
      </c>
      <c r="I6621" s="1" t="str">
        <f>IF(Table2[[#This Row],[Description]]="","",IF(Table2[[#This Row],[Currency]]=$O$2,$P$2,HLOOKUP(Table2[[#This Row],[Date]],Funds!$C$10:$GV$11,2,FALSE)))</f>
        <v/>
      </c>
      <c r="J6621" s="215" t="str">
        <f>IF(Table2[[#This Row],[Description]]="","",Table2[[#This Row],[Value]]/Table2[[#This Row],[Conversion]])</f>
        <v/>
      </c>
      <c r="K6621" s="45" t="str">
        <f>IF(Table2[[#This Row],[Description]]="","",DATE(Table2[[#This Row],[Year]],Table2[[#This Row],[Month]],1))</f>
        <v/>
      </c>
    </row>
    <row r="6622" spans="7:11" x14ac:dyDescent="0.25">
      <c r="G6622" s="1" t="str">
        <f>IF(Table2[[#This Row],[Description]]="","",VLOOKUP(Table2[[#This Row],[Description]],$Q$1:$S$101,2,FALSE))</f>
        <v/>
      </c>
      <c r="H6622" s="1" t="str">
        <f>IF(Table2[[#This Row],[Description]]="","",VLOOKUP(Table2[[#This Row],[Description]],$Q$1:$S$101,3,FALSE))</f>
        <v/>
      </c>
      <c r="I6622" s="1" t="str">
        <f>IF(Table2[[#This Row],[Description]]="","",IF(Table2[[#This Row],[Currency]]=$O$2,$P$2,HLOOKUP(Table2[[#This Row],[Date]],Funds!$C$10:$GV$11,2,FALSE)))</f>
        <v/>
      </c>
      <c r="J6622" s="215" t="str">
        <f>IF(Table2[[#This Row],[Description]]="","",Table2[[#This Row],[Value]]/Table2[[#This Row],[Conversion]])</f>
        <v/>
      </c>
      <c r="K6622" s="45" t="str">
        <f>IF(Table2[[#This Row],[Description]]="","",DATE(Table2[[#This Row],[Year]],Table2[[#This Row],[Month]],1))</f>
        <v/>
      </c>
    </row>
    <row r="6623" spans="7:11" x14ac:dyDescent="0.25">
      <c r="G6623" s="1" t="str">
        <f>IF(Table2[[#This Row],[Description]]="","",VLOOKUP(Table2[[#This Row],[Description]],$Q$1:$S$101,2,FALSE))</f>
        <v/>
      </c>
      <c r="H6623" s="1" t="str">
        <f>IF(Table2[[#This Row],[Description]]="","",VLOOKUP(Table2[[#This Row],[Description]],$Q$1:$S$101,3,FALSE))</f>
        <v/>
      </c>
      <c r="I6623" s="1" t="str">
        <f>IF(Table2[[#This Row],[Description]]="","",IF(Table2[[#This Row],[Currency]]=$O$2,$P$2,HLOOKUP(Table2[[#This Row],[Date]],Funds!$C$10:$GV$11,2,FALSE)))</f>
        <v/>
      </c>
      <c r="J6623" s="215" t="str">
        <f>IF(Table2[[#This Row],[Description]]="","",Table2[[#This Row],[Value]]/Table2[[#This Row],[Conversion]])</f>
        <v/>
      </c>
      <c r="K6623" s="45" t="str">
        <f>IF(Table2[[#This Row],[Description]]="","",DATE(Table2[[#This Row],[Year]],Table2[[#This Row],[Month]],1))</f>
        <v/>
      </c>
    </row>
    <row r="6624" spans="7:11" x14ac:dyDescent="0.25">
      <c r="G6624" s="1" t="str">
        <f>IF(Table2[[#This Row],[Description]]="","",VLOOKUP(Table2[[#This Row],[Description]],$Q$1:$S$101,2,FALSE))</f>
        <v/>
      </c>
      <c r="H6624" s="1" t="str">
        <f>IF(Table2[[#This Row],[Description]]="","",VLOOKUP(Table2[[#This Row],[Description]],$Q$1:$S$101,3,FALSE))</f>
        <v/>
      </c>
      <c r="I6624" s="1" t="str">
        <f>IF(Table2[[#This Row],[Description]]="","",IF(Table2[[#This Row],[Currency]]=$O$2,$P$2,HLOOKUP(Table2[[#This Row],[Date]],Funds!$C$10:$GV$11,2,FALSE)))</f>
        <v/>
      </c>
      <c r="J6624" s="215" t="str">
        <f>IF(Table2[[#This Row],[Description]]="","",Table2[[#This Row],[Value]]/Table2[[#This Row],[Conversion]])</f>
        <v/>
      </c>
      <c r="K6624" s="45" t="str">
        <f>IF(Table2[[#This Row],[Description]]="","",DATE(Table2[[#This Row],[Year]],Table2[[#This Row],[Month]],1))</f>
        <v/>
      </c>
    </row>
    <row r="6625" spans="7:11" x14ac:dyDescent="0.25">
      <c r="G6625" s="1" t="str">
        <f>IF(Table2[[#This Row],[Description]]="","",VLOOKUP(Table2[[#This Row],[Description]],$Q$1:$S$101,2,FALSE))</f>
        <v/>
      </c>
      <c r="H6625" s="1" t="str">
        <f>IF(Table2[[#This Row],[Description]]="","",VLOOKUP(Table2[[#This Row],[Description]],$Q$1:$S$101,3,FALSE))</f>
        <v/>
      </c>
      <c r="I6625" s="1" t="str">
        <f>IF(Table2[[#This Row],[Description]]="","",IF(Table2[[#This Row],[Currency]]=$O$2,$P$2,HLOOKUP(Table2[[#This Row],[Date]],Funds!$C$10:$GV$11,2,FALSE)))</f>
        <v/>
      </c>
      <c r="J6625" s="215" t="str">
        <f>IF(Table2[[#This Row],[Description]]="","",Table2[[#This Row],[Value]]/Table2[[#This Row],[Conversion]])</f>
        <v/>
      </c>
      <c r="K6625" s="45" t="str">
        <f>IF(Table2[[#This Row],[Description]]="","",DATE(Table2[[#This Row],[Year]],Table2[[#This Row],[Month]],1))</f>
        <v/>
      </c>
    </row>
    <row r="6626" spans="7:11" x14ac:dyDescent="0.25">
      <c r="G6626" s="1" t="str">
        <f>IF(Table2[[#This Row],[Description]]="","",VLOOKUP(Table2[[#This Row],[Description]],$Q$1:$S$101,2,FALSE))</f>
        <v/>
      </c>
      <c r="H6626" s="1" t="str">
        <f>IF(Table2[[#This Row],[Description]]="","",VLOOKUP(Table2[[#This Row],[Description]],$Q$1:$S$101,3,FALSE))</f>
        <v/>
      </c>
      <c r="I6626" s="1" t="str">
        <f>IF(Table2[[#This Row],[Description]]="","",IF(Table2[[#This Row],[Currency]]=$O$2,$P$2,HLOOKUP(Table2[[#This Row],[Date]],Funds!$C$10:$GV$11,2,FALSE)))</f>
        <v/>
      </c>
      <c r="J6626" s="215" t="str">
        <f>IF(Table2[[#This Row],[Description]]="","",Table2[[#This Row],[Value]]/Table2[[#This Row],[Conversion]])</f>
        <v/>
      </c>
      <c r="K6626" s="45" t="str">
        <f>IF(Table2[[#This Row],[Description]]="","",DATE(Table2[[#This Row],[Year]],Table2[[#This Row],[Month]],1))</f>
        <v/>
      </c>
    </row>
    <row r="6627" spans="7:11" x14ac:dyDescent="0.25">
      <c r="G6627" s="1" t="str">
        <f>IF(Table2[[#This Row],[Description]]="","",VLOOKUP(Table2[[#This Row],[Description]],$Q$1:$S$101,2,FALSE))</f>
        <v/>
      </c>
      <c r="H6627" s="1" t="str">
        <f>IF(Table2[[#This Row],[Description]]="","",VLOOKUP(Table2[[#This Row],[Description]],$Q$1:$S$101,3,FALSE))</f>
        <v/>
      </c>
      <c r="I6627" s="1" t="str">
        <f>IF(Table2[[#This Row],[Description]]="","",IF(Table2[[#This Row],[Currency]]=$O$2,$P$2,HLOOKUP(Table2[[#This Row],[Date]],Funds!$C$10:$GV$11,2,FALSE)))</f>
        <v/>
      </c>
      <c r="J6627" s="215" t="str">
        <f>IF(Table2[[#This Row],[Description]]="","",Table2[[#This Row],[Value]]/Table2[[#This Row],[Conversion]])</f>
        <v/>
      </c>
      <c r="K6627" s="45" t="str">
        <f>IF(Table2[[#This Row],[Description]]="","",DATE(Table2[[#This Row],[Year]],Table2[[#This Row],[Month]],1))</f>
        <v/>
      </c>
    </row>
    <row r="6628" spans="7:11" x14ac:dyDescent="0.25">
      <c r="G6628" s="1" t="str">
        <f>IF(Table2[[#This Row],[Description]]="","",VLOOKUP(Table2[[#This Row],[Description]],$Q$1:$S$101,2,FALSE))</f>
        <v/>
      </c>
      <c r="H6628" s="1" t="str">
        <f>IF(Table2[[#This Row],[Description]]="","",VLOOKUP(Table2[[#This Row],[Description]],$Q$1:$S$101,3,FALSE))</f>
        <v/>
      </c>
      <c r="I6628" s="1" t="str">
        <f>IF(Table2[[#This Row],[Description]]="","",IF(Table2[[#This Row],[Currency]]=$O$2,$P$2,HLOOKUP(Table2[[#This Row],[Date]],Funds!$C$10:$GV$11,2,FALSE)))</f>
        <v/>
      </c>
      <c r="J6628" s="215" t="str">
        <f>IF(Table2[[#This Row],[Description]]="","",Table2[[#This Row],[Value]]/Table2[[#This Row],[Conversion]])</f>
        <v/>
      </c>
      <c r="K6628" s="45" t="str">
        <f>IF(Table2[[#This Row],[Description]]="","",DATE(Table2[[#This Row],[Year]],Table2[[#This Row],[Month]],1))</f>
        <v/>
      </c>
    </row>
    <row r="6629" spans="7:11" x14ac:dyDescent="0.25">
      <c r="G6629" s="1" t="str">
        <f>IF(Table2[[#This Row],[Description]]="","",VLOOKUP(Table2[[#This Row],[Description]],$Q$1:$S$101,2,FALSE))</f>
        <v/>
      </c>
      <c r="H6629" s="1" t="str">
        <f>IF(Table2[[#This Row],[Description]]="","",VLOOKUP(Table2[[#This Row],[Description]],$Q$1:$S$101,3,FALSE))</f>
        <v/>
      </c>
      <c r="I6629" s="1" t="str">
        <f>IF(Table2[[#This Row],[Description]]="","",IF(Table2[[#This Row],[Currency]]=$O$2,$P$2,HLOOKUP(Table2[[#This Row],[Date]],Funds!$C$10:$GV$11,2,FALSE)))</f>
        <v/>
      </c>
      <c r="J6629" s="215" t="str">
        <f>IF(Table2[[#This Row],[Description]]="","",Table2[[#This Row],[Value]]/Table2[[#This Row],[Conversion]])</f>
        <v/>
      </c>
      <c r="K6629" s="45" t="str">
        <f>IF(Table2[[#This Row],[Description]]="","",DATE(Table2[[#This Row],[Year]],Table2[[#This Row],[Month]],1))</f>
        <v/>
      </c>
    </row>
    <row r="6630" spans="7:11" x14ac:dyDescent="0.25">
      <c r="G6630" s="1" t="str">
        <f>IF(Table2[[#This Row],[Description]]="","",VLOOKUP(Table2[[#This Row],[Description]],$Q$1:$S$101,2,FALSE))</f>
        <v/>
      </c>
      <c r="H6630" s="1" t="str">
        <f>IF(Table2[[#This Row],[Description]]="","",VLOOKUP(Table2[[#This Row],[Description]],$Q$1:$S$101,3,FALSE))</f>
        <v/>
      </c>
      <c r="I6630" s="1" t="str">
        <f>IF(Table2[[#This Row],[Description]]="","",IF(Table2[[#This Row],[Currency]]=$O$2,$P$2,HLOOKUP(Table2[[#This Row],[Date]],Funds!$C$10:$GV$11,2,FALSE)))</f>
        <v/>
      </c>
      <c r="J6630" s="215" t="str">
        <f>IF(Table2[[#This Row],[Description]]="","",Table2[[#This Row],[Value]]/Table2[[#This Row],[Conversion]])</f>
        <v/>
      </c>
      <c r="K6630" s="45" t="str">
        <f>IF(Table2[[#This Row],[Description]]="","",DATE(Table2[[#This Row],[Year]],Table2[[#This Row],[Month]],1))</f>
        <v/>
      </c>
    </row>
    <row r="6631" spans="7:11" x14ac:dyDescent="0.25">
      <c r="G6631" s="1" t="str">
        <f>IF(Table2[[#This Row],[Description]]="","",VLOOKUP(Table2[[#This Row],[Description]],$Q$1:$S$101,2,FALSE))</f>
        <v/>
      </c>
      <c r="H6631" s="1" t="str">
        <f>IF(Table2[[#This Row],[Description]]="","",VLOOKUP(Table2[[#This Row],[Description]],$Q$1:$S$101,3,FALSE))</f>
        <v/>
      </c>
      <c r="I6631" s="1" t="str">
        <f>IF(Table2[[#This Row],[Description]]="","",IF(Table2[[#This Row],[Currency]]=$O$2,$P$2,HLOOKUP(Table2[[#This Row],[Date]],Funds!$C$10:$GV$11,2,FALSE)))</f>
        <v/>
      </c>
      <c r="J6631" s="215" t="str">
        <f>IF(Table2[[#This Row],[Description]]="","",Table2[[#This Row],[Value]]/Table2[[#This Row],[Conversion]])</f>
        <v/>
      </c>
      <c r="K6631" s="45" t="str">
        <f>IF(Table2[[#This Row],[Description]]="","",DATE(Table2[[#This Row],[Year]],Table2[[#This Row],[Month]],1))</f>
        <v/>
      </c>
    </row>
    <row r="6632" spans="7:11" x14ac:dyDescent="0.25">
      <c r="G6632" s="1" t="str">
        <f>IF(Table2[[#This Row],[Description]]="","",VLOOKUP(Table2[[#This Row],[Description]],$Q$1:$S$101,2,FALSE))</f>
        <v/>
      </c>
      <c r="H6632" s="1" t="str">
        <f>IF(Table2[[#This Row],[Description]]="","",VLOOKUP(Table2[[#This Row],[Description]],$Q$1:$S$101,3,FALSE))</f>
        <v/>
      </c>
      <c r="I6632" s="1" t="str">
        <f>IF(Table2[[#This Row],[Description]]="","",IF(Table2[[#This Row],[Currency]]=$O$2,$P$2,HLOOKUP(Table2[[#This Row],[Date]],Funds!$C$10:$GV$11,2,FALSE)))</f>
        <v/>
      </c>
      <c r="J6632" s="215" t="str">
        <f>IF(Table2[[#This Row],[Description]]="","",Table2[[#This Row],[Value]]/Table2[[#This Row],[Conversion]])</f>
        <v/>
      </c>
      <c r="K6632" s="45" t="str">
        <f>IF(Table2[[#This Row],[Description]]="","",DATE(Table2[[#This Row],[Year]],Table2[[#This Row],[Month]],1))</f>
        <v/>
      </c>
    </row>
    <row r="6633" spans="7:11" x14ac:dyDescent="0.25">
      <c r="G6633" s="1" t="str">
        <f>IF(Table2[[#This Row],[Description]]="","",VLOOKUP(Table2[[#This Row],[Description]],$Q$1:$S$101,2,FALSE))</f>
        <v/>
      </c>
      <c r="H6633" s="1" t="str">
        <f>IF(Table2[[#This Row],[Description]]="","",VLOOKUP(Table2[[#This Row],[Description]],$Q$1:$S$101,3,FALSE))</f>
        <v/>
      </c>
      <c r="I6633" s="1" t="str">
        <f>IF(Table2[[#This Row],[Description]]="","",IF(Table2[[#This Row],[Currency]]=$O$2,$P$2,HLOOKUP(Table2[[#This Row],[Date]],Funds!$C$10:$GV$11,2,FALSE)))</f>
        <v/>
      </c>
      <c r="J6633" s="215" t="str">
        <f>IF(Table2[[#This Row],[Description]]="","",Table2[[#This Row],[Value]]/Table2[[#This Row],[Conversion]])</f>
        <v/>
      </c>
      <c r="K6633" s="45" t="str">
        <f>IF(Table2[[#This Row],[Description]]="","",DATE(Table2[[#This Row],[Year]],Table2[[#This Row],[Month]],1))</f>
        <v/>
      </c>
    </row>
    <row r="6634" spans="7:11" x14ac:dyDescent="0.25">
      <c r="G6634" s="1" t="str">
        <f>IF(Table2[[#This Row],[Description]]="","",VLOOKUP(Table2[[#This Row],[Description]],$Q$1:$S$101,2,FALSE))</f>
        <v/>
      </c>
      <c r="H6634" s="1" t="str">
        <f>IF(Table2[[#This Row],[Description]]="","",VLOOKUP(Table2[[#This Row],[Description]],$Q$1:$S$101,3,FALSE))</f>
        <v/>
      </c>
      <c r="I6634" s="1" t="str">
        <f>IF(Table2[[#This Row],[Description]]="","",IF(Table2[[#This Row],[Currency]]=$O$2,$P$2,HLOOKUP(Table2[[#This Row],[Date]],Funds!$C$10:$GV$11,2,FALSE)))</f>
        <v/>
      </c>
      <c r="J6634" s="215" t="str">
        <f>IF(Table2[[#This Row],[Description]]="","",Table2[[#This Row],[Value]]/Table2[[#This Row],[Conversion]])</f>
        <v/>
      </c>
      <c r="K6634" s="45" t="str">
        <f>IF(Table2[[#This Row],[Description]]="","",DATE(Table2[[#This Row],[Year]],Table2[[#This Row],[Month]],1))</f>
        <v/>
      </c>
    </row>
    <row r="6635" spans="7:11" x14ac:dyDescent="0.25">
      <c r="G6635" s="1" t="str">
        <f>IF(Table2[[#This Row],[Description]]="","",VLOOKUP(Table2[[#This Row],[Description]],$Q$1:$S$101,2,FALSE))</f>
        <v/>
      </c>
      <c r="H6635" s="1" t="str">
        <f>IF(Table2[[#This Row],[Description]]="","",VLOOKUP(Table2[[#This Row],[Description]],$Q$1:$S$101,3,FALSE))</f>
        <v/>
      </c>
      <c r="I6635" s="1" t="str">
        <f>IF(Table2[[#This Row],[Description]]="","",IF(Table2[[#This Row],[Currency]]=$O$2,$P$2,HLOOKUP(Table2[[#This Row],[Date]],Funds!$C$10:$GV$11,2,FALSE)))</f>
        <v/>
      </c>
      <c r="J6635" s="215" t="str">
        <f>IF(Table2[[#This Row],[Description]]="","",Table2[[#This Row],[Value]]/Table2[[#This Row],[Conversion]])</f>
        <v/>
      </c>
      <c r="K6635" s="45" t="str">
        <f>IF(Table2[[#This Row],[Description]]="","",DATE(Table2[[#This Row],[Year]],Table2[[#This Row],[Month]],1))</f>
        <v/>
      </c>
    </row>
    <row r="6636" spans="7:11" x14ac:dyDescent="0.25">
      <c r="G6636" s="1" t="str">
        <f>IF(Table2[[#This Row],[Description]]="","",VLOOKUP(Table2[[#This Row],[Description]],$Q$1:$S$101,2,FALSE))</f>
        <v/>
      </c>
      <c r="H6636" s="1" t="str">
        <f>IF(Table2[[#This Row],[Description]]="","",VLOOKUP(Table2[[#This Row],[Description]],$Q$1:$S$101,3,FALSE))</f>
        <v/>
      </c>
      <c r="I6636" s="1" t="str">
        <f>IF(Table2[[#This Row],[Description]]="","",IF(Table2[[#This Row],[Currency]]=$O$2,$P$2,HLOOKUP(Table2[[#This Row],[Date]],Funds!$C$10:$GV$11,2,FALSE)))</f>
        <v/>
      </c>
      <c r="J6636" s="215" t="str">
        <f>IF(Table2[[#This Row],[Description]]="","",Table2[[#This Row],[Value]]/Table2[[#This Row],[Conversion]])</f>
        <v/>
      </c>
      <c r="K6636" s="45" t="str">
        <f>IF(Table2[[#This Row],[Description]]="","",DATE(Table2[[#This Row],[Year]],Table2[[#This Row],[Month]],1))</f>
        <v/>
      </c>
    </row>
    <row r="6637" spans="7:11" x14ac:dyDescent="0.25">
      <c r="G6637" s="1" t="str">
        <f>IF(Table2[[#This Row],[Description]]="","",VLOOKUP(Table2[[#This Row],[Description]],$Q$1:$S$101,2,FALSE))</f>
        <v/>
      </c>
      <c r="H6637" s="1" t="str">
        <f>IF(Table2[[#This Row],[Description]]="","",VLOOKUP(Table2[[#This Row],[Description]],$Q$1:$S$101,3,FALSE))</f>
        <v/>
      </c>
      <c r="I6637" s="1" t="str">
        <f>IF(Table2[[#This Row],[Description]]="","",IF(Table2[[#This Row],[Currency]]=$O$2,$P$2,HLOOKUP(Table2[[#This Row],[Date]],Funds!$C$10:$GV$11,2,FALSE)))</f>
        <v/>
      </c>
      <c r="J6637" s="215" t="str">
        <f>IF(Table2[[#This Row],[Description]]="","",Table2[[#This Row],[Value]]/Table2[[#This Row],[Conversion]])</f>
        <v/>
      </c>
      <c r="K6637" s="45" t="str">
        <f>IF(Table2[[#This Row],[Description]]="","",DATE(Table2[[#This Row],[Year]],Table2[[#This Row],[Month]],1))</f>
        <v/>
      </c>
    </row>
    <row r="6638" spans="7:11" x14ac:dyDescent="0.25">
      <c r="G6638" s="1" t="str">
        <f>IF(Table2[[#This Row],[Description]]="","",VLOOKUP(Table2[[#This Row],[Description]],$Q$1:$S$101,2,FALSE))</f>
        <v/>
      </c>
      <c r="H6638" s="1" t="str">
        <f>IF(Table2[[#This Row],[Description]]="","",VLOOKUP(Table2[[#This Row],[Description]],$Q$1:$S$101,3,FALSE))</f>
        <v/>
      </c>
      <c r="I6638" s="1" t="str">
        <f>IF(Table2[[#This Row],[Description]]="","",IF(Table2[[#This Row],[Currency]]=$O$2,$P$2,HLOOKUP(Table2[[#This Row],[Date]],Funds!$C$10:$GV$11,2,FALSE)))</f>
        <v/>
      </c>
      <c r="J6638" s="215" t="str">
        <f>IF(Table2[[#This Row],[Description]]="","",Table2[[#This Row],[Value]]/Table2[[#This Row],[Conversion]])</f>
        <v/>
      </c>
      <c r="K6638" s="45" t="str">
        <f>IF(Table2[[#This Row],[Description]]="","",DATE(Table2[[#This Row],[Year]],Table2[[#This Row],[Month]],1))</f>
        <v/>
      </c>
    </row>
    <row r="6639" spans="7:11" x14ac:dyDescent="0.25">
      <c r="G6639" s="1" t="str">
        <f>IF(Table2[[#This Row],[Description]]="","",VLOOKUP(Table2[[#This Row],[Description]],$Q$1:$S$101,2,FALSE))</f>
        <v/>
      </c>
      <c r="H6639" s="1" t="str">
        <f>IF(Table2[[#This Row],[Description]]="","",VLOOKUP(Table2[[#This Row],[Description]],$Q$1:$S$101,3,FALSE))</f>
        <v/>
      </c>
      <c r="I6639" s="1" t="str">
        <f>IF(Table2[[#This Row],[Description]]="","",IF(Table2[[#This Row],[Currency]]=$O$2,$P$2,HLOOKUP(Table2[[#This Row],[Date]],Funds!$C$10:$GV$11,2,FALSE)))</f>
        <v/>
      </c>
      <c r="J6639" s="215" t="str">
        <f>IF(Table2[[#This Row],[Description]]="","",Table2[[#This Row],[Value]]/Table2[[#This Row],[Conversion]])</f>
        <v/>
      </c>
      <c r="K6639" s="45" t="str">
        <f>IF(Table2[[#This Row],[Description]]="","",DATE(Table2[[#This Row],[Year]],Table2[[#This Row],[Month]],1))</f>
        <v/>
      </c>
    </row>
    <row r="6640" spans="7:11" x14ac:dyDescent="0.25">
      <c r="G6640" s="1" t="str">
        <f>IF(Table2[[#This Row],[Description]]="","",VLOOKUP(Table2[[#This Row],[Description]],$Q$1:$S$101,2,FALSE))</f>
        <v/>
      </c>
      <c r="H6640" s="1" t="str">
        <f>IF(Table2[[#This Row],[Description]]="","",VLOOKUP(Table2[[#This Row],[Description]],$Q$1:$S$101,3,FALSE))</f>
        <v/>
      </c>
      <c r="I6640" s="1" t="str">
        <f>IF(Table2[[#This Row],[Description]]="","",IF(Table2[[#This Row],[Currency]]=$O$2,$P$2,HLOOKUP(Table2[[#This Row],[Date]],Funds!$C$10:$GV$11,2,FALSE)))</f>
        <v/>
      </c>
      <c r="J6640" s="215" t="str">
        <f>IF(Table2[[#This Row],[Description]]="","",Table2[[#This Row],[Value]]/Table2[[#This Row],[Conversion]])</f>
        <v/>
      </c>
      <c r="K6640" s="45" t="str">
        <f>IF(Table2[[#This Row],[Description]]="","",DATE(Table2[[#This Row],[Year]],Table2[[#This Row],[Month]],1))</f>
        <v/>
      </c>
    </row>
    <row r="6641" spans="7:11" x14ac:dyDescent="0.25">
      <c r="G6641" s="1" t="str">
        <f>IF(Table2[[#This Row],[Description]]="","",VLOOKUP(Table2[[#This Row],[Description]],$Q$1:$S$101,2,FALSE))</f>
        <v/>
      </c>
      <c r="H6641" s="1" t="str">
        <f>IF(Table2[[#This Row],[Description]]="","",VLOOKUP(Table2[[#This Row],[Description]],$Q$1:$S$101,3,FALSE))</f>
        <v/>
      </c>
      <c r="I6641" s="1" t="str">
        <f>IF(Table2[[#This Row],[Description]]="","",IF(Table2[[#This Row],[Currency]]=$O$2,$P$2,HLOOKUP(Table2[[#This Row],[Date]],Funds!$C$10:$GV$11,2,FALSE)))</f>
        <v/>
      </c>
      <c r="J6641" s="215" t="str">
        <f>IF(Table2[[#This Row],[Description]]="","",Table2[[#This Row],[Value]]/Table2[[#This Row],[Conversion]])</f>
        <v/>
      </c>
      <c r="K6641" s="45" t="str">
        <f>IF(Table2[[#This Row],[Description]]="","",DATE(Table2[[#This Row],[Year]],Table2[[#This Row],[Month]],1))</f>
        <v/>
      </c>
    </row>
    <row r="6642" spans="7:11" x14ac:dyDescent="0.25">
      <c r="G6642" s="1" t="str">
        <f>IF(Table2[[#This Row],[Description]]="","",VLOOKUP(Table2[[#This Row],[Description]],$Q$1:$S$101,2,FALSE))</f>
        <v/>
      </c>
      <c r="H6642" s="1" t="str">
        <f>IF(Table2[[#This Row],[Description]]="","",VLOOKUP(Table2[[#This Row],[Description]],$Q$1:$S$101,3,FALSE))</f>
        <v/>
      </c>
      <c r="I6642" s="1" t="str">
        <f>IF(Table2[[#This Row],[Description]]="","",IF(Table2[[#This Row],[Currency]]=$O$2,$P$2,HLOOKUP(Table2[[#This Row],[Date]],Funds!$C$10:$GV$11,2,FALSE)))</f>
        <v/>
      </c>
      <c r="J6642" s="215" t="str">
        <f>IF(Table2[[#This Row],[Description]]="","",Table2[[#This Row],[Value]]/Table2[[#This Row],[Conversion]])</f>
        <v/>
      </c>
      <c r="K6642" s="45" t="str">
        <f>IF(Table2[[#This Row],[Description]]="","",DATE(Table2[[#This Row],[Year]],Table2[[#This Row],[Month]],1))</f>
        <v/>
      </c>
    </row>
    <row r="6643" spans="7:11" x14ac:dyDescent="0.25">
      <c r="G6643" s="1" t="str">
        <f>IF(Table2[[#This Row],[Description]]="","",VLOOKUP(Table2[[#This Row],[Description]],$Q$1:$S$101,2,FALSE))</f>
        <v/>
      </c>
      <c r="H6643" s="1" t="str">
        <f>IF(Table2[[#This Row],[Description]]="","",VLOOKUP(Table2[[#This Row],[Description]],$Q$1:$S$101,3,FALSE))</f>
        <v/>
      </c>
      <c r="I6643" s="1" t="str">
        <f>IF(Table2[[#This Row],[Description]]="","",IF(Table2[[#This Row],[Currency]]=$O$2,$P$2,HLOOKUP(Table2[[#This Row],[Date]],Funds!$C$10:$GV$11,2,FALSE)))</f>
        <v/>
      </c>
      <c r="J6643" s="215" t="str">
        <f>IF(Table2[[#This Row],[Description]]="","",Table2[[#This Row],[Value]]/Table2[[#This Row],[Conversion]])</f>
        <v/>
      </c>
      <c r="K6643" s="45" t="str">
        <f>IF(Table2[[#This Row],[Description]]="","",DATE(Table2[[#This Row],[Year]],Table2[[#This Row],[Month]],1))</f>
        <v/>
      </c>
    </row>
    <row r="6644" spans="7:11" x14ac:dyDescent="0.25">
      <c r="G6644" s="1" t="str">
        <f>IF(Table2[[#This Row],[Description]]="","",VLOOKUP(Table2[[#This Row],[Description]],$Q$1:$S$101,2,FALSE))</f>
        <v/>
      </c>
      <c r="H6644" s="1" t="str">
        <f>IF(Table2[[#This Row],[Description]]="","",VLOOKUP(Table2[[#This Row],[Description]],$Q$1:$S$101,3,FALSE))</f>
        <v/>
      </c>
      <c r="I6644" s="1" t="str">
        <f>IF(Table2[[#This Row],[Description]]="","",IF(Table2[[#This Row],[Currency]]=$O$2,$P$2,HLOOKUP(Table2[[#This Row],[Date]],Funds!$C$10:$GV$11,2,FALSE)))</f>
        <v/>
      </c>
      <c r="J6644" s="215" t="str">
        <f>IF(Table2[[#This Row],[Description]]="","",Table2[[#This Row],[Value]]/Table2[[#This Row],[Conversion]])</f>
        <v/>
      </c>
      <c r="K6644" s="45" t="str">
        <f>IF(Table2[[#This Row],[Description]]="","",DATE(Table2[[#This Row],[Year]],Table2[[#This Row],[Month]],1))</f>
        <v/>
      </c>
    </row>
    <row r="6645" spans="7:11" x14ac:dyDescent="0.25">
      <c r="G6645" s="1" t="str">
        <f>IF(Table2[[#This Row],[Description]]="","",VLOOKUP(Table2[[#This Row],[Description]],$Q$1:$S$101,2,FALSE))</f>
        <v/>
      </c>
      <c r="H6645" s="1" t="str">
        <f>IF(Table2[[#This Row],[Description]]="","",VLOOKUP(Table2[[#This Row],[Description]],$Q$1:$S$101,3,FALSE))</f>
        <v/>
      </c>
      <c r="I6645" s="1" t="str">
        <f>IF(Table2[[#This Row],[Description]]="","",IF(Table2[[#This Row],[Currency]]=$O$2,$P$2,HLOOKUP(Table2[[#This Row],[Date]],Funds!$C$10:$GV$11,2,FALSE)))</f>
        <v/>
      </c>
      <c r="J6645" s="215" t="str">
        <f>IF(Table2[[#This Row],[Description]]="","",Table2[[#This Row],[Value]]/Table2[[#This Row],[Conversion]])</f>
        <v/>
      </c>
      <c r="K6645" s="45" t="str">
        <f>IF(Table2[[#This Row],[Description]]="","",DATE(Table2[[#This Row],[Year]],Table2[[#This Row],[Month]],1))</f>
        <v/>
      </c>
    </row>
    <row r="6646" spans="7:11" x14ac:dyDescent="0.25">
      <c r="G6646" s="1" t="str">
        <f>IF(Table2[[#This Row],[Description]]="","",VLOOKUP(Table2[[#This Row],[Description]],$Q$1:$S$101,2,FALSE))</f>
        <v/>
      </c>
      <c r="H6646" s="1" t="str">
        <f>IF(Table2[[#This Row],[Description]]="","",VLOOKUP(Table2[[#This Row],[Description]],$Q$1:$S$101,3,FALSE))</f>
        <v/>
      </c>
      <c r="I6646" s="1" t="str">
        <f>IF(Table2[[#This Row],[Description]]="","",IF(Table2[[#This Row],[Currency]]=$O$2,$P$2,HLOOKUP(Table2[[#This Row],[Date]],Funds!$C$10:$GV$11,2,FALSE)))</f>
        <v/>
      </c>
      <c r="J6646" s="215" t="str">
        <f>IF(Table2[[#This Row],[Description]]="","",Table2[[#This Row],[Value]]/Table2[[#This Row],[Conversion]])</f>
        <v/>
      </c>
      <c r="K6646" s="45" t="str">
        <f>IF(Table2[[#This Row],[Description]]="","",DATE(Table2[[#This Row],[Year]],Table2[[#This Row],[Month]],1))</f>
        <v/>
      </c>
    </row>
    <row r="6647" spans="7:11" x14ac:dyDescent="0.25">
      <c r="G6647" s="1" t="str">
        <f>IF(Table2[[#This Row],[Description]]="","",VLOOKUP(Table2[[#This Row],[Description]],$Q$1:$S$101,2,FALSE))</f>
        <v/>
      </c>
      <c r="H6647" s="1" t="str">
        <f>IF(Table2[[#This Row],[Description]]="","",VLOOKUP(Table2[[#This Row],[Description]],$Q$1:$S$101,3,FALSE))</f>
        <v/>
      </c>
      <c r="I6647" s="1" t="str">
        <f>IF(Table2[[#This Row],[Description]]="","",IF(Table2[[#This Row],[Currency]]=$O$2,$P$2,HLOOKUP(Table2[[#This Row],[Date]],Funds!$C$10:$GV$11,2,FALSE)))</f>
        <v/>
      </c>
      <c r="J6647" s="215" t="str">
        <f>IF(Table2[[#This Row],[Description]]="","",Table2[[#This Row],[Value]]/Table2[[#This Row],[Conversion]])</f>
        <v/>
      </c>
      <c r="K6647" s="45" t="str">
        <f>IF(Table2[[#This Row],[Description]]="","",DATE(Table2[[#This Row],[Year]],Table2[[#This Row],[Month]],1))</f>
        <v/>
      </c>
    </row>
    <row r="6648" spans="7:11" x14ac:dyDescent="0.25">
      <c r="G6648" s="1" t="str">
        <f>IF(Table2[[#This Row],[Description]]="","",VLOOKUP(Table2[[#This Row],[Description]],$Q$1:$S$101,2,FALSE))</f>
        <v/>
      </c>
      <c r="H6648" s="1" t="str">
        <f>IF(Table2[[#This Row],[Description]]="","",VLOOKUP(Table2[[#This Row],[Description]],$Q$1:$S$101,3,FALSE))</f>
        <v/>
      </c>
      <c r="I6648" s="1" t="str">
        <f>IF(Table2[[#This Row],[Description]]="","",IF(Table2[[#This Row],[Currency]]=$O$2,$P$2,HLOOKUP(Table2[[#This Row],[Date]],Funds!$C$10:$GV$11,2,FALSE)))</f>
        <v/>
      </c>
      <c r="J6648" s="215" t="str">
        <f>IF(Table2[[#This Row],[Description]]="","",Table2[[#This Row],[Value]]/Table2[[#This Row],[Conversion]])</f>
        <v/>
      </c>
      <c r="K6648" s="45" t="str">
        <f>IF(Table2[[#This Row],[Description]]="","",DATE(Table2[[#This Row],[Year]],Table2[[#This Row],[Month]],1))</f>
        <v/>
      </c>
    </row>
    <row r="6649" spans="7:11" x14ac:dyDescent="0.25">
      <c r="G6649" s="1" t="str">
        <f>IF(Table2[[#This Row],[Description]]="","",VLOOKUP(Table2[[#This Row],[Description]],$Q$1:$S$101,2,FALSE))</f>
        <v/>
      </c>
      <c r="H6649" s="1" t="str">
        <f>IF(Table2[[#This Row],[Description]]="","",VLOOKUP(Table2[[#This Row],[Description]],$Q$1:$S$101,3,FALSE))</f>
        <v/>
      </c>
      <c r="I6649" s="1" t="str">
        <f>IF(Table2[[#This Row],[Description]]="","",IF(Table2[[#This Row],[Currency]]=$O$2,$P$2,HLOOKUP(Table2[[#This Row],[Date]],Funds!$C$10:$GV$11,2,FALSE)))</f>
        <v/>
      </c>
      <c r="J6649" s="215" t="str">
        <f>IF(Table2[[#This Row],[Description]]="","",Table2[[#This Row],[Value]]/Table2[[#This Row],[Conversion]])</f>
        <v/>
      </c>
      <c r="K6649" s="45" t="str">
        <f>IF(Table2[[#This Row],[Description]]="","",DATE(Table2[[#This Row],[Year]],Table2[[#This Row],[Month]],1))</f>
        <v/>
      </c>
    </row>
    <row r="6650" spans="7:11" x14ac:dyDescent="0.25">
      <c r="G6650" s="1" t="str">
        <f>IF(Table2[[#This Row],[Description]]="","",VLOOKUP(Table2[[#This Row],[Description]],$Q$1:$S$101,2,FALSE))</f>
        <v/>
      </c>
      <c r="H6650" s="1" t="str">
        <f>IF(Table2[[#This Row],[Description]]="","",VLOOKUP(Table2[[#This Row],[Description]],$Q$1:$S$101,3,FALSE))</f>
        <v/>
      </c>
      <c r="I6650" s="1" t="str">
        <f>IF(Table2[[#This Row],[Description]]="","",IF(Table2[[#This Row],[Currency]]=$O$2,$P$2,HLOOKUP(Table2[[#This Row],[Date]],Funds!$C$10:$GV$11,2,FALSE)))</f>
        <v/>
      </c>
      <c r="J6650" s="215" t="str">
        <f>IF(Table2[[#This Row],[Description]]="","",Table2[[#This Row],[Value]]/Table2[[#This Row],[Conversion]])</f>
        <v/>
      </c>
      <c r="K6650" s="45" t="str">
        <f>IF(Table2[[#This Row],[Description]]="","",DATE(Table2[[#This Row],[Year]],Table2[[#This Row],[Month]],1))</f>
        <v/>
      </c>
    </row>
    <row r="6651" spans="7:11" x14ac:dyDescent="0.25">
      <c r="G6651" s="1" t="str">
        <f>IF(Table2[[#This Row],[Description]]="","",VLOOKUP(Table2[[#This Row],[Description]],$Q$1:$S$101,2,FALSE))</f>
        <v/>
      </c>
      <c r="H6651" s="1" t="str">
        <f>IF(Table2[[#This Row],[Description]]="","",VLOOKUP(Table2[[#This Row],[Description]],$Q$1:$S$101,3,FALSE))</f>
        <v/>
      </c>
      <c r="I6651" s="1" t="str">
        <f>IF(Table2[[#This Row],[Description]]="","",IF(Table2[[#This Row],[Currency]]=$O$2,$P$2,HLOOKUP(Table2[[#This Row],[Date]],Funds!$C$10:$GV$11,2,FALSE)))</f>
        <v/>
      </c>
      <c r="J6651" s="215" t="str">
        <f>IF(Table2[[#This Row],[Description]]="","",Table2[[#This Row],[Value]]/Table2[[#This Row],[Conversion]])</f>
        <v/>
      </c>
      <c r="K6651" s="45" t="str">
        <f>IF(Table2[[#This Row],[Description]]="","",DATE(Table2[[#This Row],[Year]],Table2[[#This Row],[Month]],1))</f>
        <v/>
      </c>
    </row>
    <row r="6652" spans="7:11" x14ac:dyDescent="0.25">
      <c r="G6652" s="1" t="str">
        <f>IF(Table2[[#This Row],[Description]]="","",VLOOKUP(Table2[[#This Row],[Description]],$Q$1:$S$101,2,FALSE))</f>
        <v/>
      </c>
      <c r="H6652" s="1" t="str">
        <f>IF(Table2[[#This Row],[Description]]="","",VLOOKUP(Table2[[#This Row],[Description]],$Q$1:$S$101,3,FALSE))</f>
        <v/>
      </c>
      <c r="I6652" s="1" t="str">
        <f>IF(Table2[[#This Row],[Description]]="","",IF(Table2[[#This Row],[Currency]]=$O$2,$P$2,HLOOKUP(Table2[[#This Row],[Date]],Funds!$C$10:$GV$11,2,FALSE)))</f>
        <v/>
      </c>
      <c r="J6652" s="215" t="str">
        <f>IF(Table2[[#This Row],[Description]]="","",Table2[[#This Row],[Value]]/Table2[[#This Row],[Conversion]])</f>
        <v/>
      </c>
      <c r="K6652" s="45" t="str">
        <f>IF(Table2[[#This Row],[Description]]="","",DATE(Table2[[#This Row],[Year]],Table2[[#This Row],[Month]],1))</f>
        <v/>
      </c>
    </row>
    <row r="6653" spans="7:11" x14ac:dyDescent="0.25">
      <c r="G6653" s="1" t="str">
        <f>IF(Table2[[#This Row],[Description]]="","",VLOOKUP(Table2[[#This Row],[Description]],$Q$1:$S$101,2,FALSE))</f>
        <v/>
      </c>
      <c r="H6653" s="1" t="str">
        <f>IF(Table2[[#This Row],[Description]]="","",VLOOKUP(Table2[[#This Row],[Description]],$Q$1:$S$101,3,FALSE))</f>
        <v/>
      </c>
      <c r="I6653" s="1" t="str">
        <f>IF(Table2[[#This Row],[Description]]="","",IF(Table2[[#This Row],[Currency]]=$O$2,$P$2,HLOOKUP(Table2[[#This Row],[Date]],Funds!$C$10:$GV$11,2,FALSE)))</f>
        <v/>
      </c>
      <c r="J6653" s="215" t="str">
        <f>IF(Table2[[#This Row],[Description]]="","",Table2[[#This Row],[Value]]/Table2[[#This Row],[Conversion]])</f>
        <v/>
      </c>
      <c r="K6653" s="45" t="str">
        <f>IF(Table2[[#This Row],[Description]]="","",DATE(Table2[[#This Row],[Year]],Table2[[#This Row],[Month]],1))</f>
        <v/>
      </c>
    </row>
    <row r="6654" spans="7:11" x14ac:dyDescent="0.25">
      <c r="G6654" s="1" t="str">
        <f>IF(Table2[[#This Row],[Description]]="","",VLOOKUP(Table2[[#This Row],[Description]],$Q$1:$S$101,2,FALSE))</f>
        <v/>
      </c>
      <c r="H6654" s="1" t="str">
        <f>IF(Table2[[#This Row],[Description]]="","",VLOOKUP(Table2[[#This Row],[Description]],$Q$1:$S$101,3,FALSE))</f>
        <v/>
      </c>
      <c r="I6654" s="1" t="str">
        <f>IF(Table2[[#This Row],[Description]]="","",IF(Table2[[#This Row],[Currency]]=$O$2,$P$2,HLOOKUP(Table2[[#This Row],[Date]],Funds!$C$10:$GV$11,2,FALSE)))</f>
        <v/>
      </c>
      <c r="J6654" s="215" t="str">
        <f>IF(Table2[[#This Row],[Description]]="","",Table2[[#This Row],[Value]]/Table2[[#This Row],[Conversion]])</f>
        <v/>
      </c>
      <c r="K6654" s="45" t="str">
        <f>IF(Table2[[#This Row],[Description]]="","",DATE(Table2[[#This Row],[Year]],Table2[[#This Row],[Month]],1))</f>
        <v/>
      </c>
    </row>
    <row r="6655" spans="7:11" x14ac:dyDescent="0.25">
      <c r="G6655" s="1" t="str">
        <f>IF(Table2[[#This Row],[Description]]="","",VLOOKUP(Table2[[#This Row],[Description]],$Q$1:$S$101,2,FALSE))</f>
        <v/>
      </c>
      <c r="H6655" s="1" t="str">
        <f>IF(Table2[[#This Row],[Description]]="","",VLOOKUP(Table2[[#This Row],[Description]],$Q$1:$S$101,3,FALSE))</f>
        <v/>
      </c>
      <c r="I6655" s="1" t="str">
        <f>IF(Table2[[#This Row],[Description]]="","",IF(Table2[[#This Row],[Currency]]=$O$2,$P$2,HLOOKUP(Table2[[#This Row],[Date]],Funds!$C$10:$GV$11,2,FALSE)))</f>
        <v/>
      </c>
      <c r="J6655" s="215" t="str">
        <f>IF(Table2[[#This Row],[Description]]="","",Table2[[#This Row],[Value]]/Table2[[#This Row],[Conversion]])</f>
        <v/>
      </c>
      <c r="K6655" s="45" t="str">
        <f>IF(Table2[[#This Row],[Description]]="","",DATE(Table2[[#This Row],[Year]],Table2[[#This Row],[Month]],1))</f>
        <v/>
      </c>
    </row>
    <row r="6656" spans="7:11" x14ac:dyDescent="0.25">
      <c r="G6656" s="1" t="str">
        <f>IF(Table2[[#This Row],[Description]]="","",VLOOKUP(Table2[[#This Row],[Description]],$Q$1:$S$101,2,FALSE))</f>
        <v/>
      </c>
      <c r="H6656" s="1" t="str">
        <f>IF(Table2[[#This Row],[Description]]="","",VLOOKUP(Table2[[#This Row],[Description]],$Q$1:$S$101,3,FALSE))</f>
        <v/>
      </c>
      <c r="I6656" s="1" t="str">
        <f>IF(Table2[[#This Row],[Description]]="","",IF(Table2[[#This Row],[Currency]]=$O$2,$P$2,HLOOKUP(Table2[[#This Row],[Date]],Funds!$C$10:$GV$11,2,FALSE)))</f>
        <v/>
      </c>
      <c r="J6656" s="215" t="str">
        <f>IF(Table2[[#This Row],[Description]]="","",Table2[[#This Row],[Value]]/Table2[[#This Row],[Conversion]])</f>
        <v/>
      </c>
      <c r="K6656" s="45" t="str">
        <f>IF(Table2[[#This Row],[Description]]="","",DATE(Table2[[#This Row],[Year]],Table2[[#This Row],[Month]],1))</f>
        <v/>
      </c>
    </row>
    <row r="6657" spans="7:11" x14ac:dyDescent="0.25">
      <c r="G6657" s="1" t="str">
        <f>IF(Table2[[#This Row],[Description]]="","",VLOOKUP(Table2[[#This Row],[Description]],$Q$1:$S$101,2,FALSE))</f>
        <v/>
      </c>
      <c r="H6657" s="1" t="str">
        <f>IF(Table2[[#This Row],[Description]]="","",VLOOKUP(Table2[[#This Row],[Description]],$Q$1:$S$101,3,FALSE))</f>
        <v/>
      </c>
      <c r="I6657" s="1" t="str">
        <f>IF(Table2[[#This Row],[Description]]="","",IF(Table2[[#This Row],[Currency]]=$O$2,$P$2,HLOOKUP(Table2[[#This Row],[Date]],Funds!$C$10:$GV$11,2,FALSE)))</f>
        <v/>
      </c>
      <c r="J6657" s="215" t="str">
        <f>IF(Table2[[#This Row],[Description]]="","",Table2[[#This Row],[Value]]/Table2[[#This Row],[Conversion]])</f>
        <v/>
      </c>
      <c r="K6657" s="45" t="str">
        <f>IF(Table2[[#This Row],[Description]]="","",DATE(Table2[[#This Row],[Year]],Table2[[#This Row],[Month]],1))</f>
        <v/>
      </c>
    </row>
    <row r="6658" spans="7:11" x14ac:dyDescent="0.25">
      <c r="G6658" s="1" t="str">
        <f>IF(Table2[[#This Row],[Description]]="","",VLOOKUP(Table2[[#This Row],[Description]],$Q$1:$S$101,2,FALSE))</f>
        <v/>
      </c>
      <c r="H6658" s="1" t="str">
        <f>IF(Table2[[#This Row],[Description]]="","",VLOOKUP(Table2[[#This Row],[Description]],$Q$1:$S$101,3,FALSE))</f>
        <v/>
      </c>
      <c r="I6658" s="1" t="str">
        <f>IF(Table2[[#This Row],[Description]]="","",IF(Table2[[#This Row],[Currency]]=$O$2,$P$2,HLOOKUP(Table2[[#This Row],[Date]],Funds!$C$10:$GV$11,2,FALSE)))</f>
        <v/>
      </c>
      <c r="J6658" s="215" t="str">
        <f>IF(Table2[[#This Row],[Description]]="","",Table2[[#This Row],[Value]]/Table2[[#This Row],[Conversion]])</f>
        <v/>
      </c>
      <c r="K6658" s="45" t="str">
        <f>IF(Table2[[#This Row],[Description]]="","",DATE(Table2[[#This Row],[Year]],Table2[[#This Row],[Month]],1))</f>
        <v/>
      </c>
    </row>
    <row r="6659" spans="7:11" x14ac:dyDescent="0.25">
      <c r="G6659" s="1" t="str">
        <f>IF(Table2[[#This Row],[Description]]="","",VLOOKUP(Table2[[#This Row],[Description]],$Q$1:$S$101,2,FALSE))</f>
        <v/>
      </c>
      <c r="H6659" s="1" t="str">
        <f>IF(Table2[[#This Row],[Description]]="","",VLOOKUP(Table2[[#This Row],[Description]],$Q$1:$S$101,3,FALSE))</f>
        <v/>
      </c>
      <c r="I6659" s="1" t="str">
        <f>IF(Table2[[#This Row],[Description]]="","",IF(Table2[[#This Row],[Currency]]=$O$2,$P$2,HLOOKUP(Table2[[#This Row],[Date]],Funds!$C$10:$GV$11,2,FALSE)))</f>
        <v/>
      </c>
      <c r="J6659" s="215" t="str">
        <f>IF(Table2[[#This Row],[Description]]="","",Table2[[#This Row],[Value]]/Table2[[#This Row],[Conversion]])</f>
        <v/>
      </c>
      <c r="K6659" s="45" t="str">
        <f>IF(Table2[[#This Row],[Description]]="","",DATE(Table2[[#This Row],[Year]],Table2[[#This Row],[Month]],1))</f>
        <v/>
      </c>
    </row>
    <row r="6660" spans="7:11" x14ac:dyDescent="0.25">
      <c r="G6660" s="1" t="str">
        <f>IF(Table2[[#This Row],[Description]]="","",VLOOKUP(Table2[[#This Row],[Description]],$Q$1:$S$101,2,FALSE))</f>
        <v/>
      </c>
      <c r="H6660" s="1" t="str">
        <f>IF(Table2[[#This Row],[Description]]="","",VLOOKUP(Table2[[#This Row],[Description]],$Q$1:$S$101,3,FALSE))</f>
        <v/>
      </c>
      <c r="I6660" s="1" t="str">
        <f>IF(Table2[[#This Row],[Description]]="","",IF(Table2[[#This Row],[Currency]]=$O$2,$P$2,HLOOKUP(Table2[[#This Row],[Date]],Funds!$C$10:$GV$11,2,FALSE)))</f>
        <v/>
      </c>
      <c r="J6660" s="215" t="str">
        <f>IF(Table2[[#This Row],[Description]]="","",Table2[[#This Row],[Value]]/Table2[[#This Row],[Conversion]])</f>
        <v/>
      </c>
      <c r="K6660" s="45" t="str">
        <f>IF(Table2[[#This Row],[Description]]="","",DATE(Table2[[#This Row],[Year]],Table2[[#This Row],[Month]],1))</f>
        <v/>
      </c>
    </row>
    <row r="6661" spans="7:11" x14ac:dyDescent="0.25">
      <c r="G6661" s="1" t="str">
        <f>IF(Table2[[#This Row],[Description]]="","",VLOOKUP(Table2[[#This Row],[Description]],$Q$1:$S$101,2,FALSE))</f>
        <v/>
      </c>
      <c r="H6661" s="1" t="str">
        <f>IF(Table2[[#This Row],[Description]]="","",VLOOKUP(Table2[[#This Row],[Description]],$Q$1:$S$101,3,FALSE))</f>
        <v/>
      </c>
      <c r="I6661" s="1" t="str">
        <f>IF(Table2[[#This Row],[Description]]="","",IF(Table2[[#This Row],[Currency]]=$O$2,$P$2,HLOOKUP(Table2[[#This Row],[Date]],Funds!$C$10:$GV$11,2,FALSE)))</f>
        <v/>
      </c>
      <c r="J6661" s="215" t="str">
        <f>IF(Table2[[#This Row],[Description]]="","",Table2[[#This Row],[Value]]/Table2[[#This Row],[Conversion]])</f>
        <v/>
      </c>
      <c r="K6661" s="45" t="str">
        <f>IF(Table2[[#This Row],[Description]]="","",DATE(Table2[[#This Row],[Year]],Table2[[#This Row],[Month]],1))</f>
        <v/>
      </c>
    </row>
    <row r="6662" spans="7:11" x14ac:dyDescent="0.25">
      <c r="G6662" s="1" t="str">
        <f>IF(Table2[[#This Row],[Description]]="","",VLOOKUP(Table2[[#This Row],[Description]],$Q$1:$S$101,2,FALSE))</f>
        <v/>
      </c>
      <c r="H6662" s="1" t="str">
        <f>IF(Table2[[#This Row],[Description]]="","",VLOOKUP(Table2[[#This Row],[Description]],$Q$1:$S$101,3,FALSE))</f>
        <v/>
      </c>
      <c r="I6662" s="1" t="str">
        <f>IF(Table2[[#This Row],[Description]]="","",IF(Table2[[#This Row],[Currency]]=$O$2,$P$2,HLOOKUP(Table2[[#This Row],[Date]],Funds!$C$10:$GV$11,2,FALSE)))</f>
        <v/>
      </c>
      <c r="J6662" s="215" t="str">
        <f>IF(Table2[[#This Row],[Description]]="","",Table2[[#This Row],[Value]]/Table2[[#This Row],[Conversion]])</f>
        <v/>
      </c>
      <c r="K6662" s="45" t="str">
        <f>IF(Table2[[#This Row],[Description]]="","",DATE(Table2[[#This Row],[Year]],Table2[[#This Row],[Month]],1))</f>
        <v/>
      </c>
    </row>
    <row r="6663" spans="7:11" x14ac:dyDescent="0.25">
      <c r="G6663" s="1" t="str">
        <f>IF(Table2[[#This Row],[Description]]="","",VLOOKUP(Table2[[#This Row],[Description]],$Q$1:$S$101,2,FALSE))</f>
        <v/>
      </c>
      <c r="H6663" s="1" t="str">
        <f>IF(Table2[[#This Row],[Description]]="","",VLOOKUP(Table2[[#This Row],[Description]],$Q$1:$S$101,3,FALSE))</f>
        <v/>
      </c>
      <c r="I6663" s="1" t="str">
        <f>IF(Table2[[#This Row],[Description]]="","",IF(Table2[[#This Row],[Currency]]=$O$2,$P$2,HLOOKUP(Table2[[#This Row],[Date]],Funds!$C$10:$GV$11,2,FALSE)))</f>
        <v/>
      </c>
      <c r="J6663" s="215" t="str">
        <f>IF(Table2[[#This Row],[Description]]="","",Table2[[#This Row],[Value]]/Table2[[#This Row],[Conversion]])</f>
        <v/>
      </c>
      <c r="K6663" s="45" t="str">
        <f>IF(Table2[[#This Row],[Description]]="","",DATE(Table2[[#This Row],[Year]],Table2[[#This Row],[Month]],1))</f>
        <v/>
      </c>
    </row>
    <row r="6664" spans="7:11" x14ac:dyDescent="0.25">
      <c r="G6664" s="1" t="str">
        <f>IF(Table2[[#This Row],[Description]]="","",VLOOKUP(Table2[[#This Row],[Description]],$Q$1:$S$101,2,FALSE))</f>
        <v/>
      </c>
      <c r="H6664" s="1" t="str">
        <f>IF(Table2[[#This Row],[Description]]="","",VLOOKUP(Table2[[#This Row],[Description]],$Q$1:$S$101,3,FALSE))</f>
        <v/>
      </c>
      <c r="I6664" s="1" t="str">
        <f>IF(Table2[[#This Row],[Description]]="","",IF(Table2[[#This Row],[Currency]]=$O$2,$P$2,HLOOKUP(Table2[[#This Row],[Date]],Funds!$C$10:$GV$11,2,FALSE)))</f>
        <v/>
      </c>
      <c r="J6664" s="215" t="str">
        <f>IF(Table2[[#This Row],[Description]]="","",Table2[[#This Row],[Value]]/Table2[[#This Row],[Conversion]])</f>
        <v/>
      </c>
      <c r="K6664" s="45" t="str">
        <f>IF(Table2[[#This Row],[Description]]="","",DATE(Table2[[#This Row],[Year]],Table2[[#This Row],[Month]],1))</f>
        <v/>
      </c>
    </row>
    <row r="6665" spans="7:11" x14ac:dyDescent="0.25">
      <c r="G6665" s="1" t="str">
        <f>IF(Table2[[#This Row],[Description]]="","",VLOOKUP(Table2[[#This Row],[Description]],$Q$1:$S$101,2,FALSE))</f>
        <v/>
      </c>
      <c r="H6665" s="1" t="str">
        <f>IF(Table2[[#This Row],[Description]]="","",VLOOKUP(Table2[[#This Row],[Description]],$Q$1:$S$101,3,FALSE))</f>
        <v/>
      </c>
      <c r="I6665" s="1" t="str">
        <f>IF(Table2[[#This Row],[Description]]="","",IF(Table2[[#This Row],[Currency]]=$O$2,$P$2,HLOOKUP(Table2[[#This Row],[Date]],Funds!$C$10:$GV$11,2,FALSE)))</f>
        <v/>
      </c>
      <c r="J6665" s="215" t="str">
        <f>IF(Table2[[#This Row],[Description]]="","",Table2[[#This Row],[Value]]/Table2[[#This Row],[Conversion]])</f>
        <v/>
      </c>
      <c r="K6665" s="45" t="str">
        <f>IF(Table2[[#This Row],[Description]]="","",DATE(Table2[[#This Row],[Year]],Table2[[#This Row],[Month]],1))</f>
        <v/>
      </c>
    </row>
    <row r="6666" spans="7:11" x14ac:dyDescent="0.25">
      <c r="G6666" s="1" t="str">
        <f>IF(Table2[[#This Row],[Description]]="","",VLOOKUP(Table2[[#This Row],[Description]],$Q$1:$S$101,2,FALSE))</f>
        <v/>
      </c>
      <c r="H6666" s="1" t="str">
        <f>IF(Table2[[#This Row],[Description]]="","",VLOOKUP(Table2[[#This Row],[Description]],$Q$1:$S$101,3,FALSE))</f>
        <v/>
      </c>
      <c r="I6666" s="1" t="str">
        <f>IF(Table2[[#This Row],[Description]]="","",IF(Table2[[#This Row],[Currency]]=$O$2,$P$2,HLOOKUP(Table2[[#This Row],[Date]],Funds!$C$10:$GV$11,2,FALSE)))</f>
        <v/>
      </c>
      <c r="J6666" s="215" t="str">
        <f>IF(Table2[[#This Row],[Description]]="","",Table2[[#This Row],[Value]]/Table2[[#This Row],[Conversion]])</f>
        <v/>
      </c>
      <c r="K6666" s="45" t="str">
        <f>IF(Table2[[#This Row],[Description]]="","",DATE(Table2[[#This Row],[Year]],Table2[[#This Row],[Month]],1))</f>
        <v/>
      </c>
    </row>
    <row r="6667" spans="7:11" x14ac:dyDescent="0.25">
      <c r="G6667" s="1" t="str">
        <f>IF(Table2[[#This Row],[Description]]="","",VLOOKUP(Table2[[#This Row],[Description]],$Q$1:$S$101,2,FALSE))</f>
        <v/>
      </c>
      <c r="H6667" s="1" t="str">
        <f>IF(Table2[[#This Row],[Description]]="","",VLOOKUP(Table2[[#This Row],[Description]],$Q$1:$S$101,3,FALSE))</f>
        <v/>
      </c>
      <c r="I6667" s="1" t="str">
        <f>IF(Table2[[#This Row],[Description]]="","",IF(Table2[[#This Row],[Currency]]=$O$2,$P$2,HLOOKUP(Table2[[#This Row],[Date]],Funds!$C$10:$GV$11,2,FALSE)))</f>
        <v/>
      </c>
      <c r="J6667" s="215" t="str">
        <f>IF(Table2[[#This Row],[Description]]="","",Table2[[#This Row],[Value]]/Table2[[#This Row],[Conversion]])</f>
        <v/>
      </c>
      <c r="K6667" s="45" t="str">
        <f>IF(Table2[[#This Row],[Description]]="","",DATE(Table2[[#This Row],[Year]],Table2[[#This Row],[Month]],1))</f>
        <v/>
      </c>
    </row>
    <row r="6668" spans="7:11" x14ac:dyDescent="0.25">
      <c r="G6668" s="1" t="str">
        <f>IF(Table2[[#This Row],[Description]]="","",VLOOKUP(Table2[[#This Row],[Description]],$Q$1:$S$101,2,FALSE))</f>
        <v/>
      </c>
      <c r="H6668" s="1" t="str">
        <f>IF(Table2[[#This Row],[Description]]="","",VLOOKUP(Table2[[#This Row],[Description]],$Q$1:$S$101,3,FALSE))</f>
        <v/>
      </c>
      <c r="I6668" s="1" t="str">
        <f>IF(Table2[[#This Row],[Description]]="","",IF(Table2[[#This Row],[Currency]]=$O$2,$P$2,HLOOKUP(Table2[[#This Row],[Date]],Funds!$C$10:$GV$11,2,FALSE)))</f>
        <v/>
      </c>
      <c r="J6668" s="215" t="str">
        <f>IF(Table2[[#This Row],[Description]]="","",Table2[[#This Row],[Value]]/Table2[[#This Row],[Conversion]])</f>
        <v/>
      </c>
      <c r="K6668" s="45" t="str">
        <f>IF(Table2[[#This Row],[Description]]="","",DATE(Table2[[#This Row],[Year]],Table2[[#This Row],[Month]],1))</f>
        <v/>
      </c>
    </row>
    <row r="6669" spans="7:11" x14ac:dyDescent="0.25">
      <c r="G6669" s="1" t="str">
        <f>IF(Table2[[#This Row],[Description]]="","",VLOOKUP(Table2[[#This Row],[Description]],$Q$1:$S$101,2,FALSE))</f>
        <v/>
      </c>
      <c r="H6669" s="1" t="str">
        <f>IF(Table2[[#This Row],[Description]]="","",VLOOKUP(Table2[[#This Row],[Description]],$Q$1:$S$101,3,FALSE))</f>
        <v/>
      </c>
      <c r="I6669" s="1" t="str">
        <f>IF(Table2[[#This Row],[Description]]="","",IF(Table2[[#This Row],[Currency]]=$O$2,$P$2,HLOOKUP(Table2[[#This Row],[Date]],Funds!$C$10:$GV$11,2,FALSE)))</f>
        <v/>
      </c>
      <c r="J6669" s="215" t="str">
        <f>IF(Table2[[#This Row],[Description]]="","",Table2[[#This Row],[Value]]/Table2[[#This Row],[Conversion]])</f>
        <v/>
      </c>
      <c r="K6669" s="45" t="str">
        <f>IF(Table2[[#This Row],[Description]]="","",DATE(Table2[[#This Row],[Year]],Table2[[#This Row],[Month]],1))</f>
        <v/>
      </c>
    </row>
    <row r="6670" spans="7:11" x14ac:dyDescent="0.25">
      <c r="G6670" s="1" t="str">
        <f>IF(Table2[[#This Row],[Description]]="","",VLOOKUP(Table2[[#This Row],[Description]],$Q$1:$S$101,2,FALSE))</f>
        <v/>
      </c>
      <c r="H6670" s="1" t="str">
        <f>IF(Table2[[#This Row],[Description]]="","",VLOOKUP(Table2[[#This Row],[Description]],$Q$1:$S$101,3,FALSE))</f>
        <v/>
      </c>
      <c r="I6670" s="1" t="str">
        <f>IF(Table2[[#This Row],[Description]]="","",IF(Table2[[#This Row],[Currency]]=$O$2,$P$2,HLOOKUP(Table2[[#This Row],[Date]],Funds!$C$10:$GV$11,2,FALSE)))</f>
        <v/>
      </c>
      <c r="J6670" s="215" t="str">
        <f>IF(Table2[[#This Row],[Description]]="","",Table2[[#This Row],[Value]]/Table2[[#This Row],[Conversion]])</f>
        <v/>
      </c>
      <c r="K6670" s="45" t="str">
        <f>IF(Table2[[#This Row],[Description]]="","",DATE(Table2[[#This Row],[Year]],Table2[[#This Row],[Month]],1))</f>
        <v/>
      </c>
    </row>
    <row r="6671" spans="7:11" x14ac:dyDescent="0.25">
      <c r="G6671" s="1" t="str">
        <f>IF(Table2[[#This Row],[Description]]="","",VLOOKUP(Table2[[#This Row],[Description]],$Q$1:$S$101,2,FALSE))</f>
        <v/>
      </c>
      <c r="H6671" s="1" t="str">
        <f>IF(Table2[[#This Row],[Description]]="","",VLOOKUP(Table2[[#This Row],[Description]],$Q$1:$S$101,3,FALSE))</f>
        <v/>
      </c>
      <c r="I6671" s="1" t="str">
        <f>IF(Table2[[#This Row],[Description]]="","",IF(Table2[[#This Row],[Currency]]=$O$2,$P$2,HLOOKUP(Table2[[#This Row],[Date]],Funds!$C$10:$GV$11,2,FALSE)))</f>
        <v/>
      </c>
      <c r="J6671" s="215" t="str">
        <f>IF(Table2[[#This Row],[Description]]="","",Table2[[#This Row],[Value]]/Table2[[#This Row],[Conversion]])</f>
        <v/>
      </c>
      <c r="K6671" s="45" t="str">
        <f>IF(Table2[[#This Row],[Description]]="","",DATE(Table2[[#This Row],[Year]],Table2[[#This Row],[Month]],1))</f>
        <v/>
      </c>
    </row>
    <row r="6672" spans="7:11" x14ac:dyDescent="0.25">
      <c r="G6672" s="1" t="str">
        <f>IF(Table2[[#This Row],[Description]]="","",VLOOKUP(Table2[[#This Row],[Description]],$Q$1:$S$101,2,FALSE))</f>
        <v/>
      </c>
      <c r="H6672" s="1" t="str">
        <f>IF(Table2[[#This Row],[Description]]="","",VLOOKUP(Table2[[#This Row],[Description]],$Q$1:$S$101,3,FALSE))</f>
        <v/>
      </c>
      <c r="I6672" s="1" t="str">
        <f>IF(Table2[[#This Row],[Description]]="","",IF(Table2[[#This Row],[Currency]]=$O$2,$P$2,HLOOKUP(Table2[[#This Row],[Date]],Funds!$C$10:$GV$11,2,FALSE)))</f>
        <v/>
      </c>
      <c r="J6672" s="215" t="str">
        <f>IF(Table2[[#This Row],[Description]]="","",Table2[[#This Row],[Value]]/Table2[[#This Row],[Conversion]])</f>
        <v/>
      </c>
      <c r="K6672" s="45" t="str">
        <f>IF(Table2[[#This Row],[Description]]="","",DATE(Table2[[#This Row],[Year]],Table2[[#This Row],[Month]],1))</f>
        <v/>
      </c>
    </row>
    <row r="6673" spans="7:11" x14ac:dyDescent="0.25">
      <c r="G6673" s="1" t="str">
        <f>IF(Table2[[#This Row],[Description]]="","",VLOOKUP(Table2[[#This Row],[Description]],$Q$1:$S$101,2,FALSE))</f>
        <v/>
      </c>
      <c r="H6673" s="1" t="str">
        <f>IF(Table2[[#This Row],[Description]]="","",VLOOKUP(Table2[[#This Row],[Description]],$Q$1:$S$101,3,FALSE))</f>
        <v/>
      </c>
      <c r="I6673" s="1" t="str">
        <f>IF(Table2[[#This Row],[Description]]="","",IF(Table2[[#This Row],[Currency]]=$O$2,$P$2,HLOOKUP(Table2[[#This Row],[Date]],Funds!$C$10:$GV$11,2,FALSE)))</f>
        <v/>
      </c>
      <c r="J6673" s="215" t="str">
        <f>IF(Table2[[#This Row],[Description]]="","",Table2[[#This Row],[Value]]/Table2[[#This Row],[Conversion]])</f>
        <v/>
      </c>
      <c r="K6673" s="45" t="str">
        <f>IF(Table2[[#This Row],[Description]]="","",DATE(Table2[[#This Row],[Year]],Table2[[#This Row],[Month]],1))</f>
        <v/>
      </c>
    </row>
    <row r="6674" spans="7:11" x14ac:dyDescent="0.25">
      <c r="G6674" s="1" t="str">
        <f>IF(Table2[[#This Row],[Description]]="","",VLOOKUP(Table2[[#This Row],[Description]],$Q$1:$S$101,2,FALSE))</f>
        <v/>
      </c>
      <c r="H6674" s="1" t="str">
        <f>IF(Table2[[#This Row],[Description]]="","",VLOOKUP(Table2[[#This Row],[Description]],$Q$1:$S$101,3,FALSE))</f>
        <v/>
      </c>
      <c r="I6674" s="1" t="str">
        <f>IF(Table2[[#This Row],[Description]]="","",IF(Table2[[#This Row],[Currency]]=$O$2,$P$2,HLOOKUP(Table2[[#This Row],[Date]],Funds!$C$10:$GV$11,2,FALSE)))</f>
        <v/>
      </c>
      <c r="J6674" s="215" t="str">
        <f>IF(Table2[[#This Row],[Description]]="","",Table2[[#This Row],[Value]]/Table2[[#This Row],[Conversion]])</f>
        <v/>
      </c>
      <c r="K6674" s="45" t="str">
        <f>IF(Table2[[#This Row],[Description]]="","",DATE(Table2[[#This Row],[Year]],Table2[[#This Row],[Month]],1))</f>
        <v/>
      </c>
    </row>
    <row r="6675" spans="7:11" x14ac:dyDescent="0.25">
      <c r="G6675" s="1" t="str">
        <f>IF(Table2[[#This Row],[Description]]="","",VLOOKUP(Table2[[#This Row],[Description]],$Q$1:$S$101,2,FALSE))</f>
        <v/>
      </c>
      <c r="H6675" s="1" t="str">
        <f>IF(Table2[[#This Row],[Description]]="","",VLOOKUP(Table2[[#This Row],[Description]],$Q$1:$S$101,3,FALSE))</f>
        <v/>
      </c>
      <c r="I6675" s="1" t="str">
        <f>IF(Table2[[#This Row],[Description]]="","",IF(Table2[[#This Row],[Currency]]=$O$2,$P$2,HLOOKUP(Table2[[#This Row],[Date]],Funds!$C$10:$GV$11,2,FALSE)))</f>
        <v/>
      </c>
      <c r="J6675" s="215" t="str">
        <f>IF(Table2[[#This Row],[Description]]="","",Table2[[#This Row],[Value]]/Table2[[#This Row],[Conversion]])</f>
        <v/>
      </c>
      <c r="K6675" s="45" t="str">
        <f>IF(Table2[[#This Row],[Description]]="","",DATE(Table2[[#This Row],[Year]],Table2[[#This Row],[Month]],1))</f>
        <v/>
      </c>
    </row>
    <row r="6676" spans="7:11" x14ac:dyDescent="0.25">
      <c r="G6676" s="1" t="str">
        <f>IF(Table2[[#This Row],[Description]]="","",VLOOKUP(Table2[[#This Row],[Description]],$Q$1:$S$101,2,FALSE))</f>
        <v/>
      </c>
      <c r="H6676" s="1" t="str">
        <f>IF(Table2[[#This Row],[Description]]="","",VLOOKUP(Table2[[#This Row],[Description]],$Q$1:$S$101,3,FALSE))</f>
        <v/>
      </c>
      <c r="I6676" s="1" t="str">
        <f>IF(Table2[[#This Row],[Description]]="","",IF(Table2[[#This Row],[Currency]]=$O$2,$P$2,HLOOKUP(Table2[[#This Row],[Date]],Funds!$C$10:$GV$11,2,FALSE)))</f>
        <v/>
      </c>
      <c r="J6676" s="215" t="str">
        <f>IF(Table2[[#This Row],[Description]]="","",Table2[[#This Row],[Value]]/Table2[[#This Row],[Conversion]])</f>
        <v/>
      </c>
      <c r="K6676" s="45" t="str">
        <f>IF(Table2[[#This Row],[Description]]="","",DATE(Table2[[#This Row],[Year]],Table2[[#This Row],[Month]],1))</f>
        <v/>
      </c>
    </row>
    <row r="6677" spans="7:11" x14ac:dyDescent="0.25">
      <c r="G6677" s="1" t="str">
        <f>IF(Table2[[#This Row],[Description]]="","",VLOOKUP(Table2[[#This Row],[Description]],$Q$1:$S$101,2,FALSE))</f>
        <v/>
      </c>
      <c r="H6677" s="1" t="str">
        <f>IF(Table2[[#This Row],[Description]]="","",VLOOKUP(Table2[[#This Row],[Description]],$Q$1:$S$101,3,FALSE))</f>
        <v/>
      </c>
      <c r="I6677" s="1" t="str">
        <f>IF(Table2[[#This Row],[Description]]="","",IF(Table2[[#This Row],[Currency]]=$O$2,$P$2,HLOOKUP(Table2[[#This Row],[Date]],Funds!$C$10:$GV$11,2,FALSE)))</f>
        <v/>
      </c>
      <c r="J6677" s="215" t="str">
        <f>IF(Table2[[#This Row],[Description]]="","",Table2[[#This Row],[Value]]/Table2[[#This Row],[Conversion]])</f>
        <v/>
      </c>
      <c r="K6677" s="45" t="str">
        <f>IF(Table2[[#This Row],[Description]]="","",DATE(Table2[[#This Row],[Year]],Table2[[#This Row],[Month]],1))</f>
        <v/>
      </c>
    </row>
    <row r="6678" spans="7:11" x14ac:dyDescent="0.25">
      <c r="G6678" s="1" t="str">
        <f>IF(Table2[[#This Row],[Description]]="","",VLOOKUP(Table2[[#This Row],[Description]],$Q$1:$S$101,2,FALSE))</f>
        <v/>
      </c>
      <c r="H6678" s="1" t="str">
        <f>IF(Table2[[#This Row],[Description]]="","",VLOOKUP(Table2[[#This Row],[Description]],$Q$1:$S$101,3,FALSE))</f>
        <v/>
      </c>
      <c r="I6678" s="1" t="str">
        <f>IF(Table2[[#This Row],[Description]]="","",IF(Table2[[#This Row],[Currency]]=$O$2,$P$2,HLOOKUP(Table2[[#This Row],[Date]],Funds!$C$10:$GV$11,2,FALSE)))</f>
        <v/>
      </c>
      <c r="J6678" s="215" t="str">
        <f>IF(Table2[[#This Row],[Description]]="","",Table2[[#This Row],[Value]]/Table2[[#This Row],[Conversion]])</f>
        <v/>
      </c>
      <c r="K6678" s="45" t="str">
        <f>IF(Table2[[#This Row],[Description]]="","",DATE(Table2[[#This Row],[Year]],Table2[[#This Row],[Month]],1))</f>
        <v/>
      </c>
    </row>
    <row r="6679" spans="7:11" x14ac:dyDescent="0.25">
      <c r="G6679" s="1" t="str">
        <f>IF(Table2[[#This Row],[Description]]="","",VLOOKUP(Table2[[#This Row],[Description]],$Q$1:$S$101,2,FALSE))</f>
        <v/>
      </c>
      <c r="H6679" s="1" t="str">
        <f>IF(Table2[[#This Row],[Description]]="","",VLOOKUP(Table2[[#This Row],[Description]],$Q$1:$S$101,3,FALSE))</f>
        <v/>
      </c>
      <c r="I6679" s="1" t="str">
        <f>IF(Table2[[#This Row],[Description]]="","",IF(Table2[[#This Row],[Currency]]=$O$2,$P$2,HLOOKUP(Table2[[#This Row],[Date]],Funds!$C$10:$GV$11,2,FALSE)))</f>
        <v/>
      </c>
      <c r="J6679" s="215" t="str">
        <f>IF(Table2[[#This Row],[Description]]="","",Table2[[#This Row],[Value]]/Table2[[#This Row],[Conversion]])</f>
        <v/>
      </c>
      <c r="K6679" s="45" t="str">
        <f>IF(Table2[[#This Row],[Description]]="","",DATE(Table2[[#This Row],[Year]],Table2[[#This Row],[Month]],1))</f>
        <v/>
      </c>
    </row>
    <row r="6680" spans="7:11" x14ac:dyDescent="0.25">
      <c r="G6680" s="1" t="str">
        <f>IF(Table2[[#This Row],[Description]]="","",VLOOKUP(Table2[[#This Row],[Description]],$Q$1:$S$101,2,FALSE))</f>
        <v/>
      </c>
      <c r="H6680" s="1" t="str">
        <f>IF(Table2[[#This Row],[Description]]="","",VLOOKUP(Table2[[#This Row],[Description]],$Q$1:$S$101,3,FALSE))</f>
        <v/>
      </c>
      <c r="I6680" s="1" t="str">
        <f>IF(Table2[[#This Row],[Description]]="","",IF(Table2[[#This Row],[Currency]]=$O$2,$P$2,HLOOKUP(Table2[[#This Row],[Date]],Funds!$C$10:$GV$11,2,FALSE)))</f>
        <v/>
      </c>
      <c r="J6680" s="215" t="str">
        <f>IF(Table2[[#This Row],[Description]]="","",Table2[[#This Row],[Value]]/Table2[[#This Row],[Conversion]])</f>
        <v/>
      </c>
      <c r="K6680" s="45" t="str">
        <f>IF(Table2[[#This Row],[Description]]="","",DATE(Table2[[#This Row],[Year]],Table2[[#This Row],[Month]],1))</f>
        <v/>
      </c>
    </row>
    <row r="6681" spans="7:11" x14ac:dyDescent="0.25">
      <c r="G6681" s="1" t="str">
        <f>IF(Table2[[#This Row],[Description]]="","",VLOOKUP(Table2[[#This Row],[Description]],$Q$1:$S$101,2,FALSE))</f>
        <v/>
      </c>
      <c r="H6681" s="1" t="str">
        <f>IF(Table2[[#This Row],[Description]]="","",VLOOKUP(Table2[[#This Row],[Description]],$Q$1:$S$101,3,FALSE))</f>
        <v/>
      </c>
      <c r="I6681" s="1" t="str">
        <f>IF(Table2[[#This Row],[Description]]="","",IF(Table2[[#This Row],[Currency]]=$O$2,$P$2,HLOOKUP(Table2[[#This Row],[Date]],Funds!$C$10:$GV$11,2,FALSE)))</f>
        <v/>
      </c>
      <c r="J6681" s="215" t="str">
        <f>IF(Table2[[#This Row],[Description]]="","",Table2[[#This Row],[Value]]/Table2[[#This Row],[Conversion]])</f>
        <v/>
      </c>
      <c r="K6681" s="45" t="str">
        <f>IF(Table2[[#This Row],[Description]]="","",DATE(Table2[[#This Row],[Year]],Table2[[#This Row],[Month]],1))</f>
        <v/>
      </c>
    </row>
    <row r="6682" spans="7:11" x14ac:dyDescent="0.25">
      <c r="G6682" s="1" t="str">
        <f>IF(Table2[[#This Row],[Description]]="","",VLOOKUP(Table2[[#This Row],[Description]],$Q$1:$S$101,2,FALSE))</f>
        <v/>
      </c>
      <c r="H6682" s="1" t="str">
        <f>IF(Table2[[#This Row],[Description]]="","",VLOOKUP(Table2[[#This Row],[Description]],$Q$1:$S$101,3,FALSE))</f>
        <v/>
      </c>
      <c r="I6682" s="1" t="str">
        <f>IF(Table2[[#This Row],[Description]]="","",IF(Table2[[#This Row],[Currency]]=$O$2,$P$2,HLOOKUP(Table2[[#This Row],[Date]],Funds!$C$10:$GV$11,2,FALSE)))</f>
        <v/>
      </c>
      <c r="J6682" s="215" t="str">
        <f>IF(Table2[[#This Row],[Description]]="","",Table2[[#This Row],[Value]]/Table2[[#This Row],[Conversion]])</f>
        <v/>
      </c>
      <c r="K6682" s="45" t="str">
        <f>IF(Table2[[#This Row],[Description]]="","",DATE(Table2[[#This Row],[Year]],Table2[[#This Row],[Month]],1))</f>
        <v/>
      </c>
    </row>
    <row r="6683" spans="7:11" x14ac:dyDescent="0.25">
      <c r="G6683" s="1" t="str">
        <f>IF(Table2[[#This Row],[Description]]="","",VLOOKUP(Table2[[#This Row],[Description]],$Q$1:$S$101,2,FALSE))</f>
        <v/>
      </c>
      <c r="H6683" s="1" t="str">
        <f>IF(Table2[[#This Row],[Description]]="","",VLOOKUP(Table2[[#This Row],[Description]],$Q$1:$S$101,3,FALSE))</f>
        <v/>
      </c>
      <c r="I6683" s="1" t="str">
        <f>IF(Table2[[#This Row],[Description]]="","",IF(Table2[[#This Row],[Currency]]=$O$2,$P$2,HLOOKUP(Table2[[#This Row],[Date]],Funds!$C$10:$GV$11,2,FALSE)))</f>
        <v/>
      </c>
      <c r="J6683" s="215" t="str">
        <f>IF(Table2[[#This Row],[Description]]="","",Table2[[#This Row],[Value]]/Table2[[#This Row],[Conversion]])</f>
        <v/>
      </c>
      <c r="K6683" s="45" t="str">
        <f>IF(Table2[[#This Row],[Description]]="","",DATE(Table2[[#This Row],[Year]],Table2[[#This Row],[Month]],1))</f>
        <v/>
      </c>
    </row>
    <row r="6684" spans="7:11" x14ac:dyDescent="0.25">
      <c r="G6684" s="1" t="str">
        <f>IF(Table2[[#This Row],[Description]]="","",VLOOKUP(Table2[[#This Row],[Description]],$Q$1:$S$101,2,FALSE))</f>
        <v/>
      </c>
      <c r="H6684" s="1" t="str">
        <f>IF(Table2[[#This Row],[Description]]="","",VLOOKUP(Table2[[#This Row],[Description]],$Q$1:$S$101,3,FALSE))</f>
        <v/>
      </c>
      <c r="I6684" s="1" t="str">
        <f>IF(Table2[[#This Row],[Description]]="","",IF(Table2[[#This Row],[Currency]]=$O$2,$P$2,HLOOKUP(Table2[[#This Row],[Date]],Funds!$C$10:$GV$11,2,FALSE)))</f>
        <v/>
      </c>
      <c r="J6684" s="215" t="str">
        <f>IF(Table2[[#This Row],[Description]]="","",Table2[[#This Row],[Value]]/Table2[[#This Row],[Conversion]])</f>
        <v/>
      </c>
      <c r="K6684" s="45" t="str">
        <f>IF(Table2[[#This Row],[Description]]="","",DATE(Table2[[#This Row],[Year]],Table2[[#This Row],[Month]],1))</f>
        <v/>
      </c>
    </row>
    <row r="6685" spans="7:11" x14ac:dyDescent="0.25">
      <c r="G6685" s="1" t="str">
        <f>IF(Table2[[#This Row],[Description]]="","",VLOOKUP(Table2[[#This Row],[Description]],$Q$1:$S$101,2,FALSE))</f>
        <v/>
      </c>
      <c r="H6685" s="1" t="str">
        <f>IF(Table2[[#This Row],[Description]]="","",VLOOKUP(Table2[[#This Row],[Description]],$Q$1:$S$101,3,FALSE))</f>
        <v/>
      </c>
      <c r="I6685" s="1" t="str">
        <f>IF(Table2[[#This Row],[Description]]="","",IF(Table2[[#This Row],[Currency]]=$O$2,$P$2,HLOOKUP(Table2[[#This Row],[Date]],Funds!$C$10:$GV$11,2,FALSE)))</f>
        <v/>
      </c>
      <c r="J6685" s="215" t="str">
        <f>IF(Table2[[#This Row],[Description]]="","",Table2[[#This Row],[Value]]/Table2[[#This Row],[Conversion]])</f>
        <v/>
      </c>
      <c r="K6685" s="45" t="str">
        <f>IF(Table2[[#This Row],[Description]]="","",DATE(Table2[[#This Row],[Year]],Table2[[#This Row],[Month]],1))</f>
        <v/>
      </c>
    </row>
    <row r="6686" spans="7:11" x14ac:dyDescent="0.25">
      <c r="G6686" s="1" t="str">
        <f>IF(Table2[[#This Row],[Description]]="","",VLOOKUP(Table2[[#This Row],[Description]],$Q$1:$S$101,2,FALSE))</f>
        <v/>
      </c>
      <c r="H6686" s="1" t="str">
        <f>IF(Table2[[#This Row],[Description]]="","",VLOOKUP(Table2[[#This Row],[Description]],$Q$1:$S$101,3,FALSE))</f>
        <v/>
      </c>
      <c r="I6686" s="1" t="str">
        <f>IF(Table2[[#This Row],[Description]]="","",IF(Table2[[#This Row],[Currency]]=$O$2,$P$2,HLOOKUP(Table2[[#This Row],[Date]],Funds!$C$10:$GV$11,2,FALSE)))</f>
        <v/>
      </c>
      <c r="J6686" s="215" t="str">
        <f>IF(Table2[[#This Row],[Description]]="","",Table2[[#This Row],[Value]]/Table2[[#This Row],[Conversion]])</f>
        <v/>
      </c>
      <c r="K6686" s="45" t="str">
        <f>IF(Table2[[#This Row],[Description]]="","",DATE(Table2[[#This Row],[Year]],Table2[[#This Row],[Month]],1))</f>
        <v/>
      </c>
    </row>
    <row r="6687" spans="7:11" x14ac:dyDescent="0.25">
      <c r="G6687" s="1" t="str">
        <f>IF(Table2[[#This Row],[Description]]="","",VLOOKUP(Table2[[#This Row],[Description]],$Q$1:$S$101,2,FALSE))</f>
        <v/>
      </c>
      <c r="H6687" s="1" t="str">
        <f>IF(Table2[[#This Row],[Description]]="","",VLOOKUP(Table2[[#This Row],[Description]],$Q$1:$S$101,3,FALSE))</f>
        <v/>
      </c>
      <c r="I6687" s="1" t="str">
        <f>IF(Table2[[#This Row],[Description]]="","",IF(Table2[[#This Row],[Currency]]=$O$2,$P$2,HLOOKUP(Table2[[#This Row],[Date]],Funds!$C$10:$GV$11,2,FALSE)))</f>
        <v/>
      </c>
      <c r="J6687" s="215" t="str">
        <f>IF(Table2[[#This Row],[Description]]="","",Table2[[#This Row],[Value]]/Table2[[#This Row],[Conversion]])</f>
        <v/>
      </c>
      <c r="K6687" s="45" t="str">
        <f>IF(Table2[[#This Row],[Description]]="","",DATE(Table2[[#This Row],[Year]],Table2[[#This Row],[Month]],1))</f>
        <v/>
      </c>
    </row>
    <row r="6688" spans="7:11" x14ac:dyDescent="0.25">
      <c r="G6688" s="1" t="str">
        <f>IF(Table2[[#This Row],[Description]]="","",VLOOKUP(Table2[[#This Row],[Description]],$Q$1:$S$101,2,FALSE))</f>
        <v/>
      </c>
      <c r="H6688" s="1" t="str">
        <f>IF(Table2[[#This Row],[Description]]="","",VLOOKUP(Table2[[#This Row],[Description]],$Q$1:$S$101,3,FALSE))</f>
        <v/>
      </c>
      <c r="I6688" s="1" t="str">
        <f>IF(Table2[[#This Row],[Description]]="","",IF(Table2[[#This Row],[Currency]]=$O$2,$P$2,HLOOKUP(Table2[[#This Row],[Date]],Funds!$C$10:$GV$11,2,FALSE)))</f>
        <v/>
      </c>
      <c r="J6688" s="215" t="str">
        <f>IF(Table2[[#This Row],[Description]]="","",Table2[[#This Row],[Value]]/Table2[[#This Row],[Conversion]])</f>
        <v/>
      </c>
      <c r="K6688" s="45" t="str">
        <f>IF(Table2[[#This Row],[Description]]="","",DATE(Table2[[#This Row],[Year]],Table2[[#This Row],[Month]],1))</f>
        <v/>
      </c>
    </row>
    <row r="6689" spans="7:11" x14ac:dyDescent="0.25">
      <c r="G6689" s="1" t="str">
        <f>IF(Table2[[#This Row],[Description]]="","",VLOOKUP(Table2[[#This Row],[Description]],$Q$1:$S$101,2,FALSE))</f>
        <v/>
      </c>
      <c r="H6689" s="1" t="str">
        <f>IF(Table2[[#This Row],[Description]]="","",VLOOKUP(Table2[[#This Row],[Description]],$Q$1:$S$101,3,FALSE))</f>
        <v/>
      </c>
      <c r="I6689" s="1" t="str">
        <f>IF(Table2[[#This Row],[Description]]="","",IF(Table2[[#This Row],[Currency]]=$O$2,$P$2,HLOOKUP(Table2[[#This Row],[Date]],Funds!$C$10:$GV$11,2,FALSE)))</f>
        <v/>
      </c>
      <c r="J6689" s="215" t="str">
        <f>IF(Table2[[#This Row],[Description]]="","",Table2[[#This Row],[Value]]/Table2[[#This Row],[Conversion]])</f>
        <v/>
      </c>
      <c r="K6689" s="45" t="str">
        <f>IF(Table2[[#This Row],[Description]]="","",DATE(Table2[[#This Row],[Year]],Table2[[#This Row],[Month]],1))</f>
        <v/>
      </c>
    </row>
    <row r="6690" spans="7:11" x14ac:dyDescent="0.25">
      <c r="G6690" s="1" t="str">
        <f>IF(Table2[[#This Row],[Description]]="","",VLOOKUP(Table2[[#This Row],[Description]],$Q$1:$S$101,2,FALSE))</f>
        <v/>
      </c>
      <c r="H6690" s="1" t="str">
        <f>IF(Table2[[#This Row],[Description]]="","",VLOOKUP(Table2[[#This Row],[Description]],$Q$1:$S$101,3,FALSE))</f>
        <v/>
      </c>
      <c r="I6690" s="1" t="str">
        <f>IF(Table2[[#This Row],[Description]]="","",IF(Table2[[#This Row],[Currency]]=$O$2,$P$2,HLOOKUP(Table2[[#This Row],[Date]],Funds!$C$10:$GV$11,2,FALSE)))</f>
        <v/>
      </c>
      <c r="J6690" s="215" t="str">
        <f>IF(Table2[[#This Row],[Description]]="","",Table2[[#This Row],[Value]]/Table2[[#This Row],[Conversion]])</f>
        <v/>
      </c>
      <c r="K6690" s="45" t="str">
        <f>IF(Table2[[#This Row],[Description]]="","",DATE(Table2[[#This Row],[Year]],Table2[[#This Row],[Month]],1))</f>
        <v/>
      </c>
    </row>
    <row r="6691" spans="7:11" x14ac:dyDescent="0.25">
      <c r="G6691" s="1" t="str">
        <f>IF(Table2[[#This Row],[Description]]="","",VLOOKUP(Table2[[#This Row],[Description]],$Q$1:$S$101,2,FALSE))</f>
        <v/>
      </c>
      <c r="H6691" s="1" t="str">
        <f>IF(Table2[[#This Row],[Description]]="","",VLOOKUP(Table2[[#This Row],[Description]],$Q$1:$S$101,3,FALSE))</f>
        <v/>
      </c>
      <c r="I6691" s="1" t="str">
        <f>IF(Table2[[#This Row],[Description]]="","",IF(Table2[[#This Row],[Currency]]=$O$2,$P$2,HLOOKUP(Table2[[#This Row],[Date]],Funds!$C$10:$GV$11,2,FALSE)))</f>
        <v/>
      </c>
      <c r="J6691" s="215" t="str">
        <f>IF(Table2[[#This Row],[Description]]="","",Table2[[#This Row],[Value]]/Table2[[#This Row],[Conversion]])</f>
        <v/>
      </c>
      <c r="K6691" s="45" t="str">
        <f>IF(Table2[[#This Row],[Description]]="","",DATE(Table2[[#This Row],[Year]],Table2[[#This Row],[Month]],1))</f>
        <v/>
      </c>
    </row>
    <row r="6692" spans="7:11" x14ac:dyDescent="0.25">
      <c r="G6692" s="1" t="str">
        <f>IF(Table2[[#This Row],[Description]]="","",VLOOKUP(Table2[[#This Row],[Description]],$Q$1:$S$101,2,FALSE))</f>
        <v/>
      </c>
      <c r="H6692" s="1" t="str">
        <f>IF(Table2[[#This Row],[Description]]="","",VLOOKUP(Table2[[#This Row],[Description]],$Q$1:$S$101,3,FALSE))</f>
        <v/>
      </c>
      <c r="I6692" s="1" t="str">
        <f>IF(Table2[[#This Row],[Description]]="","",IF(Table2[[#This Row],[Currency]]=$O$2,$P$2,HLOOKUP(Table2[[#This Row],[Date]],Funds!$C$10:$GV$11,2,FALSE)))</f>
        <v/>
      </c>
      <c r="J6692" s="215" t="str">
        <f>IF(Table2[[#This Row],[Description]]="","",Table2[[#This Row],[Value]]/Table2[[#This Row],[Conversion]])</f>
        <v/>
      </c>
      <c r="K6692" s="45" t="str">
        <f>IF(Table2[[#This Row],[Description]]="","",DATE(Table2[[#This Row],[Year]],Table2[[#This Row],[Month]],1))</f>
        <v/>
      </c>
    </row>
    <row r="6693" spans="7:11" x14ac:dyDescent="0.25">
      <c r="G6693" s="1" t="str">
        <f>IF(Table2[[#This Row],[Description]]="","",VLOOKUP(Table2[[#This Row],[Description]],$Q$1:$S$101,2,FALSE))</f>
        <v/>
      </c>
      <c r="H6693" s="1" t="str">
        <f>IF(Table2[[#This Row],[Description]]="","",VLOOKUP(Table2[[#This Row],[Description]],$Q$1:$S$101,3,FALSE))</f>
        <v/>
      </c>
      <c r="I6693" s="1" t="str">
        <f>IF(Table2[[#This Row],[Description]]="","",IF(Table2[[#This Row],[Currency]]=$O$2,$P$2,HLOOKUP(Table2[[#This Row],[Date]],Funds!$C$10:$GV$11,2,FALSE)))</f>
        <v/>
      </c>
      <c r="J6693" s="215" t="str">
        <f>IF(Table2[[#This Row],[Description]]="","",Table2[[#This Row],[Value]]/Table2[[#This Row],[Conversion]])</f>
        <v/>
      </c>
      <c r="K6693" s="45" t="str">
        <f>IF(Table2[[#This Row],[Description]]="","",DATE(Table2[[#This Row],[Year]],Table2[[#This Row],[Month]],1))</f>
        <v/>
      </c>
    </row>
    <row r="6694" spans="7:11" x14ac:dyDescent="0.25">
      <c r="G6694" s="1" t="str">
        <f>IF(Table2[[#This Row],[Description]]="","",VLOOKUP(Table2[[#This Row],[Description]],$Q$1:$S$101,2,FALSE))</f>
        <v/>
      </c>
      <c r="H6694" s="1" t="str">
        <f>IF(Table2[[#This Row],[Description]]="","",VLOOKUP(Table2[[#This Row],[Description]],$Q$1:$S$101,3,FALSE))</f>
        <v/>
      </c>
      <c r="I6694" s="1" t="str">
        <f>IF(Table2[[#This Row],[Description]]="","",IF(Table2[[#This Row],[Currency]]=$O$2,$P$2,HLOOKUP(Table2[[#This Row],[Date]],Funds!$C$10:$GV$11,2,FALSE)))</f>
        <v/>
      </c>
      <c r="J6694" s="215" t="str">
        <f>IF(Table2[[#This Row],[Description]]="","",Table2[[#This Row],[Value]]/Table2[[#This Row],[Conversion]])</f>
        <v/>
      </c>
      <c r="K6694" s="45" t="str">
        <f>IF(Table2[[#This Row],[Description]]="","",DATE(Table2[[#This Row],[Year]],Table2[[#This Row],[Month]],1))</f>
        <v/>
      </c>
    </row>
    <row r="6695" spans="7:11" x14ac:dyDescent="0.25">
      <c r="G6695" s="1" t="str">
        <f>IF(Table2[[#This Row],[Description]]="","",VLOOKUP(Table2[[#This Row],[Description]],$Q$1:$S$101,2,FALSE))</f>
        <v/>
      </c>
      <c r="H6695" s="1" t="str">
        <f>IF(Table2[[#This Row],[Description]]="","",VLOOKUP(Table2[[#This Row],[Description]],$Q$1:$S$101,3,FALSE))</f>
        <v/>
      </c>
      <c r="I6695" s="1" t="str">
        <f>IF(Table2[[#This Row],[Description]]="","",IF(Table2[[#This Row],[Currency]]=$O$2,$P$2,HLOOKUP(Table2[[#This Row],[Date]],Funds!$C$10:$GV$11,2,FALSE)))</f>
        <v/>
      </c>
      <c r="J6695" s="215" t="str">
        <f>IF(Table2[[#This Row],[Description]]="","",Table2[[#This Row],[Value]]/Table2[[#This Row],[Conversion]])</f>
        <v/>
      </c>
      <c r="K6695" s="45" t="str">
        <f>IF(Table2[[#This Row],[Description]]="","",DATE(Table2[[#This Row],[Year]],Table2[[#This Row],[Month]],1))</f>
        <v/>
      </c>
    </row>
    <row r="6696" spans="7:11" x14ac:dyDescent="0.25">
      <c r="G6696" s="1" t="str">
        <f>IF(Table2[[#This Row],[Description]]="","",VLOOKUP(Table2[[#This Row],[Description]],$Q$1:$S$101,2,FALSE))</f>
        <v/>
      </c>
      <c r="H6696" s="1" t="str">
        <f>IF(Table2[[#This Row],[Description]]="","",VLOOKUP(Table2[[#This Row],[Description]],$Q$1:$S$101,3,FALSE))</f>
        <v/>
      </c>
      <c r="I6696" s="1" t="str">
        <f>IF(Table2[[#This Row],[Description]]="","",IF(Table2[[#This Row],[Currency]]=$O$2,$P$2,HLOOKUP(Table2[[#This Row],[Date]],Funds!$C$10:$GV$11,2,FALSE)))</f>
        <v/>
      </c>
      <c r="J6696" s="215" t="str">
        <f>IF(Table2[[#This Row],[Description]]="","",Table2[[#This Row],[Value]]/Table2[[#This Row],[Conversion]])</f>
        <v/>
      </c>
      <c r="K6696" s="45" t="str">
        <f>IF(Table2[[#This Row],[Description]]="","",DATE(Table2[[#This Row],[Year]],Table2[[#This Row],[Month]],1))</f>
        <v/>
      </c>
    </row>
    <row r="6697" spans="7:11" x14ac:dyDescent="0.25">
      <c r="G6697" s="1" t="str">
        <f>IF(Table2[[#This Row],[Description]]="","",VLOOKUP(Table2[[#This Row],[Description]],$Q$1:$S$101,2,FALSE))</f>
        <v/>
      </c>
      <c r="H6697" s="1" t="str">
        <f>IF(Table2[[#This Row],[Description]]="","",VLOOKUP(Table2[[#This Row],[Description]],$Q$1:$S$101,3,FALSE))</f>
        <v/>
      </c>
      <c r="I6697" s="1" t="str">
        <f>IF(Table2[[#This Row],[Description]]="","",IF(Table2[[#This Row],[Currency]]=$O$2,$P$2,HLOOKUP(Table2[[#This Row],[Date]],Funds!$C$10:$GV$11,2,FALSE)))</f>
        <v/>
      </c>
      <c r="J6697" s="215" t="str">
        <f>IF(Table2[[#This Row],[Description]]="","",Table2[[#This Row],[Value]]/Table2[[#This Row],[Conversion]])</f>
        <v/>
      </c>
      <c r="K6697" s="45" t="str">
        <f>IF(Table2[[#This Row],[Description]]="","",DATE(Table2[[#This Row],[Year]],Table2[[#This Row],[Month]],1))</f>
        <v/>
      </c>
    </row>
    <row r="6698" spans="7:11" x14ac:dyDescent="0.25">
      <c r="G6698" s="1" t="str">
        <f>IF(Table2[[#This Row],[Description]]="","",VLOOKUP(Table2[[#This Row],[Description]],$Q$1:$S$101,2,FALSE))</f>
        <v/>
      </c>
      <c r="H6698" s="1" t="str">
        <f>IF(Table2[[#This Row],[Description]]="","",VLOOKUP(Table2[[#This Row],[Description]],$Q$1:$S$101,3,FALSE))</f>
        <v/>
      </c>
      <c r="I6698" s="1" t="str">
        <f>IF(Table2[[#This Row],[Description]]="","",IF(Table2[[#This Row],[Currency]]=$O$2,$P$2,HLOOKUP(Table2[[#This Row],[Date]],Funds!$C$10:$GV$11,2,FALSE)))</f>
        <v/>
      </c>
      <c r="J6698" s="215" t="str">
        <f>IF(Table2[[#This Row],[Description]]="","",Table2[[#This Row],[Value]]/Table2[[#This Row],[Conversion]])</f>
        <v/>
      </c>
      <c r="K6698" s="45" t="str">
        <f>IF(Table2[[#This Row],[Description]]="","",DATE(Table2[[#This Row],[Year]],Table2[[#This Row],[Month]],1))</f>
        <v/>
      </c>
    </row>
    <row r="6699" spans="7:11" x14ac:dyDescent="0.25">
      <c r="G6699" s="1" t="str">
        <f>IF(Table2[[#This Row],[Description]]="","",VLOOKUP(Table2[[#This Row],[Description]],$Q$1:$S$101,2,FALSE))</f>
        <v/>
      </c>
      <c r="H6699" s="1" t="str">
        <f>IF(Table2[[#This Row],[Description]]="","",VLOOKUP(Table2[[#This Row],[Description]],$Q$1:$S$101,3,FALSE))</f>
        <v/>
      </c>
      <c r="I6699" s="1" t="str">
        <f>IF(Table2[[#This Row],[Description]]="","",IF(Table2[[#This Row],[Currency]]=$O$2,$P$2,HLOOKUP(Table2[[#This Row],[Date]],Funds!$C$10:$GV$11,2,FALSE)))</f>
        <v/>
      </c>
      <c r="J6699" s="215" t="str">
        <f>IF(Table2[[#This Row],[Description]]="","",Table2[[#This Row],[Value]]/Table2[[#This Row],[Conversion]])</f>
        <v/>
      </c>
      <c r="K6699" s="45" t="str">
        <f>IF(Table2[[#This Row],[Description]]="","",DATE(Table2[[#This Row],[Year]],Table2[[#This Row],[Month]],1))</f>
        <v/>
      </c>
    </row>
    <row r="6700" spans="7:11" x14ac:dyDescent="0.25">
      <c r="G6700" s="1" t="str">
        <f>IF(Table2[[#This Row],[Description]]="","",VLOOKUP(Table2[[#This Row],[Description]],$Q$1:$S$101,2,FALSE))</f>
        <v/>
      </c>
      <c r="H6700" s="1" t="str">
        <f>IF(Table2[[#This Row],[Description]]="","",VLOOKUP(Table2[[#This Row],[Description]],$Q$1:$S$101,3,FALSE))</f>
        <v/>
      </c>
      <c r="I6700" s="1" t="str">
        <f>IF(Table2[[#This Row],[Description]]="","",IF(Table2[[#This Row],[Currency]]=$O$2,$P$2,HLOOKUP(Table2[[#This Row],[Date]],Funds!$C$10:$GV$11,2,FALSE)))</f>
        <v/>
      </c>
      <c r="J6700" s="215" t="str">
        <f>IF(Table2[[#This Row],[Description]]="","",Table2[[#This Row],[Value]]/Table2[[#This Row],[Conversion]])</f>
        <v/>
      </c>
      <c r="K6700" s="45" t="str">
        <f>IF(Table2[[#This Row],[Description]]="","",DATE(Table2[[#This Row],[Year]],Table2[[#This Row],[Month]],1))</f>
        <v/>
      </c>
    </row>
    <row r="6701" spans="7:11" x14ac:dyDescent="0.25">
      <c r="G6701" s="1" t="str">
        <f>IF(Table2[[#This Row],[Description]]="","",VLOOKUP(Table2[[#This Row],[Description]],$Q$1:$S$101,2,FALSE))</f>
        <v/>
      </c>
      <c r="H6701" s="1" t="str">
        <f>IF(Table2[[#This Row],[Description]]="","",VLOOKUP(Table2[[#This Row],[Description]],$Q$1:$S$101,3,FALSE))</f>
        <v/>
      </c>
      <c r="I6701" s="1" t="str">
        <f>IF(Table2[[#This Row],[Description]]="","",IF(Table2[[#This Row],[Currency]]=$O$2,$P$2,HLOOKUP(Table2[[#This Row],[Date]],Funds!$C$10:$GV$11,2,FALSE)))</f>
        <v/>
      </c>
      <c r="J6701" s="215" t="str">
        <f>IF(Table2[[#This Row],[Description]]="","",Table2[[#This Row],[Value]]/Table2[[#This Row],[Conversion]])</f>
        <v/>
      </c>
      <c r="K6701" s="45" t="str">
        <f>IF(Table2[[#This Row],[Description]]="","",DATE(Table2[[#This Row],[Year]],Table2[[#This Row],[Month]],1))</f>
        <v/>
      </c>
    </row>
    <row r="6702" spans="7:11" x14ac:dyDescent="0.25">
      <c r="G6702" s="1" t="str">
        <f>IF(Table2[[#This Row],[Description]]="","",VLOOKUP(Table2[[#This Row],[Description]],$Q$1:$S$101,2,FALSE))</f>
        <v/>
      </c>
      <c r="H6702" s="1" t="str">
        <f>IF(Table2[[#This Row],[Description]]="","",VLOOKUP(Table2[[#This Row],[Description]],$Q$1:$S$101,3,FALSE))</f>
        <v/>
      </c>
      <c r="I6702" s="1" t="str">
        <f>IF(Table2[[#This Row],[Description]]="","",IF(Table2[[#This Row],[Currency]]=$O$2,$P$2,HLOOKUP(Table2[[#This Row],[Date]],Funds!$C$10:$GV$11,2,FALSE)))</f>
        <v/>
      </c>
      <c r="J6702" s="215" t="str">
        <f>IF(Table2[[#This Row],[Description]]="","",Table2[[#This Row],[Value]]/Table2[[#This Row],[Conversion]])</f>
        <v/>
      </c>
      <c r="K6702" s="45" t="str">
        <f>IF(Table2[[#This Row],[Description]]="","",DATE(Table2[[#This Row],[Year]],Table2[[#This Row],[Month]],1))</f>
        <v/>
      </c>
    </row>
    <row r="6703" spans="7:11" x14ac:dyDescent="0.25">
      <c r="G6703" s="1" t="str">
        <f>IF(Table2[[#This Row],[Description]]="","",VLOOKUP(Table2[[#This Row],[Description]],$Q$1:$S$101,2,FALSE))</f>
        <v/>
      </c>
      <c r="H6703" s="1" t="str">
        <f>IF(Table2[[#This Row],[Description]]="","",VLOOKUP(Table2[[#This Row],[Description]],$Q$1:$S$101,3,FALSE))</f>
        <v/>
      </c>
      <c r="I6703" s="1" t="str">
        <f>IF(Table2[[#This Row],[Description]]="","",IF(Table2[[#This Row],[Currency]]=$O$2,$P$2,HLOOKUP(Table2[[#This Row],[Date]],Funds!$C$10:$GV$11,2,FALSE)))</f>
        <v/>
      </c>
      <c r="J6703" s="215" t="str">
        <f>IF(Table2[[#This Row],[Description]]="","",Table2[[#This Row],[Value]]/Table2[[#This Row],[Conversion]])</f>
        <v/>
      </c>
      <c r="K6703" s="45" t="str">
        <f>IF(Table2[[#This Row],[Description]]="","",DATE(Table2[[#This Row],[Year]],Table2[[#This Row],[Month]],1))</f>
        <v/>
      </c>
    </row>
    <row r="6704" spans="7:11" x14ac:dyDescent="0.25">
      <c r="G6704" s="1" t="str">
        <f>IF(Table2[[#This Row],[Description]]="","",VLOOKUP(Table2[[#This Row],[Description]],$Q$1:$S$101,2,FALSE))</f>
        <v/>
      </c>
      <c r="H6704" s="1" t="str">
        <f>IF(Table2[[#This Row],[Description]]="","",VLOOKUP(Table2[[#This Row],[Description]],$Q$1:$S$101,3,FALSE))</f>
        <v/>
      </c>
      <c r="I6704" s="1" t="str">
        <f>IF(Table2[[#This Row],[Description]]="","",IF(Table2[[#This Row],[Currency]]=$O$2,$P$2,HLOOKUP(Table2[[#This Row],[Date]],Funds!$C$10:$GV$11,2,FALSE)))</f>
        <v/>
      </c>
      <c r="J6704" s="215" t="str">
        <f>IF(Table2[[#This Row],[Description]]="","",Table2[[#This Row],[Value]]/Table2[[#This Row],[Conversion]])</f>
        <v/>
      </c>
      <c r="K6704" s="45" t="str">
        <f>IF(Table2[[#This Row],[Description]]="","",DATE(Table2[[#This Row],[Year]],Table2[[#This Row],[Month]],1))</f>
        <v/>
      </c>
    </row>
    <row r="6705" spans="7:11" x14ac:dyDescent="0.25">
      <c r="G6705" s="1" t="str">
        <f>IF(Table2[[#This Row],[Description]]="","",VLOOKUP(Table2[[#This Row],[Description]],$Q$1:$S$101,2,FALSE))</f>
        <v/>
      </c>
      <c r="H6705" s="1" t="str">
        <f>IF(Table2[[#This Row],[Description]]="","",VLOOKUP(Table2[[#This Row],[Description]],$Q$1:$S$101,3,FALSE))</f>
        <v/>
      </c>
      <c r="I6705" s="1" t="str">
        <f>IF(Table2[[#This Row],[Description]]="","",IF(Table2[[#This Row],[Currency]]=$O$2,$P$2,HLOOKUP(Table2[[#This Row],[Date]],Funds!$C$10:$GV$11,2,FALSE)))</f>
        <v/>
      </c>
      <c r="J6705" s="215" t="str">
        <f>IF(Table2[[#This Row],[Description]]="","",Table2[[#This Row],[Value]]/Table2[[#This Row],[Conversion]])</f>
        <v/>
      </c>
      <c r="K6705" s="45" t="str">
        <f>IF(Table2[[#This Row],[Description]]="","",DATE(Table2[[#This Row],[Year]],Table2[[#This Row],[Month]],1))</f>
        <v/>
      </c>
    </row>
    <row r="6706" spans="7:11" x14ac:dyDescent="0.25">
      <c r="G6706" s="1" t="str">
        <f>IF(Table2[[#This Row],[Description]]="","",VLOOKUP(Table2[[#This Row],[Description]],$Q$1:$S$101,2,FALSE))</f>
        <v/>
      </c>
      <c r="H6706" s="1" t="str">
        <f>IF(Table2[[#This Row],[Description]]="","",VLOOKUP(Table2[[#This Row],[Description]],$Q$1:$S$101,3,FALSE))</f>
        <v/>
      </c>
      <c r="I6706" s="1" t="str">
        <f>IF(Table2[[#This Row],[Description]]="","",IF(Table2[[#This Row],[Currency]]=$O$2,$P$2,HLOOKUP(Table2[[#This Row],[Date]],Funds!$C$10:$GV$11,2,FALSE)))</f>
        <v/>
      </c>
      <c r="J6706" s="215" t="str">
        <f>IF(Table2[[#This Row],[Description]]="","",Table2[[#This Row],[Value]]/Table2[[#This Row],[Conversion]])</f>
        <v/>
      </c>
      <c r="K6706" s="45" t="str">
        <f>IF(Table2[[#This Row],[Description]]="","",DATE(Table2[[#This Row],[Year]],Table2[[#This Row],[Month]],1))</f>
        <v/>
      </c>
    </row>
    <row r="6707" spans="7:11" x14ac:dyDescent="0.25">
      <c r="G6707" s="1" t="str">
        <f>IF(Table2[[#This Row],[Description]]="","",VLOOKUP(Table2[[#This Row],[Description]],$Q$1:$S$101,2,FALSE))</f>
        <v/>
      </c>
      <c r="H6707" s="1" t="str">
        <f>IF(Table2[[#This Row],[Description]]="","",VLOOKUP(Table2[[#This Row],[Description]],$Q$1:$S$101,3,FALSE))</f>
        <v/>
      </c>
      <c r="I6707" s="1" t="str">
        <f>IF(Table2[[#This Row],[Description]]="","",IF(Table2[[#This Row],[Currency]]=$O$2,$P$2,HLOOKUP(Table2[[#This Row],[Date]],Funds!$C$10:$GV$11,2,FALSE)))</f>
        <v/>
      </c>
      <c r="J6707" s="215" t="str">
        <f>IF(Table2[[#This Row],[Description]]="","",Table2[[#This Row],[Value]]/Table2[[#This Row],[Conversion]])</f>
        <v/>
      </c>
      <c r="K6707" s="45" t="str">
        <f>IF(Table2[[#This Row],[Description]]="","",DATE(Table2[[#This Row],[Year]],Table2[[#This Row],[Month]],1))</f>
        <v/>
      </c>
    </row>
    <row r="6708" spans="7:11" x14ac:dyDescent="0.25">
      <c r="G6708" s="1" t="str">
        <f>IF(Table2[[#This Row],[Description]]="","",VLOOKUP(Table2[[#This Row],[Description]],$Q$1:$S$101,2,FALSE))</f>
        <v/>
      </c>
      <c r="H6708" s="1" t="str">
        <f>IF(Table2[[#This Row],[Description]]="","",VLOOKUP(Table2[[#This Row],[Description]],$Q$1:$S$101,3,FALSE))</f>
        <v/>
      </c>
      <c r="I6708" s="1" t="str">
        <f>IF(Table2[[#This Row],[Description]]="","",IF(Table2[[#This Row],[Currency]]=$O$2,$P$2,HLOOKUP(Table2[[#This Row],[Date]],Funds!$C$10:$GV$11,2,FALSE)))</f>
        <v/>
      </c>
      <c r="J6708" s="215" t="str">
        <f>IF(Table2[[#This Row],[Description]]="","",Table2[[#This Row],[Value]]/Table2[[#This Row],[Conversion]])</f>
        <v/>
      </c>
      <c r="K6708" s="45" t="str">
        <f>IF(Table2[[#This Row],[Description]]="","",DATE(Table2[[#This Row],[Year]],Table2[[#This Row],[Month]],1))</f>
        <v/>
      </c>
    </row>
    <row r="6709" spans="7:11" x14ac:dyDescent="0.25">
      <c r="G6709" s="1" t="str">
        <f>IF(Table2[[#This Row],[Description]]="","",VLOOKUP(Table2[[#This Row],[Description]],$Q$1:$S$101,2,FALSE))</f>
        <v/>
      </c>
      <c r="H6709" s="1" t="str">
        <f>IF(Table2[[#This Row],[Description]]="","",VLOOKUP(Table2[[#This Row],[Description]],$Q$1:$S$101,3,FALSE))</f>
        <v/>
      </c>
      <c r="I6709" s="1" t="str">
        <f>IF(Table2[[#This Row],[Description]]="","",IF(Table2[[#This Row],[Currency]]=$O$2,$P$2,HLOOKUP(Table2[[#This Row],[Date]],Funds!$C$10:$GV$11,2,FALSE)))</f>
        <v/>
      </c>
      <c r="J6709" s="215" t="str">
        <f>IF(Table2[[#This Row],[Description]]="","",Table2[[#This Row],[Value]]/Table2[[#This Row],[Conversion]])</f>
        <v/>
      </c>
      <c r="K6709" s="45" t="str">
        <f>IF(Table2[[#This Row],[Description]]="","",DATE(Table2[[#This Row],[Year]],Table2[[#This Row],[Month]],1))</f>
        <v/>
      </c>
    </row>
    <row r="6710" spans="7:11" x14ac:dyDescent="0.25">
      <c r="G6710" s="1" t="str">
        <f>IF(Table2[[#This Row],[Description]]="","",VLOOKUP(Table2[[#This Row],[Description]],$Q$1:$S$101,2,FALSE))</f>
        <v/>
      </c>
      <c r="H6710" s="1" t="str">
        <f>IF(Table2[[#This Row],[Description]]="","",VLOOKUP(Table2[[#This Row],[Description]],$Q$1:$S$101,3,FALSE))</f>
        <v/>
      </c>
      <c r="I6710" s="1" t="str">
        <f>IF(Table2[[#This Row],[Description]]="","",IF(Table2[[#This Row],[Currency]]=$O$2,$P$2,HLOOKUP(Table2[[#This Row],[Date]],Funds!$C$10:$GV$11,2,FALSE)))</f>
        <v/>
      </c>
      <c r="J6710" s="215" t="str">
        <f>IF(Table2[[#This Row],[Description]]="","",Table2[[#This Row],[Value]]/Table2[[#This Row],[Conversion]])</f>
        <v/>
      </c>
      <c r="K6710" s="45" t="str">
        <f>IF(Table2[[#This Row],[Description]]="","",DATE(Table2[[#This Row],[Year]],Table2[[#This Row],[Month]],1))</f>
        <v/>
      </c>
    </row>
    <row r="6711" spans="7:11" x14ac:dyDescent="0.25">
      <c r="G6711" s="1" t="str">
        <f>IF(Table2[[#This Row],[Description]]="","",VLOOKUP(Table2[[#This Row],[Description]],$Q$1:$S$101,2,FALSE))</f>
        <v/>
      </c>
      <c r="H6711" s="1" t="str">
        <f>IF(Table2[[#This Row],[Description]]="","",VLOOKUP(Table2[[#This Row],[Description]],$Q$1:$S$101,3,FALSE))</f>
        <v/>
      </c>
      <c r="I6711" s="1" t="str">
        <f>IF(Table2[[#This Row],[Description]]="","",IF(Table2[[#This Row],[Currency]]=$O$2,$P$2,HLOOKUP(Table2[[#This Row],[Date]],Funds!$C$10:$GV$11,2,FALSE)))</f>
        <v/>
      </c>
      <c r="J6711" s="215" t="str">
        <f>IF(Table2[[#This Row],[Description]]="","",Table2[[#This Row],[Value]]/Table2[[#This Row],[Conversion]])</f>
        <v/>
      </c>
      <c r="K6711" s="45" t="str">
        <f>IF(Table2[[#This Row],[Description]]="","",DATE(Table2[[#This Row],[Year]],Table2[[#This Row],[Month]],1))</f>
        <v/>
      </c>
    </row>
    <row r="6712" spans="7:11" x14ac:dyDescent="0.25">
      <c r="G6712" s="1" t="str">
        <f>IF(Table2[[#This Row],[Description]]="","",VLOOKUP(Table2[[#This Row],[Description]],$Q$1:$S$101,2,FALSE))</f>
        <v/>
      </c>
      <c r="H6712" s="1" t="str">
        <f>IF(Table2[[#This Row],[Description]]="","",VLOOKUP(Table2[[#This Row],[Description]],$Q$1:$S$101,3,FALSE))</f>
        <v/>
      </c>
      <c r="I6712" s="1" t="str">
        <f>IF(Table2[[#This Row],[Description]]="","",IF(Table2[[#This Row],[Currency]]=$O$2,$P$2,HLOOKUP(Table2[[#This Row],[Date]],Funds!$C$10:$GV$11,2,FALSE)))</f>
        <v/>
      </c>
      <c r="J6712" s="215" t="str">
        <f>IF(Table2[[#This Row],[Description]]="","",Table2[[#This Row],[Value]]/Table2[[#This Row],[Conversion]])</f>
        <v/>
      </c>
      <c r="K6712" s="45" t="str">
        <f>IF(Table2[[#This Row],[Description]]="","",DATE(Table2[[#This Row],[Year]],Table2[[#This Row],[Month]],1))</f>
        <v/>
      </c>
    </row>
    <row r="6713" spans="7:11" x14ac:dyDescent="0.25">
      <c r="G6713" s="1" t="str">
        <f>IF(Table2[[#This Row],[Description]]="","",VLOOKUP(Table2[[#This Row],[Description]],$Q$1:$S$101,2,FALSE))</f>
        <v/>
      </c>
      <c r="H6713" s="1" t="str">
        <f>IF(Table2[[#This Row],[Description]]="","",VLOOKUP(Table2[[#This Row],[Description]],$Q$1:$S$101,3,FALSE))</f>
        <v/>
      </c>
      <c r="I6713" s="1" t="str">
        <f>IF(Table2[[#This Row],[Description]]="","",IF(Table2[[#This Row],[Currency]]=$O$2,$P$2,HLOOKUP(Table2[[#This Row],[Date]],Funds!$C$10:$GV$11,2,FALSE)))</f>
        <v/>
      </c>
      <c r="J6713" s="215" t="str">
        <f>IF(Table2[[#This Row],[Description]]="","",Table2[[#This Row],[Value]]/Table2[[#This Row],[Conversion]])</f>
        <v/>
      </c>
      <c r="K6713" s="45" t="str">
        <f>IF(Table2[[#This Row],[Description]]="","",DATE(Table2[[#This Row],[Year]],Table2[[#This Row],[Month]],1))</f>
        <v/>
      </c>
    </row>
    <row r="6714" spans="7:11" x14ac:dyDescent="0.25">
      <c r="G6714" s="1" t="str">
        <f>IF(Table2[[#This Row],[Description]]="","",VLOOKUP(Table2[[#This Row],[Description]],$Q$1:$S$101,2,FALSE))</f>
        <v/>
      </c>
      <c r="H6714" s="1" t="str">
        <f>IF(Table2[[#This Row],[Description]]="","",VLOOKUP(Table2[[#This Row],[Description]],$Q$1:$S$101,3,FALSE))</f>
        <v/>
      </c>
      <c r="I6714" s="1" t="str">
        <f>IF(Table2[[#This Row],[Description]]="","",IF(Table2[[#This Row],[Currency]]=$O$2,$P$2,HLOOKUP(Table2[[#This Row],[Date]],Funds!$C$10:$GV$11,2,FALSE)))</f>
        <v/>
      </c>
      <c r="J6714" s="215" t="str">
        <f>IF(Table2[[#This Row],[Description]]="","",Table2[[#This Row],[Value]]/Table2[[#This Row],[Conversion]])</f>
        <v/>
      </c>
      <c r="K6714" s="45" t="str">
        <f>IF(Table2[[#This Row],[Description]]="","",DATE(Table2[[#This Row],[Year]],Table2[[#This Row],[Month]],1))</f>
        <v/>
      </c>
    </row>
    <row r="6715" spans="7:11" x14ac:dyDescent="0.25">
      <c r="G6715" s="1" t="str">
        <f>IF(Table2[[#This Row],[Description]]="","",VLOOKUP(Table2[[#This Row],[Description]],$Q$1:$S$101,2,FALSE))</f>
        <v/>
      </c>
      <c r="H6715" s="1" t="str">
        <f>IF(Table2[[#This Row],[Description]]="","",VLOOKUP(Table2[[#This Row],[Description]],$Q$1:$S$101,3,FALSE))</f>
        <v/>
      </c>
      <c r="I6715" s="1" t="str">
        <f>IF(Table2[[#This Row],[Description]]="","",IF(Table2[[#This Row],[Currency]]=$O$2,$P$2,HLOOKUP(Table2[[#This Row],[Date]],Funds!$C$10:$GV$11,2,FALSE)))</f>
        <v/>
      </c>
      <c r="J6715" s="215" t="str">
        <f>IF(Table2[[#This Row],[Description]]="","",Table2[[#This Row],[Value]]/Table2[[#This Row],[Conversion]])</f>
        <v/>
      </c>
      <c r="K6715" s="45" t="str">
        <f>IF(Table2[[#This Row],[Description]]="","",DATE(Table2[[#This Row],[Year]],Table2[[#This Row],[Month]],1))</f>
        <v/>
      </c>
    </row>
    <row r="6716" spans="7:11" x14ac:dyDescent="0.25">
      <c r="G6716" s="1" t="str">
        <f>IF(Table2[[#This Row],[Description]]="","",VLOOKUP(Table2[[#This Row],[Description]],$Q$1:$S$101,2,FALSE))</f>
        <v/>
      </c>
      <c r="H6716" s="1" t="str">
        <f>IF(Table2[[#This Row],[Description]]="","",VLOOKUP(Table2[[#This Row],[Description]],$Q$1:$S$101,3,FALSE))</f>
        <v/>
      </c>
      <c r="I6716" s="1" t="str">
        <f>IF(Table2[[#This Row],[Description]]="","",IF(Table2[[#This Row],[Currency]]=$O$2,$P$2,HLOOKUP(Table2[[#This Row],[Date]],Funds!$C$10:$GV$11,2,FALSE)))</f>
        <v/>
      </c>
      <c r="J6716" s="215" t="str">
        <f>IF(Table2[[#This Row],[Description]]="","",Table2[[#This Row],[Value]]/Table2[[#This Row],[Conversion]])</f>
        <v/>
      </c>
      <c r="K6716" s="45" t="str">
        <f>IF(Table2[[#This Row],[Description]]="","",DATE(Table2[[#This Row],[Year]],Table2[[#This Row],[Month]],1))</f>
        <v/>
      </c>
    </row>
    <row r="6717" spans="7:11" x14ac:dyDescent="0.25">
      <c r="G6717" s="1" t="str">
        <f>IF(Table2[[#This Row],[Description]]="","",VLOOKUP(Table2[[#This Row],[Description]],$Q$1:$S$101,2,FALSE))</f>
        <v/>
      </c>
      <c r="H6717" s="1" t="str">
        <f>IF(Table2[[#This Row],[Description]]="","",VLOOKUP(Table2[[#This Row],[Description]],$Q$1:$S$101,3,FALSE))</f>
        <v/>
      </c>
      <c r="I6717" s="1" t="str">
        <f>IF(Table2[[#This Row],[Description]]="","",IF(Table2[[#This Row],[Currency]]=$O$2,$P$2,HLOOKUP(Table2[[#This Row],[Date]],Funds!$C$10:$GV$11,2,FALSE)))</f>
        <v/>
      </c>
      <c r="J6717" s="215" t="str">
        <f>IF(Table2[[#This Row],[Description]]="","",Table2[[#This Row],[Value]]/Table2[[#This Row],[Conversion]])</f>
        <v/>
      </c>
      <c r="K6717" s="45" t="str">
        <f>IF(Table2[[#This Row],[Description]]="","",DATE(Table2[[#This Row],[Year]],Table2[[#This Row],[Month]],1))</f>
        <v/>
      </c>
    </row>
    <row r="6718" spans="7:11" x14ac:dyDescent="0.25">
      <c r="G6718" s="1" t="str">
        <f>IF(Table2[[#This Row],[Description]]="","",VLOOKUP(Table2[[#This Row],[Description]],$Q$1:$S$101,2,FALSE))</f>
        <v/>
      </c>
      <c r="H6718" s="1" t="str">
        <f>IF(Table2[[#This Row],[Description]]="","",VLOOKUP(Table2[[#This Row],[Description]],$Q$1:$S$101,3,FALSE))</f>
        <v/>
      </c>
      <c r="I6718" s="1" t="str">
        <f>IF(Table2[[#This Row],[Description]]="","",IF(Table2[[#This Row],[Currency]]=$O$2,$P$2,HLOOKUP(Table2[[#This Row],[Date]],Funds!$C$10:$GV$11,2,FALSE)))</f>
        <v/>
      </c>
      <c r="J6718" s="215" t="str">
        <f>IF(Table2[[#This Row],[Description]]="","",Table2[[#This Row],[Value]]/Table2[[#This Row],[Conversion]])</f>
        <v/>
      </c>
      <c r="K6718" s="45" t="str">
        <f>IF(Table2[[#This Row],[Description]]="","",DATE(Table2[[#This Row],[Year]],Table2[[#This Row],[Month]],1))</f>
        <v/>
      </c>
    </row>
    <row r="6719" spans="7:11" x14ac:dyDescent="0.25">
      <c r="G6719" s="1" t="str">
        <f>IF(Table2[[#This Row],[Description]]="","",VLOOKUP(Table2[[#This Row],[Description]],$Q$1:$S$101,2,FALSE))</f>
        <v/>
      </c>
      <c r="H6719" s="1" t="str">
        <f>IF(Table2[[#This Row],[Description]]="","",VLOOKUP(Table2[[#This Row],[Description]],$Q$1:$S$101,3,FALSE))</f>
        <v/>
      </c>
      <c r="I6719" s="1" t="str">
        <f>IF(Table2[[#This Row],[Description]]="","",IF(Table2[[#This Row],[Currency]]=$O$2,$P$2,HLOOKUP(Table2[[#This Row],[Date]],Funds!$C$10:$GV$11,2,FALSE)))</f>
        <v/>
      </c>
      <c r="J6719" s="215" t="str">
        <f>IF(Table2[[#This Row],[Description]]="","",Table2[[#This Row],[Value]]/Table2[[#This Row],[Conversion]])</f>
        <v/>
      </c>
      <c r="K6719" s="45" t="str">
        <f>IF(Table2[[#This Row],[Description]]="","",DATE(Table2[[#This Row],[Year]],Table2[[#This Row],[Month]],1))</f>
        <v/>
      </c>
    </row>
    <row r="6720" spans="7:11" x14ac:dyDescent="0.25">
      <c r="G6720" s="1" t="str">
        <f>IF(Table2[[#This Row],[Description]]="","",VLOOKUP(Table2[[#This Row],[Description]],$Q$1:$S$101,2,FALSE))</f>
        <v/>
      </c>
      <c r="H6720" s="1" t="str">
        <f>IF(Table2[[#This Row],[Description]]="","",VLOOKUP(Table2[[#This Row],[Description]],$Q$1:$S$101,3,FALSE))</f>
        <v/>
      </c>
      <c r="I6720" s="1" t="str">
        <f>IF(Table2[[#This Row],[Description]]="","",IF(Table2[[#This Row],[Currency]]=$O$2,$P$2,HLOOKUP(Table2[[#This Row],[Date]],Funds!$C$10:$GV$11,2,FALSE)))</f>
        <v/>
      </c>
      <c r="J6720" s="215" t="str">
        <f>IF(Table2[[#This Row],[Description]]="","",Table2[[#This Row],[Value]]/Table2[[#This Row],[Conversion]])</f>
        <v/>
      </c>
      <c r="K6720" s="45" t="str">
        <f>IF(Table2[[#This Row],[Description]]="","",DATE(Table2[[#This Row],[Year]],Table2[[#This Row],[Month]],1))</f>
        <v/>
      </c>
    </row>
    <row r="6721" spans="7:11" x14ac:dyDescent="0.25">
      <c r="G6721" s="1" t="str">
        <f>IF(Table2[[#This Row],[Description]]="","",VLOOKUP(Table2[[#This Row],[Description]],$Q$1:$S$101,2,FALSE))</f>
        <v/>
      </c>
      <c r="H6721" s="1" t="str">
        <f>IF(Table2[[#This Row],[Description]]="","",VLOOKUP(Table2[[#This Row],[Description]],$Q$1:$S$101,3,FALSE))</f>
        <v/>
      </c>
      <c r="I6721" s="1" t="str">
        <f>IF(Table2[[#This Row],[Description]]="","",IF(Table2[[#This Row],[Currency]]=$O$2,$P$2,HLOOKUP(Table2[[#This Row],[Date]],Funds!$C$10:$GV$11,2,FALSE)))</f>
        <v/>
      </c>
      <c r="J6721" s="215" t="str">
        <f>IF(Table2[[#This Row],[Description]]="","",Table2[[#This Row],[Value]]/Table2[[#This Row],[Conversion]])</f>
        <v/>
      </c>
      <c r="K6721" s="45" t="str">
        <f>IF(Table2[[#This Row],[Description]]="","",DATE(Table2[[#This Row],[Year]],Table2[[#This Row],[Month]],1))</f>
        <v/>
      </c>
    </row>
    <row r="6722" spans="7:11" x14ac:dyDescent="0.25">
      <c r="G6722" s="1" t="str">
        <f>IF(Table2[[#This Row],[Description]]="","",VLOOKUP(Table2[[#This Row],[Description]],$Q$1:$S$101,2,FALSE))</f>
        <v/>
      </c>
      <c r="H6722" s="1" t="str">
        <f>IF(Table2[[#This Row],[Description]]="","",VLOOKUP(Table2[[#This Row],[Description]],$Q$1:$S$101,3,FALSE))</f>
        <v/>
      </c>
      <c r="I6722" s="1" t="str">
        <f>IF(Table2[[#This Row],[Description]]="","",IF(Table2[[#This Row],[Currency]]=$O$2,$P$2,HLOOKUP(Table2[[#This Row],[Date]],Funds!$C$10:$GV$11,2,FALSE)))</f>
        <v/>
      </c>
      <c r="J6722" s="215" t="str">
        <f>IF(Table2[[#This Row],[Description]]="","",Table2[[#This Row],[Value]]/Table2[[#This Row],[Conversion]])</f>
        <v/>
      </c>
      <c r="K6722" s="45" t="str">
        <f>IF(Table2[[#This Row],[Description]]="","",DATE(Table2[[#This Row],[Year]],Table2[[#This Row],[Month]],1))</f>
        <v/>
      </c>
    </row>
    <row r="6723" spans="7:11" x14ac:dyDescent="0.25">
      <c r="G6723" s="1" t="str">
        <f>IF(Table2[[#This Row],[Description]]="","",VLOOKUP(Table2[[#This Row],[Description]],$Q$1:$S$101,2,FALSE))</f>
        <v/>
      </c>
      <c r="H6723" s="1" t="str">
        <f>IF(Table2[[#This Row],[Description]]="","",VLOOKUP(Table2[[#This Row],[Description]],$Q$1:$S$101,3,FALSE))</f>
        <v/>
      </c>
      <c r="I6723" s="1" t="str">
        <f>IF(Table2[[#This Row],[Description]]="","",IF(Table2[[#This Row],[Currency]]=$O$2,$P$2,HLOOKUP(Table2[[#This Row],[Date]],Funds!$C$10:$GV$11,2,FALSE)))</f>
        <v/>
      </c>
      <c r="J6723" s="215" t="str">
        <f>IF(Table2[[#This Row],[Description]]="","",Table2[[#This Row],[Value]]/Table2[[#This Row],[Conversion]])</f>
        <v/>
      </c>
      <c r="K6723" s="45" t="str">
        <f>IF(Table2[[#This Row],[Description]]="","",DATE(Table2[[#This Row],[Year]],Table2[[#This Row],[Month]],1))</f>
        <v/>
      </c>
    </row>
    <row r="6724" spans="7:11" x14ac:dyDescent="0.25">
      <c r="G6724" s="1" t="str">
        <f>IF(Table2[[#This Row],[Description]]="","",VLOOKUP(Table2[[#This Row],[Description]],$Q$1:$S$101,2,FALSE))</f>
        <v/>
      </c>
      <c r="H6724" s="1" t="str">
        <f>IF(Table2[[#This Row],[Description]]="","",VLOOKUP(Table2[[#This Row],[Description]],$Q$1:$S$101,3,FALSE))</f>
        <v/>
      </c>
      <c r="I6724" s="1" t="str">
        <f>IF(Table2[[#This Row],[Description]]="","",IF(Table2[[#This Row],[Currency]]=$O$2,$P$2,HLOOKUP(Table2[[#This Row],[Date]],Funds!$C$10:$GV$11,2,FALSE)))</f>
        <v/>
      </c>
      <c r="J6724" s="215" t="str">
        <f>IF(Table2[[#This Row],[Description]]="","",Table2[[#This Row],[Value]]/Table2[[#This Row],[Conversion]])</f>
        <v/>
      </c>
      <c r="K6724" s="45" t="str">
        <f>IF(Table2[[#This Row],[Description]]="","",DATE(Table2[[#This Row],[Year]],Table2[[#This Row],[Month]],1))</f>
        <v/>
      </c>
    </row>
    <row r="6725" spans="7:11" x14ac:dyDescent="0.25">
      <c r="G6725" s="1" t="str">
        <f>IF(Table2[[#This Row],[Description]]="","",VLOOKUP(Table2[[#This Row],[Description]],$Q$1:$S$101,2,FALSE))</f>
        <v/>
      </c>
      <c r="H6725" s="1" t="str">
        <f>IF(Table2[[#This Row],[Description]]="","",VLOOKUP(Table2[[#This Row],[Description]],$Q$1:$S$101,3,FALSE))</f>
        <v/>
      </c>
      <c r="I6725" s="1" t="str">
        <f>IF(Table2[[#This Row],[Description]]="","",IF(Table2[[#This Row],[Currency]]=$O$2,$P$2,HLOOKUP(Table2[[#This Row],[Date]],Funds!$C$10:$GV$11,2,FALSE)))</f>
        <v/>
      </c>
      <c r="J6725" s="215" t="str">
        <f>IF(Table2[[#This Row],[Description]]="","",Table2[[#This Row],[Value]]/Table2[[#This Row],[Conversion]])</f>
        <v/>
      </c>
      <c r="K6725" s="45" t="str">
        <f>IF(Table2[[#This Row],[Description]]="","",DATE(Table2[[#This Row],[Year]],Table2[[#This Row],[Month]],1))</f>
        <v/>
      </c>
    </row>
    <row r="6726" spans="7:11" x14ac:dyDescent="0.25">
      <c r="G6726" s="1" t="str">
        <f>IF(Table2[[#This Row],[Description]]="","",VLOOKUP(Table2[[#This Row],[Description]],$Q$1:$S$101,2,FALSE))</f>
        <v/>
      </c>
      <c r="H6726" s="1" t="str">
        <f>IF(Table2[[#This Row],[Description]]="","",VLOOKUP(Table2[[#This Row],[Description]],$Q$1:$S$101,3,FALSE))</f>
        <v/>
      </c>
      <c r="I6726" s="1" t="str">
        <f>IF(Table2[[#This Row],[Description]]="","",IF(Table2[[#This Row],[Currency]]=$O$2,$P$2,HLOOKUP(Table2[[#This Row],[Date]],Funds!$C$10:$GV$11,2,FALSE)))</f>
        <v/>
      </c>
      <c r="J6726" s="215" t="str">
        <f>IF(Table2[[#This Row],[Description]]="","",Table2[[#This Row],[Value]]/Table2[[#This Row],[Conversion]])</f>
        <v/>
      </c>
      <c r="K6726" s="45" t="str">
        <f>IF(Table2[[#This Row],[Description]]="","",DATE(Table2[[#This Row],[Year]],Table2[[#This Row],[Month]],1))</f>
        <v/>
      </c>
    </row>
    <row r="6727" spans="7:11" x14ac:dyDescent="0.25">
      <c r="G6727" s="1" t="str">
        <f>IF(Table2[[#This Row],[Description]]="","",VLOOKUP(Table2[[#This Row],[Description]],$Q$1:$S$101,2,FALSE))</f>
        <v/>
      </c>
      <c r="H6727" s="1" t="str">
        <f>IF(Table2[[#This Row],[Description]]="","",VLOOKUP(Table2[[#This Row],[Description]],$Q$1:$S$101,3,FALSE))</f>
        <v/>
      </c>
      <c r="I6727" s="1" t="str">
        <f>IF(Table2[[#This Row],[Description]]="","",IF(Table2[[#This Row],[Currency]]=$O$2,$P$2,HLOOKUP(Table2[[#This Row],[Date]],Funds!$C$10:$GV$11,2,FALSE)))</f>
        <v/>
      </c>
      <c r="J6727" s="215" t="str">
        <f>IF(Table2[[#This Row],[Description]]="","",Table2[[#This Row],[Value]]/Table2[[#This Row],[Conversion]])</f>
        <v/>
      </c>
      <c r="K6727" s="45" t="str">
        <f>IF(Table2[[#This Row],[Description]]="","",DATE(Table2[[#This Row],[Year]],Table2[[#This Row],[Month]],1))</f>
        <v/>
      </c>
    </row>
    <row r="6728" spans="7:11" x14ac:dyDescent="0.25">
      <c r="G6728" s="1" t="str">
        <f>IF(Table2[[#This Row],[Description]]="","",VLOOKUP(Table2[[#This Row],[Description]],$Q$1:$S$101,2,FALSE))</f>
        <v/>
      </c>
      <c r="H6728" s="1" t="str">
        <f>IF(Table2[[#This Row],[Description]]="","",VLOOKUP(Table2[[#This Row],[Description]],$Q$1:$S$101,3,FALSE))</f>
        <v/>
      </c>
      <c r="I6728" s="1" t="str">
        <f>IF(Table2[[#This Row],[Description]]="","",IF(Table2[[#This Row],[Currency]]=$O$2,$P$2,HLOOKUP(Table2[[#This Row],[Date]],Funds!$C$10:$GV$11,2,FALSE)))</f>
        <v/>
      </c>
      <c r="J6728" s="215" t="str">
        <f>IF(Table2[[#This Row],[Description]]="","",Table2[[#This Row],[Value]]/Table2[[#This Row],[Conversion]])</f>
        <v/>
      </c>
      <c r="K6728" s="45" t="str">
        <f>IF(Table2[[#This Row],[Description]]="","",DATE(Table2[[#This Row],[Year]],Table2[[#This Row],[Month]],1))</f>
        <v/>
      </c>
    </row>
    <row r="6729" spans="7:11" x14ac:dyDescent="0.25">
      <c r="G6729" s="1" t="str">
        <f>IF(Table2[[#This Row],[Description]]="","",VLOOKUP(Table2[[#This Row],[Description]],$Q$1:$S$101,2,FALSE))</f>
        <v/>
      </c>
      <c r="H6729" s="1" t="str">
        <f>IF(Table2[[#This Row],[Description]]="","",VLOOKUP(Table2[[#This Row],[Description]],$Q$1:$S$101,3,FALSE))</f>
        <v/>
      </c>
      <c r="I6729" s="1" t="str">
        <f>IF(Table2[[#This Row],[Description]]="","",IF(Table2[[#This Row],[Currency]]=$O$2,$P$2,HLOOKUP(Table2[[#This Row],[Date]],Funds!$C$10:$GV$11,2,FALSE)))</f>
        <v/>
      </c>
      <c r="J6729" s="215" t="str">
        <f>IF(Table2[[#This Row],[Description]]="","",Table2[[#This Row],[Value]]/Table2[[#This Row],[Conversion]])</f>
        <v/>
      </c>
      <c r="K6729" s="45" t="str">
        <f>IF(Table2[[#This Row],[Description]]="","",DATE(Table2[[#This Row],[Year]],Table2[[#This Row],[Month]],1))</f>
        <v/>
      </c>
    </row>
    <row r="6730" spans="7:11" x14ac:dyDescent="0.25">
      <c r="G6730" s="1" t="str">
        <f>IF(Table2[[#This Row],[Description]]="","",VLOOKUP(Table2[[#This Row],[Description]],$Q$1:$S$101,2,FALSE))</f>
        <v/>
      </c>
      <c r="H6730" s="1" t="str">
        <f>IF(Table2[[#This Row],[Description]]="","",VLOOKUP(Table2[[#This Row],[Description]],$Q$1:$S$101,3,FALSE))</f>
        <v/>
      </c>
      <c r="I6730" s="1" t="str">
        <f>IF(Table2[[#This Row],[Description]]="","",IF(Table2[[#This Row],[Currency]]=$O$2,$P$2,HLOOKUP(Table2[[#This Row],[Date]],Funds!$C$10:$GV$11,2,FALSE)))</f>
        <v/>
      </c>
      <c r="J6730" s="215" t="str">
        <f>IF(Table2[[#This Row],[Description]]="","",Table2[[#This Row],[Value]]/Table2[[#This Row],[Conversion]])</f>
        <v/>
      </c>
      <c r="K6730" s="45" t="str">
        <f>IF(Table2[[#This Row],[Description]]="","",DATE(Table2[[#This Row],[Year]],Table2[[#This Row],[Month]],1))</f>
        <v/>
      </c>
    </row>
    <row r="6731" spans="7:11" x14ac:dyDescent="0.25">
      <c r="G6731" s="1" t="str">
        <f>IF(Table2[[#This Row],[Description]]="","",VLOOKUP(Table2[[#This Row],[Description]],$Q$1:$S$101,2,FALSE))</f>
        <v/>
      </c>
      <c r="H6731" s="1" t="str">
        <f>IF(Table2[[#This Row],[Description]]="","",VLOOKUP(Table2[[#This Row],[Description]],$Q$1:$S$101,3,FALSE))</f>
        <v/>
      </c>
      <c r="I6731" s="1" t="str">
        <f>IF(Table2[[#This Row],[Description]]="","",IF(Table2[[#This Row],[Currency]]=$O$2,$P$2,HLOOKUP(Table2[[#This Row],[Date]],Funds!$C$10:$GV$11,2,FALSE)))</f>
        <v/>
      </c>
      <c r="J6731" s="215" t="str">
        <f>IF(Table2[[#This Row],[Description]]="","",Table2[[#This Row],[Value]]/Table2[[#This Row],[Conversion]])</f>
        <v/>
      </c>
      <c r="K6731" s="45" t="str">
        <f>IF(Table2[[#This Row],[Description]]="","",DATE(Table2[[#This Row],[Year]],Table2[[#This Row],[Month]],1))</f>
        <v/>
      </c>
    </row>
    <row r="6732" spans="7:11" x14ac:dyDescent="0.25">
      <c r="G6732" s="1" t="str">
        <f>IF(Table2[[#This Row],[Description]]="","",VLOOKUP(Table2[[#This Row],[Description]],$Q$1:$S$101,2,FALSE))</f>
        <v/>
      </c>
      <c r="H6732" s="1" t="str">
        <f>IF(Table2[[#This Row],[Description]]="","",VLOOKUP(Table2[[#This Row],[Description]],$Q$1:$S$101,3,FALSE))</f>
        <v/>
      </c>
      <c r="I6732" s="1" t="str">
        <f>IF(Table2[[#This Row],[Description]]="","",IF(Table2[[#This Row],[Currency]]=$O$2,$P$2,HLOOKUP(Table2[[#This Row],[Date]],Funds!$C$10:$GV$11,2,FALSE)))</f>
        <v/>
      </c>
      <c r="J6732" s="215" t="str">
        <f>IF(Table2[[#This Row],[Description]]="","",Table2[[#This Row],[Value]]/Table2[[#This Row],[Conversion]])</f>
        <v/>
      </c>
      <c r="K6732" s="45" t="str">
        <f>IF(Table2[[#This Row],[Description]]="","",DATE(Table2[[#This Row],[Year]],Table2[[#This Row],[Month]],1))</f>
        <v/>
      </c>
    </row>
    <row r="6733" spans="7:11" x14ac:dyDescent="0.25">
      <c r="G6733" s="1" t="str">
        <f>IF(Table2[[#This Row],[Description]]="","",VLOOKUP(Table2[[#This Row],[Description]],$Q$1:$S$101,2,FALSE))</f>
        <v/>
      </c>
      <c r="H6733" s="1" t="str">
        <f>IF(Table2[[#This Row],[Description]]="","",VLOOKUP(Table2[[#This Row],[Description]],$Q$1:$S$101,3,FALSE))</f>
        <v/>
      </c>
      <c r="I6733" s="1" t="str">
        <f>IF(Table2[[#This Row],[Description]]="","",IF(Table2[[#This Row],[Currency]]=$O$2,$P$2,HLOOKUP(Table2[[#This Row],[Date]],Funds!$C$10:$GV$11,2,FALSE)))</f>
        <v/>
      </c>
      <c r="J6733" s="215" t="str">
        <f>IF(Table2[[#This Row],[Description]]="","",Table2[[#This Row],[Value]]/Table2[[#This Row],[Conversion]])</f>
        <v/>
      </c>
      <c r="K6733" s="45" t="str">
        <f>IF(Table2[[#This Row],[Description]]="","",DATE(Table2[[#This Row],[Year]],Table2[[#This Row],[Month]],1))</f>
        <v/>
      </c>
    </row>
    <row r="6734" spans="7:11" x14ac:dyDescent="0.25">
      <c r="G6734" s="1" t="str">
        <f>IF(Table2[[#This Row],[Description]]="","",VLOOKUP(Table2[[#This Row],[Description]],$Q$1:$S$101,2,FALSE))</f>
        <v/>
      </c>
      <c r="H6734" s="1" t="str">
        <f>IF(Table2[[#This Row],[Description]]="","",VLOOKUP(Table2[[#This Row],[Description]],$Q$1:$S$101,3,FALSE))</f>
        <v/>
      </c>
      <c r="I6734" s="1" t="str">
        <f>IF(Table2[[#This Row],[Description]]="","",IF(Table2[[#This Row],[Currency]]=$O$2,$P$2,HLOOKUP(Table2[[#This Row],[Date]],Funds!$C$10:$GV$11,2,FALSE)))</f>
        <v/>
      </c>
      <c r="J6734" s="215" t="str">
        <f>IF(Table2[[#This Row],[Description]]="","",Table2[[#This Row],[Value]]/Table2[[#This Row],[Conversion]])</f>
        <v/>
      </c>
      <c r="K6734" s="45" t="str">
        <f>IF(Table2[[#This Row],[Description]]="","",DATE(Table2[[#This Row],[Year]],Table2[[#This Row],[Month]],1))</f>
        <v/>
      </c>
    </row>
    <row r="6735" spans="7:11" x14ac:dyDescent="0.25">
      <c r="G6735" s="1" t="str">
        <f>IF(Table2[[#This Row],[Description]]="","",VLOOKUP(Table2[[#This Row],[Description]],$Q$1:$S$101,2,FALSE))</f>
        <v/>
      </c>
      <c r="H6735" s="1" t="str">
        <f>IF(Table2[[#This Row],[Description]]="","",VLOOKUP(Table2[[#This Row],[Description]],$Q$1:$S$101,3,FALSE))</f>
        <v/>
      </c>
      <c r="I6735" s="1" t="str">
        <f>IF(Table2[[#This Row],[Description]]="","",IF(Table2[[#This Row],[Currency]]=$O$2,$P$2,HLOOKUP(Table2[[#This Row],[Date]],Funds!$C$10:$GV$11,2,FALSE)))</f>
        <v/>
      </c>
      <c r="J6735" s="215" t="str">
        <f>IF(Table2[[#This Row],[Description]]="","",Table2[[#This Row],[Value]]/Table2[[#This Row],[Conversion]])</f>
        <v/>
      </c>
      <c r="K6735" s="45" t="str">
        <f>IF(Table2[[#This Row],[Description]]="","",DATE(Table2[[#This Row],[Year]],Table2[[#This Row],[Month]],1))</f>
        <v/>
      </c>
    </row>
    <row r="6736" spans="7:11" x14ac:dyDescent="0.25">
      <c r="G6736" s="1" t="str">
        <f>IF(Table2[[#This Row],[Description]]="","",VLOOKUP(Table2[[#This Row],[Description]],$Q$1:$S$101,2,FALSE))</f>
        <v/>
      </c>
      <c r="H6736" s="1" t="str">
        <f>IF(Table2[[#This Row],[Description]]="","",VLOOKUP(Table2[[#This Row],[Description]],$Q$1:$S$101,3,FALSE))</f>
        <v/>
      </c>
      <c r="I6736" s="1" t="str">
        <f>IF(Table2[[#This Row],[Description]]="","",IF(Table2[[#This Row],[Currency]]=$O$2,$P$2,HLOOKUP(Table2[[#This Row],[Date]],Funds!$C$10:$GV$11,2,FALSE)))</f>
        <v/>
      </c>
      <c r="J6736" s="215" t="str">
        <f>IF(Table2[[#This Row],[Description]]="","",Table2[[#This Row],[Value]]/Table2[[#This Row],[Conversion]])</f>
        <v/>
      </c>
      <c r="K6736" s="45" t="str">
        <f>IF(Table2[[#This Row],[Description]]="","",DATE(Table2[[#This Row],[Year]],Table2[[#This Row],[Month]],1))</f>
        <v/>
      </c>
    </row>
    <row r="6737" spans="7:11" x14ac:dyDescent="0.25">
      <c r="G6737" s="1" t="str">
        <f>IF(Table2[[#This Row],[Description]]="","",VLOOKUP(Table2[[#This Row],[Description]],$Q$1:$S$101,2,FALSE))</f>
        <v/>
      </c>
      <c r="H6737" s="1" t="str">
        <f>IF(Table2[[#This Row],[Description]]="","",VLOOKUP(Table2[[#This Row],[Description]],$Q$1:$S$101,3,FALSE))</f>
        <v/>
      </c>
      <c r="I6737" s="1" t="str">
        <f>IF(Table2[[#This Row],[Description]]="","",IF(Table2[[#This Row],[Currency]]=$O$2,$P$2,HLOOKUP(Table2[[#This Row],[Date]],Funds!$C$10:$GV$11,2,FALSE)))</f>
        <v/>
      </c>
      <c r="J6737" s="215" t="str">
        <f>IF(Table2[[#This Row],[Description]]="","",Table2[[#This Row],[Value]]/Table2[[#This Row],[Conversion]])</f>
        <v/>
      </c>
      <c r="K6737" s="45" t="str">
        <f>IF(Table2[[#This Row],[Description]]="","",DATE(Table2[[#This Row],[Year]],Table2[[#This Row],[Month]],1))</f>
        <v/>
      </c>
    </row>
    <row r="6738" spans="7:11" x14ac:dyDescent="0.25">
      <c r="G6738" s="1" t="str">
        <f>IF(Table2[[#This Row],[Description]]="","",VLOOKUP(Table2[[#This Row],[Description]],$Q$1:$S$101,2,FALSE))</f>
        <v/>
      </c>
      <c r="H6738" s="1" t="str">
        <f>IF(Table2[[#This Row],[Description]]="","",VLOOKUP(Table2[[#This Row],[Description]],$Q$1:$S$101,3,FALSE))</f>
        <v/>
      </c>
      <c r="I6738" s="1" t="str">
        <f>IF(Table2[[#This Row],[Description]]="","",IF(Table2[[#This Row],[Currency]]=$O$2,$P$2,HLOOKUP(Table2[[#This Row],[Date]],Funds!$C$10:$GV$11,2,FALSE)))</f>
        <v/>
      </c>
      <c r="J6738" s="215" t="str">
        <f>IF(Table2[[#This Row],[Description]]="","",Table2[[#This Row],[Value]]/Table2[[#This Row],[Conversion]])</f>
        <v/>
      </c>
      <c r="K6738" s="45" t="str">
        <f>IF(Table2[[#This Row],[Description]]="","",DATE(Table2[[#This Row],[Year]],Table2[[#This Row],[Month]],1))</f>
        <v/>
      </c>
    </row>
    <row r="6739" spans="7:11" x14ac:dyDescent="0.25">
      <c r="G6739" s="1" t="str">
        <f>IF(Table2[[#This Row],[Description]]="","",VLOOKUP(Table2[[#This Row],[Description]],$Q$1:$S$101,2,FALSE))</f>
        <v/>
      </c>
      <c r="H6739" s="1" t="str">
        <f>IF(Table2[[#This Row],[Description]]="","",VLOOKUP(Table2[[#This Row],[Description]],$Q$1:$S$101,3,FALSE))</f>
        <v/>
      </c>
      <c r="I6739" s="1" t="str">
        <f>IF(Table2[[#This Row],[Description]]="","",IF(Table2[[#This Row],[Currency]]=$O$2,$P$2,HLOOKUP(Table2[[#This Row],[Date]],Funds!$C$10:$GV$11,2,FALSE)))</f>
        <v/>
      </c>
      <c r="J6739" s="215" t="str">
        <f>IF(Table2[[#This Row],[Description]]="","",Table2[[#This Row],[Value]]/Table2[[#This Row],[Conversion]])</f>
        <v/>
      </c>
      <c r="K6739" s="45" t="str">
        <f>IF(Table2[[#This Row],[Description]]="","",DATE(Table2[[#This Row],[Year]],Table2[[#This Row],[Month]],1))</f>
        <v/>
      </c>
    </row>
    <row r="6740" spans="7:11" x14ac:dyDescent="0.25">
      <c r="G6740" s="1" t="str">
        <f>IF(Table2[[#This Row],[Description]]="","",VLOOKUP(Table2[[#This Row],[Description]],$Q$1:$S$101,2,FALSE))</f>
        <v/>
      </c>
      <c r="H6740" s="1" t="str">
        <f>IF(Table2[[#This Row],[Description]]="","",VLOOKUP(Table2[[#This Row],[Description]],$Q$1:$S$101,3,FALSE))</f>
        <v/>
      </c>
      <c r="I6740" s="1" t="str">
        <f>IF(Table2[[#This Row],[Description]]="","",IF(Table2[[#This Row],[Currency]]=$O$2,$P$2,HLOOKUP(Table2[[#This Row],[Date]],Funds!$C$10:$GV$11,2,FALSE)))</f>
        <v/>
      </c>
      <c r="J6740" s="215" t="str">
        <f>IF(Table2[[#This Row],[Description]]="","",Table2[[#This Row],[Value]]/Table2[[#This Row],[Conversion]])</f>
        <v/>
      </c>
      <c r="K6740" s="45" t="str">
        <f>IF(Table2[[#This Row],[Description]]="","",DATE(Table2[[#This Row],[Year]],Table2[[#This Row],[Month]],1))</f>
        <v/>
      </c>
    </row>
    <row r="6741" spans="7:11" x14ac:dyDescent="0.25">
      <c r="G6741" s="1" t="str">
        <f>IF(Table2[[#This Row],[Description]]="","",VLOOKUP(Table2[[#This Row],[Description]],$Q$1:$S$101,2,FALSE))</f>
        <v/>
      </c>
      <c r="H6741" s="1" t="str">
        <f>IF(Table2[[#This Row],[Description]]="","",VLOOKUP(Table2[[#This Row],[Description]],$Q$1:$S$101,3,FALSE))</f>
        <v/>
      </c>
      <c r="I6741" s="1" t="str">
        <f>IF(Table2[[#This Row],[Description]]="","",IF(Table2[[#This Row],[Currency]]=$O$2,$P$2,HLOOKUP(Table2[[#This Row],[Date]],Funds!$C$10:$GV$11,2,FALSE)))</f>
        <v/>
      </c>
      <c r="J6741" s="215" t="str">
        <f>IF(Table2[[#This Row],[Description]]="","",Table2[[#This Row],[Value]]/Table2[[#This Row],[Conversion]])</f>
        <v/>
      </c>
      <c r="K6741" s="45" t="str">
        <f>IF(Table2[[#This Row],[Description]]="","",DATE(Table2[[#This Row],[Year]],Table2[[#This Row],[Month]],1))</f>
        <v/>
      </c>
    </row>
    <row r="6742" spans="7:11" x14ac:dyDescent="0.25">
      <c r="G6742" s="1" t="str">
        <f>IF(Table2[[#This Row],[Description]]="","",VLOOKUP(Table2[[#This Row],[Description]],$Q$1:$S$101,2,FALSE))</f>
        <v/>
      </c>
      <c r="H6742" s="1" t="str">
        <f>IF(Table2[[#This Row],[Description]]="","",VLOOKUP(Table2[[#This Row],[Description]],$Q$1:$S$101,3,FALSE))</f>
        <v/>
      </c>
      <c r="I6742" s="1" t="str">
        <f>IF(Table2[[#This Row],[Description]]="","",IF(Table2[[#This Row],[Currency]]=$O$2,$P$2,HLOOKUP(Table2[[#This Row],[Date]],Funds!$C$10:$GV$11,2,FALSE)))</f>
        <v/>
      </c>
      <c r="J6742" s="215" t="str">
        <f>IF(Table2[[#This Row],[Description]]="","",Table2[[#This Row],[Value]]/Table2[[#This Row],[Conversion]])</f>
        <v/>
      </c>
      <c r="K6742" s="45" t="str">
        <f>IF(Table2[[#This Row],[Description]]="","",DATE(Table2[[#This Row],[Year]],Table2[[#This Row],[Month]],1))</f>
        <v/>
      </c>
    </row>
    <row r="6743" spans="7:11" x14ac:dyDescent="0.25">
      <c r="G6743" s="1" t="str">
        <f>IF(Table2[[#This Row],[Description]]="","",VLOOKUP(Table2[[#This Row],[Description]],$Q$1:$S$101,2,FALSE))</f>
        <v/>
      </c>
      <c r="H6743" s="1" t="str">
        <f>IF(Table2[[#This Row],[Description]]="","",VLOOKUP(Table2[[#This Row],[Description]],$Q$1:$S$101,3,FALSE))</f>
        <v/>
      </c>
      <c r="I6743" s="1" t="str">
        <f>IF(Table2[[#This Row],[Description]]="","",IF(Table2[[#This Row],[Currency]]=$O$2,$P$2,HLOOKUP(Table2[[#This Row],[Date]],Funds!$C$10:$GV$11,2,FALSE)))</f>
        <v/>
      </c>
      <c r="J6743" s="215" t="str">
        <f>IF(Table2[[#This Row],[Description]]="","",Table2[[#This Row],[Value]]/Table2[[#This Row],[Conversion]])</f>
        <v/>
      </c>
      <c r="K6743" s="45" t="str">
        <f>IF(Table2[[#This Row],[Description]]="","",DATE(Table2[[#This Row],[Year]],Table2[[#This Row],[Month]],1))</f>
        <v/>
      </c>
    </row>
    <row r="6744" spans="7:11" x14ac:dyDescent="0.25">
      <c r="G6744" s="1" t="str">
        <f>IF(Table2[[#This Row],[Description]]="","",VLOOKUP(Table2[[#This Row],[Description]],$Q$1:$S$101,2,FALSE))</f>
        <v/>
      </c>
      <c r="H6744" s="1" t="str">
        <f>IF(Table2[[#This Row],[Description]]="","",VLOOKUP(Table2[[#This Row],[Description]],$Q$1:$S$101,3,FALSE))</f>
        <v/>
      </c>
      <c r="I6744" s="1" t="str">
        <f>IF(Table2[[#This Row],[Description]]="","",IF(Table2[[#This Row],[Currency]]=$O$2,$P$2,HLOOKUP(Table2[[#This Row],[Date]],Funds!$C$10:$GV$11,2,FALSE)))</f>
        <v/>
      </c>
      <c r="J6744" s="215" t="str">
        <f>IF(Table2[[#This Row],[Description]]="","",Table2[[#This Row],[Value]]/Table2[[#This Row],[Conversion]])</f>
        <v/>
      </c>
      <c r="K6744" s="45" t="str">
        <f>IF(Table2[[#This Row],[Description]]="","",DATE(Table2[[#This Row],[Year]],Table2[[#This Row],[Month]],1))</f>
        <v/>
      </c>
    </row>
    <row r="6745" spans="7:11" x14ac:dyDescent="0.25">
      <c r="G6745" s="1" t="str">
        <f>IF(Table2[[#This Row],[Description]]="","",VLOOKUP(Table2[[#This Row],[Description]],$Q$1:$S$101,2,FALSE))</f>
        <v/>
      </c>
      <c r="H6745" s="1" t="str">
        <f>IF(Table2[[#This Row],[Description]]="","",VLOOKUP(Table2[[#This Row],[Description]],$Q$1:$S$101,3,FALSE))</f>
        <v/>
      </c>
      <c r="I6745" s="1" t="str">
        <f>IF(Table2[[#This Row],[Description]]="","",IF(Table2[[#This Row],[Currency]]=$O$2,$P$2,HLOOKUP(Table2[[#This Row],[Date]],Funds!$C$10:$GV$11,2,FALSE)))</f>
        <v/>
      </c>
      <c r="J6745" s="215" t="str">
        <f>IF(Table2[[#This Row],[Description]]="","",Table2[[#This Row],[Value]]/Table2[[#This Row],[Conversion]])</f>
        <v/>
      </c>
      <c r="K6745" s="45" t="str">
        <f>IF(Table2[[#This Row],[Description]]="","",DATE(Table2[[#This Row],[Year]],Table2[[#This Row],[Month]],1))</f>
        <v/>
      </c>
    </row>
    <row r="6746" spans="7:11" x14ac:dyDescent="0.25">
      <c r="G6746" s="1" t="str">
        <f>IF(Table2[[#This Row],[Description]]="","",VLOOKUP(Table2[[#This Row],[Description]],$Q$1:$S$101,2,FALSE))</f>
        <v/>
      </c>
      <c r="H6746" s="1" t="str">
        <f>IF(Table2[[#This Row],[Description]]="","",VLOOKUP(Table2[[#This Row],[Description]],$Q$1:$S$101,3,FALSE))</f>
        <v/>
      </c>
      <c r="I6746" s="1" t="str">
        <f>IF(Table2[[#This Row],[Description]]="","",IF(Table2[[#This Row],[Currency]]=$O$2,$P$2,HLOOKUP(Table2[[#This Row],[Date]],Funds!$C$10:$GV$11,2,FALSE)))</f>
        <v/>
      </c>
      <c r="J6746" s="215" t="str">
        <f>IF(Table2[[#This Row],[Description]]="","",Table2[[#This Row],[Value]]/Table2[[#This Row],[Conversion]])</f>
        <v/>
      </c>
      <c r="K6746" s="45" t="str">
        <f>IF(Table2[[#This Row],[Description]]="","",DATE(Table2[[#This Row],[Year]],Table2[[#This Row],[Month]],1))</f>
        <v/>
      </c>
    </row>
    <row r="6747" spans="7:11" x14ac:dyDescent="0.25">
      <c r="G6747" s="1" t="str">
        <f>IF(Table2[[#This Row],[Description]]="","",VLOOKUP(Table2[[#This Row],[Description]],$Q$1:$S$101,2,FALSE))</f>
        <v/>
      </c>
      <c r="H6747" s="1" t="str">
        <f>IF(Table2[[#This Row],[Description]]="","",VLOOKUP(Table2[[#This Row],[Description]],$Q$1:$S$101,3,FALSE))</f>
        <v/>
      </c>
      <c r="I6747" s="1" t="str">
        <f>IF(Table2[[#This Row],[Description]]="","",IF(Table2[[#This Row],[Currency]]=$O$2,$P$2,HLOOKUP(Table2[[#This Row],[Date]],Funds!$C$10:$GV$11,2,FALSE)))</f>
        <v/>
      </c>
      <c r="J6747" s="215" t="str">
        <f>IF(Table2[[#This Row],[Description]]="","",Table2[[#This Row],[Value]]/Table2[[#This Row],[Conversion]])</f>
        <v/>
      </c>
      <c r="K6747" s="45" t="str">
        <f>IF(Table2[[#This Row],[Description]]="","",DATE(Table2[[#This Row],[Year]],Table2[[#This Row],[Month]],1))</f>
        <v/>
      </c>
    </row>
    <row r="6748" spans="7:11" x14ac:dyDescent="0.25">
      <c r="G6748" s="1" t="str">
        <f>IF(Table2[[#This Row],[Description]]="","",VLOOKUP(Table2[[#This Row],[Description]],$Q$1:$S$101,2,FALSE))</f>
        <v/>
      </c>
      <c r="H6748" s="1" t="str">
        <f>IF(Table2[[#This Row],[Description]]="","",VLOOKUP(Table2[[#This Row],[Description]],$Q$1:$S$101,3,FALSE))</f>
        <v/>
      </c>
      <c r="I6748" s="1" t="str">
        <f>IF(Table2[[#This Row],[Description]]="","",IF(Table2[[#This Row],[Currency]]=$O$2,$P$2,HLOOKUP(Table2[[#This Row],[Date]],Funds!$C$10:$GV$11,2,FALSE)))</f>
        <v/>
      </c>
      <c r="J6748" s="215" t="str">
        <f>IF(Table2[[#This Row],[Description]]="","",Table2[[#This Row],[Value]]/Table2[[#This Row],[Conversion]])</f>
        <v/>
      </c>
      <c r="K6748" s="45" t="str">
        <f>IF(Table2[[#This Row],[Description]]="","",DATE(Table2[[#This Row],[Year]],Table2[[#This Row],[Month]],1))</f>
        <v/>
      </c>
    </row>
    <row r="6749" spans="7:11" x14ac:dyDescent="0.25">
      <c r="G6749" s="1" t="str">
        <f>IF(Table2[[#This Row],[Description]]="","",VLOOKUP(Table2[[#This Row],[Description]],$Q$1:$S$101,2,FALSE))</f>
        <v/>
      </c>
      <c r="H6749" s="1" t="str">
        <f>IF(Table2[[#This Row],[Description]]="","",VLOOKUP(Table2[[#This Row],[Description]],$Q$1:$S$101,3,FALSE))</f>
        <v/>
      </c>
      <c r="I6749" s="1" t="str">
        <f>IF(Table2[[#This Row],[Description]]="","",IF(Table2[[#This Row],[Currency]]=$O$2,$P$2,HLOOKUP(Table2[[#This Row],[Date]],Funds!$C$10:$GV$11,2,FALSE)))</f>
        <v/>
      </c>
      <c r="J6749" s="215" t="str">
        <f>IF(Table2[[#This Row],[Description]]="","",Table2[[#This Row],[Value]]/Table2[[#This Row],[Conversion]])</f>
        <v/>
      </c>
      <c r="K6749" s="45" t="str">
        <f>IF(Table2[[#This Row],[Description]]="","",DATE(Table2[[#This Row],[Year]],Table2[[#This Row],[Month]],1))</f>
        <v/>
      </c>
    </row>
    <row r="6750" spans="7:11" x14ac:dyDescent="0.25">
      <c r="G6750" s="1" t="str">
        <f>IF(Table2[[#This Row],[Description]]="","",VLOOKUP(Table2[[#This Row],[Description]],$Q$1:$S$101,2,FALSE))</f>
        <v/>
      </c>
      <c r="H6750" s="1" t="str">
        <f>IF(Table2[[#This Row],[Description]]="","",VLOOKUP(Table2[[#This Row],[Description]],$Q$1:$S$101,3,FALSE))</f>
        <v/>
      </c>
      <c r="I6750" s="1" t="str">
        <f>IF(Table2[[#This Row],[Description]]="","",IF(Table2[[#This Row],[Currency]]=$O$2,$P$2,HLOOKUP(Table2[[#This Row],[Date]],Funds!$C$10:$GV$11,2,FALSE)))</f>
        <v/>
      </c>
      <c r="J6750" s="215" t="str">
        <f>IF(Table2[[#This Row],[Description]]="","",Table2[[#This Row],[Value]]/Table2[[#This Row],[Conversion]])</f>
        <v/>
      </c>
      <c r="K6750" s="45" t="str">
        <f>IF(Table2[[#This Row],[Description]]="","",DATE(Table2[[#This Row],[Year]],Table2[[#This Row],[Month]],1))</f>
        <v/>
      </c>
    </row>
    <row r="6751" spans="7:11" x14ac:dyDescent="0.25">
      <c r="G6751" s="1" t="str">
        <f>IF(Table2[[#This Row],[Description]]="","",VLOOKUP(Table2[[#This Row],[Description]],$Q$1:$S$101,2,FALSE))</f>
        <v/>
      </c>
      <c r="H6751" s="1" t="str">
        <f>IF(Table2[[#This Row],[Description]]="","",VLOOKUP(Table2[[#This Row],[Description]],$Q$1:$S$101,3,FALSE))</f>
        <v/>
      </c>
      <c r="I6751" s="1" t="str">
        <f>IF(Table2[[#This Row],[Description]]="","",IF(Table2[[#This Row],[Currency]]=$O$2,$P$2,HLOOKUP(Table2[[#This Row],[Date]],Funds!$C$10:$GV$11,2,FALSE)))</f>
        <v/>
      </c>
      <c r="J6751" s="215" t="str">
        <f>IF(Table2[[#This Row],[Description]]="","",Table2[[#This Row],[Value]]/Table2[[#This Row],[Conversion]])</f>
        <v/>
      </c>
      <c r="K6751" s="45" t="str">
        <f>IF(Table2[[#This Row],[Description]]="","",DATE(Table2[[#This Row],[Year]],Table2[[#This Row],[Month]],1))</f>
        <v/>
      </c>
    </row>
    <row r="6752" spans="7:11" x14ac:dyDescent="0.25">
      <c r="G6752" s="1" t="str">
        <f>IF(Table2[[#This Row],[Description]]="","",VLOOKUP(Table2[[#This Row],[Description]],$Q$1:$S$101,2,FALSE))</f>
        <v/>
      </c>
      <c r="H6752" s="1" t="str">
        <f>IF(Table2[[#This Row],[Description]]="","",VLOOKUP(Table2[[#This Row],[Description]],$Q$1:$S$101,3,FALSE))</f>
        <v/>
      </c>
      <c r="I6752" s="1" t="str">
        <f>IF(Table2[[#This Row],[Description]]="","",IF(Table2[[#This Row],[Currency]]=$O$2,$P$2,HLOOKUP(Table2[[#This Row],[Date]],Funds!$C$10:$GV$11,2,FALSE)))</f>
        <v/>
      </c>
      <c r="J6752" s="215" t="str">
        <f>IF(Table2[[#This Row],[Description]]="","",Table2[[#This Row],[Value]]/Table2[[#This Row],[Conversion]])</f>
        <v/>
      </c>
      <c r="K6752" s="45" t="str">
        <f>IF(Table2[[#This Row],[Description]]="","",DATE(Table2[[#This Row],[Year]],Table2[[#This Row],[Month]],1))</f>
        <v/>
      </c>
    </row>
    <row r="6753" spans="7:11" x14ac:dyDescent="0.25">
      <c r="G6753" s="1" t="str">
        <f>IF(Table2[[#This Row],[Description]]="","",VLOOKUP(Table2[[#This Row],[Description]],$Q$1:$S$101,2,FALSE))</f>
        <v/>
      </c>
      <c r="H6753" s="1" t="str">
        <f>IF(Table2[[#This Row],[Description]]="","",VLOOKUP(Table2[[#This Row],[Description]],$Q$1:$S$101,3,FALSE))</f>
        <v/>
      </c>
      <c r="I6753" s="1" t="str">
        <f>IF(Table2[[#This Row],[Description]]="","",IF(Table2[[#This Row],[Currency]]=$O$2,$P$2,HLOOKUP(Table2[[#This Row],[Date]],Funds!$C$10:$GV$11,2,FALSE)))</f>
        <v/>
      </c>
      <c r="J6753" s="215" t="str">
        <f>IF(Table2[[#This Row],[Description]]="","",Table2[[#This Row],[Value]]/Table2[[#This Row],[Conversion]])</f>
        <v/>
      </c>
      <c r="K6753" s="45" t="str">
        <f>IF(Table2[[#This Row],[Description]]="","",DATE(Table2[[#This Row],[Year]],Table2[[#This Row],[Month]],1))</f>
        <v/>
      </c>
    </row>
    <row r="6754" spans="7:11" x14ac:dyDescent="0.25">
      <c r="G6754" s="1" t="str">
        <f>IF(Table2[[#This Row],[Description]]="","",VLOOKUP(Table2[[#This Row],[Description]],$Q$1:$S$101,2,FALSE))</f>
        <v/>
      </c>
      <c r="H6754" s="1" t="str">
        <f>IF(Table2[[#This Row],[Description]]="","",VLOOKUP(Table2[[#This Row],[Description]],$Q$1:$S$101,3,FALSE))</f>
        <v/>
      </c>
      <c r="I6754" s="1" t="str">
        <f>IF(Table2[[#This Row],[Description]]="","",IF(Table2[[#This Row],[Currency]]=$O$2,$P$2,HLOOKUP(Table2[[#This Row],[Date]],Funds!$C$10:$GV$11,2,FALSE)))</f>
        <v/>
      </c>
      <c r="J6754" s="215" t="str">
        <f>IF(Table2[[#This Row],[Description]]="","",Table2[[#This Row],[Value]]/Table2[[#This Row],[Conversion]])</f>
        <v/>
      </c>
      <c r="K6754" s="45" t="str">
        <f>IF(Table2[[#This Row],[Description]]="","",DATE(Table2[[#This Row],[Year]],Table2[[#This Row],[Month]],1))</f>
        <v/>
      </c>
    </row>
    <row r="6755" spans="7:11" x14ac:dyDescent="0.25">
      <c r="G6755" s="1" t="str">
        <f>IF(Table2[[#This Row],[Description]]="","",VLOOKUP(Table2[[#This Row],[Description]],$Q$1:$S$101,2,FALSE))</f>
        <v/>
      </c>
      <c r="H6755" s="1" t="str">
        <f>IF(Table2[[#This Row],[Description]]="","",VLOOKUP(Table2[[#This Row],[Description]],$Q$1:$S$101,3,FALSE))</f>
        <v/>
      </c>
      <c r="I6755" s="1" t="str">
        <f>IF(Table2[[#This Row],[Description]]="","",IF(Table2[[#This Row],[Currency]]=$O$2,$P$2,HLOOKUP(Table2[[#This Row],[Date]],Funds!$C$10:$GV$11,2,FALSE)))</f>
        <v/>
      </c>
      <c r="J6755" s="215" t="str">
        <f>IF(Table2[[#This Row],[Description]]="","",Table2[[#This Row],[Value]]/Table2[[#This Row],[Conversion]])</f>
        <v/>
      </c>
      <c r="K6755" s="45" t="str">
        <f>IF(Table2[[#This Row],[Description]]="","",DATE(Table2[[#This Row],[Year]],Table2[[#This Row],[Month]],1))</f>
        <v/>
      </c>
    </row>
    <row r="6756" spans="7:11" x14ac:dyDescent="0.25">
      <c r="G6756" s="1" t="str">
        <f>IF(Table2[[#This Row],[Description]]="","",VLOOKUP(Table2[[#This Row],[Description]],$Q$1:$S$101,2,FALSE))</f>
        <v/>
      </c>
      <c r="H6756" s="1" t="str">
        <f>IF(Table2[[#This Row],[Description]]="","",VLOOKUP(Table2[[#This Row],[Description]],$Q$1:$S$101,3,FALSE))</f>
        <v/>
      </c>
      <c r="I6756" s="1" t="str">
        <f>IF(Table2[[#This Row],[Description]]="","",IF(Table2[[#This Row],[Currency]]=$O$2,$P$2,HLOOKUP(Table2[[#This Row],[Date]],Funds!$C$10:$GV$11,2,FALSE)))</f>
        <v/>
      </c>
      <c r="J6756" s="215" t="str">
        <f>IF(Table2[[#This Row],[Description]]="","",Table2[[#This Row],[Value]]/Table2[[#This Row],[Conversion]])</f>
        <v/>
      </c>
      <c r="K6756" s="45" t="str">
        <f>IF(Table2[[#This Row],[Description]]="","",DATE(Table2[[#This Row],[Year]],Table2[[#This Row],[Month]],1))</f>
        <v/>
      </c>
    </row>
    <row r="6757" spans="7:11" x14ac:dyDescent="0.25">
      <c r="G6757" s="1" t="str">
        <f>IF(Table2[[#This Row],[Description]]="","",VLOOKUP(Table2[[#This Row],[Description]],$Q$1:$S$101,2,FALSE))</f>
        <v/>
      </c>
      <c r="H6757" s="1" t="str">
        <f>IF(Table2[[#This Row],[Description]]="","",VLOOKUP(Table2[[#This Row],[Description]],$Q$1:$S$101,3,FALSE))</f>
        <v/>
      </c>
      <c r="I6757" s="1" t="str">
        <f>IF(Table2[[#This Row],[Description]]="","",IF(Table2[[#This Row],[Currency]]=$O$2,$P$2,HLOOKUP(Table2[[#This Row],[Date]],Funds!$C$10:$GV$11,2,FALSE)))</f>
        <v/>
      </c>
      <c r="J6757" s="215" t="str">
        <f>IF(Table2[[#This Row],[Description]]="","",Table2[[#This Row],[Value]]/Table2[[#This Row],[Conversion]])</f>
        <v/>
      </c>
      <c r="K6757" s="45" t="str">
        <f>IF(Table2[[#This Row],[Description]]="","",DATE(Table2[[#This Row],[Year]],Table2[[#This Row],[Month]],1))</f>
        <v/>
      </c>
    </row>
    <row r="6758" spans="7:11" x14ac:dyDescent="0.25">
      <c r="G6758" s="1" t="str">
        <f>IF(Table2[[#This Row],[Description]]="","",VLOOKUP(Table2[[#This Row],[Description]],$Q$1:$S$101,2,FALSE))</f>
        <v/>
      </c>
      <c r="H6758" s="1" t="str">
        <f>IF(Table2[[#This Row],[Description]]="","",VLOOKUP(Table2[[#This Row],[Description]],$Q$1:$S$101,3,FALSE))</f>
        <v/>
      </c>
      <c r="I6758" s="1" t="str">
        <f>IF(Table2[[#This Row],[Description]]="","",IF(Table2[[#This Row],[Currency]]=$O$2,$P$2,HLOOKUP(Table2[[#This Row],[Date]],Funds!$C$10:$GV$11,2,FALSE)))</f>
        <v/>
      </c>
      <c r="J6758" s="215" t="str">
        <f>IF(Table2[[#This Row],[Description]]="","",Table2[[#This Row],[Value]]/Table2[[#This Row],[Conversion]])</f>
        <v/>
      </c>
      <c r="K6758" s="45" t="str">
        <f>IF(Table2[[#This Row],[Description]]="","",DATE(Table2[[#This Row],[Year]],Table2[[#This Row],[Month]],1))</f>
        <v/>
      </c>
    </row>
    <row r="6759" spans="7:11" x14ac:dyDescent="0.25">
      <c r="G6759" s="1" t="str">
        <f>IF(Table2[[#This Row],[Description]]="","",VLOOKUP(Table2[[#This Row],[Description]],$Q$1:$S$101,2,FALSE))</f>
        <v/>
      </c>
      <c r="H6759" s="1" t="str">
        <f>IF(Table2[[#This Row],[Description]]="","",VLOOKUP(Table2[[#This Row],[Description]],$Q$1:$S$101,3,FALSE))</f>
        <v/>
      </c>
      <c r="I6759" s="1" t="str">
        <f>IF(Table2[[#This Row],[Description]]="","",IF(Table2[[#This Row],[Currency]]=$O$2,$P$2,HLOOKUP(Table2[[#This Row],[Date]],Funds!$C$10:$GV$11,2,FALSE)))</f>
        <v/>
      </c>
      <c r="J6759" s="215" t="str">
        <f>IF(Table2[[#This Row],[Description]]="","",Table2[[#This Row],[Value]]/Table2[[#This Row],[Conversion]])</f>
        <v/>
      </c>
      <c r="K6759" s="45" t="str">
        <f>IF(Table2[[#This Row],[Description]]="","",DATE(Table2[[#This Row],[Year]],Table2[[#This Row],[Month]],1))</f>
        <v/>
      </c>
    </row>
    <row r="6760" spans="7:11" x14ac:dyDescent="0.25">
      <c r="G6760" s="1" t="str">
        <f>IF(Table2[[#This Row],[Description]]="","",VLOOKUP(Table2[[#This Row],[Description]],$Q$1:$S$101,2,FALSE))</f>
        <v/>
      </c>
      <c r="H6760" s="1" t="str">
        <f>IF(Table2[[#This Row],[Description]]="","",VLOOKUP(Table2[[#This Row],[Description]],$Q$1:$S$101,3,FALSE))</f>
        <v/>
      </c>
      <c r="I6760" s="1" t="str">
        <f>IF(Table2[[#This Row],[Description]]="","",IF(Table2[[#This Row],[Currency]]=$O$2,$P$2,HLOOKUP(Table2[[#This Row],[Date]],Funds!$C$10:$GV$11,2,FALSE)))</f>
        <v/>
      </c>
      <c r="J6760" s="215" t="str">
        <f>IF(Table2[[#This Row],[Description]]="","",Table2[[#This Row],[Value]]/Table2[[#This Row],[Conversion]])</f>
        <v/>
      </c>
      <c r="K6760" s="45" t="str">
        <f>IF(Table2[[#This Row],[Description]]="","",DATE(Table2[[#This Row],[Year]],Table2[[#This Row],[Month]],1))</f>
        <v/>
      </c>
    </row>
    <row r="6761" spans="7:11" x14ac:dyDescent="0.25">
      <c r="G6761" s="1" t="str">
        <f>IF(Table2[[#This Row],[Description]]="","",VLOOKUP(Table2[[#This Row],[Description]],$Q$1:$S$101,2,FALSE))</f>
        <v/>
      </c>
      <c r="H6761" s="1" t="str">
        <f>IF(Table2[[#This Row],[Description]]="","",VLOOKUP(Table2[[#This Row],[Description]],$Q$1:$S$101,3,FALSE))</f>
        <v/>
      </c>
      <c r="I6761" s="1" t="str">
        <f>IF(Table2[[#This Row],[Description]]="","",IF(Table2[[#This Row],[Currency]]=$O$2,$P$2,HLOOKUP(Table2[[#This Row],[Date]],Funds!$C$10:$GV$11,2,FALSE)))</f>
        <v/>
      </c>
      <c r="J6761" s="215" t="str">
        <f>IF(Table2[[#This Row],[Description]]="","",Table2[[#This Row],[Value]]/Table2[[#This Row],[Conversion]])</f>
        <v/>
      </c>
      <c r="K6761" s="45" t="str">
        <f>IF(Table2[[#This Row],[Description]]="","",DATE(Table2[[#This Row],[Year]],Table2[[#This Row],[Month]],1))</f>
        <v/>
      </c>
    </row>
    <row r="6762" spans="7:11" x14ac:dyDescent="0.25">
      <c r="G6762" s="1" t="str">
        <f>IF(Table2[[#This Row],[Description]]="","",VLOOKUP(Table2[[#This Row],[Description]],$Q$1:$S$101,2,FALSE))</f>
        <v/>
      </c>
      <c r="H6762" s="1" t="str">
        <f>IF(Table2[[#This Row],[Description]]="","",VLOOKUP(Table2[[#This Row],[Description]],$Q$1:$S$101,3,FALSE))</f>
        <v/>
      </c>
      <c r="I6762" s="1" t="str">
        <f>IF(Table2[[#This Row],[Description]]="","",IF(Table2[[#This Row],[Currency]]=$O$2,$P$2,HLOOKUP(Table2[[#This Row],[Date]],Funds!$C$10:$GV$11,2,FALSE)))</f>
        <v/>
      </c>
      <c r="J6762" s="215" t="str">
        <f>IF(Table2[[#This Row],[Description]]="","",Table2[[#This Row],[Value]]/Table2[[#This Row],[Conversion]])</f>
        <v/>
      </c>
      <c r="K6762" s="45" t="str">
        <f>IF(Table2[[#This Row],[Description]]="","",DATE(Table2[[#This Row],[Year]],Table2[[#This Row],[Month]],1))</f>
        <v/>
      </c>
    </row>
    <row r="6763" spans="7:11" x14ac:dyDescent="0.25">
      <c r="G6763" s="1" t="str">
        <f>IF(Table2[[#This Row],[Description]]="","",VLOOKUP(Table2[[#This Row],[Description]],$Q$1:$S$101,2,FALSE))</f>
        <v/>
      </c>
      <c r="H6763" s="1" t="str">
        <f>IF(Table2[[#This Row],[Description]]="","",VLOOKUP(Table2[[#This Row],[Description]],$Q$1:$S$101,3,FALSE))</f>
        <v/>
      </c>
      <c r="I6763" s="1" t="str">
        <f>IF(Table2[[#This Row],[Description]]="","",IF(Table2[[#This Row],[Currency]]=$O$2,$P$2,HLOOKUP(Table2[[#This Row],[Date]],Funds!$C$10:$GV$11,2,FALSE)))</f>
        <v/>
      </c>
      <c r="J6763" s="215" t="str">
        <f>IF(Table2[[#This Row],[Description]]="","",Table2[[#This Row],[Value]]/Table2[[#This Row],[Conversion]])</f>
        <v/>
      </c>
      <c r="K6763" s="45" t="str">
        <f>IF(Table2[[#This Row],[Description]]="","",DATE(Table2[[#This Row],[Year]],Table2[[#This Row],[Month]],1))</f>
        <v/>
      </c>
    </row>
    <row r="6764" spans="7:11" x14ac:dyDescent="0.25">
      <c r="G6764" s="1" t="str">
        <f>IF(Table2[[#This Row],[Description]]="","",VLOOKUP(Table2[[#This Row],[Description]],$Q$1:$S$101,2,FALSE))</f>
        <v/>
      </c>
      <c r="H6764" s="1" t="str">
        <f>IF(Table2[[#This Row],[Description]]="","",VLOOKUP(Table2[[#This Row],[Description]],$Q$1:$S$101,3,FALSE))</f>
        <v/>
      </c>
      <c r="I6764" s="1" t="str">
        <f>IF(Table2[[#This Row],[Description]]="","",IF(Table2[[#This Row],[Currency]]=$O$2,$P$2,HLOOKUP(Table2[[#This Row],[Date]],Funds!$C$10:$GV$11,2,FALSE)))</f>
        <v/>
      </c>
      <c r="J6764" s="215" t="str">
        <f>IF(Table2[[#This Row],[Description]]="","",Table2[[#This Row],[Value]]/Table2[[#This Row],[Conversion]])</f>
        <v/>
      </c>
      <c r="K6764" s="45" t="str">
        <f>IF(Table2[[#This Row],[Description]]="","",DATE(Table2[[#This Row],[Year]],Table2[[#This Row],[Month]],1))</f>
        <v/>
      </c>
    </row>
    <row r="6765" spans="7:11" x14ac:dyDescent="0.25">
      <c r="G6765" s="1" t="str">
        <f>IF(Table2[[#This Row],[Description]]="","",VLOOKUP(Table2[[#This Row],[Description]],$Q$1:$S$101,2,FALSE))</f>
        <v/>
      </c>
      <c r="H6765" s="1" t="str">
        <f>IF(Table2[[#This Row],[Description]]="","",VLOOKUP(Table2[[#This Row],[Description]],$Q$1:$S$101,3,FALSE))</f>
        <v/>
      </c>
      <c r="I6765" s="1" t="str">
        <f>IF(Table2[[#This Row],[Description]]="","",IF(Table2[[#This Row],[Currency]]=$O$2,$P$2,HLOOKUP(Table2[[#This Row],[Date]],Funds!$C$10:$GV$11,2,FALSE)))</f>
        <v/>
      </c>
      <c r="J6765" s="215" t="str">
        <f>IF(Table2[[#This Row],[Description]]="","",Table2[[#This Row],[Value]]/Table2[[#This Row],[Conversion]])</f>
        <v/>
      </c>
      <c r="K6765" s="45" t="str">
        <f>IF(Table2[[#This Row],[Description]]="","",DATE(Table2[[#This Row],[Year]],Table2[[#This Row],[Month]],1))</f>
        <v/>
      </c>
    </row>
    <row r="6766" spans="7:11" x14ac:dyDescent="0.25">
      <c r="G6766" s="1" t="str">
        <f>IF(Table2[[#This Row],[Description]]="","",VLOOKUP(Table2[[#This Row],[Description]],$Q$1:$S$101,2,FALSE))</f>
        <v/>
      </c>
      <c r="H6766" s="1" t="str">
        <f>IF(Table2[[#This Row],[Description]]="","",VLOOKUP(Table2[[#This Row],[Description]],$Q$1:$S$101,3,FALSE))</f>
        <v/>
      </c>
      <c r="I6766" s="1" t="str">
        <f>IF(Table2[[#This Row],[Description]]="","",IF(Table2[[#This Row],[Currency]]=$O$2,$P$2,HLOOKUP(Table2[[#This Row],[Date]],Funds!$C$10:$GV$11,2,FALSE)))</f>
        <v/>
      </c>
      <c r="J6766" s="215" t="str">
        <f>IF(Table2[[#This Row],[Description]]="","",Table2[[#This Row],[Value]]/Table2[[#This Row],[Conversion]])</f>
        <v/>
      </c>
      <c r="K6766" s="45" t="str">
        <f>IF(Table2[[#This Row],[Description]]="","",DATE(Table2[[#This Row],[Year]],Table2[[#This Row],[Month]],1))</f>
        <v/>
      </c>
    </row>
    <row r="6767" spans="7:11" x14ac:dyDescent="0.25">
      <c r="G6767" s="1" t="str">
        <f>IF(Table2[[#This Row],[Description]]="","",VLOOKUP(Table2[[#This Row],[Description]],$Q$1:$S$101,2,FALSE))</f>
        <v/>
      </c>
      <c r="H6767" s="1" t="str">
        <f>IF(Table2[[#This Row],[Description]]="","",VLOOKUP(Table2[[#This Row],[Description]],$Q$1:$S$101,3,FALSE))</f>
        <v/>
      </c>
      <c r="I6767" s="1" t="str">
        <f>IF(Table2[[#This Row],[Description]]="","",IF(Table2[[#This Row],[Currency]]=$O$2,$P$2,HLOOKUP(Table2[[#This Row],[Date]],Funds!$C$10:$GV$11,2,FALSE)))</f>
        <v/>
      </c>
      <c r="J6767" s="215" t="str">
        <f>IF(Table2[[#This Row],[Description]]="","",Table2[[#This Row],[Value]]/Table2[[#This Row],[Conversion]])</f>
        <v/>
      </c>
      <c r="K6767" s="45" t="str">
        <f>IF(Table2[[#This Row],[Description]]="","",DATE(Table2[[#This Row],[Year]],Table2[[#This Row],[Month]],1))</f>
        <v/>
      </c>
    </row>
    <row r="6768" spans="7:11" x14ac:dyDescent="0.25">
      <c r="G6768" s="1" t="str">
        <f>IF(Table2[[#This Row],[Description]]="","",VLOOKUP(Table2[[#This Row],[Description]],$Q$1:$S$101,2,FALSE))</f>
        <v/>
      </c>
      <c r="H6768" s="1" t="str">
        <f>IF(Table2[[#This Row],[Description]]="","",VLOOKUP(Table2[[#This Row],[Description]],$Q$1:$S$101,3,FALSE))</f>
        <v/>
      </c>
      <c r="I6768" s="1" t="str">
        <f>IF(Table2[[#This Row],[Description]]="","",IF(Table2[[#This Row],[Currency]]=$O$2,$P$2,HLOOKUP(Table2[[#This Row],[Date]],Funds!$C$10:$GV$11,2,FALSE)))</f>
        <v/>
      </c>
      <c r="J6768" s="215" t="str">
        <f>IF(Table2[[#This Row],[Description]]="","",Table2[[#This Row],[Value]]/Table2[[#This Row],[Conversion]])</f>
        <v/>
      </c>
      <c r="K6768" s="45" t="str">
        <f>IF(Table2[[#This Row],[Description]]="","",DATE(Table2[[#This Row],[Year]],Table2[[#This Row],[Month]],1))</f>
        <v/>
      </c>
    </row>
    <row r="6769" spans="7:11" x14ac:dyDescent="0.25">
      <c r="G6769" s="1" t="str">
        <f>IF(Table2[[#This Row],[Description]]="","",VLOOKUP(Table2[[#This Row],[Description]],$Q$1:$S$101,2,FALSE))</f>
        <v/>
      </c>
      <c r="H6769" s="1" t="str">
        <f>IF(Table2[[#This Row],[Description]]="","",VLOOKUP(Table2[[#This Row],[Description]],$Q$1:$S$101,3,FALSE))</f>
        <v/>
      </c>
      <c r="I6769" s="1" t="str">
        <f>IF(Table2[[#This Row],[Description]]="","",IF(Table2[[#This Row],[Currency]]=$O$2,$P$2,HLOOKUP(Table2[[#This Row],[Date]],Funds!$C$10:$GV$11,2,FALSE)))</f>
        <v/>
      </c>
      <c r="J6769" s="215" t="str">
        <f>IF(Table2[[#This Row],[Description]]="","",Table2[[#This Row],[Value]]/Table2[[#This Row],[Conversion]])</f>
        <v/>
      </c>
      <c r="K6769" s="45" t="str">
        <f>IF(Table2[[#This Row],[Description]]="","",DATE(Table2[[#This Row],[Year]],Table2[[#This Row],[Month]],1))</f>
        <v/>
      </c>
    </row>
    <row r="6770" spans="7:11" x14ac:dyDescent="0.25">
      <c r="G6770" s="1" t="str">
        <f>IF(Table2[[#This Row],[Description]]="","",VLOOKUP(Table2[[#This Row],[Description]],$Q$1:$S$101,2,FALSE))</f>
        <v/>
      </c>
      <c r="H6770" s="1" t="str">
        <f>IF(Table2[[#This Row],[Description]]="","",VLOOKUP(Table2[[#This Row],[Description]],$Q$1:$S$101,3,FALSE))</f>
        <v/>
      </c>
      <c r="I6770" s="1" t="str">
        <f>IF(Table2[[#This Row],[Description]]="","",IF(Table2[[#This Row],[Currency]]=$O$2,$P$2,HLOOKUP(Table2[[#This Row],[Date]],Funds!$C$10:$GV$11,2,FALSE)))</f>
        <v/>
      </c>
      <c r="J6770" s="215" t="str">
        <f>IF(Table2[[#This Row],[Description]]="","",Table2[[#This Row],[Value]]/Table2[[#This Row],[Conversion]])</f>
        <v/>
      </c>
      <c r="K6770" s="45" t="str">
        <f>IF(Table2[[#This Row],[Description]]="","",DATE(Table2[[#This Row],[Year]],Table2[[#This Row],[Month]],1))</f>
        <v/>
      </c>
    </row>
    <row r="6771" spans="7:11" x14ac:dyDescent="0.25">
      <c r="G6771" s="1" t="str">
        <f>IF(Table2[[#This Row],[Description]]="","",VLOOKUP(Table2[[#This Row],[Description]],$Q$1:$S$101,2,FALSE))</f>
        <v/>
      </c>
      <c r="H6771" s="1" t="str">
        <f>IF(Table2[[#This Row],[Description]]="","",VLOOKUP(Table2[[#This Row],[Description]],$Q$1:$S$101,3,FALSE))</f>
        <v/>
      </c>
      <c r="I6771" s="1" t="str">
        <f>IF(Table2[[#This Row],[Description]]="","",IF(Table2[[#This Row],[Currency]]=$O$2,$P$2,HLOOKUP(Table2[[#This Row],[Date]],Funds!$C$10:$GV$11,2,FALSE)))</f>
        <v/>
      </c>
      <c r="J6771" s="215" t="str">
        <f>IF(Table2[[#This Row],[Description]]="","",Table2[[#This Row],[Value]]/Table2[[#This Row],[Conversion]])</f>
        <v/>
      </c>
      <c r="K6771" s="45" t="str">
        <f>IF(Table2[[#This Row],[Description]]="","",DATE(Table2[[#This Row],[Year]],Table2[[#This Row],[Month]],1))</f>
        <v/>
      </c>
    </row>
    <row r="6772" spans="7:11" x14ac:dyDescent="0.25">
      <c r="G6772" s="1" t="str">
        <f>IF(Table2[[#This Row],[Description]]="","",VLOOKUP(Table2[[#This Row],[Description]],$Q$1:$S$101,2,FALSE))</f>
        <v/>
      </c>
      <c r="H6772" s="1" t="str">
        <f>IF(Table2[[#This Row],[Description]]="","",VLOOKUP(Table2[[#This Row],[Description]],$Q$1:$S$101,3,FALSE))</f>
        <v/>
      </c>
      <c r="I6772" s="1" t="str">
        <f>IF(Table2[[#This Row],[Description]]="","",IF(Table2[[#This Row],[Currency]]=$O$2,$P$2,HLOOKUP(Table2[[#This Row],[Date]],Funds!$C$10:$GV$11,2,FALSE)))</f>
        <v/>
      </c>
      <c r="J6772" s="215" t="str">
        <f>IF(Table2[[#This Row],[Description]]="","",Table2[[#This Row],[Value]]/Table2[[#This Row],[Conversion]])</f>
        <v/>
      </c>
      <c r="K6772" s="45" t="str">
        <f>IF(Table2[[#This Row],[Description]]="","",DATE(Table2[[#This Row],[Year]],Table2[[#This Row],[Month]],1))</f>
        <v/>
      </c>
    </row>
    <row r="6773" spans="7:11" x14ac:dyDescent="0.25">
      <c r="G6773" s="1" t="str">
        <f>IF(Table2[[#This Row],[Description]]="","",VLOOKUP(Table2[[#This Row],[Description]],$Q$1:$S$101,2,FALSE))</f>
        <v/>
      </c>
      <c r="H6773" s="1" t="str">
        <f>IF(Table2[[#This Row],[Description]]="","",VLOOKUP(Table2[[#This Row],[Description]],$Q$1:$S$101,3,FALSE))</f>
        <v/>
      </c>
      <c r="I6773" s="1" t="str">
        <f>IF(Table2[[#This Row],[Description]]="","",IF(Table2[[#This Row],[Currency]]=$O$2,$P$2,HLOOKUP(Table2[[#This Row],[Date]],Funds!$C$10:$GV$11,2,FALSE)))</f>
        <v/>
      </c>
      <c r="J6773" s="215" t="str">
        <f>IF(Table2[[#This Row],[Description]]="","",Table2[[#This Row],[Value]]/Table2[[#This Row],[Conversion]])</f>
        <v/>
      </c>
      <c r="K6773" s="45" t="str">
        <f>IF(Table2[[#This Row],[Description]]="","",DATE(Table2[[#This Row],[Year]],Table2[[#This Row],[Month]],1))</f>
        <v/>
      </c>
    </row>
    <row r="6774" spans="7:11" x14ac:dyDescent="0.25">
      <c r="G6774" s="1" t="str">
        <f>IF(Table2[[#This Row],[Description]]="","",VLOOKUP(Table2[[#This Row],[Description]],$Q$1:$S$101,2,FALSE))</f>
        <v/>
      </c>
      <c r="H6774" s="1" t="str">
        <f>IF(Table2[[#This Row],[Description]]="","",VLOOKUP(Table2[[#This Row],[Description]],$Q$1:$S$101,3,FALSE))</f>
        <v/>
      </c>
      <c r="I6774" s="1" t="str">
        <f>IF(Table2[[#This Row],[Description]]="","",IF(Table2[[#This Row],[Currency]]=$O$2,$P$2,HLOOKUP(Table2[[#This Row],[Date]],Funds!$C$10:$GV$11,2,FALSE)))</f>
        <v/>
      </c>
      <c r="J6774" s="215" t="str">
        <f>IF(Table2[[#This Row],[Description]]="","",Table2[[#This Row],[Value]]/Table2[[#This Row],[Conversion]])</f>
        <v/>
      </c>
      <c r="K6774" s="45" t="str">
        <f>IF(Table2[[#This Row],[Description]]="","",DATE(Table2[[#This Row],[Year]],Table2[[#This Row],[Month]],1))</f>
        <v/>
      </c>
    </row>
    <row r="6775" spans="7:11" x14ac:dyDescent="0.25">
      <c r="G6775" s="1" t="str">
        <f>IF(Table2[[#This Row],[Description]]="","",VLOOKUP(Table2[[#This Row],[Description]],$Q$1:$S$101,2,FALSE))</f>
        <v/>
      </c>
      <c r="H6775" s="1" t="str">
        <f>IF(Table2[[#This Row],[Description]]="","",VLOOKUP(Table2[[#This Row],[Description]],$Q$1:$S$101,3,FALSE))</f>
        <v/>
      </c>
      <c r="I6775" s="1" t="str">
        <f>IF(Table2[[#This Row],[Description]]="","",IF(Table2[[#This Row],[Currency]]=$O$2,$P$2,HLOOKUP(Table2[[#This Row],[Date]],Funds!$C$10:$GV$11,2,FALSE)))</f>
        <v/>
      </c>
      <c r="J6775" s="215" t="str">
        <f>IF(Table2[[#This Row],[Description]]="","",Table2[[#This Row],[Value]]/Table2[[#This Row],[Conversion]])</f>
        <v/>
      </c>
      <c r="K6775" s="45" t="str">
        <f>IF(Table2[[#This Row],[Description]]="","",DATE(Table2[[#This Row],[Year]],Table2[[#This Row],[Month]],1))</f>
        <v/>
      </c>
    </row>
    <row r="6776" spans="7:11" x14ac:dyDescent="0.25">
      <c r="G6776" s="1" t="str">
        <f>IF(Table2[[#This Row],[Description]]="","",VLOOKUP(Table2[[#This Row],[Description]],$Q$1:$S$101,2,FALSE))</f>
        <v/>
      </c>
      <c r="H6776" s="1" t="str">
        <f>IF(Table2[[#This Row],[Description]]="","",VLOOKUP(Table2[[#This Row],[Description]],$Q$1:$S$101,3,FALSE))</f>
        <v/>
      </c>
      <c r="I6776" s="1" t="str">
        <f>IF(Table2[[#This Row],[Description]]="","",IF(Table2[[#This Row],[Currency]]=$O$2,$P$2,HLOOKUP(Table2[[#This Row],[Date]],Funds!$C$10:$GV$11,2,FALSE)))</f>
        <v/>
      </c>
      <c r="J6776" s="215" t="str">
        <f>IF(Table2[[#This Row],[Description]]="","",Table2[[#This Row],[Value]]/Table2[[#This Row],[Conversion]])</f>
        <v/>
      </c>
      <c r="K6776" s="45" t="str">
        <f>IF(Table2[[#This Row],[Description]]="","",DATE(Table2[[#This Row],[Year]],Table2[[#This Row],[Month]],1))</f>
        <v/>
      </c>
    </row>
    <row r="6777" spans="7:11" x14ac:dyDescent="0.25">
      <c r="G6777" s="1" t="str">
        <f>IF(Table2[[#This Row],[Description]]="","",VLOOKUP(Table2[[#This Row],[Description]],$Q$1:$S$101,2,FALSE))</f>
        <v/>
      </c>
      <c r="H6777" s="1" t="str">
        <f>IF(Table2[[#This Row],[Description]]="","",VLOOKUP(Table2[[#This Row],[Description]],$Q$1:$S$101,3,FALSE))</f>
        <v/>
      </c>
      <c r="I6777" s="1" t="str">
        <f>IF(Table2[[#This Row],[Description]]="","",IF(Table2[[#This Row],[Currency]]=$O$2,$P$2,HLOOKUP(Table2[[#This Row],[Date]],Funds!$C$10:$GV$11,2,FALSE)))</f>
        <v/>
      </c>
      <c r="J6777" s="215" t="str">
        <f>IF(Table2[[#This Row],[Description]]="","",Table2[[#This Row],[Value]]/Table2[[#This Row],[Conversion]])</f>
        <v/>
      </c>
      <c r="K6777" s="45" t="str">
        <f>IF(Table2[[#This Row],[Description]]="","",DATE(Table2[[#This Row],[Year]],Table2[[#This Row],[Month]],1))</f>
        <v/>
      </c>
    </row>
    <row r="6778" spans="7:11" x14ac:dyDescent="0.25">
      <c r="G6778" s="1" t="str">
        <f>IF(Table2[[#This Row],[Description]]="","",VLOOKUP(Table2[[#This Row],[Description]],$Q$1:$S$101,2,FALSE))</f>
        <v/>
      </c>
      <c r="H6778" s="1" t="str">
        <f>IF(Table2[[#This Row],[Description]]="","",VLOOKUP(Table2[[#This Row],[Description]],$Q$1:$S$101,3,FALSE))</f>
        <v/>
      </c>
      <c r="I6778" s="1" t="str">
        <f>IF(Table2[[#This Row],[Description]]="","",IF(Table2[[#This Row],[Currency]]=$O$2,$P$2,HLOOKUP(Table2[[#This Row],[Date]],Funds!$C$10:$GV$11,2,FALSE)))</f>
        <v/>
      </c>
      <c r="J6778" s="215" t="str">
        <f>IF(Table2[[#This Row],[Description]]="","",Table2[[#This Row],[Value]]/Table2[[#This Row],[Conversion]])</f>
        <v/>
      </c>
      <c r="K6778" s="45" t="str">
        <f>IF(Table2[[#This Row],[Description]]="","",DATE(Table2[[#This Row],[Year]],Table2[[#This Row],[Month]],1))</f>
        <v/>
      </c>
    </row>
    <row r="6779" spans="7:11" x14ac:dyDescent="0.25">
      <c r="G6779" s="1" t="str">
        <f>IF(Table2[[#This Row],[Description]]="","",VLOOKUP(Table2[[#This Row],[Description]],$Q$1:$S$101,2,FALSE))</f>
        <v/>
      </c>
      <c r="H6779" s="1" t="str">
        <f>IF(Table2[[#This Row],[Description]]="","",VLOOKUP(Table2[[#This Row],[Description]],$Q$1:$S$101,3,FALSE))</f>
        <v/>
      </c>
      <c r="I6779" s="1" t="str">
        <f>IF(Table2[[#This Row],[Description]]="","",IF(Table2[[#This Row],[Currency]]=$O$2,$P$2,HLOOKUP(Table2[[#This Row],[Date]],Funds!$C$10:$GV$11,2,FALSE)))</f>
        <v/>
      </c>
      <c r="J6779" s="215" t="str">
        <f>IF(Table2[[#This Row],[Description]]="","",Table2[[#This Row],[Value]]/Table2[[#This Row],[Conversion]])</f>
        <v/>
      </c>
      <c r="K6779" s="45" t="str">
        <f>IF(Table2[[#This Row],[Description]]="","",DATE(Table2[[#This Row],[Year]],Table2[[#This Row],[Month]],1))</f>
        <v/>
      </c>
    </row>
    <row r="6780" spans="7:11" x14ac:dyDescent="0.25">
      <c r="G6780" s="1" t="str">
        <f>IF(Table2[[#This Row],[Description]]="","",VLOOKUP(Table2[[#This Row],[Description]],$Q$1:$S$101,2,FALSE))</f>
        <v/>
      </c>
      <c r="H6780" s="1" t="str">
        <f>IF(Table2[[#This Row],[Description]]="","",VLOOKUP(Table2[[#This Row],[Description]],$Q$1:$S$101,3,FALSE))</f>
        <v/>
      </c>
      <c r="I6780" s="1" t="str">
        <f>IF(Table2[[#This Row],[Description]]="","",IF(Table2[[#This Row],[Currency]]=$O$2,$P$2,HLOOKUP(Table2[[#This Row],[Date]],Funds!$C$10:$GV$11,2,FALSE)))</f>
        <v/>
      </c>
      <c r="J6780" s="215" t="str">
        <f>IF(Table2[[#This Row],[Description]]="","",Table2[[#This Row],[Value]]/Table2[[#This Row],[Conversion]])</f>
        <v/>
      </c>
      <c r="K6780" s="45" t="str">
        <f>IF(Table2[[#This Row],[Description]]="","",DATE(Table2[[#This Row],[Year]],Table2[[#This Row],[Month]],1))</f>
        <v/>
      </c>
    </row>
    <row r="6781" spans="7:11" x14ac:dyDescent="0.25">
      <c r="G6781" s="1" t="str">
        <f>IF(Table2[[#This Row],[Description]]="","",VLOOKUP(Table2[[#This Row],[Description]],$Q$1:$S$101,2,FALSE))</f>
        <v/>
      </c>
      <c r="H6781" s="1" t="str">
        <f>IF(Table2[[#This Row],[Description]]="","",VLOOKUP(Table2[[#This Row],[Description]],$Q$1:$S$101,3,FALSE))</f>
        <v/>
      </c>
      <c r="I6781" s="1" t="str">
        <f>IF(Table2[[#This Row],[Description]]="","",IF(Table2[[#This Row],[Currency]]=$O$2,$P$2,HLOOKUP(Table2[[#This Row],[Date]],Funds!$C$10:$GV$11,2,FALSE)))</f>
        <v/>
      </c>
      <c r="J6781" s="215" t="str">
        <f>IF(Table2[[#This Row],[Description]]="","",Table2[[#This Row],[Value]]/Table2[[#This Row],[Conversion]])</f>
        <v/>
      </c>
      <c r="K6781" s="45" t="str">
        <f>IF(Table2[[#This Row],[Description]]="","",DATE(Table2[[#This Row],[Year]],Table2[[#This Row],[Month]],1))</f>
        <v/>
      </c>
    </row>
    <row r="6782" spans="7:11" x14ac:dyDescent="0.25">
      <c r="G6782" s="1" t="str">
        <f>IF(Table2[[#This Row],[Description]]="","",VLOOKUP(Table2[[#This Row],[Description]],$Q$1:$S$101,2,FALSE))</f>
        <v/>
      </c>
      <c r="H6782" s="1" t="str">
        <f>IF(Table2[[#This Row],[Description]]="","",VLOOKUP(Table2[[#This Row],[Description]],$Q$1:$S$101,3,FALSE))</f>
        <v/>
      </c>
      <c r="I6782" s="1" t="str">
        <f>IF(Table2[[#This Row],[Description]]="","",IF(Table2[[#This Row],[Currency]]=$O$2,$P$2,HLOOKUP(Table2[[#This Row],[Date]],Funds!$C$10:$GV$11,2,FALSE)))</f>
        <v/>
      </c>
      <c r="J6782" s="215" t="str">
        <f>IF(Table2[[#This Row],[Description]]="","",Table2[[#This Row],[Value]]/Table2[[#This Row],[Conversion]])</f>
        <v/>
      </c>
      <c r="K6782" s="45" t="str">
        <f>IF(Table2[[#This Row],[Description]]="","",DATE(Table2[[#This Row],[Year]],Table2[[#This Row],[Month]],1))</f>
        <v/>
      </c>
    </row>
    <row r="6783" spans="7:11" x14ac:dyDescent="0.25">
      <c r="G6783" s="1" t="str">
        <f>IF(Table2[[#This Row],[Description]]="","",VLOOKUP(Table2[[#This Row],[Description]],$Q$1:$S$101,2,FALSE))</f>
        <v/>
      </c>
      <c r="H6783" s="1" t="str">
        <f>IF(Table2[[#This Row],[Description]]="","",VLOOKUP(Table2[[#This Row],[Description]],$Q$1:$S$101,3,FALSE))</f>
        <v/>
      </c>
      <c r="I6783" s="1" t="str">
        <f>IF(Table2[[#This Row],[Description]]="","",IF(Table2[[#This Row],[Currency]]=$O$2,$P$2,HLOOKUP(Table2[[#This Row],[Date]],Funds!$C$10:$GV$11,2,FALSE)))</f>
        <v/>
      </c>
      <c r="J6783" s="215" t="str">
        <f>IF(Table2[[#This Row],[Description]]="","",Table2[[#This Row],[Value]]/Table2[[#This Row],[Conversion]])</f>
        <v/>
      </c>
      <c r="K6783" s="45" t="str">
        <f>IF(Table2[[#This Row],[Description]]="","",DATE(Table2[[#This Row],[Year]],Table2[[#This Row],[Month]],1))</f>
        <v/>
      </c>
    </row>
    <row r="6784" spans="7:11" x14ac:dyDescent="0.25">
      <c r="G6784" s="1" t="str">
        <f>IF(Table2[[#This Row],[Description]]="","",VLOOKUP(Table2[[#This Row],[Description]],$Q$1:$S$101,2,FALSE))</f>
        <v/>
      </c>
      <c r="H6784" s="1" t="str">
        <f>IF(Table2[[#This Row],[Description]]="","",VLOOKUP(Table2[[#This Row],[Description]],$Q$1:$S$101,3,FALSE))</f>
        <v/>
      </c>
      <c r="I6784" s="1" t="str">
        <f>IF(Table2[[#This Row],[Description]]="","",IF(Table2[[#This Row],[Currency]]=$O$2,$P$2,HLOOKUP(Table2[[#This Row],[Date]],Funds!$C$10:$GV$11,2,FALSE)))</f>
        <v/>
      </c>
      <c r="J6784" s="215" t="str">
        <f>IF(Table2[[#This Row],[Description]]="","",Table2[[#This Row],[Value]]/Table2[[#This Row],[Conversion]])</f>
        <v/>
      </c>
      <c r="K6784" s="45" t="str">
        <f>IF(Table2[[#This Row],[Description]]="","",DATE(Table2[[#This Row],[Year]],Table2[[#This Row],[Month]],1))</f>
        <v/>
      </c>
    </row>
    <row r="6785" spans="7:11" x14ac:dyDescent="0.25">
      <c r="G6785" s="1" t="str">
        <f>IF(Table2[[#This Row],[Description]]="","",VLOOKUP(Table2[[#This Row],[Description]],$Q$1:$S$101,2,FALSE))</f>
        <v/>
      </c>
      <c r="H6785" s="1" t="str">
        <f>IF(Table2[[#This Row],[Description]]="","",VLOOKUP(Table2[[#This Row],[Description]],$Q$1:$S$101,3,FALSE))</f>
        <v/>
      </c>
      <c r="I6785" s="1" t="str">
        <f>IF(Table2[[#This Row],[Description]]="","",IF(Table2[[#This Row],[Currency]]=$O$2,$P$2,HLOOKUP(Table2[[#This Row],[Date]],Funds!$C$10:$GV$11,2,FALSE)))</f>
        <v/>
      </c>
      <c r="J6785" s="215" t="str">
        <f>IF(Table2[[#This Row],[Description]]="","",Table2[[#This Row],[Value]]/Table2[[#This Row],[Conversion]])</f>
        <v/>
      </c>
      <c r="K6785" s="45" t="str">
        <f>IF(Table2[[#This Row],[Description]]="","",DATE(Table2[[#This Row],[Year]],Table2[[#This Row],[Month]],1))</f>
        <v/>
      </c>
    </row>
    <row r="6786" spans="7:11" x14ac:dyDescent="0.25">
      <c r="G6786" s="1" t="str">
        <f>IF(Table2[[#This Row],[Description]]="","",VLOOKUP(Table2[[#This Row],[Description]],$Q$1:$S$101,2,FALSE))</f>
        <v/>
      </c>
      <c r="H6786" s="1" t="str">
        <f>IF(Table2[[#This Row],[Description]]="","",VLOOKUP(Table2[[#This Row],[Description]],$Q$1:$S$101,3,FALSE))</f>
        <v/>
      </c>
      <c r="I6786" s="1" t="str">
        <f>IF(Table2[[#This Row],[Description]]="","",IF(Table2[[#This Row],[Currency]]=$O$2,$P$2,HLOOKUP(Table2[[#This Row],[Date]],Funds!$C$10:$GV$11,2,FALSE)))</f>
        <v/>
      </c>
      <c r="J6786" s="215" t="str">
        <f>IF(Table2[[#This Row],[Description]]="","",Table2[[#This Row],[Value]]/Table2[[#This Row],[Conversion]])</f>
        <v/>
      </c>
      <c r="K6786" s="45" t="str">
        <f>IF(Table2[[#This Row],[Description]]="","",DATE(Table2[[#This Row],[Year]],Table2[[#This Row],[Month]],1))</f>
        <v/>
      </c>
    </row>
    <row r="6787" spans="7:11" x14ac:dyDescent="0.25">
      <c r="G6787" s="1" t="str">
        <f>IF(Table2[[#This Row],[Description]]="","",VLOOKUP(Table2[[#This Row],[Description]],$Q$1:$S$101,2,FALSE))</f>
        <v/>
      </c>
      <c r="H6787" s="1" t="str">
        <f>IF(Table2[[#This Row],[Description]]="","",VLOOKUP(Table2[[#This Row],[Description]],$Q$1:$S$101,3,FALSE))</f>
        <v/>
      </c>
      <c r="I6787" s="1" t="str">
        <f>IF(Table2[[#This Row],[Description]]="","",IF(Table2[[#This Row],[Currency]]=$O$2,$P$2,HLOOKUP(Table2[[#This Row],[Date]],Funds!$C$10:$GV$11,2,FALSE)))</f>
        <v/>
      </c>
      <c r="J6787" s="215" t="str">
        <f>IF(Table2[[#This Row],[Description]]="","",Table2[[#This Row],[Value]]/Table2[[#This Row],[Conversion]])</f>
        <v/>
      </c>
      <c r="K6787" s="45" t="str">
        <f>IF(Table2[[#This Row],[Description]]="","",DATE(Table2[[#This Row],[Year]],Table2[[#This Row],[Month]],1))</f>
        <v/>
      </c>
    </row>
    <row r="6788" spans="7:11" x14ac:dyDescent="0.25">
      <c r="G6788" s="1" t="str">
        <f>IF(Table2[[#This Row],[Description]]="","",VLOOKUP(Table2[[#This Row],[Description]],$Q$1:$S$101,2,FALSE))</f>
        <v/>
      </c>
      <c r="H6788" s="1" t="str">
        <f>IF(Table2[[#This Row],[Description]]="","",VLOOKUP(Table2[[#This Row],[Description]],$Q$1:$S$101,3,FALSE))</f>
        <v/>
      </c>
      <c r="I6788" s="1" t="str">
        <f>IF(Table2[[#This Row],[Description]]="","",IF(Table2[[#This Row],[Currency]]=$O$2,$P$2,HLOOKUP(Table2[[#This Row],[Date]],Funds!$C$10:$GV$11,2,FALSE)))</f>
        <v/>
      </c>
      <c r="J6788" s="215" t="str">
        <f>IF(Table2[[#This Row],[Description]]="","",Table2[[#This Row],[Value]]/Table2[[#This Row],[Conversion]])</f>
        <v/>
      </c>
      <c r="K6788" s="45" t="str">
        <f>IF(Table2[[#This Row],[Description]]="","",DATE(Table2[[#This Row],[Year]],Table2[[#This Row],[Month]],1))</f>
        <v/>
      </c>
    </row>
    <row r="6789" spans="7:11" x14ac:dyDescent="0.25">
      <c r="G6789" s="1" t="str">
        <f>IF(Table2[[#This Row],[Description]]="","",VLOOKUP(Table2[[#This Row],[Description]],$Q$1:$S$101,2,FALSE))</f>
        <v/>
      </c>
      <c r="H6789" s="1" t="str">
        <f>IF(Table2[[#This Row],[Description]]="","",VLOOKUP(Table2[[#This Row],[Description]],$Q$1:$S$101,3,FALSE))</f>
        <v/>
      </c>
      <c r="I6789" s="1" t="str">
        <f>IF(Table2[[#This Row],[Description]]="","",IF(Table2[[#This Row],[Currency]]=$O$2,$P$2,HLOOKUP(Table2[[#This Row],[Date]],Funds!$C$10:$GV$11,2,FALSE)))</f>
        <v/>
      </c>
      <c r="J6789" s="215" t="str">
        <f>IF(Table2[[#This Row],[Description]]="","",Table2[[#This Row],[Value]]/Table2[[#This Row],[Conversion]])</f>
        <v/>
      </c>
      <c r="K6789" s="45" t="str">
        <f>IF(Table2[[#This Row],[Description]]="","",DATE(Table2[[#This Row],[Year]],Table2[[#This Row],[Month]],1))</f>
        <v/>
      </c>
    </row>
    <row r="6790" spans="7:11" x14ac:dyDescent="0.25">
      <c r="G6790" s="1" t="str">
        <f>IF(Table2[[#This Row],[Description]]="","",VLOOKUP(Table2[[#This Row],[Description]],$Q$1:$S$101,2,FALSE))</f>
        <v/>
      </c>
      <c r="H6790" s="1" t="str">
        <f>IF(Table2[[#This Row],[Description]]="","",VLOOKUP(Table2[[#This Row],[Description]],$Q$1:$S$101,3,FALSE))</f>
        <v/>
      </c>
      <c r="I6790" s="1" t="str">
        <f>IF(Table2[[#This Row],[Description]]="","",IF(Table2[[#This Row],[Currency]]=$O$2,$P$2,HLOOKUP(Table2[[#This Row],[Date]],Funds!$C$10:$GV$11,2,FALSE)))</f>
        <v/>
      </c>
      <c r="J6790" s="215" t="str">
        <f>IF(Table2[[#This Row],[Description]]="","",Table2[[#This Row],[Value]]/Table2[[#This Row],[Conversion]])</f>
        <v/>
      </c>
      <c r="K6790" s="45" t="str">
        <f>IF(Table2[[#This Row],[Description]]="","",DATE(Table2[[#This Row],[Year]],Table2[[#This Row],[Month]],1))</f>
        <v/>
      </c>
    </row>
    <row r="6791" spans="7:11" x14ac:dyDescent="0.25">
      <c r="G6791" s="1" t="str">
        <f>IF(Table2[[#This Row],[Description]]="","",VLOOKUP(Table2[[#This Row],[Description]],$Q$1:$S$101,2,FALSE))</f>
        <v/>
      </c>
      <c r="H6791" s="1" t="str">
        <f>IF(Table2[[#This Row],[Description]]="","",VLOOKUP(Table2[[#This Row],[Description]],$Q$1:$S$101,3,FALSE))</f>
        <v/>
      </c>
      <c r="I6791" s="1" t="str">
        <f>IF(Table2[[#This Row],[Description]]="","",IF(Table2[[#This Row],[Currency]]=$O$2,$P$2,HLOOKUP(Table2[[#This Row],[Date]],Funds!$C$10:$GV$11,2,FALSE)))</f>
        <v/>
      </c>
      <c r="J6791" s="215" t="str">
        <f>IF(Table2[[#This Row],[Description]]="","",Table2[[#This Row],[Value]]/Table2[[#This Row],[Conversion]])</f>
        <v/>
      </c>
      <c r="K6791" s="45" t="str">
        <f>IF(Table2[[#This Row],[Description]]="","",DATE(Table2[[#This Row],[Year]],Table2[[#This Row],[Month]],1))</f>
        <v/>
      </c>
    </row>
    <row r="6792" spans="7:11" x14ac:dyDescent="0.25">
      <c r="G6792" s="1" t="str">
        <f>IF(Table2[[#This Row],[Description]]="","",VLOOKUP(Table2[[#This Row],[Description]],$Q$1:$S$101,2,FALSE))</f>
        <v/>
      </c>
      <c r="H6792" s="1" t="str">
        <f>IF(Table2[[#This Row],[Description]]="","",VLOOKUP(Table2[[#This Row],[Description]],$Q$1:$S$101,3,FALSE))</f>
        <v/>
      </c>
      <c r="I6792" s="1" t="str">
        <f>IF(Table2[[#This Row],[Description]]="","",IF(Table2[[#This Row],[Currency]]=$O$2,$P$2,HLOOKUP(Table2[[#This Row],[Date]],Funds!$C$10:$GV$11,2,FALSE)))</f>
        <v/>
      </c>
      <c r="J6792" s="215" t="str">
        <f>IF(Table2[[#This Row],[Description]]="","",Table2[[#This Row],[Value]]/Table2[[#This Row],[Conversion]])</f>
        <v/>
      </c>
      <c r="K6792" s="45" t="str">
        <f>IF(Table2[[#This Row],[Description]]="","",DATE(Table2[[#This Row],[Year]],Table2[[#This Row],[Month]],1))</f>
        <v/>
      </c>
    </row>
    <row r="6793" spans="7:11" x14ac:dyDescent="0.25">
      <c r="G6793" s="1" t="str">
        <f>IF(Table2[[#This Row],[Description]]="","",VLOOKUP(Table2[[#This Row],[Description]],$Q$1:$S$101,2,FALSE))</f>
        <v/>
      </c>
      <c r="H6793" s="1" t="str">
        <f>IF(Table2[[#This Row],[Description]]="","",VLOOKUP(Table2[[#This Row],[Description]],$Q$1:$S$101,3,FALSE))</f>
        <v/>
      </c>
      <c r="I6793" s="1" t="str">
        <f>IF(Table2[[#This Row],[Description]]="","",IF(Table2[[#This Row],[Currency]]=$O$2,$P$2,HLOOKUP(Table2[[#This Row],[Date]],Funds!$C$10:$GV$11,2,FALSE)))</f>
        <v/>
      </c>
      <c r="J6793" s="215" t="str">
        <f>IF(Table2[[#This Row],[Description]]="","",Table2[[#This Row],[Value]]/Table2[[#This Row],[Conversion]])</f>
        <v/>
      </c>
      <c r="K6793" s="45" t="str">
        <f>IF(Table2[[#This Row],[Description]]="","",DATE(Table2[[#This Row],[Year]],Table2[[#This Row],[Month]],1))</f>
        <v/>
      </c>
    </row>
    <row r="6794" spans="7:11" x14ac:dyDescent="0.25">
      <c r="G6794" s="1" t="str">
        <f>IF(Table2[[#This Row],[Description]]="","",VLOOKUP(Table2[[#This Row],[Description]],$Q$1:$S$101,2,FALSE))</f>
        <v/>
      </c>
      <c r="H6794" s="1" t="str">
        <f>IF(Table2[[#This Row],[Description]]="","",VLOOKUP(Table2[[#This Row],[Description]],$Q$1:$S$101,3,FALSE))</f>
        <v/>
      </c>
      <c r="I6794" s="1" t="str">
        <f>IF(Table2[[#This Row],[Description]]="","",IF(Table2[[#This Row],[Currency]]=$O$2,$P$2,HLOOKUP(Table2[[#This Row],[Date]],Funds!$C$10:$GV$11,2,FALSE)))</f>
        <v/>
      </c>
      <c r="J6794" s="215" t="str">
        <f>IF(Table2[[#This Row],[Description]]="","",Table2[[#This Row],[Value]]/Table2[[#This Row],[Conversion]])</f>
        <v/>
      </c>
      <c r="K6794" s="45" t="str">
        <f>IF(Table2[[#This Row],[Description]]="","",DATE(Table2[[#This Row],[Year]],Table2[[#This Row],[Month]],1))</f>
        <v/>
      </c>
    </row>
    <row r="6795" spans="7:11" x14ac:dyDescent="0.25">
      <c r="G6795" s="1" t="str">
        <f>IF(Table2[[#This Row],[Description]]="","",VLOOKUP(Table2[[#This Row],[Description]],$Q$1:$S$101,2,FALSE))</f>
        <v/>
      </c>
      <c r="H6795" s="1" t="str">
        <f>IF(Table2[[#This Row],[Description]]="","",VLOOKUP(Table2[[#This Row],[Description]],$Q$1:$S$101,3,FALSE))</f>
        <v/>
      </c>
      <c r="I6795" s="1" t="str">
        <f>IF(Table2[[#This Row],[Description]]="","",IF(Table2[[#This Row],[Currency]]=$O$2,$P$2,HLOOKUP(Table2[[#This Row],[Date]],Funds!$C$10:$GV$11,2,FALSE)))</f>
        <v/>
      </c>
      <c r="J6795" s="215" t="str">
        <f>IF(Table2[[#This Row],[Description]]="","",Table2[[#This Row],[Value]]/Table2[[#This Row],[Conversion]])</f>
        <v/>
      </c>
      <c r="K6795" s="45" t="str">
        <f>IF(Table2[[#This Row],[Description]]="","",DATE(Table2[[#This Row],[Year]],Table2[[#This Row],[Month]],1))</f>
        <v/>
      </c>
    </row>
    <row r="6796" spans="7:11" x14ac:dyDescent="0.25">
      <c r="G6796" s="1" t="str">
        <f>IF(Table2[[#This Row],[Description]]="","",VLOOKUP(Table2[[#This Row],[Description]],$Q$1:$S$101,2,FALSE))</f>
        <v/>
      </c>
      <c r="H6796" s="1" t="str">
        <f>IF(Table2[[#This Row],[Description]]="","",VLOOKUP(Table2[[#This Row],[Description]],$Q$1:$S$101,3,FALSE))</f>
        <v/>
      </c>
      <c r="I6796" s="1" t="str">
        <f>IF(Table2[[#This Row],[Description]]="","",IF(Table2[[#This Row],[Currency]]=$O$2,$P$2,HLOOKUP(Table2[[#This Row],[Date]],Funds!$C$10:$GV$11,2,FALSE)))</f>
        <v/>
      </c>
      <c r="J6796" s="215" t="str">
        <f>IF(Table2[[#This Row],[Description]]="","",Table2[[#This Row],[Value]]/Table2[[#This Row],[Conversion]])</f>
        <v/>
      </c>
      <c r="K6796" s="45" t="str">
        <f>IF(Table2[[#This Row],[Description]]="","",DATE(Table2[[#This Row],[Year]],Table2[[#This Row],[Month]],1))</f>
        <v/>
      </c>
    </row>
    <row r="6797" spans="7:11" x14ac:dyDescent="0.25">
      <c r="G6797" s="1" t="str">
        <f>IF(Table2[[#This Row],[Description]]="","",VLOOKUP(Table2[[#This Row],[Description]],$Q$1:$S$101,2,FALSE))</f>
        <v/>
      </c>
      <c r="H6797" s="1" t="str">
        <f>IF(Table2[[#This Row],[Description]]="","",VLOOKUP(Table2[[#This Row],[Description]],$Q$1:$S$101,3,FALSE))</f>
        <v/>
      </c>
      <c r="I6797" s="1" t="str">
        <f>IF(Table2[[#This Row],[Description]]="","",IF(Table2[[#This Row],[Currency]]=$O$2,$P$2,HLOOKUP(Table2[[#This Row],[Date]],Funds!$C$10:$GV$11,2,FALSE)))</f>
        <v/>
      </c>
      <c r="J6797" s="215" t="str">
        <f>IF(Table2[[#This Row],[Description]]="","",Table2[[#This Row],[Value]]/Table2[[#This Row],[Conversion]])</f>
        <v/>
      </c>
      <c r="K6797" s="45" t="str">
        <f>IF(Table2[[#This Row],[Description]]="","",DATE(Table2[[#This Row],[Year]],Table2[[#This Row],[Month]],1))</f>
        <v/>
      </c>
    </row>
    <row r="6798" spans="7:11" x14ac:dyDescent="0.25">
      <c r="G6798" s="1" t="str">
        <f>IF(Table2[[#This Row],[Description]]="","",VLOOKUP(Table2[[#This Row],[Description]],$Q$1:$S$101,2,FALSE))</f>
        <v/>
      </c>
      <c r="H6798" s="1" t="str">
        <f>IF(Table2[[#This Row],[Description]]="","",VLOOKUP(Table2[[#This Row],[Description]],$Q$1:$S$101,3,FALSE))</f>
        <v/>
      </c>
      <c r="I6798" s="1" t="str">
        <f>IF(Table2[[#This Row],[Description]]="","",IF(Table2[[#This Row],[Currency]]=$O$2,$P$2,HLOOKUP(Table2[[#This Row],[Date]],Funds!$C$10:$GV$11,2,FALSE)))</f>
        <v/>
      </c>
      <c r="J6798" s="215" t="str">
        <f>IF(Table2[[#This Row],[Description]]="","",Table2[[#This Row],[Value]]/Table2[[#This Row],[Conversion]])</f>
        <v/>
      </c>
      <c r="K6798" s="45" t="str">
        <f>IF(Table2[[#This Row],[Description]]="","",DATE(Table2[[#This Row],[Year]],Table2[[#This Row],[Month]],1))</f>
        <v/>
      </c>
    </row>
    <row r="6799" spans="7:11" x14ac:dyDescent="0.25">
      <c r="G6799" s="1" t="str">
        <f>IF(Table2[[#This Row],[Description]]="","",VLOOKUP(Table2[[#This Row],[Description]],$Q$1:$S$101,2,FALSE))</f>
        <v/>
      </c>
      <c r="H6799" s="1" t="str">
        <f>IF(Table2[[#This Row],[Description]]="","",VLOOKUP(Table2[[#This Row],[Description]],$Q$1:$S$101,3,FALSE))</f>
        <v/>
      </c>
      <c r="I6799" s="1" t="str">
        <f>IF(Table2[[#This Row],[Description]]="","",IF(Table2[[#This Row],[Currency]]=$O$2,$P$2,HLOOKUP(Table2[[#This Row],[Date]],Funds!$C$10:$GV$11,2,FALSE)))</f>
        <v/>
      </c>
      <c r="J6799" s="215" t="str">
        <f>IF(Table2[[#This Row],[Description]]="","",Table2[[#This Row],[Value]]/Table2[[#This Row],[Conversion]])</f>
        <v/>
      </c>
      <c r="K6799" s="45" t="str">
        <f>IF(Table2[[#This Row],[Description]]="","",DATE(Table2[[#This Row],[Year]],Table2[[#This Row],[Month]],1))</f>
        <v/>
      </c>
    </row>
    <row r="6800" spans="7:11" x14ac:dyDescent="0.25">
      <c r="G6800" s="1" t="str">
        <f>IF(Table2[[#This Row],[Description]]="","",VLOOKUP(Table2[[#This Row],[Description]],$Q$1:$S$101,2,FALSE))</f>
        <v/>
      </c>
      <c r="H6800" s="1" t="str">
        <f>IF(Table2[[#This Row],[Description]]="","",VLOOKUP(Table2[[#This Row],[Description]],$Q$1:$S$101,3,FALSE))</f>
        <v/>
      </c>
      <c r="I6800" s="1" t="str">
        <f>IF(Table2[[#This Row],[Description]]="","",IF(Table2[[#This Row],[Currency]]=$O$2,$P$2,HLOOKUP(Table2[[#This Row],[Date]],Funds!$C$10:$GV$11,2,FALSE)))</f>
        <v/>
      </c>
      <c r="J6800" s="215" t="str">
        <f>IF(Table2[[#This Row],[Description]]="","",Table2[[#This Row],[Value]]/Table2[[#This Row],[Conversion]])</f>
        <v/>
      </c>
      <c r="K6800" s="45" t="str">
        <f>IF(Table2[[#This Row],[Description]]="","",DATE(Table2[[#This Row],[Year]],Table2[[#This Row],[Month]],1))</f>
        <v/>
      </c>
    </row>
    <row r="6801" spans="7:11" x14ac:dyDescent="0.25">
      <c r="G6801" s="1" t="str">
        <f>IF(Table2[[#This Row],[Description]]="","",VLOOKUP(Table2[[#This Row],[Description]],$Q$1:$S$101,2,FALSE))</f>
        <v/>
      </c>
      <c r="H6801" s="1" t="str">
        <f>IF(Table2[[#This Row],[Description]]="","",VLOOKUP(Table2[[#This Row],[Description]],$Q$1:$S$101,3,FALSE))</f>
        <v/>
      </c>
      <c r="I6801" s="1" t="str">
        <f>IF(Table2[[#This Row],[Description]]="","",IF(Table2[[#This Row],[Currency]]=$O$2,$P$2,HLOOKUP(Table2[[#This Row],[Date]],Funds!$C$10:$GV$11,2,FALSE)))</f>
        <v/>
      </c>
      <c r="J6801" s="215" t="str">
        <f>IF(Table2[[#This Row],[Description]]="","",Table2[[#This Row],[Value]]/Table2[[#This Row],[Conversion]])</f>
        <v/>
      </c>
      <c r="K6801" s="45" t="str">
        <f>IF(Table2[[#This Row],[Description]]="","",DATE(Table2[[#This Row],[Year]],Table2[[#This Row],[Month]],1))</f>
        <v/>
      </c>
    </row>
    <row r="6802" spans="7:11" x14ac:dyDescent="0.25">
      <c r="G6802" s="1" t="str">
        <f>IF(Table2[[#This Row],[Description]]="","",VLOOKUP(Table2[[#This Row],[Description]],$Q$1:$S$101,2,FALSE))</f>
        <v/>
      </c>
      <c r="H6802" s="1" t="str">
        <f>IF(Table2[[#This Row],[Description]]="","",VLOOKUP(Table2[[#This Row],[Description]],$Q$1:$S$101,3,FALSE))</f>
        <v/>
      </c>
      <c r="I6802" s="1" t="str">
        <f>IF(Table2[[#This Row],[Description]]="","",IF(Table2[[#This Row],[Currency]]=$O$2,$P$2,HLOOKUP(Table2[[#This Row],[Date]],Funds!$C$10:$GV$11,2,FALSE)))</f>
        <v/>
      </c>
      <c r="J6802" s="215" t="str">
        <f>IF(Table2[[#This Row],[Description]]="","",Table2[[#This Row],[Value]]/Table2[[#This Row],[Conversion]])</f>
        <v/>
      </c>
      <c r="K6802" s="45" t="str">
        <f>IF(Table2[[#This Row],[Description]]="","",DATE(Table2[[#This Row],[Year]],Table2[[#This Row],[Month]],1))</f>
        <v/>
      </c>
    </row>
    <row r="6803" spans="7:11" x14ac:dyDescent="0.25">
      <c r="G6803" s="1" t="str">
        <f>IF(Table2[[#This Row],[Description]]="","",VLOOKUP(Table2[[#This Row],[Description]],$Q$1:$S$101,2,FALSE))</f>
        <v/>
      </c>
      <c r="H6803" s="1" t="str">
        <f>IF(Table2[[#This Row],[Description]]="","",VLOOKUP(Table2[[#This Row],[Description]],$Q$1:$S$101,3,FALSE))</f>
        <v/>
      </c>
      <c r="I6803" s="1" t="str">
        <f>IF(Table2[[#This Row],[Description]]="","",IF(Table2[[#This Row],[Currency]]=$O$2,$P$2,HLOOKUP(Table2[[#This Row],[Date]],Funds!$C$10:$GV$11,2,FALSE)))</f>
        <v/>
      </c>
      <c r="J6803" s="215" t="str">
        <f>IF(Table2[[#This Row],[Description]]="","",Table2[[#This Row],[Value]]/Table2[[#This Row],[Conversion]])</f>
        <v/>
      </c>
      <c r="K6803" s="45" t="str">
        <f>IF(Table2[[#This Row],[Description]]="","",DATE(Table2[[#This Row],[Year]],Table2[[#This Row],[Month]],1))</f>
        <v/>
      </c>
    </row>
    <row r="6804" spans="7:11" x14ac:dyDescent="0.25">
      <c r="G6804" s="1" t="str">
        <f>IF(Table2[[#This Row],[Description]]="","",VLOOKUP(Table2[[#This Row],[Description]],$Q$1:$S$101,2,FALSE))</f>
        <v/>
      </c>
      <c r="H6804" s="1" t="str">
        <f>IF(Table2[[#This Row],[Description]]="","",VLOOKUP(Table2[[#This Row],[Description]],$Q$1:$S$101,3,FALSE))</f>
        <v/>
      </c>
      <c r="I6804" s="1" t="str">
        <f>IF(Table2[[#This Row],[Description]]="","",IF(Table2[[#This Row],[Currency]]=$O$2,$P$2,HLOOKUP(Table2[[#This Row],[Date]],Funds!$C$10:$GV$11,2,FALSE)))</f>
        <v/>
      </c>
      <c r="J6804" s="215" t="str">
        <f>IF(Table2[[#This Row],[Description]]="","",Table2[[#This Row],[Value]]/Table2[[#This Row],[Conversion]])</f>
        <v/>
      </c>
      <c r="K6804" s="45" t="str">
        <f>IF(Table2[[#This Row],[Description]]="","",DATE(Table2[[#This Row],[Year]],Table2[[#This Row],[Month]],1))</f>
        <v/>
      </c>
    </row>
    <row r="6805" spans="7:11" x14ac:dyDescent="0.25">
      <c r="G6805" s="1" t="str">
        <f>IF(Table2[[#This Row],[Description]]="","",VLOOKUP(Table2[[#This Row],[Description]],$Q$1:$S$101,2,FALSE))</f>
        <v/>
      </c>
      <c r="H6805" s="1" t="str">
        <f>IF(Table2[[#This Row],[Description]]="","",VLOOKUP(Table2[[#This Row],[Description]],$Q$1:$S$101,3,FALSE))</f>
        <v/>
      </c>
      <c r="I6805" s="1" t="str">
        <f>IF(Table2[[#This Row],[Description]]="","",IF(Table2[[#This Row],[Currency]]=$O$2,$P$2,HLOOKUP(Table2[[#This Row],[Date]],Funds!$C$10:$GV$11,2,FALSE)))</f>
        <v/>
      </c>
      <c r="J6805" s="215" t="str">
        <f>IF(Table2[[#This Row],[Description]]="","",Table2[[#This Row],[Value]]/Table2[[#This Row],[Conversion]])</f>
        <v/>
      </c>
      <c r="K6805" s="45" t="str">
        <f>IF(Table2[[#This Row],[Description]]="","",DATE(Table2[[#This Row],[Year]],Table2[[#This Row],[Month]],1))</f>
        <v/>
      </c>
    </row>
    <row r="6806" spans="7:11" x14ac:dyDescent="0.25">
      <c r="G6806" s="1" t="str">
        <f>IF(Table2[[#This Row],[Description]]="","",VLOOKUP(Table2[[#This Row],[Description]],$Q$1:$S$101,2,FALSE))</f>
        <v/>
      </c>
      <c r="H6806" s="1" t="str">
        <f>IF(Table2[[#This Row],[Description]]="","",VLOOKUP(Table2[[#This Row],[Description]],$Q$1:$S$101,3,FALSE))</f>
        <v/>
      </c>
      <c r="I6806" s="1" t="str">
        <f>IF(Table2[[#This Row],[Description]]="","",IF(Table2[[#This Row],[Currency]]=$O$2,$P$2,HLOOKUP(Table2[[#This Row],[Date]],Funds!$C$10:$GV$11,2,FALSE)))</f>
        <v/>
      </c>
      <c r="J6806" s="215" t="str">
        <f>IF(Table2[[#This Row],[Description]]="","",Table2[[#This Row],[Value]]/Table2[[#This Row],[Conversion]])</f>
        <v/>
      </c>
      <c r="K6806" s="45" t="str">
        <f>IF(Table2[[#This Row],[Description]]="","",DATE(Table2[[#This Row],[Year]],Table2[[#This Row],[Month]],1))</f>
        <v/>
      </c>
    </row>
    <row r="6807" spans="7:11" x14ac:dyDescent="0.25">
      <c r="G6807" s="1" t="str">
        <f>IF(Table2[[#This Row],[Description]]="","",VLOOKUP(Table2[[#This Row],[Description]],$Q$1:$S$101,2,FALSE))</f>
        <v/>
      </c>
      <c r="H6807" s="1" t="str">
        <f>IF(Table2[[#This Row],[Description]]="","",VLOOKUP(Table2[[#This Row],[Description]],$Q$1:$S$101,3,FALSE))</f>
        <v/>
      </c>
      <c r="I6807" s="1" t="str">
        <f>IF(Table2[[#This Row],[Description]]="","",IF(Table2[[#This Row],[Currency]]=$O$2,$P$2,HLOOKUP(Table2[[#This Row],[Date]],Funds!$C$10:$GV$11,2,FALSE)))</f>
        <v/>
      </c>
      <c r="J6807" s="215" t="str">
        <f>IF(Table2[[#This Row],[Description]]="","",Table2[[#This Row],[Value]]/Table2[[#This Row],[Conversion]])</f>
        <v/>
      </c>
      <c r="K6807" s="45" t="str">
        <f>IF(Table2[[#This Row],[Description]]="","",DATE(Table2[[#This Row],[Year]],Table2[[#This Row],[Month]],1))</f>
        <v/>
      </c>
    </row>
    <row r="6808" spans="7:11" x14ac:dyDescent="0.25">
      <c r="G6808" s="1" t="str">
        <f>IF(Table2[[#This Row],[Description]]="","",VLOOKUP(Table2[[#This Row],[Description]],$Q$1:$S$101,2,FALSE))</f>
        <v/>
      </c>
      <c r="H6808" s="1" t="str">
        <f>IF(Table2[[#This Row],[Description]]="","",VLOOKUP(Table2[[#This Row],[Description]],$Q$1:$S$101,3,FALSE))</f>
        <v/>
      </c>
      <c r="I6808" s="1" t="str">
        <f>IF(Table2[[#This Row],[Description]]="","",IF(Table2[[#This Row],[Currency]]=$O$2,$P$2,HLOOKUP(Table2[[#This Row],[Date]],Funds!$C$10:$GV$11,2,FALSE)))</f>
        <v/>
      </c>
      <c r="J6808" s="215" t="str">
        <f>IF(Table2[[#This Row],[Description]]="","",Table2[[#This Row],[Value]]/Table2[[#This Row],[Conversion]])</f>
        <v/>
      </c>
      <c r="K6808" s="45" t="str">
        <f>IF(Table2[[#This Row],[Description]]="","",DATE(Table2[[#This Row],[Year]],Table2[[#This Row],[Month]],1))</f>
        <v/>
      </c>
    </row>
    <row r="6809" spans="7:11" x14ac:dyDescent="0.25">
      <c r="G6809" s="1" t="str">
        <f>IF(Table2[[#This Row],[Description]]="","",VLOOKUP(Table2[[#This Row],[Description]],$Q$1:$S$101,2,FALSE))</f>
        <v/>
      </c>
      <c r="H6809" s="1" t="str">
        <f>IF(Table2[[#This Row],[Description]]="","",VLOOKUP(Table2[[#This Row],[Description]],$Q$1:$S$101,3,FALSE))</f>
        <v/>
      </c>
      <c r="I6809" s="1" t="str">
        <f>IF(Table2[[#This Row],[Description]]="","",IF(Table2[[#This Row],[Currency]]=$O$2,$P$2,HLOOKUP(Table2[[#This Row],[Date]],Funds!$C$10:$GV$11,2,FALSE)))</f>
        <v/>
      </c>
      <c r="J6809" s="215" t="str">
        <f>IF(Table2[[#This Row],[Description]]="","",Table2[[#This Row],[Value]]/Table2[[#This Row],[Conversion]])</f>
        <v/>
      </c>
      <c r="K6809" s="45" t="str">
        <f>IF(Table2[[#This Row],[Description]]="","",DATE(Table2[[#This Row],[Year]],Table2[[#This Row],[Month]],1))</f>
        <v/>
      </c>
    </row>
    <row r="6810" spans="7:11" x14ac:dyDescent="0.25">
      <c r="G6810" s="1" t="str">
        <f>IF(Table2[[#This Row],[Description]]="","",VLOOKUP(Table2[[#This Row],[Description]],$Q$1:$S$101,2,FALSE))</f>
        <v/>
      </c>
      <c r="H6810" s="1" t="str">
        <f>IF(Table2[[#This Row],[Description]]="","",VLOOKUP(Table2[[#This Row],[Description]],$Q$1:$S$101,3,FALSE))</f>
        <v/>
      </c>
      <c r="I6810" s="1" t="str">
        <f>IF(Table2[[#This Row],[Description]]="","",IF(Table2[[#This Row],[Currency]]=$O$2,$P$2,HLOOKUP(Table2[[#This Row],[Date]],Funds!$C$10:$GV$11,2,FALSE)))</f>
        <v/>
      </c>
      <c r="J6810" s="215" t="str">
        <f>IF(Table2[[#This Row],[Description]]="","",Table2[[#This Row],[Value]]/Table2[[#This Row],[Conversion]])</f>
        <v/>
      </c>
      <c r="K6810" s="45" t="str">
        <f>IF(Table2[[#This Row],[Description]]="","",DATE(Table2[[#This Row],[Year]],Table2[[#This Row],[Month]],1))</f>
        <v/>
      </c>
    </row>
    <row r="6811" spans="7:11" x14ac:dyDescent="0.25">
      <c r="G6811" s="1" t="str">
        <f>IF(Table2[[#This Row],[Description]]="","",VLOOKUP(Table2[[#This Row],[Description]],$Q$1:$S$101,2,FALSE))</f>
        <v/>
      </c>
      <c r="H6811" s="1" t="str">
        <f>IF(Table2[[#This Row],[Description]]="","",VLOOKUP(Table2[[#This Row],[Description]],$Q$1:$S$101,3,FALSE))</f>
        <v/>
      </c>
      <c r="I6811" s="1" t="str">
        <f>IF(Table2[[#This Row],[Description]]="","",IF(Table2[[#This Row],[Currency]]=$O$2,$P$2,HLOOKUP(Table2[[#This Row],[Date]],Funds!$C$10:$GV$11,2,FALSE)))</f>
        <v/>
      </c>
      <c r="J6811" s="215" t="str">
        <f>IF(Table2[[#This Row],[Description]]="","",Table2[[#This Row],[Value]]/Table2[[#This Row],[Conversion]])</f>
        <v/>
      </c>
      <c r="K6811" s="45" t="str">
        <f>IF(Table2[[#This Row],[Description]]="","",DATE(Table2[[#This Row],[Year]],Table2[[#This Row],[Month]],1))</f>
        <v/>
      </c>
    </row>
    <row r="6812" spans="7:11" x14ac:dyDescent="0.25">
      <c r="G6812" s="1" t="str">
        <f>IF(Table2[[#This Row],[Description]]="","",VLOOKUP(Table2[[#This Row],[Description]],$Q$1:$S$101,2,FALSE))</f>
        <v/>
      </c>
      <c r="H6812" s="1" t="str">
        <f>IF(Table2[[#This Row],[Description]]="","",VLOOKUP(Table2[[#This Row],[Description]],$Q$1:$S$101,3,FALSE))</f>
        <v/>
      </c>
      <c r="I6812" s="1" t="str">
        <f>IF(Table2[[#This Row],[Description]]="","",IF(Table2[[#This Row],[Currency]]=$O$2,$P$2,HLOOKUP(Table2[[#This Row],[Date]],Funds!$C$10:$GV$11,2,FALSE)))</f>
        <v/>
      </c>
      <c r="J6812" s="215" t="str">
        <f>IF(Table2[[#This Row],[Description]]="","",Table2[[#This Row],[Value]]/Table2[[#This Row],[Conversion]])</f>
        <v/>
      </c>
      <c r="K6812" s="45" t="str">
        <f>IF(Table2[[#This Row],[Description]]="","",DATE(Table2[[#This Row],[Year]],Table2[[#This Row],[Month]],1))</f>
        <v/>
      </c>
    </row>
    <row r="6813" spans="7:11" x14ac:dyDescent="0.25">
      <c r="G6813" s="1" t="str">
        <f>IF(Table2[[#This Row],[Description]]="","",VLOOKUP(Table2[[#This Row],[Description]],$Q$1:$S$101,2,FALSE))</f>
        <v/>
      </c>
      <c r="H6813" s="1" t="str">
        <f>IF(Table2[[#This Row],[Description]]="","",VLOOKUP(Table2[[#This Row],[Description]],$Q$1:$S$101,3,FALSE))</f>
        <v/>
      </c>
      <c r="I6813" s="1" t="str">
        <f>IF(Table2[[#This Row],[Description]]="","",IF(Table2[[#This Row],[Currency]]=$O$2,$P$2,HLOOKUP(Table2[[#This Row],[Date]],Funds!$C$10:$GV$11,2,FALSE)))</f>
        <v/>
      </c>
      <c r="J6813" s="215" t="str">
        <f>IF(Table2[[#This Row],[Description]]="","",Table2[[#This Row],[Value]]/Table2[[#This Row],[Conversion]])</f>
        <v/>
      </c>
      <c r="K6813" s="45" t="str">
        <f>IF(Table2[[#This Row],[Description]]="","",DATE(Table2[[#This Row],[Year]],Table2[[#This Row],[Month]],1))</f>
        <v/>
      </c>
    </row>
    <row r="6814" spans="7:11" x14ac:dyDescent="0.25">
      <c r="G6814" s="1" t="str">
        <f>IF(Table2[[#This Row],[Description]]="","",VLOOKUP(Table2[[#This Row],[Description]],$Q$1:$S$101,2,FALSE))</f>
        <v/>
      </c>
      <c r="H6814" s="1" t="str">
        <f>IF(Table2[[#This Row],[Description]]="","",VLOOKUP(Table2[[#This Row],[Description]],$Q$1:$S$101,3,FALSE))</f>
        <v/>
      </c>
      <c r="I6814" s="1" t="str">
        <f>IF(Table2[[#This Row],[Description]]="","",IF(Table2[[#This Row],[Currency]]=$O$2,$P$2,HLOOKUP(Table2[[#This Row],[Date]],Funds!$C$10:$GV$11,2,FALSE)))</f>
        <v/>
      </c>
      <c r="J6814" s="215" t="str">
        <f>IF(Table2[[#This Row],[Description]]="","",Table2[[#This Row],[Value]]/Table2[[#This Row],[Conversion]])</f>
        <v/>
      </c>
      <c r="K6814" s="45" t="str">
        <f>IF(Table2[[#This Row],[Description]]="","",DATE(Table2[[#This Row],[Year]],Table2[[#This Row],[Month]],1))</f>
        <v/>
      </c>
    </row>
    <row r="6815" spans="7:11" x14ac:dyDescent="0.25">
      <c r="G6815" s="1" t="str">
        <f>IF(Table2[[#This Row],[Description]]="","",VLOOKUP(Table2[[#This Row],[Description]],$Q$1:$S$101,2,FALSE))</f>
        <v/>
      </c>
      <c r="H6815" s="1" t="str">
        <f>IF(Table2[[#This Row],[Description]]="","",VLOOKUP(Table2[[#This Row],[Description]],$Q$1:$S$101,3,FALSE))</f>
        <v/>
      </c>
      <c r="I6815" s="1" t="str">
        <f>IF(Table2[[#This Row],[Description]]="","",IF(Table2[[#This Row],[Currency]]=$O$2,$P$2,HLOOKUP(Table2[[#This Row],[Date]],Funds!$C$10:$GV$11,2,FALSE)))</f>
        <v/>
      </c>
      <c r="J6815" s="215" t="str">
        <f>IF(Table2[[#This Row],[Description]]="","",Table2[[#This Row],[Value]]/Table2[[#This Row],[Conversion]])</f>
        <v/>
      </c>
      <c r="K6815" s="45" t="str">
        <f>IF(Table2[[#This Row],[Description]]="","",DATE(Table2[[#This Row],[Year]],Table2[[#This Row],[Month]],1))</f>
        <v/>
      </c>
    </row>
    <row r="6816" spans="7:11" x14ac:dyDescent="0.25">
      <c r="G6816" s="1" t="str">
        <f>IF(Table2[[#This Row],[Description]]="","",VLOOKUP(Table2[[#This Row],[Description]],$Q$1:$S$101,2,FALSE))</f>
        <v/>
      </c>
      <c r="H6816" s="1" t="str">
        <f>IF(Table2[[#This Row],[Description]]="","",VLOOKUP(Table2[[#This Row],[Description]],$Q$1:$S$101,3,FALSE))</f>
        <v/>
      </c>
      <c r="I6816" s="1" t="str">
        <f>IF(Table2[[#This Row],[Description]]="","",IF(Table2[[#This Row],[Currency]]=$O$2,$P$2,HLOOKUP(Table2[[#This Row],[Date]],Funds!$C$10:$GV$11,2,FALSE)))</f>
        <v/>
      </c>
      <c r="J6816" s="215" t="str">
        <f>IF(Table2[[#This Row],[Description]]="","",Table2[[#This Row],[Value]]/Table2[[#This Row],[Conversion]])</f>
        <v/>
      </c>
      <c r="K6816" s="45" t="str">
        <f>IF(Table2[[#This Row],[Description]]="","",DATE(Table2[[#This Row],[Year]],Table2[[#This Row],[Month]],1))</f>
        <v/>
      </c>
    </row>
    <row r="6817" spans="7:11" x14ac:dyDescent="0.25">
      <c r="G6817" s="1" t="str">
        <f>IF(Table2[[#This Row],[Description]]="","",VLOOKUP(Table2[[#This Row],[Description]],$Q$1:$S$101,2,FALSE))</f>
        <v/>
      </c>
      <c r="H6817" s="1" t="str">
        <f>IF(Table2[[#This Row],[Description]]="","",VLOOKUP(Table2[[#This Row],[Description]],$Q$1:$S$101,3,FALSE))</f>
        <v/>
      </c>
      <c r="I6817" s="1" t="str">
        <f>IF(Table2[[#This Row],[Description]]="","",IF(Table2[[#This Row],[Currency]]=$O$2,$P$2,HLOOKUP(Table2[[#This Row],[Date]],Funds!$C$10:$GV$11,2,FALSE)))</f>
        <v/>
      </c>
      <c r="J6817" s="215" t="str">
        <f>IF(Table2[[#This Row],[Description]]="","",Table2[[#This Row],[Value]]/Table2[[#This Row],[Conversion]])</f>
        <v/>
      </c>
      <c r="K6817" s="45" t="str">
        <f>IF(Table2[[#This Row],[Description]]="","",DATE(Table2[[#This Row],[Year]],Table2[[#This Row],[Month]],1))</f>
        <v/>
      </c>
    </row>
    <row r="6818" spans="7:11" x14ac:dyDescent="0.25">
      <c r="G6818" s="1" t="str">
        <f>IF(Table2[[#This Row],[Description]]="","",VLOOKUP(Table2[[#This Row],[Description]],$Q$1:$S$101,2,FALSE))</f>
        <v/>
      </c>
      <c r="H6818" s="1" t="str">
        <f>IF(Table2[[#This Row],[Description]]="","",VLOOKUP(Table2[[#This Row],[Description]],$Q$1:$S$101,3,FALSE))</f>
        <v/>
      </c>
      <c r="I6818" s="1" t="str">
        <f>IF(Table2[[#This Row],[Description]]="","",IF(Table2[[#This Row],[Currency]]=$O$2,$P$2,HLOOKUP(Table2[[#This Row],[Date]],Funds!$C$10:$GV$11,2,FALSE)))</f>
        <v/>
      </c>
      <c r="J6818" s="215" t="str">
        <f>IF(Table2[[#This Row],[Description]]="","",Table2[[#This Row],[Value]]/Table2[[#This Row],[Conversion]])</f>
        <v/>
      </c>
      <c r="K6818" s="45" t="str">
        <f>IF(Table2[[#This Row],[Description]]="","",DATE(Table2[[#This Row],[Year]],Table2[[#This Row],[Month]],1))</f>
        <v/>
      </c>
    </row>
    <row r="6819" spans="7:11" x14ac:dyDescent="0.25">
      <c r="G6819" s="1" t="str">
        <f>IF(Table2[[#This Row],[Description]]="","",VLOOKUP(Table2[[#This Row],[Description]],$Q$1:$S$101,2,FALSE))</f>
        <v/>
      </c>
      <c r="H6819" s="1" t="str">
        <f>IF(Table2[[#This Row],[Description]]="","",VLOOKUP(Table2[[#This Row],[Description]],$Q$1:$S$101,3,FALSE))</f>
        <v/>
      </c>
      <c r="I6819" s="1" t="str">
        <f>IF(Table2[[#This Row],[Description]]="","",IF(Table2[[#This Row],[Currency]]=$O$2,$P$2,HLOOKUP(Table2[[#This Row],[Date]],Funds!$C$10:$GV$11,2,FALSE)))</f>
        <v/>
      </c>
      <c r="J6819" s="215" t="str">
        <f>IF(Table2[[#This Row],[Description]]="","",Table2[[#This Row],[Value]]/Table2[[#This Row],[Conversion]])</f>
        <v/>
      </c>
      <c r="K6819" s="45" t="str">
        <f>IF(Table2[[#This Row],[Description]]="","",DATE(Table2[[#This Row],[Year]],Table2[[#This Row],[Month]],1))</f>
        <v/>
      </c>
    </row>
    <row r="6820" spans="7:11" x14ac:dyDescent="0.25">
      <c r="G6820" s="1" t="str">
        <f>IF(Table2[[#This Row],[Description]]="","",VLOOKUP(Table2[[#This Row],[Description]],$Q$1:$S$101,2,FALSE))</f>
        <v/>
      </c>
      <c r="H6820" s="1" t="str">
        <f>IF(Table2[[#This Row],[Description]]="","",VLOOKUP(Table2[[#This Row],[Description]],$Q$1:$S$101,3,FALSE))</f>
        <v/>
      </c>
      <c r="I6820" s="1" t="str">
        <f>IF(Table2[[#This Row],[Description]]="","",IF(Table2[[#This Row],[Currency]]=$O$2,$P$2,HLOOKUP(Table2[[#This Row],[Date]],Funds!$C$10:$GV$11,2,FALSE)))</f>
        <v/>
      </c>
      <c r="J6820" s="215" t="str">
        <f>IF(Table2[[#This Row],[Description]]="","",Table2[[#This Row],[Value]]/Table2[[#This Row],[Conversion]])</f>
        <v/>
      </c>
      <c r="K6820" s="45" t="str">
        <f>IF(Table2[[#This Row],[Description]]="","",DATE(Table2[[#This Row],[Year]],Table2[[#This Row],[Month]],1))</f>
        <v/>
      </c>
    </row>
    <row r="6821" spans="7:11" x14ac:dyDescent="0.25">
      <c r="G6821" s="1" t="str">
        <f>IF(Table2[[#This Row],[Description]]="","",VLOOKUP(Table2[[#This Row],[Description]],$Q$1:$S$101,2,FALSE))</f>
        <v/>
      </c>
      <c r="H6821" s="1" t="str">
        <f>IF(Table2[[#This Row],[Description]]="","",VLOOKUP(Table2[[#This Row],[Description]],$Q$1:$S$101,3,FALSE))</f>
        <v/>
      </c>
      <c r="I6821" s="1" t="str">
        <f>IF(Table2[[#This Row],[Description]]="","",IF(Table2[[#This Row],[Currency]]=$O$2,$P$2,HLOOKUP(Table2[[#This Row],[Date]],Funds!$C$10:$GV$11,2,FALSE)))</f>
        <v/>
      </c>
      <c r="J6821" s="215" t="str">
        <f>IF(Table2[[#This Row],[Description]]="","",Table2[[#This Row],[Value]]/Table2[[#This Row],[Conversion]])</f>
        <v/>
      </c>
      <c r="K6821" s="45" t="str">
        <f>IF(Table2[[#This Row],[Description]]="","",DATE(Table2[[#This Row],[Year]],Table2[[#This Row],[Month]],1))</f>
        <v/>
      </c>
    </row>
    <row r="6822" spans="7:11" x14ac:dyDescent="0.25">
      <c r="G6822" s="1" t="str">
        <f>IF(Table2[[#This Row],[Description]]="","",VLOOKUP(Table2[[#This Row],[Description]],$Q$1:$S$101,2,FALSE))</f>
        <v/>
      </c>
      <c r="H6822" s="1" t="str">
        <f>IF(Table2[[#This Row],[Description]]="","",VLOOKUP(Table2[[#This Row],[Description]],$Q$1:$S$101,3,FALSE))</f>
        <v/>
      </c>
      <c r="I6822" s="1" t="str">
        <f>IF(Table2[[#This Row],[Description]]="","",IF(Table2[[#This Row],[Currency]]=$O$2,$P$2,HLOOKUP(Table2[[#This Row],[Date]],Funds!$C$10:$GV$11,2,FALSE)))</f>
        <v/>
      </c>
      <c r="J6822" s="215" t="str">
        <f>IF(Table2[[#This Row],[Description]]="","",Table2[[#This Row],[Value]]/Table2[[#This Row],[Conversion]])</f>
        <v/>
      </c>
      <c r="K6822" s="45" t="str">
        <f>IF(Table2[[#This Row],[Description]]="","",DATE(Table2[[#This Row],[Year]],Table2[[#This Row],[Month]],1))</f>
        <v/>
      </c>
    </row>
    <row r="6823" spans="7:11" x14ac:dyDescent="0.25">
      <c r="G6823" s="1" t="str">
        <f>IF(Table2[[#This Row],[Description]]="","",VLOOKUP(Table2[[#This Row],[Description]],$Q$1:$S$101,2,FALSE))</f>
        <v/>
      </c>
      <c r="H6823" s="1" t="str">
        <f>IF(Table2[[#This Row],[Description]]="","",VLOOKUP(Table2[[#This Row],[Description]],$Q$1:$S$101,3,FALSE))</f>
        <v/>
      </c>
      <c r="I6823" s="1" t="str">
        <f>IF(Table2[[#This Row],[Description]]="","",IF(Table2[[#This Row],[Currency]]=$O$2,$P$2,HLOOKUP(Table2[[#This Row],[Date]],Funds!$C$10:$GV$11,2,FALSE)))</f>
        <v/>
      </c>
      <c r="J6823" s="215" t="str">
        <f>IF(Table2[[#This Row],[Description]]="","",Table2[[#This Row],[Value]]/Table2[[#This Row],[Conversion]])</f>
        <v/>
      </c>
      <c r="K6823" s="45" t="str">
        <f>IF(Table2[[#This Row],[Description]]="","",DATE(Table2[[#This Row],[Year]],Table2[[#This Row],[Month]],1))</f>
        <v/>
      </c>
    </row>
    <row r="6824" spans="7:11" x14ac:dyDescent="0.25">
      <c r="G6824" s="1" t="str">
        <f>IF(Table2[[#This Row],[Description]]="","",VLOOKUP(Table2[[#This Row],[Description]],$Q$1:$S$101,2,FALSE))</f>
        <v/>
      </c>
      <c r="H6824" s="1" t="str">
        <f>IF(Table2[[#This Row],[Description]]="","",VLOOKUP(Table2[[#This Row],[Description]],$Q$1:$S$101,3,FALSE))</f>
        <v/>
      </c>
      <c r="I6824" s="1" t="str">
        <f>IF(Table2[[#This Row],[Description]]="","",IF(Table2[[#This Row],[Currency]]=$O$2,$P$2,HLOOKUP(Table2[[#This Row],[Date]],Funds!$C$10:$GV$11,2,FALSE)))</f>
        <v/>
      </c>
      <c r="J6824" s="215" t="str">
        <f>IF(Table2[[#This Row],[Description]]="","",Table2[[#This Row],[Value]]/Table2[[#This Row],[Conversion]])</f>
        <v/>
      </c>
      <c r="K6824" s="45" t="str">
        <f>IF(Table2[[#This Row],[Description]]="","",DATE(Table2[[#This Row],[Year]],Table2[[#This Row],[Month]],1))</f>
        <v/>
      </c>
    </row>
    <row r="6825" spans="7:11" x14ac:dyDescent="0.25">
      <c r="G6825" s="1" t="str">
        <f>IF(Table2[[#This Row],[Description]]="","",VLOOKUP(Table2[[#This Row],[Description]],$Q$1:$S$101,2,FALSE))</f>
        <v/>
      </c>
      <c r="H6825" s="1" t="str">
        <f>IF(Table2[[#This Row],[Description]]="","",VLOOKUP(Table2[[#This Row],[Description]],$Q$1:$S$101,3,FALSE))</f>
        <v/>
      </c>
      <c r="I6825" s="1" t="str">
        <f>IF(Table2[[#This Row],[Description]]="","",IF(Table2[[#This Row],[Currency]]=$O$2,$P$2,HLOOKUP(Table2[[#This Row],[Date]],Funds!$C$10:$GV$11,2,FALSE)))</f>
        <v/>
      </c>
      <c r="J6825" s="215" t="str">
        <f>IF(Table2[[#This Row],[Description]]="","",Table2[[#This Row],[Value]]/Table2[[#This Row],[Conversion]])</f>
        <v/>
      </c>
      <c r="K6825" s="45" t="str">
        <f>IF(Table2[[#This Row],[Description]]="","",DATE(Table2[[#This Row],[Year]],Table2[[#This Row],[Month]],1))</f>
        <v/>
      </c>
    </row>
    <row r="6826" spans="7:11" x14ac:dyDescent="0.25">
      <c r="G6826" s="1" t="str">
        <f>IF(Table2[[#This Row],[Description]]="","",VLOOKUP(Table2[[#This Row],[Description]],$Q$1:$S$101,2,FALSE))</f>
        <v/>
      </c>
      <c r="H6826" s="1" t="str">
        <f>IF(Table2[[#This Row],[Description]]="","",VLOOKUP(Table2[[#This Row],[Description]],$Q$1:$S$101,3,FALSE))</f>
        <v/>
      </c>
      <c r="I6826" s="1" t="str">
        <f>IF(Table2[[#This Row],[Description]]="","",IF(Table2[[#This Row],[Currency]]=$O$2,$P$2,HLOOKUP(Table2[[#This Row],[Date]],Funds!$C$10:$GV$11,2,FALSE)))</f>
        <v/>
      </c>
      <c r="J6826" s="215" t="str">
        <f>IF(Table2[[#This Row],[Description]]="","",Table2[[#This Row],[Value]]/Table2[[#This Row],[Conversion]])</f>
        <v/>
      </c>
      <c r="K6826" s="45" t="str">
        <f>IF(Table2[[#This Row],[Description]]="","",DATE(Table2[[#This Row],[Year]],Table2[[#This Row],[Month]],1))</f>
        <v/>
      </c>
    </row>
    <row r="6827" spans="7:11" x14ac:dyDescent="0.25">
      <c r="G6827" s="1" t="str">
        <f>IF(Table2[[#This Row],[Description]]="","",VLOOKUP(Table2[[#This Row],[Description]],$Q$1:$S$101,2,FALSE))</f>
        <v/>
      </c>
      <c r="H6827" s="1" t="str">
        <f>IF(Table2[[#This Row],[Description]]="","",VLOOKUP(Table2[[#This Row],[Description]],$Q$1:$S$101,3,FALSE))</f>
        <v/>
      </c>
      <c r="I6827" s="1" t="str">
        <f>IF(Table2[[#This Row],[Description]]="","",IF(Table2[[#This Row],[Currency]]=$O$2,$P$2,HLOOKUP(Table2[[#This Row],[Date]],Funds!$C$10:$GV$11,2,FALSE)))</f>
        <v/>
      </c>
      <c r="J6827" s="215" t="str">
        <f>IF(Table2[[#This Row],[Description]]="","",Table2[[#This Row],[Value]]/Table2[[#This Row],[Conversion]])</f>
        <v/>
      </c>
      <c r="K6827" s="45" t="str">
        <f>IF(Table2[[#This Row],[Description]]="","",DATE(Table2[[#This Row],[Year]],Table2[[#This Row],[Month]],1))</f>
        <v/>
      </c>
    </row>
    <row r="6828" spans="7:11" x14ac:dyDescent="0.25">
      <c r="G6828" s="1" t="str">
        <f>IF(Table2[[#This Row],[Description]]="","",VLOOKUP(Table2[[#This Row],[Description]],$Q$1:$S$101,2,FALSE))</f>
        <v/>
      </c>
      <c r="H6828" s="1" t="str">
        <f>IF(Table2[[#This Row],[Description]]="","",VLOOKUP(Table2[[#This Row],[Description]],$Q$1:$S$101,3,FALSE))</f>
        <v/>
      </c>
      <c r="I6828" s="1" t="str">
        <f>IF(Table2[[#This Row],[Description]]="","",IF(Table2[[#This Row],[Currency]]=$O$2,$P$2,HLOOKUP(Table2[[#This Row],[Date]],Funds!$C$10:$GV$11,2,FALSE)))</f>
        <v/>
      </c>
      <c r="J6828" s="215" t="str">
        <f>IF(Table2[[#This Row],[Description]]="","",Table2[[#This Row],[Value]]/Table2[[#This Row],[Conversion]])</f>
        <v/>
      </c>
      <c r="K6828" s="45" t="str">
        <f>IF(Table2[[#This Row],[Description]]="","",DATE(Table2[[#This Row],[Year]],Table2[[#This Row],[Month]],1))</f>
        <v/>
      </c>
    </row>
    <row r="6829" spans="7:11" x14ac:dyDescent="0.25">
      <c r="G6829" s="1" t="str">
        <f>IF(Table2[[#This Row],[Description]]="","",VLOOKUP(Table2[[#This Row],[Description]],$Q$1:$S$101,2,FALSE))</f>
        <v/>
      </c>
      <c r="H6829" s="1" t="str">
        <f>IF(Table2[[#This Row],[Description]]="","",VLOOKUP(Table2[[#This Row],[Description]],$Q$1:$S$101,3,FALSE))</f>
        <v/>
      </c>
      <c r="I6829" s="1" t="str">
        <f>IF(Table2[[#This Row],[Description]]="","",IF(Table2[[#This Row],[Currency]]=$O$2,$P$2,HLOOKUP(Table2[[#This Row],[Date]],Funds!$C$10:$GV$11,2,FALSE)))</f>
        <v/>
      </c>
      <c r="J6829" s="215" t="str">
        <f>IF(Table2[[#This Row],[Description]]="","",Table2[[#This Row],[Value]]/Table2[[#This Row],[Conversion]])</f>
        <v/>
      </c>
      <c r="K6829" s="45" t="str">
        <f>IF(Table2[[#This Row],[Description]]="","",DATE(Table2[[#This Row],[Year]],Table2[[#This Row],[Month]],1))</f>
        <v/>
      </c>
    </row>
    <row r="6830" spans="7:11" x14ac:dyDescent="0.25">
      <c r="G6830" s="1" t="str">
        <f>IF(Table2[[#This Row],[Description]]="","",VLOOKUP(Table2[[#This Row],[Description]],$Q$1:$S$101,2,FALSE))</f>
        <v/>
      </c>
      <c r="H6830" s="1" t="str">
        <f>IF(Table2[[#This Row],[Description]]="","",VLOOKUP(Table2[[#This Row],[Description]],$Q$1:$S$101,3,FALSE))</f>
        <v/>
      </c>
      <c r="I6830" s="1" t="str">
        <f>IF(Table2[[#This Row],[Description]]="","",IF(Table2[[#This Row],[Currency]]=$O$2,$P$2,HLOOKUP(Table2[[#This Row],[Date]],Funds!$C$10:$GV$11,2,FALSE)))</f>
        <v/>
      </c>
      <c r="J6830" s="215" t="str">
        <f>IF(Table2[[#This Row],[Description]]="","",Table2[[#This Row],[Value]]/Table2[[#This Row],[Conversion]])</f>
        <v/>
      </c>
      <c r="K6830" s="45" t="str">
        <f>IF(Table2[[#This Row],[Description]]="","",DATE(Table2[[#This Row],[Year]],Table2[[#This Row],[Month]],1))</f>
        <v/>
      </c>
    </row>
    <row r="6831" spans="7:11" x14ac:dyDescent="0.25">
      <c r="G6831" s="1" t="str">
        <f>IF(Table2[[#This Row],[Description]]="","",VLOOKUP(Table2[[#This Row],[Description]],$Q$1:$S$101,2,FALSE))</f>
        <v/>
      </c>
      <c r="H6831" s="1" t="str">
        <f>IF(Table2[[#This Row],[Description]]="","",VLOOKUP(Table2[[#This Row],[Description]],$Q$1:$S$101,3,FALSE))</f>
        <v/>
      </c>
      <c r="I6831" s="1" t="str">
        <f>IF(Table2[[#This Row],[Description]]="","",IF(Table2[[#This Row],[Currency]]=$O$2,$P$2,HLOOKUP(Table2[[#This Row],[Date]],Funds!$C$10:$GV$11,2,FALSE)))</f>
        <v/>
      </c>
      <c r="J6831" s="215" t="str">
        <f>IF(Table2[[#This Row],[Description]]="","",Table2[[#This Row],[Value]]/Table2[[#This Row],[Conversion]])</f>
        <v/>
      </c>
      <c r="K6831" s="45" t="str">
        <f>IF(Table2[[#This Row],[Description]]="","",DATE(Table2[[#This Row],[Year]],Table2[[#This Row],[Month]],1))</f>
        <v/>
      </c>
    </row>
    <row r="6832" spans="7:11" x14ac:dyDescent="0.25">
      <c r="G6832" s="1" t="str">
        <f>IF(Table2[[#This Row],[Description]]="","",VLOOKUP(Table2[[#This Row],[Description]],$Q$1:$S$101,2,FALSE))</f>
        <v/>
      </c>
      <c r="H6832" s="1" t="str">
        <f>IF(Table2[[#This Row],[Description]]="","",VLOOKUP(Table2[[#This Row],[Description]],$Q$1:$S$101,3,FALSE))</f>
        <v/>
      </c>
      <c r="I6832" s="1" t="str">
        <f>IF(Table2[[#This Row],[Description]]="","",IF(Table2[[#This Row],[Currency]]=$O$2,$P$2,HLOOKUP(Table2[[#This Row],[Date]],Funds!$C$10:$GV$11,2,FALSE)))</f>
        <v/>
      </c>
      <c r="J6832" s="215" t="str">
        <f>IF(Table2[[#This Row],[Description]]="","",Table2[[#This Row],[Value]]/Table2[[#This Row],[Conversion]])</f>
        <v/>
      </c>
      <c r="K6832" s="45" t="str">
        <f>IF(Table2[[#This Row],[Description]]="","",DATE(Table2[[#This Row],[Year]],Table2[[#This Row],[Month]],1))</f>
        <v/>
      </c>
    </row>
    <row r="6833" spans="7:11" x14ac:dyDescent="0.25">
      <c r="G6833" s="1" t="str">
        <f>IF(Table2[[#This Row],[Description]]="","",VLOOKUP(Table2[[#This Row],[Description]],$Q$1:$S$101,2,FALSE))</f>
        <v/>
      </c>
      <c r="H6833" s="1" t="str">
        <f>IF(Table2[[#This Row],[Description]]="","",VLOOKUP(Table2[[#This Row],[Description]],$Q$1:$S$101,3,FALSE))</f>
        <v/>
      </c>
      <c r="I6833" s="1" t="str">
        <f>IF(Table2[[#This Row],[Description]]="","",IF(Table2[[#This Row],[Currency]]=$O$2,$P$2,HLOOKUP(Table2[[#This Row],[Date]],Funds!$C$10:$GV$11,2,FALSE)))</f>
        <v/>
      </c>
      <c r="J6833" s="215" t="str">
        <f>IF(Table2[[#This Row],[Description]]="","",Table2[[#This Row],[Value]]/Table2[[#This Row],[Conversion]])</f>
        <v/>
      </c>
      <c r="K6833" s="45" t="str">
        <f>IF(Table2[[#This Row],[Description]]="","",DATE(Table2[[#This Row],[Year]],Table2[[#This Row],[Month]],1))</f>
        <v/>
      </c>
    </row>
    <row r="6834" spans="7:11" x14ac:dyDescent="0.25">
      <c r="G6834" s="1" t="str">
        <f>IF(Table2[[#This Row],[Description]]="","",VLOOKUP(Table2[[#This Row],[Description]],$Q$1:$S$101,2,FALSE))</f>
        <v/>
      </c>
      <c r="H6834" s="1" t="str">
        <f>IF(Table2[[#This Row],[Description]]="","",VLOOKUP(Table2[[#This Row],[Description]],$Q$1:$S$101,3,FALSE))</f>
        <v/>
      </c>
      <c r="I6834" s="1" t="str">
        <f>IF(Table2[[#This Row],[Description]]="","",IF(Table2[[#This Row],[Currency]]=$O$2,$P$2,HLOOKUP(Table2[[#This Row],[Date]],Funds!$C$10:$GV$11,2,FALSE)))</f>
        <v/>
      </c>
      <c r="J6834" s="215" t="str">
        <f>IF(Table2[[#This Row],[Description]]="","",Table2[[#This Row],[Value]]/Table2[[#This Row],[Conversion]])</f>
        <v/>
      </c>
      <c r="K6834" s="45" t="str">
        <f>IF(Table2[[#This Row],[Description]]="","",DATE(Table2[[#This Row],[Year]],Table2[[#This Row],[Month]],1))</f>
        <v/>
      </c>
    </row>
    <row r="6835" spans="7:11" x14ac:dyDescent="0.25">
      <c r="G6835" s="1" t="str">
        <f>IF(Table2[[#This Row],[Description]]="","",VLOOKUP(Table2[[#This Row],[Description]],$Q$1:$S$101,2,FALSE))</f>
        <v/>
      </c>
      <c r="H6835" s="1" t="str">
        <f>IF(Table2[[#This Row],[Description]]="","",VLOOKUP(Table2[[#This Row],[Description]],$Q$1:$S$101,3,FALSE))</f>
        <v/>
      </c>
      <c r="I6835" s="1" t="str">
        <f>IF(Table2[[#This Row],[Description]]="","",IF(Table2[[#This Row],[Currency]]=$O$2,$P$2,HLOOKUP(Table2[[#This Row],[Date]],Funds!$C$10:$GV$11,2,FALSE)))</f>
        <v/>
      </c>
      <c r="J6835" s="215" t="str">
        <f>IF(Table2[[#This Row],[Description]]="","",Table2[[#This Row],[Value]]/Table2[[#This Row],[Conversion]])</f>
        <v/>
      </c>
      <c r="K6835" s="45" t="str">
        <f>IF(Table2[[#This Row],[Description]]="","",DATE(Table2[[#This Row],[Year]],Table2[[#This Row],[Month]],1))</f>
        <v/>
      </c>
    </row>
    <row r="6836" spans="7:11" x14ac:dyDescent="0.25">
      <c r="G6836" s="1" t="str">
        <f>IF(Table2[[#This Row],[Description]]="","",VLOOKUP(Table2[[#This Row],[Description]],$Q$1:$S$101,2,FALSE))</f>
        <v/>
      </c>
      <c r="H6836" s="1" t="str">
        <f>IF(Table2[[#This Row],[Description]]="","",VLOOKUP(Table2[[#This Row],[Description]],$Q$1:$S$101,3,FALSE))</f>
        <v/>
      </c>
      <c r="I6836" s="1" t="str">
        <f>IF(Table2[[#This Row],[Description]]="","",IF(Table2[[#This Row],[Currency]]=$O$2,$P$2,HLOOKUP(Table2[[#This Row],[Date]],Funds!$C$10:$GV$11,2,FALSE)))</f>
        <v/>
      </c>
      <c r="J6836" s="215" t="str">
        <f>IF(Table2[[#This Row],[Description]]="","",Table2[[#This Row],[Value]]/Table2[[#This Row],[Conversion]])</f>
        <v/>
      </c>
      <c r="K6836" s="45" t="str">
        <f>IF(Table2[[#This Row],[Description]]="","",DATE(Table2[[#This Row],[Year]],Table2[[#This Row],[Month]],1))</f>
        <v/>
      </c>
    </row>
    <row r="6837" spans="7:11" x14ac:dyDescent="0.25">
      <c r="G6837" s="1" t="str">
        <f>IF(Table2[[#This Row],[Description]]="","",VLOOKUP(Table2[[#This Row],[Description]],$Q$1:$S$101,2,FALSE))</f>
        <v/>
      </c>
      <c r="H6837" s="1" t="str">
        <f>IF(Table2[[#This Row],[Description]]="","",VLOOKUP(Table2[[#This Row],[Description]],$Q$1:$S$101,3,FALSE))</f>
        <v/>
      </c>
      <c r="I6837" s="1" t="str">
        <f>IF(Table2[[#This Row],[Description]]="","",IF(Table2[[#This Row],[Currency]]=$O$2,$P$2,HLOOKUP(Table2[[#This Row],[Date]],Funds!$C$10:$GV$11,2,FALSE)))</f>
        <v/>
      </c>
      <c r="J6837" s="215" t="str">
        <f>IF(Table2[[#This Row],[Description]]="","",Table2[[#This Row],[Value]]/Table2[[#This Row],[Conversion]])</f>
        <v/>
      </c>
      <c r="K6837" s="45" t="str">
        <f>IF(Table2[[#This Row],[Description]]="","",DATE(Table2[[#This Row],[Year]],Table2[[#This Row],[Month]],1))</f>
        <v/>
      </c>
    </row>
    <row r="6838" spans="7:11" x14ac:dyDescent="0.25">
      <c r="G6838" s="1" t="str">
        <f>IF(Table2[[#This Row],[Description]]="","",VLOOKUP(Table2[[#This Row],[Description]],$Q$1:$S$101,2,FALSE))</f>
        <v/>
      </c>
      <c r="H6838" s="1" t="str">
        <f>IF(Table2[[#This Row],[Description]]="","",VLOOKUP(Table2[[#This Row],[Description]],$Q$1:$S$101,3,FALSE))</f>
        <v/>
      </c>
      <c r="I6838" s="1" t="str">
        <f>IF(Table2[[#This Row],[Description]]="","",IF(Table2[[#This Row],[Currency]]=$O$2,$P$2,HLOOKUP(Table2[[#This Row],[Date]],Funds!$C$10:$GV$11,2,FALSE)))</f>
        <v/>
      </c>
      <c r="J6838" s="215" t="str">
        <f>IF(Table2[[#This Row],[Description]]="","",Table2[[#This Row],[Value]]/Table2[[#This Row],[Conversion]])</f>
        <v/>
      </c>
      <c r="K6838" s="45" t="str">
        <f>IF(Table2[[#This Row],[Description]]="","",DATE(Table2[[#This Row],[Year]],Table2[[#This Row],[Month]],1))</f>
        <v/>
      </c>
    </row>
    <row r="6839" spans="7:11" x14ac:dyDescent="0.25">
      <c r="G6839" s="1" t="str">
        <f>IF(Table2[[#This Row],[Description]]="","",VLOOKUP(Table2[[#This Row],[Description]],$Q$1:$S$101,2,FALSE))</f>
        <v/>
      </c>
      <c r="H6839" s="1" t="str">
        <f>IF(Table2[[#This Row],[Description]]="","",VLOOKUP(Table2[[#This Row],[Description]],$Q$1:$S$101,3,FALSE))</f>
        <v/>
      </c>
      <c r="I6839" s="1" t="str">
        <f>IF(Table2[[#This Row],[Description]]="","",IF(Table2[[#This Row],[Currency]]=$O$2,$P$2,HLOOKUP(Table2[[#This Row],[Date]],Funds!$C$10:$GV$11,2,FALSE)))</f>
        <v/>
      </c>
      <c r="J6839" s="215" t="str">
        <f>IF(Table2[[#This Row],[Description]]="","",Table2[[#This Row],[Value]]/Table2[[#This Row],[Conversion]])</f>
        <v/>
      </c>
      <c r="K6839" s="45" t="str">
        <f>IF(Table2[[#This Row],[Description]]="","",DATE(Table2[[#This Row],[Year]],Table2[[#This Row],[Month]],1))</f>
        <v/>
      </c>
    </row>
    <row r="6840" spans="7:11" x14ac:dyDescent="0.25">
      <c r="G6840" s="1" t="str">
        <f>IF(Table2[[#This Row],[Description]]="","",VLOOKUP(Table2[[#This Row],[Description]],$Q$1:$S$101,2,FALSE))</f>
        <v/>
      </c>
      <c r="H6840" s="1" t="str">
        <f>IF(Table2[[#This Row],[Description]]="","",VLOOKUP(Table2[[#This Row],[Description]],$Q$1:$S$101,3,FALSE))</f>
        <v/>
      </c>
      <c r="I6840" s="1" t="str">
        <f>IF(Table2[[#This Row],[Description]]="","",IF(Table2[[#This Row],[Currency]]=$O$2,$P$2,HLOOKUP(Table2[[#This Row],[Date]],Funds!$C$10:$GV$11,2,FALSE)))</f>
        <v/>
      </c>
      <c r="J6840" s="215" t="str">
        <f>IF(Table2[[#This Row],[Description]]="","",Table2[[#This Row],[Value]]/Table2[[#This Row],[Conversion]])</f>
        <v/>
      </c>
      <c r="K6840" s="45" t="str">
        <f>IF(Table2[[#This Row],[Description]]="","",DATE(Table2[[#This Row],[Year]],Table2[[#This Row],[Month]],1))</f>
        <v/>
      </c>
    </row>
    <row r="6841" spans="7:11" x14ac:dyDescent="0.25">
      <c r="G6841" s="1" t="str">
        <f>IF(Table2[[#This Row],[Description]]="","",VLOOKUP(Table2[[#This Row],[Description]],$Q$1:$S$101,2,FALSE))</f>
        <v/>
      </c>
      <c r="H6841" s="1" t="str">
        <f>IF(Table2[[#This Row],[Description]]="","",VLOOKUP(Table2[[#This Row],[Description]],$Q$1:$S$101,3,FALSE))</f>
        <v/>
      </c>
      <c r="I6841" s="1" t="str">
        <f>IF(Table2[[#This Row],[Description]]="","",IF(Table2[[#This Row],[Currency]]=$O$2,$P$2,HLOOKUP(Table2[[#This Row],[Date]],Funds!$C$10:$GV$11,2,FALSE)))</f>
        <v/>
      </c>
      <c r="J6841" s="215" t="str">
        <f>IF(Table2[[#This Row],[Description]]="","",Table2[[#This Row],[Value]]/Table2[[#This Row],[Conversion]])</f>
        <v/>
      </c>
      <c r="K6841" s="45" t="str">
        <f>IF(Table2[[#This Row],[Description]]="","",DATE(Table2[[#This Row],[Year]],Table2[[#This Row],[Month]],1))</f>
        <v/>
      </c>
    </row>
    <row r="6842" spans="7:11" x14ac:dyDescent="0.25">
      <c r="G6842" s="1" t="str">
        <f>IF(Table2[[#This Row],[Description]]="","",VLOOKUP(Table2[[#This Row],[Description]],$Q$1:$S$101,2,FALSE))</f>
        <v/>
      </c>
      <c r="H6842" s="1" t="str">
        <f>IF(Table2[[#This Row],[Description]]="","",VLOOKUP(Table2[[#This Row],[Description]],$Q$1:$S$101,3,FALSE))</f>
        <v/>
      </c>
      <c r="I6842" s="1" t="str">
        <f>IF(Table2[[#This Row],[Description]]="","",IF(Table2[[#This Row],[Currency]]=$O$2,$P$2,HLOOKUP(Table2[[#This Row],[Date]],Funds!$C$10:$GV$11,2,FALSE)))</f>
        <v/>
      </c>
      <c r="J6842" s="215" t="str">
        <f>IF(Table2[[#This Row],[Description]]="","",Table2[[#This Row],[Value]]/Table2[[#This Row],[Conversion]])</f>
        <v/>
      </c>
      <c r="K6842" s="45" t="str">
        <f>IF(Table2[[#This Row],[Description]]="","",DATE(Table2[[#This Row],[Year]],Table2[[#This Row],[Month]],1))</f>
        <v/>
      </c>
    </row>
    <row r="6843" spans="7:11" x14ac:dyDescent="0.25">
      <c r="G6843" s="1" t="str">
        <f>IF(Table2[[#This Row],[Description]]="","",VLOOKUP(Table2[[#This Row],[Description]],$Q$1:$S$101,2,FALSE))</f>
        <v/>
      </c>
      <c r="H6843" s="1" t="str">
        <f>IF(Table2[[#This Row],[Description]]="","",VLOOKUP(Table2[[#This Row],[Description]],$Q$1:$S$101,3,FALSE))</f>
        <v/>
      </c>
      <c r="I6843" s="1" t="str">
        <f>IF(Table2[[#This Row],[Description]]="","",IF(Table2[[#This Row],[Currency]]=$O$2,$P$2,HLOOKUP(Table2[[#This Row],[Date]],Funds!$C$10:$GV$11,2,FALSE)))</f>
        <v/>
      </c>
      <c r="J6843" s="215" t="str">
        <f>IF(Table2[[#This Row],[Description]]="","",Table2[[#This Row],[Value]]/Table2[[#This Row],[Conversion]])</f>
        <v/>
      </c>
      <c r="K6843" s="45" t="str">
        <f>IF(Table2[[#This Row],[Description]]="","",DATE(Table2[[#This Row],[Year]],Table2[[#This Row],[Month]],1))</f>
        <v/>
      </c>
    </row>
    <row r="6844" spans="7:11" x14ac:dyDescent="0.25">
      <c r="G6844" s="1" t="str">
        <f>IF(Table2[[#This Row],[Description]]="","",VLOOKUP(Table2[[#This Row],[Description]],$Q$1:$S$101,2,FALSE))</f>
        <v/>
      </c>
      <c r="H6844" s="1" t="str">
        <f>IF(Table2[[#This Row],[Description]]="","",VLOOKUP(Table2[[#This Row],[Description]],$Q$1:$S$101,3,FALSE))</f>
        <v/>
      </c>
      <c r="I6844" s="1" t="str">
        <f>IF(Table2[[#This Row],[Description]]="","",IF(Table2[[#This Row],[Currency]]=$O$2,$P$2,HLOOKUP(Table2[[#This Row],[Date]],Funds!$C$10:$GV$11,2,FALSE)))</f>
        <v/>
      </c>
      <c r="J6844" s="215" t="str">
        <f>IF(Table2[[#This Row],[Description]]="","",Table2[[#This Row],[Value]]/Table2[[#This Row],[Conversion]])</f>
        <v/>
      </c>
      <c r="K6844" s="45" t="str">
        <f>IF(Table2[[#This Row],[Description]]="","",DATE(Table2[[#This Row],[Year]],Table2[[#This Row],[Month]],1))</f>
        <v/>
      </c>
    </row>
    <row r="6845" spans="7:11" x14ac:dyDescent="0.25">
      <c r="G6845" s="1" t="str">
        <f>IF(Table2[[#This Row],[Description]]="","",VLOOKUP(Table2[[#This Row],[Description]],$Q$1:$S$101,2,FALSE))</f>
        <v/>
      </c>
      <c r="H6845" s="1" t="str">
        <f>IF(Table2[[#This Row],[Description]]="","",VLOOKUP(Table2[[#This Row],[Description]],$Q$1:$S$101,3,FALSE))</f>
        <v/>
      </c>
      <c r="I6845" s="1" t="str">
        <f>IF(Table2[[#This Row],[Description]]="","",IF(Table2[[#This Row],[Currency]]=$O$2,$P$2,HLOOKUP(Table2[[#This Row],[Date]],Funds!$C$10:$GV$11,2,FALSE)))</f>
        <v/>
      </c>
      <c r="J6845" s="215" t="str">
        <f>IF(Table2[[#This Row],[Description]]="","",Table2[[#This Row],[Value]]/Table2[[#This Row],[Conversion]])</f>
        <v/>
      </c>
      <c r="K6845" s="45" t="str">
        <f>IF(Table2[[#This Row],[Description]]="","",DATE(Table2[[#This Row],[Year]],Table2[[#This Row],[Month]],1))</f>
        <v/>
      </c>
    </row>
    <row r="6846" spans="7:11" x14ac:dyDescent="0.25">
      <c r="G6846" s="1" t="str">
        <f>IF(Table2[[#This Row],[Description]]="","",VLOOKUP(Table2[[#This Row],[Description]],$Q$1:$S$101,2,FALSE))</f>
        <v/>
      </c>
      <c r="H6846" s="1" t="str">
        <f>IF(Table2[[#This Row],[Description]]="","",VLOOKUP(Table2[[#This Row],[Description]],$Q$1:$S$101,3,FALSE))</f>
        <v/>
      </c>
      <c r="I6846" s="1" t="str">
        <f>IF(Table2[[#This Row],[Description]]="","",IF(Table2[[#This Row],[Currency]]=$O$2,$P$2,HLOOKUP(Table2[[#This Row],[Date]],Funds!$C$10:$GV$11,2,FALSE)))</f>
        <v/>
      </c>
      <c r="J6846" s="215" t="str">
        <f>IF(Table2[[#This Row],[Description]]="","",Table2[[#This Row],[Value]]/Table2[[#This Row],[Conversion]])</f>
        <v/>
      </c>
      <c r="K6846" s="45" t="str">
        <f>IF(Table2[[#This Row],[Description]]="","",DATE(Table2[[#This Row],[Year]],Table2[[#This Row],[Month]],1))</f>
        <v/>
      </c>
    </row>
    <row r="6847" spans="7:11" x14ac:dyDescent="0.25">
      <c r="G6847" s="1" t="str">
        <f>IF(Table2[[#This Row],[Description]]="","",VLOOKUP(Table2[[#This Row],[Description]],$Q$1:$S$101,2,FALSE))</f>
        <v/>
      </c>
      <c r="H6847" s="1" t="str">
        <f>IF(Table2[[#This Row],[Description]]="","",VLOOKUP(Table2[[#This Row],[Description]],$Q$1:$S$101,3,FALSE))</f>
        <v/>
      </c>
      <c r="I6847" s="1" t="str">
        <f>IF(Table2[[#This Row],[Description]]="","",IF(Table2[[#This Row],[Currency]]=$O$2,$P$2,HLOOKUP(Table2[[#This Row],[Date]],Funds!$C$10:$GV$11,2,FALSE)))</f>
        <v/>
      </c>
      <c r="J6847" s="215" t="str">
        <f>IF(Table2[[#This Row],[Description]]="","",Table2[[#This Row],[Value]]/Table2[[#This Row],[Conversion]])</f>
        <v/>
      </c>
      <c r="K6847" s="45" t="str">
        <f>IF(Table2[[#This Row],[Description]]="","",DATE(Table2[[#This Row],[Year]],Table2[[#This Row],[Month]],1))</f>
        <v/>
      </c>
    </row>
    <row r="6848" spans="7:11" x14ac:dyDescent="0.25">
      <c r="G6848" s="1" t="str">
        <f>IF(Table2[[#This Row],[Description]]="","",VLOOKUP(Table2[[#This Row],[Description]],$Q$1:$S$101,2,FALSE))</f>
        <v/>
      </c>
      <c r="H6848" s="1" t="str">
        <f>IF(Table2[[#This Row],[Description]]="","",VLOOKUP(Table2[[#This Row],[Description]],$Q$1:$S$101,3,FALSE))</f>
        <v/>
      </c>
      <c r="I6848" s="1" t="str">
        <f>IF(Table2[[#This Row],[Description]]="","",IF(Table2[[#This Row],[Currency]]=$O$2,$P$2,HLOOKUP(Table2[[#This Row],[Date]],Funds!$C$10:$GV$11,2,FALSE)))</f>
        <v/>
      </c>
      <c r="J6848" s="215" t="str">
        <f>IF(Table2[[#This Row],[Description]]="","",Table2[[#This Row],[Value]]/Table2[[#This Row],[Conversion]])</f>
        <v/>
      </c>
      <c r="K6848" s="45" t="str">
        <f>IF(Table2[[#This Row],[Description]]="","",DATE(Table2[[#This Row],[Year]],Table2[[#This Row],[Month]],1))</f>
        <v/>
      </c>
    </row>
    <row r="6849" spans="7:11" x14ac:dyDescent="0.25">
      <c r="G6849" s="1" t="str">
        <f>IF(Table2[[#This Row],[Description]]="","",VLOOKUP(Table2[[#This Row],[Description]],$Q$1:$S$101,2,FALSE))</f>
        <v/>
      </c>
      <c r="H6849" s="1" t="str">
        <f>IF(Table2[[#This Row],[Description]]="","",VLOOKUP(Table2[[#This Row],[Description]],$Q$1:$S$101,3,FALSE))</f>
        <v/>
      </c>
      <c r="I6849" s="1" t="str">
        <f>IF(Table2[[#This Row],[Description]]="","",IF(Table2[[#This Row],[Currency]]=$O$2,$P$2,HLOOKUP(Table2[[#This Row],[Date]],Funds!$C$10:$GV$11,2,FALSE)))</f>
        <v/>
      </c>
      <c r="J6849" s="215" t="str">
        <f>IF(Table2[[#This Row],[Description]]="","",Table2[[#This Row],[Value]]/Table2[[#This Row],[Conversion]])</f>
        <v/>
      </c>
      <c r="K6849" s="45" t="str">
        <f>IF(Table2[[#This Row],[Description]]="","",DATE(Table2[[#This Row],[Year]],Table2[[#This Row],[Month]],1))</f>
        <v/>
      </c>
    </row>
    <row r="6850" spans="7:11" x14ac:dyDescent="0.25">
      <c r="G6850" s="1" t="str">
        <f>IF(Table2[[#This Row],[Description]]="","",VLOOKUP(Table2[[#This Row],[Description]],$Q$1:$S$101,2,FALSE))</f>
        <v/>
      </c>
      <c r="H6850" s="1" t="str">
        <f>IF(Table2[[#This Row],[Description]]="","",VLOOKUP(Table2[[#This Row],[Description]],$Q$1:$S$101,3,FALSE))</f>
        <v/>
      </c>
      <c r="I6850" s="1" t="str">
        <f>IF(Table2[[#This Row],[Description]]="","",IF(Table2[[#This Row],[Currency]]=$O$2,$P$2,HLOOKUP(Table2[[#This Row],[Date]],Funds!$C$10:$GV$11,2,FALSE)))</f>
        <v/>
      </c>
      <c r="J6850" s="215" t="str">
        <f>IF(Table2[[#This Row],[Description]]="","",Table2[[#This Row],[Value]]/Table2[[#This Row],[Conversion]])</f>
        <v/>
      </c>
      <c r="K6850" s="45" t="str">
        <f>IF(Table2[[#This Row],[Description]]="","",DATE(Table2[[#This Row],[Year]],Table2[[#This Row],[Month]],1))</f>
        <v/>
      </c>
    </row>
    <row r="6851" spans="7:11" x14ac:dyDescent="0.25">
      <c r="G6851" s="1" t="str">
        <f>IF(Table2[[#This Row],[Description]]="","",VLOOKUP(Table2[[#This Row],[Description]],$Q$1:$S$101,2,FALSE))</f>
        <v/>
      </c>
      <c r="H6851" s="1" t="str">
        <f>IF(Table2[[#This Row],[Description]]="","",VLOOKUP(Table2[[#This Row],[Description]],$Q$1:$S$101,3,FALSE))</f>
        <v/>
      </c>
      <c r="I6851" s="1" t="str">
        <f>IF(Table2[[#This Row],[Description]]="","",IF(Table2[[#This Row],[Currency]]=$O$2,$P$2,HLOOKUP(Table2[[#This Row],[Date]],Funds!$C$10:$GV$11,2,FALSE)))</f>
        <v/>
      </c>
      <c r="J6851" s="215" t="str">
        <f>IF(Table2[[#This Row],[Description]]="","",Table2[[#This Row],[Value]]/Table2[[#This Row],[Conversion]])</f>
        <v/>
      </c>
      <c r="K6851" s="45" t="str">
        <f>IF(Table2[[#This Row],[Description]]="","",DATE(Table2[[#This Row],[Year]],Table2[[#This Row],[Month]],1))</f>
        <v/>
      </c>
    </row>
    <row r="6852" spans="7:11" x14ac:dyDescent="0.25">
      <c r="G6852" s="1" t="str">
        <f>IF(Table2[[#This Row],[Description]]="","",VLOOKUP(Table2[[#This Row],[Description]],$Q$1:$S$101,2,FALSE))</f>
        <v/>
      </c>
      <c r="H6852" s="1" t="str">
        <f>IF(Table2[[#This Row],[Description]]="","",VLOOKUP(Table2[[#This Row],[Description]],$Q$1:$S$101,3,FALSE))</f>
        <v/>
      </c>
      <c r="I6852" s="1" t="str">
        <f>IF(Table2[[#This Row],[Description]]="","",IF(Table2[[#This Row],[Currency]]=$O$2,$P$2,HLOOKUP(Table2[[#This Row],[Date]],Funds!$C$10:$GV$11,2,FALSE)))</f>
        <v/>
      </c>
      <c r="J6852" s="215" t="str">
        <f>IF(Table2[[#This Row],[Description]]="","",Table2[[#This Row],[Value]]/Table2[[#This Row],[Conversion]])</f>
        <v/>
      </c>
      <c r="K6852" s="45" t="str">
        <f>IF(Table2[[#This Row],[Description]]="","",DATE(Table2[[#This Row],[Year]],Table2[[#This Row],[Month]],1))</f>
        <v/>
      </c>
    </row>
    <row r="6853" spans="7:11" x14ac:dyDescent="0.25">
      <c r="G6853" s="1" t="str">
        <f>IF(Table2[[#This Row],[Description]]="","",VLOOKUP(Table2[[#This Row],[Description]],$Q$1:$S$101,2,FALSE))</f>
        <v/>
      </c>
      <c r="H6853" s="1" t="str">
        <f>IF(Table2[[#This Row],[Description]]="","",VLOOKUP(Table2[[#This Row],[Description]],$Q$1:$S$101,3,FALSE))</f>
        <v/>
      </c>
      <c r="I6853" s="1" t="str">
        <f>IF(Table2[[#This Row],[Description]]="","",IF(Table2[[#This Row],[Currency]]=$O$2,$P$2,HLOOKUP(Table2[[#This Row],[Date]],Funds!$C$10:$GV$11,2,FALSE)))</f>
        <v/>
      </c>
      <c r="J6853" s="215" t="str">
        <f>IF(Table2[[#This Row],[Description]]="","",Table2[[#This Row],[Value]]/Table2[[#This Row],[Conversion]])</f>
        <v/>
      </c>
      <c r="K6853" s="45" t="str">
        <f>IF(Table2[[#This Row],[Description]]="","",DATE(Table2[[#This Row],[Year]],Table2[[#This Row],[Month]],1))</f>
        <v/>
      </c>
    </row>
    <row r="6854" spans="7:11" x14ac:dyDescent="0.25">
      <c r="G6854" s="1" t="str">
        <f>IF(Table2[[#This Row],[Description]]="","",VLOOKUP(Table2[[#This Row],[Description]],$Q$1:$S$101,2,FALSE))</f>
        <v/>
      </c>
      <c r="H6854" s="1" t="str">
        <f>IF(Table2[[#This Row],[Description]]="","",VLOOKUP(Table2[[#This Row],[Description]],$Q$1:$S$101,3,FALSE))</f>
        <v/>
      </c>
      <c r="I6854" s="1" t="str">
        <f>IF(Table2[[#This Row],[Description]]="","",IF(Table2[[#This Row],[Currency]]=$O$2,$P$2,HLOOKUP(Table2[[#This Row],[Date]],Funds!$C$10:$GV$11,2,FALSE)))</f>
        <v/>
      </c>
      <c r="J6854" s="215" t="str">
        <f>IF(Table2[[#This Row],[Description]]="","",Table2[[#This Row],[Value]]/Table2[[#This Row],[Conversion]])</f>
        <v/>
      </c>
      <c r="K6854" s="45" t="str">
        <f>IF(Table2[[#This Row],[Description]]="","",DATE(Table2[[#This Row],[Year]],Table2[[#This Row],[Month]],1))</f>
        <v/>
      </c>
    </row>
    <row r="6855" spans="7:11" x14ac:dyDescent="0.25">
      <c r="G6855" s="1" t="str">
        <f>IF(Table2[[#This Row],[Description]]="","",VLOOKUP(Table2[[#This Row],[Description]],$Q$1:$S$101,2,FALSE))</f>
        <v/>
      </c>
      <c r="H6855" s="1" t="str">
        <f>IF(Table2[[#This Row],[Description]]="","",VLOOKUP(Table2[[#This Row],[Description]],$Q$1:$S$101,3,FALSE))</f>
        <v/>
      </c>
      <c r="I6855" s="1" t="str">
        <f>IF(Table2[[#This Row],[Description]]="","",IF(Table2[[#This Row],[Currency]]=$O$2,$P$2,HLOOKUP(Table2[[#This Row],[Date]],Funds!$C$10:$GV$11,2,FALSE)))</f>
        <v/>
      </c>
      <c r="J6855" s="215" t="str">
        <f>IF(Table2[[#This Row],[Description]]="","",Table2[[#This Row],[Value]]/Table2[[#This Row],[Conversion]])</f>
        <v/>
      </c>
      <c r="K6855" s="45" t="str">
        <f>IF(Table2[[#This Row],[Description]]="","",DATE(Table2[[#This Row],[Year]],Table2[[#This Row],[Month]],1))</f>
        <v/>
      </c>
    </row>
    <row r="6856" spans="7:11" x14ac:dyDescent="0.25">
      <c r="G6856" s="1" t="str">
        <f>IF(Table2[[#This Row],[Description]]="","",VLOOKUP(Table2[[#This Row],[Description]],$Q$1:$S$101,2,FALSE))</f>
        <v/>
      </c>
      <c r="H6856" s="1" t="str">
        <f>IF(Table2[[#This Row],[Description]]="","",VLOOKUP(Table2[[#This Row],[Description]],$Q$1:$S$101,3,FALSE))</f>
        <v/>
      </c>
      <c r="I6856" s="1" t="str">
        <f>IF(Table2[[#This Row],[Description]]="","",IF(Table2[[#This Row],[Currency]]=$O$2,$P$2,HLOOKUP(Table2[[#This Row],[Date]],Funds!$C$10:$GV$11,2,FALSE)))</f>
        <v/>
      </c>
      <c r="J6856" s="215" t="str">
        <f>IF(Table2[[#This Row],[Description]]="","",Table2[[#This Row],[Value]]/Table2[[#This Row],[Conversion]])</f>
        <v/>
      </c>
      <c r="K6856" s="45" t="str">
        <f>IF(Table2[[#This Row],[Description]]="","",DATE(Table2[[#This Row],[Year]],Table2[[#This Row],[Month]],1))</f>
        <v/>
      </c>
    </row>
    <row r="6857" spans="7:11" x14ac:dyDescent="0.25">
      <c r="G6857" s="1" t="str">
        <f>IF(Table2[[#This Row],[Description]]="","",VLOOKUP(Table2[[#This Row],[Description]],$Q$1:$S$101,2,FALSE))</f>
        <v/>
      </c>
      <c r="H6857" s="1" t="str">
        <f>IF(Table2[[#This Row],[Description]]="","",VLOOKUP(Table2[[#This Row],[Description]],$Q$1:$S$101,3,FALSE))</f>
        <v/>
      </c>
      <c r="I6857" s="1" t="str">
        <f>IF(Table2[[#This Row],[Description]]="","",IF(Table2[[#This Row],[Currency]]=$O$2,$P$2,HLOOKUP(Table2[[#This Row],[Date]],Funds!$C$10:$GV$11,2,FALSE)))</f>
        <v/>
      </c>
      <c r="J6857" s="215" t="str">
        <f>IF(Table2[[#This Row],[Description]]="","",Table2[[#This Row],[Value]]/Table2[[#This Row],[Conversion]])</f>
        <v/>
      </c>
      <c r="K6857" s="45" t="str">
        <f>IF(Table2[[#This Row],[Description]]="","",DATE(Table2[[#This Row],[Year]],Table2[[#This Row],[Month]],1))</f>
        <v/>
      </c>
    </row>
    <row r="6858" spans="7:11" x14ac:dyDescent="0.25">
      <c r="G6858" s="1" t="str">
        <f>IF(Table2[[#This Row],[Description]]="","",VLOOKUP(Table2[[#This Row],[Description]],$Q$1:$S$101,2,FALSE))</f>
        <v/>
      </c>
      <c r="H6858" s="1" t="str">
        <f>IF(Table2[[#This Row],[Description]]="","",VLOOKUP(Table2[[#This Row],[Description]],$Q$1:$S$101,3,FALSE))</f>
        <v/>
      </c>
      <c r="I6858" s="1" t="str">
        <f>IF(Table2[[#This Row],[Description]]="","",IF(Table2[[#This Row],[Currency]]=$O$2,$P$2,HLOOKUP(Table2[[#This Row],[Date]],Funds!$C$10:$GV$11,2,FALSE)))</f>
        <v/>
      </c>
      <c r="J6858" s="215" t="str">
        <f>IF(Table2[[#This Row],[Description]]="","",Table2[[#This Row],[Value]]/Table2[[#This Row],[Conversion]])</f>
        <v/>
      </c>
      <c r="K6858" s="45" t="str">
        <f>IF(Table2[[#This Row],[Description]]="","",DATE(Table2[[#This Row],[Year]],Table2[[#This Row],[Month]],1))</f>
        <v/>
      </c>
    </row>
    <row r="6859" spans="7:11" x14ac:dyDescent="0.25">
      <c r="G6859" s="1" t="str">
        <f>IF(Table2[[#This Row],[Description]]="","",VLOOKUP(Table2[[#This Row],[Description]],$Q$1:$S$101,2,FALSE))</f>
        <v/>
      </c>
      <c r="H6859" s="1" t="str">
        <f>IF(Table2[[#This Row],[Description]]="","",VLOOKUP(Table2[[#This Row],[Description]],$Q$1:$S$101,3,FALSE))</f>
        <v/>
      </c>
      <c r="I6859" s="1" t="str">
        <f>IF(Table2[[#This Row],[Description]]="","",IF(Table2[[#This Row],[Currency]]=$O$2,$P$2,HLOOKUP(Table2[[#This Row],[Date]],Funds!$C$10:$GV$11,2,FALSE)))</f>
        <v/>
      </c>
      <c r="J6859" s="215" t="str">
        <f>IF(Table2[[#This Row],[Description]]="","",Table2[[#This Row],[Value]]/Table2[[#This Row],[Conversion]])</f>
        <v/>
      </c>
      <c r="K6859" s="45" t="str">
        <f>IF(Table2[[#This Row],[Description]]="","",DATE(Table2[[#This Row],[Year]],Table2[[#This Row],[Month]],1))</f>
        <v/>
      </c>
    </row>
    <row r="6860" spans="7:11" x14ac:dyDescent="0.25">
      <c r="G6860" s="1" t="str">
        <f>IF(Table2[[#This Row],[Description]]="","",VLOOKUP(Table2[[#This Row],[Description]],$Q$1:$S$101,2,FALSE))</f>
        <v/>
      </c>
      <c r="H6860" s="1" t="str">
        <f>IF(Table2[[#This Row],[Description]]="","",VLOOKUP(Table2[[#This Row],[Description]],$Q$1:$S$101,3,FALSE))</f>
        <v/>
      </c>
      <c r="I6860" s="1" t="str">
        <f>IF(Table2[[#This Row],[Description]]="","",IF(Table2[[#This Row],[Currency]]=$O$2,$P$2,HLOOKUP(Table2[[#This Row],[Date]],Funds!$C$10:$GV$11,2,FALSE)))</f>
        <v/>
      </c>
      <c r="J6860" s="215" t="str">
        <f>IF(Table2[[#This Row],[Description]]="","",Table2[[#This Row],[Value]]/Table2[[#This Row],[Conversion]])</f>
        <v/>
      </c>
      <c r="K6860" s="45" t="str">
        <f>IF(Table2[[#This Row],[Description]]="","",DATE(Table2[[#This Row],[Year]],Table2[[#This Row],[Month]],1))</f>
        <v/>
      </c>
    </row>
    <row r="6861" spans="7:11" x14ac:dyDescent="0.25">
      <c r="G6861" s="1" t="str">
        <f>IF(Table2[[#This Row],[Description]]="","",VLOOKUP(Table2[[#This Row],[Description]],$Q$1:$S$101,2,FALSE))</f>
        <v/>
      </c>
      <c r="H6861" s="1" t="str">
        <f>IF(Table2[[#This Row],[Description]]="","",VLOOKUP(Table2[[#This Row],[Description]],$Q$1:$S$101,3,FALSE))</f>
        <v/>
      </c>
      <c r="I6861" s="1" t="str">
        <f>IF(Table2[[#This Row],[Description]]="","",IF(Table2[[#This Row],[Currency]]=$O$2,$P$2,HLOOKUP(Table2[[#This Row],[Date]],Funds!$C$10:$GV$11,2,FALSE)))</f>
        <v/>
      </c>
      <c r="J6861" s="215" t="str">
        <f>IF(Table2[[#This Row],[Description]]="","",Table2[[#This Row],[Value]]/Table2[[#This Row],[Conversion]])</f>
        <v/>
      </c>
      <c r="K6861" s="45" t="str">
        <f>IF(Table2[[#This Row],[Description]]="","",DATE(Table2[[#This Row],[Year]],Table2[[#This Row],[Month]],1))</f>
        <v/>
      </c>
    </row>
    <row r="6862" spans="7:11" x14ac:dyDescent="0.25">
      <c r="G6862" s="1" t="str">
        <f>IF(Table2[[#This Row],[Description]]="","",VLOOKUP(Table2[[#This Row],[Description]],$Q$1:$S$101,2,FALSE))</f>
        <v/>
      </c>
      <c r="H6862" s="1" t="str">
        <f>IF(Table2[[#This Row],[Description]]="","",VLOOKUP(Table2[[#This Row],[Description]],$Q$1:$S$101,3,FALSE))</f>
        <v/>
      </c>
      <c r="I6862" s="1" t="str">
        <f>IF(Table2[[#This Row],[Description]]="","",IF(Table2[[#This Row],[Currency]]=$O$2,$P$2,HLOOKUP(Table2[[#This Row],[Date]],Funds!$C$10:$GV$11,2,FALSE)))</f>
        <v/>
      </c>
      <c r="J6862" s="215" t="str">
        <f>IF(Table2[[#This Row],[Description]]="","",Table2[[#This Row],[Value]]/Table2[[#This Row],[Conversion]])</f>
        <v/>
      </c>
      <c r="K6862" s="45" t="str">
        <f>IF(Table2[[#This Row],[Description]]="","",DATE(Table2[[#This Row],[Year]],Table2[[#This Row],[Month]],1))</f>
        <v/>
      </c>
    </row>
    <row r="6863" spans="7:11" x14ac:dyDescent="0.25">
      <c r="G6863" s="1" t="str">
        <f>IF(Table2[[#This Row],[Description]]="","",VLOOKUP(Table2[[#This Row],[Description]],$Q$1:$S$101,2,FALSE))</f>
        <v/>
      </c>
      <c r="H6863" s="1" t="str">
        <f>IF(Table2[[#This Row],[Description]]="","",VLOOKUP(Table2[[#This Row],[Description]],$Q$1:$S$101,3,FALSE))</f>
        <v/>
      </c>
      <c r="I6863" s="1" t="str">
        <f>IF(Table2[[#This Row],[Description]]="","",IF(Table2[[#This Row],[Currency]]=$O$2,$P$2,HLOOKUP(Table2[[#This Row],[Date]],Funds!$C$10:$GV$11,2,FALSE)))</f>
        <v/>
      </c>
      <c r="J6863" s="215" t="str">
        <f>IF(Table2[[#This Row],[Description]]="","",Table2[[#This Row],[Value]]/Table2[[#This Row],[Conversion]])</f>
        <v/>
      </c>
      <c r="K6863" s="45" t="str">
        <f>IF(Table2[[#This Row],[Description]]="","",DATE(Table2[[#This Row],[Year]],Table2[[#This Row],[Month]],1))</f>
        <v/>
      </c>
    </row>
    <row r="6864" spans="7:11" x14ac:dyDescent="0.25">
      <c r="G6864" s="1" t="str">
        <f>IF(Table2[[#This Row],[Description]]="","",VLOOKUP(Table2[[#This Row],[Description]],$Q$1:$S$101,2,FALSE))</f>
        <v/>
      </c>
      <c r="H6864" s="1" t="str">
        <f>IF(Table2[[#This Row],[Description]]="","",VLOOKUP(Table2[[#This Row],[Description]],$Q$1:$S$101,3,FALSE))</f>
        <v/>
      </c>
      <c r="I6864" s="1" t="str">
        <f>IF(Table2[[#This Row],[Description]]="","",IF(Table2[[#This Row],[Currency]]=$O$2,$P$2,HLOOKUP(Table2[[#This Row],[Date]],Funds!$C$10:$GV$11,2,FALSE)))</f>
        <v/>
      </c>
      <c r="J6864" s="215" t="str">
        <f>IF(Table2[[#This Row],[Description]]="","",Table2[[#This Row],[Value]]/Table2[[#This Row],[Conversion]])</f>
        <v/>
      </c>
      <c r="K6864" s="45" t="str">
        <f>IF(Table2[[#This Row],[Description]]="","",DATE(Table2[[#This Row],[Year]],Table2[[#This Row],[Month]],1))</f>
        <v/>
      </c>
    </row>
    <row r="6865" spans="7:11" x14ac:dyDescent="0.25">
      <c r="G6865" s="1" t="str">
        <f>IF(Table2[[#This Row],[Description]]="","",VLOOKUP(Table2[[#This Row],[Description]],$Q$1:$S$101,2,FALSE))</f>
        <v/>
      </c>
      <c r="H6865" s="1" t="str">
        <f>IF(Table2[[#This Row],[Description]]="","",VLOOKUP(Table2[[#This Row],[Description]],$Q$1:$S$101,3,FALSE))</f>
        <v/>
      </c>
      <c r="I6865" s="1" t="str">
        <f>IF(Table2[[#This Row],[Description]]="","",IF(Table2[[#This Row],[Currency]]=$O$2,$P$2,HLOOKUP(Table2[[#This Row],[Date]],Funds!$C$10:$GV$11,2,FALSE)))</f>
        <v/>
      </c>
      <c r="J6865" s="215" t="str">
        <f>IF(Table2[[#This Row],[Description]]="","",Table2[[#This Row],[Value]]/Table2[[#This Row],[Conversion]])</f>
        <v/>
      </c>
      <c r="K6865" s="45" t="str">
        <f>IF(Table2[[#This Row],[Description]]="","",DATE(Table2[[#This Row],[Year]],Table2[[#This Row],[Month]],1))</f>
        <v/>
      </c>
    </row>
    <row r="6866" spans="7:11" x14ac:dyDescent="0.25">
      <c r="G6866" s="1" t="str">
        <f>IF(Table2[[#This Row],[Description]]="","",VLOOKUP(Table2[[#This Row],[Description]],$Q$1:$S$101,2,FALSE))</f>
        <v/>
      </c>
      <c r="H6866" s="1" t="str">
        <f>IF(Table2[[#This Row],[Description]]="","",VLOOKUP(Table2[[#This Row],[Description]],$Q$1:$S$101,3,FALSE))</f>
        <v/>
      </c>
      <c r="I6866" s="1" t="str">
        <f>IF(Table2[[#This Row],[Description]]="","",IF(Table2[[#This Row],[Currency]]=$O$2,$P$2,HLOOKUP(Table2[[#This Row],[Date]],Funds!$C$10:$GV$11,2,FALSE)))</f>
        <v/>
      </c>
      <c r="J6866" s="215" t="str">
        <f>IF(Table2[[#This Row],[Description]]="","",Table2[[#This Row],[Value]]/Table2[[#This Row],[Conversion]])</f>
        <v/>
      </c>
      <c r="K6866" s="45" t="str">
        <f>IF(Table2[[#This Row],[Description]]="","",DATE(Table2[[#This Row],[Year]],Table2[[#This Row],[Month]],1))</f>
        <v/>
      </c>
    </row>
    <row r="6867" spans="7:11" x14ac:dyDescent="0.25">
      <c r="G6867" s="1" t="str">
        <f>IF(Table2[[#This Row],[Description]]="","",VLOOKUP(Table2[[#This Row],[Description]],$Q$1:$S$101,2,FALSE))</f>
        <v/>
      </c>
      <c r="H6867" s="1" t="str">
        <f>IF(Table2[[#This Row],[Description]]="","",VLOOKUP(Table2[[#This Row],[Description]],$Q$1:$S$101,3,FALSE))</f>
        <v/>
      </c>
      <c r="I6867" s="1" t="str">
        <f>IF(Table2[[#This Row],[Description]]="","",IF(Table2[[#This Row],[Currency]]=$O$2,$P$2,HLOOKUP(Table2[[#This Row],[Date]],Funds!$C$10:$GV$11,2,FALSE)))</f>
        <v/>
      </c>
      <c r="J6867" s="215" t="str">
        <f>IF(Table2[[#This Row],[Description]]="","",Table2[[#This Row],[Value]]/Table2[[#This Row],[Conversion]])</f>
        <v/>
      </c>
      <c r="K6867" s="45" t="str">
        <f>IF(Table2[[#This Row],[Description]]="","",DATE(Table2[[#This Row],[Year]],Table2[[#This Row],[Month]],1))</f>
        <v/>
      </c>
    </row>
    <row r="6868" spans="7:11" x14ac:dyDescent="0.25">
      <c r="G6868" s="1" t="str">
        <f>IF(Table2[[#This Row],[Description]]="","",VLOOKUP(Table2[[#This Row],[Description]],$Q$1:$S$101,2,FALSE))</f>
        <v/>
      </c>
      <c r="H6868" s="1" t="str">
        <f>IF(Table2[[#This Row],[Description]]="","",VLOOKUP(Table2[[#This Row],[Description]],$Q$1:$S$101,3,FALSE))</f>
        <v/>
      </c>
      <c r="I6868" s="1" t="str">
        <f>IF(Table2[[#This Row],[Description]]="","",IF(Table2[[#This Row],[Currency]]=$O$2,$P$2,HLOOKUP(Table2[[#This Row],[Date]],Funds!$C$10:$GV$11,2,FALSE)))</f>
        <v/>
      </c>
      <c r="J6868" s="215" t="str">
        <f>IF(Table2[[#This Row],[Description]]="","",Table2[[#This Row],[Value]]/Table2[[#This Row],[Conversion]])</f>
        <v/>
      </c>
      <c r="K6868" s="45" t="str">
        <f>IF(Table2[[#This Row],[Description]]="","",DATE(Table2[[#This Row],[Year]],Table2[[#This Row],[Month]],1))</f>
        <v/>
      </c>
    </row>
    <row r="6869" spans="7:11" x14ac:dyDescent="0.25">
      <c r="G6869" s="1" t="str">
        <f>IF(Table2[[#This Row],[Description]]="","",VLOOKUP(Table2[[#This Row],[Description]],$Q$1:$S$101,2,FALSE))</f>
        <v/>
      </c>
      <c r="H6869" s="1" t="str">
        <f>IF(Table2[[#This Row],[Description]]="","",VLOOKUP(Table2[[#This Row],[Description]],$Q$1:$S$101,3,FALSE))</f>
        <v/>
      </c>
      <c r="I6869" s="1" t="str">
        <f>IF(Table2[[#This Row],[Description]]="","",IF(Table2[[#This Row],[Currency]]=$O$2,$P$2,HLOOKUP(Table2[[#This Row],[Date]],Funds!$C$10:$GV$11,2,FALSE)))</f>
        <v/>
      </c>
      <c r="J6869" s="215" t="str">
        <f>IF(Table2[[#This Row],[Description]]="","",Table2[[#This Row],[Value]]/Table2[[#This Row],[Conversion]])</f>
        <v/>
      </c>
      <c r="K6869" s="45" t="str">
        <f>IF(Table2[[#This Row],[Description]]="","",DATE(Table2[[#This Row],[Year]],Table2[[#This Row],[Month]],1))</f>
        <v/>
      </c>
    </row>
    <row r="6870" spans="7:11" x14ac:dyDescent="0.25">
      <c r="G6870" s="1" t="str">
        <f>IF(Table2[[#This Row],[Description]]="","",VLOOKUP(Table2[[#This Row],[Description]],$Q$1:$S$101,2,FALSE))</f>
        <v/>
      </c>
      <c r="H6870" s="1" t="str">
        <f>IF(Table2[[#This Row],[Description]]="","",VLOOKUP(Table2[[#This Row],[Description]],$Q$1:$S$101,3,FALSE))</f>
        <v/>
      </c>
      <c r="I6870" s="1" t="str">
        <f>IF(Table2[[#This Row],[Description]]="","",IF(Table2[[#This Row],[Currency]]=$O$2,$P$2,HLOOKUP(Table2[[#This Row],[Date]],Funds!$C$10:$GV$11,2,FALSE)))</f>
        <v/>
      </c>
      <c r="J6870" s="215" t="str">
        <f>IF(Table2[[#This Row],[Description]]="","",Table2[[#This Row],[Value]]/Table2[[#This Row],[Conversion]])</f>
        <v/>
      </c>
      <c r="K6870" s="45" t="str">
        <f>IF(Table2[[#This Row],[Description]]="","",DATE(Table2[[#This Row],[Year]],Table2[[#This Row],[Month]],1))</f>
        <v/>
      </c>
    </row>
    <row r="6871" spans="7:11" x14ac:dyDescent="0.25">
      <c r="G6871" s="1" t="str">
        <f>IF(Table2[[#This Row],[Description]]="","",VLOOKUP(Table2[[#This Row],[Description]],$Q$1:$S$101,2,FALSE))</f>
        <v/>
      </c>
      <c r="H6871" s="1" t="str">
        <f>IF(Table2[[#This Row],[Description]]="","",VLOOKUP(Table2[[#This Row],[Description]],$Q$1:$S$101,3,FALSE))</f>
        <v/>
      </c>
      <c r="I6871" s="1" t="str">
        <f>IF(Table2[[#This Row],[Description]]="","",IF(Table2[[#This Row],[Currency]]=$O$2,$P$2,HLOOKUP(Table2[[#This Row],[Date]],Funds!$C$10:$GV$11,2,FALSE)))</f>
        <v/>
      </c>
      <c r="J6871" s="215" t="str">
        <f>IF(Table2[[#This Row],[Description]]="","",Table2[[#This Row],[Value]]/Table2[[#This Row],[Conversion]])</f>
        <v/>
      </c>
      <c r="K6871" s="45" t="str">
        <f>IF(Table2[[#This Row],[Description]]="","",DATE(Table2[[#This Row],[Year]],Table2[[#This Row],[Month]],1))</f>
        <v/>
      </c>
    </row>
    <row r="6872" spans="7:11" x14ac:dyDescent="0.25">
      <c r="G6872" s="1" t="str">
        <f>IF(Table2[[#This Row],[Description]]="","",VLOOKUP(Table2[[#This Row],[Description]],$Q$1:$S$101,2,FALSE))</f>
        <v/>
      </c>
      <c r="H6872" s="1" t="str">
        <f>IF(Table2[[#This Row],[Description]]="","",VLOOKUP(Table2[[#This Row],[Description]],$Q$1:$S$101,3,FALSE))</f>
        <v/>
      </c>
      <c r="I6872" s="1" t="str">
        <f>IF(Table2[[#This Row],[Description]]="","",IF(Table2[[#This Row],[Currency]]=$O$2,$P$2,HLOOKUP(Table2[[#This Row],[Date]],Funds!$C$10:$GV$11,2,FALSE)))</f>
        <v/>
      </c>
      <c r="J6872" s="215" t="str">
        <f>IF(Table2[[#This Row],[Description]]="","",Table2[[#This Row],[Value]]/Table2[[#This Row],[Conversion]])</f>
        <v/>
      </c>
      <c r="K6872" s="45" t="str">
        <f>IF(Table2[[#This Row],[Description]]="","",DATE(Table2[[#This Row],[Year]],Table2[[#This Row],[Month]],1))</f>
        <v/>
      </c>
    </row>
    <row r="6873" spans="7:11" x14ac:dyDescent="0.25">
      <c r="G6873" s="1" t="str">
        <f>IF(Table2[[#This Row],[Description]]="","",VLOOKUP(Table2[[#This Row],[Description]],$Q$1:$S$101,2,FALSE))</f>
        <v/>
      </c>
      <c r="H6873" s="1" t="str">
        <f>IF(Table2[[#This Row],[Description]]="","",VLOOKUP(Table2[[#This Row],[Description]],$Q$1:$S$101,3,FALSE))</f>
        <v/>
      </c>
      <c r="I6873" s="1" t="str">
        <f>IF(Table2[[#This Row],[Description]]="","",IF(Table2[[#This Row],[Currency]]=$O$2,$P$2,HLOOKUP(Table2[[#This Row],[Date]],Funds!$C$10:$GV$11,2,FALSE)))</f>
        <v/>
      </c>
      <c r="J6873" s="215" t="str">
        <f>IF(Table2[[#This Row],[Description]]="","",Table2[[#This Row],[Value]]/Table2[[#This Row],[Conversion]])</f>
        <v/>
      </c>
      <c r="K6873" s="45" t="str">
        <f>IF(Table2[[#This Row],[Description]]="","",DATE(Table2[[#This Row],[Year]],Table2[[#This Row],[Month]],1))</f>
        <v/>
      </c>
    </row>
    <row r="6874" spans="7:11" x14ac:dyDescent="0.25">
      <c r="G6874" s="1" t="str">
        <f>IF(Table2[[#This Row],[Description]]="","",VLOOKUP(Table2[[#This Row],[Description]],$Q$1:$S$101,2,FALSE))</f>
        <v/>
      </c>
      <c r="H6874" s="1" t="str">
        <f>IF(Table2[[#This Row],[Description]]="","",VLOOKUP(Table2[[#This Row],[Description]],$Q$1:$S$101,3,FALSE))</f>
        <v/>
      </c>
      <c r="I6874" s="1" t="str">
        <f>IF(Table2[[#This Row],[Description]]="","",IF(Table2[[#This Row],[Currency]]=$O$2,$P$2,HLOOKUP(Table2[[#This Row],[Date]],Funds!$C$10:$GV$11,2,FALSE)))</f>
        <v/>
      </c>
      <c r="J6874" s="215" t="str">
        <f>IF(Table2[[#This Row],[Description]]="","",Table2[[#This Row],[Value]]/Table2[[#This Row],[Conversion]])</f>
        <v/>
      </c>
      <c r="K6874" s="45" t="str">
        <f>IF(Table2[[#This Row],[Description]]="","",DATE(Table2[[#This Row],[Year]],Table2[[#This Row],[Month]],1))</f>
        <v/>
      </c>
    </row>
    <row r="6875" spans="7:11" x14ac:dyDescent="0.25">
      <c r="G6875" s="1" t="str">
        <f>IF(Table2[[#This Row],[Description]]="","",VLOOKUP(Table2[[#This Row],[Description]],$Q$1:$S$101,2,FALSE))</f>
        <v/>
      </c>
      <c r="H6875" s="1" t="str">
        <f>IF(Table2[[#This Row],[Description]]="","",VLOOKUP(Table2[[#This Row],[Description]],$Q$1:$S$101,3,FALSE))</f>
        <v/>
      </c>
      <c r="I6875" s="1" t="str">
        <f>IF(Table2[[#This Row],[Description]]="","",IF(Table2[[#This Row],[Currency]]=$O$2,$P$2,HLOOKUP(Table2[[#This Row],[Date]],Funds!$C$10:$GV$11,2,FALSE)))</f>
        <v/>
      </c>
      <c r="J6875" s="215" t="str">
        <f>IF(Table2[[#This Row],[Description]]="","",Table2[[#This Row],[Value]]/Table2[[#This Row],[Conversion]])</f>
        <v/>
      </c>
      <c r="K6875" s="45" t="str">
        <f>IF(Table2[[#This Row],[Description]]="","",DATE(Table2[[#This Row],[Year]],Table2[[#This Row],[Month]],1))</f>
        <v/>
      </c>
    </row>
    <row r="6876" spans="7:11" x14ac:dyDescent="0.25">
      <c r="G6876" s="1" t="str">
        <f>IF(Table2[[#This Row],[Description]]="","",VLOOKUP(Table2[[#This Row],[Description]],$Q$1:$S$101,2,FALSE))</f>
        <v/>
      </c>
      <c r="H6876" s="1" t="str">
        <f>IF(Table2[[#This Row],[Description]]="","",VLOOKUP(Table2[[#This Row],[Description]],$Q$1:$S$101,3,FALSE))</f>
        <v/>
      </c>
      <c r="I6876" s="1" t="str">
        <f>IF(Table2[[#This Row],[Description]]="","",IF(Table2[[#This Row],[Currency]]=$O$2,$P$2,HLOOKUP(Table2[[#This Row],[Date]],Funds!$C$10:$GV$11,2,FALSE)))</f>
        <v/>
      </c>
      <c r="J6876" s="215" t="str">
        <f>IF(Table2[[#This Row],[Description]]="","",Table2[[#This Row],[Value]]/Table2[[#This Row],[Conversion]])</f>
        <v/>
      </c>
      <c r="K6876" s="45" t="str">
        <f>IF(Table2[[#This Row],[Description]]="","",DATE(Table2[[#This Row],[Year]],Table2[[#This Row],[Month]],1))</f>
        <v/>
      </c>
    </row>
    <row r="6877" spans="7:11" x14ac:dyDescent="0.25">
      <c r="G6877" s="1" t="str">
        <f>IF(Table2[[#This Row],[Description]]="","",VLOOKUP(Table2[[#This Row],[Description]],$Q$1:$S$101,2,FALSE))</f>
        <v/>
      </c>
      <c r="H6877" s="1" t="str">
        <f>IF(Table2[[#This Row],[Description]]="","",VLOOKUP(Table2[[#This Row],[Description]],$Q$1:$S$101,3,FALSE))</f>
        <v/>
      </c>
      <c r="I6877" s="1" t="str">
        <f>IF(Table2[[#This Row],[Description]]="","",IF(Table2[[#This Row],[Currency]]=$O$2,$P$2,HLOOKUP(Table2[[#This Row],[Date]],Funds!$C$10:$GV$11,2,FALSE)))</f>
        <v/>
      </c>
      <c r="J6877" s="215" t="str">
        <f>IF(Table2[[#This Row],[Description]]="","",Table2[[#This Row],[Value]]/Table2[[#This Row],[Conversion]])</f>
        <v/>
      </c>
      <c r="K6877" s="45" t="str">
        <f>IF(Table2[[#This Row],[Description]]="","",DATE(Table2[[#This Row],[Year]],Table2[[#This Row],[Month]],1))</f>
        <v/>
      </c>
    </row>
    <row r="6878" spans="7:11" x14ac:dyDescent="0.25">
      <c r="G6878" s="1" t="str">
        <f>IF(Table2[[#This Row],[Description]]="","",VLOOKUP(Table2[[#This Row],[Description]],$Q$1:$S$101,2,FALSE))</f>
        <v/>
      </c>
      <c r="H6878" s="1" t="str">
        <f>IF(Table2[[#This Row],[Description]]="","",VLOOKUP(Table2[[#This Row],[Description]],$Q$1:$S$101,3,FALSE))</f>
        <v/>
      </c>
      <c r="I6878" s="1" t="str">
        <f>IF(Table2[[#This Row],[Description]]="","",IF(Table2[[#This Row],[Currency]]=$O$2,$P$2,HLOOKUP(Table2[[#This Row],[Date]],Funds!$C$10:$GV$11,2,FALSE)))</f>
        <v/>
      </c>
      <c r="J6878" s="215" t="str">
        <f>IF(Table2[[#This Row],[Description]]="","",Table2[[#This Row],[Value]]/Table2[[#This Row],[Conversion]])</f>
        <v/>
      </c>
      <c r="K6878" s="45" t="str">
        <f>IF(Table2[[#This Row],[Description]]="","",DATE(Table2[[#This Row],[Year]],Table2[[#This Row],[Month]],1))</f>
        <v/>
      </c>
    </row>
    <row r="6879" spans="7:11" x14ac:dyDescent="0.25">
      <c r="G6879" s="1" t="str">
        <f>IF(Table2[[#This Row],[Description]]="","",VLOOKUP(Table2[[#This Row],[Description]],$Q$1:$S$101,2,FALSE))</f>
        <v/>
      </c>
      <c r="H6879" s="1" t="str">
        <f>IF(Table2[[#This Row],[Description]]="","",VLOOKUP(Table2[[#This Row],[Description]],$Q$1:$S$101,3,FALSE))</f>
        <v/>
      </c>
      <c r="I6879" s="1" t="str">
        <f>IF(Table2[[#This Row],[Description]]="","",IF(Table2[[#This Row],[Currency]]=$O$2,$P$2,HLOOKUP(Table2[[#This Row],[Date]],Funds!$C$10:$GV$11,2,FALSE)))</f>
        <v/>
      </c>
      <c r="J6879" s="215" t="str">
        <f>IF(Table2[[#This Row],[Description]]="","",Table2[[#This Row],[Value]]/Table2[[#This Row],[Conversion]])</f>
        <v/>
      </c>
      <c r="K6879" s="45" t="str">
        <f>IF(Table2[[#This Row],[Description]]="","",DATE(Table2[[#This Row],[Year]],Table2[[#This Row],[Month]],1))</f>
        <v/>
      </c>
    </row>
    <row r="6880" spans="7:11" x14ac:dyDescent="0.25">
      <c r="G6880" s="1" t="str">
        <f>IF(Table2[[#This Row],[Description]]="","",VLOOKUP(Table2[[#This Row],[Description]],$Q$1:$S$101,2,FALSE))</f>
        <v/>
      </c>
      <c r="H6880" s="1" t="str">
        <f>IF(Table2[[#This Row],[Description]]="","",VLOOKUP(Table2[[#This Row],[Description]],$Q$1:$S$101,3,FALSE))</f>
        <v/>
      </c>
      <c r="I6880" s="1" t="str">
        <f>IF(Table2[[#This Row],[Description]]="","",IF(Table2[[#This Row],[Currency]]=$O$2,$P$2,HLOOKUP(Table2[[#This Row],[Date]],Funds!$C$10:$GV$11,2,FALSE)))</f>
        <v/>
      </c>
      <c r="J6880" s="215" t="str">
        <f>IF(Table2[[#This Row],[Description]]="","",Table2[[#This Row],[Value]]/Table2[[#This Row],[Conversion]])</f>
        <v/>
      </c>
      <c r="K6880" s="45" t="str">
        <f>IF(Table2[[#This Row],[Description]]="","",DATE(Table2[[#This Row],[Year]],Table2[[#This Row],[Month]],1))</f>
        <v/>
      </c>
    </row>
    <row r="6881" spans="7:11" x14ac:dyDescent="0.25">
      <c r="G6881" s="1" t="str">
        <f>IF(Table2[[#This Row],[Description]]="","",VLOOKUP(Table2[[#This Row],[Description]],$Q$1:$S$101,2,FALSE))</f>
        <v/>
      </c>
      <c r="H6881" s="1" t="str">
        <f>IF(Table2[[#This Row],[Description]]="","",VLOOKUP(Table2[[#This Row],[Description]],$Q$1:$S$101,3,FALSE))</f>
        <v/>
      </c>
      <c r="I6881" s="1" t="str">
        <f>IF(Table2[[#This Row],[Description]]="","",IF(Table2[[#This Row],[Currency]]=$O$2,$P$2,HLOOKUP(Table2[[#This Row],[Date]],Funds!$C$10:$GV$11,2,FALSE)))</f>
        <v/>
      </c>
      <c r="J6881" s="215" t="str">
        <f>IF(Table2[[#This Row],[Description]]="","",Table2[[#This Row],[Value]]/Table2[[#This Row],[Conversion]])</f>
        <v/>
      </c>
      <c r="K6881" s="45" t="str">
        <f>IF(Table2[[#This Row],[Description]]="","",DATE(Table2[[#This Row],[Year]],Table2[[#This Row],[Month]],1))</f>
        <v/>
      </c>
    </row>
    <row r="6882" spans="7:11" x14ac:dyDescent="0.25">
      <c r="G6882" s="1" t="str">
        <f>IF(Table2[[#This Row],[Description]]="","",VLOOKUP(Table2[[#This Row],[Description]],$Q$1:$S$101,2,FALSE))</f>
        <v/>
      </c>
      <c r="H6882" s="1" t="str">
        <f>IF(Table2[[#This Row],[Description]]="","",VLOOKUP(Table2[[#This Row],[Description]],$Q$1:$S$101,3,FALSE))</f>
        <v/>
      </c>
      <c r="I6882" s="1" t="str">
        <f>IF(Table2[[#This Row],[Description]]="","",IF(Table2[[#This Row],[Currency]]=$O$2,$P$2,HLOOKUP(Table2[[#This Row],[Date]],Funds!$C$10:$GV$11,2,FALSE)))</f>
        <v/>
      </c>
      <c r="J6882" s="215" t="str">
        <f>IF(Table2[[#This Row],[Description]]="","",Table2[[#This Row],[Value]]/Table2[[#This Row],[Conversion]])</f>
        <v/>
      </c>
      <c r="K6882" s="45" t="str">
        <f>IF(Table2[[#This Row],[Description]]="","",DATE(Table2[[#This Row],[Year]],Table2[[#This Row],[Month]],1))</f>
        <v/>
      </c>
    </row>
    <row r="6883" spans="7:11" x14ac:dyDescent="0.25">
      <c r="G6883" s="1" t="str">
        <f>IF(Table2[[#This Row],[Description]]="","",VLOOKUP(Table2[[#This Row],[Description]],$Q$1:$S$101,2,FALSE))</f>
        <v/>
      </c>
      <c r="H6883" s="1" t="str">
        <f>IF(Table2[[#This Row],[Description]]="","",VLOOKUP(Table2[[#This Row],[Description]],$Q$1:$S$101,3,FALSE))</f>
        <v/>
      </c>
      <c r="I6883" s="1" t="str">
        <f>IF(Table2[[#This Row],[Description]]="","",IF(Table2[[#This Row],[Currency]]=$O$2,$P$2,HLOOKUP(Table2[[#This Row],[Date]],Funds!$C$10:$GV$11,2,FALSE)))</f>
        <v/>
      </c>
      <c r="J6883" s="215" t="str">
        <f>IF(Table2[[#This Row],[Description]]="","",Table2[[#This Row],[Value]]/Table2[[#This Row],[Conversion]])</f>
        <v/>
      </c>
      <c r="K6883" s="45" t="str">
        <f>IF(Table2[[#This Row],[Description]]="","",DATE(Table2[[#This Row],[Year]],Table2[[#This Row],[Month]],1))</f>
        <v/>
      </c>
    </row>
    <row r="6884" spans="7:11" x14ac:dyDescent="0.25">
      <c r="G6884" s="1" t="str">
        <f>IF(Table2[[#This Row],[Description]]="","",VLOOKUP(Table2[[#This Row],[Description]],$Q$1:$S$101,2,FALSE))</f>
        <v/>
      </c>
      <c r="H6884" s="1" t="str">
        <f>IF(Table2[[#This Row],[Description]]="","",VLOOKUP(Table2[[#This Row],[Description]],$Q$1:$S$101,3,FALSE))</f>
        <v/>
      </c>
      <c r="I6884" s="1" t="str">
        <f>IF(Table2[[#This Row],[Description]]="","",IF(Table2[[#This Row],[Currency]]=$O$2,$P$2,HLOOKUP(Table2[[#This Row],[Date]],Funds!$C$10:$GV$11,2,FALSE)))</f>
        <v/>
      </c>
      <c r="J6884" s="215" t="str">
        <f>IF(Table2[[#This Row],[Description]]="","",Table2[[#This Row],[Value]]/Table2[[#This Row],[Conversion]])</f>
        <v/>
      </c>
      <c r="K6884" s="45" t="str">
        <f>IF(Table2[[#This Row],[Description]]="","",DATE(Table2[[#This Row],[Year]],Table2[[#This Row],[Month]],1))</f>
        <v/>
      </c>
    </row>
    <row r="6885" spans="7:11" x14ac:dyDescent="0.25">
      <c r="G6885" s="1" t="str">
        <f>IF(Table2[[#This Row],[Description]]="","",VLOOKUP(Table2[[#This Row],[Description]],$Q$1:$S$101,2,FALSE))</f>
        <v/>
      </c>
      <c r="H6885" s="1" t="str">
        <f>IF(Table2[[#This Row],[Description]]="","",VLOOKUP(Table2[[#This Row],[Description]],$Q$1:$S$101,3,FALSE))</f>
        <v/>
      </c>
      <c r="I6885" s="1" t="str">
        <f>IF(Table2[[#This Row],[Description]]="","",IF(Table2[[#This Row],[Currency]]=$O$2,$P$2,HLOOKUP(Table2[[#This Row],[Date]],Funds!$C$10:$GV$11,2,FALSE)))</f>
        <v/>
      </c>
      <c r="J6885" s="215" t="str">
        <f>IF(Table2[[#This Row],[Description]]="","",Table2[[#This Row],[Value]]/Table2[[#This Row],[Conversion]])</f>
        <v/>
      </c>
      <c r="K6885" s="45" t="str">
        <f>IF(Table2[[#This Row],[Description]]="","",DATE(Table2[[#This Row],[Year]],Table2[[#This Row],[Month]],1))</f>
        <v/>
      </c>
    </row>
    <row r="6886" spans="7:11" x14ac:dyDescent="0.25">
      <c r="G6886" s="1" t="str">
        <f>IF(Table2[[#This Row],[Description]]="","",VLOOKUP(Table2[[#This Row],[Description]],$Q$1:$S$101,2,FALSE))</f>
        <v/>
      </c>
      <c r="H6886" s="1" t="str">
        <f>IF(Table2[[#This Row],[Description]]="","",VLOOKUP(Table2[[#This Row],[Description]],$Q$1:$S$101,3,FALSE))</f>
        <v/>
      </c>
      <c r="I6886" s="1" t="str">
        <f>IF(Table2[[#This Row],[Description]]="","",IF(Table2[[#This Row],[Currency]]=$O$2,$P$2,HLOOKUP(Table2[[#This Row],[Date]],Funds!$C$10:$GV$11,2,FALSE)))</f>
        <v/>
      </c>
      <c r="J6886" s="215" t="str">
        <f>IF(Table2[[#This Row],[Description]]="","",Table2[[#This Row],[Value]]/Table2[[#This Row],[Conversion]])</f>
        <v/>
      </c>
      <c r="K6886" s="45" t="str">
        <f>IF(Table2[[#This Row],[Description]]="","",DATE(Table2[[#This Row],[Year]],Table2[[#This Row],[Month]],1))</f>
        <v/>
      </c>
    </row>
    <row r="6887" spans="7:11" x14ac:dyDescent="0.25">
      <c r="G6887" s="1" t="str">
        <f>IF(Table2[[#This Row],[Description]]="","",VLOOKUP(Table2[[#This Row],[Description]],$Q$1:$S$101,2,FALSE))</f>
        <v/>
      </c>
      <c r="H6887" s="1" t="str">
        <f>IF(Table2[[#This Row],[Description]]="","",VLOOKUP(Table2[[#This Row],[Description]],$Q$1:$S$101,3,FALSE))</f>
        <v/>
      </c>
      <c r="I6887" s="1" t="str">
        <f>IF(Table2[[#This Row],[Description]]="","",IF(Table2[[#This Row],[Currency]]=$O$2,$P$2,HLOOKUP(Table2[[#This Row],[Date]],Funds!$C$10:$GV$11,2,FALSE)))</f>
        <v/>
      </c>
      <c r="J6887" s="215" t="str">
        <f>IF(Table2[[#This Row],[Description]]="","",Table2[[#This Row],[Value]]/Table2[[#This Row],[Conversion]])</f>
        <v/>
      </c>
      <c r="K6887" s="45" t="str">
        <f>IF(Table2[[#This Row],[Description]]="","",DATE(Table2[[#This Row],[Year]],Table2[[#This Row],[Month]],1))</f>
        <v/>
      </c>
    </row>
    <row r="6888" spans="7:11" x14ac:dyDescent="0.25">
      <c r="G6888" s="1" t="str">
        <f>IF(Table2[[#This Row],[Description]]="","",VLOOKUP(Table2[[#This Row],[Description]],$Q$1:$S$101,2,FALSE))</f>
        <v/>
      </c>
      <c r="H6888" s="1" t="str">
        <f>IF(Table2[[#This Row],[Description]]="","",VLOOKUP(Table2[[#This Row],[Description]],$Q$1:$S$101,3,FALSE))</f>
        <v/>
      </c>
      <c r="I6888" s="1" t="str">
        <f>IF(Table2[[#This Row],[Description]]="","",IF(Table2[[#This Row],[Currency]]=$O$2,$P$2,HLOOKUP(Table2[[#This Row],[Date]],Funds!$C$10:$GV$11,2,FALSE)))</f>
        <v/>
      </c>
      <c r="J6888" s="215" t="str">
        <f>IF(Table2[[#This Row],[Description]]="","",Table2[[#This Row],[Value]]/Table2[[#This Row],[Conversion]])</f>
        <v/>
      </c>
      <c r="K6888" s="45" t="str">
        <f>IF(Table2[[#This Row],[Description]]="","",DATE(Table2[[#This Row],[Year]],Table2[[#This Row],[Month]],1))</f>
        <v/>
      </c>
    </row>
    <row r="6889" spans="7:11" x14ac:dyDescent="0.25">
      <c r="G6889" s="1" t="str">
        <f>IF(Table2[[#This Row],[Description]]="","",VLOOKUP(Table2[[#This Row],[Description]],$Q$1:$S$101,2,FALSE))</f>
        <v/>
      </c>
      <c r="H6889" s="1" t="str">
        <f>IF(Table2[[#This Row],[Description]]="","",VLOOKUP(Table2[[#This Row],[Description]],$Q$1:$S$101,3,FALSE))</f>
        <v/>
      </c>
      <c r="I6889" s="1" t="str">
        <f>IF(Table2[[#This Row],[Description]]="","",IF(Table2[[#This Row],[Currency]]=$O$2,$P$2,HLOOKUP(Table2[[#This Row],[Date]],Funds!$C$10:$GV$11,2,FALSE)))</f>
        <v/>
      </c>
      <c r="J6889" s="215" t="str">
        <f>IF(Table2[[#This Row],[Description]]="","",Table2[[#This Row],[Value]]/Table2[[#This Row],[Conversion]])</f>
        <v/>
      </c>
      <c r="K6889" s="45" t="str">
        <f>IF(Table2[[#This Row],[Description]]="","",DATE(Table2[[#This Row],[Year]],Table2[[#This Row],[Month]],1))</f>
        <v/>
      </c>
    </row>
    <row r="6890" spans="7:11" x14ac:dyDescent="0.25">
      <c r="G6890" s="1" t="str">
        <f>IF(Table2[[#This Row],[Description]]="","",VLOOKUP(Table2[[#This Row],[Description]],$Q$1:$S$101,2,FALSE))</f>
        <v/>
      </c>
      <c r="H6890" s="1" t="str">
        <f>IF(Table2[[#This Row],[Description]]="","",VLOOKUP(Table2[[#This Row],[Description]],$Q$1:$S$101,3,FALSE))</f>
        <v/>
      </c>
      <c r="I6890" s="1" t="str">
        <f>IF(Table2[[#This Row],[Description]]="","",IF(Table2[[#This Row],[Currency]]=$O$2,$P$2,HLOOKUP(Table2[[#This Row],[Date]],Funds!$C$10:$GV$11,2,FALSE)))</f>
        <v/>
      </c>
      <c r="J6890" s="215" t="str">
        <f>IF(Table2[[#This Row],[Description]]="","",Table2[[#This Row],[Value]]/Table2[[#This Row],[Conversion]])</f>
        <v/>
      </c>
      <c r="K6890" s="45" t="str">
        <f>IF(Table2[[#This Row],[Description]]="","",DATE(Table2[[#This Row],[Year]],Table2[[#This Row],[Month]],1))</f>
        <v/>
      </c>
    </row>
    <row r="6891" spans="7:11" x14ac:dyDescent="0.25">
      <c r="G6891" s="1" t="str">
        <f>IF(Table2[[#This Row],[Description]]="","",VLOOKUP(Table2[[#This Row],[Description]],$Q$1:$S$101,2,FALSE))</f>
        <v/>
      </c>
      <c r="H6891" s="1" t="str">
        <f>IF(Table2[[#This Row],[Description]]="","",VLOOKUP(Table2[[#This Row],[Description]],$Q$1:$S$101,3,FALSE))</f>
        <v/>
      </c>
      <c r="I6891" s="1" t="str">
        <f>IF(Table2[[#This Row],[Description]]="","",IF(Table2[[#This Row],[Currency]]=$O$2,$P$2,HLOOKUP(Table2[[#This Row],[Date]],Funds!$C$10:$GV$11,2,FALSE)))</f>
        <v/>
      </c>
      <c r="J6891" s="215" t="str">
        <f>IF(Table2[[#This Row],[Description]]="","",Table2[[#This Row],[Value]]/Table2[[#This Row],[Conversion]])</f>
        <v/>
      </c>
      <c r="K6891" s="45" t="str">
        <f>IF(Table2[[#This Row],[Description]]="","",DATE(Table2[[#This Row],[Year]],Table2[[#This Row],[Month]],1))</f>
        <v/>
      </c>
    </row>
    <row r="6892" spans="7:11" x14ac:dyDescent="0.25">
      <c r="G6892" s="1" t="str">
        <f>IF(Table2[[#This Row],[Description]]="","",VLOOKUP(Table2[[#This Row],[Description]],$Q$1:$S$101,2,FALSE))</f>
        <v/>
      </c>
      <c r="H6892" s="1" t="str">
        <f>IF(Table2[[#This Row],[Description]]="","",VLOOKUP(Table2[[#This Row],[Description]],$Q$1:$S$101,3,FALSE))</f>
        <v/>
      </c>
      <c r="I6892" s="1" t="str">
        <f>IF(Table2[[#This Row],[Description]]="","",IF(Table2[[#This Row],[Currency]]=$O$2,$P$2,HLOOKUP(Table2[[#This Row],[Date]],Funds!$C$10:$GV$11,2,FALSE)))</f>
        <v/>
      </c>
      <c r="J6892" s="215" t="str">
        <f>IF(Table2[[#This Row],[Description]]="","",Table2[[#This Row],[Value]]/Table2[[#This Row],[Conversion]])</f>
        <v/>
      </c>
      <c r="K6892" s="45" t="str">
        <f>IF(Table2[[#This Row],[Description]]="","",DATE(Table2[[#This Row],[Year]],Table2[[#This Row],[Month]],1))</f>
        <v/>
      </c>
    </row>
    <row r="6893" spans="7:11" x14ac:dyDescent="0.25">
      <c r="G6893" s="1" t="str">
        <f>IF(Table2[[#This Row],[Description]]="","",VLOOKUP(Table2[[#This Row],[Description]],$Q$1:$S$101,2,FALSE))</f>
        <v/>
      </c>
      <c r="H6893" s="1" t="str">
        <f>IF(Table2[[#This Row],[Description]]="","",VLOOKUP(Table2[[#This Row],[Description]],$Q$1:$S$101,3,FALSE))</f>
        <v/>
      </c>
      <c r="I6893" s="1" t="str">
        <f>IF(Table2[[#This Row],[Description]]="","",IF(Table2[[#This Row],[Currency]]=$O$2,$P$2,HLOOKUP(Table2[[#This Row],[Date]],Funds!$C$10:$GV$11,2,FALSE)))</f>
        <v/>
      </c>
      <c r="J6893" s="215" t="str">
        <f>IF(Table2[[#This Row],[Description]]="","",Table2[[#This Row],[Value]]/Table2[[#This Row],[Conversion]])</f>
        <v/>
      </c>
      <c r="K6893" s="45" t="str">
        <f>IF(Table2[[#This Row],[Description]]="","",DATE(Table2[[#This Row],[Year]],Table2[[#This Row],[Month]],1))</f>
        <v/>
      </c>
    </row>
    <row r="6894" spans="7:11" x14ac:dyDescent="0.25">
      <c r="G6894" s="1" t="str">
        <f>IF(Table2[[#This Row],[Description]]="","",VLOOKUP(Table2[[#This Row],[Description]],$Q$1:$S$101,2,FALSE))</f>
        <v/>
      </c>
      <c r="H6894" s="1" t="str">
        <f>IF(Table2[[#This Row],[Description]]="","",VLOOKUP(Table2[[#This Row],[Description]],$Q$1:$S$101,3,FALSE))</f>
        <v/>
      </c>
      <c r="I6894" s="1" t="str">
        <f>IF(Table2[[#This Row],[Description]]="","",IF(Table2[[#This Row],[Currency]]=$O$2,$P$2,HLOOKUP(Table2[[#This Row],[Date]],Funds!$C$10:$GV$11,2,FALSE)))</f>
        <v/>
      </c>
      <c r="J6894" s="215" t="str">
        <f>IF(Table2[[#This Row],[Description]]="","",Table2[[#This Row],[Value]]/Table2[[#This Row],[Conversion]])</f>
        <v/>
      </c>
      <c r="K6894" s="45" t="str">
        <f>IF(Table2[[#This Row],[Description]]="","",DATE(Table2[[#This Row],[Year]],Table2[[#This Row],[Month]],1))</f>
        <v/>
      </c>
    </row>
    <row r="6895" spans="7:11" x14ac:dyDescent="0.25">
      <c r="G6895" s="1" t="str">
        <f>IF(Table2[[#This Row],[Description]]="","",VLOOKUP(Table2[[#This Row],[Description]],$Q$1:$S$101,2,FALSE))</f>
        <v/>
      </c>
      <c r="H6895" s="1" t="str">
        <f>IF(Table2[[#This Row],[Description]]="","",VLOOKUP(Table2[[#This Row],[Description]],$Q$1:$S$101,3,FALSE))</f>
        <v/>
      </c>
      <c r="I6895" s="1" t="str">
        <f>IF(Table2[[#This Row],[Description]]="","",IF(Table2[[#This Row],[Currency]]=$O$2,$P$2,HLOOKUP(Table2[[#This Row],[Date]],Funds!$C$10:$GV$11,2,FALSE)))</f>
        <v/>
      </c>
      <c r="J6895" s="215" t="str">
        <f>IF(Table2[[#This Row],[Description]]="","",Table2[[#This Row],[Value]]/Table2[[#This Row],[Conversion]])</f>
        <v/>
      </c>
      <c r="K6895" s="45" t="str">
        <f>IF(Table2[[#This Row],[Description]]="","",DATE(Table2[[#This Row],[Year]],Table2[[#This Row],[Month]],1))</f>
        <v/>
      </c>
    </row>
    <row r="6896" spans="7:11" x14ac:dyDescent="0.25">
      <c r="G6896" s="1" t="str">
        <f>IF(Table2[[#This Row],[Description]]="","",VLOOKUP(Table2[[#This Row],[Description]],$Q$1:$S$101,2,FALSE))</f>
        <v/>
      </c>
      <c r="H6896" s="1" t="str">
        <f>IF(Table2[[#This Row],[Description]]="","",VLOOKUP(Table2[[#This Row],[Description]],$Q$1:$S$101,3,FALSE))</f>
        <v/>
      </c>
      <c r="I6896" s="1" t="str">
        <f>IF(Table2[[#This Row],[Description]]="","",IF(Table2[[#This Row],[Currency]]=$O$2,$P$2,HLOOKUP(Table2[[#This Row],[Date]],Funds!$C$10:$GV$11,2,FALSE)))</f>
        <v/>
      </c>
      <c r="J6896" s="215" t="str">
        <f>IF(Table2[[#This Row],[Description]]="","",Table2[[#This Row],[Value]]/Table2[[#This Row],[Conversion]])</f>
        <v/>
      </c>
      <c r="K6896" s="45" t="str">
        <f>IF(Table2[[#This Row],[Description]]="","",DATE(Table2[[#This Row],[Year]],Table2[[#This Row],[Month]],1))</f>
        <v/>
      </c>
    </row>
    <row r="6897" spans="7:11" x14ac:dyDescent="0.25">
      <c r="G6897" s="1" t="str">
        <f>IF(Table2[[#This Row],[Description]]="","",VLOOKUP(Table2[[#This Row],[Description]],$Q$1:$S$101,2,FALSE))</f>
        <v/>
      </c>
      <c r="H6897" s="1" t="str">
        <f>IF(Table2[[#This Row],[Description]]="","",VLOOKUP(Table2[[#This Row],[Description]],$Q$1:$S$101,3,FALSE))</f>
        <v/>
      </c>
      <c r="I6897" s="1" t="str">
        <f>IF(Table2[[#This Row],[Description]]="","",IF(Table2[[#This Row],[Currency]]=$O$2,$P$2,HLOOKUP(Table2[[#This Row],[Date]],Funds!$C$10:$GV$11,2,FALSE)))</f>
        <v/>
      </c>
      <c r="J6897" s="215" t="str">
        <f>IF(Table2[[#This Row],[Description]]="","",Table2[[#This Row],[Value]]/Table2[[#This Row],[Conversion]])</f>
        <v/>
      </c>
      <c r="K6897" s="45" t="str">
        <f>IF(Table2[[#This Row],[Description]]="","",DATE(Table2[[#This Row],[Year]],Table2[[#This Row],[Month]],1))</f>
        <v/>
      </c>
    </row>
    <row r="6898" spans="7:11" x14ac:dyDescent="0.25">
      <c r="G6898" s="1" t="str">
        <f>IF(Table2[[#This Row],[Description]]="","",VLOOKUP(Table2[[#This Row],[Description]],$Q$1:$S$101,2,FALSE))</f>
        <v/>
      </c>
      <c r="H6898" s="1" t="str">
        <f>IF(Table2[[#This Row],[Description]]="","",VLOOKUP(Table2[[#This Row],[Description]],$Q$1:$S$101,3,FALSE))</f>
        <v/>
      </c>
      <c r="I6898" s="1" t="str">
        <f>IF(Table2[[#This Row],[Description]]="","",IF(Table2[[#This Row],[Currency]]=$O$2,$P$2,HLOOKUP(Table2[[#This Row],[Date]],Funds!$C$10:$GV$11,2,FALSE)))</f>
        <v/>
      </c>
      <c r="J6898" s="215" t="str">
        <f>IF(Table2[[#This Row],[Description]]="","",Table2[[#This Row],[Value]]/Table2[[#This Row],[Conversion]])</f>
        <v/>
      </c>
      <c r="K6898" s="45" t="str">
        <f>IF(Table2[[#This Row],[Description]]="","",DATE(Table2[[#This Row],[Year]],Table2[[#This Row],[Month]],1))</f>
        <v/>
      </c>
    </row>
    <row r="6899" spans="7:11" x14ac:dyDescent="0.25">
      <c r="G6899" s="1" t="str">
        <f>IF(Table2[[#This Row],[Description]]="","",VLOOKUP(Table2[[#This Row],[Description]],$Q$1:$S$101,2,FALSE))</f>
        <v/>
      </c>
      <c r="H6899" s="1" t="str">
        <f>IF(Table2[[#This Row],[Description]]="","",VLOOKUP(Table2[[#This Row],[Description]],$Q$1:$S$101,3,FALSE))</f>
        <v/>
      </c>
      <c r="I6899" s="1" t="str">
        <f>IF(Table2[[#This Row],[Description]]="","",IF(Table2[[#This Row],[Currency]]=$O$2,$P$2,HLOOKUP(Table2[[#This Row],[Date]],Funds!$C$10:$GV$11,2,FALSE)))</f>
        <v/>
      </c>
      <c r="J6899" s="215" t="str">
        <f>IF(Table2[[#This Row],[Description]]="","",Table2[[#This Row],[Value]]/Table2[[#This Row],[Conversion]])</f>
        <v/>
      </c>
      <c r="K6899" s="45" t="str">
        <f>IF(Table2[[#This Row],[Description]]="","",DATE(Table2[[#This Row],[Year]],Table2[[#This Row],[Month]],1))</f>
        <v/>
      </c>
    </row>
    <row r="6900" spans="7:11" x14ac:dyDescent="0.25">
      <c r="G6900" s="1" t="str">
        <f>IF(Table2[[#This Row],[Description]]="","",VLOOKUP(Table2[[#This Row],[Description]],$Q$1:$S$101,2,FALSE))</f>
        <v/>
      </c>
      <c r="H6900" s="1" t="str">
        <f>IF(Table2[[#This Row],[Description]]="","",VLOOKUP(Table2[[#This Row],[Description]],$Q$1:$S$101,3,FALSE))</f>
        <v/>
      </c>
      <c r="I6900" s="1" t="str">
        <f>IF(Table2[[#This Row],[Description]]="","",IF(Table2[[#This Row],[Currency]]=$O$2,$P$2,HLOOKUP(Table2[[#This Row],[Date]],Funds!$C$10:$GV$11,2,FALSE)))</f>
        <v/>
      </c>
      <c r="J6900" s="215" t="str">
        <f>IF(Table2[[#This Row],[Description]]="","",Table2[[#This Row],[Value]]/Table2[[#This Row],[Conversion]])</f>
        <v/>
      </c>
      <c r="K6900" s="45" t="str">
        <f>IF(Table2[[#This Row],[Description]]="","",DATE(Table2[[#This Row],[Year]],Table2[[#This Row],[Month]],1))</f>
        <v/>
      </c>
    </row>
    <row r="6901" spans="7:11" x14ac:dyDescent="0.25">
      <c r="G6901" s="1" t="str">
        <f>IF(Table2[[#This Row],[Description]]="","",VLOOKUP(Table2[[#This Row],[Description]],$Q$1:$S$101,2,FALSE))</f>
        <v/>
      </c>
      <c r="H6901" s="1" t="str">
        <f>IF(Table2[[#This Row],[Description]]="","",VLOOKUP(Table2[[#This Row],[Description]],$Q$1:$S$101,3,FALSE))</f>
        <v/>
      </c>
      <c r="I6901" s="1" t="str">
        <f>IF(Table2[[#This Row],[Description]]="","",IF(Table2[[#This Row],[Currency]]=$O$2,$P$2,HLOOKUP(Table2[[#This Row],[Date]],Funds!$C$10:$GV$11,2,FALSE)))</f>
        <v/>
      </c>
      <c r="J6901" s="215" t="str">
        <f>IF(Table2[[#This Row],[Description]]="","",Table2[[#This Row],[Value]]/Table2[[#This Row],[Conversion]])</f>
        <v/>
      </c>
      <c r="K6901" s="45" t="str">
        <f>IF(Table2[[#This Row],[Description]]="","",DATE(Table2[[#This Row],[Year]],Table2[[#This Row],[Month]],1))</f>
        <v/>
      </c>
    </row>
    <row r="6902" spans="7:11" x14ac:dyDescent="0.25">
      <c r="G6902" s="1" t="str">
        <f>IF(Table2[[#This Row],[Description]]="","",VLOOKUP(Table2[[#This Row],[Description]],$Q$1:$S$101,2,FALSE))</f>
        <v/>
      </c>
      <c r="H6902" s="1" t="str">
        <f>IF(Table2[[#This Row],[Description]]="","",VLOOKUP(Table2[[#This Row],[Description]],$Q$1:$S$101,3,FALSE))</f>
        <v/>
      </c>
      <c r="I6902" s="1" t="str">
        <f>IF(Table2[[#This Row],[Description]]="","",IF(Table2[[#This Row],[Currency]]=$O$2,$P$2,HLOOKUP(Table2[[#This Row],[Date]],Funds!$C$10:$GV$11,2,FALSE)))</f>
        <v/>
      </c>
      <c r="J6902" s="215" t="str">
        <f>IF(Table2[[#This Row],[Description]]="","",Table2[[#This Row],[Value]]/Table2[[#This Row],[Conversion]])</f>
        <v/>
      </c>
      <c r="K6902" s="45" t="str">
        <f>IF(Table2[[#This Row],[Description]]="","",DATE(Table2[[#This Row],[Year]],Table2[[#This Row],[Month]],1))</f>
        <v/>
      </c>
    </row>
    <row r="6903" spans="7:11" x14ac:dyDescent="0.25">
      <c r="G6903" s="1" t="str">
        <f>IF(Table2[[#This Row],[Description]]="","",VLOOKUP(Table2[[#This Row],[Description]],$Q$1:$S$101,2,FALSE))</f>
        <v/>
      </c>
      <c r="H6903" s="1" t="str">
        <f>IF(Table2[[#This Row],[Description]]="","",VLOOKUP(Table2[[#This Row],[Description]],$Q$1:$S$101,3,FALSE))</f>
        <v/>
      </c>
      <c r="I6903" s="1" t="str">
        <f>IF(Table2[[#This Row],[Description]]="","",IF(Table2[[#This Row],[Currency]]=$O$2,$P$2,HLOOKUP(Table2[[#This Row],[Date]],Funds!$C$10:$GV$11,2,FALSE)))</f>
        <v/>
      </c>
      <c r="J6903" s="215" t="str">
        <f>IF(Table2[[#This Row],[Description]]="","",Table2[[#This Row],[Value]]/Table2[[#This Row],[Conversion]])</f>
        <v/>
      </c>
      <c r="K6903" s="45" t="str">
        <f>IF(Table2[[#This Row],[Description]]="","",DATE(Table2[[#This Row],[Year]],Table2[[#This Row],[Month]],1))</f>
        <v/>
      </c>
    </row>
    <row r="6904" spans="7:11" x14ac:dyDescent="0.25">
      <c r="G6904" s="1" t="str">
        <f>IF(Table2[[#This Row],[Description]]="","",VLOOKUP(Table2[[#This Row],[Description]],$Q$1:$S$101,2,FALSE))</f>
        <v/>
      </c>
      <c r="H6904" s="1" t="str">
        <f>IF(Table2[[#This Row],[Description]]="","",VLOOKUP(Table2[[#This Row],[Description]],$Q$1:$S$101,3,FALSE))</f>
        <v/>
      </c>
      <c r="I6904" s="1" t="str">
        <f>IF(Table2[[#This Row],[Description]]="","",IF(Table2[[#This Row],[Currency]]=$O$2,$P$2,HLOOKUP(Table2[[#This Row],[Date]],Funds!$C$10:$GV$11,2,FALSE)))</f>
        <v/>
      </c>
      <c r="J6904" s="215" t="str">
        <f>IF(Table2[[#This Row],[Description]]="","",Table2[[#This Row],[Value]]/Table2[[#This Row],[Conversion]])</f>
        <v/>
      </c>
      <c r="K6904" s="45" t="str">
        <f>IF(Table2[[#This Row],[Description]]="","",DATE(Table2[[#This Row],[Year]],Table2[[#This Row],[Month]],1))</f>
        <v/>
      </c>
    </row>
    <row r="6905" spans="7:11" x14ac:dyDescent="0.25">
      <c r="G6905" s="1" t="str">
        <f>IF(Table2[[#This Row],[Description]]="","",VLOOKUP(Table2[[#This Row],[Description]],$Q$1:$S$101,2,FALSE))</f>
        <v/>
      </c>
      <c r="H6905" s="1" t="str">
        <f>IF(Table2[[#This Row],[Description]]="","",VLOOKUP(Table2[[#This Row],[Description]],$Q$1:$S$101,3,FALSE))</f>
        <v/>
      </c>
      <c r="I6905" s="1" t="str">
        <f>IF(Table2[[#This Row],[Description]]="","",IF(Table2[[#This Row],[Currency]]=$O$2,$P$2,HLOOKUP(Table2[[#This Row],[Date]],Funds!$C$10:$GV$11,2,FALSE)))</f>
        <v/>
      </c>
      <c r="J6905" s="215" t="str">
        <f>IF(Table2[[#This Row],[Description]]="","",Table2[[#This Row],[Value]]/Table2[[#This Row],[Conversion]])</f>
        <v/>
      </c>
      <c r="K6905" s="45" t="str">
        <f>IF(Table2[[#This Row],[Description]]="","",DATE(Table2[[#This Row],[Year]],Table2[[#This Row],[Month]],1))</f>
        <v/>
      </c>
    </row>
    <row r="6906" spans="7:11" x14ac:dyDescent="0.25">
      <c r="G6906" s="1" t="str">
        <f>IF(Table2[[#This Row],[Description]]="","",VLOOKUP(Table2[[#This Row],[Description]],$Q$1:$S$101,2,FALSE))</f>
        <v/>
      </c>
      <c r="H6906" s="1" t="str">
        <f>IF(Table2[[#This Row],[Description]]="","",VLOOKUP(Table2[[#This Row],[Description]],$Q$1:$S$101,3,FALSE))</f>
        <v/>
      </c>
      <c r="I6906" s="1" t="str">
        <f>IF(Table2[[#This Row],[Description]]="","",IF(Table2[[#This Row],[Currency]]=$O$2,$P$2,HLOOKUP(Table2[[#This Row],[Date]],Funds!$C$10:$GV$11,2,FALSE)))</f>
        <v/>
      </c>
      <c r="J6906" s="215" t="str">
        <f>IF(Table2[[#This Row],[Description]]="","",Table2[[#This Row],[Value]]/Table2[[#This Row],[Conversion]])</f>
        <v/>
      </c>
      <c r="K6906" s="45" t="str">
        <f>IF(Table2[[#This Row],[Description]]="","",DATE(Table2[[#This Row],[Year]],Table2[[#This Row],[Month]],1))</f>
        <v/>
      </c>
    </row>
    <row r="6907" spans="7:11" x14ac:dyDescent="0.25">
      <c r="G6907" s="1" t="str">
        <f>IF(Table2[[#This Row],[Description]]="","",VLOOKUP(Table2[[#This Row],[Description]],$Q$1:$S$101,2,FALSE))</f>
        <v/>
      </c>
      <c r="H6907" s="1" t="str">
        <f>IF(Table2[[#This Row],[Description]]="","",VLOOKUP(Table2[[#This Row],[Description]],$Q$1:$S$101,3,FALSE))</f>
        <v/>
      </c>
      <c r="I6907" s="1" t="str">
        <f>IF(Table2[[#This Row],[Description]]="","",IF(Table2[[#This Row],[Currency]]=$O$2,$P$2,HLOOKUP(Table2[[#This Row],[Date]],Funds!$C$10:$GV$11,2,FALSE)))</f>
        <v/>
      </c>
      <c r="J6907" s="215" t="str">
        <f>IF(Table2[[#This Row],[Description]]="","",Table2[[#This Row],[Value]]/Table2[[#This Row],[Conversion]])</f>
        <v/>
      </c>
      <c r="K6907" s="45" t="str">
        <f>IF(Table2[[#This Row],[Description]]="","",DATE(Table2[[#This Row],[Year]],Table2[[#This Row],[Month]],1))</f>
        <v/>
      </c>
    </row>
    <row r="6908" spans="7:11" x14ac:dyDescent="0.25">
      <c r="G6908" s="1" t="str">
        <f>IF(Table2[[#This Row],[Description]]="","",VLOOKUP(Table2[[#This Row],[Description]],$Q$1:$S$101,2,FALSE))</f>
        <v/>
      </c>
      <c r="H6908" s="1" t="str">
        <f>IF(Table2[[#This Row],[Description]]="","",VLOOKUP(Table2[[#This Row],[Description]],$Q$1:$S$101,3,FALSE))</f>
        <v/>
      </c>
      <c r="I6908" s="1" t="str">
        <f>IF(Table2[[#This Row],[Description]]="","",IF(Table2[[#This Row],[Currency]]=$O$2,$P$2,HLOOKUP(Table2[[#This Row],[Date]],Funds!$C$10:$GV$11,2,FALSE)))</f>
        <v/>
      </c>
      <c r="J6908" s="215" t="str">
        <f>IF(Table2[[#This Row],[Description]]="","",Table2[[#This Row],[Value]]/Table2[[#This Row],[Conversion]])</f>
        <v/>
      </c>
      <c r="K6908" s="45" t="str">
        <f>IF(Table2[[#This Row],[Description]]="","",DATE(Table2[[#This Row],[Year]],Table2[[#This Row],[Month]],1))</f>
        <v/>
      </c>
    </row>
    <row r="6909" spans="7:11" x14ac:dyDescent="0.25">
      <c r="G6909" s="1" t="str">
        <f>IF(Table2[[#This Row],[Description]]="","",VLOOKUP(Table2[[#This Row],[Description]],$Q$1:$S$101,2,FALSE))</f>
        <v/>
      </c>
      <c r="H6909" s="1" t="str">
        <f>IF(Table2[[#This Row],[Description]]="","",VLOOKUP(Table2[[#This Row],[Description]],$Q$1:$S$101,3,FALSE))</f>
        <v/>
      </c>
      <c r="I6909" s="1" t="str">
        <f>IF(Table2[[#This Row],[Description]]="","",IF(Table2[[#This Row],[Currency]]=$O$2,$P$2,HLOOKUP(Table2[[#This Row],[Date]],Funds!$C$10:$GV$11,2,FALSE)))</f>
        <v/>
      </c>
      <c r="J6909" s="215" t="str">
        <f>IF(Table2[[#This Row],[Description]]="","",Table2[[#This Row],[Value]]/Table2[[#This Row],[Conversion]])</f>
        <v/>
      </c>
      <c r="K6909" s="45" t="str">
        <f>IF(Table2[[#This Row],[Description]]="","",DATE(Table2[[#This Row],[Year]],Table2[[#This Row],[Month]],1))</f>
        <v/>
      </c>
    </row>
    <row r="6910" spans="7:11" x14ac:dyDescent="0.25">
      <c r="G6910" s="1" t="str">
        <f>IF(Table2[[#This Row],[Description]]="","",VLOOKUP(Table2[[#This Row],[Description]],$Q$1:$S$101,2,FALSE))</f>
        <v/>
      </c>
      <c r="H6910" s="1" t="str">
        <f>IF(Table2[[#This Row],[Description]]="","",VLOOKUP(Table2[[#This Row],[Description]],$Q$1:$S$101,3,FALSE))</f>
        <v/>
      </c>
      <c r="I6910" s="1" t="str">
        <f>IF(Table2[[#This Row],[Description]]="","",IF(Table2[[#This Row],[Currency]]=$O$2,$P$2,HLOOKUP(Table2[[#This Row],[Date]],Funds!$C$10:$GV$11,2,FALSE)))</f>
        <v/>
      </c>
      <c r="J6910" s="215" t="str">
        <f>IF(Table2[[#This Row],[Description]]="","",Table2[[#This Row],[Value]]/Table2[[#This Row],[Conversion]])</f>
        <v/>
      </c>
      <c r="K6910" s="45" t="str">
        <f>IF(Table2[[#This Row],[Description]]="","",DATE(Table2[[#This Row],[Year]],Table2[[#This Row],[Month]],1))</f>
        <v/>
      </c>
    </row>
    <row r="6911" spans="7:11" x14ac:dyDescent="0.25">
      <c r="G6911" s="1" t="str">
        <f>IF(Table2[[#This Row],[Description]]="","",VLOOKUP(Table2[[#This Row],[Description]],$Q$1:$S$101,2,FALSE))</f>
        <v/>
      </c>
      <c r="H6911" s="1" t="str">
        <f>IF(Table2[[#This Row],[Description]]="","",VLOOKUP(Table2[[#This Row],[Description]],$Q$1:$S$101,3,FALSE))</f>
        <v/>
      </c>
      <c r="I6911" s="1" t="str">
        <f>IF(Table2[[#This Row],[Description]]="","",IF(Table2[[#This Row],[Currency]]=$O$2,$P$2,HLOOKUP(Table2[[#This Row],[Date]],Funds!$C$10:$GV$11,2,FALSE)))</f>
        <v/>
      </c>
      <c r="J6911" s="215" t="str">
        <f>IF(Table2[[#This Row],[Description]]="","",Table2[[#This Row],[Value]]/Table2[[#This Row],[Conversion]])</f>
        <v/>
      </c>
      <c r="K6911" s="45" t="str">
        <f>IF(Table2[[#This Row],[Description]]="","",DATE(Table2[[#This Row],[Year]],Table2[[#This Row],[Month]],1))</f>
        <v/>
      </c>
    </row>
    <row r="6912" spans="7:11" x14ac:dyDescent="0.25">
      <c r="G6912" s="1" t="str">
        <f>IF(Table2[[#This Row],[Description]]="","",VLOOKUP(Table2[[#This Row],[Description]],$Q$1:$S$101,2,FALSE))</f>
        <v/>
      </c>
      <c r="H6912" s="1" t="str">
        <f>IF(Table2[[#This Row],[Description]]="","",VLOOKUP(Table2[[#This Row],[Description]],$Q$1:$S$101,3,FALSE))</f>
        <v/>
      </c>
      <c r="I6912" s="1" t="str">
        <f>IF(Table2[[#This Row],[Description]]="","",IF(Table2[[#This Row],[Currency]]=$O$2,$P$2,HLOOKUP(Table2[[#This Row],[Date]],Funds!$C$10:$GV$11,2,FALSE)))</f>
        <v/>
      </c>
      <c r="J6912" s="215" t="str">
        <f>IF(Table2[[#This Row],[Description]]="","",Table2[[#This Row],[Value]]/Table2[[#This Row],[Conversion]])</f>
        <v/>
      </c>
      <c r="K6912" s="45" t="str">
        <f>IF(Table2[[#This Row],[Description]]="","",DATE(Table2[[#This Row],[Year]],Table2[[#This Row],[Month]],1))</f>
        <v/>
      </c>
    </row>
    <row r="6913" spans="7:11" x14ac:dyDescent="0.25">
      <c r="G6913" s="1" t="str">
        <f>IF(Table2[[#This Row],[Description]]="","",VLOOKUP(Table2[[#This Row],[Description]],$Q$1:$S$101,2,FALSE))</f>
        <v/>
      </c>
      <c r="H6913" s="1" t="str">
        <f>IF(Table2[[#This Row],[Description]]="","",VLOOKUP(Table2[[#This Row],[Description]],$Q$1:$S$101,3,FALSE))</f>
        <v/>
      </c>
      <c r="I6913" s="1" t="str">
        <f>IF(Table2[[#This Row],[Description]]="","",IF(Table2[[#This Row],[Currency]]=$O$2,$P$2,HLOOKUP(Table2[[#This Row],[Date]],Funds!$C$10:$GV$11,2,FALSE)))</f>
        <v/>
      </c>
      <c r="J6913" s="215" t="str">
        <f>IF(Table2[[#This Row],[Description]]="","",Table2[[#This Row],[Value]]/Table2[[#This Row],[Conversion]])</f>
        <v/>
      </c>
      <c r="K6913" s="45" t="str">
        <f>IF(Table2[[#This Row],[Description]]="","",DATE(Table2[[#This Row],[Year]],Table2[[#This Row],[Month]],1))</f>
        <v/>
      </c>
    </row>
    <row r="6914" spans="7:11" x14ac:dyDescent="0.25">
      <c r="G6914" s="1" t="str">
        <f>IF(Table2[[#This Row],[Description]]="","",VLOOKUP(Table2[[#This Row],[Description]],$Q$1:$S$101,2,FALSE))</f>
        <v/>
      </c>
      <c r="H6914" s="1" t="str">
        <f>IF(Table2[[#This Row],[Description]]="","",VLOOKUP(Table2[[#This Row],[Description]],$Q$1:$S$101,3,FALSE))</f>
        <v/>
      </c>
      <c r="I6914" s="1" t="str">
        <f>IF(Table2[[#This Row],[Description]]="","",IF(Table2[[#This Row],[Currency]]=$O$2,$P$2,HLOOKUP(Table2[[#This Row],[Date]],Funds!$C$10:$GV$11,2,FALSE)))</f>
        <v/>
      </c>
      <c r="J6914" s="215" t="str">
        <f>IF(Table2[[#This Row],[Description]]="","",Table2[[#This Row],[Value]]/Table2[[#This Row],[Conversion]])</f>
        <v/>
      </c>
      <c r="K6914" s="45" t="str">
        <f>IF(Table2[[#This Row],[Description]]="","",DATE(Table2[[#This Row],[Year]],Table2[[#This Row],[Month]],1))</f>
        <v/>
      </c>
    </row>
    <row r="6915" spans="7:11" x14ac:dyDescent="0.25">
      <c r="G6915" s="1" t="str">
        <f>IF(Table2[[#This Row],[Description]]="","",VLOOKUP(Table2[[#This Row],[Description]],$Q$1:$S$101,2,FALSE))</f>
        <v/>
      </c>
      <c r="H6915" s="1" t="str">
        <f>IF(Table2[[#This Row],[Description]]="","",VLOOKUP(Table2[[#This Row],[Description]],$Q$1:$S$101,3,FALSE))</f>
        <v/>
      </c>
      <c r="I6915" s="1" t="str">
        <f>IF(Table2[[#This Row],[Description]]="","",IF(Table2[[#This Row],[Currency]]=$O$2,$P$2,HLOOKUP(Table2[[#This Row],[Date]],Funds!$C$10:$GV$11,2,FALSE)))</f>
        <v/>
      </c>
      <c r="J6915" s="215" t="str">
        <f>IF(Table2[[#This Row],[Description]]="","",Table2[[#This Row],[Value]]/Table2[[#This Row],[Conversion]])</f>
        <v/>
      </c>
      <c r="K6915" s="45" t="str">
        <f>IF(Table2[[#This Row],[Description]]="","",DATE(Table2[[#This Row],[Year]],Table2[[#This Row],[Month]],1))</f>
        <v/>
      </c>
    </row>
    <row r="6916" spans="7:11" x14ac:dyDescent="0.25">
      <c r="G6916" s="1" t="str">
        <f>IF(Table2[[#This Row],[Description]]="","",VLOOKUP(Table2[[#This Row],[Description]],$Q$1:$S$101,2,FALSE))</f>
        <v/>
      </c>
      <c r="H6916" s="1" t="str">
        <f>IF(Table2[[#This Row],[Description]]="","",VLOOKUP(Table2[[#This Row],[Description]],$Q$1:$S$101,3,FALSE))</f>
        <v/>
      </c>
      <c r="I6916" s="1" t="str">
        <f>IF(Table2[[#This Row],[Description]]="","",IF(Table2[[#This Row],[Currency]]=$O$2,$P$2,HLOOKUP(Table2[[#This Row],[Date]],Funds!$C$10:$GV$11,2,FALSE)))</f>
        <v/>
      </c>
      <c r="J6916" s="215" t="str">
        <f>IF(Table2[[#This Row],[Description]]="","",Table2[[#This Row],[Value]]/Table2[[#This Row],[Conversion]])</f>
        <v/>
      </c>
      <c r="K6916" s="45" t="str">
        <f>IF(Table2[[#This Row],[Description]]="","",DATE(Table2[[#This Row],[Year]],Table2[[#This Row],[Month]],1))</f>
        <v/>
      </c>
    </row>
    <row r="6917" spans="7:11" x14ac:dyDescent="0.25">
      <c r="G6917" s="1" t="str">
        <f>IF(Table2[[#This Row],[Description]]="","",VLOOKUP(Table2[[#This Row],[Description]],$Q$1:$S$101,2,FALSE))</f>
        <v/>
      </c>
      <c r="H6917" s="1" t="str">
        <f>IF(Table2[[#This Row],[Description]]="","",VLOOKUP(Table2[[#This Row],[Description]],$Q$1:$S$101,3,FALSE))</f>
        <v/>
      </c>
      <c r="I6917" s="1" t="str">
        <f>IF(Table2[[#This Row],[Description]]="","",IF(Table2[[#This Row],[Currency]]=$O$2,$P$2,HLOOKUP(Table2[[#This Row],[Date]],Funds!$C$10:$GV$11,2,FALSE)))</f>
        <v/>
      </c>
      <c r="J6917" s="215" t="str">
        <f>IF(Table2[[#This Row],[Description]]="","",Table2[[#This Row],[Value]]/Table2[[#This Row],[Conversion]])</f>
        <v/>
      </c>
      <c r="K6917" s="45" t="str">
        <f>IF(Table2[[#This Row],[Description]]="","",DATE(Table2[[#This Row],[Year]],Table2[[#This Row],[Month]],1))</f>
        <v/>
      </c>
    </row>
    <row r="6918" spans="7:11" x14ac:dyDescent="0.25">
      <c r="G6918" s="1" t="str">
        <f>IF(Table2[[#This Row],[Description]]="","",VLOOKUP(Table2[[#This Row],[Description]],$Q$1:$S$101,2,FALSE))</f>
        <v/>
      </c>
      <c r="H6918" s="1" t="str">
        <f>IF(Table2[[#This Row],[Description]]="","",VLOOKUP(Table2[[#This Row],[Description]],$Q$1:$S$101,3,FALSE))</f>
        <v/>
      </c>
      <c r="I6918" s="1" t="str">
        <f>IF(Table2[[#This Row],[Description]]="","",IF(Table2[[#This Row],[Currency]]=$O$2,$P$2,HLOOKUP(Table2[[#This Row],[Date]],Funds!$C$10:$GV$11,2,FALSE)))</f>
        <v/>
      </c>
      <c r="J6918" s="215" t="str">
        <f>IF(Table2[[#This Row],[Description]]="","",Table2[[#This Row],[Value]]/Table2[[#This Row],[Conversion]])</f>
        <v/>
      </c>
      <c r="K6918" s="45" t="str">
        <f>IF(Table2[[#This Row],[Description]]="","",DATE(Table2[[#This Row],[Year]],Table2[[#This Row],[Month]],1))</f>
        <v/>
      </c>
    </row>
    <row r="6919" spans="7:11" x14ac:dyDescent="0.25">
      <c r="G6919" s="1" t="str">
        <f>IF(Table2[[#This Row],[Description]]="","",VLOOKUP(Table2[[#This Row],[Description]],$Q$1:$S$101,2,FALSE))</f>
        <v/>
      </c>
      <c r="H6919" s="1" t="str">
        <f>IF(Table2[[#This Row],[Description]]="","",VLOOKUP(Table2[[#This Row],[Description]],$Q$1:$S$101,3,FALSE))</f>
        <v/>
      </c>
      <c r="I6919" s="1" t="str">
        <f>IF(Table2[[#This Row],[Description]]="","",IF(Table2[[#This Row],[Currency]]=$O$2,$P$2,HLOOKUP(Table2[[#This Row],[Date]],Funds!$C$10:$GV$11,2,FALSE)))</f>
        <v/>
      </c>
      <c r="J6919" s="215" t="str">
        <f>IF(Table2[[#This Row],[Description]]="","",Table2[[#This Row],[Value]]/Table2[[#This Row],[Conversion]])</f>
        <v/>
      </c>
      <c r="K6919" s="45" t="str">
        <f>IF(Table2[[#This Row],[Description]]="","",DATE(Table2[[#This Row],[Year]],Table2[[#This Row],[Month]],1))</f>
        <v/>
      </c>
    </row>
    <row r="6920" spans="7:11" x14ac:dyDescent="0.25">
      <c r="G6920" s="1" t="str">
        <f>IF(Table2[[#This Row],[Description]]="","",VLOOKUP(Table2[[#This Row],[Description]],$Q$1:$S$101,2,FALSE))</f>
        <v/>
      </c>
      <c r="H6920" s="1" t="str">
        <f>IF(Table2[[#This Row],[Description]]="","",VLOOKUP(Table2[[#This Row],[Description]],$Q$1:$S$101,3,FALSE))</f>
        <v/>
      </c>
      <c r="I6920" s="1" t="str">
        <f>IF(Table2[[#This Row],[Description]]="","",IF(Table2[[#This Row],[Currency]]=$O$2,$P$2,HLOOKUP(Table2[[#This Row],[Date]],Funds!$C$10:$GV$11,2,FALSE)))</f>
        <v/>
      </c>
      <c r="J6920" s="215" t="str">
        <f>IF(Table2[[#This Row],[Description]]="","",Table2[[#This Row],[Value]]/Table2[[#This Row],[Conversion]])</f>
        <v/>
      </c>
      <c r="K6920" s="45" t="str">
        <f>IF(Table2[[#This Row],[Description]]="","",DATE(Table2[[#This Row],[Year]],Table2[[#This Row],[Month]],1))</f>
        <v/>
      </c>
    </row>
    <row r="6921" spans="7:11" x14ac:dyDescent="0.25">
      <c r="G6921" s="1" t="str">
        <f>IF(Table2[[#This Row],[Description]]="","",VLOOKUP(Table2[[#This Row],[Description]],$Q$1:$S$101,2,FALSE))</f>
        <v/>
      </c>
      <c r="H6921" s="1" t="str">
        <f>IF(Table2[[#This Row],[Description]]="","",VLOOKUP(Table2[[#This Row],[Description]],$Q$1:$S$101,3,FALSE))</f>
        <v/>
      </c>
      <c r="I6921" s="1" t="str">
        <f>IF(Table2[[#This Row],[Description]]="","",IF(Table2[[#This Row],[Currency]]=$O$2,$P$2,HLOOKUP(Table2[[#This Row],[Date]],Funds!$C$10:$GV$11,2,FALSE)))</f>
        <v/>
      </c>
      <c r="J6921" s="215" t="str">
        <f>IF(Table2[[#This Row],[Description]]="","",Table2[[#This Row],[Value]]/Table2[[#This Row],[Conversion]])</f>
        <v/>
      </c>
      <c r="K6921" s="45" t="str">
        <f>IF(Table2[[#This Row],[Description]]="","",DATE(Table2[[#This Row],[Year]],Table2[[#This Row],[Month]],1))</f>
        <v/>
      </c>
    </row>
    <row r="6922" spans="7:11" x14ac:dyDescent="0.25">
      <c r="G6922" s="1" t="str">
        <f>IF(Table2[[#This Row],[Description]]="","",VLOOKUP(Table2[[#This Row],[Description]],$Q$1:$S$101,2,FALSE))</f>
        <v/>
      </c>
      <c r="H6922" s="1" t="str">
        <f>IF(Table2[[#This Row],[Description]]="","",VLOOKUP(Table2[[#This Row],[Description]],$Q$1:$S$101,3,FALSE))</f>
        <v/>
      </c>
      <c r="I6922" s="1" t="str">
        <f>IF(Table2[[#This Row],[Description]]="","",IF(Table2[[#This Row],[Currency]]=$O$2,$P$2,HLOOKUP(Table2[[#This Row],[Date]],Funds!$C$10:$GV$11,2,FALSE)))</f>
        <v/>
      </c>
      <c r="J6922" s="215" t="str">
        <f>IF(Table2[[#This Row],[Description]]="","",Table2[[#This Row],[Value]]/Table2[[#This Row],[Conversion]])</f>
        <v/>
      </c>
      <c r="K6922" s="45" t="str">
        <f>IF(Table2[[#This Row],[Description]]="","",DATE(Table2[[#This Row],[Year]],Table2[[#This Row],[Month]],1))</f>
        <v/>
      </c>
    </row>
    <row r="6923" spans="7:11" x14ac:dyDescent="0.25">
      <c r="G6923" s="1" t="str">
        <f>IF(Table2[[#This Row],[Description]]="","",VLOOKUP(Table2[[#This Row],[Description]],$Q$1:$S$101,2,FALSE))</f>
        <v/>
      </c>
      <c r="H6923" s="1" t="str">
        <f>IF(Table2[[#This Row],[Description]]="","",VLOOKUP(Table2[[#This Row],[Description]],$Q$1:$S$101,3,FALSE))</f>
        <v/>
      </c>
      <c r="I6923" s="1" t="str">
        <f>IF(Table2[[#This Row],[Description]]="","",IF(Table2[[#This Row],[Currency]]=$O$2,$P$2,HLOOKUP(Table2[[#This Row],[Date]],Funds!$C$10:$GV$11,2,FALSE)))</f>
        <v/>
      </c>
      <c r="J6923" s="215" t="str">
        <f>IF(Table2[[#This Row],[Description]]="","",Table2[[#This Row],[Value]]/Table2[[#This Row],[Conversion]])</f>
        <v/>
      </c>
      <c r="K6923" s="45" t="str">
        <f>IF(Table2[[#This Row],[Description]]="","",DATE(Table2[[#This Row],[Year]],Table2[[#This Row],[Month]],1))</f>
        <v/>
      </c>
    </row>
    <row r="6924" spans="7:11" x14ac:dyDescent="0.25">
      <c r="G6924" s="1" t="str">
        <f>IF(Table2[[#This Row],[Description]]="","",VLOOKUP(Table2[[#This Row],[Description]],$Q$1:$S$101,2,FALSE))</f>
        <v/>
      </c>
      <c r="H6924" s="1" t="str">
        <f>IF(Table2[[#This Row],[Description]]="","",VLOOKUP(Table2[[#This Row],[Description]],$Q$1:$S$101,3,FALSE))</f>
        <v/>
      </c>
      <c r="I6924" s="1" t="str">
        <f>IF(Table2[[#This Row],[Description]]="","",IF(Table2[[#This Row],[Currency]]=$O$2,$P$2,HLOOKUP(Table2[[#This Row],[Date]],Funds!$C$10:$GV$11,2,FALSE)))</f>
        <v/>
      </c>
      <c r="J6924" s="215" t="str">
        <f>IF(Table2[[#This Row],[Description]]="","",Table2[[#This Row],[Value]]/Table2[[#This Row],[Conversion]])</f>
        <v/>
      </c>
      <c r="K6924" s="45" t="str">
        <f>IF(Table2[[#This Row],[Description]]="","",DATE(Table2[[#This Row],[Year]],Table2[[#This Row],[Month]],1))</f>
        <v/>
      </c>
    </row>
    <row r="6925" spans="7:11" x14ac:dyDescent="0.25">
      <c r="G6925" s="1" t="str">
        <f>IF(Table2[[#This Row],[Description]]="","",VLOOKUP(Table2[[#This Row],[Description]],$Q$1:$S$101,2,FALSE))</f>
        <v/>
      </c>
      <c r="H6925" s="1" t="str">
        <f>IF(Table2[[#This Row],[Description]]="","",VLOOKUP(Table2[[#This Row],[Description]],$Q$1:$S$101,3,FALSE))</f>
        <v/>
      </c>
      <c r="I6925" s="1" t="str">
        <f>IF(Table2[[#This Row],[Description]]="","",IF(Table2[[#This Row],[Currency]]=$O$2,$P$2,HLOOKUP(Table2[[#This Row],[Date]],Funds!$C$10:$GV$11,2,FALSE)))</f>
        <v/>
      </c>
      <c r="J6925" s="215" t="str">
        <f>IF(Table2[[#This Row],[Description]]="","",Table2[[#This Row],[Value]]/Table2[[#This Row],[Conversion]])</f>
        <v/>
      </c>
      <c r="K6925" s="45" t="str">
        <f>IF(Table2[[#This Row],[Description]]="","",DATE(Table2[[#This Row],[Year]],Table2[[#This Row],[Month]],1))</f>
        <v/>
      </c>
    </row>
    <row r="6926" spans="7:11" x14ac:dyDescent="0.25">
      <c r="G6926" s="1" t="str">
        <f>IF(Table2[[#This Row],[Description]]="","",VLOOKUP(Table2[[#This Row],[Description]],$Q$1:$S$101,2,FALSE))</f>
        <v/>
      </c>
      <c r="H6926" s="1" t="str">
        <f>IF(Table2[[#This Row],[Description]]="","",VLOOKUP(Table2[[#This Row],[Description]],$Q$1:$S$101,3,FALSE))</f>
        <v/>
      </c>
      <c r="I6926" s="1" t="str">
        <f>IF(Table2[[#This Row],[Description]]="","",IF(Table2[[#This Row],[Currency]]=$O$2,$P$2,HLOOKUP(Table2[[#This Row],[Date]],Funds!$C$10:$GV$11,2,FALSE)))</f>
        <v/>
      </c>
      <c r="J6926" s="215" t="str">
        <f>IF(Table2[[#This Row],[Description]]="","",Table2[[#This Row],[Value]]/Table2[[#This Row],[Conversion]])</f>
        <v/>
      </c>
      <c r="K6926" s="45" t="str">
        <f>IF(Table2[[#This Row],[Description]]="","",DATE(Table2[[#This Row],[Year]],Table2[[#This Row],[Month]],1))</f>
        <v/>
      </c>
    </row>
    <row r="6927" spans="7:11" x14ac:dyDescent="0.25">
      <c r="G6927" s="1" t="str">
        <f>IF(Table2[[#This Row],[Description]]="","",VLOOKUP(Table2[[#This Row],[Description]],$Q$1:$S$101,2,FALSE))</f>
        <v/>
      </c>
      <c r="H6927" s="1" t="str">
        <f>IF(Table2[[#This Row],[Description]]="","",VLOOKUP(Table2[[#This Row],[Description]],$Q$1:$S$101,3,FALSE))</f>
        <v/>
      </c>
      <c r="I6927" s="1" t="str">
        <f>IF(Table2[[#This Row],[Description]]="","",IF(Table2[[#This Row],[Currency]]=$O$2,$P$2,HLOOKUP(Table2[[#This Row],[Date]],Funds!$C$10:$GV$11,2,FALSE)))</f>
        <v/>
      </c>
      <c r="J6927" s="215" t="str">
        <f>IF(Table2[[#This Row],[Description]]="","",Table2[[#This Row],[Value]]/Table2[[#This Row],[Conversion]])</f>
        <v/>
      </c>
      <c r="K6927" s="45" t="str">
        <f>IF(Table2[[#This Row],[Description]]="","",DATE(Table2[[#This Row],[Year]],Table2[[#This Row],[Month]],1))</f>
        <v/>
      </c>
    </row>
    <row r="6928" spans="7:11" x14ac:dyDescent="0.25">
      <c r="G6928" s="1" t="str">
        <f>IF(Table2[[#This Row],[Description]]="","",VLOOKUP(Table2[[#This Row],[Description]],$Q$1:$S$101,2,FALSE))</f>
        <v/>
      </c>
      <c r="H6928" s="1" t="str">
        <f>IF(Table2[[#This Row],[Description]]="","",VLOOKUP(Table2[[#This Row],[Description]],$Q$1:$S$101,3,FALSE))</f>
        <v/>
      </c>
      <c r="I6928" s="1" t="str">
        <f>IF(Table2[[#This Row],[Description]]="","",IF(Table2[[#This Row],[Currency]]=$O$2,$P$2,HLOOKUP(Table2[[#This Row],[Date]],Funds!$C$10:$GV$11,2,FALSE)))</f>
        <v/>
      </c>
      <c r="J6928" s="215" t="str">
        <f>IF(Table2[[#This Row],[Description]]="","",Table2[[#This Row],[Value]]/Table2[[#This Row],[Conversion]])</f>
        <v/>
      </c>
      <c r="K6928" s="45" t="str">
        <f>IF(Table2[[#This Row],[Description]]="","",DATE(Table2[[#This Row],[Year]],Table2[[#This Row],[Month]],1))</f>
        <v/>
      </c>
    </row>
    <row r="6929" spans="7:11" x14ac:dyDescent="0.25">
      <c r="G6929" s="1" t="str">
        <f>IF(Table2[[#This Row],[Description]]="","",VLOOKUP(Table2[[#This Row],[Description]],$Q$1:$S$101,2,FALSE))</f>
        <v/>
      </c>
      <c r="H6929" s="1" t="str">
        <f>IF(Table2[[#This Row],[Description]]="","",VLOOKUP(Table2[[#This Row],[Description]],$Q$1:$S$101,3,FALSE))</f>
        <v/>
      </c>
      <c r="I6929" s="1" t="str">
        <f>IF(Table2[[#This Row],[Description]]="","",IF(Table2[[#This Row],[Currency]]=$O$2,$P$2,HLOOKUP(Table2[[#This Row],[Date]],Funds!$C$10:$GV$11,2,FALSE)))</f>
        <v/>
      </c>
      <c r="J6929" s="215" t="str">
        <f>IF(Table2[[#This Row],[Description]]="","",Table2[[#This Row],[Value]]/Table2[[#This Row],[Conversion]])</f>
        <v/>
      </c>
      <c r="K6929" s="45" t="str">
        <f>IF(Table2[[#This Row],[Description]]="","",DATE(Table2[[#This Row],[Year]],Table2[[#This Row],[Month]],1))</f>
        <v/>
      </c>
    </row>
    <row r="6930" spans="7:11" x14ac:dyDescent="0.25">
      <c r="G6930" s="1" t="str">
        <f>IF(Table2[[#This Row],[Description]]="","",VLOOKUP(Table2[[#This Row],[Description]],$Q$1:$S$101,2,FALSE))</f>
        <v/>
      </c>
      <c r="H6930" s="1" t="str">
        <f>IF(Table2[[#This Row],[Description]]="","",VLOOKUP(Table2[[#This Row],[Description]],$Q$1:$S$101,3,FALSE))</f>
        <v/>
      </c>
      <c r="I6930" s="1" t="str">
        <f>IF(Table2[[#This Row],[Description]]="","",IF(Table2[[#This Row],[Currency]]=$O$2,$P$2,HLOOKUP(Table2[[#This Row],[Date]],Funds!$C$10:$GV$11,2,FALSE)))</f>
        <v/>
      </c>
      <c r="J6930" s="215" t="str">
        <f>IF(Table2[[#This Row],[Description]]="","",Table2[[#This Row],[Value]]/Table2[[#This Row],[Conversion]])</f>
        <v/>
      </c>
      <c r="K6930" s="45" t="str">
        <f>IF(Table2[[#This Row],[Description]]="","",DATE(Table2[[#This Row],[Year]],Table2[[#This Row],[Month]],1))</f>
        <v/>
      </c>
    </row>
    <row r="6931" spans="7:11" x14ac:dyDescent="0.25">
      <c r="G6931" s="1" t="str">
        <f>IF(Table2[[#This Row],[Description]]="","",VLOOKUP(Table2[[#This Row],[Description]],$Q$1:$S$101,2,FALSE))</f>
        <v/>
      </c>
      <c r="H6931" s="1" t="str">
        <f>IF(Table2[[#This Row],[Description]]="","",VLOOKUP(Table2[[#This Row],[Description]],$Q$1:$S$101,3,FALSE))</f>
        <v/>
      </c>
      <c r="I6931" s="1" t="str">
        <f>IF(Table2[[#This Row],[Description]]="","",IF(Table2[[#This Row],[Currency]]=$O$2,$P$2,HLOOKUP(Table2[[#This Row],[Date]],Funds!$C$10:$GV$11,2,FALSE)))</f>
        <v/>
      </c>
      <c r="J6931" s="215" t="str">
        <f>IF(Table2[[#This Row],[Description]]="","",Table2[[#This Row],[Value]]/Table2[[#This Row],[Conversion]])</f>
        <v/>
      </c>
      <c r="K6931" s="45" t="str">
        <f>IF(Table2[[#This Row],[Description]]="","",DATE(Table2[[#This Row],[Year]],Table2[[#This Row],[Month]],1))</f>
        <v/>
      </c>
    </row>
    <row r="6932" spans="7:11" x14ac:dyDescent="0.25">
      <c r="G6932" s="1" t="str">
        <f>IF(Table2[[#This Row],[Description]]="","",VLOOKUP(Table2[[#This Row],[Description]],$Q$1:$S$101,2,FALSE))</f>
        <v/>
      </c>
      <c r="H6932" s="1" t="str">
        <f>IF(Table2[[#This Row],[Description]]="","",VLOOKUP(Table2[[#This Row],[Description]],$Q$1:$S$101,3,FALSE))</f>
        <v/>
      </c>
      <c r="I6932" s="1" t="str">
        <f>IF(Table2[[#This Row],[Description]]="","",IF(Table2[[#This Row],[Currency]]=$O$2,$P$2,HLOOKUP(Table2[[#This Row],[Date]],Funds!$C$10:$GV$11,2,FALSE)))</f>
        <v/>
      </c>
      <c r="J6932" s="215" t="str">
        <f>IF(Table2[[#This Row],[Description]]="","",Table2[[#This Row],[Value]]/Table2[[#This Row],[Conversion]])</f>
        <v/>
      </c>
      <c r="K6932" s="45" t="str">
        <f>IF(Table2[[#This Row],[Description]]="","",DATE(Table2[[#This Row],[Year]],Table2[[#This Row],[Month]],1))</f>
        <v/>
      </c>
    </row>
    <row r="6933" spans="7:11" x14ac:dyDescent="0.25">
      <c r="G6933" s="1" t="str">
        <f>IF(Table2[[#This Row],[Description]]="","",VLOOKUP(Table2[[#This Row],[Description]],$Q$1:$S$101,2,FALSE))</f>
        <v/>
      </c>
      <c r="H6933" s="1" t="str">
        <f>IF(Table2[[#This Row],[Description]]="","",VLOOKUP(Table2[[#This Row],[Description]],$Q$1:$S$101,3,FALSE))</f>
        <v/>
      </c>
      <c r="I6933" s="1" t="str">
        <f>IF(Table2[[#This Row],[Description]]="","",IF(Table2[[#This Row],[Currency]]=$O$2,$P$2,HLOOKUP(Table2[[#This Row],[Date]],Funds!$C$10:$GV$11,2,FALSE)))</f>
        <v/>
      </c>
      <c r="J6933" s="215" t="str">
        <f>IF(Table2[[#This Row],[Description]]="","",Table2[[#This Row],[Value]]/Table2[[#This Row],[Conversion]])</f>
        <v/>
      </c>
      <c r="K6933" s="45" t="str">
        <f>IF(Table2[[#This Row],[Description]]="","",DATE(Table2[[#This Row],[Year]],Table2[[#This Row],[Month]],1))</f>
        <v/>
      </c>
    </row>
    <row r="6934" spans="7:11" x14ac:dyDescent="0.25">
      <c r="G6934" s="1" t="str">
        <f>IF(Table2[[#This Row],[Description]]="","",VLOOKUP(Table2[[#This Row],[Description]],$Q$1:$S$101,2,FALSE))</f>
        <v/>
      </c>
      <c r="H6934" s="1" t="str">
        <f>IF(Table2[[#This Row],[Description]]="","",VLOOKUP(Table2[[#This Row],[Description]],$Q$1:$S$101,3,FALSE))</f>
        <v/>
      </c>
      <c r="I6934" s="1" t="str">
        <f>IF(Table2[[#This Row],[Description]]="","",IF(Table2[[#This Row],[Currency]]=$O$2,$P$2,HLOOKUP(Table2[[#This Row],[Date]],Funds!$C$10:$GV$11,2,FALSE)))</f>
        <v/>
      </c>
      <c r="J6934" s="215" t="str">
        <f>IF(Table2[[#This Row],[Description]]="","",Table2[[#This Row],[Value]]/Table2[[#This Row],[Conversion]])</f>
        <v/>
      </c>
      <c r="K6934" s="45" t="str">
        <f>IF(Table2[[#This Row],[Description]]="","",DATE(Table2[[#This Row],[Year]],Table2[[#This Row],[Month]],1))</f>
        <v/>
      </c>
    </row>
    <row r="6935" spans="7:11" x14ac:dyDescent="0.25">
      <c r="G6935" s="1" t="str">
        <f>IF(Table2[[#This Row],[Description]]="","",VLOOKUP(Table2[[#This Row],[Description]],$Q$1:$S$101,2,FALSE))</f>
        <v/>
      </c>
      <c r="H6935" s="1" t="str">
        <f>IF(Table2[[#This Row],[Description]]="","",VLOOKUP(Table2[[#This Row],[Description]],$Q$1:$S$101,3,FALSE))</f>
        <v/>
      </c>
      <c r="I6935" s="1" t="str">
        <f>IF(Table2[[#This Row],[Description]]="","",IF(Table2[[#This Row],[Currency]]=$O$2,$P$2,HLOOKUP(Table2[[#This Row],[Date]],Funds!$C$10:$GV$11,2,FALSE)))</f>
        <v/>
      </c>
      <c r="J6935" s="215" t="str">
        <f>IF(Table2[[#This Row],[Description]]="","",Table2[[#This Row],[Value]]/Table2[[#This Row],[Conversion]])</f>
        <v/>
      </c>
      <c r="K6935" s="45" t="str">
        <f>IF(Table2[[#This Row],[Description]]="","",DATE(Table2[[#This Row],[Year]],Table2[[#This Row],[Month]],1))</f>
        <v/>
      </c>
    </row>
    <row r="6936" spans="7:11" x14ac:dyDescent="0.25">
      <c r="G6936" s="1" t="str">
        <f>IF(Table2[[#This Row],[Description]]="","",VLOOKUP(Table2[[#This Row],[Description]],$Q$1:$S$101,2,FALSE))</f>
        <v/>
      </c>
      <c r="H6936" s="1" t="str">
        <f>IF(Table2[[#This Row],[Description]]="","",VLOOKUP(Table2[[#This Row],[Description]],$Q$1:$S$101,3,FALSE))</f>
        <v/>
      </c>
      <c r="I6936" s="1" t="str">
        <f>IF(Table2[[#This Row],[Description]]="","",IF(Table2[[#This Row],[Currency]]=$O$2,$P$2,HLOOKUP(Table2[[#This Row],[Date]],Funds!$C$10:$GV$11,2,FALSE)))</f>
        <v/>
      </c>
      <c r="J6936" s="215" t="str">
        <f>IF(Table2[[#This Row],[Description]]="","",Table2[[#This Row],[Value]]/Table2[[#This Row],[Conversion]])</f>
        <v/>
      </c>
      <c r="K6936" s="45" t="str">
        <f>IF(Table2[[#This Row],[Description]]="","",DATE(Table2[[#This Row],[Year]],Table2[[#This Row],[Month]],1))</f>
        <v/>
      </c>
    </row>
    <row r="6937" spans="7:11" x14ac:dyDescent="0.25">
      <c r="G6937" s="1" t="str">
        <f>IF(Table2[[#This Row],[Description]]="","",VLOOKUP(Table2[[#This Row],[Description]],$Q$1:$S$101,2,FALSE))</f>
        <v/>
      </c>
      <c r="H6937" s="1" t="str">
        <f>IF(Table2[[#This Row],[Description]]="","",VLOOKUP(Table2[[#This Row],[Description]],$Q$1:$S$101,3,FALSE))</f>
        <v/>
      </c>
      <c r="I6937" s="1" t="str">
        <f>IF(Table2[[#This Row],[Description]]="","",IF(Table2[[#This Row],[Currency]]=$O$2,$P$2,HLOOKUP(Table2[[#This Row],[Date]],Funds!$C$10:$GV$11,2,FALSE)))</f>
        <v/>
      </c>
      <c r="J6937" s="215" t="str">
        <f>IF(Table2[[#This Row],[Description]]="","",Table2[[#This Row],[Value]]/Table2[[#This Row],[Conversion]])</f>
        <v/>
      </c>
      <c r="K6937" s="45" t="str">
        <f>IF(Table2[[#This Row],[Description]]="","",DATE(Table2[[#This Row],[Year]],Table2[[#This Row],[Month]],1))</f>
        <v/>
      </c>
    </row>
    <row r="6938" spans="7:11" x14ac:dyDescent="0.25">
      <c r="G6938" s="1" t="str">
        <f>IF(Table2[[#This Row],[Description]]="","",VLOOKUP(Table2[[#This Row],[Description]],$Q$1:$S$101,2,FALSE))</f>
        <v/>
      </c>
      <c r="H6938" s="1" t="str">
        <f>IF(Table2[[#This Row],[Description]]="","",VLOOKUP(Table2[[#This Row],[Description]],$Q$1:$S$101,3,FALSE))</f>
        <v/>
      </c>
      <c r="I6938" s="1" t="str">
        <f>IF(Table2[[#This Row],[Description]]="","",IF(Table2[[#This Row],[Currency]]=$O$2,$P$2,HLOOKUP(Table2[[#This Row],[Date]],Funds!$C$10:$GV$11,2,FALSE)))</f>
        <v/>
      </c>
      <c r="J6938" s="215" t="str">
        <f>IF(Table2[[#This Row],[Description]]="","",Table2[[#This Row],[Value]]/Table2[[#This Row],[Conversion]])</f>
        <v/>
      </c>
      <c r="K6938" s="45" t="str">
        <f>IF(Table2[[#This Row],[Description]]="","",DATE(Table2[[#This Row],[Year]],Table2[[#This Row],[Month]],1))</f>
        <v/>
      </c>
    </row>
    <row r="6939" spans="7:11" x14ac:dyDescent="0.25">
      <c r="G6939" s="1" t="str">
        <f>IF(Table2[[#This Row],[Description]]="","",VLOOKUP(Table2[[#This Row],[Description]],$Q$1:$S$101,2,FALSE))</f>
        <v/>
      </c>
      <c r="H6939" s="1" t="str">
        <f>IF(Table2[[#This Row],[Description]]="","",VLOOKUP(Table2[[#This Row],[Description]],$Q$1:$S$101,3,FALSE))</f>
        <v/>
      </c>
      <c r="I6939" s="1" t="str">
        <f>IF(Table2[[#This Row],[Description]]="","",IF(Table2[[#This Row],[Currency]]=$O$2,$P$2,HLOOKUP(Table2[[#This Row],[Date]],Funds!$C$10:$GV$11,2,FALSE)))</f>
        <v/>
      </c>
      <c r="J6939" s="215" t="str">
        <f>IF(Table2[[#This Row],[Description]]="","",Table2[[#This Row],[Value]]/Table2[[#This Row],[Conversion]])</f>
        <v/>
      </c>
      <c r="K6939" s="45" t="str">
        <f>IF(Table2[[#This Row],[Description]]="","",DATE(Table2[[#This Row],[Year]],Table2[[#This Row],[Month]],1))</f>
        <v/>
      </c>
    </row>
    <row r="6940" spans="7:11" x14ac:dyDescent="0.25">
      <c r="G6940" s="1" t="str">
        <f>IF(Table2[[#This Row],[Description]]="","",VLOOKUP(Table2[[#This Row],[Description]],$Q$1:$S$101,2,FALSE))</f>
        <v/>
      </c>
      <c r="H6940" s="1" t="str">
        <f>IF(Table2[[#This Row],[Description]]="","",VLOOKUP(Table2[[#This Row],[Description]],$Q$1:$S$101,3,FALSE))</f>
        <v/>
      </c>
      <c r="I6940" s="1" t="str">
        <f>IF(Table2[[#This Row],[Description]]="","",IF(Table2[[#This Row],[Currency]]=$O$2,$P$2,HLOOKUP(Table2[[#This Row],[Date]],Funds!$C$10:$GV$11,2,FALSE)))</f>
        <v/>
      </c>
      <c r="J6940" s="215" t="str">
        <f>IF(Table2[[#This Row],[Description]]="","",Table2[[#This Row],[Value]]/Table2[[#This Row],[Conversion]])</f>
        <v/>
      </c>
      <c r="K6940" s="45" t="str">
        <f>IF(Table2[[#This Row],[Description]]="","",DATE(Table2[[#This Row],[Year]],Table2[[#This Row],[Month]],1))</f>
        <v/>
      </c>
    </row>
    <row r="6941" spans="7:11" x14ac:dyDescent="0.25">
      <c r="G6941" s="1" t="str">
        <f>IF(Table2[[#This Row],[Description]]="","",VLOOKUP(Table2[[#This Row],[Description]],$Q$1:$S$101,2,FALSE))</f>
        <v/>
      </c>
      <c r="H6941" s="1" t="str">
        <f>IF(Table2[[#This Row],[Description]]="","",VLOOKUP(Table2[[#This Row],[Description]],$Q$1:$S$101,3,FALSE))</f>
        <v/>
      </c>
      <c r="I6941" s="1" t="str">
        <f>IF(Table2[[#This Row],[Description]]="","",IF(Table2[[#This Row],[Currency]]=$O$2,$P$2,HLOOKUP(Table2[[#This Row],[Date]],Funds!$C$10:$GV$11,2,FALSE)))</f>
        <v/>
      </c>
      <c r="J6941" s="215" t="str">
        <f>IF(Table2[[#This Row],[Description]]="","",Table2[[#This Row],[Value]]/Table2[[#This Row],[Conversion]])</f>
        <v/>
      </c>
      <c r="K6941" s="45" t="str">
        <f>IF(Table2[[#This Row],[Description]]="","",DATE(Table2[[#This Row],[Year]],Table2[[#This Row],[Month]],1))</f>
        <v/>
      </c>
    </row>
    <row r="6942" spans="7:11" x14ac:dyDescent="0.25">
      <c r="G6942" s="1" t="str">
        <f>IF(Table2[[#This Row],[Description]]="","",VLOOKUP(Table2[[#This Row],[Description]],$Q$1:$S$101,2,FALSE))</f>
        <v/>
      </c>
      <c r="H6942" s="1" t="str">
        <f>IF(Table2[[#This Row],[Description]]="","",VLOOKUP(Table2[[#This Row],[Description]],$Q$1:$S$101,3,FALSE))</f>
        <v/>
      </c>
      <c r="I6942" s="1" t="str">
        <f>IF(Table2[[#This Row],[Description]]="","",IF(Table2[[#This Row],[Currency]]=$O$2,$P$2,HLOOKUP(Table2[[#This Row],[Date]],Funds!$C$10:$GV$11,2,FALSE)))</f>
        <v/>
      </c>
      <c r="J6942" s="215" t="str">
        <f>IF(Table2[[#This Row],[Description]]="","",Table2[[#This Row],[Value]]/Table2[[#This Row],[Conversion]])</f>
        <v/>
      </c>
      <c r="K6942" s="45" t="str">
        <f>IF(Table2[[#This Row],[Description]]="","",DATE(Table2[[#This Row],[Year]],Table2[[#This Row],[Month]],1))</f>
        <v/>
      </c>
    </row>
    <row r="6943" spans="7:11" x14ac:dyDescent="0.25">
      <c r="G6943" s="1" t="str">
        <f>IF(Table2[[#This Row],[Description]]="","",VLOOKUP(Table2[[#This Row],[Description]],$Q$1:$S$101,2,FALSE))</f>
        <v/>
      </c>
      <c r="H6943" s="1" t="str">
        <f>IF(Table2[[#This Row],[Description]]="","",VLOOKUP(Table2[[#This Row],[Description]],$Q$1:$S$101,3,FALSE))</f>
        <v/>
      </c>
      <c r="I6943" s="1" t="str">
        <f>IF(Table2[[#This Row],[Description]]="","",IF(Table2[[#This Row],[Currency]]=$O$2,$P$2,HLOOKUP(Table2[[#This Row],[Date]],Funds!$C$10:$GV$11,2,FALSE)))</f>
        <v/>
      </c>
      <c r="J6943" s="215" t="str">
        <f>IF(Table2[[#This Row],[Description]]="","",Table2[[#This Row],[Value]]/Table2[[#This Row],[Conversion]])</f>
        <v/>
      </c>
      <c r="K6943" s="45" t="str">
        <f>IF(Table2[[#This Row],[Description]]="","",DATE(Table2[[#This Row],[Year]],Table2[[#This Row],[Month]],1))</f>
        <v/>
      </c>
    </row>
    <row r="6944" spans="7:11" x14ac:dyDescent="0.25">
      <c r="G6944" s="1" t="str">
        <f>IF(Table2[[#This Row],[Description]]="","",VLOOKUP(Table2[[#This Row],[Description]],$Q$1:$S$101,2,FALSE))</f>
        <v/>
      </c>
      <c r="H6944" s="1" t="str">
        <f>IF(Table2[[#This Row],[Description]]="","",VLOOKUP(Table2[[#This Row],[Description]],$Q$1:$S$101,3,FALSE))</f>
        <v/>
      </c>
      <c r="I6944" s="1" t="str">
        <f>IF(Table2[[#This Row],[Description]]="","",IF(Table2[[#This Row],[Currency]]=$O$2,$P$2,HLOOKUP(Table2[[#This Row],[Date]],Funds!$C$10:$GV$11,2,FALSE)))</f>
        <v/>
      </c>
      <c r="J6944" s="215" t="str">
        <f>IF(Table2[[#This Row],[Description]]="","",Table2[[#This Row],[Value]]/Table2[[#This Row],[Conversion]])</f>
        <v/>
      </c>
      <c r="K6944" s="45" t="str">
        <f>IF(Table2[[#This Row],[Description]]="","",DATE(Table2[[#This Row],[Year]],Table2[[#This Row],[Month]],1))</f>
        <v/>
      </c>
    </row>
    <row r="6945" spans="7:11" x14ac:dyDescent="0.25">
      <c r="G6945" s="1" t="str">
        <f>IF(Table2[[#This Row],[Description]]="","",VLOOKUP(Table2[[#This Row],[Description]],$Q$1:$S$101,2,FALSE))</f>
        <v/>
      </c>
      <c r="H6945" s="1" t="str">
        <f>IF(Table2[[#This Row],[Description]]="","",VLOOKUP(Table2[[#This Row],[Description]],$Q$1:$S$101,3,FALSE))</f>
        <v/>
      </c>
      <c r="I6945" s="1" t="str">
        <f>IF(Table2[[#This Row],[Description]]="","",IF(Table2[[#This Row],[Currency]]=$O$2,$P$2,HLOOKUP(Table2[[#This Row],[Date]],Funds!$C$10:$GV$11,2,FALSE)))</f>
        <v/>
      </c>
      <c r="J6945" s="215" t="str">
        <f>IF(Table2[[#This Row],[Description]]="","",Table2[[#This Row],[Value]]/Table2[[#This Row],[Conversion]])</f>
        <v/>
      </c>
      <c r="K6945" s="45" t="str">
        <f>IF(Table2[[#This Row],[Description]]="","",DATE(Table2[[#This Row],[Year]],Table2[[#This Row],[Month]],1))</f>
        <v/>
      </c>
    </row>
    <row r="6946" spans="7:11" x14ac:dyDescent="0.25">
      <c r="G6946" s="1" t="str">
        <f>IF(Table2[[#This Row],[Description]]="","",VLOOKUP(Table2[[#This Row],[Description]],$Q$1:$S$101,2,FALSE))</f>
        <v/>
      </c>
      <c r="H6946" s="1" t="str">
        <f>IF(Table2[[#This Row],[Description]]="","",VLOOKUP(Table2[[#This Row],[Description]],$Q$1:$S$101,3,FALSE))</f>
        <v/>
      </c>
      <c r="I6946" s="1" t="str">
        <f>IF(Table2[[#This Row],[Description]]="","",IF(Table2[[#This Row],[Currency]]=$O$2,$P$2,HLOOKUP(Table2[[#This Row],[Date]],Funds!$C$10:$GV$11,2,FALSE)))</f>
        <v/>
      </c>
      <c r="J6946" s="215" t="str">
        <f>IF(Table2[[#This Row],[Description]]="","",Table2[[#This Row],[Value]]/Table2[[#This Row],[Conversion]])</f>
        <v/>
      </c>
      <c r="K6946" s="45" t="str">
        <f>IF(Table2[[#This Row],[Description]]="","",DATE(Table2[[#This Row],[Year]],Table2[[#This Row],[Month]],1))</f>
        <v/>
      </c>
    </row>
    <row r="6947" spans="7:11" x14ac:dyDescent="0.25">
      <c r="G6947" s="1" t="str">
        <f>IF(Table2[[#This Row],[Description]]="","",VLOOKUP(Table2[[#This Row],[Description]],$Q$1:$S$101,2,FALSE))</f>
        <v/>
      </c>
      <c r="H6947" s="1" t="str">
        <f>IF(Table2[[#This Row],[Description]]="","",VLOOKUP(Table2[[#This Row],[Description]],$Q$1:$S$101,3,FALSE))</f>
        <v/>
      </c>
      <c r="I6947" s="1" t="str">
        <f>IF(Table2[[#This Row],[Description]]="","",IF(Table2[[#This Row],[Currency]]=$O$2,$P$2,HLOOKUP(Table2[[#This Row],[Date]],Funds!$C$10:$GV$11,2,FALSE)))</f>
        <v/>
      </c>
      <c r="J6947" s="215" t="str">
        <f>IF(Table2[[#This Row],[Description]]="","",Table2[[#This Row],[Value]]/Table2[[#This Row],[Conversion]])</f>
        <v/>
      </c>
      <c r="K6947" s="45" t="str">
        <f>IF(Table2[[#This Row],[Description]]="","",DATE(Table2[[#This Row],[Year]],Table2[[#This Row],[Month]],1))</f>
        <v/>
      </c>
    </row>
    <row r="6948" spans="7:11" x14ac:dyDescent="0.25">
      <c r="G6948" s="1" t="str">
        <f>IF(Table2[[#This Row],[Description]]="","",VLOOKUP(Table2[[#This Row],[Description]],$Q$1:$S$101,2,FALSE))</f>
        <v/>
      </c>
      <c r="H6948" s="1" t="str">
        <f>IF(Table2[[#This Row],[Description]]="","",VLOOKUP(Table2[[#This Row],[Description]],$Q$1:$S$101,3,FALSE))</f>
        <v/>
      </c>
      <c r="I6948" s="1" t="str">
        <f>IF(Table2[[#This Row],[Description]]="","",IF(Table2[[#This Row],[Currency]]=$O$2,$P$2,HLOOKUP(Table2[[#This Row],[Date]],Funds!$C$10:$GV$11,2,FALSE)))</f>
        <v/>
      </c>
      <c r="J6948" s="215" t="str">
        <f>IF(Table2[[#This Row],[Description]]="","",Table2[[#This Row],[Value]]/Table2[[#This Row],[Conversion]])</f>
        <v/>
      </c>
      <c r="K6948" s="45" t="str">
        <f>IF(Table2[[#This Row],[Description]]="","",DATE(Table2[[#This Row],[Year]],Table2[[#This Row],[Month]],1))</f>
        <v/>
      </c>
    </row>
    <row r="6949" spans="7:11" x14ac:dyDescent="0.25">
      <c r="G6949" s="1" t="str">
        <f>IF(Table2[[#This Row],[Description]]="","",VLOOKUP(Table2[[#This Row],[Description]],$Q$1:$S$101,2,FALSE))</f>
        <v/>
      </c>
      <c r="H6949" s="1" t="str">
        <f>IF(Table2[[#This Row],[Description]]="","",VLOOKUP(Table2[[#This Row],[Description]],$Q$1:$S$101,3,FALSE))</f>
        <v/>
      </c>
      <c r="I6949" s="1" t="str">
        <f>IF(Table2[[#This Row],[Description]]="","",IF(Table2[[#This Row],[Currency]]=$O$2,$P$2,HLOOKUP(Table2[[#This Row],[Date]],Funds!$C$10:$GV$11,2,FALSE)))</f>
        <v/>
      </c>
      <c r="J6949" s="215" t="str">
        <f>IF(Table2[[#This Row],[Description]]="","",Table2[[#This Row],[Value]]/Table2[[#This Row],[Conversion]])</f>
        <v/>
      </c>
      <c r="K6949" s="45" t="str">
        <f>IF(Table2[[#This Row],[Description]]="","",DATE(Table2[[#This Row],[Year]],Table2[[#This Row],[Month]],1))</f>
        <v/>
      </c>
    </row>
    <row r="6950" spans="7:11" x14ac:dyDescent="0.25">
      <c r="G6950" s="1" t="str">
        <f>IF(Table2[[#This Row],[Description]]="","",VLOOKUP(Table2[[#This Row],[Description]],$Q$1:$S$101,2,FALSE))</f>
        <v/>
      </c>
      <c r="H6950" s="1" t="str">
        <f>IF(Table2[[#This Row],[Description]]="","",VLOOKUP(Table2[[#This Row],[Description]],$Q$1:$S$101,3,FALSE))</f>
        <v/>
      </c>
      <c r="I6950" s="1" t="str">
        <f>IF(Table2[[#This Row],[Description]]="","",IF(Table2[[#This Row],[Currency]]=$O$2,$P$2,HLOOKUP(Table2[[#This Row],[Date]],Funds!$C$10:$GV$11,2,FALSE)))</f>
        <v/>
      </c>
      <c r="J6950" s="215" t="str">
        <f>IF(Table2[[#This Row],[Description]]="","",Table2[[#This Row],[Value]]/Table2[[#This Row],[Conversion]])</f>
        <v/>
      </c>
      <c r="K6950" s="45" t="str">
        <f>IF(Table2[[#This Row],[Description]]="","",DATE(Table2[[#This Row],[Year]],Table2[[#This Row],[Month]],1))</f>
        <v/>
      </c>
    </row>
    <row r="6951" spans="7:11" x14ac:dyDescent="0.25">
      <c r="G6951" s="1" t="str">
        <f>IF(Table2[[#This Row],[Description]]="","",VLOOKUP(Table2[[#This Row],[Description]],$Q$1:$S$101,2,FALSE))</f>
        <v/>
      </c>
      <c r="H6951" s="1" t="str">
        <f>IF(Table2[[#This Row],[Description]]="","",VLOOKUP(Table2[[#This Row],[Description]],$Q$1:$S$101,3,FALSE))</f>
        <v/>
      </c>
      <c r="I6951" s="1" t="str">
        <f>IF(Table2[[#This Row],[Description]]="","",IF(Table2[[#This Row],[Currency]]=$O$2,$P$2,HLOOKUP(Table2[[#This Row],[Date]],Funds!$C$10:$GV$11,2,FALSE)))</f>
        <v/>
      </c>
      <c r="J6951" s="215" t="str">
        <f>IF(Table2[[#This Row],[Description]]="","",Table2[[#This Row],[Value]]/Table2[[#This Row],[Conversion]])</f>
        <v/>
      </c>
      <c r="K6951" s="45" t="str">
        <f>IF(Table2[[#This Row],[Description]]="","",DATE(Table2[[#This Row],[Year]],Table2[[#This Row],[Month]],1))</f>
        <v/>
      </c>
    </row>
    <row r="6952" spans="7:11" x14ac:dyDescent="0.25">
      <c r="G6952" s="1" t="str">
        <f>IF(Table2[[#This Row],[Description]]="","",VLOOKUP(Table2[[#This Row],[Description]],$Q$1:$S$101,2,FALSE))</f>
        <v/>
      </c>
      <c r="H6952" s="1" t="str">
        <f>IF(Table2[[#This Row],[Description]]="","",VLOOKUP(Table2[[#This Row],[Description]],$Q$1:$S$101,3,FALSE))</f>
        <v/>
      </c>
      <c r="I6952" s="1" t="str">
        <f>IF(Table2[[#This Row],[Description]]="","",IF(Table2[[#This Row],[Currency]]=$O$2,$P$2,HLOOKUP(Table2[[#This Row],[Date]],Funds!$C$10:$GV$11,2,FALSE)))</f>
        <v/>
      </c>
      <c r="J6952" s="215" t="str">
        <f>IF(Table2[[#This Row],[Description]]="","",Table2[[#This Row],[Value]]/Table2[[#This Row],[Conversion]])</f>
        <v/>
      </c>
      <c r="K6952" s="45" t="str">
        <f>IF(Table2[[#This Row],[Description]]="","",DATE(Table2[[#This Row],[Year]],Table2[[#This Row],[Month]],1))</f>
        <v/>
      </c>
    </row>
    <row r="6953" spans="7:11" x14ac:dyDescent="0.25">
      <c r="G6953" s="1" t="str">
        <f>IF(Table2[[#This Row],[Description]]="","",VLOOKUP(Table2[[#This Row],[Description]],$Q$1:$S$101,2,FALSE))</f>
        <v/>
      </c>
      <c r="H6953" s="1" t="str">
        <f>IF(Table2[[#This Row],[Description]]="","",VLOOKUP(Table2[[#This Row],[Description]],$Q$1:$S$101,3,FALSE))</f>
        <v/>
      </c>
      <c r="I6953" s="1" t="str">
        <f>IF(Table2[[#This Row],[Description]]="","",IF(Table2[[#This Row],[Currency]]=$O$2,$P$2,HLOOKUP(Table2[[#This Row],[Date]],Funds!$C$10:$GV$11,2,FALSE)))</f>
        <v/>
      </c>
      <c r="J6953" s="215" t="str">
        <f>IF(Table2[[#This Row],[Description]]="","",Table2[[#This Row],[Value]]/Table2[[#This Row],[Conversion]])</f>
        <v/>
      </c>
      <c r="K6953" s="45" t="str">
        <f>IF(Table2[[#This Row],[Description]]="","",DATE(Table2[[#This Row],[Year]],Table2[[#This Row],[Month]],1))</f>
        <v/>
      </c>
    </row>
    <row r="6954" spans="7:11" x14ac:dyDescent="0.25">
      <c r="G6954" s="1" t="str">
        <f>IF(Table2[[#This Row],[Description]]="","",VLOOKUP(Table2[[#This Row],[Description]],$Q$1:$S$101,2,FALSE))</f>
        <v/>
      </c>
      <c r="H6954" s="1" t="str">
        <f>IF(Table2[[#This Row],[Description]]="","",VLOOKUP(Table2[[#This Row],[Description]],$Q$1:$S$101,3,FALSE))</f>
        <v/>
      </c>
      <c r="I6954" s="1" t="str">
        <f>IF(Table2[[#This Row],[Description]]="","",IF(Table2[[#This Row],[Currency]]=$O$2,$P$2,HLOOKUP(Table2[[#This Row],[Date]],Funds!$C$10:$GV$11,2,FALSE)))</f>
        <v/>
      </c>
      <c r="J6954" s="215" t="str">
        <f>IF(Table2[[#This Row],[Description]]="","",Table2[[#This Row],[Value]]/Table2[[#This Row],[Conversion]])</f>
        <v/>
      </c>
      <c r="K6954" s="45" t="str">
        <f>IF(Table2[[#This Row],[Description]]="","",DATE(Table2[[#This Row],[Year]],Table2[[#This Row],[Month]],1))</f>
        <v/>
      </c>
    </row>
    <row r="6955" spans="7:11" x14ac:dyDescent="0.25">
      <c r="G6955" s="1" t="str">
        <f>IF(Table2[[#This Row],[Description]]="","",VLOOKUP(Table2[[#This Row],[Description]],$Q$1:$S$101,2,FALSE))</f>
        <v/>
      </c>
      <c r="H6955" s="1" t="str">
        <f>IF(Table2[[#This Row],[Description]]="","",VLOOKUP(Table2[[#This Row],[Description]],$Q$1:$S$101,3,FALSE))</f>
        <v/>
      </c>
      <c r="I6955" s="1" t="str">
        <f>IF(Table2[[#This Row],[Description]]="","",IF(Table2[[#This Row],[Currency]]=$O$2,$P$2,HLOOKUP(Table2[[#This Row],[Date]],Funds!$C$10:$GV$11,2,FALSE)))</f>
        <v/>
      </c>
      <c r="J6955" s="215" t="str">
        <f>IF(Table2[[#This Row],[Description]]="","",Table2[[#This Row],[Value]]/Table2[[#This Row],[Conversion]])</f>
        <v/>
      </c>
      <c r="K6955" s="45" t="str">
        <f>IF(Table2[[#This Row],[Description]]="","",DATE(Table2[[#This Row],[Year]],Table2[[#This Row],[Month]],1))</f>
        <v/>
      </c>
    </row>
    <row r="6956" spans="7:11" x14ac:dyDescent="0.25">
      <c r="G6956" s="1" t="str">
        <f>IF(Table2[[#This Row],[Description]]="","",VLOOKUP(Table2[[#This Row],[Description]],$Q$1:$S$101,2,FALSE))</f>
        <v/>
      </c>
      <c r="H6956" s="1" t="str">
        <f>IF(Table2[[#This Row],[Description]]="","",VLOOKUP(Table2[[#This Row],[Description]],$Q$1:$S$101,3,FALSE))</f>
        <v/>
      </c>
      <c r="I6956" s="1" t="str">
        <f>IF(Table2[[#This Row],[Description]]="","",IF(Table2[[#This Row],[Currency]]=$O$2,$P$2,HLOOKUP(Table2[[#This Row],[Date]],Funds!$C$10:$GV$11,2,FALSE)))</f>
        <v/>
      </c>
      <c r="J6956" s="215" t="str">
        <f>IF(Table2[[#This Row],[Description]]="","",Table2[[#This Row],[Value]]/Table2[[#This Row],[Conversion]])</f>
        <v/>
      </c>
      <c r="K6956" s="45" t="str">
        <f>IF(Table2[[#This Row],[Description]]="","",DATE(Table2[[#This Row],[Year]],Table2[[#This Row],[Month]],1))</f>
        <v/>
      </c>
    </row>
    <row r="6957" spans="7:11" x14ac:dyDescent="0.25">
      <c r="G6957" s="1" t="str">
        <f>IF(Table2[[#This Row],[Description]]="","",VLOOKUP(Table2[[#This Row],[Description]],$Q$1:$S$101,2,FALSE))</f>
        <v/>
      </c>
      <c r="H6957" s="1" t="str">
        <f>IF(Table2[[#This Row],[Description]]="","",VLOOKUP(Table2[[#This Row],[Description]],$Q$1:$S$101,3,FALSE))</f>
        <v/>
      </c>
      <c r="I6957" s="1" t="str">
        <f>IF(Table2[[#This Row],[Description]]="","",IF(Table2[[#This Row],[Currency]]=$O$2,$P$2,HLOOKUP(Table2[[#This Row],[Date]],Funds!$C$10:$GV$11,2,FALSE)))</f>
        <v/>
      </c>
      <c r="J6957" s="215" t="str">
        <f>IF(Table2[[#This Row],[Description]]="","",Table2[[#This Row],[Value]]/Table2[[#This Row],[Conversion]])</f>
        <v/>
      </c>
      <c r="K6957" s="45" t="str">
        <f>IF(Table2[[#This Row],[Description]]="","",DATE(Table2[[#This Row],[Year]],Table2[[#This Row],[Month]],1))</f>
        <v/>
      </c>
    </row>
    <row r="6958" spans="7:11" x14ac:dyDescent="0.25">
      <c r="G6958" s="1" t="str">
        <f>IF(Table2[[#This Row],[Description]]="","",VLOOKUP(Table2[[#This Row],[Description]],$Q$1:$S$101,2,FALSE))</f>
        <v/>
      </c>
      <c r="H6958" s="1" t="str">
        <f>IF(Table2[[#This Row],[Description]]="","",VLOOKUP(Table2[[#This Row],[Description]],$Q$1:$S$101,3,FALSE))</f>
        <v/>
      </c>
      <c r="I6958" s="1" t="str">
        <f>IF(Table2[[#This Row],[Description]]="","",IF(Table2[[#This Row],[Currency]]=$O$2,$P$2,HLOOKUP(Table2[[#This Row],[Date]],Funds!$C$10:$GV$11,2,FALSE)))</f>
        <v/>
      </c>
      <c r="J6958" s="215" t="str">
        <f>IF(Table2[[#This Row],[Description]]="","",Table2[[#This Row],[Value]]/Table2[[#This Row],[Conversion]])</f>
        <v/>
      </c>
      <c r="K6958" s="45" t="str">
        <f>IF(Table2[[#This Row],[Description]]="","",DATE(Table2[[#This Row],[Year]],Table2[[#This Row],[Month]],1))</f>
        <v/>
      </c>
    </row>
    <row r="6959" spans="7:11" x14ac:dyDescent="0.25">
      <c r="G6959" s="1" t="str">
        <f>IF(Table2[[#This Row],[Description]]="","",VLOOKUP(Table2[[#This Row],[Description]],$Q$1:$S$101,2,FALSE))</f>
        <v/>
      </c>
      <c r="H6959" s="1" t="str">
        <f>IF(Table2[[#This Row],[Description]]="","",VLOOKUP(Table2[[#This Row],[Description]],$Q$1:$S$101,3,FALSE))</f>
        <v/>
      </c>
      <c r="I6959" s="1" t="str">
        <f>IF(Table2[[#This Row],[Description]]="","",IF(Table2[[#This Row],[Currency]]=$O$2,$P$2,HLOOKUP(Table2[[#This Row],[Date]],Funds!$C$10:$GV$11,2,FALSE)))</f>
        <v/>
      </c>
      <c r="J6959" s="215" t="str">
        <f>IF(Table2[[#This Row],[Description]]="","",Table2[[#This Row],[Value]]/Table2[[#This Row],[Conversion]])</f>
        <v/>
      </c>
      <c r="K6959" s="45" t="str">
        <f>IF(Table2[[#This Row],[Description]]="","",DATE(Table2[[#This Row],[Year]],Table2[[#This Row],[Month]],1))</f>
        <v/>
      </c>
    </row>
    <row r="6960" spans="7:11" x14ac:dyDescent="0.25">
      <c r="G6960" s="1" t="str">
        <f>IF(Table2[[#This Row],[Description]]="","",VLOOKUP(Table2[[#This Row],[Description]],$Q$1:$S$101,2,FALSE))</f>
        <v/>
      </c>
      <c r="H6960" s="1" t="str">
        <f>IF(Table2[[#This Row],[Description]]="","",VLOOKUP(Table2[[#This Row],[Description]],$Q$1:$S$101,3,FALSE))</f>
        <v/>
      </c>
      <c r="I6960" s="1" t="str">
        <f>IF(Table2[[#This Row],[Description]]="","",IF(Table2[[#This Row],[Currency]]=$O$2,$P$2,HLOOKUP(Table2[[#This Row],[Date]],Funds!$C$10:$GV$11,2,FALSE)))</f>
        <v/>
      </c>
      <c r="J6960" s="215" t="str">
        <f>IF(Table2[[#This Row],[Description]]="","",Table2[[#This Row],[Value]]/Table2[[#This Row],[Conversion]])</f>
        <v/>
      </c>
      <c r="K6960" s="45" t="str">
        <f>IF(Table2[[#This Row],[Description]]="","",DATE(Table2[[#This Row],[Year]],Table2[[#This Row],[Month]],1))</f>
        <v/>
      </c>
    </row>
    <row r="6961" spans="7:11" x14ac:dyDescent="0.25">
      <c r="G6961" s="1" t="str">
        <f>IF(Table2[[#This Row],[Description]]="","",VLOOKUP(Table2[[#This Row],[Description]],$Q$1:$S$101,2,FALSE))</f>
        <v/>
      </c>
      <c r="H6961" s="1" t="str">
        <f>IF(Table2[[#This Row],[Description]]="","",VLOOKUP(Table2[[#This Row],[Description]],$Q$1:$S$101,3,FALSE))</f>
        <v/>
      </c>
      <c r="I6961" s="1" t="str">
        <f>IF(Table2[[#This Row],[Description]]="","",IF(Table2[[#This Row],[Currency]]=$O$2,$P$2,HLOOKUP(Table2[[#This Row],[Date]],Funds!$C$10:$GV$11,2,FALSE)))</f>
        <v/>
      </c>
      <c r="J6961" s="215" t="str">
        <f>IF(Table2[[#This Row],[Description]]="","",Table2[[#This Row],[Value]]/Table2[[#This Row],[Conversion]])</f>
        <v/>
      </c>
      <c r="K6961" s="45" t="str">
        <f>IF(Table2[[#This Row],[Description]]="","",DATE(Table2[[#This Row],[Year]],Table2[[#This Row],[Month]],1))</f>
        <v/>
      </c>
    </row>
    <row r="6962" spans="7:11" x14ac:dyDescent="0.25">
      <c r="G6962" s="1" t="str">
        <f>IF(Table2[[#This Row],[Description]]="","",VLOOKUP(Table2[[#This Row],[Description]],$Q$1:$S$101,2,FALSE))</f>
        <v/>
      </c>
      <c r="H6962" s="1" t="str">
        <f>IF(Table2[[#This Row],[Description]]="","",VLOOKUP(Table2[[#This Row],[Description]],$Q$1:$S$101,3,FALSE))</f>
        <v/>
      </c>
      <c r="I6962" s="1" t="str">
        <f>IF(Table2[[#This Row],[Description]]="","",IF(Table2[[#This Row],[Currency]]=$O$2,$P$2,HLOOKUP(Table2[[#This Row],[Date]],Funds!$C$10:$GV$11,2,FALSE)))</f>
        <v/>
      </c>
      <c r="J6962" s="215" t="str">
        <f>IF(Table2[[#This Row],[Description]]="","",Table2[[#This Row],[Value]]/Table2[[#This Row],[Conversion]])</f>
        <v/>
      </c>
      <c r="K6962" s="45" t="str">
        <f>IF(Table2[[#This Row],[Description]]="","",DATE(Table2[[#This Row],[Year]],Table2[[#This Row],[Month]],1))</f>
        <v/>
      </c>
    </row>
    <row r="6963" spans="7:11" x14ac:dyDescent="0.25">
      <c r="G6963" s="1" t="str">
        <f>IF(Table2[[#This Row],[Description]]="","",VLOOKUP(Table2[[#This Row],[Description]],$Q$1:$S$101,2,FALSE))</f>
        <v/>
      </c>
      <c r="H6963" s="1" t="str">
        <f>IF(Table2[[#This Row],[Description]]="","",VLOOKUP(Table2[[#This Row],[Description]],$Q$1:$S$101,3,FALSE))</f>
        <v/>
      </c>
      <c r="I6963" s="1" t="str">
        <f>IF(Table2[[#This Row],[Description]]="","",IF(Table2[[#This Row],[Currency]]=$O$2,$P$2,HLOOKUP(Table2[[#This Row],[Date]],Funds!$C$10:$GV$11,2,FALSE)))</f>
        <v/>
      </c>
      <c r="J6963" s="215" t="str">
        <f>IF(Table2[[#This Row],[Description]]="","",Table2[[#This Row],[Value]]/Table2[[#This Row],[Conversion]])</f>
        <v/>
      </c>
      <c r="K6963" s="45" t="str">
        <f>IF(Table2[[#This Row],[Description]]="","",DATE(Table2[[#This Row],[Year]],Table2[[#This Row],[Month]],1))</f>
        <v/>
      </c>
    </row>
    <row r="6964" spans="7:11" x14ac:dyDescent="0.25">
      <c r="G6964" s="1" t="str">
        <f>IF(Table2[[#This Row],[Description]]="","",VLOOKUP(Table2[[#This Row],[Description]],$Q$1:$S$101,2,FALSE))</f>
        <v/>
      </c>
      <c r="H6964" s="1" t="str">
        <f>IF(Table2[[#This Row],[Description]]="","",VLOOKUP(Table2[[#This Row],[Description]],$Q$1:$S$101,3,FALSE))</f>
        <v/>
      </c>
      <c r="I6964" s="1" t="str">
        <f>IF(Table2[[#This Row],[Description]]="","",IF(Table2[[#This Row],[Currency]]=$O$2,$P$2,HLOOKUP(Table2[[#This Row],[Date]],Funds!$C$10:$GV$11,2,FALSE)))</f>
        <v/>
      </c>
      <c r="J6964" s="215" t="str">
        <f>IF(Table2[[#This Row],[Description]]="","",Table2[[#This Row],[Value]]/Table2[[#This Row],[Conversion]])</f>
        <v/>
      </c>
      <c r="K6964" s="45" t="str">
        <f>IF(Table2[[#This Row],[Description]]="","",DATE(Table2[[#This Row],[Year]],Table2[[#This Row],[Month]],1))</f>
        <v/>
      </c>
    </row>
    <row r="6965" spans="7:11" x14ac:dyDescent="0.25">
      <c r="G6965" s="1" t="str">
        <f>IF(Table2[[#This Row],[Description]]="","",VLOOKUP(Table2[[#This Row],[Description]],$Q$1:$S$101,2,FALSE))</f>
        <v/>
      </c>
      <c r="H6965" s="1" t="str">
        <f>IF(Table2[[#This Row],[Description]]="","",VLOOKUP(Table2[[#This Row],[Description]],$Q$1:$S$101,3,FALSE))</f>
        <v/>
      </c>
      <c r="I6965" s="1" t="str">
        <f>IF(Table2[[#This Row],[Description]]="","",IF(Table2[[#This Row],[Currency]]=$O$2,$P$2,HLOOKUP(Table2[[#This Row],[Date]],Funds!$C$10:$GV$11,2,FALSE)))</f>
        <v/>
      </c>
      <c r="J6965" s="215" t="str">
        <f>IF(Table2[[#This Row],[Description]]="","",Table2[[#This Row],[Value]]/Table2[[#This Row],[Conversion]])</f>
        <v/>
      </c>
      <c r="K6965" s="45" t="str">
        <f>IF(Table2[[#This Row],[Description]]="","",DATE(Table2[[#This Row],[Year]],Table2[[#This Row],[Month]],1))</f>
        <v/>
      </c>
    </row>
    <row r="6966" spans="7:11" x14ac:dyDescent="0.25">
      <c r="G6966" s="1" t="str">
        <f>IF(Table2[[#This Row],[Description]]="","",VLOOKUP(Table2[[#This Row],[Description]],$Q$1:$S$101,2,FALSE))</f>
        <v/>
      </c>
      <c r="H6966" s="1" t="str">
        <f>IF(Table2[[#This Row],[Description]]="","",VLOOKUP(Table2[[#This Row],[Description]],$Q$1:$S$101,3,FALSE))</f>
        <v/>
      </c>
      <c r="I6966" s="1" t="str">
        <f>IF(Table2[[#This Row],[Description]]="","",IF(Table2[[#This Row],[Currency]]=$O$2,$P$2,HLOOKUP(Table2[[#This Row],[Date]],Funds!$C$10:$GV$11,2,FALSE)))</f>
        <v/>
      </c>
      <c r="J6966" s="215" t="str">
        <f>IF(Table2[[#This Row],[Description]]="","",Table2[[#This Row],[Value]]/Table2[[#This Row],[Conversion]])</f>
        <v/>
      </c>
      <c r="K6966" s="45" t="str">
        <f>IF(Table2[[#This Row],[Description]]="","",DATE(Table2[[#This Row],[Year]],Table2[[#This Row],[Month]],1))</f>
        <v/>
      </c>
    </row>
    <row r="6967" spans="7:11" x14ac:dyDescent="0.25">
      <c r="G6967" s="1" t="str">
        <f>IF(Table2[[#This Row],[Description]]="","",VLOOKUP(Table2[[#This Row],[Description]],$Q$1:$S$101,2,FALSE))</f>
        <v/>
      </c>
      <c r="H6967" s="1" t="str">
        <f>IF(Table2[[#This Row],[Description]]="","",VLOOKUP(Table2[[#This Row],[Description]],$Q$1:$S$101,3,FALSE))</f>
        <v/>
      </c>
      <c r="I6967" s="1" t="str">
        <f>IF(Table2[[#This Row],[Description]]="","",IF(Table2[[#This Row],[Currency]]=$O$2,$P$2,HLOOKUP(Table2[[#This Row],[Date]],Funds!$C$10:$GV$11,2,FALSE)))</f>
        <v/>
      </c>
      <c r="J6967" s="215" t="str">
        <f>IF(Table2[[#This Row],[Description]]="","",Table2[[#This Row],[Value]]/Table2[[#This Row],[Conversion]])</f>
        <v/>
      </c>
      <c r="K6967" s="45" t="str">
        <f>IF(Table2[[#This Row],[Description]]="","",DATE(Table2[[#This Row],[Year]],Table2[[#This Row],[Month]],1))</f>
        <v/>
      </c>
    </row>
    <row r="6968" spans="7:11" x14ac:dyDescent="0.25">
      <c r="G6968" s="1" t="str">
        <f>IF(Table2[[#This Row],[Description]]="","",VLOOKUP(Table2[[#This Row],[Description]],$Q$1:$S$101,2,FALSE))</f>
        <v/>
      </c>
      <c r="H6968" s="1" t="str">
        <f>IF(Table2[[#This Row],[Description]]="","",VLOOKUP(Table2[[#This Row],[Description]],$Q$1:$S$101,3,FALSE))</f>
        <v/>
      </c>
      <c r="I6968" s="1" t="str">
        <f>IF(Table2[[#This Row],[Description]]="","",IF(Table2[[#This Row],[Currency]]=$O$2,$P$2,HLOOKUP(Table2[[#This Row],[Date]],Funds!$C$10:$GV$11,2,FALSE)))</f>
        <v/>
      </c>
      <c r="J6968" s="215" t="str">
        <f>IF(Table2[[#This Row],[Description]]="","",Table2[[#This Row],[Value]]/Table2[[#This Row],[Conversion]])</f>
        <v/>
      </c>
      <c r="K6968" s="45" t="str">
        <f>IF(Table2[[#This Row],[Description]]="","",DATE(Table2[[#This Row],[Year]],Table2[[#This Row],[Month]],1))</f>
        <v/>
      </c>
    </row>
    <row r="6969" spans="7:11" x14ac:dyDescent="0.25">
      <c r="G6969" s="1" t="str">
        <f>IF(Table2[[#This Row],[Description]]="","",VLOOKUP(Table2[[#This Row],[Description]],$Q$1:$S$101,2,FALSE))</f>
        <v/>
      </c>
      <c r="H6969" s="1" t="str">
        <f>IF(Table2[[#This Row],[Description]]="","",VLOOKUP(Table2[[#This Row],[Description]],$Q$1:$S$101,3,FALSE))</f>
        <v/>
      </c>
      <c r="I6969" s="1" t="str">
        <f>IF(Table2[[#This Row],[Description]]="","",IF(Table2[[#This Row],[Currency]]=$O$2,$P$2,HLOOKUP(Table2[[#This Row],[Date]],Funds!$C$10:$GV$11,2,FALSE)))</f>
        <v/>
      </c>
      <c r="J6969" s="215" t="str">
        <f>IF(Table2[[#This Row],[Description]]="","",Table2[[#This Row],[Value]]/Table2[[#This Row],[Conversion]])</f>
        <v/>
      </c>
      <c r="K6969" s="45" t="str">
        <f>IF(Table2[[#This Row],[Description]]="","",DATE(Table2[[#This Row],[Year]],Table2[[#This Row],[Month]],1))</f>
        <v/>
      </c>
    </row>
    <row r="6970" spans="7:11" x14ac:dyDescent="0.25">
      <c r="G6970" s="1" t="str">
        <f>IF(Table2[[#This Row],[Description]]="","",VLOOKUP(Table2[[#This Row],[Description]],$Q$1:$S$101,2,FALSE))</f>
        <v/>
      </c>
      <c r="H6970" s="1" t="str">
        <f>IF(Table2[[#This Row],[Description]]="","",VLOOKUP(Table2[[#This Row],[Description]],$Q$1:$S$101,3,FALSE))</f>
        <v/>
      </c>
      <c r="I6970" s="1" t="str">
        <f>IF(Table2[[#This Row],[Description]]="","",IF(Table2[[#This Row],[Currency]]=$O$2,$P$2,HLOOKUP(Table2[[#This Row],[Date]],Funds!$C$10:$GV$11,2,FALSE)))</f>
        <v/>
      </c>
      <c r="J6970" s="215" t="str">
        <f>IF(Table2[[#This Row],[Description]]="","",Table2[[#This Row],[Value]]/Table2[[#This Row],[Conversion]])</f>
        <v/>
      </c>
      <c r="K6970" s="45" t="str">
        <f>IF(Table2[[#This Row],[Description]]="","",DATE(Table2[[#This Row],[Year]],Table2[[#This Row],[Month]],1))</f>
        <v/>
      </c>
    </row>
    <row r="6971" spans="7:11" x14ac:dyDescent="0.25">
      <c r="G6971" s="1" t="str">
        <f>IF(Table2[[#This Row],[Description]]="","",VLOOKUP(Table2[[#This Row],[Description]],$Q$1:$S$101,2,FALSE))</f>
        <v/>
      </c>
      <c r="H6971" s="1" t="str">
        <f>IF(Table2[[#This Row],[Description]]="","",VLOOKUP(Table2[[#This Row],[Description]],$Q$1:$S$101,3,FALSE))</f>
        <v/>
      </c>
      <c r="I6971" s="1" t="str">
        <f>IF(Table2[[#This Row],[Description]]="","",IF(Table2[[#This Row],[Currency]]=$O$2,$P$2,HLOOKUP(Table2[[#This Row],[Date]],Funds!$C$10:$GV$11,2,FALSE)))</f>
        <v/>
      </c>
      <c r="J6971" s="215" t="str">
        <f>IF(Table2[[#This Row],[Description]]="","",Table2[[#This Row],[Value]]/Table2[[#This Row],[Conversion]])</f>
        <v/>
      </c>
      <c r="K6971" s="45" t="str">
        <f>IF(Table2[[#This Row],[Description]]="","",DATE(Table2[[#This Row],[Year]],Table2[[#This Row],[Month]],1))</f>
        <v/>
      </c>
    </row>
    <row r="6972" spans="7:11" x14ac:dyDescent="0.25">
      <c r="G6972" s="1" t="str">
        <f>IF(Table2[[#This Row],[Description]]="","",VLOOKUP(Table2[[#This Row],[Description]],$Q$1:$S$101,2,FALSE))</f>
        <v/>
      </c>
      <c r="H6972" s="1" t="str">
        <f>IF(Table2[[#This Row],[Description]]="","",VLOOKUP(Table2[[#This Row],[Description]],$Q$1:$S$101,3,FALSE))</f>
        <v/>
      </c>
      <c r="I6972" s="1" t="str">
        <f>IF(Table2[[#This Row],[Description]]="","",IF(Table2[[#This Row],[Currency]]=$O$2,$P$2,HLOOKUP(Table2[[#This Row],[Date]],Funds!$C$10:$GV$11,2,FALSE)))</f>
        <v/>
      </c>
      <c r="J6972" s="215" t="str">
        <f>IF(Table2[[#This Row],[Description]]="","",Table2[[#This Row],[Value]]/Table2[[#This Row],[Conversion]])</f>
        <v/>
      </c>
      <c r="K6972" s="45" t="str">
        <f>IF(Table2[[#This Row],[Description]]="","",DATE(Table2[[#This Row],[Year]],Table2[[#This Row],[Month]],1))</f>
        <v/>
      </c>
    </row>
    <row r="6973" spans="7:11" x14ac:dyDescent="0.25">
      <c r="G6973" s="1" t="str">
        <f>IF(Table2[[#This Row],[Description]]="","",VLOOKUP(Table2[[#This Row],[Description]],$Q$1:$S$101,2,FALSE))</f>
        <v/>
      </c>
      <c r="H6973" s="1" t="str">
        <f>IF(Table2[[#This Row],[Description]]="","",VLOOKUP(Table2[[#This Row],[Description]],$Q$1:$S$101,3,FALSE))</f>
        <v/>
      </c>
      <c r="I6973" s="1" t="str">
        <f>IF(Table2[[#This Row],[Description]]="","",IF(Table2[[#This Row],[Currency]]=$O$2,$P$2,HLOOKUP(Table2[[#This Row],[Date]],Funds!$C$10:$GV$11,2,FALSE)))</f>
        <v/>
      </c>
      <c r="J6973" s="215" t="str">
        <f>IF(Table2[[#This Row],[Description]]="","",Table2[[#This Row],[Value]]/Table2[[#This Row],[Conversion]])</f>
        <v/>
      </c>
      <c r="K6973" s="45" t="str">
        <f>IF(Table2[[#This Row],[Description]]="","",DATE(Table2[[#This Row],[Year]],Table2[[#This Row],[Month]],1))</f>
        <v/>
      </c>
    </row>
    <row r="6974" spans="7:11" x14ac:dyDescent="0.25">
      <c r="G6974" s="1" t="str">
        <f>IF(Table2[[#This Row],[Description]]="","",VLOOKUP(Table2[[#This Row],[Description]],$Q$1:$S$101,2,FALSE))</f>
        <v/>
      </c>
      <c r="H6974" s="1" t="str">
        <f>IF(Table2[[#This Row],[Description]]="","",VLOOKUP(Table2[[#This Row],[Description]],$Q$1:$S$101,3,FALSE))</f>
        <v/>
      </c>
      <c r="I6974" s="1" t="str">
        <f>IF(Table2[[#This Row],[Description]]="","",IF(Table2[[#This Row],[Currency]]=$O$2,$P$2,HLOOKUP(Table2[[#This Row],[Date]],Funds!$C$10:$GV$11,2,FALSE)))</f>
        <v/>
      </c>
      <c r="J6974" s="215" t="str">
        <f>IF(Table2[[#This Row],[Description]]="","",Table2[[#This Row],[Value]]/Table2[[#This Row],[Conversion]])</f>
        <v/>
      </c>
      <c r="K6974" s="45" t="str">
        <f>IF(Table2[[#This Row],[Description]]="","",DATE(Table2[[#This Row],[Year]],Table2[[#This Row],[Month]],1))</f>
        <v/>
      </c>
    </row>
    <row r="6975" spans="7:11" x14ac:dyDescent="0.25">
      <c r="G6975" s="1" t="str">
        <f>IF(Table2[[#This Row],[Description]]="","",VLOOKUP(Table2[[#This Row],[Description]],$Q$1:$S$101,2,FALSE))</f>
        <v/>
      </c>
      <c r="H6975" s="1" t="str">
        <f>IF(Table2[[#This Row],[Description]]="","",VLOOKUP(Table2[[#This Row],[Description]],$Q$1:$S$101,3,FALSE))</f>
        <v/>
      </c>
      <c r="I6975" s="1" t="str">
        <f>IF(Table2[[#This Row],[Description]]="","",IF(Table2[[#This Row],[Currency]]=$O$2,$P$2,HLOOKUP(Table2[[#This Row],[Date]],Funds!$C$10:$GV$11,2,FALSE)))</f>
        <v/>
      </c>
      <c r="J6975" s="215" t="str">
        <f>IF(Table2[[#This Row],[Description]]="","",Table2[[#This Row],[Value]]/Table2[[#This Row],[Conversion]])</f>
        <v/>
      </c>
      <c r="K6975" s="45" t="str">
        <f>IF(Table2[[#This Row],[Description]]="","",DATE(Table2[[#This Row],[Year]],Table2[[#This Row],[Month]],1))</f>
        <v/>
      </c>
    </row>
    <row r="6976" spans="7:11" x14ac:dyDescent="0.25">
      <c r="G6976" s="1" t="str">
        <f>IF(Table2[[#This Row],[Description]]="","",VLOOKUP(Table2[[#This Row],[Description]],$Q$1:$S$101,2,FALSE))</f>
        <v/>
      </c>
      <c r="H6976" s="1" t="str">
        <f>IF(Table2[[#This Row],[Description]]="","",VLOOKUP(Table2[[#This Row],[Description]],$Q$1:$S$101,3,FALSE))</f>
        <v/>
      </c>
      <c r="I6976" s="1" t="str">
        <f>IF(Table2[[#This Row],[Description]]="","",IF(Table2[[#This Row],[Currency]]=$O$2,$P$2,HLOOKUP(Table2[[#This Row],[Date]],Funds!$C$10:$GV$11,2,FALSE)))</f>
        <v/>
      </c>
      <c r="J6976" s="215" t="str">
        <f>IF(Table2[[#This Row],[Description]]="","",Table2[[#This Row],[Value]]/Table2[[#This Row],[Conversion]])</f>
        <v/>
      </c>
      <c r="K6976" s="45" t="str">
        <f>IF(Table2[[#This Row],[Description]]="","",DATE(Table2[[#This Row],[Year]],Table2[[#This Row],[Month]],1))</f>
        <v/>
      </c>
    </row>
    <row r="6977" spans="7:11" x14ac:dyDescent="0.25">
      <c r="G6977" s="1" t="str">
        <f>IF(Table2[[#This Row],[Description]]="","",VLOOKUP(Table2[[#This Row],[Description]],$Q$1:$S$101,2,FALSE))</f>
        <v/>
      </c>
      <c r="H6977" s="1" t="str">
        <f>IF(Table2[[#This Row],[Description]]="","",VLOOKUP(Table2[[#This Row],[Description]],$Q$1:$S$101,3,FALSE))</f>
        <v/>
      </c>
      <c r="I6977" s="1" t="str">
        <f>IF(Table2[[#This Row],[Description]]="","",IF(Table2[[#This Row],[Currency]]=$O$2,$P$2,HLOOKUP(Table2[[#This Row],[Date]],Funds!$C$10:$GV$11,2,FALSE)))</f>
        <v/>
      </c>
      <c r="J6977" s="215" t="str">
        <f>IF(Table2[[#This Row],[Description]]="","",Table2[[#This Row],[Value]]/Table2[[#This Row],[Conversion]])</f>
        <v/>
      </c>
      <c r="K6977" s="45" t="str">
        <f>IF(Table2[[#This Row],[Description]]="","",DATE(Table2[[#This Row],[Year]],Table2[[#This Row],[Month]],1))</f>
        <v/>
      </c>
    </row>
    <row r="6978" spans="7:11" x14ac:dyDescent="0.25">
      <c r="G6978" s="1" t="str">
        <f>IF(Table2[[#This Row],[Description]]="","",VLOOKUP(Table2[[#This Row],[Description]],$Q$1:$S$101,2,FALSE))</f>
        <v/>
      </c>
      <c r="H6978" s="1" t="str">
        <f>IF(Table2[[#This Row],[Description]]="","",VLOOKUP(Table2[[#This Row],[Description]],$Q$1:$S$101,3,FALSE))</f>
        <v/>
      </c>
      <c r="I6978" s="1" t="str">
        <f>IF(Table2[[#This Row],[Description]]="","",IF(Table2[[#This Row],[Currency]]=$O$2,$P$2,HLOOKUP(Table2[[#This Row],[Date]],Funds!$C$10:$GV$11,2,FALSE)))</f>
        <v/>
      </c>
      <c r="J6978" s="215" t="str">
        <f>IF(Table2[[#This Row],[Description]]="","",Table2[[#This Row],[Value]]/Table2[[#This Row],[Conversion]])</f>
        <v/>
      </c>
      <c r="K6978" s="45" t="str">
        <f>IF(Table2[[#This Row],[Description]]="","",DATE(Table2[[#This Row],[Year]],Table2[[#This Row],[Month]],1))</f>
        <v/>
      </c>
    </row>
    <row r="6979" spans="7:11" x14ac:dyDescent="0.25">
      <c r="G6979" s="1" t="str">
        <f>IF(Table2[[#This Row],[Description]]="","",VLOOKUP(Table2[[#This Row],[Description]],$Q$1:$S$101,2,FALSE))</f>
        <v/>
      </c>
      <c r="H6979" s="1" t="str">
        <f>IF(Table2[[#This Row],[Description]]="","",VLOOKUP(Table2[[#This Row],[Description]],$Q$1:$S$101,3,FALSE))</f>
        <v/>
      </c>
      <c r="I6979" s="1" t="str">
        <f>IF(Table2[[#This Row],[Description]]="","",IF(Table2[[#This Row],[Currency]]=$O$2,$P$2,HLOOKUP(Table2[[#This Row],[Date]],Funds!$C$10:$GV$11,2,FALSE)))</f>
        <v/>
      </c>
      <c r="J6979" s="215" t="str">
        <f>IF(Table2[[#This Row],[Description]]="","",Table2[[#This Row],[Value]]/Table2[[#This Row],[Conversion]])</f>
        <v/>
      </c>
      <c r="K6979" s="45" t="str">
        <f>IF(Table2[[#This Row],[Description]]="","",DATE(Table2[[#This Row],[Year]],Table2[[#This Row],[Month]],1))</f>
        <v/>
      </c>
    </row>
    <row r="6980" spans="7:11" x14ac:dyDescent="0.25">
      <c r="G6980" s="1" t="str">
        <f>IF(Table2[[#This Row],[Description]]="","",VLOOKUP(Table2[[#This Row],[Description]],$Q$1:$S$101,2,FALSE))</f>
        <v/>
      </c>
      <c r="H6980" s="1" t="str">
        <f>IF(Table2[[#This Row],[Description]]="","",VLOOKUP(Table2[[#This Row],[Description]],$Q$1:$S$101,3,FALSE))</f>
        <v/>
      </c>
      <c r="I6980" s="1" t="str">
        <f>IF(Table2[[#This Row],[Description]]="","",IF(Table2[[#This Row],[Currency]]=$O$2,$P$2,HLOOKUP(Table2[[#This Row],[Date]],Funds!$C$10:$GV$11,2,FALSE)))</f>
        <v/>
      </c>
      <c r="J6980" s="215" t="str">
        <f>IF(Table2[[#This Row],[Description]]="","",Table2[[#This Row],[Value]]/Table2[[#This Row],[Conversion]])</f>
        <v/>
      </c>
      <c r="K6980" s="45" t="str">
        <f>IF(Table2[[#This Row],[Description]]="","",DATE(Table2[[#This Row],[Year]],Table2[[#This Row],[Month]],1))</f>
        <v/>
      </c>
    </row>
    <row r="6981" spans="7:11" x14ac:dyDescent="0.25">
      <c r="G6981" s="1" t="str">
        <f>IF(Table2[[#This Row],[Description]]="","",VLOOKUP(Table2[[#This Row],[Description]],$Q$1:$S$101,2,FALSE))</f>
        <v/>
      </c>
      <c r="H6981" s="1" t="str">
        <f>IF(Table2[[#This Row],[Description]]="","",VLOOKUP(Table2[[#This Row],[Description]],$Q$1:$S$101,3,FALSE))</f>
        <v/>
      </c>
      <c r="I6981" s="1" t="str">
        <f>IF(Table2[[#This Row],[Description]]="","",IF(Table2[[#This Row],[Currency]]=$O$2,$P$2,HLOOKUP(Table2[[#This Row],[Date]],Funds!$C$10:$GV$11,2,FALSE)))</f>
        <v/>
      </c>
      <c r="J6981" s="215" t="str">
        <f>IF(Table2[[#This Row],[Description]]="","",Table2[[#This Row],[Value]]/Table2[[#This Row],[Conversion]])</f>
        <v/>
      </c>
      <c r="K6981" s="45" t="str">
        <f>IF(Table2[[#This Row],[Description]]="","",DATE(Table2[[#This Row],[Year]],Table2[[#This Row],[Month]],1))</f>
        <v/>
      </c>
    </row>
    <row r="6982" spans="7:11" x14ac:dyDescent="0.25">
      <c r="G6982" s="1" t="str">
        <f>IF(Table2[[#This Row],[Description]]="","",VLOOKUP(Table2[[#This Row],[Description]],$Q$1:$S$101,2,FALSE))</f>
        <v/>
      </c>
      <c r="H6982" s="1" t="str">
        <f>IF(Table2[[#This Row],[Description]]="","",VLOOKUP(Table2[[#This Row],[Description]],$Q$1:$S$101,3,FALSE))</f>
        <v/>
      </c>
      <c r="I6982" s="1" t="str">
        <f>IF(Table2[[#This Row],[Description]]="","",IF(Table2[[#This Row],[Currency]]=$O$2,$P$2,HLOOKUP(Table2[[#This Row],[Date]],Funds!$C$10:$GV$11,2,FALSE)))</f>
        <v/>
      </c>
      <c r="J6982" s="215" t="str">
        <f>IF(Table2[[#This Row],[Description]]="","",Table2[[#This Row],[Value]]/Table2[[#This Row],[Conversion]])</f>
        <v/>
      </c>
      <c r="K6982" s="45" t="str">
        <f>IF(Table2[[#This Row],[Description]]="","",DATE(Table2[[#This Row],[Year]],Table2[[#This Row],[Month]],1))</f>
        <v/>
      </c>
    </row>
    <row r="6983" spans="7:11" x14ac:dyDescent="0.25">
      <c r="G6983" s="1" t="str">
        <f>IF(Table2[[#This Row],[Description]]="","",VLOOKUP(Table2[[#This Row],[Description]],$Q$1:$S$101,2,FALSE))</f>
        <v/>
      </c>
      <c r="H6983" s="1" t="str">
        <f>IF(Table2[[#This Row],[Description]]="","",VLOOKUP(Table2[[#This Row],[Description]],$Q$1:$S$101,3,FALSE))</f>
        <v/>
      </c>
      <c r="I6983" s="1" t="str">
        <f>IF(Table2[[#This Row],[Description]]="","",IF(Table2[[#This Row],[Currency]]=$O$2,$P$2,HLOOKUP(Table2[[#This Row],[Date]],Funds!$C$10:$GV$11,2,FALSE)))</f>
        <v/>
      </c>
      <c r="J6983" s="215" t="str">
        <f>IF(Table2[[#This Row],[Description]]="","",Table2[[#This Row],[Value]]/Table2[[#This Row],[Conversion]])</f>
        <v/>
      </c>
      <c r="K6983" s="45" t="str">
        <f>IF(Table2[[#This Row],[Description]]="","",DATE(Table2[[#This Row],[Year]],Table2[[#This Row],[Month]],1))</f>
        <v/>
      </c>
    </row>
    <row r="6984" spans="7:11" x14ac:dyDescent="0.25">
      <c r="G6984" s="1" t="str">
        <f>IF(Table2[[#This Row],[Description]]="","",VLOOKUP(Table2[[#This Row],[Description]],$Q$1:$S$101,2,FALSE))</f>
        <v/>
      </c>
      <c r="H6984" s="1" t="str">
        <f>IF(Table2[[#This Row],[Description]]="","",VLOOKUP(Table2[[#This Row],[Description]],$Q$1:$S$101,3,FALSE))</f>
        <v/>
      </c>
      <c r="I6984" s="1" t="str">
        <f>IF(Table2[[#This Row],[Description]]="","",IF(Table2[[#This Row],[Currency]]=$O$2,$P$2,HLOOKUP(Table2[[#This Row],[Date]],Funds!$C$10:$GV$11,2,FALSE)))</f>
        <v/>
      </c>
      <c r="J6984" s="215" t="str">
        <f>IF(Table2[[#This Row],[Description]]="","",Table2[[#This Row],[Value]]/Table2[[#This Row],[Conversion]])</f>
        <v/>
      </c>
      <c r="K6984" s="45" t="str">
        <f>IF(Table2[[#This Row],[Description]]="","",DATE(Table2[[#This Row],[Year]],Table2[[#This Row],[Month]],1))</f>
        <v/>
      </c>
    </row>
    <row r="6985" spans="7:11" x14ac:dyDescent="0.25">
      <c r="G6985" s="1" t="str">
        <f>IF(Table2[[#This Row],[Description]]="","",VLOOKUP(Table2[[#This Row],[Description]],$Q$1:$S$101,2,FALSE))</f>
        <v/>
      </c>
      <c r="H6985" s="1" t="str">
        <f>IF(Table2[[#This Row],[Description]]="","",VLOOKUP(Table2[[#This Row],[Description]],$Q$1:$S$101,3,FALSE))</f>
        <v/>
      </c>
      <c r="I6985" s="1" t="str">
        <f>IF(Table2[[#This Row],[Description]]="","",IF(Table2[[#This Row],[Currency]]=$O$2,$P$2,HLOOKUP(Table2[[#This Row],[Date]],Funds!$C$10:$GV$11,2,FALSE)))</f>
        <v/>
      </c>
      <c r="J6985" s="215" t="str">
        <f>IF(Table2[[#This Row],[Description]]="","",Table2[[#This Row],[Value]]/Table2[[#This Row],[Conversion]])</f>
        <v/>
      </c>
      <c r="K6985" s="45" t="str">
        <f>IF(Table2[[#This Row],[Description]]="","",DATE(Table2[[#This Row],[Year]],Table2[[#This Row],[Month]],1))</f>
        <v/>
      </c>
    </row>
    <row r="6986" spans="7:11" x14ac:dyDescent="0.25">
      <c r="G6986" s="1" t="str">
        <f>IF(Table2[[#This Row],[Description]]="","",VLOOKUP(Table2[[#This Row],[Description]],$Q$1:$S$101,2,FALSE))</f>
        <v/>
      </c>
      <c r="H6986" s="1" t="str">
        <f>IF(Table2[[#This Row],[Description]]="","",VLOOKUP(Table2[[#This Row],[Description]],$Q$1:$S$101,3,FALSE))</f>
        <v/>
      </c>
      <c r="I6986" s="1" t="str">
        <f>IF(Table2[[#This Row],[Description]]="","",IF(Table2[[#This Row],[Currency]]=$O$2,$P$2,HLOOKUP(Table2[[#This Row],[Date]],Funds!$C$10:$GV$11,2,FALSE)))</f>
        <v/>
      </c>
      <c r="J6986" s="215" t="str">
        <f>IF(Table2[[#This Row],[Description]]="","",Table2[[#This Row],[Value]]/Table2[[#This Row],[Conversion]])</f>
        <v/>
      </c>
      <c r="K6986" s="45" t="str">
        <f>IF(Table2[[#This Row],[Description]]="","",DATE(Table2[[#This Row],[Year]],Table2[[#This Row],[Month]],1))</f>
        <v/>
      </c>
    </row>
    <row r="6987" spans="7:11" x14ac:dyDescent="0.25">
      <c r="G6987" s="1" t="str">
        <f>IF(Table2[[#This Row],[Description]]="","",VLOOKUP(Table2[[#This Row],[Description]],$Q$1:$S$101,2,FALSE))</f>
        <v/>
      </c>
      <c r="H6987" s="1" t="str">
        <f>IF(Table2[[#This Row],[Description]]="","",VLOOKUP(Table2[[#This Row],[Description]],$Q$1:$S$101,3,FALSE))</f>
        <v/>
      </c>
      <c r="I6987" s="1" t="str">
        <f>IF(Table2[[#This Row],[Description]]="","",IF(Table2[[#This Row],[Currency]]=$O$2,$P$2,HLOOKUP(Table2[[#This Row],[Date]],Funds!$C$10:$GV$11,2,FALSE)))</f>
        <v/>
      </c>
      <c r="J6987" s="215" t="str">
        <f>IF(Table2[[#This Row],[Description]]="","",Table2[[#This Row],[Value]]/Table2[[#This Row],[Conversion]])</f>
        <v/>
      </c>
      <c r="K6987" s="45" t="str">
        <f>IF(Table2[[#This Row],[Description]]="","",DATE(Table2[[#This Row],[Year]],Table2[[#This Row],[Month]],1))</f>
        <v/>
      </c>
    </row>
    <row r="6988" spans="7:11" x14ac:dyDescent="0.25">
      <c r="G6988" s="1" t="str">
        <f>IF(Table2[[#This Row],[Description]]="","",VLOOKUP(Table2[[#This Row],[Description]],$Q$1:$S$101,2,FALSE))</f>
        <v/>
      </c>
      <c r="H6988" s="1" t="str">
        <f>IF(Table2[[#This Row],[Description]]="","",VLOOKUP(Table2[[#This Row],[Description]],$Q$1:$S$101,3,FALSE))</f>
        <v/>
      </c>
      <c r="I6988" s="1" t="str">
        <f>IF(Table2[[#This Row],[Description]]="","",IF(Table2[[#This Row],[Currency]]=$O$2,$P$2,HLOOKUP(Table2[[#This Row],[Date]],Funds!$C$10:$GV$11,2,FALSE)))</f>
        <v/>
      </c>
      <c r="J6988" s="215" t="str">
        <f>IF(Table2[[#This Row],[Description]]="","",Table2[[#This Row],[Value]]/Table2[[#This Row],[Conversion]])</f>
        <v/>
      </c>
      <c r="K6988" s="45" t="str">
        <f>IF(Table2[[#This Row],[Description]]="","",DATE(Table2[[#This Row],[Year]],Table2[[#This Row],[Month]],1))</f>
        <v/>
      </c>
    </row>
    <row r="6989" spans="7:11" x14ac:dyDescent="0.25">
      <c r="G6989" s="1" t="str">
        <f>IF(Table2[[#This Row],[Description]]="","",VLOOKUP(Table2[[#This Row],[Description]],$Q$1:$S$101,2,FALSE))</f>
        <v/>
      </c>
      <c r="H6989" s="1" t="str">
        <f>IF(Table2[[#This Row],[Description]]="","",VLOOKUP(Table2[[#This Row],[Description]],$Q$1:$S$101,3,FALSE))</f>
        <v/>
      </c>
      <c r="I6989" s="1" t="str">
        <f>IF(Table2[[#This Row],[Description]]="","",IF(Table2[[#This Row],[Currency]]=$O$2,$P$2,HLOOKUP(Table2[[#This Row],[Date]],Funds!$C$10:$GV$11,2,FALSE)))</f>
        <v/>
      </c>
      <c r="J6989" s="215" t="str">
        <f>IF(Table2[[#This Row],[Description]]="","",Table2[[#This Row],[Value]]/Table2[[#This Row],[Conversion]])</f>
        <v/>
      </c>
      <c r="K6989" s="45" t="str">
        <f>IF(Table2[[#This Row],[Description]]="","",DATE(Table2[[#This Row],[Year]],Table2[[#This Row],[Month]],1))</f>
        <v/>
      </c>
    </row>
    <row r="6990" spans="7:11" x14ac:dyDescent="0.25">
      <c r="G6990" s="1" t="str">
        <f>IF(Table2[[#This Row],[Description]]="","",VLOOKUP(Table2[[#This Row],[Description]],$Q$1:$S$101,2,FALSE))</f>
        <v/>
      </c>
      <c r="H6990" s="1" t="str">
        <f>IF(Table2[[#This Row],[Description]]="","",VLOOKUP(Table2[[#This Row],[Description]],$Q$1:$S$101,3,FALSE))</f>
        <v/>
      </c>
      <c r="I6990" s="1" t="str">
        <f>IF(Table2[[#This Row],[Description]]="","",IF(Table2[[#This Row],[Currency]]=$O$2,$P$2,HLOOKUP(Table2[[#This Row],[Date]],Funds!$C$10:$GV$11,2,FALSE)))</f>
        <v/>
      </c>
      <c r="J6990" s="215" t="str">
        <f>IF(Table2[[#This Row],[Description]]="","",Table2[[#This Row],[Value]]/Table2[[#This Row],[Conversion]])</f>
        <v/>
      </c>
      <c r="K6990" s="45" t="str">
        <f>IF(Table2[[#This Row],[Description]]="","",DATE(Table2[[#This Row],[Year]],Table2[[#This Row],[Month]],1))</f>
        <v/>
      </c>
    </row>
    <row r="6991" spans="7:11" x14ac:dyDescent="0.25">
      <c r="G6991" s="1" t="str">
        <f>IF(Table2[[#This Row],[Description]]="","",VLOOKUP(Table2[[#This Row],[Description]],$Q$1:$S$101,2,FALSE))</f>
        <v/>
      </c>
      <c r="H6991" s="1" t="str">
        <f>IF(Table2[[#This Row],[Description]]="","",VLOOKUP(Table2[[#This Row],[Description]],$Q$1:$S$101,3,FALSE))</f>
        <v/>
      </c>
      <c r="I6991" s="1" t="str">
        <f>IF(Table2[[#This Row],[Description]]="","",IF(Table2[[#This Row],[Currency]]=$O$2,$P$2,HLOOKUP(Table2[[#This Row],[Date]],Funds!$C$10:$GV$11,2,FALSE)))</f>
        <v/>
      </c>
      <c r="J6991" s="215" t="str">
        <f>IF(Table2[[#This Row],[Description]]="","",Table2[[#This Row],[Value]]/Table2[[#This Row],[Conversion]])</f>
        <v/>
      </c>
      <c r="K6991" s="45" t="str">
        <f>IF(Table2[[#This Row],[Description]]="","",DATE(Table2[[#This Row],[Year]],Table2[[#This Row],[Month]],1))</f>
        <v/>
      </c>
    </row>
    <row r="6992" spans="7:11" x14ac:dyDescent="0.25">
      <c r="G6992" s="1" t="str">
        <f>IF(Table2[[#This Row],[Description]]="","",VLOOKUP(Table2[[#This Row],[Description]],$Q$1:$S$101,2,FALSE))</f>
        <v/>
      </c>
      <c r="H6992" s="1" t="str">
        <f>IF(Table2[[#This Row],[Description]]="","",VLOOKUP(Table2[[#This Row],[Description]],$Q$1:$S$101,3,FALSE))</f>
        <v/>
      </c>
      <c r="I6992" s="1" t="str">
        <f>IF(Table2[[#This Row],[Description]]="","",IF(Table2[[#This Row],[Currency]]=$O$2,$P$2,HLOOKUP(Table2[[#This Row],[Date]],Funds!$C$10:$GV$11,2,FALSE)))</f>
        <v/>
      </c>
      <c r="J6992" s="215" t="str">
        <f>IF(Table2[[#This Row],[Description]]="","",Table2[[#This Row],[Value]]/Table2[[#This Row],[Conversion]])</f>
        <v/>
      </c>
      <c r="K6992" s="45" t="str">
        <f>IF(Table2[[#This Row],[Description]]="","",DATE(Table2[[#This Row],[Year]],Table2[[#This Row],[Month]],1))</f>
        <v/>
      </c>
    </row>
    <row r="6993" spans="7:11" x14ac:dyDescent="0.25">
      <c r="G6993" s="1" t="str">
        <f>IF(Table2[[#This Row],[Description]]="","",VLOOKUP(Table2[[#This Row],[Description]],$Q$1:$S$101,2,FALSE))</f>
        <v/>
      </c>
      <c r="H6993" s="1" t="str">
        <f>IF(Table2[[#This Row],[Description]]="","",VLOOKUP(Table2[[#This Row],[Description]],$Q$1:$S$101,3,FALSE))</f>
        <v/>
      </c>
      <c r="I6993" s="1" t="str">
        <f>IF(Table2[[#This Row],[Description]]="","",IF(Table2[[#This Row],[Currency]]=$O$2,$P$2,HLOOKUP(Table2[[#This Row],[Date]],Funds!$C$10:$GV$11,2,FALSE)))</f>
        <v/>
      </c>
      <c r="J6993" s="215" t="str">
        <f>IF(Table2[[#This Row],[Description]]="","",Table2[[#This Row],[Value]]/Table2[[#This Row],[Conversion]])</f>
        <v/>
      </c>
      <c r="K6993" s="45" t="str">
        <f>IF(Table2[[#This Row],[Description]]="","",DATE(Table2[[#This Row],[Year]],Table2[[#This Row],[Month]],1))</f>
        <v/>
      </c>
    </row>
    <row r="6994" spans="7:11" x14ac:dyDescent="0.25">
      <c r="G6994" s="1" t="str">
        <f>IF(Table2[[#This Row],[Description]]="","",VLOOKUP(Table2[[#This Row],[Description]],$Q$1:$S$101,2,FALSE))</f>
        <v/>
      </c>
      <c r="H6994" s="1" t="str">
        <f>IF(Table2[[#This Row],[Description]]="","",VLOOKUP(Table2[[#This Row],[Description]],$Q$1:$S$101,3,FALSE))</f>
        <v/>
      </c>
      <c r="I6994" s="1" t="str">
        <f>IF(Table2[[#This Row],[Description]]="","",IF(Table2[[#This Row],[Currency]]=$O$2,$P$2,HLOOKUP(Table2[[#This Row],[Date]],Funds!$C$10:$GV$11,2,FALSE)))</f>
        <v/>
      </c>
      <c r="J6994" s="215" t="str">
        <f>IF(Table2[[#This Row],[Description]]="","",Table2[[#This Row],[Value]]/Table2[[#This Row],[Conversion]])</f>
        <v/>
      </c>
      <c r="K6994" s="45" t="str">
        <f>IF(Table2[[#This Row],[Description]]="","",DATE(Table2[[#This Row],[Year]],Table2[[#This Row],[Month]],1))</f>
        <v/>
      </c>
    </row>
    <row r="6995" spans="7:11" x14ac:dyDescent="0.25">
      <c r="G6995" s="1" t="str">
        <f>IF(Table2[[#This Row],[Description]]="","",VLOOKUP(Table2[[#This Row],[Description]],$Q$1:$S$101,2,FALSE))</f>
        <v/>
      </c>
      <c r="H6995" s="1" t="str">
        <f>IF(Table2[[#This Row],[Description]]="","",VLOOKUP(Table2[[#This Row],[Description]],$Q$1:$S$101,3,FALSE))</f>
        <v/>
      </c>
      <c r="I6995" s="1" t="str">
        <f>IF(Table2[[#This Row],[Description]]="","",IF(Table2[[#This Row],[Currency]]=$O$2,$P$2,HLOOKUP(Table2[[#This Row],[Date]],Funds!$C$10:$GV$11,2,FALSE)))</f>
        <v/>
      </c>
      <c r="J6995" s="215" t="str">
        <f>IF(Table2[[#This Row],[Description]]="","",Table2[[#This Row],[Value]]/Table2[[#This Row],[Conversion]])</f>
        <v/>
      </c>
      <c r="K6995" s="45" t="str">
        <f>IF(Table2[[#This Row],[Description]]="","",DATE(Table2[[#This Row],[Year]],Table2[[#This Row],[Month]],1))</f>
        <v/>
      </c>
    </row>
    <row r="6996" spans="7:11" x14ac:dyDescent="0.25">
      <c r="G6996" s="1" t="str">
        <f>IF(Table2[[#This Row],[Description]]="","",VLOOKUP(Table2[[#This Row],[Description]],$Q$1:$S$101,2,FALSE))</f>
        <v/>
      </c>
      <c r="H6996" s="1" t="str">
        <f>IF(Table2[[#This Row],[Description]]="","",VLOOKUP(Table2[[#This Row],[Description]],$Q$1:$S$101,3,FALSE))</f>
        <v/>
      </c>
      <c r="I6996" s="1" t="str">
        <f>IF(Table2[[#This Row],[Description]]="","",IF(Table2[[#This Row],[Currency]]=$O$2,$P$2,HLOOKUP(Table2[[#This Row],[Date]],Funds!$C$10:$GV$11,2,FALSE)))</f>
        <v/>
      </c>
      <c r="J6996" s="215" t="str">
        <f>IF(Table2[[#This Row],[Description]]="","",Table2[[#This Row],[Value]]/Table2[[#This Row],[Conversion]])</f>
        <v/>
      </c>
      <c r="K6996" s="45" t="str">
        <f>IF(Table2[[#This Row],[Description]]="","",DATE(Table2[[#This Row],[Year]],Table2[[#This Row],[Month]],1))</f>
        <v/>
      </c>
    </row>
    <row r="6997" spans="7:11" x14ac:dyDescent="0.25">
      <c r="G6997" s="1" t="str">
        <f>IF(Table2[[#This Row],[Description]]="","",VLOOKUP(Table2[[#This Row],[Description]],$Q$1:$S$101,2,FALSE))</f>
        <v/>
      </c>
      <c r="H6997" s="1" t="str">
        <f>IF(Table2[[#This Row],[Description]]="","",VLOOKUP(Table2[[#This Row],[Description]],$Q$1:$S$101,3,FALSE))</f>
        <v/>
      </c>
      <c r="I6997" s="1" t="str">
        <f>IF(Table2[[#This Row],[Description]]="","",IF(Table2[[#This Row],[Currency]]=$O$2,$P$2,HLOOKUP(Table2[[#This Row],[Date]],Funds!$C$10:$GV$11,2,FALSE)))</f>
        <v/>
      </c>
      <c r="J6997" s="215" t="str">
        <f>IF(Table2[[#This Row],[Description]]="","",Table2[[#This Row],[Value]]/Table2[[#This Row],[Conversion]])</f>
        <v/>
      </c>
      <c r="K6997" s="45" t="str">
        <f>IF(Table2[[#This Row],[Description]]="","",DATE(Table2[[#This Row],[Year]],Table2[[#This Row],[Month]],1))</f>
        <v/>
      </c>
    </row>
    <row r="6998" spans="7:11" x14ac:dyDescent="0.25">
      <c r="G6998" s="1" t="str">
        <f>IF(Table2[[#This Row],[Description]]="","",VLOOKUP(Table2[[#This Row],[Description]],$Q$1:$S$101,2,FALSE))</f>
        <v/>
      </c>
      <c r="H6998" s="1" t="str">
        <f>IF(Table2[[#This Row],[Description]]="","",VLOOKUP(Table2[[#This Row],[Description]],$Q$1:$S$101,3,FALSE))</f>
        <v/>
      </c>
      <c r="I6998" s="1" t="str">
        <f>IF(Table2[[#This Row],[Description]]="","",IF(Table2[[#This Row],[Currency]]=$O$2,$P$2,HLOOKUP(Table2[[#This Row],[Date]],Funds!$C$10:$GV$11,2,FALSE)))</f>
        <v/>
      </c>
      <c r="J6998" s="215" t="str">
        <f>IF(Table2[[#This Row],[Description]]="","",Table2[[#This Row],[Value]]/Table2[[#This Row],[Conversion]])</f>
        <v/>
      </c>
      <c r="K6998" s="45" t="str">
        <f>IF(Table2[[#This Row],[Description]]="","",DATE(Table2[[#This Row],[Year]],Table2[[#This Row],[Month]],1))</f>
        <v/>
      </c>
    </row>
    <row r="6999" spans="7:11" x14ac:dyDescent="0.25">
      <c r="G6999" s="1" t="str">
        <f>IF(Table2[[#This Row],[Description]]="","",VLOOKUP(Table2[[#This Row],[Description]],$Q$1:$S$101,2,FALSE))</f>
        <v/>
      </c>
      <c r="H6999" s="1" t="str">
        <f>IF(Table2[[#This Row],[Description]]="","",VLOOKUP(Table2[[#This Row],[Description]],$Q$1:$S$101,3,FALSE))</f>
        <v/>
      </c>
      <c r="I6999" s="1" t="str">
        <f>IF(Table2[[#This Row],[Description]]="","",IF(Table2[[#This Row],[Currency]]=$O$2,$P$2,HLOOKUP(Table2[[#This Row],[Date]],Funds!$C$10:$GV$11,2,FALSE)))</f>
        <v/>
      </c>
      <c r="J6999" s="215" t="str">
        <f>IF(Table2[[#This Row],[Description]]="","",Table2[[#This Row],[Value]]/Table2[[#This Row],[Conversion]])</f>
        <v/>
      </c>
      <c r="K6999" s="45" t="str">
        <f>IF(Table2[[#This Row],[Description]]="","",DATE(Table2[[#This Row],[Year]],Table2[[#This Row],[Month]],1))</f>
        <v/>
      </c>
    </row>
    <row r="7000" spans="7:11" x14ac:dyDescent="0.25">
      <c r="G7000" s="1" t="str">
        <f>IF(Table2[[#This Row],[Description]]="","",VLOOKUP(Table2[[#This Row],[Description]],$Q$1:$S$101,2,FALSE))</f>
        <v/>
      </c>
      <c r="H7000" s="1" t="str">
        <f>IF(Table2[[#This Row],[Description]]="","",VLOOKUP(Table2[[#This Row],[Description]],$Q$1:$S$101,3,FALSE))</f>
        <v/>
      </c>
      <c r="I7000" s="1" t="str">
        <f>IF(Table2[[#This Row],[Description]]="","",IF(Table2[[#This Row],[Currency]]=$O$2,$P$2,HLOOKUP(Table2[[#This Row],[Date]],Funds!$C$10:$GV$11,2,FALSE)))</f>
        <v/>
      </c>
      <c r="J7000" s="215" t="str">
        <f>IF(Table2[[#This Row],[Description]]="","",Table2[[#This Row],[Value]]/Table2[[#This Row],[Conversion]])</f>
        <v/>
      </c>
      <c r="K7000" s="45" t="str">
        <f>IF(Table2[[#This Row],[Description]]="","",DATE(Table2[[#This Row],[Year]],Table2[[#This Row],[Month]],1))</f>
        <v/>
      </c>
    </row>
    <row r="7001" spans="7:11" x14ac:dyDescent="0.25">
      <c r="G7001" s="1" t="str">
        <f>IF(Table2[[#This Row],[Description]]="","",VLOOKUP(Table2[[#This Row],[Description]],$Q$1:$S$101,2,FALSE))</f>
        <v/>
      </c>
      <c r="H7001" s="1" t="str">
        <f>IF(Table2[[#This Row],[Description]]="","",VLOOKUP(Table2[[#This Row],[Description]],$Q$1:$S$101,3,FALSE))</f>
        <v/>
      </c>
      <c r="I7001" s="1" t="str">
        <f>IF(Table2[[#This Row],[Description]]="","",IF(Table2[[#This Row],[Currency]]=$O$2,$P$2,HLOOKUP(Table2[[#This Row],[Date]],Funds!$C$10:$GV$11,2,FALSE)))</f>
        <v/>
      </c>
      <c r="J7001" s="215" t="str">
        <f>IF(Table2[[#This Row],[Description]]="","",Table2[[#This Row],[Value]]/Table2[[#This Row],[Conversion]])</f>
        <v/>
      </c>
      <c r="K7001" s="45" t="str">
        <f>IF(Table2[[#This Row],[Description]]="","",DATE(Table2[[#This Row],[Year]],Table2[[#This Row],[Month]],1))</f>
        <v/>
      </c>
    </row>
    <row r="7002" spans="7:11" x14ac:dyDescent="0.25">
      <c r="G7002" s="1" t="str">
        <f>IF(Table2[[#This Row],[Description]]="","",VLOOKUP(Table2[[#This Row],[Description]],$Q$1:$S$101,2,FALSE))</f>
        <v/>
      </c>
      <c r="H7002" s="1" t="str">
        <f>IF(Table2[[#This Row],[Description]]="","",VLOOKUP(Table2[[#This Row],[Description]],$Q$1:$S$101,3,FALSE))</f>
        <v/>
      </c>
      <c r="I7002" s="1" t="str">
        <f>IF(Table2[[#This Row],[Description]]="","",IF(Table2[[#This Row],[Currency]]=$O$2,$P$2,HLOOKUP(Table2[[#This Row],[Date]],Funds!$C$10:$GV$11,2,FALSE)))</f>
        <v/>
      </c>
      <c r="J7002" s="215" t="str">
        <f>IF(Table2[[#This Row],[Description]]="","",Table2[[#This Row],[Value]]/Table2[[#This Row],[Conversion]])</f>
        <v/>
      </c>
      <c r="K7002" s="45" t="str">
        <f>IF(Table2[[#This Row],[Description]]="","",DATE(Table2[[#This Row],[Year]],Table2[[#This Row],[Month]],1))</f>
        <v/>
      </c>
    </row>
    <row r="7003" spans="7:11" x14ac:dyDescent="0.25">
      <c r="G7003" s="1" t="str">
        <f>IF(Table2[[#This Row],[Description]]="","",VLOOKUP(Table2[[#This Row],[Description]],$Q$1:$S$101,2,FALSE))</f>
        <v/>
      </c>
      <c r="H7003" s="1" t="str">
        <f>IF(Table2[[#This Row],[Description]]="","",VLOOKUP(Table2[[#This Row],[Description]],$Q$1:$S$101,3,FALSE))</f>
        <v/>
      </c>
      <c r="I7003" s="1" t="str">
        <f>IF(Table2[[#This Row],[Description]]="","",IF(Table2[[#This Row],[Currency]]=$O$2,$P$2,HLOOKUP(Table2[[#This Row],[Date]],Funds!$C$10:$GV$11,2,FALSE)))</f>
        <v/>
      </c>
      <c r="J7003" s="215" t="str">
        <f>IF(Table2[[#This Row],[Description]]="","",Table2[[#This Row],[Value]]/Table2[[#This Row],[Conversion]])</f>
        <v/>
      </c>
      <c r="K7003" s="45" t="str">
        <f>IF(Table2[[#This Row],[Description]]="","",DATE(Table2[[#This Row],[Year]],Table2[[#This Row],[Month]],1))</f>
        <v/>
      </c>
    </row>
    <row r="7004" spans="7:11" x14ac:dyDescent="0.25">
      <c r="G7004" s="1" t="str">
        <f>IF(Table2[[#This Row],[Description]]="","",VLOOKUP(Table2[[#This Row],[Description]],$Q$1:$S$101,2,FALSE))</f>
        <v/>
      </c>
      <c r="H7004" s="1" t="str">
        <f>IF(Table2[[#This Row],[Description]]="","",VLOOKUP(Table2[[#This Row],[Description]],$Q$1:$S$101,3,FALSE))</f>
        <v/>
      </c>
      <c r="I7004" s="1" t="str">
        <f>IF(Table2[[#This Row],[Description]]="","",IF(Table2[[#This Row],[Currency]]=$O$2,$P$2,HLOOKUP(Table2[[#This Row],[Date]],Funds!$C$10:$GV$11,2,FALSE)))</f>
        <v/>
      </c>
      <c r="J7004" s="215" t="str">
        <f>IF(Table2[[#This Row],[Description]]="","",Table2[[#This Row],[Value]]/Table2[[#This Row],[Conversion]])</f>
        <v/>
      </c>
      <c r="K7004" s="45" t="str">
        <f>IF(Table2[[#This Row],[Description]]="","",DATE(Table2[[#This Row],[Year]],Table2[[#This Row],[Month]],1))</f>
        <v/>
      </c>
    </row>
    <row r="7005" spans="7:11" x14ac:dyDescent="0.25">
      <c r="G7005" s="1" t="str">
        <f>IF(Table2[[#This Row],[Description]]="","",VLOOKUP(Table2[[#This Row],[Description]],$Q$1:$S$101,2,FALSE))</f>
        <v/>
      </c>
      <c r="H7005" s="1" t="str">
        <f>IF(Table2[[#This Row],[Description]]="","",VLOOKUP(Table2[[#This Row],[Description]],$Q$1:$S$101,3,FALSE))</f>
        <v/>
      </c>
      <c r="I7005" s="1" t="str">
        <f>IF(Table2[[#This Row],[Description]]="","",IF(Table2[[#This Row],[Currency]]=$O$2,$P$2,HLOOKUP(Table2[[#This Row],[Date]],Funds!$C$10:$GV$11,2,FALSE)))</f>
        <v/>
      </c>
      <c r="J7005" s="215" t="str">
        <f>IF(Table2[[#This Row],[Description]]="","",Table2[[#This Row],[Value]]/Table2[[#This Row],[Conversion]])</f>
        <v/>
      </c>
      <c r="K7005" s="45" t="str">
        <f>IF(Table2[[#This Row],[Description]]="","",DATE(Table2[[#This Row],[Year]],Table2[[#This Row],[Month]],1))</f>
        <v/>
      </c>
    </row>
    <row r="7006" spans="7:11" x14ac:dyDescent="0.25">
      <c r="G7006" s="1" t="str">
        <f>IF(Table2[[#This Row],[Description]]="","",VLOOKUP(Table2[[#This Row],[Description]],$Q$1:$S$101,2,FALSE))</f>
        <v/>
      </c>
      <c r="H7006" s="1" t="str">
        <f>IF(Table2[[#This Row],[Description]]="","",VLOOKUP(Table2[[#This Row],[Description]],$Q$1:$S$101,3,FALSE))</f>
        <v/>
      </c>
      <c r="I7006" s="1" t="str">
        <f>IF(Table2[[#This Row],[Description]]="","",IF(Table2[[#This Row],[Currency]]=$O$2,$P$2,HLOOKUP(Table2[[#This Row],[Date]],Funds!$C$10:$GV$11,2,FALSE)))</f>
        <v/>
      </c>
      <c r="J7006" s="215" t="str">
        <f>IF(Table2[[#This Row],[Description]]="","",Table2[[#This Row],[Value]]/Table2[[#This Row],[Conversion]])</f>
        <v/>
      </c>
      <c r="K7006" s="45" t="str">
        <f>IF(Table2[[#This Row],[Description]]="","",DATE(Table2[[#This Row],[Year]],Table2[[#This Row],[Month]],1))</f>
        <v/>
      </c>
    </row>
    <row r="7007" spans="7:11" x14ac:dyDescent="0.25">
      <c r="G7007" s="1" t="str">
        <f>IF(Table2[[#This Row],[Description]]="","",VLOOKUP(Table2[[#This Row],[Description]],$Q$1:$S$101,2,FALSE))</f>
        <v/>
      </c>
      <c r="H7007" s="1" t="str">
        <f>IF(Table2[[#This Row],[Description]]="","",VLOOKUP(Table2[[#This Row],[Description]],$Q$1:$S$101,3,FALSE))</f>
        <v/>
      </c>
      <c r="I7007" s="1" t="str">
        <f>IF(Table2[[#This Row],[Description]]="","",IF(Table2[[#This Row],[Currency]]=$O$2,$P$2,HLOOKUP(Table2[[#This Row],[Date]],Funds!$C$10:$GV$11,2,FALSE)))</f>
        <v/>
      </c>
      <c r="J7007" s="215" t="str">
        <f>IF(Table2[[#This Row],[Description]]="","",Table2[[#This Row],[Value]]/Table2[[#This Row],[Conversion]])</f>
        <v/>
      </c>
      <c r="K7007" s="45" t="str">
        <f>IF(Table2[[#This Row],[Description]]="","",DATE(Table2[[#This Row],[Year]],Table2[[#This Row],[Month]],1))</f>
        <v/>
      </c>
    </row>
    <row r="7008" spans="7:11" x14ac:dyDescent="0.25">
      <c r="G7008" s="1" t="str">
        <f>IF(Table2[[#This Row],[Description]]="","",VLOOKUP(Table2[[#This Row],[Description]],$Q$1:$S$101,2,FALSE))</f>
        <v/>
      </c>
      <c r="H7008" s="1" t="str">
        <f>IF(Table2[[#This Row],[Description]]="","",VLOOKUP(Table2[[#This Row],[Description]],$Q$1:$S$101,3,FALSE))</f>
        <v/>
      </c>
      <c r="I7008" s="1" t="str">
        <f>IF(Table2[[#This Row],[Description]]="","",IF(Table2[[#This Row],[Currency]]=$O$2,$P$2,HLOOKUP(Table2[[#This Row],[Date]],Funds!$C$10:$GV$11,2,FALSE)))</f>
        <v/>
      </c>
      <c r="J7008" s="215" t="str">
        <f>IF(Table2[[#This Row],[Description]]="","",Table2[[#This Row],[Value]]/Table2[[#This Row],[Conversion]])</f>
        <v/>
      </c>
      <c r="K7008" s="45" t="str">
        <f>IF(Table2[[#This Row],[Description]]="","",DATE(Table2[[#This Row],[Year]],Table2[[#This Row],[Month]],1))</f>
        <v/>
      </c>
    </row>
    <row r="7009" spans="7:11" x14ac:dyDescent="0.25">
      <c r="G7009" s="1" t="str">
        <f>IF(Table2[[#This Row],[Description]]="","",VLOOKUP(Table2[[#This Row],[Description]],$Q$1:$S$101,2,FALSE))</f>
        <v/>
      </c>
      <c r="H7009" s="1" t="str">
        <f>IF(Table2[[#This Row],[Description]]="","",VLOOKUP(Table2[[#This Row],[Description]],$Q$1:$S$101,3,FALSE))</f>
        <v/>
      </c>
      <c r="I7009" s="1" t="str">
        <f>IF(Table2[[#This Row],[Description]]="","",IF(Table2[[#This Row],[Currency]]=$O$2,$P$2,HLOOKUP(Table2[[#This Row],[Date]],Funds!$C$10:$GV$11,2,FALSE)))</f>
        <v/>
      </c>
      <c r="J7009" s="215" t="str">
        <f>IF(Table2[[#This Row],[Description]]="","",Table2[[#This Row],[Value]]/Table2[[#This Row],[Conversion]])</f>
        <v/>
      </c>
      <c r="K7009" s="45" t="str">
        <f>IF(Table2[[#This Row],[Description]]="","",DATE(Table2[[#This Row],[Year]],Table2[[#This Row],[Month]],1))</f>
        <v/>
      </c>
    </row>
    <row r="7010" spans="7:11" x14ac:dyDescent="0.25">
      <c r="G7010" s="1" t="str">
        <f>IF(Table2[[#This Row],[Description]]="","",VLOOKUP(Table2[[#This Row],[Description]],$Q$1:$S$101,2,FALSE))</f>
        <v/>
      </c>
      <c r="H7010" s="1" t="str">
        <f>IF(Table2[[#This Row],[Description]]="","",VLOOKUP(Table2[[#This Row],[Description]],$Q$1:$S$101,3,FALSE))</f>
        <v/>
      </c>
      <c r="I7010" s="1" t="str">
        <f>IF(Table2[[#This Row],[Description]]="","",IF(Table2[[#This Row],[Currency]]=$O$2,$P$2,HLOOKUP(Table2[[#This Row],[Date]],Funds!$C$10:$GV$11,2,FALSE)))</f>
        <v/>
      </c>
      <c r="J7010" s="215" t="str">
        <f>IF(Table2[[#This Row],[Description]]="","",Table2[[#This Row],[Value]]/Table2[[#This Row],[Conversion]])</f>
        <v/>
      </c>
      <c r="K7010" s="45" t="str">
        <f>IF(Table2[[#This Row],[Description]]="","",DATE(Table2[[#This Row],[Year]],Table2[[#This Row],[Month]],1))</f>
        <v/>
      </c>
    </row>
    <row r="7011" spans="7:11" x14ac:dyDescent="0.25">
      <c r="G7011" s="1" t="str">
        <f>IF(Table2[[#This Row],[Description]]="","",VLOOKUP(Table2[[#This Row],[Description]],$Q$1:$S$101,2,FALSE))</f>
        <v/>
      </c>
      <c r="H7011" s="1" t="str">
        <f>IF(Table2[[#This Row],[Description]]="","",VLOOKUP(Table2[[#This Row],[Description]],$Q$1:$S$101,3,FALSE))</f>
        <v/>
      </c>
      <c r="I7011" s="1" t="str">
        <f>IF(Table2[[#This Row],[Description]]="","",IF(Table2[[#This Row],[Currency]]=$O$2,$P$2,HLOOKUP(Table2[[#This Row],[Date]],Funds!$C$10:$GV$11,2,FALSE)))</f>
        <v/>
      </c>
      <c r="J7011" s="215" t="str">
        <f>IF(Table2[[#This Row],[Description]]="","",Table2[[#This Row],[Value]]/Table2[[#This Row],[Conversion]])</f>
        <v/>
      </c>
      <c r="K7011" s="45" t="str">
        <f>IF(Table2[[#This Row],[Description]]="","",DATE(Table2[[#This Row],[Year]],Table2[[#This Row],[Month]],1))</f>
        <v/>
      </c>
    </row>
    <row r="7012" spans="7:11" x14ac:dyDescent="0.25">
      <c r="G7012" s="1" t="str">
        <f>IF(Table2[[#This Row],[Description]]="","",VLOOKUP(Table2[[#This Row],[Description]],$Q$1:$S$101,2,FALSE))</f>
        <v/>
      </c>
      <c r="H7012" s="1" t="str">
        <f>IF(Table2[[#This Row],[Description]]="","",VLOOKUP(Table2[[#This Row],[Description]],$Q$1:$S$101,3,FALSE))</f>
        <v/>
      </c>
      <c r="I7012" s="1" t="str">
        <f>IF(Table2[[#This Row],[Description]]="","",IF(Table2[[#This Row],[Currency]]=$O$2,$P$2,HLOOKUP(Table2[[#This Row],[Date]],Funds!$C$10:$GV$11,2,FALSE)))</f>
        <v/>
      </c>
      <c r="J7012" s="215" t="str">
        <f>IF(Table2[[#This Row],[Description]]="","",Table2[[#This Row],[Value]]/Table2[[#This Row],[Conversion]])</f>
        <v/>
      </c>
      <c r="K7012" s="45" t="str">
        <f>IF(Table2[[#This Row],[Description]]="","",DATE(Table2[[#This Row],[Year]],Table2[[#This Row],[Month]],1))</f>
        <v/>
      </c>
    </row>
    <row r="7013" spans="7:11" x14ac:dyDescent="0.25">
      <c r="G7013" s="1" t="str">
        <f>IF(Table2[[#This Row],[Description]]="","",VLOOKUP(Table2[[#This Row],[Description]],$Q$1:$S$101,2,FALSE))</f>
        <v/>
      </c>
      <c r="H7013" s="1" t="str">
        <f>IF(Table2[[#This Row],[Description]]="","",VLOOKUP(Table2[[#This Row],[Description]],$Q$1:$S$101,3,FALSE))</f>
        <v/>
      </c>
      <c r="I7013" s="1" t="str">
        <f>IF(Table2[[#This Row],[Description]]="","",IF(Table2[[#This Row],[Currency]]=$O$2,$P$2,HLOOKUP(Table2[[#This Row],[Date]],Funds!$C$10:$GV$11,2,FALSE)))</f>
        <v/>
      </c>
      <c r="J7013" s="215" t="str">
        <f>IF(Table2[[#This Row],[Description]]="","",Table2[[#This Row],[Value]]/Table2[[#This Row],[Conversion]])</f>
        <v/>
      </c>
      <c r="K7013" s="45" t="str">
        <f>IF(Table2[[#This Row],[Description]]="","",DATE(Table2[[#This Row],[Year]],Table2[[#This Row],[Month]],1))</f>
        <v/>
      </c>
    </row>
    <row r="7014" spans="7:11" x14ac:dyDescent="0.25">
      <c r="G7014" s="1" t="str">
        <f>IF(Table2[[#This Row],[Description]]="","",VLOOKUP(Table2[[#This Row],[Description]],$Q$1:$S$101,2,FALSE))</f>
        <v/>
      </c>
      <c r="H7014" s="1" t="str">
        <f>IF(Table2[[#This Row],[Description]]="","",VLOOKUP(Table2[[#This Row],[Description]],$Q$1:$S$101,3,FALSE))</f>
        <v/>
      </c>
      <c r="I7014" s="1" t="str">
        <f>IF(Table2[[#This Row],[Description]]="","",IF(Table2[[#This Row],[Currency]]=$O$2,$P$2,HLOOKUP(Table2[[#This Row],[Date]],Funds!$C$10:$GV$11,2,FALSE)))</f>
        <v/>
      </c>
      <c r="J7014" s="215" t="str">
        <f>IF(Table2[[#This Row],[Description]]="","",Table2[[#This Row],[Value]]/Table2[[#This Row],[Conversion]])</f>
        <v/>
      </c>
      <c r="K7014" s="45" t="str">
        <f>IF(Table2[[#This Row],[Description]]="","",DATE(Table2[[#This Row],[Year]],Table2[[#This Row],[Month]],1))</f>
        <v/>
      </c>
    </row>
    <row r="7015" spans="7:11" x14ac:dyDescent="0.25">
      <c r="G7015" s="1" t="str">
        <f>IF(Table2[[#This Row],[Description]]="","",VLOOKUP(Table2[[#This Row],[Description]],$Q$1:$S$101,2,FALSE))</f>
        <v/>
      </c>
      <c r="H7015" s="1" t="str">
        <f>IF(Table2[[#This Row],[Description]]="","",VLOOKUP(Table2[[#This Row],[Description]],$Q$1:$S$101,3,FALSE))</f>
        <v/>
      </c>
      <c r="I7015" s="1" t="str">
        <f>IF(Table2[[#This Row],[Description]]="","",IF(Table2[[#This Row],[Currency]]=$O$2,$P$2,HLOOKUP(Table2[[#This Row],[Date]],Funds!$C$10:$GV$11,2,FALSE)))</f>
        <v/>
      </c>
      <c r="J7015" s="215" t="str">
        <f>IF(Table2[[#This Row],[Description]]="","",Table2[[#This Row],[Value]]/Table2[[#This Row],[Conversion]])</f>
        <v/>
      </c>
      <c r="K7015" s="45" t="str">
        <f>IF(Table2[[#This Row],[Description]]="","",DATE(Table2[[#This Row],[Year]],Table2[[#This Row],[Month]],1))</f>
        <v/>
      </c>
    </row>
    <row r="7016" spans="7:11" x14ac:dyDescent="0.25">
      <c r="G7016" s="1" t="str">
        <f>IF(Table2[[#This Row],[Description]]="","",VLOOKUP(Table2[[#This Row],[Description]],$Q$1:$S$101,2,FALSE))</f>
        <v/>
      </c>
      <c r="H7016" s="1" t="str">
        <f>IF(Table2[[#This Row],[Description]]="","",VLOOKUP(Table2[[#This Row],[Description]],$Q$1:$S$101,3,FALSE))</f>
        <v/>
      </c>
      <c r="I7016" s="1" t="str">
        <f>IF(Table2[[#This Row],[Description]]="","",IF(Table2[[#This Row],[Currency]]=$O$2,$P$2,HLOOKUP(Table2[[#This Row],[Date]],Funds!$C$10:$GV$11,2,FALSE)))</f>
        <v/>
      </c>
      <c r="J7016" s="215" t="str">
        <f>IF(Table2[[#This Row],[Description]]="","",Table2[[#This Row],[Value]]/Table2[[#This Row],[Conversion]])</f>
        <v/>
      </c>
      <c r="K7016" s="45" t="str">
        <f>IF(Table2[[#This Row],[Description]]="","",DATE(Table2[[#This Row],[Year]],Table2[[#This Row],[Month]],1))</f>
        <v/>
      </c>
    </row>
    <row r="7017" spans="7:11" x14ac:dyDescent="0.25">
      <c r="G7017" s="1" t="str">
        <f>IF(Table2[[#This Row],[Description]]="","",VLOOKUP(Table2[[#This Row],[Description]],$Q$1:$S$101,2,FALSE))</f>
        <v/>
      </c>
      <c r="H7017" s="1" t="str">
        <f>IF(Table2[[#This Row],[Description]]="","",VLOOKUP(Table2[[#This Row],[Description]],$Q$1:$S$101,3,FALSE))</f>
        <v/>
      </c>
      <c r="I7017" s="1" t="str">
        <f>IF(Table2[[#This Row],[Description]]="","",IF(Table2[[#This Row],[Currency]]=$O$2,$P$2,HLOOKUP(Table2[[#This Row],[Date]],Funds!$C$10:$GV$11,2,FALSE)))</f>
        <v/>
      </c>
      <c r="J7017" s="215" t="str">
        <f>IF(Table2[[#This Row],[Description]]="","",Table2[[#This Row],[Value]]/Table2[[#This Row],[Conversion]])</f>
        <v/>
      </c>
      <c r="K7017" s="45" t="str">
        <f>IF(Table2[[#This Row],[Description]]="","",DATE(Table2[[#This Row],[Year]],Table2[[#This Row],[Month]],1))</f>
        <v/>
      </c>
    </row>
    <row r="7018" spans="7:11" x14ac:dyDescent="0.25">
      <c r="G7018" s="1" t="str">
        <f>IF(Table2[[#This Row],[Description]]="","",VLOOKUP(Table2[[#This Row],[Description]],$Q$1:$S$101,2,FALSE))</f>
        <v/>
      </c>
      <c r="H7018" s="1" t="str">
        <f>IF(Table2[[#This Row],[Description]]="","",VLOOKUP(Table2[[#This Row],[Description]],$Q$1:$S$101,3,FALSE))</f>
        <v/>
      </c>
      <c r="I7018" s="1" t="str">
        <f>IF(Table2[[#This Row],[Description]]="","",IF(Table2[[#This Row],[Currency]]=$O$2,$P$2,HLOOKUP(Table2[[#This Row],[Date]],Funds!$C$10:$GV$11,2,FALSE)))</f>
        <v/>
      </c>
      <c r="J7018" s="215" t="str">
        <f>IF(Table2[[#This Row],[Description]]="","",Table2[[#This Row],[Value]]/Table2[[#This Row],[Conversion]])</f>
        <v/>
      </c>
      <c r="K7018" s="45" t="str">
        <f>IF(Table2[[#This Row],[Description]]="","",DATE(Table2[[#This Row],[Year]],Table2[[#This Row],[Month]],1))</f>
        <v/>
      </c>
    </row>
    <row r="7019" spans="7:11" x14ac:dyDescent="0.25">
      <c r="G7019" s="1" t="str">
        <f>IF(Table2[[#This Row],[Description]]="","",VLOOKUP(Table2[[#This Row],[Description]],$Q$1:$S$101,2,FALSE))</f>
        <v/>
      </c>
      <c r="H7019" s="1" t="str">
        <f>IF(Table2[[#This Row],[Description]]="","",VLOOKUP(Table2[[#This Row],[Description]],$Q$1:$S$101,3,FALSE))</f>
        <v/>
      </c>
      <c r="I7019" s="1" t="str">
        <f>IF(Table2[[#This Row],[Description]]="","",IF(Table2[[#This Row],[Currency]]=$O$2,$P$2,HLOOKUP(Table2[[#This Row],[Date]],Funds!$C$10:$GV$11,2,FALSE)))</f>
        <v/>
      </c>
      <c r="J7019" s="215" t="str">
        <f>IF(Table2[[#This Row],[Description]]="","",Table2[[#This Row],[Value]]/Table2[[#This Row],[Conversion]])</f>
        <v/>
      </c>
      <c r="K7019" s="45" t="str">
        <f>IF(Table2[[#This Row],[Description]]="","",DATE(Table2[[#This Row],[Year]],Table2[[#This Row],[Month]],1))</f>
        <v/>
      </c>
    </row>
    <row r="7020" spans="7:11" x14ac:dyDescent="0.25">
      <c r="G7020" s="1" t="str">
        <f>IF(Table2[[#This Row],[Description]]="","",VLOOKUP(Table2[[#This Row],[Description]],$Q$1:$S$101,2,FALSE))</f>
        <v/>
      </c>
      <c r="H7020" s="1" t="str">
        <f>IF(Table2[[#This Row],[Description]]="","",VLOOKUP(Table2[[#This Row],[Description]],$Q$1:$S$101,3,FALSE))</f>
        <v/>
      </c>
      <c r="I7020" s="1" t="str">
        <f>IF(Table2[[#This Row],[Description]]="","",IF(Table2[[#This Row],[Currency]]=$O$2,$P$2,HLOOKUP(Table2[[#This Row],[Date]],Funds!$C$10:$GV$11,2,FALSE)))</f>
        <v/>
      </c>
      <c r="J7020" s="215" t="str">
        <f>IF(Table2[[#This Row],[Description]]="","",Table2[[#This Row],[Value]]/Table2[[#This Row],[Conversion]])</f>
        <v/>
      </c>
      <c r="K7020" s="45" t="str">
        <f>IF(Table2[[#This Row],[Description]]="","",DATE(Table2[[#This Row],[Year]],Table2[[#This Row],[Month]],1))</f>
        <v/>
      </c>
    </row>
    <row r="7021" spans="7:11" x14ac:dyDescent="0.25">
      <c r="G7021" s="1" t="str">
        <f>IF(Table2[[#This Row],[Description]]="","",VLOOKUP(Table2[[#This Row],[Description]],$Q$1:$S$101,2,FALSE))</f>
        <v/>
      </c>
      <c r="H7021" s="1" t="str">
        <f>IF(Table2[[#This Row],[Description]]="","",VLOOKUP(Table2[[#This Row],[Description]],$Q$1:$S$101,3,FALSE))</f>
        <v/>
      </c>
      <c r="I7021" s="1" t="str">
        <f>IF(Table2[[#This Row],[Description]]="","",IF(Table2[[#This Row],[Currency]]=$O$2,$P$2,HLOOKUP(Table2[[#This Row],[Date]],Funds!$C$10:$GV$11,2,FALSE)))</f>
        <v/>
      </c>
      <c r="J7021" s="215" t="str">
        <f>IF(Table2[[#This Row],[Description]]="","",Table2[[#This Row],[Value]]/Table2[[#This Row],[Conversion]])</f>
        <v/>
      </c>
      <c r="K7021" s="45" t="str">
        <f>IF(Table2[[#This Row],[Description]]="","",DATE(Table2[[#This Row],[Year]],Table2[[#This Row],[Month]],1))</f>
        <v/>
      </c>
    </row>
    <row r="7022" spans="7:11" x14ac:dyDescent="0.25">
      <c r="G7022" s="1" t="str">
        <f>IF(Table2[[#This Row],[Description]]="","",VLOOKUP(Table2[[#This Row],[Description]],$Q$1:$S$101,2,FALSE))</f>
        <v/>
      </c>
      <c r="H7022" s="1" t="str">
        <f>IF(Table2[[#This Row],[Description]]="","",VLOOKUP(Table2[[#This Row],[Description]],$Q$1:$S$101,3,FALSE))</f>
        <v/>
      </c>
      <c r="I7022" s="1" t="str">
        <f>IF(Table2[[#This Row],[Description]]="","",IF(Table2[[#This Row],[Currency]]=$O$2,$P$2,HLOOKUP(Table2[[#This Row],[Date]],Funds!$C$10:$GV$11,2,FALSE)))</f>
        <v/>
      </c>
      <c r="J7022" s="215" t="str">
        <f>IF(Table2[[#This Row],[Description]]="","",Table2[[#This Row],[Value]]/Table2[[#This Row],[Conversion]])</f>
        <v/>
      </c>
      <c r="K7022" s="45" t="str">
        <f>IF(Table2[[#This Row],[Description]]="","",DATE(Table2[[#This Row],[Year]],Table2[[#This Row],[Month]],1))</f>
        <v/>
      </c>
    </row>
    <row r="7023" spans="7:11" x14ac:dyDescent="0.25">
      <c r="G7023" s="1" t="str">
        <f>IF(Table2[[#This Row],[Description]]="","",VLOOKUP(Table2[[#This Row],[Description]],$Q$1:$S$101,2,FALSE))</f>
        <v/>
      </c>
      <c r="H7023" s="1" t="str">
        <f>IF(Table2[[#This Row],[Description]]="","",VLOOKUP(Table2[[#This Row],[Description]],$Q$1:$S$101,3,FALSE))</f>
        <v/>
      </c>
      <c r="I7023" s="1" t="str">
        <f>IF(Table2[[#This Row],[Description]]="","",IF(Table2[[#This Row],[Currency]]=$O$2,$P$2,HLOOKUP(Table2[[#This Row],[Date]],Funds!$C$10:$GV$11,2,FALSE)))</f>
        <v/>
      </c>
      <c r="J7023" s="215" t="str">
        <f>IF(Table2[[#This Row],[Description]]="","",Table2[[#This Row],[Value]]/Table2[[#This Row],[Conversion]])</f>
        <v/>
      </c>
      <c r="K7023" s="45" t="str">
        <f>IF(Table2[[#This Row],[Description]]="","",DATE(Table2[[#This Row],[Year]],Table2[[#This Row],[Month]],1))</f>
        <v/>
      </c>
    </row>
    <row r="7024" spans="7:11" x14ac:dyDescent="0.25">
      <c r="G7024" s="1" t="str">
        <f>IF(Table2[[#This Row],[Description]]="","",VLOOKUP(Table2[[#This Row],[Description]],$Q$1:$S$101,2,FALSE))</f>
        <v/>
      </c>
      <c r="H7024" s="1" t="str">
        <f>IF(Table2[[#This Row],[Description]]="","",VLOOKUP(Table2[[#This Row],[Description]],$Q$1:$S$101,3,FALSE))</f>
        <v/>
      </c>
      <c r="I7024" s="1" t="str">
        <f>IF(Table2[[#This Row],[Description]]="","",IF(Table2[[#This Row],[Currency]]=$O$2,$P$2,HLOOKUP(Table2[[#This Row],[Date]],Funds!$C$10:$GV$11,2,FALSE)))</f>
        <v/>
      </c>
      <c r="J7024" s="215" t="str">
        <f>IF(Table2[[#This Row],[Description]]="","",Table2[[#This Row],[Value]]/Table2[[#This Row],[Conversion]])</f>
        <v/>
      </c>
      <c r="K7024" s="45" t="str">
        <f>IF(Table2[[#This Row],[Description]]="","",DATE(Table2[[#This Row],[Year]],Table2[[#This Row],[Month]],1))</f>
        <v/>
      </c>
    </row>
    <row r="7025" spans="7:11" x14ac:dyDescent="0.25">
      <c r="G7025" s="1" t="str">
        <f>IF(Table2[[#This Row],[Description]]="","",VLOOKUP(Table2[[#This Row],[Description]],$Q$1:$S$101,2,FALSE))</f>
        <v/>
      </c>
      <c r="H7025" s="1" t="str">
        <f>IF(Table2[[#This Row],[Description]]="","",VLOOKUP(Table2[[#This Row],[Description]],$Q$1:$S$101,3,FALSE))</f>
        <v/>
      </c>
      <c r="I7025" s="1" t="str">
        <f>IF(Table2[[#This Row],[Description]]="","",IF(Table2[[#This Row],[Currency]]=$O$2,$P$2,HLOOKUP(Table2[[#This Row],[Date]],Funds!$C$10:$GV$11,2,FALSE)))</f>
        <v/>
      </c>
      <c r="J7025" s="215" t="str">
        <f>IF(Table2[[#This Row],[Description]]="","",Table2[[#This Row],[Value]]/Table2[[#This Row],[Conversion]])</f>
        <v/>
      </c>
      <c r="K7025" s="45" t="str">
        <f>IF(Table2[[#This Row],[Description]]="","",DATE(Table2[[#This Row],[Year]],Table2[[#This Row],[Month]],1))</f>
        <v/>
      </c>
    </row>
    <row r="7026" spans="7:11" x14ac:dyDescent="0.25">
      <c r="G7026" s="1" t="str">
        <f>IF(Table2[[#This Row],[Description]]="","",VLOOKUP(Table2[[#This Row],[Description]],$Q$1:$S$101,2,FALSE))</f>
        <v/>
      </c>
      <c r="H7026" s="1" t="str">
        <f>IF(Table2[[#This Row],[Description]]="","",VLOOKUP(Table2[[#This Row],[Description]],$Q$1:$S$101,3,FALSE))</f>
        <v/>
      </c>
      <c r="I7026" s="1" t="str">
        <f>IF(Table2[[#This Row],[Description]]="","",IF(Table2[[#This Row],[Currency]]=$O$2,$P$2,HLOOKUP(Table2[[#This Row],[Date]],Funds!$C$10:$GV$11,2,FALSE)))</f>
        <v/>
      </c>
      <c r="J7026" s="215" t="str">
        <f>IF(Table2[[#This Row],[Description]]="","",Table2[[#This Row],[Value]]/Table2[[#This Row],[Conversion]])</f>
        <v/>
      </c>
      <c r="K7026" s="45" t="str">
        <f>IF(Table2[[#This Row],[Description]]="","",DATE(Table2[[#This Row],[Year]],Table2[[#This Row],[Month]],1))</f>
        <v/>
      </c>
    </row>
    <row r="7027" spans="7:11" x14ac:dyDescent="0.25">
      <c r="G7027" s="1" t="str">
        <f>IF(Table2[[#This Row],[Description]]="","",VLOOKUP(Table2[[#This Row],[Description]],$Q$1:$S$101,2,FALSE))</f>
        <v/>
      </c>
      <c r="H7027" s="1" t="str">
        <f>IF(Table2[[#This Row],[Description]]="","",VLOOKUP(Table2[[#This Row],[Description]],$Q$1:$S$101,3,FALSE))</f>
        <v/>
      </c>
      <c r="I7027" s="1" t="str">
        <f>IF(Table2[[#This Row],[Description]]="","",IF(Table2[[#This Row],[Currency]]=$O$2,$P$2,HLOOKUP(Table2[[#This Row],[Date]],Funds!$C$10:$GV$11,2,FALSE)))</f>
        <v/>
      </c>
      <c r="J7027" s="215" t="str">
        <f>IF(Table2[[#This Row],[Description]]="","",Table2[[#This Row],[Value]]/Table2[[#This Row],[Conversion]])</f>
        <v/>
      </c>
      <c r="K7027" s="45" t="str">
        <f>IF(Table2[[#This Row],[Description]]="","",DATE(Table2[[#This Row],[Year]],Table2[[#This Row],[Month]],1))</f>
        <v/>
      </c>
    </row>
    <row r="7028" spans="7:11" x14ac:dyDescent="0.25">
      <c r="G7028" s="1" t="str">
        <f>IF(Table2[[#This Row],[Description]]="","",VLOOKUP(Table2[[#This Row],[Description]],$Q$1:$S$101,2,FALSE))</f>
        <v/>
      </c>
      <c r="H7028" s="1" t="str">
        <f>IF(Table2[[#This Row],[Description]]="","",VLOOKUP(Table2[[#This Row],[Description]],$Q$1:$S$101,3,FALSE))</f>
        <v/>
      </c>
      <c r="I7028" s="1" t="str">
        <f>IF(Table2[[#This Row],[Description]]="","",IF(Table2[[#This Row],[Currency]]=$O$2,$P$2,HLOOKUP(Table2[[#This Row],[Date]],Funds!$C$10:$GV$11,2,FALSE)))</f>
        <v/>
      </c>
      <c r="J7028" s="215" t="str">
        <f>IF(Table2[[#This Row],[Description]]="","",Table2[[#This Row],[Value]]/Table2[[#This Row],[Conversion]])</f>
        <v/>
      </c>
      <c r="K7028" s="45" t="str">
        <f>IF(Table2[[#This Row],[Description]]="","",DATE(Table2[[#This Row],[Year]],Table2[[#This Row],[Month]],1))</f>
        <v/>
      </c>
    </row>
    <row r="7029" spans="7:11" x14ac:dyDescent="0.25">
      <c r="G7029" s="1" t="str">
        <f>IF(Table2[[#This Row],[Description]]="","",VLOOKUP(Table2[[#This Row],[Description]],$Q$1:$S$101,2,FALSE))</f>
        <v/>
      </c>
      <c r="H7029" s="1" t="str">
        <f>IF(Table2[[#This Row],[Description]]="","",VLOOKUP(Table2[[#This Row],[Description]],$Q$1:$S$101,3,FALSE))</f>
        <v/>
      </c>
      <c r="I7029" s="1" t="str">
        <f>IF(Table2[[#This Row],[Description]]="","",IF(Table2[[#This Row],[Currency]]=$O$2,$P$2,HLOOKUP(Table2[[#This Row],[Date]],Funds!$C$10:$GV$11,2,FALSE)))</f>
        <v/>
      </c>
      <c r="J7029" s="215" t="str">
        <f>IF(Table2[[#This Row],[Description]]="","",Table2[[#This Row],[Value]]/Table2[[#This Row],[Conversion]])</f>
        <v/>
      </c>
      <c r="K7029" s="45" t="str">
        <f>IF(Table2[[#This Row],[Description]]="","",DATE(Table2[[#This Row],[Year]],Table2[[#This Row],[Month]],1))</f>
        <v/>
      </c>
    </row>
    <row r="7030" spans="7:11" x14ac:dyDescent="0.25">
      <c r="G7030" s="1" t="str">
        <f>IF(Table2[[#This Row],[Description]]="","",VLOOKUP(Table2[[#This Row],[Description]],$Q$1:$S$101,2,FALSE))</f>
        <v/>
      </c>
      <c r="H7030" s="1" t="str">
        <f>IF(Table2[[#This Row],[Description]]="","",VLOOKUP(Table2[[#This Row],[Description]],$Q$1:$S$101,3,FALSE))</f>
        <v/>
      </c>
      <c r="I7030" s="1" t="str">
        <f>IF(Table2[[#This Row],[Description]]="","",IF(Table2[[#This Row],[Currency]]=$O$2,$P$2,HLOOKUP(Table2[[#This Row],[Date]],Funds!$C$10:$GV$11,2,FALSE)))</f>
        <v/>
      </c>
      <c r="J7030" s="215" t="str">
        <f>IF(Table2[[#This Row],[Description]]="","",Table2[[#This Row],[Value]]/Table2[[#This Row],[Conversion]])</f>
        <v/>
      </c>
      <c r="K7030" s="45" t="str">
        <f>IF(Table2[[#This Row],[Description]]="","",DATE(Table2[[#This Row],[Year]],Table2[[#This Row],[Month]],1))</f>
        <v/>
      </c>
    </row>
    <row r="7031" spans="7:11" x14ac:dyDescent="0.25">
      <c r="G7031" s="1" t="str">
        <f>IF(Table2[[#This Row],[Description]]="","",VLOOKUP(Table2[[#This Row],[Description]],$Q$1:$S$101,2,FALSE))</f>
        <v/>
      </c>
      <c r="H7031" s="1" t="str">
        <f>IF(Table2[[#This Row],[Description]]="","",VLOOKUP(Table2[[#This Row],[Description]],$Q$1:$S$101,3,FALSE))</f>
        <v/>
      </c>
      <c r="I7031" s="1" t="str">
        <f>IF(Table2[[#This Row],[Description]]="","",IF(Table2[[#This Row],[Currency]]=$O$2,$P$2,HLOOKUP(Table2[[#This Row],[Date]],Funds!$C$10:$GV$11,2,FALSE)))</f>
        <v/>
      </c>
      <c r="J7031" s="215" t="str">
        <f>IF(Table2[[#This Row],[Description]]="","",Table2[[#This Row],[Value]]/Table2[[#This Row],[Conversion]])</f>
        <v/>
      </c>
      <c r="K7031" s="45" t="str">
        <f>IF(Table2[[#This Row],[Description]]="","",DATE(Table2[[#This Row],[Year]],Table2[[#This Row],[Month]],1))</f>
        <v/>
      </c>
    </row>
    <row r="7032" spans="7:11" x14ac:dyDescent="0.25">
      <c r="G7032" s="1" t="str">
        <f>IF(Table2[[#This Row],[Description]]="","",VLOOKUP(Table2[[#This Row],[Description]],$Q$1:$S$101,2,FALSE))</f>
        <v/>
      </c>
      <c r="H7032" s="1" t="str">
        <f>IF(Table2[[#This Row],[Description]]="","",VLOOKUP(Table2[[#This Row],[Description]],$Q$1:$S$101,3,FALSE))</f>
        <v/>
      </c>
      <c r="I7032" s="1" t="str">
        <f>IF(Table2[[#This Row],[Description]]="","",IF(Table2[[#This Row],[Currency]]=$O$2,$P$2,HLOOKUP(Table2[[#This Row],[Date]],Funds!$C$10:$GV$11,2,FALSE)))</f>
        <v/>
      </c>
      <c r="J7032" s="215" t="str">
        <f>IF(Table2[[#This Row],[Description]]="","",Table2[[#This Row],[Value]]/Table2[[#This Row],[Conversion]])</f>
        <v/>
      </c>
      <c r="K7032" s="45" t="str">
        <f>IF(Table2[[#This Row],[Description]]="","",DATE(Table2[[#This Row],[Year]],Table2[[#This Row],[Month]],1))</f>
        <v/>
      </c>
    </row>
    <row r="7033" spans="7:11" x14ac:dyDescent="0.25">
      <c r="G7033" s="1" t="str">
        <f>IF(Table2[[#This Row],[Description]]="","",VLOOKUP(Table2[[#This Row],[Description]],$Q$1:$S$101,2,FALSE))</f>
        <v/>
      </c>
      <c r="H7033" s="1" t="str">
        <f>IF(Table2[[#This Row],[Description]]="","",VLOOKUP(Table2[[#This Row],[Description]],$Q$1:$S$101,3,FALSE))</f>
        <v/>
      </c>
      <c r="I7033" s="1" t="str">
        <f>IF(Table2[[#This Row],[Description]]="","",IF(Table2[[#This Row],[Currency]]=$O$2,$P$2,HLOOKUP(Table2[[#This Row],[Date]],Funds!$C$10:$GV$11,2,FALSE)))</f>
        <v/>
      </c>
      <c r="J7033" s="215" t="str">
        <f>IF(Table2[[#This Row],[Description]]="","",Table2[[#This Row],[Value]]/Table2[[#This Row],[Conversion]])</f>
        <v/>
      </c>
      <c r="K7033" s="45" t="str">
        <f>IF(Table2[[#This Row],[Description]]="","",DATE(Table2[[#This Row],[Year]],Table2[[#This Row],[Month]],1))</f>
        <v/>
      </c>
    </row>
    <row r="7034" spans="7:11" x14ac:dyDescent="0.25">
      <c r="G7034" s="1" t="str">
        <f>IF(Table2[[#This Row],[Description]]="","",VLOOKUP(Table2[[#This Row],[Description]],$Q$1:$S$101,2,FALSE))</f>
        <v/>
      </c>
      <c r="H7034" s="1" t="str">
        <f>IF(Table2[[#This Row],[Description]]="","",VLOOKUP(Table2[[#This Row],[Description]],$Q$1:$S$101,3,FALSE))</f>
        <v/>
      </c>
      <c r="I7034" s="1" t="str">
        <f>IF(Table2[[#This Row],[Description]]="","",IF(Table2[[#This Row],[Currency]]=$O$2,$P$2,HLOOKUP(Table2[[#This Row],[Date]],Funds!$C$10:$GV$11,2,FALSE)))</f>
        <v/>
      </c>
      <c r="J7034" s="215" t="str">
        <f>IF(Table2[[#This Row],[Description]]="","",Table2[[#This Row],[Value]]/Table2[[#This Row],[Conversion]])</f>
        <v/>
      </c>
      <c r="K7034" s="45" t="str">
        <f>IF(Table2[[#This Row],[Description]]="","",DATE(Table2[[#This Row],[Year]],Table2[[#This Row],[Month]],1))</f>
        <v/>
      </c>
    </row>
    <row r="7035" spans="7:11" x14ac:dyDescent="0.25">
      <c r="G7035" s="1" t="str">
        <f>IF(Table2[[#This Row],[Description]]="","",VLOOKUP(Table2[[#This Row],[Description]],$Q$1:$S$101,2,FALSE))</f>
        <v/>
      </c>
      <c r="H7035" s="1" t="str">
        <f>IF(Table2[[#This Row],[Description]]="","",VLOOKUP(Table2[[#This Row],[Description]],$Q$1:$S$101,3,FALSE))</f>
        <v/>
      </c>
      <c r="I7035" s="1" t="str">
        <f>IF(Table2[[#This Row],[Description]]="","",IF(Table2[[#This Row],[Currency]]=$O$2,$P$2,HLOOKUP(Table2[[#This Row],[Date]],Funds!$C$10:$GV$11,2,FALSE)))</f>
        <v/>
      </c>
      <c r="J7035" s="215" t="str">
        <f>IF(Table2[[#This Row],[Description]]="","",Table2[[#This Row],[Value]]/Table2[[#This Row],[Conversion]])</f>
        <v/>
      </c>
      <c r="K7035" s="45" t="str">
        <f>IF(Table2[[#This Row],[Description]]="","",DATE(Table2[[#This Row],[Year]],Table2[[#This Row],[Month]],1))</f>
        <v/>
      </c>
    </row>
    <row r="7036" spans="7:11" x14ac:dyDescent="0.25">
      <c r="G7036" s="1" t="str">
        <f>IF(Table2[[#This Row],[Description]]="","",VLOOKUP(Table2[[#This Row],[Description]],$Q$1:$S$101,2,FALSE))</f>
        <v/>
      </c>
      <c r="H7036" s="1" t="str">
        <f>IF(Table2[[#This Row],[Description]]="","",VLOOKUP(Table2[[#This Row],[Description]],$Q$1:$S$101,3,FALSE))</f>
        <v/>
      </c>
      <c r="I7036" s="1" t="str">
        <f>IF(Table2[[#This Row],[Description]]="","",IF(Table2[[#This Row],[Currency]]=$O$2,$P$2,HLOOKUP(Table2[[#This Row],[Date]],Funds!$C$10:$GV$11,2,FALSE)))</f>
        <v/>
      </c>
      <c r="J7036" s="215" t="str">
        <f>IF(Table2[[#This Row],[Description]]="","",Table2[[#This Row],[Value]]/Table2[[#This Row],[Conversion]])</f>
        <v/>
      </c>
      <c r="K7036" s="45" t="str">
        <f>IF(Table2[[#This Row],[Description]]="","",DATE(Table2[[#This Row],[Year]],Table2[[#This Row],[Month]],1))</f>
        <v/>
      </c>
    </row>
    <row r="7037" spans="7:11" x14ac:dyDescent="0.25">
      <c r="G7037" s="1" t="str">
        <f>IF(Table2[[#This Row],[Description]]="","",VLOOKUP(Table2[[#This Row],[Description]],$Q$1:$S$101,2,FALSE))</f>
        <v/>
      </c>
      <c r="H7037" s="1" t="str">
        <f>IF(Table2[[#This Row],[Description]]="","",VLOOKUP(Table2[[#This Row],[Description]],$Q$1:$S$101,3,FALSE))</f>
        <v/>
      </c>
      <c r="I7037" s="1" t="str">
        <f>IF(Table2[[#This Row],[Description]]="","",IF(Table2[[#This Row],[Currency]]=$O$2,$P$2,HLOOKUP(Table2[[#This Row],[Date]],Funds!$C$10:$GV$11,2,FALSE)))</f>
        <v/>
      </c>
      <c r="J7037" s="215" t="str">
        <f>IF(Table2[[#This Row],[Description]]="","",Table2[[#This Row],[Value]]/Table2[[#This Row],[Conversion]])</f>
        <v/>
      </c>
      <c r="K7037" s="45" t="str">
        <f>IF(Table2[[#This Row],[Description]]="","",DATE(Table2[[#This Row],[Year]],Table2[[#This Row],[Month]],1))</f>
        <v/>
      </c>
    </row>
    <row r="7038" spans="7:11" x14ac:dyDescent="0.25">
      <c r="G7038" s="1" t="str">
        <f>IF(Table2[[#This Row],[Description]]="","",VLOOKUP(Table2[[#This Row],[Description]],$Q$1:$S$101,2,FALSE))</f>
        <v/>
      </c>
      <c r="H7038" s="1" t="str">
        <f>IF(Table2[[#This Row],[Description]]="","",VLOOKUP(Table2[[#This Row],[Description]],$Q$1:$S$101,3,FALSE))</f>
        <v/>
      </c>
      <c r="I7038" s="1" t="str">
        <f>IF(Table2[[#This Row],[Description]]="","",IF(Table2[[#This Row],[Currency]]=$O$2,$P$2,HLOOKUP(Table2[[#This Row],[Date]],Funds!$C$10:$GV$11,2,FALSE)))</f>
        <v/>
      </c>
      <c r="J7038" s="215" t="str">
        <f>IF(Table2[[#This Row],[Description]]="","",Table2[[#This Row],[Value]]/Table2[[#This Row],[Conversion]])</f>
        <v/>
      </c>
      <c r="K7038" s="45" t="str">
        <f>IF(Table2[[#This Row],[Description]]="","",DATE(Table2[[#This Row],[Year]],Table2[[#This Row],[Month]],1))</f>
        <v/>
      </c>
    </row>
    <row r="7039" spans="7:11" x14ac:dyDescent="0.25">
      <c r="G7039" s="1" t="str">
        <f>IF(Table2[[#This Row],[Description]]="","",VLOOKUP(Table2[[#This Row],[Description]],$Q$1:$S$101,2,FALSE))</f>
        <v/>
      </c>
      <c r="H7039" s="1" t="str">
        <f>IF(Table2[[#This Row],[Description]]="","",VLOOKUP(Table2[[#This Row],[Description]],$Q$1:$S$101,3,FALSE))</f>
        <v/>
      </c>
      <c r="I7039" s="1" t="str">
        <f>IF(Table2[[#This Row],[Description]]="","",IF(Table2[[#This Row],[Currency]]=$O$2,$P$2,HLOOKUP(Table2[[#This Row],[Date]],Funds!$C$10:$GV$11,2,FALSE)))</f>
        <v/>
      </c>
      <c r="J7039" s="215" t="str">
        <f>IF(Table2[[#This Row],[Description]]="","",Table2[[#This Row],[Value]]/Table2[[#This Row],[Conversion]])</f>
        <v/>
      </c>
      <c r="K7039" s="45" t="str">
        <f>IF(Table2[[#This Row],[Description]]="","",DATE(Table2[[#This Row],[Year]],Table2[[#This Row],[Month]],1))</f>
        <v/>
      </c>
    </row>
    <row r="7040" spans="7:11" x14ac:dyDescent="0.25">
      <c r="G7040" s="1" t="str">
        <f>IF(Table2[[#This Row],[Description]]="","",VLOOKUP(Table2[[#This Row],[Description]],$Q$1:$S$101,2,FALSE))</f>
        <v/>
      </c>
      <c r="H7040" s="1" t="str">
        <f>IF(Table2[[#This Row],[Description]]="","",VLOOKUP(Table2[[#This Row],[Description]],$Q$1:$S$101,3,FALSE))</f>
        <v/>
      </c>
      <c r="I7040" s="1" t="str">
        <f>IF(Table2[[#This Row],[Description]]="","",IF(Table2[[#This Row],[Currency]]=$O$2,$P$2,HLOOKUP(Table2[[#This Row],[Date]],Funds!$C$10:$GV$11,2,FALSE)))</f>
        <v/>
      </c>
      <c r="J7040" s="215" t="str">
        <f>IF(Table2[[#This Row],[Description]]="","",Table2[[#This Row],[Value]]/Table2[[#This Row],[Conversion]])</f>
        <v/>
      </c>
      <c r="K7040" s="45" t="str">
        <f>IF(Table2[[#This Row],[Description]]="","",DATE(Table2[[#This Row],[Year]],Table2[[#This Row],[Month]],1))</f>
        <v/>
      </c>
    </row>
    <row r="7041" spans="7:11" x14ac:dyDescent="0.25">
      <c r="G7041" s="1" t="str">
        <f>IF(Table2[[#This Row],[Description]]="","",VLOOKUP(Table2[[#This Row],[Description]],$Q$1:$S$101,2,FALSE))</f>
        <v/>
      </c>
      <c r="H7041" s="1" t="str">
        <f>IF(Table2[[#This Row],[Description]]="","",VLOOKUP(Table2[[#This Row],[Description]],$Q$1:$S$101,3,FALSE))</f>
        <v/>
      </c>
      <c r="I7041" s="1" t="str">
        <f>IF(Table2[[#This Row],[Description]]="","",IF(Table2[[#This Row],[Currency]]=$O$2,$P$2,HLOOKUP(Table2[[#This Row],[Date]],Funds!$C$10:$GV$11,2,FALSE)))</f>
        <v/>
      </c>
      <c r="J7041" s="215" t="str">
        <f>IF(Table2[[#This Row],[Description]]="","",Table2[[#This Row],[Value]]/Table2[[#This Row],[Conversion]])</f>
        <v/>
      </c>
      <c r="K7041" s="45" t="str">
        <f>IF(Table2[[#This Row],[Description]]="","",DATE(Table2[[#This Row],[Year]],Table2[[#This Row],[Month]],1))</f>
        <v/>
      </c>
    </row>
    <row r="7042" spans="7:11" x14ac:dyDescent="0.25">
      <c r="G7042" s="1" t="str">
        <f>IF(Table2[[#This Row],[Description]]="","",VLOOKUP(Table2[[#This Row],[Description]],$Q$1:$S$101,2,FALSE))</f>
        <v/>
      </c>
      <c r="H7042" s="1" t="str">
        <f>IF(Table2[[#This Row],[Description]]="","",VLOOKUP(Table2[[#This Row],[Description]],$Q$1:$S$101,3,FALSE))</f>
        <v/>
      </c>
      <c r="I7042" s="1" t="str">
        <f>IF(Table2[[#This Row],[Description]]="","",IF(Table2[[#This Row],[Currency]]=$O$2,$P$2,HLOOKUP(Table2[[#This Row],[Date]],Funds!$C$10:$GV$11,2,FALSE)))</f>
        <v/>
      </c>
      <c r="J7042" s="215" t="str">
        <f>IF(Table2[[#This Row],[Description]]="","",Table2[[#This Row],[Value]]/Table2[[#This Row],[Conversion]])</f>
        <v/>
      </c>
      <c r="K7042" s="45" t="str">
        <f>IF(Table2[[#This Row],[Description]]="","",DATE(Table2[[#This Row],[Year]],Table2[[#This Row],[Month]],1))</f>
        <v/>
      </c>
    </row>
    <row r="7043" spans="7:11" x14ac:dyDescent="0.25">
      <c r="G7043" s="1" t="str">
        <f>IF(Table2[[#This Row],[Description]]="","",VLOOKUP(Table2[[#This Row],[Description]],$Q$1:$S$101,2,FALSE))</f>
        <v/>
      </c>
      <c r="H7043" s="1" t="str">
        <f>IF(Table2[[#This Row],[Description]]="","",VLOOKUP(Table2[[#This Row],[Description]],$Q$1:$S$101,3,FALSE))</f>
        <v/>
      </c>
      <c r="I7043" s="1" t="str">
        <f>IF(Table2[[#This Row],[Description]]="","",IF(Table2[[#This Row],[Currency]]=$O$2,$P$2,HLOOKUP(Table2[[#This Row],[Date]],Funds!$C$10:$GV$11,2,FALSE)))</f>
        <v/>
      </c>
      <c r="J7043" s="215" t="str">
        <f>IF(Table2[[#This Row],[Description]]="","",Table2[[#This Row],[Value]]/Table2[[#This Row],[Conversion]])</f>
        <v/>
      </c>
      <c r="K7043" s="45" t="str">
        <f>IF(Table2[[#This Row],[Description]]="","",DATE(Table2[[#This Row],[Year]],Table2[[#This Row],[Month]],1))</f>
        <v/>
      </c>
    </row>
    <row r="7044" spans="7:11" x14ac:dyDescent="0.25">
      <c r="G7044" s="1" t="str">
        <f>IF(Table2[[#This Row],[Description]]="","",VLOOKUP(Table2[[#This Row],[Description]],$Q$1:$S$101,2,FALSE))</f>
        <v/>
      </c>
      <c r="H7044" s="1" t="str">
        <f>IF(Table2[[#This Row],[Description]]="","",VLOOKUP(Table2[[#This Row],[Description]],$Q$1:$S$101,3,FALSE))</f>
        <v/>
      </c>
      <c r="I7044" s="1" t="str">
        <f>IF(Table2[[#This Row],[Description]]="","",IF(Table2[[#This Row],[Currency]]=$O$2,$P$2,HLOOKUP(Table2[[#This Row],[Date]],Funds!$C$10:$GV$11,2,FALSE)))</f>
        <v/>
      </c>
      <c r="J7044" s="215" t="str">
        <f>IF(Table2[[#This Row],[Description]]="","",Table2[[#This Row],[Value]]/Table2[[#This Row],[Conversion]])</f>
        <v/>
      </c>
      <c r="K7044" s="45" t="str">
        <f>IF(Table2[[#This Row],[Description]]="","",DATE(Table2[[#This Row],[Year]],Table2[[#This Row],[Month]],1))</f>
        <v/>
      </c>
    </row>
    <row r="7045" spans="7:11" x14ac:dyDescent="0.25">
      <c r="G7045" s="1" t="str">
        <f>IF(Table2[[#This Row],[Description]]="","",VLOOKUP(Table2[[#This Row],[Description]],$Q$1:$S$101,2,FALSE))</f>
        <v/>
      </c>
      <c r="H7045" s="1" t="str">
        <f>IF(Table2[[#This Row],[Description]]="","",VLOOKUP(Table2[[#This Row],[Description]],$Q$1:$S$101,3,FALSE))</f>
        <v/>
      </c>
      <c r="I7045" s="1" t="str">
        <f>IF(Table2[[#This Row],[Description]]="","",IF(Table2[[#This Row],[Currency]]=$O$2,$P$2,HLOOKUP(Table2[[#This Row],[Date]],Funds!$C$10:$GV$11,2,FALSE)))</f>
        <v/>
      </c>
      <c r="J7045" s="215" t="str">
        <f>IF(Table2[[#This Row],[Description]]="","",Table2[[#This Row],[Value]]/Table2[[#This Row],[Conversion]])</f>
        <v/>
      </c>
      <c r="K7045" s="45" t="str">
        <f>IF(Table2[[#This Row],[Description]]="","",DATE(Table2[[#This Row],[Year]],Table2[[#This Row],[Month]],1))</f>
        <v/>
      </c>
    </row>
    <row r="7046" spans="7:11" x14ac:dyDescent="0.25">
      <c r="G7046" s="1" t="str">
        <f>IF(Table2[[#This Row],[Description]]="","",VLOOKUP(Table2[[#This Row],[Description]],$Q$1:$S$101,2,FALSE))</f>
        <v/>
      </c>
      <c r="H7046" s="1" t="str">
        <f>IF(Table2[[#This Row],[Description]]="","",VLOOKUP(Table2[[#This Row],[Description]],$Q$1:$S$101,3,FALSE))</f>
        <v/>
      </c>
      <c r="I7046" s="1" t="str">
        <f>IF(Table2[[#This Row],[Description]]="","",IF(Table2[[#This Row],[Currency]]=$O$2,$P$2,HLOOKUP(Table2[[#This Row],[Date]],Funds!$C$10:$GV$11,2,FALSE)))</f>
        <v/>
      </c>
      <c r="J7046" s="215" t="str">
        <f>IF(Table2[[#This Row],[Description]]="","",Table2[[#This Row],[Value]]/Table2[[#This Row],[Conversion]])</f>
        <v/>
      </c>
      <c r="K7046" s="45" t="str">
        <f>IF(Table2[[#This Row],[Description]]="","",DATE(Table2[[#This Row],[Year]],Table2[[#This Row],[Month]],1))</f>
        <v/>
      </c>
    </row>
    <row r="7047" spans="7:11" x14ac:dyDescent="0.25">
      <c r="G7047" s="1" t="str">
        <f>IF(Table2[[#This Row],[Description]]="","",VLOOKUP(Table2[[#This Row],[Description]],$Q$1:$S$101,2,FALSE))</f>
        <v/>
      </c>
      <c r="H7047" s="1" t="str">
        <f>IF(Table2[[#This Row],[Description]]="","",VLOOKUP(Table2[[#This Row],[Description]],$Q$1:$S$101,3,FALSE))</f>
        <v/>
      </c>
      <c r="I7047" s="1" t="str">
        <f>IF(Table2[[#This Row],[Description]]="","",IF(Table2[[#This Row],[Currency]]=$O$2,$P$2,HLOOKUP(Table2[[#This Row],[Date]],Funds!$C$10:$GV$11,2,FALSE)))</f>
        <v/>
      </c>
      <c r="J7047" s="215" t="str">
        <f>IF(Table2[[#This Row],[Description]]="","",Table2[[#This Row],[Value]]/Table2[[#This Row],[Conversion]])</f>
        <v/>
      </c>
      <c r="K7047" s="45" t="str">
        <f>IF(Table2[[#This Row],[Description]]="","",DATE(Table2[[#This Row],[Year]],Table2[[#This Row],[Month]],1))</f>
        <v/>
      </c>
    </row>
    <row r="7048" spans="7:11" x14ac:dyDescent="0.25">
      <c r="G7048" s="1" t="str">
        <f>IF(Table2[[#This Row],[Description]]="","",VLOOKUP(Table2[[#This Row],[Description]],$Q$1:$S$101,2,FALSE))</f>
        <v/>
      </c>
      <c r="H7048" s="1" t="str">
        <f>IF(Table2[[#This Row],[Description]]="","",VLOOKUP(Table2[[#This Row],[Description]],$Q$1:$S$101,3,FALSE))</f>
        <v/>
      </c>
      <c r="I7048" s="1" t="str">
        <f>IF(Table2[[#This Row],[Description]]="","",IF(Table2[[#This Row],[Currency]]=$O$2,$P$2,HLOOKUP(Table2[[#This Row],[Date]],Funds!$C$10:$GV$11,2,FALSE)))</f>
        <v/>
      </c>
      <c r="J7048" s="215" t="str">
        <f>IF(Table2[[#This Row],[Description]]="","",Table2[[#This Row],[Value]]/Table2[[#This Row],[Conversion]])</f>
        <v/>
      </c>
      <c r="K7048" s="45" t="str">
        <f>IF(Table2[[#This Row],[Description]]="","",DATE(Table2[[#This Row],[Year]],Table2[[#This Row],[Month]],1))</f>
        <v/>
      </c>
    </row>
    <row r="7049" spans="7:11" x14ac:dyDescent="0.25">
      <c r="G7049" s="1" t="str">
        <f>IF(Table2[[#This Row],[Description]]="","",VLOOKUP(Table2[[#This Row],[Description]],$Q$1:$S$101,2,FALSE))</f>
        <v/>
      </c>
      <c r="H7049" s="1" t="str">
        <f>IF(Table2[[#This Row],[Description]]="","",VLOOKUP(Table2[[#This Row],[Description]],$Q$1:$S$101,3,FALSE))</f>
        <v/>
      </c>
      <c r="I7049" s="1" t="str">
        <f>IF(Table2[[#This Row],[Description]]="","",IF(Table2[[#This Row],[Currency]]=$O$2,$P$2,HLOOKUP(Table2[[#This Row],[Date]],Funds!$C$10:$GV$11,2,FALSE)))</f>
        <v/>
      </c>
      <c r="J7049" s="215" t="str">
        <f>IF(Table2[[#This Row],[Description]]="","",Table2[[#This Row],[Value]]/Table2[[#This Row],[Conversion]])</f>
        <v/>
      </c>
      <c r="K7049" s="45" t="str">
        <f>IF(Table2[[#This Row],[Description]]="","",DATE(Table2[[#This Row],[Year]],Table2[[#This Row],[Month]],1))</f>
        <v/>
      </c>
    </row>
    <row r="7050" spans="7:11" x14ac:dyDescent="0.25">
      <c r="G7050" s="1" t="str">
        <f>IF(Table2[[#This Row],[Description]]="","",VLOOKUP(Table2[[#This Row],[Description]],$Q$1:$S$101,2,FALSE))</f>
        <v/>
      </c>
      <c r="H7050" s="1" t="str">
        <f>IF(Table2[[#This Row],[Description]]="","",VLOOKUP(Table2[[#This Row],[Description]],$Q$1:$S$101,3,FALSE))</f>
        <v/>
      </c>
      <c r="I7050" s="1" t="str">
        <f>IF(Table2[[#This Row],[Description]]="","",IF(Table2[[#This Row],[Currency]]=$O$2,$P$2,HLOOKUP(Table2[[#This Row],[Date]],Funds!$C$10:$GV$11,2,FALSE)))</f>
        <v/>
      </c>
      <c r="J7050" s="215" t="str">
        <f>IF(Table2[[#This Row],[Description]]="","",Table2[[#This Row],[Value]]/Table2[[#This Row],[Conversion]])</f>
        <v/>
      </c>
      <c r="K7050" s="45" t="str">
        <f>IF(Table2[[#This Row],[Description]]="","",DATE(Table2[[#This Row],[Year]],Table2[[#This Row],[Month]],1))</f>
        <v/>
      </c>
    </row>
    <row r="7051" spans="7:11" x14ac:dyDescent="0.25">
      <c r="G7051" s="1" t="str">
        <f>IF(Table2[[#This Row],[Description]]="","",VLOOKUP(Table2[[#This Row],[Description]],$Q$1:$S$101,2,FALSE))</f>
        <v/>
      </c>
      <c r="H7051" s="1" t="str">
        <f>IF(Table2[[#This Row],[Description]]="","",VLOOKUP(Table2[[#This Row],[Description]],$Q$1:$S$101,3,FALSE))</f>
        <v/>
      </c>
      <c r="I7051" s="1" t="str">
        <f>IF(Table2[[#This Row],[Description]]="","",IF(Table2[[#This Row],[Currency]]=$O$2,$P$2,HLOOKUP(Table2[[#This Row],[Date]],Funds!$C$10:$GV$11,2,FALSE)))</f>
        <v/>
      </c>
      <c r="J7051" s="215" t="str">
        <f>IF(Table2[[#This Row],[Description]]="","",Table2[[#This Row],[Value]]/Table2[[#This Row],[Conversion]])</f>
        <v/>
      </c>
      <c r="K7051" s="45" t="str">
        <f>IF(Table2[[#This Row],[Description]]="","",DATE(Table2[[#This Row],[Year]],Table2[[#This Row],[Month]],1))</f>
        <v/>
      </c>
    </row>
    <row r="7052" spans="7:11" x14ac:dyDescent="0.25">
      <c r="G7052" s="1" t="str">
        <f>IF(Table2[[#This Row],[Description]]="","",VLOOKUP(Table2[[#This Row],[Description]],$Q$1:$S$101,2,FALSE))</f>
        <v/>
      </c>
      <c r="H7052" s="1" t="str">
        <f>IF(Table2[[#This Row],[Description]]="","",VLOOKUP(Table2[[#This Row],[Description]],$Q$1:$S$101,3,FALSE))</f>
        <v/>
      </c>
      <c r="I7052" s="1" t="str">
        <f>IF(Table2[[#This Row],[Description]]="","",IF(Table2[[#This Row],[Currency]]=$O$2,$P$2,HLOOKUP(Table2[[#This Row],[Date]],Funds!$C$10:$GV$11,2,FALSE)))</f>
        <v/>
      </c>
      <c r="J7052" s="215" t="str">
        <f>IF(Table2[[#This Row],[Description]]="","",Table2[[#This Row],[Value]]/Table2[[#This Row],[Conversion]])</f>
        <v/>
      </c>
      <c r="K7052" s="45" t="str">
        <f>IF(Table2[[#This Row],[Description]]="","",DATE(Table2[[#This Row],[Year]],Table2[[#This Row],[Month]],1))</f>
        <v/>
      </c>
    </row>
    <row r="7053" spans="7:11" x14ac:dyDescent="0.25">
      <c r="G7053" s="1" t="str">
        <f>IF(Table2[[#This Row],[Description]]="","",VLOOKUP(Table2[[#This Row],[Description]],$Q$1:$S$101,2,FALSE))</f>
        <v/>
      </c>
      <c r="H7053" s="1" t="str">
        <f>IF(Table2[[#This Row],[Description]]="","",VLOOKUP(Table2[[#This Row],[Description]],$Q$1:$S$101,3,FALSE))</f>
        <v/>
      </c>
      <c r="I7053" s="1" t="str">
        <f>IF(Table2[[#This Row],[Description]]="","",IF(Table2[[#This Row],[Currency]]=$O$2,$P$2,HLOOKUP(Table2[[#This Row],[Date]],Funds!$C$10:$GV$11,2,FALSE)))</f>
        <v/>
      </c>
      <c r="J7053" s="215" t="str">
        <f>IF(Table2[[#This Row],[Description]]="","",Table2[[#This Row],[Value]]/Table2[[#This Row],[Conversion]])</f>
        <v/>
      </c>
      <c r="K7053" s="45" t="str">
        <f>IF(Table2[[#This Row],[Description]]="","",DATE(Table2[[#This Row],[Year]],Table2[[#This Row],[Month]],1))</f>
        <v/>
      </c>
    </row>
    <row r="7054" spans="7:11" x14ac:dyDescent="0.25">
      <c r="G7054" s="1" t="str">
        <f>IF(Table2[[#This Row],[Description]]="","",VLOOKUP(Table2[[#This Row],[Description]],$Q$1:$S$101,2,FALSE))</f>
        <v/>
      </c>
      <c r="H7054" s="1" t="str">
        <f>IF(Table2[[#This Row],[Description]]="","",VLOOKUP(Table2[[#This Row],[Description]],$Q$1:$S$101,3,FALSE))</f>
        <v/>
      </c>
      <c r="I7054" s="1" t="str">
        <f>IF(Table2[[#This Row],[Description]]="","",IF(Table2[[#This Row],[Currency]]=$O$2,$P$2,HLOOKUP(Table2[[#This Row],[Date]],Funds!$C$10:$GV$11,2,FALSE)))</f>
        <v/>
      </c>
      <c r="J7054" s="215" t="str">
        <f>IF(Table2[[#This Row],[Description]]="","",Table2[[#This Row],[Value]]/Table2[[#This Row],[Conversion]])</f>
        <v/>
      </c>
      <c r="K7054" s="45" t="str">
        <f>IF(Table2[[#This Row],[Description]]="","",DATE(Table2[[#This Row],[Year]],Table2[[#This Row],[Month]],1))</f>
        <v/>
      </c>
    </row>
    <row r="7055" spans="7:11" x14ac:dyDescent="0.25">
      <c r="G7055" s="1" t="str">
        <f>IF(Table2[[#This Row],[Description]]="","",VLOOKUP(Table2[[#This Row],[Description]],$Q$1:$S$101,2,FALSE))</f>
        <v/>
      </c>
      <c r="H7055" s="1" t="str">
        <f>IF(Table2[[#This Row],[Description]]="","",VLOOKUP(Table2[[#This Row],[Description]],$Q$1:$S$101,3,FALSE))</f>
        <v/>
      </c>
      <c r="I7055" s="1" t="str">
        <f>IF(Table2[[#This Row],[Description]]="","",IF(Table2[[#This Row],[Currency]]=$O$2,$P$2,HLOOKUP(Table2[[#This Row],[Date]],Funds!$C$10:$GV$11,2,FALSE)))</f>
        <v/>
      </c>
      <c r="J7055" s="215" t="str">
        <f>IF(Table2[[#This Row],[Description]]="","",Table2[[#This Row],[Value]]/Table2[[#This Row],[Conversion]])</f>
        <v/>
      </c>
      <c r="K7055" s="45" t="str">
        <f>IF(Table2[[#This Row],[Description]]="","",DATE(Table2[[#This Row],[Year]],Table2[[#This Row],[Month]],1))</f>
        <v/>
      </c>
    </row>
    <row r="7056" spans="7:11" x14ac:dyDescent="0.25">
      <c r="G7056" s="1" t="str">
        <f>IF(Table2[[#This Row],[Description]]="","",VLOOKUP(Table2[[#This Row],[Description]],$Q$1:$S$101,2,FALSE))</f>
        <v/>
      </c>
      <c r="H7056" s="1" t="str">
        <f>IF(Table2[[#This Row],[Description]]="","",VLOOKUP(Table2[[#This Row],[Description]],$Q$1:$S$101,3,FALSE))</f>
        <v/>
      </c>
      <c r="I7056" s="1" t="str">
        <f>IF(Table2[[#This Row],[Description]]="","",IF(Table2[[#This Row],[Currency]]=$O$2,$P$2,HLOOKUP(Table2[[#This Row],[Date]],Funds!$C$10:$GV$11,2,FALSE)))</f>
        <v/>
      </c>
      <c r="J7056" s="215" t="str">
        <f>IF(Table2[[#This Row],[Description]]="","",Table2[[#This Row],[Value]]/Table2[[#This Row],[Conversion]])</f>
        <v/>
      </c>
      <c r="K7056" s="45" t="str">
        <f>IF(Table2[[#This Row],[Description]]="","",DATE(Table2[[#This Row],[Year]],Table2[[#This Row],[Month]],1))</f>
        <v/>
      </c>
    </row>
    <row r="7057" spans="7:11" x14ac:dyDescent="0.25">
      <c r="G7057" s="1" t="str">
        <f>IF(Table2[[#This Row],[Description]]="","",VLOOKUP(Table2[[#This Row],[Description]],$Q$1:$S$101,2,FALSE))</f>
        <v/>
      </c>
      <c r="H7057" s="1" t="str">
        <f>IF(Table2[[#This Row],[Description]]="","",VLOOKUP(Table2[[#This Row],[Description]],$Q$1:$S$101,3,FALSE))</f>
        <v/>
      </c>
      <c r="I7057" s="1" t="str">
        <f>IF(Table2[[#This Row],[Description]]="","",IF(Table2[[#This Row],[Currency]]=$O$2,$P$2,HLOOKUP(Table2[[#This Row],[Date]],Funds!$C$10:$GV$11,2,FALSE)))</f>
        <v/>
      </c>
      <c r="J7057" s="215" t="str">
        <f>IF(Table2[[#This Row],[Description]]="","",Table2[[#This Row],[Value]]/Table2[[#This Row],[Conversion]])</f>
        <v/>
      </c>
      <c r="K7057" s="45" t="str">
        <f>IF(Table2[[#This Row],[Description]]="","",DATE(Table2[[#This Row],[Year]],Table2[[#This Row],[Month]],1))</f>
        <v/>
      </c>
    </row>
    <row r="7058" spans="7:11" x14ac:dyDescent="0.25">
      <c r="G7058" s="1" t="str">
        <f>IF(Table2[[#This Row],[Description]]="","",VLOOKUP(Table2[[#This Row],[Description]],$Q$1:$S$101,2,FALSE))</f>
        <v/>
      </c>
      <c r="H7058" s="1" t="str">
        <f>IF(Table2[[#This Row],[Description]]="","",VLOOKUP(Table2[[#This Row],[Description]],$Q$1:$S$101,3,FALSE))</f>
        <v/>
      </c>
      <c r="I7058" s="1" t="str">
        <f>IF(Table2[[#This Row],[Description]]="","",IF(Table2[[#This Row],[Currency]]=$O$2,$P$2,HLOOKUP(Table2[[#This Row],[Date]],Funds!$C$10:$GV$11,2,FALSE)))</f>
        <v/>
      </c>
      <c r="J7058" s="215" t="str">
        <f>IF(Table2[[#This Row],[Description]]="","",Table2[[#This Row],[Value]]/Table2[[#This Row],[Conversion]])</f>
        <v/>
      </c>
      <c r="K7058" s="45" t="str">
        <f>IF(Table2[[#This Row],[Description]]="","",DATE(Table2[[#This Row],[Year]],Table2[[#This Row],[Month]],1))</f>
        <v/>
      </c>
    </row>
    <row r="7059" spans="7:11" x14ac:dyDescent="0.25">
      <c r="G7059" s="1" t="str">
        <f>IF(Table2[[#This Row],[Description]]="","",VLOOKUP(Table2[[#This Row],[Description]],$Q$1:$S$101,2,FALSE))</f>
        <v/>
      </c>
      <c r="H7059" s="1" t="str">
        <f>IF(Table2[[#This Row],[Description]]="","",VLOOKUP(Table2[[#This Row],[Description]],$Q$1:$S$101,3,FALSE))</f>
        <v/>
      </c>
      <c r="I7059" s="1" t="str">
        <f>IF(Table2[[#This Row],[Description]]="","",IF(Table2[[#This Row],[Currency]]=$O$2,$P$2,HLOOKUP(Table2[[#This Row],[Date]],Funds!$C$10:$GV$11,2,FALSE)))</f>
        <v/>
      </c>
      <c r="J7059" s="215" t="str">
        <f>IF(Table2[[#This Row],[Description]]="","",Table2[[#This Row],[Value]]/Table2[[#This Row],[Conversion]])</f>
        <v/>
      </c>
      <c r="K7059" s="45" t="str">
        <f>IF(Table2[[#This Row],[Description]]="","",DATE(Table2[[#This Row],[Year]],Table2[[#This Row],[Month]],1))</f>
        <v/>
      </c>
    </row>
    <row r="7060" spans="7:11" x14ac:dyDescent="0.25">
      <c r="G7060" s="1" t="str">
        <f>IF(Table2[[#This Row],[Description]]="","",VLOOKUP(Table2[[#This Row],[Description]],$Q$1:$S$101,2,FALSE))</f>
        <v/>
      </c>
      <c r="H7060" s="1" t="str">
        <f>IF(Table2[[#This Row],[Description]]="","",VLOOKUP(Table2[[#This Row],[Description]],$Q$1:$S$101,3,FALSE))</f>
        <v/>
      </c>
      <c r="I7060" s="1" t="str">
        <f>IF(Table2[[#This Row],[Description]]="","",IF(Table2[[#This Row],[Currency]]=$O$2,$P$2,HLOOKUP(Table2[[#This Row],[Date]],Funds!$C$10:$GV$11,2,FALSE)))</f>
        <v/>
      </c>
      <c r="J7060" s="215" t="str">
        <f>IF(Table2[[#This Row],[Description]]="","",Table2[[#This Row],[Value]]/Table2[[#This Row],[Conversion]])</f>
        <v/>
      </c>
      <c r="K7060" s="45" t="str">
        <f>IF(Table2[[#This Row],[Description]]="","",DATE(Table2[[#This Row],[Year]],Table2[[#This Row],[Month]],1))</f>
        <v/>
      </c>
    </row>
    <row r="7061" spans="7:11" x14ac:dyDescent="0.25">
      <c r="G7061" s="1" t="str">
        <f>IF(Table2[[#This Row],[Description]]="","",VLOOKUP(Table2[[#This Row],[Description]],$Q$1:$S$101,2,FALSE))</f>
        <v/>
      </c>
      <c r="H7061" s="1" t="str">
        <f>IF(Table2[[#This Row],[Description]]="","",VLOOKUP(Table2[[#This Row],[Description]],$Q$1:$S$101,3,FALSE))</f>
        <v/>
      </c>
      <c r="I7061" s="1" t="str">
        <f>IF(Table2[[#This Row],[Description]]="","",IF(Table2[[#This Row],[Currency]]=$O$2,$P$2,HLOOKUP(Table2[[#This Row],[Date]],Funds!$C$10:$GV$11,2,FALSE)))</f>
        <v/>
      </c>
      <c r="J7061" s="215" t="str">
        <f>IF(Table2[[#This Row],[Description]]="","",Table2[[#This Row],[Value]]/Table2[[#This Row],[Conversion]])</f>
        <v/>
      </c>
      <c r="K7061" s="45" t="str">
        <f>IF(Table2[[#This Row],[Description]]="","",DATE(Table2[[#This Row],[Year]],Table2[[#This Row],[Month]],1))</f>
        <v/>
      </c>
    </row>
    <row r="7062" spans="7:11" x14ac:dyDescent="0.25">
      <c r="G7062" s="1" t="str">
        <f>IF(Table2[[#This Row],[Description]]="","",VLOOKUP(Table2[[#This Row],[Description]],$Q$1:$S$101,2,FALSE))</f>
        <v/>
      </c>
      <c r="H7062" s="1" t="str">
        <f>IF(Table2[[#This Row],[Description]]="","",VLOOKUP(Table2[[#This Row],[Description]],$Q$1:$S$101,3,FALSE))</f>
        <v/>
      </c>
      <c r="I7062" s="1" t="str">
        <f>IF(Table2[[#This Row],[Description]]="","",IF(Table2[[#This Row],[Currency]]=$O$2,$P$2,HLOOKUP(Table2[[#This Row],[Date]],Funds!$C$10:$GV$11,2,FALSE)))</f>
        <v/>
      </c>
      <c r="J7062" s="215" t="str">
        <f>IF(Table2[[#This Row],[Description]]="","",Table2[[#This Row],[Value]]/Table2[[#This Row],[Conversion]])</f>
        <v/>
      </c>
      <c r="K7062" s="45" t="str">
        <f>IF(Table2[[#This Row],[Description]]="","",DATE(Table2[[#This Row],[Year]],Table2[[#This Row],[Month]],1))</f>
        <v/>
      </c>
    </row>
    <row r="7063" spans="7:11" x14ac:dyDescent="0.25">
      <c r="G7063" s="1" t="str">
        <f>IF(Table2[[#This Row],[Description]]="","",VLOOKUP(Table2[[#This Row],[Description]],$Q$1:$S$101,2,FALSE))</f>
        <v/>
      </c>
      <c r="H7063" s="1" t="str">
        <f>IF(Table2[[#This Row],[Description]]="","",VLOOKUP(Table2[[#This Row],[Description]],$Q$1:$S$101,3,FALSE))</f>
        <v/>
      </c>
      <c r="I7063" s="1" t="str">
        <f>IF(Table2[[#This Row],[Description]]="","",IF(Table2[[#This Row],[Currency]]=$O$2,$P$2,HLOOKUP(Table2[[#This Row],[Date]],Funds!$C$10:$GV$11,2,FALSE)))</f>
        <v/>
      </c>
      <c r="J7063" s="215" t="str">
        <f>IF(Table2[[#This Row],[Description]]="","",Table2[[#This Row],[Value]]/Table2[[#This Row],[Conversion]])</f>
        <v/>
      </c>
      <c r="K7063" s="45" t="str">
        <f>IF(Table2[[#This Row],[Description]]="","",DATE(Table2[[#This Row],[Year]],Table2[[#This Row],[Month]],1))</f>
        <v/>
      </c>
    </row>
    <row r="7064" spans="7:11" x14ac:dyDescent="0.25">
      <c r="G7064" s="1" t="str">
        <f>IF(Table2[[#This Row],[Description]]="","",VLOOKUP(Table2[[#This Row],[Description]],$Q$1:$S$101,2,FALSE))</f>
        <v/>
      </c>
      <c r="H7064" s="1" t="str">
        <f>IF(Table2[[#This Row],[Description]]="","",VLOOKUP(Table2[[#This Row],[Description]],$Q$1:$S$101,3,FALSE))</f>
        <v/>
      </c>
      <c r="I7064" s="1" t="str">
        <f>IF(Table2[[#This Row],[Description]]="","",IF(Table2[[#This Row],[Currency]]=$O$2,$P$2,HLOOKUP(Table2[[#This Row],[Date]],Funds!$C$10:$GV$11,2,FALSE)))</f>
        <v/>
      </c>
      <c r="J7064" s="215" t="str">
        <f>IF(Table2[[#This Row],[Description]]="","",Table2[[#This Row],[Value]]/Table2[[#This Row],[Conversion]])</f>
        <v/>
      </c>
      <c r="K7064" s="45" t="str">
        <f>IF(Table2[[#This Row],[Description]]="","",DATE(Table2[[#This Row],[Year]],Table2[[#This Row],[Month]],1))</f>
        <v/>
      </c>
    </row>
    <row r="7065" spans="7:11" x14ac:dyDescent="0.25">
      <c r="G7065" s="1" t="str">
        <f>IF(Table2[[#This Row],[Description]]="","",VLOOKUP(Table2[[#This Row],[Description]],$Q$1:$S$101,2,FALSE))</f>
        <v/>
      </c>
      <c r="H7065" s="1" t="str">
        <f>IF(Table2[[#This Row],[Description]]="","",VLOOKUP(Table2[[#This Row],[Description]],$Q$1:$S$101,3,FALSE))</f>
        <v/>
      </c>
      <c r="I7065" s="1" t="str">
        <f>IF(Table2[[#This Row],[Description]]="","",IF(Table2[[#This Row],[Currency]]=$O$2,$P$2,HLOOKUP(Table2[[#This Row],[Date]],Funds!$C$10:$GV$11,2,FALSE)))</f>
        <v/>
      </c>
      <c r="J7065" s="215" t="str">
        <f>IF(Table2[[#This Row],[Description]]="","",Table2[[#This Row],[Value]]/Table2[[#This Row],[Conversion]])</f>
        <v/>
      </c>
      <c r="K7065" s="45" t="str">
        <f>IF(Table2[[#This Row],[Description]]="","",DATE(Table2[[#This Row],[Year]],Table2[[#This Row],[Month]],1))</f>
        <v/>
      </c>
    </row>
    <row r="7066" spans="7:11" x14ac:dyDescent="0.25">
      <c r="G7066" s="1" t="str">
        <f>IF(Table2[[#This Row],[Description]]="","",VLOOKUP(Table2[[#This Row],[Description]],$Q$1:$S$101,2,FALSE))</f>
        <v/>
      </c>
      <c r="H7066" s="1" t="str">
        <f>IF(Table2[[#This Row],[Description]]="","",VLOOKUP(Table2[[#This Row],[Description]],$Q$1:$S$101,3,FALSE))</f>
        <v/>
      </c>
      <c r="I7066" s="1" t="str">
        <f>IF(Table2[[#This Row],[Description]]="","",IF(Table2[[#This Row],[Currency]]=$O$2,$P$2,HLOOKUP(Table2[[#This Row],[Date]],Funds!$C$10:$GV$11,2,FALSE)))</f>
        <v/>
      </c>
      <c r="J7066" s="215" t="str">
        <f>IF(Table2[[#This Row],[Description]]="","",Table2[[#This Row],[Value]]/Table2[[#This Row],[Conversion]])</f>
        <v/>
      </c>
      <c r="K7066" s="45" t="str">
        <f>IF(Table2[[#This Row],[Description]]="","",DATE(Table2[[#This Row],[Year]],Table2[[#This Row],[Month]],1))</f>
        <v/>
      </c>
    </row>
    <row r="7067" spans="7:11" x14ac:dyDescent="0.25">
      <c r="G7067" s="1" t="str">
        <f>IF(Table2[[#This Row],[Description]]="","",VLOOKUP(Table2[[#This Row],[Description]],$Q$1:$S$101,2,FALSE))</f>
        <v/>
      </c>
      <c r="H7067" s="1" t="str">
        <f>IF(Table2[[#This Row],[Description]]="","",VLOOKUP(Table2[[#This Row],[Description]],$Q$1:$S$101,3,FALSE))</f>
        <v/>
      </c>
      <c r="I7067" s="1" t="str">
        <f>IF(Table2[[#This Row],[Description]]="","",IF(Table2[[#This Row],[Currency]]=$O$2,$P$2,HLOOKUP(Table2[[#This Row],[Date]],Funds!$C$10:$GV$11,2,FALSE)))</f>
        <v/>
      </c>
      <c r="J7067" s="215" t="str">
        <f>IF(Table2[[#This Row],[Description]]="","",Table2[[#This Row],[Value]]/Table2[[#This Row],[Conversion]])</f>
        <v/>
      </c>
      <c r="K7067" s="45" t="str">
        <f>IF(Table2[[#This Row],[Description]]="","",DATE(Table2[[#This Row],[Year]],Table2[[#This Row],[Month]],1))</f>
        <v/>
      </c>
    </row>
    <row r="7068" spans="7:11" x14ac:dyDescent="0.25">
      <c r="G7068" s="1" t="str">
        <f>IF(Table2[[#This Row],[Description]]="","",VLOOKUP(Table2[[#This Row],[Description]],$Q$1:$S$101,2,FALSE))</f>
        <v/>
      </c>
      <c r="H7068" s="1" t="str">
        <f>IF(Table2[[#This Row],[Description]]="","",VLOOKUP(Table2[[#This Row],[Description]],$Q$1:$S$101,3,FALSE))</f>
        <v/>
      </c>
      <c r="I7068" s="1" t="str">
        <f>IF(Table2[[#This Row],[Description]]="","",IF(Table2[[#This Row],[Currency]]=$O$2,$P$2,HLOOKUP(Table2[[#This Row],[Date]],Funds!$C$10:$GV$11,2,FALSE)))</f>
        <v/>
      </c>
      <c r="J7068" s="215" t="str">
        <f>IF(Table2[[#This Row],[Description]]="","",Table2[[#This Row],[Value]]/Table2[[#This Row],[Conversion]])</f>
        <v/>
      </c>
      <c r="K7068" s="45" t="str">
        <f>IF(Table2[[#This Row],[Description]]="","",DATE(Table2[[#This Row],[Year]],Table2[[#This Row],[Month]],1))</f>
        <v/>
      </c>
    </row>
    <row r="7069" spans="7:11" x14ac:dyDescent="0.25">
      <c r="G7069" s="1" t="str">
        <f>IF(Table2[[#This Row],[Description]]="","",VLOOKUP(Table2[[#This Row],[Description]],$Q$1:$S$101,2,FALSE))</f>
        <v/>
      </c>
      <c r="H7069" s="1" t="str">
        <f>IF(Table2[[#This Row],[Description]]="","",VLOOKUP(Table2[[#This Row],[Description]],$Q$1:$S$101,3,FALSE))</f>
        <v/>
      </c>
      <c r="I7069" s="1" t="str">
        <f>IF(Table2[[#This Row],[Description]]="","",IF(Table2[[#This Row],[Currency]]=$O$2,$P$2,HLOOKUP(Table2[[#This Row],[Date]],Funds!$C$10:$GV$11,2,FALSE)))</f>
        <v/>
      </c>
      <c r="J7069" s="215" t="str">
        <f>IF(Table2[[#This Row],[Description]]="","",Table2[[#This Row],[Value]]/Table2[[#This Row],[Conversion]])</f>
        <v/>
      </c>
      <c r="K7069" s="45" t="str">
        <f>IF(Table2[[#This Row],[Description]]="","",DATE(Table2[[#This Row],[Year]],Table2[[#This Row],[Month]],1))</f>
        <v/>
      </c>
    </row>
    <row r="7070" spans="7:11" x14ac:dyDescent="0.25">
      <c r="G7070" s="1" t="str">
        <f>IF(Table2[[#This Row],[Description]]="","",VLOOKUP(Table2[[#This Row],[Description]],$Q$1:$S$101,2,FALSE))</f>
        <v/>
      </c>
      <c r="H7070" s="1" t="str">
        <f>IF(Table2[[#This Row],[Description]]="","",VLOOKUP(Table2[[#This Row],[Description]],$Q$1:$S$101,3,FALSE))</f>
        <v/>
      </c>
      <c r="I7070" s="1" t="str">
        <f>IF(Table2[[#This Row],[Description]]="","",IF(Table2[[#This Row],[Currency]]=$O$2,$P$2,HLOOKUP(Table2[[#This Row],[Date]],Funds!$C$10:$GV$11,2,FALSE)))</f>
        <v/>
      </c>
      <c r="J7070" s="215" t="str">
        <f>IF(Table2[[#This Row],[Description]]="","",Table2[[#This Row],[Value]]/Table2[[#This Row],[Conversion]])</f>
        <v/>
      </c>
      <c r="K7070" s="45" t="str">
        <f>IF(Table2[[#This Row],[Description]]="","",DATE(Table2[[#This Row],[Year]],Table2[[#This Row],[Month]],1))</f>
        <v/>
      </c>
    </row>
    <row r="7071" spans="7:11" x14ac:dyDescent="0.25">
      <c r="G7071" s="1" t="str">
        <f>IF(Table2[[#This Row],[Description]]="","",VLOOKUP(Table2[[#This Row],[Description]],$Q$1:$S$101,2,FALSE))</f>
        <v/>
      </c>
      <c r="H7071" s="1" t="str">
        <f>IF(Table2[[#This Row],[Description]]="","",VLOOKUP(Table2[[#This Row],[Description]],$Q$1:$S$101,3,FALSE))</f>
        <v/>
      </c>
      <c r="I7071" s="1" t="str">
        <f>IF(Table2[[#This Row],[Description]]="","",IF(Table2[[#This Row],[Currency]]=$O$2,$P$2,HLOOKUP(Table2[[#This Row],[Date]],Funds!$C$10:$GV$11,2,FALSE)))</f>
        <v/>
      </c>
      <c r="J7071" s="215" t="str">
        <f>IF(Table2[[#This Row],[Description]]="","",Table2[[#This Row],[Value]]/Table2[[#This Row],[Conversion]])</f>
        <v/>
      </c>
      <c r="K7071" s="45" t="str">
        <f>IF(Table2[[#This Row],[Description]]="","",DATE(Table2[[#This Row],[Year]],Table2[[#This Row],[Month]],1))</f>
        <v/>
      </c>
    </row>
    <row r="7072" spans="7:11" x14ac:dyDescent="0.25">
      <c r="G7072" s="1" t="str">
        <f>IF(Table2[[#This Row],[Description]]="","",VLOOKUP(Table2[[#This Row],[Description]],$Q$1:$S$101,2,FALSE))</f>
        <v/>
      </c>
      <c r="H7072" s="1" t="str">
        <f>IF(Table2[[#This Row],[Description]]="","",VLOOKUP(Table2[[#This Row],[Description]],$Q$1:$S$101,3,FALSE))</f>
        <v/>
      </c>
      <c r="I7072" s="1" t="str">
        <f>IF(Table2[[#This Row],[Description]]="","",IF(Table2[[#This Row],[Currency]]=$O$2,$P$2,HLOOKUP(Table2[[#This Row],[Date]],Funds!$C$10:$GV$11,2,FALSE)))</f>
        <v/>
      </c>
      <c r="J7072" s="215" t="str">
        <f>IF(Table2[[#This Row],[Description]]="","",Table2[[#This Row],[Value]]/Table2[[#This Row],[Conversion]])</f>
        <v/>
      </c>
      <c r="K7072" s="45" t="str">
        <f>IF(Table2[[#This Row],[Description]]="","",DATE(Table2[[#This Row],[Year]],Table2[[#This Row],[Month]],1))</f>
        <v/>
      </c>
    </row>
    <row r="7073" spans="7:11" x14ac:dyDescent="0.25">
      <c r="G7073" s="1" t="str">
        <f>IF(Table2[[#This Row],[Description]]="","",VLOOKUP(Table2[[#This Row],[Description]],$Q$1:$S$101,2,FALSE))</f>
        <v/>
      </c>
      <c r="H7073" s="1" t="str">
        <f>IF(Table2[[#This Row],[Description]]="","",VLOOKUP(Table2[[#This Row],[Description]],$Q$1:$S$101,3,FALSE))</f>
        <v/>
      </c>
      <c r="I7073" s="1" t="str">
        <f>IF(Table2[[#This Row],[Description]]="","",IF(Table2[[#This Row],[Currency]]=$O$2,$P$2,HLOOKUP(Table2[[#This Row],[Date]],Funds!$C$10:$GV$11,2,FALSE)))</f>
        <v/>
      </c>
      <c r="J7073" s="215" t="str">
        <f>IF(Table2[[#This Row],[Description]]="","",Table2[[#This Row],[Value]]/Table2[[#This Row],[Conversion]])</f>
        <v/>
      </c>
      <c r="K7073" s="45" t="str">
        <f>IF(Table2[[#This Row],[Description]]="","",DATE(Table2[[#This Row],[Year]],Table2[[#This Row],[Month]],1))</f>
        <v/>
      </c>
    </row>
    <row r="7074" spans="7:11" x14ac:dyDescent="0.25">
      <c r="G7074" s="1" t="str">
        <f>IF(Table2[[#This Row],[Description]]="","",VLOOKUP(Table2[[#This Row],[Description]],$Q$1:$S$101,2,FALSE))</f>
        <v/>
      </c>
      <c r="H7074" s="1" t="str">
        <f>IF(Table2[[#This Row],[Description]]="","",VLOOKUP(Table2[[#This Row],[Description]],$Q$1:$S$101,3,FALSE))</f>
        <v/>
      </c>
      <c r="I7074" s="1" t="str">
        <f>IF(Table2[[#This Row],[Description]]="","",IF(Table2[[#This Row],[Currency]]=$O$2,$P$2,HLOOKUP(Table2[[#This Row],[Date]],Funds!$C$10:$GV$11,2,FALSE)))</f>
        <v/>
      </c>
      <c r="J7074" s="215" t="str">
        <f>IF(Table2[[#This Row],[Description]]="","",Table2[[#This Row],[Value]]/Table2[[#This Row],[Conversion]])</f>
        <v/>
      </c>
      <c r="K7074" s="45" t="str">
        <f>IF(Table2[[#This Row],[Description]]="","",DATE(Table2[[#This Row],[Year]],Table2[[#This Row],[Month]],1))</f>
        <v/>
      </c>
    </row>
    <row r="7075" spans="7:11" x14ac:dyDescent="0.25">
      <c r="G7075" s="1" t="str">
        <f>IF(Table2[[#This Row],[Description]]="","",VLOOKUP(Table2[[#This Row],[Description]],$Q$1:$S$101,2,FALSE))</f>
        <v/>
      </c>
      <c r="H7075" s="1" t="str">
        <f>IF(Table2[[#This Row],[Description]]="","",VLOOKUP(Table2[[#This Row],[Description]],$Q$1:$S$101,3,FALSE))</f>
        <v/>
      </c>
      <c r="I7075" s="1" t="str">
        <f>IF(Table2[[#This Row],[Description]]="","",IF(Table2[[#This Row],[Currency]]=$O$2,$P$2,HLOOKUP(Table2[[#This Row],[Date]],Funds!$C$10:$GV$11,2,FALSE)))</f>
        <v/>
      </c>
      <c r="J7075" s="215" t="str">
        <f>IF(Table2[[#This Row],[Description]]="","",Table2[[#This Row],[Value]]/Table2[[#This Row],[Conversion]])</f>
        <v/>
      </c>
      <c r="K7075" s="45" t="str">
        <f>IF(Table2[[#This Row],[Description]]="","",DATE(Table2[[#This Row],[Year]],Table2[[#This Row],[Month]],1))</f>
        <v/>
      </c>
    </row>
    <row r="7076" spans="7:11" x14ac:dyDescent="0.25">
      <c r="G7076" s="1" t="str">
        <f>IF(Table2[[#This Row],[Description]]="","",VLOOKUP(Table2[[#This Row],[Description]],$Q$1:$S$101,2,FALSE))</f>
        <v/>
      </c>
      <c r="H7076" s="1" t="str">
        <f>IF(Table2[[#This Row],[Description]]="","",VLOOKUP(Table2[[#This Row],[Description]],$Q$1:$S$101,3,FALSE))</f>
        <v/>
      </c>
      <c r="I7076" s="1" t="str">
        <f>IF(Table2[[#This Row],[Description]]="","",IF(Table2[[#This Row],[Currency]]=$O$2,$P$2,HLOOKUP(Table2[[#This Row],[Date]],Funds!$C$10:$GV$11,2,FALSE)))</f>
        <v/>
      </c>
      <c r="J7076" s="215" t="str">
        <f>IF(Table2[[#This Row],[Description]]="","",Table2[[#This Row],[Value]]/Table2[[#This Row],[Conversion]])</f>
        <v/>
      </c>
      <c r="K7076" s="45" t="str">
        <f>IF(Table2[[#This Row],[Description]]="","",DATE(Table2[[#This Row],[Year]],Table2[[#This Row],[Month]],1))</f>
        <v/>
      </c>
    </row>
    <row r="7077" spans="7:11" x14ac:dyDescent="0.25">
      <c r="G7077" s="1" t="str">
        <f>IF(Table2[[#This Row],[Description]]="","",VLOOKUP(Table2[[#This Row],[Description]],$Q$1:$S$101,2,FALSE))</f>
        <v/>
      </c>
      <c r="H7077" s="1" t="str">
        <f>IF(Table2[[#This Row],[Description]]="","",VLOOKUP(Table2[[#This Row],[Description]],$Q$1:$S$101,3,FALSE))</f>
        <v/>
      </c>
      <c r="I7077" s="1" t="str">
        <f>IF(Table2[[#This Row],[Description]]="","",IF(Table2[[#This Row],[Currency]]=$O$2,$P$2,HLOOKUP(Table2[[#This Row],[Date]],Funds!$C$10:$GV$11,2,FALSE)))</f>
        <v/>
      </c>
      <c r="J7077" s="215" t="str">
        <f>IF(Table2[[#This Row],[Description]]="","",Table2[[#This Row],[Value]]/Table2[[#This Row],[Conversion]])</f>
        <v/>
      </c>
      <c r="K7077" s="45" t="str">
        <f>IF(Table2[[#This Row],[Description]]="","",DATE(Table2[[#This Row],[Year]],Table2[[#This Row],[Month]],1))</f>
        <v/>
      </c>
    </row>
    <row r="7078" spans="7:11" x14ac:dyDescent="0.25">
      <c r="G7078" s="1" t="str">
        <f>IF(Table2[[#This Row],[Description]]="","",VLOOKUP(Table2[[#This Row],[Description]],$Q$1:$S$101,2,FALSE))</f>
        <v/>
      </c>
      <c r="H7078" s="1" t="str">
        <f>IF(Table2[[#This Row],[Description]]="","",VLOOKUP(Table2[[#This Row],[Description]],$Q$1:$S$101,3,FALSE))</f>
        <v/>
      </c>
      <c r="I7078" s="1" t="str">
        <f>IF(Table2[[#This Row],[Description]]="","",IF(Table2[[#This Row],[Currency]]=$O$2,$P$2,HLOOKUP(Table2[[#This Row],[Date]],Funds!$C$10:$GV$11,2,FALSE)))</f>
        <v/>
      </c>
      <c r="J7078" s="215" t="str">
        <f>IF(Table2[[#This Row],[Description]]="","",Table2[[#This Row],[Value]]/Table2[[#This Row],[Conversion]])</f>
        <v/>
      </c>
      <c r="K7078" s="45" t="str">
        <f>IF(Table2[[#This Row],[Description]]="","",DATE(Table2[[#This Row],[Year]],Table2[[#This Row],[Month]],1))</f>
        <v/>
      </c>
    </row>
    <row r="7079" spans="7:11" x14ac:dyDescent="0.25">
      <c r="G7079" s="1" t="str">
        <f>IF(Table2[[#This Row],[Description]]="","",VLOOKUP(Table2[[#This Row],[Description]],$Q$1:$S$101,2,FALSE))</f>
        <v/>
      </c>
      <c r="H7079" s="1" t="str">
        <f>IF(Table2[[#This Row],[Description]]="","",VLOOKUP(Table2[[#This Row],[Description]],$Q$1:$S$101,3,FALSE))</f>
        <v/>
      </c>
      <c r="I7079" s="1" t="str">
        <f>IF(Table2[[#This Row],[Description]]="","",IF(Table2[[#This Row],[Currency]]=$O$2,$P$2,HLOOKUP(Table2[[#This Row],[Date]],Funds!$C$10:$GV$11,2,FALSE)))</f>
        <v/>
      </c>
      <c r="J7079" s="215" t="str">
        <f>IF(Table2[[#This Row],[Description]]="","",Table2[[#This Row],[Value]]/Table2[[#This Row],[Conversion]])</f>
        <v/>
      </c>
      <c r="K7079" s="45" t="str">
        <f>IF(Table2[[#This Row],[Description]]="","",DATE(Table2[[#This Row],[Year]],Table2[[#This Row],[Month]],1))</f>
        <v/>
      </c>
    </row>
    <row r="7080" spans="7:11" x14ac:dyDescent="0.25">
      <c r="G7080" s="1" t="str">
        <f>IF(Table2[[#This Row],[Description]]="","",VLOOKUP(Table2[[#This Row],[Description]],$Q$1:$S$101,2,FALSE))</f>
        <v/>
      </c>
      <c r="H7080" s="1" t="str">
        <f>IF(Table2[[#This Row],[Description]]="","",VLOOKUP(Table2[[#This Row],[Description]],$Q$1:$S$101,3,FALSE))</f>
        <v/>
      </c>
      <c r="I7080" s="1" t="str">
        <f>IF(Table2[[#This Row],[Description]]="","",IF(Table2[[#This Row],[Currency]]=$O$2,$P$2,HLOOKUP(Table2[[#This Row],[Date]],Funds!$C$10:$GV$11,2,FALSE)))</f>
        <v/>
      </c>
      <c r="J7080" s="215" t="str">
        <f>IF(Table2[[#This Row],[Description]]="","",Table2[[#This Row],[Value]]/Table2[[#This Row],[Conversion]])</f>
        <v/>
      </c>
      <c r="K7080" s="45" t="str">
        <f>IF(Table2[[#This Row],[Description]]="","",DATE(Table2[[#This Row],[Year]],Table2[[#This Row],[Month]],1))</f>
        <v/>
      </c>
    </row>
    <row r="7081" spans="7:11" x14ac:dyDescent="0.25">
      <c r="G7081" s="1" t="str">
        <f>IF(Table2[[#This Row],[Description]]="","",VLOOKUP(Table2[[#This Row],[Description]],$Q$1:$S$101,2,FALSE))</f>
        <v/>
      </c>
      <c r="H7081" s="1" t="str">
        <f>IF(Table2[[#This Row],[Description]]="","",VLOOKUP(Table2[[#This Row],[Description]],$Q$1:$S$101,3,FALSE))</f>
        <v/>
      </c>
      <c r="I7081" s="1" t="str">
        <f>IF(Table2[[#This Row],[Description]]="","",IF(Table2[[#This Row],[Currency]]=$O$2,$P$2,HLOOKUP(Table2[[#This Row],[Date]],Funds!$C$10:$GV$11,2,FALSE)))</f>
        <v/>
      </c>
      <c r="J7081" s="215" t="str">
        <f>IF(Table2[[#This Row],[Description]]="","",Table2[[#This Row],[Value]]/Table2[[#This Row],[Conversion]])</f>
        <v/>
      </c>
      <c r="K7081" s="45" t="str">
        <f>IF(Table2[[#This Row],[Description]]="","",DATE(Table2[[#This Row],[Year]],Table2[[#This Row],[Month]],1))</f>
        <v/>
      </c>
    </row>
    <row r="7082" spans="7:11" x14ac:dyDescent="0.25">
      <c r="G7082" s="1" t="str">
        <f>IF(Table2[[#This Row],[Description]]="","",VLOOKUP(Table2[[#This Row],[Description]],$Q$1:$S$101,2,FALSE))</f>
        <v/>
      </c>
      <c r="H7082" s="1" t="str">
        <f>IF(Table2[[#This Row],[Description]]="","",VLOOKUP(Table2[[#This Row],[Description]],$Q$1:$S$101,3,FALSE))</f>
        <v/>
      </c>
      <c r="I7082" s="1" t="str">
        <f>IF(Table2[[#This Row],[Description]]="","",IF(Table2[[#This Row],[Currency]]=$O$2,$P$2,HLOOKUP(Table2[[#This Row],[Date]],Funds!$C$10:$GV$11,2,FALSE)))</f>
        <v/>
      </c>
      <c r="J7082" s="215" t="str">
        <f>IF(Table2[[#This Row],[Description]]="","",Table2[[#This Row],[Value]]/Table2[[#This Row],[Conversion]])</f>
        <v/>
      </c>
      <c r="K7082" s="45" t="str">
        <f>IF(Table2[[#This Row],[Description]]="","",DATE(Table2[[#This Row],[Year]],Table2[[#This Row],[Month]],1))</f>
        <v/>
      </c>
    </row>
    <row r="7083" spans="7:11" x14ac:dyDescent="0.25">
      <c r="G7083" s="1" t="str">
        <f>IF(Table2[[#This Row],[Description]]="","",VLOOKUP(Table2[[#This Row],[Description]],$Q$1:$S$101,2,FALSE))</f>
        <v/>
      </c>
      <c r="H7083" s="1" t="str">
        <f>IF(Table2[[#This Row],[Description]]="","",VLOOKUP(Table2[[#This Row],[Description]],$Q$1:$S$101,3,FALSE))</f>
        <v/>
      </c>
      <c r="I7083" s="1" t="str">
        <f>IF(Table2[[#This Row],[Description]]="","",IF(Table2[[#This Row],[Currency]]=$O$2,$P$2,HLOOKUP(Table2[[#This Row],[Date]],Funds!$C$10:$GV$11,2,FALSE)))</f>
        <v/>
      </c>
      <c r="J7083" s="215" t="str">
        <f>IF(Table2[[#This Row],[Description]]="","",Table2[[#This Row],[Value]]/Table2[[#This Row],[Conversion]])</f>
        <v/>
      </c>
      <c r="K7083" s="45" t="str">
        <f>IF(Table2[[#This Row],[Description]]="","",DATE(Table2[[#This Row],[Year]],Table2[[#This Row],[Month]],1))</f>
        <v/>
      </c>
    </row>
    <row r="7084" spans="7:11" x14ac:dyDescent="0.25">
      <c r="G7084" s="1" t="str">
        <f>IF(Table2[[#This Row],[Description]]="","",VLOOKUP(Table2[[#This Row],[Description]],$Q$1:$S$101,2,FALSE))</f>
        <v/>
      </c>
      <c r="H7084" s="1" t="str">
        <f>IF(Table2[[#This Row],[Description]]="","",VLOOKUP(Table2[[#This Row],[Description]],$Q$1:$S$101,3,FALSE))</f>
        <v/>
      </c>
      <c r="I7084" s="1" t="str">
        <f>IF(Table2[[#This Row],[Description]]="","",IF(Table2[[#This Row],[Currency]]=$O$2,$P$2,HLOOKUP(Table2[[#This Row],[Date]],Funds!$C$10:$GV$11,2,FALSE)))</f>
        <v/>
      </c>
      <c r="J7084" s="215" t="str">
        <f>IF(Table2[[#This Row],[Description]]="","",Table2[[#This Row],[Value]]/Table2[[#This Row],[Conversion]])</f>
        <v/>
      </c>
      <c r="K7084" s="45" t="str">
        <f>IF(Table2[[#This Row],[Description]]="","",DATE(Table2[[#This Row],[Year]],Table2[[#This Row],[Month]],1))</f>
        <v/>
      </c>
    </row>
    <row r="7085" spans="7:11" x14ac:dyDescent="0.25">
      <c r="G7085" s="1" t="str">
        <f>IF(Table2[[#This Row],[Description]]="","",VLOOKUP(Table2[[#This Row],[Description]],$Q$1:$S$101,2,FALSE))</f>
        <v/>
      </c>
      <c r="H7085" s="1" t="str">
        <f>IF(Table2[[#This Row],[Description]]="","",VLOOKUP(Table2[[#This Row],[Description]],$Q$1:$S$101,3,FALSE))</f>
        <v/>
      </c>
      <c r="I7085" s="1" t="str">
        <f>IF(Table2[[#This Row],[Description]]="","",IF(Table2[[#This Row],[Currency]]=$O$2,$P$2,HLOOKUP(Table2[[#This Row],[Date]],Funds!$C$10:$GV$11,2,FALSE)))</f>
        <v/>
      </c>
      <c r="J7085" s="215" t="str">
        <f>IF(Table2[[#This Row],[Description]]="","",Table2[[#This Row],[Value]]/Table2[[#This Row],[Conversion]])</f>
        <v/>
      </c>
      <c r="K7085" s="45" t="str">
        <f>IF(Table2[[#This Row],[Description]]="","",DATE(Table2[[#This Row],[Year]],Table2[[#This Row],[Month]],1))</f>
        <v/>
      </c>
    </row>
    <row r="7086" spans="7:11" x14ac:dyDescent="0.25">
      <c r="G7086" s="1" t="str">
        <f>IF(Table2[[#This Row],[Description]]="","",VLOOKUP(Table2[[#This Row],[Description]],$Q$1:$S$101,2,FALSE))</f>
        <v/>
      </c>
      <c r="H7086" s="1" t="str">
        <f>IF(Table2[[#This Row],[Description]]="","",VLOOKUP(Table2[[#This Row],[Description]],$Q$1:$S$101,3,FALSE))</f>
        <v/>
      </c>
      <c r="I7086" s="1" t="str">
        <f>IF(Table2[[#This Row],[Description]]="","",IF(Table2[[#This Row],[Currency]]=$O$2,$P$2,HLOOKUP(Table2[[#This Row],[Date]],Funds!$C$10:$GV$11,2,FALSE)))</f>
        <v/>
      </c>
      <c r="J7086" s="215" t="str">
        <f>IF(Table2[[#This Row],[Description]]="","",Table2[[#This Row],[Value]]/Table2[[#This Row],[Conversion]])</f>
        <v/>
      </c>
      <c r="K7086" s="45" t="str">
        <f>IF(Table2[[#This Row],[Description]]="","",DATE(Table2[[#This Row],[Year]],Table2[[#This Row],[Month]],1))</f>
        <v/>
      </c>
    </row>
    <row r="7087" spans="7:11" x14ac:dyDescent="0.25">
      <c r="G7087" s="1" t="str">
        <f>IF(Table2[[#This Row],[Description]]="","",VLOOKUP(Table2[[#This Row],[Description]],$Q$1:$S$101,2,FALSE))</f>
        <v/>
      </c>
      <c r="H7087" s="1" t="str">
        <f>IF(Table2[[#This Row],[Description]]="","",VLOOKUP(Table2[[#This Row],[Description]],$Q$1:$S$101,3,FALSE))</f>
        <v/>
      </c>
      <c r="I7087" s="1" t="str">
        <f>IF(Table2[[#This Row],[Description]]="","",IF(Table2[[#This Row],[Currency]]=$O$2,$P$2,HLOOKUP(Table2[[#This Row],[Date]],Funds!$C$10:$GV$11,2,FALSE)))</f>
        <v/>
      </c>
      <c r="J7087" s="215" t="str">
        <f>IF(Table2[[#This Row],[Description]]="","",Table2[[#This Row],[Value]]/Table2[[#This Row],[Conversion]])</f>
        <v/>
      </c>
      <c r="K7087" s="45" t="str">
        <f>IF(Table2[[#This Row],[Description]]="","",DATE(Table2[[#This Row],[Year]],Table2[[#This Row],[Month]],1))</f>
        <v/>
      </c>
    </row>
    <row r="7088" spans="7:11" x14ac:dyDescent="0.25">
      <c r="G7088" s="1" t="str">
        <f>IF(Table2[[#This Row],[Description]]="","",VLOOKUP(Table2[[#This Row],[Description]],$Q$1:$S$101,2,FALSE))</f>
        <v/>
      </c>
      <c r="H7088" s="1" t="str">
        <f>IF(Table2[[#This Row],[Description]]="","",VLOOKUP(Table2[[#This Row],[Description]],$Q$1:$S$101,3,FALSE))</f>
        <v/>
      </c>
      <c r="I7088" s="1" t="str">
        <f>IF(Table2[[#This Row],[Description]]="","",IF(Table2[[#This Row],[Currency]]=$O$2,$P$2,HLOOKUP(Table2[[#This Row],[Date]],Funds!$C$10:$GV$11,2,FALSE)))</f>
        <v/>
      </c>
      <c r="J7088" s="215" t="str">
        <f>IF(Table2[[#This Row],[Description]]="","",Table2[[#This Row],[Value]]/Table2[[#This Row],[Conversion]])</f>
        <v/>
      </c>
      <c r="K7088" s="45" t="str">
        <f>IF(Table2[[#This Row],[Description]]="","",DATE(Table2[[#This Row],[Year]],Table2[[#This Row],[Month]],1))</f>
        <v/>
      </c>
    </row>
    <row r="7089" spans="7:11" x14ac:dyDescent="0.25">
      <c r="G7089" s="1" t="str">
        <f>IF(Table2[[#This Row],[Description]]="","",VLOOKUP(Table2[[#This Row],[Description]],$Q$1:$S$101,2,FALSE))</f>
        <v/>
      </c>
      <c r="H7089" s="1" t="str">
        <f>IF(Table2[[#This Row],[Description]]="","",VLOOKUP(Table2[[#This Row],[Description]],$Q$1:$S$101,3,FALSE))</f>
        <v/>
      </c>
      <c r="I7089" s="1" t="str">
        <f>IF(Table2[[#This Row],[Description]]="","",IF(Table2[[#This Row],[Currency]]=$O$2,$P$2,HLOOKUP(Table2[[#This Row],[Date]],Funds!$C$10:$GV$11,2,FALSE)))</f>
        <v/>
      </c>
      <c r="J7089" s="215" t="str">
        <f>IF(Table2[[#This Row],[Description]]="","",Table2[[#This Row],[Value]]/Table2[[#This Row],[Conversion]])</f>
        <v/>
      </c>
      <c r="K7089" s="45" t="str">
        <f>IF(Table2[[#This Row],[Description]]="","",DATE(Table2[[#This Row],[Year]],Table2[[#This Row],[Month]],1))</f>
        <v/>
      </c>
    </row>
    <row r="7090" spans="7:11" x14ac:dyDescent="0.25">
      <c r="G7090" s="1" t="str">
        <f>IF(Table2[[#This Row],[Description]]="","",VLOOKUP(Table2[[#This Row],[Description]],$Q$1:$S$101,2,FALSE))</f>
        <v/>
      </c>
      <c r="H7090" s="1" t="str">
        <f>IF(Table2[[#This Row],[Description]]="","",VLOOKUP(Table2[[#This Row],[Description]],$Q$1:$S$101,3,FALSE))</f>
        <v/>
      </c>
      <c r="I7090" s="1" t="str">
        <f>IF(Table2[[#This Row],[Description]]="","",IF(Table2[[#This Row],[Currency]]=$O$2,$P$2,HLOOKUP(Table2[[#This Row],[Date]],Funds!$C$10:$GV$11,2,FALSE)))</f>
        <v/>
      </c>
      <c r="J7090" s="215" t="str">
        <f>IF(Table2[[#This Row],[Description]]="","",Table2[[#This Row],[Value]]/Table2[[#This Row],[Conversion]])</f>
        <v/>
      </c>
      <c r="K7090" s="45" t="str">
        <f>IF(Table2[[#This Row],[Description]]="","",DATE(Table2[[#This Row],[Year]],Table2[[#This Row],[Month]],1))</f>
        <v/>
      </c>
    </row>
    <row r="7091" spans="7:11" x14ac:dyDescent="0.25">
      <c r="G7091" s="1" t="str">
        <f>IF(Table2[[#This Row],[Description]]="","",VLOOKUP(Table2[[#This Row],[Description]],$Q$1:$S$101,2,FALSE))</f>
        <v/>
      </c>
      <c r="H7091" s="1" t="str">
        <f>IF(Table2[[#This Row],[Description]]="","",VLOOKUP(Table2[[#This Row],[Description]],$Q$1:$S$101,3,FALSE))</f>
        <v/>
      </c>
      <c r="I7091" s="1" t="str">
        <f>IF(Table2[[#This Row],[Description]]="","",IF(Table2[[#This Row],[Currency]]=$O$2,$P$2,HLOOKUP(Table2[[#This Row],[Date]],Funds!$C$10:$GV$11,2,FALSE)))</f>
        <v/>
      </c>
      <c r="J7091" s="215" t="str">
        <f>IF(Table2[[#This Row],[Description]]="","",Table2[[#This Row],[Value]]/Table2[[#This Row],[Conversion]])</f>
        <v/>
      </c>
      <c r="K7091" s="45" t="str">
        <f>IF(Table2[[#This Row],[Description]]="","",DATE(Table2[[#This Row],[Year]],Table2[[#This Row],[Month]],1))</f>
        <v/>
      </c>
    </row>
    <row r="7092" spans="7:11" x14ac:dyDescent="0.25">
      <c r="G7092" s="1" t="str">
        <f>IF(Table2[[#This Row],[Description]]="","",VLOOKUP(Table2[[#This Row],[Description]],$Q$1:$S$101,2,FALSE))</f>
        <v/>
      </c>
      <c r="H7092" s="1" t="str">
        <f>IF(Table2[[#This Row],[Description]]="","",VLOOKUP(Table2[[#This Row],[Description]],$Q$1:$S$101,3,FALSE))</f>
        <v/>
      </c>
      <c r="I7092" s="1" t="str">
        <f>IF(Table2[[#This Row],[Description]]="","",IF(Table2[[#This Row],[Currency]]=$O$2,$P$2,HLOOKUP(Table2[[#This Row],[Date]],Funds!$C$10:$GV$11,2,FALSE)))</f>
        <v/>
      </c>
      <c r="J7092" s="215" t="str">
        <f>IF(Table2[[#This Row],[Description]]="","",Table2[[#This Row],[Value]]/Table2[[#This Row],[Conversion]])</f>
        <v/>
      </c>
      <c r="K7092" s="45" t="str">
        <f>IF(Table2[[#This Row],[Description]]="","",DATE(Table2[[#This Row],[Year]],Table2[[#This Row],[Month]],1))</f>
        <v/>
      </c>
    </row>
    <row r="7093" spans="7:11" x14ac:dyDescent="0.25">
      <c r="G7093" s="1" t="str">
        <f>IF(Table2[[#This Row],[Description]]="","",VLOOKUP(Table2[[#This Row],[Description]],$Q$1:$S$101,2,FALSE))</f>
        <v/>
      </c>
      <c r="H7093" s="1" t="str">
        <f>IF(Table2[[#This Row],[Description]]="","",VLOOKUP(Table2[[#This Row],[Description]],$Q$1:$S$101,3,FALSE))</f>
        <v/>
      </c>
      <c r="I7093" s="1" t="str">
        <f>IF(Table2[[#This Row],[Description]]="","",IF(Table2[[#This Row],[Currency]]=$O$2,$P$2,HLOOKUP(Table2[[#This Row],[Date]],Funds!$C$10:$GV$11,2,FALSE)))</f>
        <v/>
      </c>
      <c r="J7093" s="215" t="str">
        <f>IF(Table2[[#This Row],[Description]]="","",Table2[[#This Row],[Value]]/Table2[[#This Row],[Conversion]])</f>
        <v/>
      </c>
      <c r="K7093" s="45" t="str">
        <f>IF(Table2[[#This Row],[Description]]="","",DATE(Table2[[#This Row],[Year]],Table2[[#This Row],[Month]],1))</f>
        <v/>
      </c>
    </row>
    <row r="7094" spans="7:11" x14ac:dyDescent="0.25">
      <c r="G7094" s="1" t="str">
        <f>IF(Table2[[#This Row],[Description]]="","",VLOOKUP(Table2[[#This Row],[Description]],$Q$1:$S$101,2,FALSE))</f>
        <v/>
      </c>
      <c r="H7094" s="1" t="str">
        <f>IF(Table2[[#This Row],[Description]]="","",VLOOKUP(Table2[[#This Row],[Description]],$Q$1:$S$101,3,FALSE))</f>
        <v/>
      </c>
      <c r="I7094" s="1" t="str">
        <f>IF(Table2[[#This Row],[Description]]="","",IF(Table2[[#This Row],[Currency]]=$O$2,$P$2,HLOOKUP(Table2[[#This Row],[Date]],Funds!$C$10:$GV$11,2,FALSE)))</f>
        <v/>
      </c>
      <c r="J7094" s="215" t="str">
        <f>IF(Table2[[#This Row],[Description]]="","",Table2[[#This Row],[Value]]/Table2[[#This Row],[Conversion]])</f>
        <v/>
      </c>
      <c r="K7094" s="45" t="str">
        <f>IF(Table2[[#This Row],[Description]]="","",DATE(Table2[[#This Row],[Year]],Table2[[#This Row],[Month]],1))</f>
        <v/>
      </c>
    </row>
    <row r="7095" spans="7:11" x14ac:dyDescent="0.25">
      <c r="G7095" s="1" t="str">
        <f>IF(Table2[[#This Row],[Description]]="","",VLOOKUP(Table2[[#This Row],[Description]],$Q$1:$S$101,2,FALSE))</f>
        <v/>
      </c>
      <c r="H7095" s="1" t="str">
        <f>IF(Table2[[#This Row],[Description]]="","",VLOOKUP(Table2[[#This Row],[Description]],$Q$1:$S$101,3,FALSE))</f>
        <v/>
      </c>
      <c r="I7095" s="1" t="str">
        <f>IF(Table2[[#This Row],[Description]]="","",IF(Table2[[#This Row],[Currency]]=$O$2,$P$2,HLOOKUP(Table2[[#This Row],[Date]],Funds!$C$10:$GV$11,2,FALSE)))</f>
        <v/>
      </c>
      <c r="J7095" s="215" t="str">
        <f>IF(Table2[[#This Row],[Description]]="","",Table2[[#This Row],[Value]]/Table2[[#This Row],[Conversion]])</f>
        <v/>
      </c>
      <c r="K7095" s="45" t="str">
        <f>IF(Table2[[#This Row],[Description]]="","",DATE(Table2[[#This Row],[Year]],Table2[[#This Row],[Month]],1))</f>
        <v/>
      </c>
    </row>
    <row r="7096" spans="7:11" x14ac:dyDescent="0.25">
      <c r="G7096" s="1" t="str">
        <f>IF(Table2[[#This Row],[Description]]="","",VLOOKUP(Table2[[#This Row],[Description]],$Q$1:$S$101,2,FALSE))</f>
        <v/>
      </c>
      <c r="H7096" s="1" t="str">
        <f>IF(Table2[[#This Row],[Description]]="","",VLOOKUP(Table2[[#This Row],[Description]],$Q$1:$S$101,3,FALSE))</f>
        <v/>
      </c>
      <c r="I7096" s="1" t="str">
        <f>IF(Table2[[#This Row],[Description]]="","",IF(Table2[[#This Row],[Currency]]=$O$2,$P$2,HLOOKUP(Table2[[#This Row],[Date]],Funds!$C$10:$GV$11,2,FALSE)))</f>
        <v/>
      </c>
      <c r="J7096" s="215" t="str">
        <f>IF(Table2[[#This Row],[Description]]="","",Table2[[#This Row],[Value]]/Table2[[#This Row],[Conversion]])</f>
        <v/>
      </c>
      <c r="K7096" s="45" t="str">
        <f>IF(Table2[[#This Row],[Description]]="","",DATE(Table2[[#This Row],[Year]],Table2[[#This Row],[Month]],1))</f>
        <v/>
      </c>
    </row>
    <row r="7097" spans="7:11" x14ac:dyDescent="0.25">
      <c r="G7097" s="1" t="str">
        <f>IF(Table2[[#This Row],[Description]]="","",VLOOKUP(Table2[[#This Row],[Description]],$Q$1:$S$101,2,FALSE))</f>
        <v/>
      </c>
      <c r="H7097" s="1" t="str">
        <f>IF(Table2[[#This Row],[Description]]="","",VLOOKUP(Table2[[#This Row],[Description]],$Q$1:$S$101,3,FALSE))</f>
        <v/>
      </c>
      <c r="I7097" s="1" t="str">
        <f>IF(Table2[[#This Row],[Description]]="","",IF(Table2[[#This Row],[Currency]]=$O$2,$P$2,HLOOKUP(Table2[[#This Row],[Date]],Funds!$C$10:$GV$11,2,FALSE)))</f>
        <v/>
      </c>
      <c r="J7097" s="215" t="str">
        <f>IF(Table2[[#This Row],[Description]]="","",Table2[[#This Row],[Value]]/Table2[[#This Row],[Conversion]])</f>
        <v/>
      </c>
      <c r="K7097" s="45" t="str">
        <f>IF(Table2[[#This Row],[Description]]="","",DATE(Table2[[#This Row],[Year]],Table2[[#This Row],[Month]],1))</f>
        <v/>
      </c>
    </row>
    <row r="7098" spans="7:11" x14ac:dyDescent="0.25">
      <c r="G7098" s="1" t="str">
        <f>IF(Table2[[#This Row],[Description]]="","",VLOOKUP(Table2[[#This Row],[Description]],$Q$1:$S$101,2,FALSE))</f>
        <v/>
      </c>
      <c r="H7098" s="1" t="str">
        <f>IF(Table2[[#This Row],[Description]]="","",VLOOKUP(Table2[[#This Row],[Description]],$Q$1:$S$101,3,FALSE))</f>
        <v/>
      </c>
      <c r="I7098" s="1" t="str">
        <f>IF(Table2[[#This Row],[Description]]="","",IF(Table2[[#This Row],[Currency]]=$O$2,$P$2,HLOOKUP(Table2[[#This Row],[Date]],Funds!$C$10:$GV$11,2,FALSE)))</f>
        <v/>
      </c>
      <c r="J7098" s="215" t="str">
        <f>IF(Table2[[#This Row],[Description]]="","",Table2[[#This Row],[Value]]/Table2[[#This Row],[Conversion]])</f>
        <v/>
      </c>
      <c r="K7098" s="45" t="str">
        <f>IF(Table2[[#This Row],[Description]]="","",DATE(Table2[[#This Row],[Year]],Table2[[#This Row],[Month]],1))</f>
        <v/>
      </c>
    </row>
    <row r="7099" spans="7:11" x14ac:dyDescent="0.25">
      <c r="G7099" s="1" t="str">
        <f>IF(Table2[[#This Row],[Description]]="","",VLOOKUP(Table2[[#This Row],[Description]],$Q$1:$S$101,2,FALSE))</f>
        <v/>
      </c>
      <c r="H7099" s="1" t="str">
        <f>IF(Table2[[#This Row],[Description]]="","",VLOOKUP(Table2[[#This Row],[Description]],$Q$1:$S$101,3,FALSE))</f>
        <v/>
      </c>
      <c r="I7099" s="1" t="str">
        <f>IF(Table2[[#This Row],[Description]]="","",IF(Table2[[#This Row],[Currency]]=$O$2,$P$2,HLOOKUP(Table2[[#This Row],[Date]],Funds!$C$10:$GV$11,2,FALSE)))</f>
        <v/>
      </c>
      <c r="J7099" s="215" t="str">
        <f>IF(Table2[[#This Row],[Description]]="","",Table2[[#This Row],[Value]]/Table2[[#This Row],[Conversion]])</f>
        <v/>
      </c>
      <c r="K7099" s="45" t="str">
        <f>IF(Table2[[#This Row],[Description]]="","",DATE(Table2[[#This Row],[Year]],Table2[[#This Row],[Month]],1))</f>
        <v/>
      </c>
    </row>
    <row r="7100" spans="7:11" x14ac:dyDescent="0.25">
      <c r="G7100" s="1" t="str">
        <f>IF(Table2[[#This Row],[Description]]="","",VLOOKUP(Table2[[#This Row],[Description]],$Q$1:$S$101,2,FALSE))</f>
        <v/>
      </c>
      <c r="H7100" s="1" t="str">
        <f>IF(Table2[[#This Row],[Description]]="","",VLOOKUP(Table2[[#This Row],[Description]],$Q$1:$S$101,3,FALSE))</f>
        <v/>
      </c>
      <c r="I7100" s="1" t="str">
        <f>IF(Table2[[#This Row],[Description]]="","",IF(Table2[[#This Row],[Currency]]=$O$2,$P$2,HLOOKUP(Table2[[#This Row],[Date]],Funds!$C$10:$GV$11,2,FALSE)))</f>
        <v/>
      </c>
      <c r="J7100" s="215" t="str">
        <f>IF(Table2[[#This Row],[Description]]="","",Table2[[#This Row],[Value]]/Table2[[#This Row],[Conversion]])</f>
        <v/>
      </c>
      <c r="K7100" s="45" t="str">
        <f>IF(Table2[[#This Row],[Description]]="","",DATE(Table2[[#This Row],[Year]],Table2[[#This Row],[Month]],1))</f>
        <v/>
      </c>
    </row>
    <row r="7101" spans="7:11" x14ac:dyDescent="0.25">
      <c r="G7101" s="1" t="str">
        <f>IF(Table2[[#This Row],[Description]]="","",VLOOKUP(Table2[[#This Row],[Description]],$Q$1:$S$101,2,FALSE))</f>
        <v/>
      </c>
      <c r="H7101" s="1" t="str">
        <f>IF(Table2[[#This Row],[Description]]="","",VLOOKUP(Table2[[#This Row],[Description]],$Q$1:$S$101,3,FALSE))</f>
        <v/>
      </c>
      <c r="I7101" s="1" t="str">
        <f>IF(Table2[[#This Row],[Description]]="","",IF(Table2[[#This Row],[Currency]]=$O$2,$P$2,HLOOKUP(Table2[[#This Row],[Date]],Funds!$C$10:$GV$11,2,FALSE)))</f>
        <v/>
      </c>
      <c r="J7101" s="215" t="str">
        <f>IF(Table2[[#This Row],[Description]]="","",Table2[[#This Row],[Value]]/Table2[[#This Row],[Conversion]])</f>
        <v/>
      </c>
      <c r="K7101" s="45" t="str">
        <f>IF(Table2[[#This Row],[Description]]="","",DATE(Table2[[#This Row],[Year]],Table2[[#This Row],[Month]],1))</f>
        <v/>
      </c>
    </row>
    <row r="7102" spans="7:11" x14ac:dyDescent="0.25">
      <c r="G7102" s="1" t="str">
        <f>IF(Table2[[#This Row],[Description]]="","",VLOOKUP(Table2[[#This Row],[Description]],$Q$1:$S$101,2,FALSE))</f>
        <v/>
      </c>
      <c r="H7102" s="1" t="str">
        <f>IF(Table2[[#This Row],[Description]]="","",VLOOKUP(Table2[[#This Row],[Description]],$Q$1:$S$101,3,FALSE))</f>
        <v/>
      </c>
      <c r="I7102" s="1" t="str">
        <f>IF(Table2[[#This Row],[Description]]="","",IF(Table2[[#This Row],[Currency]]=$O$2,$P$2,HLOOKUP(Table2[[#This Row],[Date]],Funds!$C$10:$GV$11,2,FALSE)))</f>
        <v/>
      </c>
      <c r="J7102" s="215" t="str">
        <f>IF(Table2[[#This Row],[Description]]="","",Table2[[#This Row],[Value]]/Table2[[#This Row],[Conversion]])</f>
        <v/>
      </c>
      <c r="K7102" s="45" t="str">
        <f>IF(Table2[[#This Row],[Description]]="","",DATE(Table2[[#This Row],[Year]],Table2[[#This Row],[Month]],1))</f>
        <v/>
      </c>
    </row>
    <row r="7103" spans="7:11" x14ac:dyDescent="0.25">
      <c r="G7103" s="1" t="str">
        <f>IF(Table2[[#This Row],[Description]]="","",VLOOKUP(Table2[[#This Row],[Description]],$Q$1:$S$101,2,FALSE))</f>
        <v/>
      </c>
      <c r="H7103" s="1" t="str">
        <f>IF(Table2[[#This Row],[Description]]="","",VLOOKUP(Table2[[#This Row],[Description]],$Q$1:$S$101,3,FALSE))</f>
        <v/>
      </c>
      <c r="I7103" s="1" t="str">
        <f>IF(Table2[[#This Row],[Description]]="","",IF(Table2[[#This Row],[Currency]]=$O$2,$P$2,HLOOKUP(Table2[[#This Row],[Date]],Funds!$C$10:$GV$11,2,FALSE)))</f>
        <v/>
      </c>
      <c r="J7103" s="215" t="str">
        <f>IF(Table2[[#This Row],[Description]]="","",Table2[[#This Row],[Value]]/Table2[[#This Row],[Conversion]])</f>
        <v/>
      </c>
      <c r="K7103" s="45" t="str">
        <f>IF(Table2[[#This Row],[Description]]="","",DATE(Table2[[#This Row],[Year]],Table2[[#This Row],[Month]],1))</f>
        <v/>
      </c>
    </row>
    <row r="7104" spans="7:11" x14ac:dyDescent="0.25">
      <c r="G7104" s="1" t="str">
        <f>IF(Table2[[#This Row],[Description]]="","",VLOOKUP(Table2[[#This Row],[Description]],$Q$1:$S$101,2,FALSE))</f>
        <v/>
      </c>
      <c r="H7104" s="1" t="str">
        <f>IF(Table2[[#This Row],[Description]]="","",VLOOKUP(Table2[[#This Row],[Description]],$Q$1:$S$101,3,FALSE))</f>
        <v/>
      </c>
      <c r="I7104" s="1" t="str">
        <f>IF(Table2[[#This Row],[Description]]="","",IF(Table2[[#This Row],[Currency]]=$O$2,$P$2,HLOOKUP(Table2[[#This Row],[Date]],Funds!$C$10:$GV$11,2,FALSE)))</f>
        <v/>
      </c>
      <c r="J7104" s="215" t="str">
        <f>IF(Table2[[#This Row],[Description]]="","",Table2[[#This Row],[Value]]/Table2[[#This Row],[Conversion]])</f>
        <v/>
      </c>
      <c r="K7104" s="45" t="str">
        <f>IF(Table2[[#This Row],[Description]]="","",DATE(Table2[[#This Row],[Year]],Table2[[#This Row],[Month]],1))</f>
        <v/>
      </c>
    </row>
    <row r="7105" spans="7:11" x14ac:dyDescent="0.25">
      <c r="G7105" s="1" t="str">
        <f>IF(Table2[[#This Row],[Description]]="","",VLOOKUP(Table2[[#This Row],[Description]],$Q$1:$S$101,2,FALSE))</f>
        <v/>
      </c>
      <c r="H7105" s="1" t="str">
        <f>IF(Table2[[#This Row],[Description]]="","",VLOOKUP(Table2[[#This Row],[Description]],$Q$1:$S$101,3,FALSE))</f>
        <v/>
      </c>
      <c r="I7105" s="1" t="str">
        <f>IF(Table2[[#This Row],[Description]]="","",IF(Table2[[#This Row],[Currency]]=$O$2,$P$2,HLOOKUP(Table2[[#This Row],[Date]],Funds!$C$10:$GV$11,2,FALSE)))</f>
        <v/>
      </c>
      <c r="J7105" s="215" t="str">
        <f>IF(Table2[[#This Row],[Description]]="","",Table2[[#This Row],[Value]]/Table2[[#This Row],[Conversion]])</f>
        <v/>
      </c>
      <c r="K7105" s="45" t="str">
        <f>IF(Table2[[#This Row],[Description]]="","",DATE(Table2[[#This Row],[Year]],Table2[[#This Row],[Month]],1))</f>
        <v/>
      </c>
    </row>
    <row r="7106" spans="7:11" x14ac:dyDescent="0.25">
      <c r="G7106" s="1" t="str">
        <f>IF(Table2[[#This Row],[Description]]="","",VLOOKUP(Table2[[#This Row],[Description]],$Q$1:$S$101,2,FALSE))</f>
        <v/>
      </c>
      <c r="H7106" s="1" t="str">
        <f>IF(Table2[[#This Row],[Description]]="","",VLOOKUP(Table2[[#This Row],[Description]],$Q$1:$S$101,3,FALSE))</f>
        <v/>
      </c>
      <c r="I7106" s="1" t="str">
        <f>IF(Table2[[#This Row],[Description]]="","",IF(Table2[[#This Row],[Currency]]=$O$2,$P$2,HLOOKUP(Table2[[#This Row],[Date]],Funds!$C$10:$GV$11,2,FALSE)))</f>
        <v/>
      </c>
      <c r="J7106" s="215" t="str">
        <f>IF(Table2[[#This Row],[Description]]="","",Table2[[#This Row],[Value]]/Table2[[#This Row],[Conversion]])</f>
        <v/>
      </c>
      <c r="K7106" s="45" t="str">
        <f>IF(Table2[[#This Row],[Description]]="","",DATE(Table2[[#This Row],[Year]],Table2[[#This Row],[Month]],1))</f>
        <v/>
      </c>
    </row>
    <row r="7107" spans="7:11" x14ac:dyDescent="0.25">
      <c r="G7107" s="1" t="str">
        <f>IF(Table2[[#This Row],[Description]]="","",VLOOKUP(Table2[[#This Row],[Description]],$Q$1:$S$101,2,FALSE))</f>
        <v/>
      </c>
      <c r="H7107" s="1" t="str">
        <f>IF(Table2[[#This Row],[Description]]="","",VLOOKUP(Table2[[#This Row],[Description]],$Q$1:$S$101,3,FALSE))</f>
        <v/>
      </c>
      <c r="I7107" s="1" t="str">
        <f>IF(Table2[[#This Row],[Description]]="","",IF(Table2[[#This Row],[Currency]]=$O$2,$P$2,HLOOKUP(Table2[[#This Row],[Date]],Funds!$C$10:$GV$11,2,FALSE)))</f>
        <v/>
      </c>
      <c r="J7107" s="215" t="str">
        <f>IF(Table2[[#This Row],[Description]]="","",Table2[[#This Row],[Value]]/Table2[[#This Row],[Conversion]])</f>
        <v/>
      </c>
      <c r="K7107" s="45" t="str">
        <f>IF(Table2[[#This Row],[Description]]="","",DATE(Table2[[#This Row],[Year]],Table2[[#This Row],[Month]],1))</f>
        <v/>
      </c>
    </row>
    <row r="7108" spans="7:11" x14ac:dyDescent="0.25">
      <c r="G7108" s="1" t="str">
        <f>IF(Table2[[#This Row],[Description]]="","",VLOOKUP(Table2[[#This Row],[Description]],$Q$1:$S$101,2,FALSE))</f>
        <v/>
      </c>
      <c r="H7108" s="1" t="str">
        <f>IF(Table2[[#This Row],[Description]]="","",VLOOKUP(Table2[[#This Row],[Description]],$Q$1:$S$101,3,FALSE))</f>
        <v/>
      </c>
      <c r="I7108" s="1" t="str">
        <f>IF(Table2[[#This Row],[Description]]="","",IF(Table2[[#This Row],[Currency]]=$O$2,$P$2,HLOOKUP(Table2[[#This Row],[Date]],Funds!$C$10:$GV$11,2,FALSE)))</f>
        <v/>
      </c>
      <c r="J7108" s="215" t="str">
        <f>IF(Table2[[#This Row],[Description]]="","",Table2[[#This Row],[Value]]/Table2[[#This Row],[Conversion]])</f>
        <v/>
      </c>
      <c r="K7108" s="45" t="str">
        <f>IF(Table2[[#This Row],[Description]]="","",DATE(Table2[[#This Row],[Year]],Table2[[#This Row],[Month]],1))</f>
        <v/>
      </c>
    </row>
    <row r="7109" spans="7:11" x14ac:dyDescent="0.25">
      <c r="G7109" s="1" t="str">
        <f>IF(Table2[[#This Row],[Description]]="","",VLOOKUP(Table2[[#This Row],[Description]],$Q$1:$S$101,2,FALSE))</f>
        <v/>
      </c>
      <c r="H7109" s="1" t="str">
        <f>IF(Table2[[#This Row],[Description]]="","",VLOOKUP(Table2[[#This Row],[Description]],$Q$1:$S$101,3,FALSE))</f>
        <v/>
      </c>
      <c r="I7109" s="1" t="str">
        <f>IF(Table2[[#This Row],[Description]]="","",IF(Table2[[#This Row],[Currency]]=$O$2,$P$2,HLOOKUP(Table2[[#This Row],[Date]],Funds!$C$10:$GV$11,2,FALSE)))</f>
        <v/>
      </c>
      <c r="J7109" s="215" t="str">
        <f>IF(Table2[[#This Row],[Description]]="","",Table2[[#This Row],[Value]]/Table2[[#This Row],[Conversion]])</f>
        <v/>
      </c>
      <c r="K7109" s="45" t="str">
        <f>IF(Table2[[#This Row],[Description]]="","",DATE(Table2[[#This Row],[Year]],Table2[[#This Row],[Month]],1))</f>
        <v/>
      </c>
    </row>
    <row r="7110" spans="7:11" x14ac:dyDescent="0.25">
      <c r="G7110" s="1" t="str">
        <f>IF(Table2[[#This Row],[Description]]="","",VLOOKUP(Table2[[#This Row],[Description]],$Q$1:$S$101,2,FALSE))</f>
        <v/>
      </c>
      <c r="H7110" s="1" t="str">
        <f>IF(Table2[[#This Row],[Description]]="","",VLOOKUP(Table2[[#This Row],[Description]],$Q$1:$S$101,3,FALSE))</f>
        <v/>
      </c>
      <c r="I7110" s="1" t="str">
        <f>IF(Table2[[#This Row],[Description]]="","",IF(Table2[[#This Row],[Currency]]=$O$2,$P$2,HLOOKUP(Table2[[#This Row],[Date]],Funds!$C$10:$GV$11,2,FALSE)))</f>
        <v/>
      </c>
      <c r="J7110" s="215" t="str">
        <f>IF(Table2[[#This Row],[Description]]="","",Table2[[#This Row],[Value]]/Table2[[#This Row],[Conversion]])</f>
        <v/>
      </c>
      <c r="K7110" s="45" t="str">
        <f>IF(Table2[[#This Row],[Description]]="","",DATE(Table2[[#This Row],[Year]],Table2[[#This Row],[Month]],1))</f>
        <v/>
      </c>
    </row>
    <row r="7111" spans="7:11" x14ac:dyDescent="0.25">
      <c r="G7111" s="1" t="str">
        <f>IF(Table2[[#This Row],[Description]]="","",VLOOKUP(Table2[[#This Row],[Description]],$Q$1:$S$101,2,FALSE))</f>
        <v/>
      </c>
      <c r="H7111" s="1" t="str">
        <f>IF(Table2[[#This Row],[Description]]="","",VLOOKUP(Table2[[#This Row],[Description]],$Q$1:$S$101,3,FALSE))</f>
        <v/>
      </c>
      <c r="I7111" s="1" t="str">
        <f>IF(Table2[[#This Row],[Description]]="","",IF(Table2[[#This Row],[Currency]]=$O$2,$P$2,HLOOKUP(Table2[[#This Row],[Date]],Funds!$C$10:$GV$11,2,FALSE)))</f>
        <v/>
      </c>
      <c r="J7111" s="215" t="str">
        <f>IF(Table2[[#This Row],[Description]]="","",Table2[[#This Row],[Value]]/Table2[[#This Row],[Conversion]])</f>
        <v/>
      </c>
      <c r="K7111" s="45" t="str">
        <f>IF(Table2[[#This Row],[Description]]="","",DATE(Table2[[#This Row],[Year]],Table2[[#This Row],[Month]],1))</f>
        <v/>
      </c>
    </row>
    <row r="7112" spans="7:11" x14ac:dyDescent="0.25">
      <c r="G7112" s="1" t="str">
        <f>IF(Table2[[#This Row],[Description]]="","",VLOOKUP(Table2[[#This Row],[Description]],$Q$1:$S$101,2,FALSE))</f>
        <v/>
      </c>
      <c r="H7112" s="1" t="str">
        <f>IF(Table2[[#This Row],[Description]]="","",VLOOKUP(Table2[[#This Row],[Description]],$Q$1:$S$101,3,FALSE))</f>
        <v/>
      </c>
      <c r="I7112" s="1" t="str">
        <f>IF(Table2[[#This Row],[Description]]="","",IF(Table2[[#This Row],[Currency]]=$O$2,$P$2,HLOOKUP(Table2[[#This Row],[Date]],Funds!$C$10:$GV$11,2,FALSE)))</f>
        <v/>
      </c>
      <c r="J7112" s="215" t="str">
        <f>IF(Table2[[#This Row],[Description]]="","",Table2[[#This Row],[Value]]/Table2[[#This Row],[Conversion]])</f>
        <v/>
      </c>
      <c r="K7112" s="45" t="str">
        <f>IF(Table2[[#This Row],[Description]]="","",DATE(Table2[[#This Row],[Year]],Table2[[#This Row],[Month]],1))</f>
        <v/>
      </c>
    </row>
    <row r="7113" spans="7:11" x14ac:dyDescent="0.25">
      <c r="G7113" s="1" t="str">
        <f>IF(Table2[[#This Row],[Description]]="","",VLOOKUP(Table2[[#This Row],[Description]],$Q$1:$S$101,2,FALSE))</f>
        <v/>
      </c>
      <c r="H7113" s="1" t="str">
        <f>IF(Table2[[#This Row],[Description]]="","",VLOOKUP(Table2[[#This Row],[Description]],$Q$1:$S$101,3,FALSE))</f>
        <v/>
      </c>
      <c r="I7113" s="1" t="str">
        <f>IF(Table2[[#This Row],[Description]]="","",IF(Table2[[#This Row],[Currency]]=$O$2,$P$2,HLOOKUP(Table2[[#This Row],[Date]],Funds!$C$10:$GV$11,2,FALSE)))</f>
        <v/>
      </c>
      <c r="J7113" s="215" t="str">
        <f>IF(Table2[[#This Row],[Description]]="","",Table2[[#This Row],[Value]]/Table2[[#This Row],[Conversion]])</f>
        <v/>
      </c>
      <c r="K7113" s="45" t="str">
        <f>IF(Table2[[#This Row],[Description]]="","",DATE(Table2[[#This Row],[Year]],Table2[[#This Row],[Month]],1))</f>
        <v/>
      </c>
    </row>
    <row r="7114" spans="7:11" x14ac:dyDescent="0.25">
      <c r="G7114" s="1" t="str">
        <f>IF(Table2[[#This Row],[Description]]="","",VLOOKUP(Table2[[#This Row],[Description]],$Q$1:$S$101,2,FALSE))</f>
        <v/>
      </c>
      <c r="H7114" s="1" t="str">
        <f>IF(Table2[[#This Row],[Description]]="","",VLOOKUP(Table2[[#This Row],[Description]],$Q$1:$S$101,3,FALSE))</f>
        <v/>
      </c>
      <c r="I7114" s="1" t="str">
        <f>IF(Table2[[#This Row],[Description]]="","",IF(Table2[[#This Row],[Currency]]=$O$2,$P$2,HLOOKUP(Table2[[#This Row],[Date]],Funds!$C$10:$GV$11,2,FALSE)))</f>
        <v/>
      </c>
      <c r="J7114" s="215" t="str">
        <f>IF(Table2[[#This Row],[Description]]="","",Table2[[#This Row],[Value]]/Table2[[#This Row],[Conversion]])</f>
        <v/>
      </c>
      <c r="K7114" s="45" t="str">
        <f>IF(Table2[[#This Row],[Description]]="","",DATE(Table2[[#This Row],[Year]],Table2[[#This Row],[Month]],1))</f>
        <v/>
      </c>
    </row>
    <row r="7115" spans="7:11" x14ac:dyDescent="0.25">
      <c r="G7115" s="1" t="str">
        <f>IF(Table2[[#This Row],[Description]]="","",VLOOKUP(Table2[[#This Row],[Description]],$Q$1:$S$101,2,FALSE))</f>
        <v/>
      </c>
      <c r="H7115" s="1" t="str">
        <f>IF(Table2[[#This Row],[Description]]="","",VLOOKUP(Table2[[#This Row],[Description]],$Q$1:$S$101,3,FALSE))</f>
        <v/>
      </c>
      <c r="I7115" s="1" t="str">
        <f>IF(Table2[[#This Row],[Description]]="","",IF(Table2[[#This Row],[Currency]]=$O$2,$P$2,HLOOKUP(Table2[[#This Row],[Date]],Funds!$C$10:$GV$11,2,FALSE)))</f>
        <v/>
      </c>
      <c r="J7115" s="215" t="str">
        <f>IF(Table2[[#This Row],[Description]]="","",Table2[[#This Row],[Value]]/Table2[[#This Row],[Conversion]])</f>
        <v/>
      </c>
      <c r="K7115" s="45" t="str">
        <f>IF(Table2[[#This Row],[Description]]="","",DATE(Table2[[#This Row],[Year]],Table2[[#This Row],[Month]],1))</f>
        <v/>
      </c>
    </row>
    <row r="7116" spans="7:11" x14ac:dyDescent="0.25">
      <c r="G7116" s="1" t="str">
        <f>IF(Table2[[#This Row],[Description]]="","",VLOOKUP(Table2[[#This Row],[Description]],$Q$1:$S$101,2,FALSE))</f>
        <v/>
      </c>
      <c r="H7116" s="1" t="str">
        <f>IF(Table2[[#This Row],[Description]]="","",VLOOKUP(Table2[[#This Row],[Description]],$Q$1:$S$101,3,FALSE))</f>
        <v/>
      </c>
      <c r="I7116" s="1" t="str">
        <f>IF(Table2[[#This Row],[Description]]="","",IF(Table2[[#This Row],[Currency]]=$O$2,$P$2,HLOOKUP(Table2[[#This Row],[Date]],Funds!$C$10:$GV$11,2,FALSE)))</f>
        <v/>
      </c>
      <c r="J7116" s="215" t="str">
        <f>IF(Table2[[#This Row],[Description]]="","",Table2[[#This Row],[Value]]/Table2[[#This Row],[Conversion]])</f>
        <v/>
      </c>
      <c r="K7116" s="45" t="str">
        <f>IF(Table2[[#This Row],[Description]]="","",DATE(Table2[[#This Row],[Year]],Table2[[#This Row],[Month]],1))</f>
        <v/>
      </c>
    </row>
    <row r="7117" spans="7:11" x14ac:dyDescent="0.25">
      <c r="G7117" s="1" t="str">
        <f>IF(Table2[[#This Row],[Description]]="","",VLOOKUP(Table2[[#This Row],[Description]],$Q$1:$S$101,2,FALSE))</f>
        <v/>
      </c>
      <c r="H7117" s="1" t="str">
        <f>IF(Table2[[#This Row],[Description]]="","",VLOOKUP(Table2[[#This Row],[Description]],$Q$1:$S$101,3,FALSE))</f>
        <v/>
      </c>
      <c r="I7117" s="1" t="str">
        <f>IF(Table2[[#This Row],[Description]]="","",IF(Table2[[#This Row],[Currency]]=$O$2,$P$2,HLOOKUP(Table2[[#This Row],[Date]],Funds!$C$10:$GV$11,2,FALSE)))</f>
        <v/>
      </c>
      <c r="J7117" s="215" t="str">
        <f>IF(Table2[[#This Row],[Description]]="","",Table2[[#This Row],[Value]]/Table2[[#This Row],[Conversion]])</f>
        <v/>
      </c>
      <c r="K7117" s="45" t="str">
        <f>IF(Table2[[#This Row],[Description]]="","",DATE(Table2[[#This Row],[Year]],Table2[[#This Row],[Month]],1))</f>
        <v/>
      </c>
    </row>
    <row r="7118" spans="7:11" x14ac:dyDescent="0.25">
      <c r="G7118" s="1" t="str">
        <f>IF(Table2[[#This Row],[Description]]="","",VLOOKUP(Table2[[#This Row],[Description]],$Q$1:$S$101,2,FALSE))</f>
        <v/>
      </c>
      <c r="H7118" s="1" t="str">
        <f>IF(Table2[[#This Row],[Description]]="","",VLOOKUP(Table2[[#This Row],[Description]],$Q$1:$S$101,3,FALSE))</f>
        <v/>
      </c>
      <c r="I7118" s="1" t="str">
        <f>IF(Table2[[#This Row],[Description]]="","",IF(Table2[[#This Row],[Currency]]=$O$2,$P$2,HLOOKUP(Table2[[#This Row],[Date]],Funds!$C$10:$GV$11,2,FALSE)))</f>
        <v/>
      </c>
      <c r="J7118" s="215" t="str">
        <f>IF(Table2[[#This Row],[Description]]="","",Table2[[#This Row],[Value]]/Table2[[#This Row],[Conversion]])</f>
        <v/>
      </c>
      <c r="K7118" s="45" t="str">
        <f>IF(Table2[[#This Row],[Description]]="","",DATE(Table2[[#This Row],[Year]],Table2[[#This Row],[Month]],1))</f>
        <v/>
      </c>
    </row>
    <row r="7119" spans="7:11" x14ac:dyDescent="0.25">
      <c r="G7119" s="1" t="str">
        <f>IF(Table2[[#This Row],[Description]]="","",VLOOKUP(Table2[[#This Row],[Description]],$Q$1:$S$101,2,FALSE))</f>
        <v/>
      </c>
      <c r="H7119" s="1" t="str">
        <f>IF(Table2[[#This Row],[Description]]="","",VLOOKUP(Table2[[#This Row],[Description]],$Q$1:$S$101,3,FALSE))</f>
        <v/>
      </c>
      <c r="I7119" s="1" t="str">
        <f>IF(Table2[[#This Row],[Description]]="","",IF(Table2[[#This Row],[Currency]]=$O$2,$P$2,HLOOKUP(Table2[[#This Row],[Date]],Funds!$C$10:$GV$11,2,FALSE)))</f>
        <v/>
      </c>
      <c r="J7119" s="215" t="str">
        <f>IF(Table2[[#This Row],[Description]]="","",Table2[[#This Row],[Value]]/Table2[[#This Row],[Conversion]])</f>
        <v/>
      </c>
      <c r="K7119" s="45" t="str">
        <f>IF(Table2[[#This Row],[Description]]="","",DATE(Table2[[#This Row],[Year]],Table2[[#This Row],[Month]],1))</f>
        <v/>
      </c>
    </row>
    <row r="7120" spans="7:11" x14ac:dyDescent="0.25">
      <c r="G7120" s="1" t="str">
        <f>IF(Table2[[#This Row],[Description]]="","",VLOOKUP(Table2[[#This Row],[Description]],$Q$1:$S$101,2,FALSE))</f>
        <v/>
      </c>
      <c r="H7120" s="1" t="str">
        <f>IF(Table2[[#This Row],[Description]]="","",VLOOKUP(Table2[[#This Row],[Description]],$Q$1:$S$101,3,FALSE))</f>
        <v/>
      </c>
      <c r="I7120" s="1" t="str">
        <f>IF(Table2[[#This Row],[Description]]="","",IF(Table2[[#This Row],[Currency]]=$O$2,$P$2,HLOOKUP(Table2[[#This Row],[Date]],Funds!$C$10:$GV$11,2,FALSE)))</f>
        <v/>
      </c>
      <c r="J7120" s="215" t="str">
        <f>IF(Table2[[#This Row],[Description]]="","",Table2[[#This Row],[Value]]/Table2[[#This Row],[Conversion]])</f>
        <v/>
      </c>
      <c r="K7120" s="45" t="str">
        <f>IF(Table2[[#This Row],[Description]]="","",DATE(Table2[[#This Row],[Year]],Table2[[#This Row],[Month]],1))</f>
        <v/>
      </c>
    </row>
    <row r="7121" spans="7:11" x14ac:dyDescent="0.25">
      <c r="G7121" s="1" t="str">
        <f>IF(Table2[[#This Row],[Description]]="","",VLOOKUP(Table2[[#This Row],[Description]],$Q$1:$S$101,2,FALSE))</f>
        <v/>
      </c>
      <c r="H7121" s="1" t="str">
        <f>IF(Table2[[#This Row],[Description]]="","",VLOOKUP(Table2[[#This Row],[Description]],$Q$1:$S$101,3,FALSE))</f>
        <v/>
      </c>
      <c r="I7121" s="1" t="str">
        <f>IF(Table2[[#This Row],[Description]]="","",IF(Table2[[#This Row],[Currency]]=$O$2,$P$2,HLOOKUP(Table2[[#This Row],[Date]],Funds!$C$10:$GV$11,2,FALSE)))</f>
        <v/>
      </c>
      <c r="J7121" s="215" t="str">
        <f>IF(Table2[[#This Row],[Description]]="","",Table2[[#This Row],[Value]]/Table2[[#This Row],[Conversion]])</f>
        <v/>
      </c>
      <c r="K7121" s="45" t="str">
        <f>IF(Table2[[#This Row],[Description]]="","",DATE(Table2[[#This Row],[Year]],Table2[[#This Row],[Month]],1))</f>
        <v/>
      </c>
    </row>
    <row r="7122" spans="7:11" x14ac:dyDescent="0.25">
      <c r="G7122" s="1" t="str">
        <f>IF(Table2[[#This Row],[Description]]="","",VLOOKUP(Table2[[#This Row],[Description]],$Q$1:$S$101,2,FALSE))</f>
        <v/>
      </c>
      <c r="H7122" s="1" t="str">
        <f>IF(Table2[[#This Row],[Description]]="","",VLOOKUP(Table2[[#This Row],[Description]],$Q$1:$S$101,3,FALSE))</f>
        <v/>
      </c>
      <c r="I7122" s="1" t="str">
        <f>IF(Table2[[#This Row],[Description]]="","",IF(Table2[[#This Row],[Currency]]=$O$2,$P$2,HLOOKUP(Table2[[#This Row],[Date]],Funds!$C$10:$GV$11,2,FALSE)))</f>
        <v/>
      </c>
      <c r="J7122" s="215" t="str">
        <f>IF(Table2[[#This Row],[Description]]="","",Table2[[#This Row],[Value]]/Table2[[#This Row],[Conversion]])</f>
        <v/>
      </c>
      <c r="K7122" s="45" t="str">
        <f>IF(Table2[[#This Row],[Description]]="","",DATE(Table2[[#This Row],[Year]],Table2[[#This Row],[Month]],1))</f>
        <v/>
      </c>
    </row>
    <row r="7123" spans="7:11" x14ac:dyDescent="0.25">
      <c r="G7123" s="1" t="str">
        <f>IF(Table2[[#This Row],[Description]]="","",VLOOKUP(Table2[[#This Row],[Description]],$Q$1:$S$101,2,FALSE))</f>
        <v/>
      </c>
      <c r="H7123" s="1" t="str">
        <f>IF(Table2[[#This Row],[Description]]="","",VLOOKUP(Table2[[#This Row],[Description]],$Q$1:$S$101,3,FALSE))</f>
        <v/>
      </c>
      <c r="I7123" s="1" t="str">
        <f>IF(Table2[[#This Row],[Description]]="","",IF(Table2[[#This Row],[Currency]]=$O$2,$P$2,HLOOKUP(Table2[[#This Row],[Date]],Funds!$C$10:$GV$11,2,FALSE)))</f>
        <v/>
      </c>
      <c r="J7123" s="215" t="str">
        <f>IF(Table2[[#This Row],[Description]]="","",Table2[[#This Row],[Value]]/Table2[[#This Row],[Conversion]])</f>
        <v/>
      </c>
      <c r="K7123" s="45" t="str">
        <f>IF(Table2[[#This Row],[Description]]="","",DATE(Table2[[#This Row],[Year]],Table2[[#This Row],[Month]],1))</f>
        <v/>
      </c>
    </row>
    <row r="7124" spans="7:11" x14ac:dyDescent="0.25">
      <c r="G7124" s="1" t="str">
        <f>IF(Table2[[#This Row],[Description]]="","",VLOOKUP(Table2[[#This Row],[Description]],$Q$1:$S$101,2,FALSE))</f>
        <v/>
      </c>
      <c r="H7124" s="1" t="str">
        <f>IF(Table2[[#This Row],[Description]]="","",VLOOKUP(Table2[[#This Row],[Description]],$Q$1:$S$101,3,FALSE))</f>
        <v/>
      </c>
      <c r="I7124" s="1" t="str">
        <f>IF(Table2[[#This Row],[Description]]="","",IF(Table2[[#This Row],[Currency]]=$O$2,$P$2,HLOOKUP(Table2[[#This Row],[Date]],Funds!$C$10:$GV$11,2,FALSE)))</f>
        <v/>
      </c>
      <c r="J7124" s="215" t="str">
        <f>IF(Table2[[#This Row],[Description]]="","",Table2[[#This Row],[Value]]/Table2[[#This Row],[Conversion]])</f>
        <v/>
      </c>
      <c r="K7124" s="45" t="str">
        <f>IF(Table2[[#This Row],[Description]]="","",DATE(Table2[[#This Row],[Year]],Table2[[#This Row],[Month]],1))</f>
        <v/>
      </c>
    </row>
    <row r="7125" spans="7:11" x14ac:dyDescent="0.25">
      <c r="G7125" s="1" t="str">
        <f>IF(Table2[[#This Row],[Description]]="","",VLOOKUP(Table2[[#This Row],[Description]],$Q$1:$S$101,2,FALSE))</f>
        <v/>
      </c>
      <c r="H7125" s="1" t="str">
        <f>IF(Table2[[#This Row],[Description]]="","",VLOOKUP(Table2[[#This Row],[Description]],$Q$1:$S$101,3,FALSE))</f>
        <v/>
      </c>
      <c r="I7125" s="1" t="str">
        <f>IF(Table2[[#This Row],[Description]]="","",IF(Table2[[#This Row],[Currency]]=$O$2,$P$2,HLOOKUP(Table2[[#This Row],[Date]],Funds!$C$10:$GV$11,2,FALSE)))</f>
        <v/>
      </c>
      <c r="J7125" s="215" t="str">
        <f>IF(Table2[[#This Row],[Description]]="","",Table2[[#This Row],[Value]]/Table2[[#This Row],[Conversion]])</f>
        <v/>
      </c>
      <c r="K7125" s="45" t="str">
        <f>IF(Table2[[#This Row],[Description]]="","",DATE(Table2[[#This Row],[Year]],Table2[[#This Row],[Month]],1))</f>
        <v/>
      </c>
    </row>
    <row r="7126" spans="7:11" x14ac:dyDescent="0.25">
      <c r="G7126" s="1" t="str">
        <f>IF(Table2[[#This Row],[Description]]="","",VLOOKUP(Table2[[#This Row],[Description]],$Q$1:$S$101,2,FALSE))</f>
        <v/>
      </c>
      <c r="H7126" s="1" t="str">
        <f>IF(Table2[[#This Row],[Description]]="","",VLOOKUP(Table2[[#This Row],[Description]],$Q$1:$S$101,3,FALSE))</f>
        <v/>
      </c>
      <c r="I7126" s="1" t="str">
        <f>IF(Table2[[#This Row],[Description]]="","",IF(Table2[[#This Row],[Currency]]=$O$2,$P$2,HLOOKUP(Table2[[#This Row],[Date]],Funds!$C$10:$GV$11,2,FALSE)))</f>
        <v/>
      </c>
      <c r="J7126" s="215" t="str">
        <f>IF(Table2[[#This Row],[Description]]="","",Table2[[#This Row],[Value]]/Table2[[#This Row],[Conversion]])</f>
        <v/>
      </c>
      <c r="K7126" s="45" t="str">
        <f>IF(Table2[[#This Row],[Description]]="","",DATE(Table2[[#This Row],[Year]],Table2[[#This Row],[Month]],1))</f>
        <v/>
      </c>
    </row>
    <row r="7127" spans="7:11" x14ac:dyDescent="0.25">
      <c r="G7127" s="1" t="str">
        <f>IF(Table2[[#This Row],[Description]]="","",VLOOKUP(Table2[[#This Row],[Description]],$Q$1:$S$101,2,FALSE))</f>
        <v/>
      </c>
      <c r="H7127" s="1" t="str">
        <f>IF(Table2[[#This Row],[Description]]="","",VLOOKUP(Table2[[#This Row],[Description]],$Q$1:$S$101,3,FALSE))</f>
        <v/>
      </c>
      <c r="I7127" s="1" t="str">
        <f>IF(Table2[[#This Row],[Description]]="","",IF(Table2[[#This Row],[Currency]]=$O$2,$P$2,HLOOKUP(Table2[[#This Row],[Date]],Funds!$C$10:$GV$11,2,FALSE)))</f>
        <v/>
      </c>
      <c r="J7127" s="215" t="str">
        <f>IF(Table2[[#This Row],[Description]]="","",Table2[[#This Row],[Value]]/Table2[[#This Row],[Conversion]])</f>
        <v/>
      </c>
      <c r="K7127" s="45" t="str">
        <f>IF(Table2[[#This Row],[Description]]="","",DATE(Table2[[#This Row],[Year]],Table2[[#This Row],[Month]],1))</f>
        <v/>
      </c>
    </row>
    <row r="7128" spans="7:11" x14ac:dyDescent="0.25">
      <c r="G7128" s="1" t="str">
        <f>IF(Table2[[#This Row],[Description]]="","",VLOOKUP(Table2[[#This Row],[Description]],$Q$1:$S$101,2,FALSE))</f>
        <v/>
      </c>
      <c r="H7128" s="1" t="str">
        <f>IF(Table2[[#This Row],[Description]]="","",VLOOKUP(Table2[[#This Row],[Description]],$Q$1:$S$101,3,FALSE))</f>
        <v/>
      </c>
      <c r="I7128" s="1" t="str">
        <f>IF(Table2[[#This Row],[Description]]="","",IF(Table2[[#This Row],[Currency]]=$O$2,$P$2,HLOOKUP(Table2[[#This Row],[Date]],Funds!$C$10:$GV$11,2,FALSE)))</f>
        <v/>
      </c>
      <c r="J7128" s="215" t="str">
        <f>IF(Table2[[#This Row],[Description]]="","",Table2[[#This Row],[Value]]/Table2[[#This Row],[Conversion]])</f>
        <v/>
      </c>
      <c r="K7128" s="45" t="str">
        <f>IF(Table2[[#This Row],[Description]]="","",DATE(Table2[[#This Row],[Year]],Table2[[#This Row],[Month]],1))</f>
        <v/>
      </c>
    </row>
    <row r="7129" spans="7:11" x14ac:dyDescent="0.25">
      <c r="G7129" s="1" t="str">
        <f>IF(Table2[[#This Row],[Description]]="","",VLOOKUP(Table2[[#This Row],[Description]],$Q$1:$S$101,2,FALSE))</f>
        <v/>
      </c>
      <c r="H7129" s="1" t="str">
        <f>IF(Table2[[#This Row],[Description]]="","",VLOOKUP(Table2[[#This Row],[Description]],$Q$1:$S$101,3,FALSE))</f>
        <v/>
      </c>
      <c r="I7129" s="1" t="str">
        <f>IF(Table2[[#This Row],[Description]]="","",IF(Table2[[#This Row],[Currency]]=$O$2,$P$2,HLOOKUP(Table2[[#This Row],[Date]],Funds!$C$10:$GV$11,2,FALSE)))</f>
        <v/>
      </c>
      <c r="J7129" s="215" t="str">
        <f>IF(Table2[[#This Row],[Description]]="","",Table2[[#This Row],[Value]]/Table2[[#This Row],[Conversion]])</f>
        <v/>
      </c>
      <c r="K7129" s="45" t="str">
        <f>IF(Table2[[#This Row],[Description]]="","",DATE(Table2[[#This Row],[Year]],Table2[[#This Row],[Month]],1))</f>
        <v/>
      </c>
    </row>
    <row r="7130" spans="7:11" x14ac:dyDescent="0.25">
      <c r="G7130" s="1" t="str">
        <f>IF(Table2[[#This Row],[Description]]="","",VLOOKUP(Table2[[#This Row],[Description]],$Q$1:$S$101,2,FALSE))</f>
        <v/>
      </c>
      <c r="H7130" s="1" t="str">
        <f>IF(Table2[[#This Row],[Description]]="","",VLOOKUP(Table2[[#This Row],[Description]],$Q$1:$S$101,3,FALSE))</f>
        <v/>
      </c>
      <c r="I7130" s="1" t="str">
        <f>IF(Table2[[#This Row],[Description]]="","",IF(Table2[[#This Row],[Currency]]=$O$2,$P$2,HLOOKUP(Table2[[#This Row],[Date]],Funds!$C$10:$GV$11,2,FALSE)))</f>
        <v/>
      </c>
      <c r="J7130" s="215" t="str">
        <f>IF(Table2[[#This Row],[Description]]="","",Table2[[#This Row],[Value]]/Table2[[#This Row],[Conversion]])</f>
        <v/>
      </c>
      <c r="K7130" s="45" t="str">
        <f>IF(Table2[[#This Row],[Description]]="","",DATE(Table2[[#This Row],[Year]],Table2[[#This Row],[Month]],1))</f>
        <v/>
      </c>
    </row>
    <row r="7131" spans="7:11" x14ac:dyDescent="0.25">
      <c r="G7131" s="1" t="str">
        <f>IF(Table2[[#This Row],[Description]]="","",VLOOKUP(Table2[[#This Row],[Description]],$Q$1:$S$101,2,FALSE))</f>
        <v/>
      </c>
      <c r="H7131" s="1" t="str">
        <f>IF(Table2[[#This Row],[Description]]="","",VLOOKUP(Table2[[#This Row],[Description]],$Q$1:$S$101,3,FALSE))</f>
        <v/>
      </c>
      <c r="I7131" s="1" t="str">
        <f>IF(Table2[[#This Row],[Description]]="","",IF(Table2[[#This Row],[Currency]]=$O$2,$P$2,HLOOKUP(Table2[[#This Row],[Date]],Funds!$C$10:$GV$11,2,FALSE)))</f>
        <v/>
      </c>
      <c r="J7131" s="215" t="str">
        <f>IF(Table2[[#This Row],[Description]]="","",Table2[[#This Row],[Value]]/Table2[[#This Row],[Conversion]])</f>
        <v/>
      </c>
      <c r="K7131" s="45" t="str">
        <f>IF(Table2[[#This Row],[Description]]="","",DATE(Table2[[#This Row],[Year]],Table2[[#This Row],[Month]],1))</f>
        <v/>
      </c>
    </row>
    <row r="7132" spans="7:11" x14ac:dyDescent="0.25">
      <c r="G7132" s="1" t="str">
        <f>IF(Table2[[#This Row],[Description]]="","",VLOOKUP(Table2[[#This Row],[Description]],$Q$1:$S$101,2,FALSE))</f>
        <v/>
      </c>
      <c r="H7132" s="1" t="str">
        <f>IF(Table2[[#This Row],[Description]]="","",VLOOKUP(Table2[[#This Row],[Description]],$Q$1:$S$101,3,FALSE))</f>
        <v/>
      </c>
      <c r="I7132" s="1" t="str">
        <f>IF(Table2[[#This Row],[Description]]="","",IF(Table2[[#This Row],[Currency]]=$O$2,$P$2,HLOOKUP(Table2[[#This Row],[Date]],Funds!$C$10:$GV$11,2,FALSE)))</f>
        <v/>
      </c>
      <c r="J7132" s="215" t="str">
        <f>IF(Table2[[#This Row],[Description]]="","",Table2[[#This Row],[Value]]/Table2[[#This Row],[Conversion]])</f>
        <v/>
      </c>
      <c r="K7132" s="45" t="str">
        <f>IF(Table2[[#This Row],[Description]]="","",DATE(Table2[[#This Row],[Year]],Table2[[#This Row],[Month]],1))</f>
        <v/>
      </c>
    </row>
    <row r="7133" spans="7:11" x14ac:dyDescent="0.25">
      <c r="G7133" s="1" t="str">
        <f>IF(Table2[[#This Row],[Description]]="","",VLOOKUP(Table2[[#This Row],[Description]],$Q$1:$S$101,2,FALSE))</f>
        <v/>
      </c>
      <c r="H7133" s="1" t="str">
        <f>IF(Table2[[#This Row],[Description]]="","",VLOOKUP(Table2[[#This Row],[Description]],$Q$1:$S$101,3,FALSE))</f>
        <v/>
      </c>
      <c r="I7133" s="1" t="str">
        <f>IF(Table2[[#This Row],[Description]]="","",IF(Table2[[#This Row],[Currency]]=$O$2,$P$2,HLOOKUP(Table2[[#This Row],[Date]],Funds!$C$10:$GV$11,2,FALSE)))</f>
        <v/>
      </c>
      <c r="J7133" s="215" t="str">
        <f>IF(Table2[[#This Row],[Description]]="","",Table2[[#This Row],[Value]]/Table2[[#This Row],[Conversion]])</f>
        <v/>
      </c>
      <c r="K7133" s="45" t="str">
        <f>IF(Table2[[#This Row],[Description]]="","",DATE(Table2[[#This Row],[Year]],Table2[[#This Row],[Month]],1))</f>
        <v/>
      </c>
    </row>
    <row r="7134" spans="7:11" x14ac:dyDescent="0.25">
      <c r="G7134" s="1" t="str">
        <f>IF(Table2[[#This Row],[Description]]="","",VLOOKUP(Table2[[#This Row],[Description]],$Q$1:$S$101,2,FALSE))</f>
        <v/>
      </c>
      <c r="H7134" s="1" t="str">
        <f>IF(Table2[[#This Row],[Description]]="","",VLOOKUP(Table2[[#This Row],[Description]],$Q$1:$S$101,3,FALSE))</f>
        <v/>
      </c>
      <c r="I7134" s="1" t="str">
        <f>IF(Table2[[#This Row],[Description]]="","",IF(Table2[[#This Row],[Currency]]=$O$2,$P$2,HLOOKUP(Table2[[#This Row],[Date]],Funds!$C$10:$GV$11,2,FALSE)))</f>
        <v/>
      </c>
      <c r="J7134" s="215" t="str">
        <f>IF(Table2[[#This Row],[Description]]="","",Table2[[#This Row],[Value]]/Table2[[#This Row],[Conversion]])</f>
        <v/>
      </c>
      <c r="K7134" s="45" t="str">
        <f>IF(Table2[[#This Row],[Description]]="","",DATE(Table2[[#This Row],[Year]],Table2[[#This Row],[Month]],1))</f>
        <v/>
      </c>
    </row>
    <row r="7135" spans="7:11" x14ac:dyDescent="0.25">
      <c r="G7135" s="1" t="str">
        <f>IF(Table2[[#This Row],[Description]]="","",VLOOKUP(Table2[[#This Row],[Description]],$Q$1:$S$101,2,FALSE))</f>
        <v/>
      </c>
      <c r="H7135" s="1" t="str">
        <f>IF(Table2[[#This Row],[Description]]="","",VLOOKUP(Table2[[#This Row],[Description]],$Q$1:$S$101,3,FALSE))</f>
        <v/>
      </c>
      <c r="I7135" s="1" t="str">
        <f>IF(Table2[[#This Row],[Description]]="","",IF(Table2[[#This Row],[Currency]]=$O$2,$P$2,HLOOKUP(Table2[[#This Row],[Date]],Funds!$C$10:$GV$11,2,FALSE)))</f>
        <v/>
      </c>
      <c r="J7135" s="215" t="str">
        <f>IF(Table2[[#This Row],[Description]]="","",Table2[[#This Row],[Value]]/Table2[[#This Row],[Conversion]])</f>
        <v/>
      </c>
      <c r="K7135" s="45" t="str">
        <f>IF(Table2[[#This Row],[Description]]="","",DATE(Table2[[#This Row],[Year]],Table2[[#This Row],[Month]],1))</f>
        <v/>
      </c>
    </row>
    <row r="7136" spans="7:11" x14ac:dyDescent="0.25">
      <c r="G7136" s="1" t="str">
        <f>IF(Table2[[#This Row],[Description]]="","",VLOOKUP(Table2[[#This Row],[Description]],$Q$1:$S$101,2,FALSE))</f>
        <v/>
      </c>
      <c r="H7136" s="1" t="str">
        <f>IF(Table2[[#This Row],[Description]]="","",VLOOKUP(Table2[[#This Row],[Description]],$Q$1:$S$101,3,FALSE))</f>
        <v/>
      </c>
      <c r="I7136" s="1" t="str">
        <f>IF(Table2[[#This Row],[Description]]="","",IF(Table2[[#This Row],[Currency]]=$O$2,$P$2,HLOOKUP(Table2[[#This Row],[Date]],Funds!$C$10:$GV$11,2,FALSE)))</f>
        <v/>
      </c>
      <c r="J7136" s="215" t="str">
        <f>IF(Table2[[#This Row],[Description]]="","",Table2[[#This Row],[Value]]/Table2[[#This Row],[Conversion]])</f>
        <v/>
      </c>
      <c r="K7136" s="45" t="str">
        <f>IF(Table2[[#This Row],[Description]]="","",DATE(Table2[[#This Row],[Year]],Table2[[#This Row],[Month]],1))</f>
        <v/>
      </c>
    </row>
    <row r="7137" spans="7:11" x14ac:dyDescent="0.25">
      <c r="G7137" s="1" t="str">
        <f>IF(Table2[[#This Row],[Description]]="","",VLOOKUP(Table2[[#This Row],[Description]],$Q$1:$S$101,2,FALSE))</f>
        <v/>
      </c>
      <c r="H7137" s="1" t="str">
        <f>IF(Table2[[#This Row],[Description]]="","",VLOOKUP(Table2[[#This Row],[Description]],$Q$1:$S$101,3,FALSE))</f>
        <v/>
      </c>
      <c r="I7137" s="1" t="str">
        <f>IF(Table2[[#This Row],[Description]]="","",IF(Table2[[#This Row],[Currency]]=$O$2,$P$2,HLOOKUP(Table2[[#This Row],[Date]],Funds!$C$10:$GV$11,2,FALSE)))</f>
        <v/>
      </c>
      <c r="J7137" s="215" t="str">
        <f>IF(Table2[[#This Row],[Description]]="","",Table2[[#This Row],[Value]]/Table2[[#This Row],[Conversion]])</f>
        <v/>
      </c>
      <c r="K7137" s="45" t="str">
        <f>IF(Table2[[#This Row],[Description]]="","",DATE(Table2[[#This Row],[Year]],Table2[[#This Row],[Month]],1))</f>
        <v/>
      </c>
    </row>
    <row r="7138" spans="7:11" x14ac:dyDescent="0.25">
      <c r="G7138" s="1" t="str">
        <f>IF(Table2[[#This Row],[Description]]="","",VLOOKUP(Table2[[#This Row],[Description]],$Q$1:$S$101,2,FALSE))</f>
        <v/>
      </c>
      <c r="H7138" s="1" t="str">
        <f>IF(Table2[[#This Row],[Description]]="","",VLOOKUP(Table2[[#This Row],[Description]],$Q$1:$S$101,3,FALSE))</f>
        <v/>
      </c>
      <c r="I7138" s="1" t="str">
        <f>IF(Table2[[#This Row],[Description]]="","",IF(Table2[[#This Row],[Currency]]=$O$2,$P$2,HLOOKUP(Table2[[#This Row],[Date]],Funds!$C$10:$GV$11,2,FALSE)))</f>
        <v/>
      </c>
      <c r="J7138" s="215" t="str">
        <f>IF(Table2[[#This Row],[Description]]="","",Table2[[#This Row],[Value]]/Table2[[#This Row],[Conversion]])</f>
        <v/>
      </c>
      <c r="K7138" s="45" t="str">
        <f>IF(Table2[[#This Row],[Description]]="","",DATE(Table2[[#This Row],[Year]],Table2[[#This Row],[Month]],1))</f>
        <v/>
      </c>
    </row>
    <row r="7139" spans="7:11" x14ac:dyDescent="0.25">
      <c r="G7139" s="1" t="str">
        <f>IF(Table2[[#This Row],[Description]]="","",VLOOKUP(Table2[[#This Row],[Description]],$Q$1:$S$101,2,FALSE))</f>
        <v/>
      </c>
      <c r="H7139" s="1" t="str">
        <f>IF(Table2[[#This Row],[Description]]="","",VLOOKUP(Table2[[#This Row],[Description]],$Q$1:$S$101,3,FALSE))</f>
        <v/>
      </c>
      <c r="I7139" s="1" t="str">
        <f>IF(Table2[[#This Row],[Description]]="","",IF(Table2[[#This Row],[Currency]]=$O$2,$P$2,HLOOKUP(Table2[[#This Row],[Date]],Funds!$C$10:$GV$11,2,FALSE)))</f>
        <v/>
      </c>
      <c r="J7139" s="215" t="str">
        <f>IF(Table2[[#This Row],[Description]]="","",Table2[[#This Row],[Value]]/Table2[[#This Row],[Conversion]])</f>
        <v/>
      </c>
      <c r="K7139" s="45" t="str">
        <f>IF(Table2[[#This Row],[Description]]="","",DATE(Table2[[#This Row],[Year]],Table2[[#This Row],[Month]],1))</f>
        <v/>
      </c>
    </row>
    <row r="7140" spans="7:11" x14ac:dyDescent="0.25">
      <c r="G7140" s="1" t="str">
        <f>IF(Table2[[#This Row],[Description]]="","",VLOOKUP(Table2[[#This Row],[Description]],$Q$1:$S$101,2,FALSE))</f>
        <v/>
      </c>
      <c r="H7140" s="1" t="str">
        <f>IF(Table2[[#This Row],[Description]]="","",VLOOKUP(Table2[[#This Row],[Description]],$Q$1:$S$101,3,FALSE))</f>
        <v/>
      </c>
      <c r="I7140" s="1" t="str">
        <f>IF(Table2[[#This Row],[Description]]="","",IF(Table2[[#This Row],[Currency]]=$O$2,$P$2,HLOOKUP(Table2[[#This Row],[Date]],Funds!$C$10:$GV$11,2,FALSE)))</f>
        <v/>
      </c>
      <c r="J7140" s="215" t="str">
        <f>IF(Table2[[#This Row],[Description]]="","",Table2[[#This Row],[Value]]/Table2[[#This Row],[Conversion]])</f>
        <v/>
      </c>
      <c r="K7140" s="45" t="str">
        <f>IF(Table2[[#This Row],[Description]]="","",DATE(Table2[[#This Row],[Year]],Table2[[#This Row],[Month]],1))</f>
        <v/>
      </c>
    </row>
    <row r="7141" spans="7:11" x14ac:dyDescent="0.25">
      <c r="G7141" s="1" t="str">
        <f>IF(Table2[[#This Row],[Description]]="","",VLOOKUP(Table2[[#This Row],[Description]],$Q$1:$S$101,2,FALSE))</f>
        <v/>
      </c>
      <c r="H7141" s="1" t="str">
        <f>IF(Table2[[#This Row],[Description]]="","",VLOOKUP(Table2[[#This Row],[Description]],$Q$1:$S$101,3,FALSE))</f>
        <v/>
      </c>
      <c r="I7141" s="1" t="str">
        <f>IF(Table2[[#This Row],[Description]]="","",IF(Table2[[#This Row],[Currency]]=$O$2,$P$2,HLOOKUP(Table2[[#This Row],[Date]],Funds!$C$10:$GV$11,2,FALSE)))</f>
        <v/>
      </c>
      <c r="J7141" s="215" t="str">
        <f>IF(Table2[[#This Row],[Description]]="","",Table2[[#This Row],[Value]]/Table2[[#This Row],[Conversion]])</f>
        <v/>
      </c>
      <c r="K7141" s="45" t="str">
        <f>IF(Table2[[#This Row],[Description]]="","",DATE(Table2[[#This Row],[Year]],Table2[[#This Row],[Month]],1))</f>
        <v/>
      </c>
    </row>
    <row r="7142" spans="7:11" x14ac:dyDescent="0.25">
      <c r="G7142" s="1" t="str">
        <f>IF(Table2[[#This Row],[Description]]="","",VLOOKUP(Table2[[#This Row],[Description]],$Q$1:$S$101,2,FALSE))</f>
        <v/>
      </c>
      <c r="H7142" s="1" t="str">
        <f>IF(Table2[[#This Row],[Description]]="","",VLOOKUP(Table2[[#This Row],[Description]],$Q$1:$S$101,3,FALSE))</f>
        <v/>
      </c>
      <c r="I7142" s="1" t="str">
        <f>IF(Table2[[#This Row],[Description]]="","",IF(Table2[[#This Row],[Currency]]=$O$2,$P$2,HLOOKUP(Table2[[#This Row],[Date]],Funds!$C$10:$GV$11,2,FALSE)))</f>
        <v/>
      </c>
      <c r="J7142" s="215" t="str">
        <f>IF(Table2[[#This Row],[Description]]="","",Table2[[#This Row],[Value]]/Table2[[#This Row],[Conversion]])</f>
        <v/>
      </c>
      <c r="K7142" s="45" t="str">
        <f>IF(Table2[[#This Row],[Description]]="","",DATE(Table2[[#This Row],[Year]],Table2[[#This Row],[Month]],1))</f>
        <v/>
      </c>
    </row>
    <row r="7143" spans="7:11" x14ac:dyDescent="0.25">
      <c r="G7143" s="1" t="str">
        <f>IF(Table2[[#This Row],[Description]]="","",VLOOKUP(Table2[[#This Row],[Description]],$Q$1:$S$101,2,FALSE))</f>
        <v/>
      </c>
      <c r="H7143" s="1" t="str">
        <f>IF(Table2[[#This Row],[Description]]="","",VLOOKUP(Table2[[#This Row],[Description]],$Q$1:$S$101,3,FALSE))</f>
        <v/>
      </c>
      <c r="I7143" s="1" t="str">
        <f>IF(Table2[[#This Row],[Description]]="","",IF(Table2[[#This Row],[Currency]]=$O$2,$P$2,HLOOKUP(Table2[[#This Row],[Date]],Funds!$C$10:$GV$11,2,FALSE)))</f>
        <v/>
      </c>
      <c r="J7143" s="215" t="str">
        <f>IF(Table2[[#This Row],[Description]]="","",Table2[[#This Row],[Value]]/Table2[[#This Row],[Conversion]])</f>
        <v/>
      </c>
      <c r="K7143" s="45" t="str">
        <f>IF(Table2[[#This Row],[Description]]="","",DATE(Table2[[#This Row],[Year]],Table2[[#This Row],[Month]],1))</f>
        <v/>
      </c>
    </row>
    <row r="7144" spans="7:11" x14ac:dyDescent="0.25">
      <c r="G7144" s="1" t="str">
        <f>IF(Table2[[#This Row],[Description]]="","",VLOOKUP(Table2[[#This Row],[Description]],$Q$1:$S$101,2,FALSE))</f>
        <v/>
      </c>
      <c r="H7144" s="1" t="str">
        <f>IF(Table2[[#This Row],[Description]]="","",VLOOKUP(Table2[[#This Row],[Description]],$Q$1:$S$101,3,FALSE))</f>
        <v/>
      </c>
      <c r="I7144" s="1" t="str">
        <f>IF(Table2[[#This Row],[Description]]="","",IF(Table2[[#This Row],[Currency]]=$O$2,$P$2,HLOOKUP(Table2[[#This Row],[Date]],Funds!$C$10:$GV$11,2,FALSE)))</f>
        <v/>
      </c>
      <c r="J7144" s="215" t="str">
        <f>IF(Table2[[#This Row],[Description]]="","",Table2[[#This Row],[Value]]/Table2[[#This Row],[Conversion]])</f>
        <v/>
      </c>
      <c r="K7144" s="45" t="str">
        <f>IF(Table2[[#This Row],[Description]]="","",DATE(Table2[[#This Row],[Year]],Table2[[#This Row],[Month]],1))</f>
        <v/>
      </c>
    </row>
    <row r="7145" spans="7:11" x14ac:dyDescent="0.25">
      <c r="G7145" s="1" t="str">
        <f>IF(Table2[[#This Row],[Description]]="","",VLOOKUP(Table2[[#This Row],[Description]],$Q$1:$S$101,2,FALSE))</f>
        <v/>
      </c>
      <c r="H7145" s="1" t="str">
        <f>IF(Table2[[#This Row],[Description]]="","",VLOOKUP(Table2[[#This Row],[Description]],$Q$1:$S$101,3,FALSE))</f>
        <v/>
      </c>
      <c r="I7145" s="1" t="str">
        <f>IF(Table2[[#This Row],[Description]]="","",IF(Table2[[#This Row],[Currency]]=$O$2,$P$2,HLOOKUP(Table2[[#This Row],[Date]],Funds!$C$10:$GV$11,2,FALSE)))</f>
        <v/>
      </c>
      <c r="J7145" s="215" t="str">
        <f>IF(Table2[[#This Row],[Description]]="","",Table2[[#This Row],[Value]]/Table2[[#This Row],[Conversion]])</f>
        <v/>
      </c>
      <c r="K7145" s="45" t="str">
        <f>IF(Table2[[#This Row],[Description]]="","",DATE(Table2[[#This Row],[Year]],Table2[[#This Row],[Month]],1))</f>
        <v/>
      </c>
    </row>
    <row r="7146" spans="7:11" x14ac:dyDescent="0.25">
      <c r="G7146" s="1" t="str">
        <f>IF(Table2[[#This Row],[Description]]="","",VLOOKUP(Table2[[#This Row],[Description]],$Q$1:$S$101,2,FALSE))</f>
        <v/>
      </c>
      <c r="H7146" s="1" t="str">
        <f>IF(Table2[[#This Row],[Description]]="","",VLOOKUP(Table2[[#This Row],[Description]],$Q$1:$S$101,3,FALSE))</f>
        <v/>
      </c>
      <c r="I7146" s="1" t="str">
        <f>IF(Table2[[#This Row],[Description]]="","",IF(Table2[[#This Row],[Currency]]=$O$2,$P$2,HLOOKUP(Table2[[#This Row],[Date]],Funds!$C$10:$GV$11,2,FALSE)))</f>
        <v/>
      </c>
      <c r="J7146" s="215" t="str">
        <f>IF(Table2[[#This Row],[Description]]="","",Table2[[#This Row],[Value]]/Table2[[#This Row],[Conversion]])</f>
        <v/>
      </c>
      <c r="K7146" s="45" t="str">
        <f>IF(Table2[[#This Row],[Description]]="","",DATE(Table2[[#This Row],[Year]],Table2[[#This Row],[Month]],1))</f>
        <v/>
      </c>
    </row>
    <row r="7147" spans="7:11" x14ac:dyDescent="0.25">
      <c r="G7147" s="1" t="str">
        <f>IF(Table2[[#This Row],[Description]]="","",VLOOKUP(Table2[[#This Row],[Description]],$Q$1:$S$101,2,FALSE))</f>
        <v/>
      </c>
      <c r="H7147" s="1" t="str">
        <f>IF(Table2[[#This Row],[Description]]="","",VLOOKUP(Table2[[#This Row],[Description]],$Q$1:$S$101,3,FALSE))</f>
        <v/>
      </c>
      <c r="I7147" s="1" t="str">
        <f>IF(Table2[[#This Row],[Description]]="","",IF(Table2[[#This Row],[Currency]]=$O$2,$P$2,HLOOKUP(Table2[[#This Row],[Date]],Funds!$C$10:$GV$11,2,FALSE)))</f>
        <v/>
      </c>
      <c r="J7147" s="215" t="str">
        <f>IF(Table2[[#This Row],[Description]]="","",Table2[[#This Row],[Value]]/Table2[[#This Row],[Conversion]])</f>
        <v/>
      </c>
      <c r="K7147" s="45" t="str">
        <f>IF(Table2[[#This Row],[Description]]="","",DATE(Table2[[#This Row],[Year]],Table2[[#This Row],[Month]],1))</f>
        <v/>
      </c>
    </row>
    <row r="7148" spans="7:11" x14ac:dyDescent="0.25">
      <c r="G7148" s="1" t="str">
        <f>IF(Table2[[#This Row],[Description]]="","",VLOOKUP(Table2[[#This Row],[Description]],$Q$1:$S$101,2,FALSE))</f>
        <v/>
      </c>
      <c r="H7148" s="1" t="str">
        <f>IF(Table2[[#This Row],[Description]]="","",VLOOKUP(Table2[[#This Row],[Description]],$Q$1:$S$101,3,FALSE))</f>
        <v/>
      </c>
      <c r="I7148" s="1" t="str">
        <f>IF(Table2[[#This Row],[Description]]="","",IF(Table2[[#This Row],[Currency]]=$O$2,$P$2,HLOOKUP(Table2[[#This Row],[Date]],Funds!$C$10:$GV$11,2,FALSE)))</f>
        <v/>
      </c>
      <c r="J7148" s="215" t="str">
        <f>IF(Table2[[#This Row],[Description]]="","",Table2[[#This Row],[Value]]/Table2[[#This Row],[Conversion]])</f>
        <v/>
      </c>
      <c r="K7148" s="45" t="str">
        <f>IF(Table2[[#This Row],[Description]]="","",DATE(Table2[[#This Row],[Year]],Table2[[#This Row],[Month]],1))</f>
        <v/>
      </c>
    </row>
    <row r="7149" spans="7:11" x14ac:dyDescent="0.25">
      <c r="G7149" s="1" t="str">
        <f>IF(Table2[[#This Row],[Description]]="","",VLOOKUP(Table2[[#This Row],[Description]],$Q$1:$S$101,2,FALSE))</f>
        <v/>
      </c>
      <c r="H7149" s="1" t="str">
        <f>IF(Table2[[#This Row],[Description]]="","",VLOOKUP(Table2[[#This Row],[Description]],$Q$1:$S$101,3,FALSE))</f>
        <v/>
      </c>
      <c r="I7149" s="1" t="str">
        <f>IF(Table2[[#This Row],[Description]]="","",IF(Table2[[#This Row],[Currency]]=$O$2,$P$2,HLOOKUP(Table2[[#This Row],[Date]],Funds!$C$10:$GV$11,2,FALSE)))</f>
        <v/>
      </c>
      <c r="J7149" s="215" t="str">
        <f>IF(Table2[[#This Row],[Description]]="","",Table2[[#This Row],[Value]]/Table2[[#This Row],[Conversion]])</f>
        <v/>
      </c>
      <c r="K7149" s="45" t="str">
        <f>IF(Table2[[#This Row],[Description]]="","",DATE(Table2[[#This Row],[Year]],Table2[[#This Row],[Month]],1))</f>
        <v/>
      </c>
    </row>
    <row r="7150" spans="7:11" x14ac:dyDescent="0.25">
      <c r="G7150" s="1" t="str">
        <f>IF(Table2[[#This Row],[Description]]="","",VLOOKUP(Table2[[#This Row],[Description]],$Q$1:$S$101,2,FALSE))</f>
        <v/>
      </c>
      <c r="H7150" s="1" t="str">
        <f>IF(Table2[[#This Row],[Description]]="","",VLOOKUP(Table2[[#This Row],[Description]],$Q$1:$S$101,3,FALSE))</f>
        <v/>
      </c>
      <c r="I7150" s="1" t="str">
        <f>IF(Table2[[#This Row],[Description]]="","",IF(Table2[[#This Row],[Currency]]=$O$2,$P$2,HLOOKUP(Table2[[#This Row],[Date]],Funds!$C$10:$GV$11,2,FALSE)))</f>
        <v/>
      </c>
      <c r="J7150" s="215" t="str">
        <f>IF(Table2[[#This Row],[Description]]="","",Table2[[#This Row],[Value]]/Table2[[#This Row],[Conversion]])</f>
        <v/>
      </c>
      <c r="K7150" s="45" t="str">
        <f>IF(Table2[[#This Row],[Description]]="","",DATE(Table2[[#This Row],[Year]],Table2[[#This Row],[Month]],1))</f>
        <v/>
      </c>
    </row>
    <row r="7151" spans="7:11" x14ac:dyDescent="0.25">
      <c r="G7151" s="1" t="str">
        <f>IF(Table2[[#This Row],[Description]]="","",VLOOKUP(Table2[[#This Row],[Description]],$Q$1:$S$101,2,FALSE))</f>
        <v/>
      </c>
      <c r="H7151" s="1" t="str">
        <f>IF(Table2[[#This Row],[Description]]="","",VLOOKUP(Table2[[#This Row],[Description]],$Q$1:$S$101,3,FALSE))</f>
        <v/>
      </c>
      <c r="I7151" s="1" t="str">
        <f>IF(Table2[[#This Row],[Description]]="","",IF(Table2[[#This Row],[Currency]]=$O$2,$P$2,HLOOKUP(Table2[[#This Row],[Date]],Funds!$C$10:$GV$11,2,FALSE)))</f>
        <v/>
      </c>
      <c r="J7151" s="215" t="str">
        <f>IF(Table2[[#This Row],[Description]]="","",Table2[[#This Row],[Value]]/Table2[[#This Row],[Conversion]])</f>
        <v/>
      </c>
      <c r="K7151" s="45" t="str">
        <f>IF(Table2[[#This Row],[Description]]="","",DATE(Table2[[#This Row],[Year]],Table2[[#This Row],[Month]],1))</f>
        <v/>
      </c>
    </row>
    <row r="7152" spans="7:11" x14ac:dyDescent="0.25">
      <c r="G7152" s="1" t="str">
        <f>IF(Table2[[#This Row],[Description]]="","",VLOOKUP(Table2[[#This Row],[Description]],$Q$1:$S$101,2,FALSE))</f>
        <v/>
      </c>
      <c r="H7152" s="1" t="str">
        <f>IF(Table2[[#This Row],[Description]]="","",VLOOKUP(Table2[[#This Row],[Description]],$Q$1:$S$101,3,FALSE))</f>
        <v/>
      </c>
      <c r="I7152" s="1" t="str">
        <f>IF(Table2[[#This Row],[Description]]="","",IF(Table2[[#This Row],[Currency]]=$O$2,$P$2,HLOOKUP(Table2[[#This Row],[Date]],Funds!$C$10:$GV$11,2,FALSE)))</f>
        <v/>
      </c>
      <c r="J7152" s="215" t="str">
        <f>IF(Table2[[#This Row],[Description]]="","",Table2[[#This Row],[Value]]/Table2[[#This Row],[Conversion]])</f>
        <v/>
      </c>
      <c r="K7152" s="45" t="str">
        <f>IF(Table2[[#This Row],[Description]]="","",DATE(Table2[[#This Row],[Year]],Table2[[#This Row],[Month]],1))</f>
        <v/>
      </c>
    </row>
    <row r="7153" spans="7:11" x14ac:dyDescent="0.25">
      <c r="G7153" s="1" t="str">
        <f>IF(Table2[[#This Row],[Description]]="","",VLOOKUP(Table2[[#This Row],[Description]],$Q$1:$S$101,2,FALSE))</f>
        <v/>
      </c>
      <c r="H7153" s="1" t="str">
        <f>IF(Table2[[#This Row],[Description]]="","",VLOOKUP(Table2[[#This Row],[Description]],$Q$1:$S$101,3,FALSE))</f>
        <v/>
      </c>
      <c r="I7153" s="1" t="str">
        <f>IF(Table2[[#This Row],[Description]]="","",IF(Table2[[#This Row],[Currency]]=$O$2,$P$2,HLOOKUP(Table2[[#This Row],[Date]],Funds!$C$10:$GV$11,2,FALSE)))</f>
        <v/>
      </c>
      <c r="J7153" s="215" t="str">
        <f>IF(Table2[[#This Row],[Description]]="","",Table2[[#This Row],[Value]]/Table2[[#This Row],[Conversion]])</f>
        <v/>
      </c>
      <c r="K7153" s="45" t="str">
        <f>IF(Table2[[#This Row],[Description]]="","",DATE(Table2[[#This Row],[Year]],Table2[[#This Row],[Month]],1))</f>
        <v/>
      </c>
    </row>
    <row r="7154" spans="7:11" x14ac:dyDescent="0.25">
      <c r="G7154" s="1" t="str">
        <f>IF(Table2[[#This Row],[Description]]="","",VLOOKUP(Table2[[#This Row],[Description]],$Q$1:$S$101,2,FALSE))</f>
        <v/>
      </c>
      <c r="H7154" s="1" t="str">
        <f>IF(Table2[[#This Row],[Description]]="","",VLOOKUP(Table2[[#This Row],[Description]],$Q$1:$S$101,3,FALSE))</f>
        <v/>
      </c>
      <c r="I7154" s="1" t="str">
        <f>IF(Table2[[#This Row],[Description]]="","",IF(Table2[[#This Row],[Currency]]=$O$2,$P$2,HLOOKUP(Table2[[#This Row],[Date]],Funds!$C$10:$GV$11,2,FALSE)))</f>
        <v/>
      </c>
      <c r="J7154" s="215" t="str">
        <f>IF(Table2[[#This Row],[Description]]="","",Table2[[#This Row],[Value]]/Table2[[#This Row],[Conversion]])</f>
        <v/>
      </c>
      <c r="K7154" s="45" t="str">
        <f>IF(Table2[[#This Row],[Description]]="","",DATE(Table2[[#This Row],[Year]],Table2[[#This Row],[Month]],1))</f>
        <v/>
      </c>
    </row>
    <row r="7155" spans="7:11" x14ac:dyDescent="0.25">
      <c r="G7155" s="1" t="str">
        <f>IF(Table2[[#This Row],[Description]]="","",VLOOKUP(Table2[[#This Row],[Description]],$Q$1:$S$101,2,FALSE))</f>
        <v/>
      </c>
      <c r="H7155" s="1" t="str">
        <f>IF(Table2[[#This Row],[Description]]="","",VLOOKUP(Table2[[#This Row],[Description]],$Q$1:$S$101,3,FALSE))</f>
        <v/>
      </c>
      <c r="I7155" s="1" t="str">
        <f>IF(Table2[[#This Row],[Description]]="","",IF(Table2[[#This Row],[Currency]]=$O$2,$P$2,HLOOKUP(Table2[[#This Row],[Date]],Funds!$C$10:$GV$11,2,FALSE)))</f>
        <v/>
      </c>
      <c r="J7155" s="215" t="str">
        <f>IF(Table2[[#This Row],[Description]]="","",Table2[[#This Row],[Value]]/Table2[[#This Row],[Conversion]])</f>
        <v/>
      </c>
      <c r="K7155" s="45" t="str">
        <f>IF(Table2[[#This Row],[Description]]="","",DATE(Table2[[#This Row],[Year]],Table2[[#This Row],[Month]],1))</f>
        <v/>
      </c>
    </row>
    <row r="7156" spans="7:11" x14ac:dyDescent="0.25">
      <c r="G7156" s="1" t="str">
        <f>IF(Table2[[#This Row],[Description]]="","",VLOOKUP(Table2[[#This Row],[Description]],$Q$1:$S$101,2,FALSE))</f>
        <v/>
      </c>
      <c r="H7156" s="1" t="str">
        <f>IF(Table2[[#This Row],[Description]]="","",VLOOKUP(Table2[[#This Row],[Description]],$Q$1:$S$101,3,FALSE))</f>
        <v/>
      </c>
      <c r="I7156" s="1" t="str">
        <f>IF(Table2[[#This Row],[Description]]="","",IF(Table2[[#This Row],[Currency]]=$O$2,$P$2,HLOOKUP(Table2[[#This Row],[Date]],Funds!$C$10:$GV$11,2,FALSE)))</f>
        <v/>
      </c>
      <c r="J7156" s="215" t="str">
        <f>IF(Table2[[#This Row],[Description]]="","",Table2[[#This Row],[Value]]/Table2[[#This Row],[Conversion]])</f>
        <v/>
      </c>
      <c r="K7156" s="45" t="str">
        <f>IF(Table2[[#This Row],[Description]]="","",DATE(Table2[[#This Row],[Year]],Table2[[#This Row],[Month]],1))</f>
        <v/>
      </c>
    </row>
    <row r="7157" spans="7:11" x14ac:dyDescent="0.25">
      <c r="G7157" s="1" t="str">
        <f>IF(Table2[[#This Row],[Description]]="","",VLOOKUP(Table2[[#This Row],[Description]],$Q$1:$S$101,2,FALSE))</f>
        <v/>
      </c>
      <c r="H7157" s="1" t="str">
        <f>IF(Table2[[#This Row],[Description]]="","",VLOOKUP(Table2[[#This Row],[Description]],$Q$1:$S$101,3,FALSE))</f>
        <v/>
      </c>
      <c r="I7157" s="1" t="str">
        <f>IF(Table2[[#This Row],[Description]]="","",IF(Table2[[#This Row],[Currency]]=$O$2,$P$2,HLOOKUP(Table2[[#This Row],[Date]],Funds!$C$10:$GV$11,2,FALSE)))</f>
        <v/>
      </c>
      <c r="J7157" s="215" t="str">
        <f>IF(Table2[[#This Row],[Description]]="","",Table2[[#This Row],[Value]]/Table2[[#This Row],[Conversion]])</f>
        <v/>
      </c>
      <c r="K7157" s="45" t="str">
        <f>IF(Table2[[#This Row],[Description]]="","",DATE(Table2[[#This Row],[Year]],Table2[[#This Row],[Month]],1))</f>
        <v/>
      </c>
    </row>
    <row r="7158" spans="7:11" x14ac:dyDescent="0.25">
      <c r="G7158" s="1" t="str">
        <f>IF(Table2[[#This Row],[Description]]="","",VLOOKUP(Table2[[#This Row],[Description]],$Q$1:$S$101,2,FALSE))</f>
        <v/>
      </c>
      <c r="H7158" s="1" t="str">
        <f>IF(Table2[[#This Row],[Description]]="","",VLOOKUP(Table2[[#This Row],[Description]],$Q$1:$S$101,3,FALSE))</f>
        <v/>
      </c>
      <c r="I7158" s="1" t="str">
        <f>IF(Table2[[#This Row],[Description]]="","",IF(Table2[[#This Row],[Currency]]=$O$2,$P$2,HLOOKUP(Table2[[#This Row],[Date]],Funds!$C$10:$GV$11,2,FALSE)))</f>
        <v/>
      </c>
      <c r="J7158" s="215" t="str">
        <f>IF(Table2[[#This Row],[Description]]="","",Table2[[#This Row],[Value]]/Table2[[#This Row],[Conversion]])</f>
        <v/>
      </c>
      <c r="K7158" s="45" t="str">
        <f>IF(Table2[[#This Row],[Description]]="","",DATE(Table2[[#This Row],[Year]],Table2[[#This Row],[Month]],1))</f>
        <v/>
      </c>
    </row>
    <row r="7159" spans="7:11" x14ac:dyDescent="0.25">
      <c r="G7159" s="1" t="str">
        <f>IF(Table2[[#This Row],[Description]]="","",VLOOKUP(Table2[[#This Row],[Description]],$Q$1:$S$101,2,FALSE))</f>
        <v/>
      </c>
      <c r="H7159" s="1" t="str">
        <f>IF(Table2[[#This Row],[Description]]="","",VLOOKUP(Table2[[#This Row],[Description]],$Q$1:$S$101,3,FALSE))</f>
        <v/>
      </c>
      <c r="I7159" s="1" t="str">
        <f>IF(Table2[[#This Row],[Description]]="","",IF(Table2[[#This Row],[Currency]]=$O$2,$P$2,HLOOKUP(Table2[[#This Row],[Date]],Funds!$C$10:$GV$11,2,FALSE)))</f>
        <v/>
      </c>
      <c r="J7159" s="215" t="str">
        <f>IF(Table2[[#This Row],[Description]]="","",Table2[[#This Row],[Value]]/Table2[[#This Row],[Conversion]])</f>
        <v/>
      </c>
      <c r="K7159" s="45" t="str">
        <f>IF(Table2[[#This Row],[Description]]="","",DATE(Table2[[#This Row],[Year]],Table2[[#This Row],[Month]],1))</f>
        <v/>
      </c>
    </row>
    <row r="7160" spans="7:11" x14ac:dyDescent="0.25">
      <c r="G7160" s="1" t="str">
        <f>IF(Table2[[#This Row],[Description]]="","",VLOOKUP(Table2[[#This Row],[Description]],$Q$1:$S$101,2,FALSE))</f>
        <v/>
      </c>
      <c r="H7160" s="1" t="str">
        <f>IF(Table2[[#This Row],[Description]]="","",VLOOKUP(Table2[[#This Row],[Description]],$Q$1:$S$101,3,FALSE))</f>
        <v/>
      </c>
      <c r="I7160" s="1" t="str">
        <f>IF(Table2[[#This Row],[Description]]="","",IF(Table2[[#This Row],[Currency]]=$O$2,$P$2,HLOOKUP(Table2[[#This Row],[Date]],Funds!$C$10:$GV$11,2,FALSE)))</f>
        <v/>
      </c>
      <c r="J7160" s="215" t="str">
        <f>IF(Table2[[#This Row],[Description]]="","",Table2[[#This Row],[Value]]/Table2[[#This Row],[Conversion]])</f>
        <v/>
      </c>
      <c r="K7160" s="45" t="str">
        <f>IF(Table2[[#This Row],[Description]]="","",DATE(Table2[[#This Row],[Year]],Table2[[#This Row],[Month]],1))</f>
        <v/>
      </c>
    </row>
    <row r="7161" spans="7:11" x14ac:dyDescent="0.25">
      <c r="G7161" s="1" t="str">
        <f>IF(Table2[[#This Row],[Description]]="","",VLOOKUP(Table2[[#This Row],[Description]],$Q$1:$S$101,2,FALSE))</f>
        <v/>
      </c>
      <c r="H7161" s="1" t="str">
        <f>IF(Table2[[#This Row],[Description]]="","",VLOOKUP(Table2[[#This Row],[Description]],$Q$1:$S$101,3,FALSE))</f>
        <v/>
      </c>
      <c r="I7161" s="1" t="str">
        <f>IF(Table2[[#This Row],[Description]]="","",IF(Table2[[#This Row],[Currency]]=$O$2,$P$2,HLOOKUP(Table2[[#This Row],[Date]],Funds!$C$10:$GV$11,2,FALSE)))</f>
        <v/>
      </c>
      <c r="J7161" s="215" t="str">
        <f>IF(Table2[[#This Row],[Description]]="","",Table2[[#This Row],[Value]]/Table2[[#This Row],[Conversion]])</f>
        <v/>
      </c>
      <c r="K7161" s="45" t="str">
        <f>IF(Table2[[#This Row],[Description]]="","",DATE(Table2[[#This Row],[Year]],Table2[[#This Row],[Month]],1))</f>
        <v/>
      </c>
    </row>
    <row r="7162" spans="7:11" x14ac:dyDescent="0.25">
      <c r="G7162" s="1" t="str">
        <f>IF(Table2[[#This Row],[Description]]="","",VLOOKUP(Table2[[#This Row],[Description]],$Q$1:$S$101,2,FALSE))</f>
        <v/>
      </c>
      <c r="H7162" s="1" t="str">
        <f>IF(Table2[[#This Row],[Description]]="","",VLOOKUP(Table2[[#This Row],[Description]],$Q$1:$S$101,3,FALSE))</f>
        <v/>
      </c>
      <c r="I7162" s="1" t="str">
        <f>IF(Table2[[#This Row],[Description]]="","",IF(Table2[[#This Row],[Currency]]=$O$2,$P$2,HLOOKUP(Table2[[#This Row],[Date]],Funds!$C$10:$GV$11,2,FALSE)))</f>
        <v/>
      </c>
      <c r="J7162" s="215" t="str">
        <f>IF(Table2[[#This Row],[Description]]="","",Table2[[#This Row],[Value]]/Table2[[#This Row],[Conversion]])</f>
        <v/>
      </c>
      <c r="K7162" s="45" t="str">
        <f>IF(Table2[[#This Row],[Description]]="","",DATE(Table2[[#This Row],[Year]],Table2[[#This Row],[Month]],1))</f>
        <v/>
      </c>
    </row>
    <row r="7163" spans="7:11" x14ac:dyDescent="0.25">
      <c r="G7163" s="1" t="str">
        <f>IF(Table2[[#This Row],[Description]]="","",VLOOKUP(Table2[[#This Row],[Description]],$Q$1:$S$101,2,FALSE))</f>
        <v/>
      </c>
      <c r="H7163" s="1" t="str">
        <f>IF(Table2[[#This Row],[Description]]="","",VLOOKUP(Table2[[#This Row],[Description]],$Q$1:$S$101,3,FALSE))</f>
        <v/>
      </c>
      <c r="I7163" s="1" t="str">
        <f>IF(Table2[[#This Row],[Description]]="","",IF(Table2[[#This Row],[Currency]]=$O$2,$P$2,HLOOKUP(Table2[[#This Row],[Date]],Funds!$C$10:$GV$11,2,FALSE)))</f>
        <v/>
      </c>
      <c r="J7163" s="215" t="str">
        <f>IF(Table2[[#This Row],[Description]]="","",Table2[[#This Row],[Value]]/Table2[[#This Row],[Conversion]])</f>
        <v/>
      </c>
      <c r="K7163" s="45" t="str">
        <f>IF(Table2[[#This Row],[Description]]="","",DATE(Table2[[#This Row],[Year]],Table2[[#This Row],[Month]],1))</f>
        <v/>
      </c>
    </row>
    <row r="7164" spans="7:11" x14ac:dyDescent="0.25">
      <c r="G7164" s="1" t="str">
        <f>IF(Table2[[#This Row],[Description]]="","",VLOOKUP(Table2[[#This Row],[Description]],$Q$1:$S$101,2,FALSE))</f>
        <v/>
      </c>
      <c r="H7164" s="1" t="str">
        <f>IF(Table2[[#This Row],[Description]]="","",VLOOKUP(Table2[[#This Row],[Description]],$Q$1:$S$101,3,FALSE))</f>
        <v/>
      </c>
      <c r="I7164" s="1" t="str">
        <f>IF(Table2[[#This Row],[Description]]="","",IF(Table2[[#This Row],[Currency]]=$O$2,$P$2,HLOOKUP(Table2[[#This Row],[Date]],Funds!$C$10:$GV$11,2,FALSE)))</f>
        <v/>
      </c>
      <c r="J7164" s="215" t="str">
        <f>IF(Table2[[#This Row],[Description]]="","",Table2[[#This Row],[Value]]/Table2[[#This Row],[Conversion]])</f>
        <v/>
      </c>
      <c r="K7164" s="45" t="str">
        <f>IF(Table2[[#This Row],[Description]]="","",DATE(Table2[[#This Row],[Year]],Table2[[#This Row],[Month]],1))</f>
        <v/>
      </c>
    </row>
    <row r="7165" spans="7:11" x14ac:dyDescent="0.25">
      <c r="G7165" s="1" t="str">
        <f>IF(Table2[[#This Row],[Description]]="","",VLOOKUP(Table2[[#This Row],[Description]],$Q$1:$S$101,2,FALSE))</f>
        <v/>
      </c>
      <c r="H7165" s="1" t="str">
        <f>IF(Table2[[#This Row],[Description]]="","",VLOOKUP(Table2[[#This Row],[Description]],$Q$1:$S$101,3,FALSE))</f>
        <v/>
      </c>
      <c r="I7165" s="1" t="str">
        <f>IF(Table2[[#This Row],[Description]]="","",IF(Table2[[#This Row],[Currency]]=$O$2,$P$2,HLOOKUP(Table2[[#This Row],[Date]],Funds!$C$10:$GV$11,2,FALSE)))</f>
        <v/>
      </c>
      <c r="J7165" s="215" t="str">
        <f>IF(Table2[[#This Row],[Description]]="","",Table2[[#This Row],[Value]]/Table2[[#This Row],[Conversion]])</f>
        <v/>
      </c>
      <c r="K7165" s="45" t="str">
        <f>IF(Table2[[#This Row],[Description]]="","",DATE(Table2[[#This Row],[Year]],Table2[[#This Row],[Month]],1))</f>
        <v/>
      </c>
    </row>
    <row r="7166" spans="7:11" x14ac:dyDescent="0.25">
      <c r="G7166" s="1" t="str">
        <f>IF(Table2[[#This Row],[Description]]="","",VLOOKUP(Table2[[#This Row],[Description]],$Q$1:$S$101,2,FALSE))</f>
        <v/>
      </c>
      <c r="H7166" s="1" t="str">
        <f>IF(Table2[[#This Row],[Description]]="","",VLOOKUP(Table2[[#This Row],[Description]],$Q$1:$S$101,3,FALSE))</f>
        <v/>
      </c>
      <c r="I7166" s="1" t="str">
        <f>IF(Table2[[#This Row],[Description]]="","",IF(Table2[[#This Row],[Currency]]=$O$2,$P$2,HLOOKUP(Table2[[#This Row],[Date]],Funds!$C$10:$GV$11,2,FALSE)))</f>
        <v/>
      </c>
      <c r="J7166" s="215" t="str">
        <f>IF(Table2[[#This Row],[Description]]="","",Table2[[#This Row],[Value]]/Table2[[#This Row],[Conversion]])</f>
        <v/>
      </c>
      <c r="K7166" s="45" t="str">
        <f>IF(Table2[[#This Row],[Description]]="","",DATE(Table2[[#This Row],[Year]],Table2[[#This Row],[Month]],1))</f>
        <v/>
      </c>
    </row>
    <row r="7167" spans="7:11" x14ac:dyDescent="0.25">
      <c r="G7167" s="1" t="str">
        <f>IF(Table2[[#This Row],[Description]]="","",VLOOKUP(Table2[[#This Row],[Description]],$Q$1:$S$101,2,FALSE))</f>
        <v/>
      </c>
      <c r="H7167" s="1" t="str">
        <f>IF(Table2[[#This Row],[Description]]="","",VLOOKUP(Table2[[#This Row],[Description]],$Q$1:$S$101,3,FALSE))</f>
        <v/>
      </c>
      <c r="I7167" s="1" t="str">
        <f>IF(Table2[[#This Row],[Description]]="","",IF(Table2[[#This Row],[Currency]]=$O$2,$P$2,HLOOKUP(Table2[[#This Row],[Date]],Funds!$C$10:$GV$11,2,FALSE)))</f>
        <v/>
      </c>
      <c r="J7167" s="215" t="str">
        <f>IF(Table2[[#This Row],[Description]]="","",Table2[[#This Row],[Value]]/Table2[[#This Row],[Conversion]])</f>
        <v/>
      </c>
      <c r="K7167" s="45" t="str">
        <f>IF(Table2[[#This Row],[Description]]="","",DATE(Table2[[#This Row],[Year]],Table2[[#This Row],[Month]],1))</f>
        <v/>
      </c>
    </row>
    <row r="7168" spans="7:11" x14ac:dyDescent="0.25">
      <c r="G7168" s="1" t="str">
        <f>IF(Table2[[#This Row],[Description]]="","",VLOOKUP(Table2[[#This Row],[Description]],$Q$1:$S$101,2,FALSE))</f>
        <v/>
      </c>
      <c r="H7168" s="1" t="str">
        <f>IF(Table2[[#This Row],[Description]]="","",VLOOKUP(Table2[[#This Row],[Description]],$Q$1:$S$101,3,FALSE))</f>
        <v/>
      </c>
      <c r="I7168" s="1" t="str">
        <f>IF(Table2[[#This Row],[Description]]="","",IF(Table2[[#This Row],[Currency]]=$O$2,$P$2,HLOOKUP(Table2[[#This Row],[Date]],Funds!$C$10:$GV$11,2,FALSE)))</f>
        <v/>
      </c>
      <c r="J7168" s="215" t="str">
        <f>IF(Table2[[#This Row],[Description]]="","",Table2[[#This Row],[Value]]/Table2[[#This Row],[Conversion]])</f>
        <v/>
      </c>
      <c r="K7168" s="45" t="str">
        <f>IF(Table2[[#This Row],[Description]]="","",DATE(Table2[[#This Row],[Year]],Table2[[#This Row],[Month]],1))</f>
        <v/>
      </c>
    </row>
    <row r="7169" spans="7:11" x14ac:dyDescent="0.25">
      <c r="G7169" s="1" t="str">
        <f>IF(Table2[[#This Row],[Description]]="","",VLOOKUP(Table2[[#This Row],[Description]],$Q$1:$S$101,2,FALSE))</f>
        <v/>
      </c>
      <c r="H7169" s="1" t="str">
        <f>IF(Table2[[#This Row],[Description]]="","",VLOOKUP(Table2[[#This Row],[Description]],$Q$1:$S$101,3,FALSE))</f>
        <v/>
      </c>
      <c r="I7169" s="1" t="str">
        <f>IF(Table2[[#This Row],[Description]]="","",IF(Table2[[#This Row],[Currency]]=$O$2,$P$2,HLOOKUP(Table2[[#This Row],[Date]],Funds!$C$10:$GV$11,2,FALSE)))</f>
        <v/>
      </c>
      <c r="J7169" s="215" t="str">
        <f>IF(Table2[[#This Row],[Description]]="","",Table2[[#This Row],[Value]]/Table2[[#This Row],[Conversion]])</f>
        <v/>
      </c>
      <c r="K7169" s="45" t="str">
        <f>IF(Table2[[#This Row],[Description]]="","",DATE(Table2[[#This Row],[Year]],Table2[[#This Row],[Month]],1))</f>
        <v/>
      </c>
    </row>
    <row r="7170" spans="7:11" x14ac:dyDescent="0.25">
      <c r="G7170" s="1" t="str">
        <f>IF(Table2[[#This Row],[Description]]="","",VLOOKUP(Table2[[#This Row],[Description]],$Q$1:$S$101,2,FALSE))</f>
        <v/>
      </c>
      <c r="H7170" s="1" t="str">
        <f>IF(Table2[[#This Row],[Description]]="","",VLOOKUP(Table2[[#This Row],[Description]],$Q$1:$S$101,3,FALSE))</f>
        <v/>
      </c>
      <c r="I7170" s="1" t="str">
        <f>IF(Table2[[#This Row],[Description]]="","",IF(Table2[[#This Row],[Currency]]=$O$2,$P$2,HLOOKUP(Table2[[#This Row],[Date]],Funds!$C$10:$GV$11,2,FALSE)))</f>
        <v/>
      </c>
      <c r="J7170" s="215" t="str">
        <f>IF(Table2[[#This Row],[Description]]="","",Table2[[#This Row],[Value]]/Table2[[#This Row],[Conversion]])</f>
        <v/>
      </c>
      <c r="K7170" s="45" t="str">
        <f>IF(Table2[[#This Row],[Description]]="","",DATE(Table2[[#This Row],[Year]],Table2[[#This Row],[Month]],1))</f>
        <v/>
      </c>
    </row>
    <row r="7171" spans="7:11" x14ac:dyDescent="0.25">
      <c r="G7171" s="1" t="str">
        <f>IF(Table2[[#This Row],[Description]]="","",VLOOKUP(Table2[[#This Row],[Description]],$Q$1:$S$101,2,FALSE))</f>
        <v/>
      </c>
      <c r="H7171" s="1" t="str">
        <f>IF(Table2[[#This Row],[Description]]="","",VLOOKUP(Table2[[#This Row],[Description]],$Q$1:$S$101,3,FALSE))</f>
        <v/>
      </c>
      <c r="I7171" s="1" t="str">
        <f>IF(Table2[[#This Row],[Description]]="","",IF(Table2[[#This Row],[Currency]]=$O$2,$P$2,HLOOKUP(Table2[[#This Row],[Date]],Funds!$C$10:$GV$11,2,FALSE)))</f>
        <v/>
      </c>
      <c r="J7171" s="215" t="str">
        <f>IF(Table2[[#This Row],[Description]]="","",Table2[[#This Row],[Value]]/Table2[[#This Row],[Conversion]])</f>
        <v/>
      </c>
      <c r="K7171" s="45" t="str">
        <f>IF(Table2[[#This Row],[Description]]="","",DATE(Table2[[#This Row],[Year]],Table2[[#This Row],[Month]],1))</f>
        <v/>
      </c>
    </row>
    <row r="7172" spans="7:11" x14ac:dyDescent="0.25">
      <c r="G7172" s="1" t="str">
        <f>IF(Table2[[#This Row],[Description]]="","",VLOOKUP(Table2[[#This Row],[Description]],$Q$1:$S$101,2,FALSE))</f>
        <v/>
      </c>
      <c r="H7172" s="1" t="str">
        <f>IF(Table2[[#This Row],[Description]]="","",VLOOKUP(Table2[[#This Row],[Description]],$Q$1:$S$101,3,FALSE))</f>
        <v/>
      </c>
      <c r="I7172" s="1" t="str">
        <f>IF(Table2[[#This Row],[Description]]="","",IF(Table2[[#This Row],[Currency]]=$O$2,$P$2,HLOOKUP(Table2[[#This Row],[Date]],Funds!$C$10:$GV$11,2,FALSE)))</f>
        <v/>
      </c>
      <c r="J7172" s="215" t="str">
        <f>IF(Table2[[#This Row],[Description]]="","",Table2[[#This Row],[Value]]/Table2[[#This Row],[Conversion]])</f>
        <v/>
      </c>
      <c r="K7172" s="45" t="str">
        <f>IF(Table2[[#This Row],[Description]]="","",DATE(Table2[[#This Row],[Year]],Table2[[#This Row],[Month]],1))</f>
        <v/>
      </c>
    </row>
    <row r="7173" spans="7:11" x14ac:dyDescent="0.25">
      <c r="G7173" s="1" t="str">
        <f>IF(Table2[[#This Row],[Description]]="","",VLOOKUP(Table2[[#This Row],[Description]],$Q$1:$S$101,2,FALSE))</f>
        <v/>
      </c>
      <c r="H7173" s="1" t="str">
        <f>IF(Table2[[#This Row],[Description]]="","",VLOOKUP(Table2[[#This Row],[Description]],$Q$1:$S$101,3,FALSE))</f>
        <v/>
      </c>
      <c r="I7173" s="1" t="str">
        <f>IF(Table2[[#This Row],[Description]]="","",IF(Table2[[#This Row],[Currency]]=$O$2,$P$2,HLOOKUP(Table2[[#This Row],[Date]],Funds!$C$10:$GV$11,2,FALSE)))</f>
        <v/>
      </c>
      <c r="J7173" s="215" t="str">
        <f>IF(Table2[[#This Row],[Description]]="","",Table2[[#This Row],[Value]]/Table2[[#This Row],[Conversion]])</f>
        <v/>
      </c>
      <c r="K7173" s="45" t="str">
        <f>IF(Table2[[#This Row],[Description]]="","",DATE(Table2[[#This Row],[Year]],Table2[[#This Row],[Month]],1))</f>
        <v/>
      </c>
    </row>
    <row r="7174" spans="7:11" x14ac:dyDescent="0.25">
      <c r="G7174" s="1" t="str">
        <f>IF(Table2[[#This Row],[Description]]="","",VLOOKUP(Table2[[#This Row],[Description]],$Q$1:$S$101,2,FALSE))</f>
        <v/>
      </c>
      <c r="H7174" s="1" t="str">
        <f>IF(Table2[[#This Row],[Description]]="","",VLOOKUP(Table2[[#This Row],[Description]],$Q$1:$S$101,3,FALSE))</f>
        <v/>
      </c>
      <c r="I7174" s="1" t="str">
        <f>IF(Table2[[#This Row],[Description]]="","",IF(Table2[[#This Row],[Currency]]=$O$2,$P$2,HLOOKUP(Table2[[#This Row],[Date]],Funds!$C$10:$GV$11,2,FALSE)))</f>
        <v/>
      </c>
      <c r="J7174" s="215" t="str">
        <f>IF(Table2[[#This Row],[Description]]="","",Table2[[#This Row],[Value]]/Table2[[#This Row],[Conversion]])</f>
        <v/>
      </c>
      <c r="K7174" s="45" t="str">
        <f>IF(Table2[[#This Row],[Description]]="","",DATE(Table2[[#This Row],[Year]],Table2[[#This Row],[Month]],1))</f>
        <v/>
      </c>
    </row>
    <row r="7175" spans="7:11" x14ac:dyDescent="0.25">
      <c r="G7175" s="1" t="str">
        <f>IF(Table2[[#This Row],[Description]]="","",VLOOKUP(Table2[[#This Row],[Description]],$Q$1:$S$101,2,FALSE))</f>
        <v/>
      </c>
      <c r="H7175" s="1" t="str">
        <f>IF(Table2[[#This Row],[Description]]="","",VLOOKUP(Table2[[#This Row],[Description]],$Q$1:$S$101,3,FALSE))</f>
        <v/>
      </c>
      <c r="I7175" s="1" t="str">
        <f>IF(Table2[[#This Row],[Description]]="","",IF(Table2[[#This Row],[Currency]]=$O$2,$P$2,HLOOKUP(Table2[[#This Row],[Date]],Funds!$C$10:$GV$11,2,FALSE)))</f>
        <v/>
      </c>
      <c r="J7175" s="215" t="str">
        <f>IF(Table2[[#This Row],[Description]]="","",Table2[[#This Row],[Value]]/Table2[[#This Row],[Conversion]])</f>
        <v/>
      </c>
      <c r="K7175" s="45" t="str">
        <f>IF(Table2[[#This Row],[Description]]="","",DATE(Table2[[#This Row],[Year]],Table2[[#This Row],[Month]],1))</f>
        <v/>
      </c>
    </row>
    <row r="7176" spans="7:11" x14ac:dyDescent="0.25">
      <c r="G7176" s="1" t="str">
        <f>IF(Table2[[#This Row],[Description]]="","",VLOOKUP(Table2[[#This Row],[Description]],$Q$1:$S$101,2,FALSE))</f>
        <v/>
      </c>
      <c r="H7176" s="1" t="str">
        <f>IF(Table2[[#This Row],[Description]]="","",VLOOKUP(Table2[[#This Row],[Description]],$Q$1:$S$101,3,FALSE))</f>
        <v/>
      </c>
      <c r="I7176" s="1" t="str">
        <f>IF(Table2[[#This Row],[Description]]="","",IF(Table2[[#This Row],[Currency]]=$O$2,$P$2,HLOOKUP(Table2[[#This Row],[Date]],Funds!$C$10:$GV$11,2,FALSE)))</f>
        <v/>
      </c>
      <c r="J7176" s="215" t="str">
        <f>IF(Table2[[#This Row],[Description]]="","",Table2[[#This Row],[Value]]/Table2[[#This Row],[Conversion]])</f>
        <v/>
      </c>
      <c r="K7176" s="45" t="str">
        <f>IF(Table2[[#This Row],[Description]]="","",DATE(Table2[[#This Row],[Year]],Table2[[#This Row],[Month]],1))</f>
        <v/>
      </c>
    </row>
    <row r="7177" spans="7:11" x14ac:dyDescent="0.25">
      <c r="G7177" s="1" t="str">
        <f>IF(Table2[[#This Row],[Description]]="","",VLOOKUP(Table2[[#This Row],[Description]],$Q$1:$S$101,2,FALSE))</f>
        <v/>
      </c>
      <c r="H7177" s="1" t="str">
        <f>IF(Table2[[#This Row],[Description]]="","",VLOOKUP(Table2[[#This Row],[Description]],$Q$1:$S$101,3,FALSE))</f>
        <v/>
      </c>
      <c r="I7177" s="1" t="str">
        <f>IF(Table2[[#This Row],[Description]]="","",IF(Table2[[#This Row],[Currency]]=$O$2,$P$2,HLOOKUP(Table2[[#This Row],[Date]],Funds!$C$10:$GV$11,2,FALSE)))</f>
        <v/>
      </c>
      <c r="J7177" s="215" t="str">
        <f>IF(Table2[[#This Row],[Description]]="","",Table2[[#This Row],[Value]]/Table2[[#This Row],[Conversion]])</f>
        <v/>
      </c>
      <c r="K7177" s="45" t="str">
        <f>IF(Table2[[#This Row],[Description]]="","",DATE(Table2[[#This Row],[Year]],Table2[[#This Row],[Month]],1))</f>
        <v/>
      </c>
    </row>
    <row r="7178" spans="7:11" x14ac:dyDescent="0.25">
      <c r="G7178" s="1" t="str">
        <f>IF(Table2[[#This Row],[Description]]="","",VLOOKUP(Table2[[#This Row],[Description]],$Q$1:$S$101,2,FALSE))</f>
        <v/>
      </c>
      <c r="H7178" s="1" t="str">
        <f>IF(Table2[[#This Row],[Description]]="","",VLOOKUP(Table2[[#This Row],[Description]],$Q$1:$S$101,3,FALSE))</f>
        <v/>
      </c>
      <c r="I7178" s="1" t="str">
        <f>IF(Table2[[#This Row],[Description]]="","",IF(Table2[[#This Row],[Currency]]=$O$2,$P$2,HLOOKUP(Table2[[#This Row],[Date]],Funds!$C$10:$GV$11,2,FALSE)))</f>
        <v/>
      </c>
      <c r="J7178" s="215" t="str">
        <f>IF(Table2[[#This Row],[Description]]="","",Table2[[#This Row],[Value]]/Table2[[#This Row],[Conversion]])</f>
        <v/>
      </c>
      <c r="K7178" s="45" t="str">
        <f>IF(Table2[[#This Row],[Description]]="","",DATE(Table2[[#This Row],[Year]],Table2[[#This Row],[Month]],1))</f>
        <v/>
      </c>
    </row>
    <row r="7179" spans="7:11" x14ac:dyDescent="0.25">
      <c r="G7179" s="1" t="str">
        <f>IF(Table2[[#This Row],[Description]]="","",VLOOKUP(Table2[[#This Row],[Description]],$Q$1:$S$101,2,FALSE))</f>
        <v/>
      </c>
      <c r="H7179" s="1" t="str">
        <f>IF(Table2[[#This Row],[Description]]="","",VLOOKUP(Table2[[#This Row],[Description]],$Q$1:$S$101,3,FALSE))</f>
        <v/>
      </c>
      <c r="I7179" s="1" t="str">
        <f>IF(Table2[[#This Row],[Description]]="","",IF(Table2[[#This Row],[Currency]]=$O$2,$P$2,HLOOKUP(Table2[[#This Row],[Date]],Funds!$C$10:$GV$11,2,FALSE)))</f>
        <v/>
      </c>
      <c r="J7179" s="215" t="str">
        <f>IF(Table2[[#This Row],[Description]]="","",Table2[[#This Row],[Value]]/Table2[[#This Row],[Conversion]])</f>
        <v/>
      </c>
      <c r="K7179" s="45" t="str">
        <f>IF(Table2[[#This Row],[Description]]="","",DATE(Table2[[#This Row],[Year]],Table2[[#This Row],[Month]],1))</f>
        <v/>
      </c>
    </row>
    <row r="7180" spans="7:11" x14ac:dyDescent="0.25">
      <c r="G7180" s="1" t="str">
        <f>IF(Table2[[#This Row],[Description]]="","",VLOOKUP(Table2[[#This Row],[Description]],$Q$1:$S$101,2,FALSE))</f>
        <v/>
      </c>
      <c r="H7180" s="1" t="str">
        <f>IF(Table2[[#This Row],[Description]]="","",VLOOKUP(Table2[[#This Row],[Description]],$Q$1:$S$101,3,FALSE))</f>
        <v/>
      </c>
      <c r="I7180" s="1" t="str">
        <f>IF(Table2[[#This Row],[Description]]="","",IF(Table2[[#This Row],[Currency]]=$O$2,$P$2,HLOOKUP(Table2[[#This Row],[Date]],Funds!$C$10:$GV$11,2,FALSE)))</f>
        <v/>
      </c>
      <c r="J7180" s="215" t="str">
        <f>IF(Table2[[#This Row],[Description]]="","",Table2[[#This Row],[Value]]/Table2[[#This Row],[Conversion]])</f>
        <v/>
      </c>
      <c r="K7180" s="45" t="str">
        <f>IF(Table2[[#This Row],[Description]]="","",DATE(Table2[[#This Row],[Year]],Table2[[#This Row],[Month]],1))</f>
        <v/>
      </c>
    </row>
    <row r="7181" spans="7:11" x14ac:dyDescent="0.25">
      <c r="G7181" s="1" t="str">
        <f>IF(Table2[[#This Row],[Description]]="","",VLOOKUP(Table2[[#This Row],[Description]],$Q$1:$S$101,2,FALSE))</f>
        <v/>
      </c>
      <c r="H7181" s="1" t="str">
        <f>IF(Table2[[#This Row],[Description]]="","",VLOOKUP(Table2[[#This Row],[Description]],$Q$1:$S$101,3,FALSE))</f>
        <v/>
      </c>
      <c r="I7181" s="1" t="str">
        <f>IF(Table2[[#This Row],[Description]]="","",IF(Table2[[#This Row],[Currency]]=$O$2,$P$2,HLOOKUP(Table2[[#This Row],[Date]],Funds!$C$10:$GV$11,2,FALSE)))</f>
        <v/>
      </c>
      <c r="J7181" s="215" t="str">
        <f>IF(Table2[[#This Row],[Description]]="","",Table2[[#This Row],[Value]]/Table2[[#This Row],[Conversion]])</f>
        <v/>
      </c>
      <c r="K7181" s="45" t="str">
        <f>IF(Table2[[#This Row],[Description]]="","",DATE(Table2[[#This Row],[Year]],Table2[[#This Row],[Month]],1))</f>
        <v/>
      </c>
    </row>
    <row r="7182" spans="7:11" x14ac:dyDescent="0.25">
      <c r="G7182" s="1" t="str">
        <f>IF(Table2[[#This Row],[Description]]="","",VLOOKUP(Table2[[#This Row],[Description]],$Q$1:$S$101,2,FALSE))</f>
        <v/>
      </c>
      <c r="H7182" s="1" t="str">
        <f>IF(Table2[[#This Row],[Description]]="","",VLOOKUP(Table2[[#This Row],[Description]],$Q$1:$S$101,3,FALSE))</f>
        <v/>
      </c>
      <c r="I7182" s="1" t="str">
        <f>IF(Table2[[#This Row],[Description]]="","",IF(Table2[[#This Row],[Currency]]=$O$2,$P$2,HLOOKUP(Table2[[#This Row],[Date]],Funds!$C$10:$GV$11,2,FALSE)))</f>
        <v/>
      </c>
      <c r="J7182" s="215" t="str">
        <f>IF(Table2[[#This Row],[Description]]="","",Table2[[#This Row],[Value]]/Table2[[#This Row],[Conversion]])</f>
        <v/>
      </c>
      <c r="K7182" s="45" t="str">
        <f>IF(Table2[[#This Row],[Description]]="","",DATE(Table2[[#This Row],[Year]],Table2[[#This Row],[Month]],1))</f>
        <v/>
      </c>
    </row>
    <row r="7183" spans="7:11" x14ac:dyDescent="0.25">
      <c r="G7183" s="1" t="str">
        <f>IF(Table2[[#This Row],[Description]]="","",VLOOKUP(Table2[[#This Row],[Description]],$Q$1:$S$101,2,FALSE))</f>
        <v/>
      </c>
      <c r="H7183" s="1" t="str">
        <f>IF(Table2[[#This Row],[Description]]="","",VLOOKUP(Table2[[#This Row],[Description]],$Q$1:$S$101,3,FALSE))</f>
        <v/>
      </c>
      <c r="I7183" s="1" t="str">
        <f>IF(Table2[[#This Row],[Description]]="","",IF(Table2[[#This Row],[Currency]]=$O$2,$P$2,HLOOKUP(Table2[[#This Row],[Date]],Funds!$C$10:$GV$11,2,FALSE)))</f>
        <v/>
      </c>
      <c r="J7183" s="215" t="str">
        <f>IF(Table2[[#This Row],[Description]]="","",Table2[[#This Row],[Value]]/Table2[[#This Row],[Conversion]])</f>
        <v/>
      </c>
      <c r="K7183" s="45" t="str">
        <f>IF(Table2[[#This Row],[Description]]="","",DATE(Table2[[#This Row],[Year]],Table2[[#This Row],[Month]],1))</f>
        <v/>
      </c>
    </row>
    <row r="7184" spans="7:11" x14ac:dyDescent="0.25">
      <c r="G7184" s="1" t="str">
        <f>IF(Table2[[#This Row],[Description]]="","",VLOOKUP(Table2[[#This Row],[Description]],$Q$1:$S$101,2,FALSE))</f>
        <v/>
      </c>
      <c r="H7184" s="1" t="str">
        <f>IF(Table2[[#This Row],[Description]]="","",VLOOKUP(Table2[[#This Row],[Description]],$Q$1:$S$101,3,FALSE))</f>
        <v/>
      </c>
      <c r="I7184" s="1" t="str">
        <f>IF(Table2[[#This Row],[Description]]="","",IF(Table2[[#This Row],[Currency]]=$O$2,$P$2,HLOOKUP(Table2[[#This Row],[Date]],Funds!$C$10:$GV$11,2,FALSE)))</f>
        <v/>
      </c>
      <c r="J7184" s="215" t="str">
        <f>IF(Table2[[#This Row],[Description]]="","",Table2[[#This Row],[Value]]/Table2[[#This Row],[Conversion]])</f>
        <v/>
      </c>
      <c r="K7184" s="45" t="str">
        <f>IF(Table2[[#This Row],[Description]]="","",DATE(Table2[[#This Row],[Year]],Table2[[#This Row],[Month]],1))</f>
        <v/>
      </c>
    </row>
    <row r="7185" spans="7:11" x14ac:dyDescent="0.25">
      <c r="G7185" s="1" t="str">
        <f>IF(Table2[[#This Row],[Description]]="","",VLOOKUP(Table2[[#This Row],[Description]],$Q$1:$S$101,2,FALSE))</f>
        <v/>
      </c>
      <c r="H7185" s="1" t="str">
        <f>IF(Table2[[#This Row],[Description]]="","",VLOOKUP(Table2[[#This Row],[Description]],$Q$1:$S$101,3,FALSE))</f>
        <v/>
      </c>
      <c r="I7185" s="1" t="str">
        <f>IF(Table2[[#This Row],[Description]]="","",IF(Table2[[#This Row],[Currency]]=$O$2,$P$2,HLOOKUP(Table2[[#This Row],[Date]],Funds!$C$10:$GV$11,2,FALSE)))</f>
        <v/>
      </c>
      <c r="J7185" s="215" t="str">
        <f>IF(Table2[[#This Row],[Description]]="","",Table2[[#This Row],[Value]]/Table2[[#This Row],[Conversion]])</f>
        <v/>
      </c>
      <c r="K7185" s="45" t="str">
        <f>IF(Table2[[#This Row],[Description]]="","",DATE(Table2[[#This Row],[Year]],Table2[[#This Row],[Month]],1))</f>
        <v/>
      </c>
    </row>
    <row r="7186" spans="7:11" x14ac:dyDescent="0.25">
      <c r="G7186" s="1" t="str">
        <f>IF(Table2[[#This Row],[Description]]="","",VLOOKUP(Table2[[#This Row],[Description]],$Q$1:$S$101,2,FALSE))</f>
        <v/>
      </c>
      <c r="H7186" s="1" t="str">
        <f>IF(Table2[[#This Row],[Description]]="","",VLOOKUP(Table2[[#This Row],[Description]],$Q$1:$S$101,3,FALSE))</f>
        <v/>
      </c>
      <c r="I7186" s="1" t="str">
        <f>IF(Table2[[#This Row],[Description]]="","",IF(Table2[[#This Row],[Currency]]=$O$2,$P$2,HLOOKUP(Table2[[#This Row],[Date]],Funds!$C$10:$GV$11,2,FALSE)))</f>
        <v/>
      </c>
      <c r="J7186" s="215" t="str">
        <f>IF(Table2[[#This Row],[Description]]="","",Table2[[#This Row],[Value]]/Table2[[#This Row],[Conversion]])</f>
        <v/>
      </c>
      <c r="K7186" s="45" t="str">
        <f>IF(Table2[[#This Row],[Description]]="","",DATE(Table2[[#This Row],[Year]],Table2[[#This Row],[Month]],1))</f>
        <v/>
      </c>
    </row>
    <row r="7187" spans="7:11" x14ac:dyDescent="0.25">
      <c r="G7187" s="1" t="str">
        <f>IF(Table2[[#This Row],[Description]]="","",VLOOKUP(Table2[[#This Row],[Description]],$Q$1:$S$101,2,FALSE))</f>
        <v/>
      </c>
      <c r="H7187" s="1" t="str">
        <f>IF(Table2[[#This Row],[Description]]="","",VLOOKUP(Table2[[#This Row],[Description]],$Q$1:$S$101,3,FALSE))</f>
        <v/>
      </c>
      <c r="I7187" s="1" t="str">
        <f>IF(Table2[[#This Row],[Description]]="","",IF(Table2[[#This Row],[Currency]]=$O$2,$P$2,HLOOKUP(Table2[[#This Row],[Date]],Funds!$C$10:$GV$11,2,FALSE)))</f>
        <v/>
      </c>
      <c r="J7187" s="215" t="str">
        <f>IF(Table2[[#This Row],[Description]]="","",Table2[[#This Row],[Value]]/Table2[[#This Row],[Conversion]])</f>
        <v/>
      </c>
      <c r="K7187" s="45" t="str">
        <f>IF(Table2[[#This Row],[Description]]="","",DATE(Table2[[#This Row],[Year]],Table2[[#This Row],[Month]],1))</f>
        <v/>
      </c>
    </row>
    <row r="7188" spans="7:11" x14ac:dyDescent="0.25">
      <c r="G7188" s="1" t="str">
        <f>IF(Table2[[#This Row],[Description]]="","",VLOOKUP(Table2[[#This Row],[Description]],$Q$1:$S$101,2,FALSE))</f>
        <v/>
      </c>
      <c r="H7188" s="1" t="str">
        <f>IF(Table2[[#This Row],[Description]]="","",VLOOKUP(Table2[[#This Row],[Description]],$Q$1:$S$101,3,FALSE))</f>
        <v/>
      </c>
      <c r="I7188" s="1" t="str">
        <f>IF(Table2[[#This Row],[Description]]="","",IF(Table2[[#This Row],[Currency]]=$O$2,$P$2,HLOOKUP(Table2[[#This Row],[Date]],Funds!$C$10:$GV$11,2,FALSE)))</f>
        <v/>
      </c>
      <c r="J7188" s="215" t="str">
        <f>IF(Table2[[#This Row],[Description]]="","",Table2[[#This Row],[Value]]/Table2[[#This Row],[Conversion]])</f>
        <v/>
      </c>
      <c r="K7188" s="45" t="str">
        <f>IF(Table2[[#This Row],[Description]]="","",DATE(Table2[[#This Row],[Year]],Table2[[#This Row],[Month]],1))</f>
        <v/>
      </c>
    </row>
    <row r="7189" spans="7:11" x14ac:dyDescent="0.25">
      <c r="G7189" s="1" t="str">
        <f>IF(Table2[[#This Row],[Description]]="","",VLOOKUP(Table2[[#This Row],[Description]],$Q$1:$S$101,2,FALSE))</f>
        <v/>
      </c>
      <c r="H7189" s="1" t="str">
        <f>IF(Table2[[#This Row],[Description]]="","",VLOOKUP(Table2[[#This Row],[Description]],$Q$1:$S$101,3,FALSE))</f>
        <v/>
      </c>
      <c r="I7189" s="1" t="str">
        <f>IF(Table2[[#This Row],[Description]]="","",IF(Table2[[#This Row],[Currency]]=$O$2,$P$2,HLOOKUP(Table2[[#This Row],[Date]],Funds!$C$10:$GV$11,2,FALSE)))</f>
        <v/>
      </c>
      <c r="J7189" s="215" t="str">
        <f>IF(Table2[[#This Row],[Description]]="","",Table2[[#This Row],[Value]]/Table2[[#This Row],[Conversion]])</f>
        <v/>
      </c>
      <c r="K7189" s="45" t="str">
        <f>IF(Table2[[#This Row],[Description]]="","",DATE(Table2[[#This Row],[Year]],Table2[[#This Row],[Month]],1))</f>
        <v/>
      </c>
    </row>
    <row r="7190" spans="7:11" x14ac:dyDescent="0.25">
      <c r="G7190" s="1" t="str">
        <f>IF(Table2[[#This Row],[Description]]="","",VLOOKUP(Table2[[#This Row],[Description]],$Q$1:$S$101,2,FALSE))</f>
        <v/>
      </c>
      <c r="H7190" s="1" t="str">
        <f>IF(Table2[[#This Row],[Description]]="","",VLOOKUP(Table2[[#This Row],[Description]],$Q$1:$S$101,3,FALSE))</f>
        <v/>
      </c>
      <c r="I7190" s="1" t="str">
        <f>IF(Table2[[#This Row],[Description]]="","",IF(Table2[[#This Row],[Currency]]=$O$2,$P$2,HLOOKUP(Table2[[#This Row],[Date]],Funds!$C$10:$GV$11,2,FALSE)))</f>
        <v/>
      </c>
      <c r="J7190" s="215" t="str">
        <f>IF(Table2[[#This Row],[Description]]="","",Table2[[#This Row],[Value]]/Table2[[#This Row],[Conversion]])</f>
        <v/>
      </c>
      <c r="K7190" s="45" t="str">
        <f>IF(Table2[[#This Row],[Description]]="","",DATE(Table2[[#This Row],[Year]],Table2[[#This Row],[Month]],1))</f>
        <v/>
      </c>
    </row>
    <row r="7191" spans="7:11" x14ac:dyDescent="0.25">
      <c r="G7191" s="1" t="str">
        <f>IF(Table2[[#This Row],[Description]]="","",VLOOKUP(Table2[[#This Row],[Description]],$Q$1:$S$101,2,FALSE))</f>
        <v/>
      </c>
      <c r="H7191" s="1" t="str">
        <f>IF(Table2[[#This Row],[Description]]="","",VLOOKUP(Table2[[#This Row],[Description]],$Q$1:$S$101,3,FALSE))</f>
        <v/>
      </c>
      <c r="I7191" s="1" t="str">
        <f>IF(Table2[[#This Row],[Description]]="","",IF(Table2[[#This Row],[Currency]]=$O$2,$P$2,HLOOKUP(Table2[[#This Row],[Date]],Funds!$C$10:$GV$11,2,FALSE)))</f>
        <v/>
      </c>
      <c r="J7191" s="215" t="str">
        <f>IF(Table2[[#This Row],[Description]]="","",Table2[[#This Row],[Value]]/Table2[[#This Row],[Conversion]])</f>
        <v/>
      </c>
      <c r="K7191" s="45" t="str">
        <f>IF(Table2[[#This Row],[Description]]="","",DATE(Table2[[#This Row],[Year]],Table2[[#This Row],[Month]],1))</f>
        <v/>
      </c>
    </row>
    <row r="7192" spans="7:11" x14ac:dyDescent="0.25">
      <c r="G7192" s="1" t="str">
        <f>IF(Table2[[#This Row],[Description]]="","",VLOOKUP(Table2[[#This Row],[Description]],$Q$1:$S$101,2,FALSE))</f>
        <v/>
      </c>
      <c r="H7192" s="1" t="str">
        <f>IF(Table2[[#This Row],[Description]]="","",VLOOKUP(Table2[[#This Row],[Description]],$Q$1:$S$101,3,FALSE))</f>
        <v/>
      </c>
      <c r="I7192" s="1" t="str">
        <f>IF(Table2[[#This Row],[Description]]="","",IF(Table2[[#This Row],[Currency]]=$O$2,$P$2,HLOOKUP(Table2[[#This Row],[Date]],Funds!$C$10:$GV$11,2,FALSE)))</f>
        <v/>
      </c>
      <c r="J7192" s="215" t="str">
        <f>IF(Table2[[#This Row],[Description]]="","",Table2[[#This Row],[Value]]/Table2[[#This Row],[Conversion]])</f>
        <v/>
      </c>
      <c r="K7192" s="45" t="str">
        <f>IF(Table2[[#This Row],[Description]]="","",DATE(Table2[[#This Row],[Year]],Table2[[#This Row],[Month]],1))</f>
        <v/>
      </c>
    </row>
    <row r="7193" spans="7:11" x14ac:dyDescent="0.25">
      <c r="G7193" s="1" t="str">
        <f>IF(Table2[[#This Row],[Description]]="","",VLOOKUP(Table2[[#This Row],[Description]],$Q$1:$S$101,2,FALSE))</f>
        <v/>
      </c>
      <c r="H7193" s="1" t="str">
        <f>IF(Table2[[#This Row],[Description]]="","",VLOOKUP(Table2[[#This Row],[Description]],$Q$1:$S$101,3,FALSE))</f>
        <v/>
      </c>
      <c r="I7193" s="1" t="str">
        <f>IF(Table2[[#This Row],[Description]]="","",IF(Table2[[#This Row],[Currency]]=$O$2,$P$2,HLOOKUP(Table2[[#This Row],[Date]],Funds!$C$10:$GV$11,2,FALSE)))</f>
        <v/>
      </c>
      <c r="J7193" s="215" t="str">
        <f>IF(Table2[[#This Row],[Description]]="","",Table2[[#This Row],[Value]]/Table2[[#This Row],[Conversion]])</f>
        <v/>
      </c>
      <c r="K7193" s="45" t="str">
        <f>IF(Table2[[#This Row],[Description]]="","",DATE(Table2[[#This Row],[Year]],Table2[[#This Row],[Month]],1))</f>
        <v/>
      </c>
    </row>
    <row r="7194" spans="7:11" x14ac:dyDescent="0.25">
      <c r="G7194" s="1" t="str">
        <f>IF(Table2[[#This Row],[Description]]="","",VLOOKUP(Table2[[#This Row],[Description]],$Q$1:$S$101,2,FALSE))</f>
        <v/>
      </c>
      <c r="H7194" s="1" t="str">
        <f>IF(Table2[[#This Row],[Description]]="","",VLOOKUP(Table2[[#This Row],[Description]],$Q$1:$S$101,3,FALSE))</f>
        <v/>
      </c>
      <c r="I7194" s="1" t="str">
        <f>IF(Table2[[#This Row],[Description]]="","",IF(Table2[[#This Row],[Currency]]=$O$2,$P$2,HLOOKUP(Table2[[#This Row],[Date]],Funds!$C$10:$GV$11,2,FALSE)))</f>
        <v/>
      </c>
      <c r="J7194" s="215" t="str">
        <f>IF(Table2[[#This Row],[Description]]="","",Table2[[#This Row],[Value]]/Table2[[#This Row],[Conversion]])</f>
        <v/>
      </c>
      <c r="K7194" s="45" t="str">
        <f>IF(Table2[[#This Row],[Description]]="","",DATE(Table2[[#This Row],[Year]],Table2[[#This Row],[Month]],1))</f>
        <v/>
      </c>
    </row>
    <row r="7195" spans="7:11" x14ac:dyDescent="0.25">
      <c r="G7195" s="1" t="str">
        <f>IF(Table2[[#This Row],[Description]]="","",VLOOKUP(Table2[[#This Row],[Description]],$Q$1:$S$101,2,FALSE))</f>
        <v/>
      </c>
      <c r="H7195" s="1" t="str">
        <f>IF(Table2[[#This Row],[Description]]="","",VLOOKUP(Table2[[#This Row],[Description]],$Q$1:$S$101,3,FALSE))</f>
        <v/>
      </c>
      <c r="I7195" s="1" t="str">
        <f>IF(Table2[[#This Row],[Description]]="","",IF(Table2[[#This Row],[Currency]]=$O$2,$P$2,HLOOKUP(Table2[[#This Row],[Date]],Funds!$C$10:$GV$11,2,FALSE)))</f>
        <v/>
      </c>
      <c r="J7195" s="215" t="str">
        <f>IF(Table2[[#This Row],[Description]]="","",Table2[[#This Row],[Value]]/Table2[[#This Row],[Conversion]])</f>
        <v/>
      </c>
      <c r="K7195" s="45" t="str">
        <f>IF(Table2[[#This Row],[Description]]="","",DATE(Table2[[#This Row],[Year]],Table2[[#This Row],[Month]],1))</f>
        <v/>
      </c>
    </row>
    <row r="7196" spans="7:11" x14ac:dyDescent="0.25">
      <c r="G7196" s="1" t="str">
        <f>IF(Table2[[#This Row],[Description]]="","",VLOOKUP(Table2[[#This Row],[Description]],$Q$1:$S$101,2,FALSE))</f>
        <v/>
      </c>
      <c r="H7196" s="1" t="str">
        <f>IF(Table2[[#This Row],[Description]]="","",VLOOKUP(Table2[[#This Row],[Description]],$Q$1:$S$101,3,FALSE))</f>
        <v/>
      </c>
      <c r="I7196" s="1" t="str">
        <f>IF(Table2[[#This Row],[Description]]="","",IF(Table2[[#This Row],[Currency]]=$O$2,$P$2,HLOOKUP(Table2[[#This Row],[Date]],Funds!$C$10:$GV$11,2,FALSE)))</f>
        <v/>
      </c>
      <c r="J7196" s="215" t="str">
        <f>IF(Table2[[#This Row],[Description]]="","",Table2[[#This Row],[Value]]/Table2[[#This Row],[Conversion]])</f>
        <v/>
      </c>
      <c r="K7196" s="45" t="str">
        <f>IF(Table2[[#This Row],[Description]]="","",DATE(Table2[[#This Row],[Year]],Table2[[#This Row],[Month]],1))</f>
        <v/>
      </c>
    </row>
    <row r="7197" spans="7:11" x14ac:dyDescent="0.25">
      <c r="G7197" s="1" t="str">
        <f>IF(Table2[[#This Row],[Description]]="","",VLOOKUP(Table2[[#This Row],[Description]],$Q$1:$S$101,2,FALSE))</f>
        <v/>
      </c>
      <c r="H7197" s="1" t="str">
        <f>IF(Table2[[#This Row],[Description]]="","",VLOOKUP(Table2[[#This Row],[Description]],$Q$1:$S$101,3,FALSE))</f>
        <v/>
      </c>
      <c r="I7197" s="1" t="str">
        <f>IF(Table2[[#This Row],[Description]]="","",IF(Table2[[#This Row],[Currency]]=$O$2,$P$2,HLOOKUP(Table2[[#This Row],[Date]],Funds!$C$10:$GV$11,2,FALSE)))</f>
        <v/>
      </c>
      <c r="J7197" s="215" t="str">
        <f>IF(Table2[[#This Row],[Description]]="","",Table2[[#This Row],[Value]]/Table2[[#This Row],[Conversion]])</f>
        <v/>
      </c>
      <c r="K7197" s="45" t="str">
        <f>IF(Table2[[#This Row],[Description]]="","",DATE(Table2[[#This Row],[Year]],Table2[[#This Row],[Month]],1))</f>
        <v/>
      </c>
    </row>
    <row r="7198" spans="7:11" x14ac:dyDescent="0.25">
      <c r="G7198" s="1" t="str">
        <f>IF(Table2[[#This Row],[Description]]="","",VLOOKUP(Table2[[#This Row],[Description]],$Q$1:$S$101,2,FALSE))</f>
        <v/>
      </c>
      <c r="H7198" s="1" t="str">
        <f>IF(Table2[[#This Row],[Description]]="","",VLOOKUP(Table2[[#This Row],[Description]],$Q$1:$S$101,3,FALSE))</f>
        <v/>
      </c>
      <c r="I7198" s="1" t="str">
        <f>IF(Table2[[#This Row],[Description]]="","",IF(Table2[[#This Row],[Currency]]=$O$2,$P$2,HLOOKUP(Table2[[#This Row],[Date]],Funds!$C$10:$GV$11,2,FALSE)))</f>
        <v/>
      </c>
      <c r="J7198" s="215" t="str">
        <f>IF(Table2[[#This Row],[Description]]="","",Table2[[#This Row],[Value]]/Table2[[#This Row],[Conversion]])</f>
        <v/>
      </c>
      <c r="K7198" s="45" t="str">
        <f>IF(Table2[[#This Row],[Description]]="","",DATE(Table2[[#This Row],[Year]],Table2[[#This Row],[Month]],1))</f>
        <v/>
      </c>
    </row>
    <row r="7199" spans="7:11" x14ac:dyDescent="0.25">
      <c r="G7199" s="1" t="str">
        <f>IF(Table2[[#This Row],[Description]]="","",VLOOKUP(Table2[[#This Row],[Description]],$Q$1:$S$101,2,FALSE))</f>
        <v/>
      </c>
      <c r="H7199" s="1" t="str">
        <f>IF(Table2[[#This Row],[Description]]="","",VLOOKUP(Table2[[#This Row],[Description]],$Q$1:$S$101,3,FALSE))</f>
        <v/>
      </c>
      <c r="I7199" s="1" t="str">
        <f>IF(Table2[[#This Row],[Description]]="","",IF(Table2[[#This Row],[Currency]]=$O$2,$P$2,HLOOKUP(Table2[[#This Row],[Date]],Funds!$C$10:$GV$11,2,FALSE)))</f>
        <v/>
      </c>
      <c r="J7199" s="215" t="str">
        <f>IF(Table2[[#This Row],[Description]]="","",Table2[[#This Row],[Value]]/Table2[[#This Row],[Conversion]])</f>
        <v/>
      </c>
      <c r="K7199" s="45" t="str">
        <f>IF(Table2[[#This Row],[Description]]="","",DATE(Table2[[#This Row],[Year]],Table2[[#This Row],[Month]],1))</f>
        <v/>
      </c>
    </row>
    <row r="7200" spans="7:11" x14ac:dyDescent="0.25">
      <c r="G7200" s="1" t="str">
        <f>IF(Table2[[#This Row],[Description]]="","",VLOOKUP(Table2[[#This Row],[Description]],$Q$1:$S$101,2,FALSE))</f>
        <v/>
      </c>
      <c r="H7200" s="1" t="str">
        <f>IF(Table2[[#This Row],[Description]]="","",VLOOKUP(Table2[[#This Row],[Description]],$Q$1:$S$101,3,FALSE))</f>
        <v/>
      </c>
      <c r="I7200" s="1" t="str">
        <f>IF(Table2[[#This Row],[Description]]="","",IF(Table2[[#This Row],[Currency]]=$O$2,$P$2,HLOOKUP(Table2[[#This Row],[Date]],Funds!$C$10:$GV$11,2,FALSE)))</f>
        <v/>
      </c>
      <c r="J7200" s="215" t="str">
        <f>IF(Table2[[#This Row],[Description]]="","",Table2[[#This Row],[Value]]/Table2[[#This Row],[Conversion]])</f>
        <v/>
      </c>
      <c r="K7200" s="45" t="str">
        <f>IF(Table2[[#This Row],[Description]]="","",DATE(Table2[[#This Row],[Year]],Table2[[#This Row],[Month]],1))</f>
        <v/>
      </c>
    </row>
    <row r="7201" spans="7:11" x14ac:dyDescent="0.25">
      <c r="G7201" s="1" t="str">
        <f>IF(Table2[[#This Row],[Description]]="","",VLOOKUP(Table2[[#This Row],[Description]],$Q$1:$S$101,2,FALSE))</f>
        <v/>
      </c>
      <c r="H7201" s="1" t="str">
        <f>IF(Table2[[#This Row],[Description]]="","",VLOOKUP(Table2[[#This Row],[Description]],$Q$1:$S$101,3,FALSE))</f>
        <v/>
      </c>
      <c r="I7201" s="1" t="str">
        <f>IF(Table2[[#This Row],[Description]]="","",IF(Table2[[#This Row],[Currency]]=$O$2,$P$2,HLOOKUP(Table2[[#This Row],[Date]],Funds!$C$10:$GV$11,2,FALSE)))</f>
        <v/>
      </c>
      <c r="J7201" s="215" t="str">
        <f>IF(Table2[[#This Row],[Description]]="","",Table2[[#This Row],[Value]]/Table2[[#This Row],[Conversion]])</f>
        <v/>
      </c>
      <c r="K7201" s="45" t="str">
        <f>IF(Table2[[#This Row],[Description]]="","",DATE(Table2[[#This Row],[Year]],Table2[[#This Row],[Month]],1))</f>
        <v/>
      </c>
    </row>
    <row r="7202" spans="7:11" x14ac:dyDescent="0.25">
      <c r="G7202" s="1" t="str">
        <f>IF(Table2[[#This Row],[Description]]="","",VLOOKUP(Table2[[#This Row],[Description]],$Q$1:$S$101,2,FALSE))</f>
        <v/>
      </c>
      <c r="H7202" s="1" t="str">
        <f>IF(Table2[[#This Row],[Description]]="","",VLOOKUP(Table2[[#This Row],[Description]],$Q$1:$S$101,3,FALSE))</f>
        <v/>
      </c>
      <c r="I7202" s="1" t="str">
        <f>IF(Table2[[#This Row],[Description]]="","",IF(Table2[[#This Row],[Currency]]=$O$2,$P$2,HLOOKUP(Table2[[#This Row],[Date]],Funds!$C$10:$GV$11,2,FALSE)))</f>
        <v/>
      </c>
      <c r="J7202" s="215" t="str">
        <f>IF(Table2[[#This Row],[Description]]="","",Table2[[#This Row],[Value]]/Table2[[#This Row],[Conversion]])</f>
        <v/>
      </c>
      <c r="K7202" s="45" t="str">
        <f>IF(Table2[[#This Row],[Description]]="","",DATE(Table2[[#This Row],[Year]],Table2[[#This Row],[Month]],1))</f>
        <v/>
      </c>
    </row>
    <row r="7203" spans="7:11" x14ac:dyDescent="0.25">
      <c r="G7203" s="1" t="str">
        <f>IF(Table2[[#This Row],[Description]]="","",VLOOKUP(Table2[[#This Row],[Description]],$Q$1:$S$101,2,FALSE))</f>
        <v/>
      </c>
      <c r="H7203" s="1" t="str">
        <f>IF(Table2[[#This Row],[Description]]="","",VLOOKUP(Table2[[#This Row],[Description]],$Q$1:$S$101,3,FALSE))</f>
        <v/>
      </c>
      <c r="I7203" s="1" t="str">
        <f>IF(Table2[[#This Row],[Description]]="","",IF(Table2[[#This Row],[Currency]]=$O$2,$P$2,HLOOKUP(Table2[[#This Row],[Date]],Funds!$C$10:$GV$11,2,FALSE)))</f>
        <v/>
      </c>
      <c r="J7203" s="215" t="str">
        <f>IF(Table2[[#This Row],[Description]]="","",Table2[[#This Row],[Value]]/Table2[[#This Row],[Conversion]])</f>
        <v/>
      </c>
      <c r="K7203" s="45" t="str">
        <f>IF(Table2[[#This Row],[Description]]="","",DATE(Table2[[#This Row],[Year]],Table2[[#This Row],[Month]],1))</f>
        <v/>
      </c>
    </row>
    <row r="7204" spans="7:11" x14ac:dyDescent="0.25">
      <c r="G7204" s="1" t="str">
        <f>IF(Table2[[#This Row],[Description]]="","",VLOOKUP(Table2[[#This Row],[Description]],$Q$1:$S$101,2,FALSE))</f>
        <v/>
      </c>
      <c r="H7204" s="1" t="str">
        <f>IF(Table2[[#This Row],[Description]]="","",VLOOKUP(Table2[[#This Row],[Description]],$Q$1:$S$101,3,FALSE))</f>
        <v/>
      </c>
      <c r="I7204" s="1" t="str">
        <f>IF(Table2[[#This Row],[Description]]="","",IF(Table2[[#This Row],[Currency]]=$O$2,$P$2,HLOOKUP(Table2[[#This Row],[Date]],Funds!$C$10:$GV$11,2,FALSE)))</f>
        <v/>
      </c>
      <c r="J7204" s="215" t="str">
        <f>IF(Table2[[#This Row],[Description]]="","",Table2[[#This Row],[Value]]/Table2[[#This Row],[Conversion]])</f>
        <v/>
      </c>
      <c r="K7204" s="45" t="str">
        <f>IF(Table2[[#This Row],[Description]]="","",DATE(Table2[[#This Row],[Year]],Table2[[#This Row],[Month]],1))</f>
        <v/>
      </c>
    </row>
    <row r="7205" spans="7:11" x14ac:dyDescent="0.25">
      <c r="G7205" s="1" t="str">
        <f>IF(Table2[[#This Row],[Description]]="","",VLOOKUP(Table2[[#This Row],[Description]],$Q$1:$S$101,2,FALSE))</f>
        <v/>
      </c>
      <c r="H7205" s="1" t="str">
        <f>IF(Table2[[#This Row],[Description]]="","",VLOOKUP(Table2[[#This Row],[Description]],$Q$1:$S$101,3,FALSE))</f>
        <v/>
      </c>
      <c r="I7205" s="1" t="str">
        <f>IF(Table2[[#This Row],[Description]]="","",IF(Table2[[#This Row],[Currency]]=$O$2,$P$2,HLOOKUP(Table2[[#This Row],[Date]],Funds!$C$10:$GV$11,2,FALSE)))</f>
        <v/>
      </c>
      <c r="J7205" s="215" t="str">
        <f>IF(Table2[[#This Row],[Description]]="","",Table2[[#This Row],[Value]]/Table2[[#This Row],[Conversion]])</f>
        <v/>
      </c>
      <c r="K7205" s="45" t="str">
        <f>IF(Table2[[#This Row],[Description]]="","",DATE(Table2[[#This Row],[Year]],Table2[[#This Row],[Month]],1))</f>
        <v/>
      </c>
    </row>
    <row r="7206" spans="7:11" x14ac:dyDescent="0.25">
      <c r="G7206" s="1" t="str">
        <f>IF(Table2[[#This Row],[Description]]="","",VLOOKUP(Table2[[#This Row],[Description]],$Q$1:$S$101,2,FALSE))</f>
        <v/>
      </c>
      <c r="H7206" s="1" t="str">
        <f>IF(Table2[[#This Row],[Description]]="","",VLOOKUP(Table2[[#This Row],[Description]],$Q$1:$S$101,3,FALSE))</f>
        <v/>
      </c>
      <c r="I7206" s="1" t="str">
        <f>IF(Table2[[#This Row],[Description]]="","",IF(Table2[[#This Row],[Currency]]=$O$2,$P$2,HLOOKUP(Table2[[#This Row],[Date]],Funds!$C$10:$GV$11,2,FALSE)))</f>
        <v/>
      </c>
      <c r="J7206" s="215" t="str">
        <f>IF(Table2[[#This Row],[Description]]="","",Table2[[#This Row],[Value]]/Table2[[#This Row],[Conversion]])</f>
        <v/>
      </c>
      <c r="K7206" s="45" t="str">
        <f>IF(Table2[[#This Row],[Description]]="","",DATE(Table2[[#This Row],[Year]],Table2[[#This Row],[Month]],1))</f>
        <v/>
      </c>
    </row>
    <row r="7207" spans="7:11" x14ac:dyDescent="0.25">
      <c r="G7207" s="1" t="str">
        <f>IF(Table2[[#This Row],[Description]]="","",VLOOKUP(Table2[[#This Row],[Description]],$Q$1:$S$101,2,FALSE))</f>
        <v/>
      </c>
      <c r="H7207" s="1" t="str">
        <f>IF(Table2[[#This Row],[Description]]="","",VLOOKUP(Table2[[#This Row],[Description]],$Q$1:$S$101,3,FALSE))</f>
        <v/>
      </c>
      <c r="I7207" s="1" t="str">
        <f>IF(Table2[[#This Row],[Description]]="","",IF(Table2[[#This Row],[Currency]]=$O$2,$P$2,HLOOKUP(Table2[[#This Row],[Date]],Funds!$C$10:$GV$11,2,FALSE)))</f>
        <v/>
      </c>
      <c r="J7207" s="215" t="str">
        <f>IF(Table2[[#This Row],[Description]]="","",Table2[[#This Row],[Value]]/Table2[[#This Row],[Conversion]])</f>
        <v/>
      </c>
      <c r="K7207" s="45" t="str">
        <f>IF(Table2[[#This Row],[Description]]="","",DATE(Table2[[#This Row],[Year]],Table2[[#This Row],[Month]],1))</f>
        <v/>
      </c>
    </row>
    <row r="7208" spans="7:11" x14ac:dyDescent="0.25">
      <c r="G7208" s="1" t="str">
        <f>IF(Table2[[#This Row],[Description]]="","",VLOOKUP(Table2[[#This Row],[Description]],$Q$1:$S$101,2,FALSE))</f>
        <v/>
      </c>
      <c r="H7208" s="1" t="str">
        <f>IF(Table2[[#This Row],[Description]]="","",VLOOKUP(Table2[[#This Row],[Description]],$Q$1:$S$101,3,FALSE))</f>
        <v/>
      </c>
      <c r="I7208" s="1" t="str">
        <f>IF(Table2[[#This Row],[Description]]="","",IF(Table2[[#This Row],[Currency]]=$O$2,$P$2,HLOOKUP(Table2[[#This Row],[Date]],Funds!$C$10:$GV$11,2,FALSE)))</f>
        <v/>
      </c>
      <c r="J7208" s="215" t="str">
        <f>IF(Table2[[#This Row],[Description]]="","",Table2[[#This Row],[Value]]/Table2[[#This Row],[Conversion]])</f>
        <v/>
      </c>
      <c r="K7208" s="45" t="str">
        <f>IF(Table2[[#This Row],[Description]]="","",DATE(Table2[[#This Row],[Year]],Table2[[#This Row],[Month]],1))</f>
        <v/>
      </c>
    </row>
    <row r="7209" spans="7:11" x14ac:dyDescent="0.25">
      <c r="G7209" s="1" t="str">
        <f>IF(Table2[[#This Row],[Description]]="","",VLOOKUP(Table2[[#This Row],[Description]],$Q$1:$S$101,2,FALSE))</f>
        <v/>
      </c>
      <c r="H7209" s="1" t="str">
        <f>IF(Table2[[#This Row],[Description]]="","",VLOOKUP(Table2[[#This Row],[Description]],$Q$1:$S$101,3,FALSE))</f>
        <v/>
      </c>
      <c r="I7209" s="1" t="str">
        <f>IF(Table2[[#This Row],[Description]]="","",IF(Table2[[#This Row],[Currency]]=$O$2,$P$2,HLOOKUP(Table2[[#This Row],[Date]],Funds!$C$10:$GV$11,2,FALSE)))</f>
        <v/>
      </c>
      <c r="J7209" s="215" t="str">
        <f>IF(Table2[[#This Row],[Description]]="","",Table2[[#This Row],[Value]]/Table2[[#This Row],[Conversion]])</f>
        <v/>
      </c>
      <c r="K7209" s="45" t="str">
        <f>IF(Table2[[#This Row],[Description]]="","",DATE(Table2[[#This Row],[Year]],Table2[[#This Row],[Month]],1))</f>
        <v/>
      </c>
    </row>
    <row r="7210" spans="7:11" x14ac:dyDescent="0.25">
      <c r="G7210" s="1" t="str">
        <f>IF(Table2[[#This Row],[Description]]="","",VLOOKUP(Table2[[#This Row],[Description]],$Q$1:$S$101,2,FALSE))</f>
        <v/>
      </c>
      <c r="H7210" s="1" t="str">
        <f>IF(Table2[[#This Row],[Description]]="","",VLOOKUP(Table2[[#This Row],[Description]],$Q$1:$S$101,3,FALSE))</f>
        <v/>
      </c>
      <c r="I7210" s="1" t="str">
        <f>IF(Table2[[#This Row],[Description]]="","",IF(Table2[[#This Row],[Currency]]=$O$2,$P$2,HLOOKUP(Table2[[#This Row],[Date]],Funds!$C$10:$GV$11,2,FALSE)))</f>
        <v/>
      </c>
      <c r="J7210" s="215" t="str">
        <f>IF(Table2[[#This Row],[Description]]="","",Table2[[#This Row],[Value]]/Table2[[#This Row],[Conversion]])</f>
        <v/>
      </c>
      <c r="K7210" s="45" t="str">
        <f>IF(Table2[[#This Row],[Description]]="","",DATE(Table2[[#This Row],[Year]],Table2[[#This Row],[Month]],1))</f>
        <v/>
      </c>
    </row>
    <row r="7211" spans="7:11" x14ac:dyDescent="0.25">
      <c r="G7211" s="1" t="str">
        <f>IF(Table2[[#This Row],[Description]]="","",VLOOKUP(Table2[[#This Row],[Description]],$Q$1:$S$101,2,FALSE))</f>
        <v/>
      </c>
      <c r="H7211" s="1" t="str">
        <f>IF(Table2[[#This Row],[Description]]="","",VLOOKUP(Table2[[#This Row],[Description]],$Q$1:$S$101,3,FALSE))</f>
        <v/>
      </c>
      <c r="I7211" s="1" t="str">
        <f>IF(Table2[[#This Row],[Description]]="","",IF(Table2[[#This Row],[Currency]]=$O$2,$P$2,HLOOKUP(Table2[[#This Row],[Date]],Funds!$C$10:$GV$11,2,FALSE)))</f>
        <v/>
      </c>
      <c r="J7211" s="215" t="str">
        <f>IF(Table2[[#This Row],[Description]]="","",Table2[[#This Row],[Value]]/Table2[[#This Row],[Conversion]])</f>
        <v/>
      </c>
      <c r="K7211" s="45" t="str">
        <f>IF(Table2[[#This Row],[Description]]="","",DATE(Table2[[#This Row],[Year]],Table2[[#This Row],[Month]],1))</f>
        <v/>
      </c>
    </row>
    <row r="7212" spans="7:11" x14ac:dyDescent="0.25">
      <c r="G7212" s="1" t="str">
        <f>IF(Table2[[#This Row],[Description]]="","",VLOOKUP(Table2[[#This Row],[Description]],$Q$1:$S$101,2,FALSE))</f>
        <v/>
      </c>
      <c r="H7212" s="1" t="str">
        <f>IF(Table2[[#This Row],[Description]]="","",VLOOKUP(Table2[[#This Row],[Description]],$Q$1:$S$101,3,FALSE))</f>
        <v/>
      </c>
      <c r="I7212" s="1" t="str">
        <f>IF(Table2[[#This Row],[Description]]="","",IF(Table2[[#This Row],[Currency]]=$O$2,$P$2,HLOOKUP(Table2[[#This Row],[Date]],Funds!$C$10:$GV$11,2,FALSE)))</f>
        <v/>
      </c>
      <c r="J7212" s="215" t="str">
        <f>IF(Table2[[#This Row],[Description]]="","",Table2[[#This Row],[Value]]/Table2[[#This Row],[Conversion]])</f>
        <v/>
      </c>
      <c r="K7212" s="45" t="str">
        <f>IF(Table2[[#This Row],[Description]]="","",DATE(Table2[[#This Row],[Year]],Table2[[#This Row],[Month]],1))</f>
        <v/>
      </c>
    </row>
    <row r="7213" spans="7:11" x14ac:dyDescent="0.25">
      <c r="G7213" s="1" t="str">
        <f>IF(Table2[[#This Row],[Description]]="","",VLOOKUP(Table2[[#This Row],[Description]],$Q$1:$S$101,2,FALSE))</f>
        <v/>
      </c>
      <c r="H7213" s="1" t="str">
        <f>IF(Table2[[#This Row],[Description]]="","",VLOOKUP(Table2[[#This Row],[Description]],$Q$1:$S$101,3,FALSE))</f>
        <v/>
      </c>
      <c r="I7213" s="1" t="str">
        <f>IF(Table2[[#This Row],[Description]]="","",IF(Table2[[#This Row],[Currency]]=$O$2,$P$2,HLOOKUP(Table2[[#This Row],[Date]],Funds!$C$10:$GV$11,2,FALSE)))</f>
        <v/>
      </c>
      <c r="J7213" s="215" t="str">
        <f>IF(Table2[[#This Row],[Description]]="","",Table2[[#This Row],[Value]]/Table2[[#This Row],[Conversion]])</f>
        <v/>
      </c>
      <c r="K7213" s="45" t="str">
        <f>IF(Table2[[#This Row],[Description]]="","",DATE(Table2[[#This Row],[Year]],Table2[[#This Row],[Month]],1))</f>
        <v/>
      </c>
    </row>
    <row r="7214" spans="7:11" x14ac:dyDescent="0.25">
      <c r="G7214" s="1" t="str">
        <f>IF(Table2[[#This Row],[Description]]="","",VLOOKUP(Table2[[#This Row],[Description]],$Q$1:$S$101,2,FALSE))</f>
        <v/>
      </c>
      <c r="H7214" s="1" t="str">
        <f>IF(Table2[[#This Row],[Description]]="","",VLOOKUP(Table2[[#This Row],[Description]],$Q$1:$S$101,3,FALSE))</f>
        <v/>
      </c>
      <c r="I7214" s="1" t="str">
        <f>IF(Table2[[#This Row],[Description]]="","",IF(Table2[[#This Row],[Currency]]=$O$2,$P$2,HLOOKUP(Table2[[#This Row],[Date]],Funds!$C$10:$GV$11,2,FALSE)))</f>
        <v/>
      </c>
      <c r="J7214" s="215" t="str">
        <f>IF(Table2[[#This Row],[Description]]="","",Table2[[#This Row],[Value]]/Table2[[#This Row],[Conversion]])</f>
        <v/>
      </c>
      <c r="K7214" s="45" t="str">
        <f>IF(Table2[[#This Row],[Description]]="","",DATE(Table2[[#This Row],[Year]],Table2[[#This Row],[Month]],1))</f>
        <v/>
      </c>
    </row>
    <row r="7215" spans="7:11" x14ac:dyDescent="0.25">
      <c r="G7215" s="1" t="str">
        <f>IF(Table2[[#This Row],[Description]]="","",VLOOKUP(Table2[[#This Row],[Description]],$Q$1:$S$101,2,FALSE))</f>
        <v/>
      </c>
      <c r="H7215" s="1" t="str">
        <f>IF(Table2[[#This Row],[Description]]="","",VLOOKUP(Table2[[#This Row],[Description]],$Q$1:$S$101,3,FALSE))</f>
        <v/>
      </c>
      <c r="I7215" s="1" t="str">
        <f>IF(Table2[[#This Row],[Description]]="","",IF(Table2[[#This Row],[Currency]]=$O$2,$P$2,HLOOKUP(Table2[[#This Row],[Date]],Funds!$C$10:$GV$11,2,FALSE)))</f>
        <v/>
      </c>
      <c r="J7215" s="215" t="str">
        <f>IF(Table2[[#This Row],[Description]]="","",Table2[[#This Row],[Value]]/Table2[[#This Row],[Conversion]])</f>
        <v/>
      </c>
      <c r="K7215" s="45" t="str">
        <f>IF(Table2[[#This Row],[Description]]="","",DATE(Table2[[#This Row],[Year]],Table2[[#This Row],[Month]],1))</f>
        <v/>
      </c>
    </row>
    <row r="7216" spans="7:11" x14ac:dyDescent="0.25">
      <c r="G7216" s="1" t="str">
        <f>IF(Table2[[#This Row],[Description]]="","",VLOOKUP(Table2[[#This Row],[Description]],$Q$1:$S$101,2,FALSE))</f>
        <v/>
      </c>
      <c r="H7216" s="1" t="str">
        <f>IF(Table2[[#This Row],[Description]]="","",VLOOKUP(Table2[[#This Row],[Description]],$Q$1:$S$101,3,FALSE))</f>
        <v/>
      </c>
      <c r="I7216" s="1" t="str">
        <f>IF(Table2[[#This Row],[Description]]="","",IF(Table2[[#This Row],[Currency]]=$O$2,$P$2,HLOOKUP(Table2[[#This Row],[Date]],Funds!$C$10:$GV$11,2,FALSE)))</f>
        <v/>
      </c>
      <c r="J7216" s="215" t="str">
        <f>IF(Table2[[#This Row],[Description]]="","",Table2[[#This Row],[Value]]/Table2[[#This Row],[Conversion]])</f>
        <v/>
      </c>
      <c r="K7216" s="45" t="str">
        <f>IF(Table2[[#This Row],[Description]]="","",DATE(Table2[[#This Row],[Year]],Table2[[#This Row],[Month]],1))</f>
        <v/>
      </c>
    </row>
    <row r="7217" spans="7:11" x14ac:dyDescent="0.25">
      <c r="G7217" s="1" t="str">
        <f>IF(Table2[[#This Row],[Description]]="","",VLOOKUP(Table2[[#This Row],[Description]],$Q$1:$S$101,2,FALSE))</f>
        <v/>
      </c>
      <c r="H7217" s="1" t="str">
        <f>IF(Table2[[#This Row],[Description]]="","",VLOOKUP(Table2[[#This Row],[Description]],$Q$1:$S$101,3,FALSE))</f>
        <v/>
      </c>
      <c r="I7217" s="1" t="str">
        <f>IF(Table2[[#This Row],[Description]]="","",IF(Table2[[#This Row],[Currency]]=$O$2,$P$2,HLOOKUP(Table2[[#This Row],[Date]],Funds!$C$10:$GV$11,2,FALSE)))</f>
        <v/>
      </c>
      <c r="J7217" s="215" t="str">
        <f>IF(Table2[[#This Row],[Description]]="","",Table2[[#This Row],[Value]]/Table2[[#This Row],[Conversion]])</f>
        <v/>
      </c>
      <c r="K7217" s="45" t="str">
        <f>IF(Table2[[#This Row],[Description]]="","",DATE(Table2[[#This Row],[Year]],Table2[[#This Row],[Month]],1))</f>
        <v/>
      </c>
    </row>
    <row r="7218" spans="7:11" x14ac:dyDescent="0.25">
      <c r="G7218" s="1" t="str">
        <f>IF(Table2[[#This Row],[Description]]="","",VLOOKUP(Table2[[#This Row],[Description]],$Q$1:$S$101,2,FALSE))</f>
        <v/>
      </c>
      <c r="H7218" s="1" t="str">
        <f>IF(Table2[[#This Row],[Description]]="","",VLOOKUP(Table2[[#This Row],[Description]],$Q$1:$S$101,3,FALSE))</f>
        <v/>
      </c>
      <c r="I7218" s="1" t="str">
        <f>IF(Table2[[#This Row],[Description]]="","",IF(Table2[[#This Row],[Currency]]=$O$2,$P$2,HLOOKUP(Table2[[#This Row],[Date]],Funds!$C$10:$GV$11,2,FALSE)))</f>
        <v/>
      </c>
      <c r="J7218" s="215" t="str">
        <f>IF(Table2[[#This Row],[Description]]="","",Table2[[#This Row],[Value]]/Table2[[#This Row],[Conversion]])</f>
        <v/>
      </c>
      <c r="K7218" s="45" t="str">
        <f>IF(Table2[[#This Row],[Description]]="","",DATE(Table2[[#This Row],[Year]],Table2[[#This Row],[Month]],1))</f>
        <v/>
      </c>
    </row>
    <row r="7219" spans="7:11" x14ac:dyDescent="0.25">
      <c r="G7219" s="1" t="str">
        <f>IF(Table2[[#This Row],[Description]]="","",VLOOKUP(Table2[[#This Row],[Description]],$Q$1:$S$101,2,FALSE))</f>
        <v/>
      </c>
      <c r="H7219" s="1" t="str">
        <f>IF(Table2[[#This Row],[Description]]="","",VLOOKUP(Table2[[#This Row],[Description]],$Q$1:$S$101,3,FALSE))</f>
        <v/>
      </c>
      <c r="I7219" s="1" t="str">
        <f>IF(Table2[[#This Row],[Description]]="","",IF(Table2[[#This Row],[Currency]]=$O$2,$P$2,HLOOKUP(Table2[[#This Row],[Date]],Funds!$C$10:$GV$11,2,FALSE)))</f>
        <v/>
      </c>
      <c r="J7219" s="215" t="str">
        <f>IF(Table2[[#This Row],[Description]]="","",Table2[[#This Row],[Value]]/Table2[[#This Row],[Conversion]])</f>
        <v/>
      </c>
      <c r="K7219" s="45" t="str">
        <f>IF(Table2[[#This Row],[Description]]="","",DATE(Table2[[#This Row],[Year]],Table2[[#This Row],[Month]],1))</f>
        <v/>
      </c>
    </row>
    <row r="7220" spans="7:11" x14ac:dyDescent="0.25">
      <c r="G7220" s="1" t="str">
        <f>IF(Table2[[#This Row],[Description]]="","",VLOOKUP(Table2[[#This Row],[Description]],$Q$1:$S$101,2,FALSE))</f>
        <v/>
      </c>
      <c r="H7220" s="1" t="str">
        <f>IF(Table2[[#This Row],[Description]]="","",VLOOKUP(Table2[[#This Row],[Description]],$Q$1:$S$101,3,FALSE))</f>
        <v/>
      </c>
      <c r="I7220" s="1" t="str">
        <f>IF(Table2[[#This Row],[Description]]="","",IF(Table2[[#This Row],[Currency]]=$O$2,$P$2,HLOOKUP(Table2[[#This Row],[Date]],Funds!$C$10:$GV$11,2,FALSE)))</f>
        <v/>
      </c>
      <c r="J7220" s="215" t="str">
        <f>IF(Table2[[#This Row],[Description]]="","",Table2[[#This Row],[Value]]/Table2[[#This Row],[Conversion]])</f>
        <v/>
      </c>
      <c r="K7220" s="45" t="str">
        <f>IF(Table2[[#This Row],[Description]]="","",DATE(Table2[[#This Row],[Year]],Table2[[#This Row],[Month]],1))</f>
        <v/>
      </c>
    </row>
    <row r="7221" spans="7:11" x14ac:dyDescent="0.25">
      <c r="G7221" s="1" t="str">
        <f>IF(Table2[[#This Row],[Description]]="","",VLOOKUP(Table2[[#This Row],[Description]],$Q$1:$S$101,2,FALSE))</f>
        <v/>
      </c>
      <c r="H7221" s="1" t="str">
        <f>IF(Table2[[#This Row],[Description]]="","",VLOOKUP(Table2[[#This Row],[Description]],$Q$1:$S$101,3,FALSE))</f>
        <v/>
      </c>
      <c r="I7221" s="1" t="str">
        <f>IF(Table2[[#This Row],[Description]]="","",IF(Table2[[#This Row],[Currency]]=$O$2,$P$2,HLOOKUP(Table2[[#This Row],[Date]],Funds!$C$10:$GV$11,2,FALSE)))</f>
        <v/>
      </c>
      <c r="J7221" s="215" t="str">
        <f>IF(Table2[[#This Row],[Description]]="","",Table2[[#This Row],[Value]]/Table2[[#This Row],[Conversion]])</f>
        <v/>
      </c>
      <c r="K7221" s="45" t="str">
        <f>IF(Table2[[#This Row],[Description]]="","",DATE(Table2[[#This Row],[Year]],Table2[[#This Row],[Month]],1))</f>
        <v/>
      </c>
    </row>
    <row r="7222" spans="7:11" x14ac:dyDescent="0.25">
      <c r="G7222" s="1" t="str">
        <f>IF(Table2[[#This Row],[Description]]="","",VLOOKUP(Table2[[#This Row],[Description]],$Q$1:$S$101,2,FALSE))</f>
        <v/>
      </c>
      <c r="H7222" s="1" t="str">
        <f>IF(Table2[[#This Row],[Description]]="","",VLOOKUP(Table2[[#This Row],[Description]],$Q$1:$S$101,3,FALSE))</f>
        <v/>
      </c>
      <c r="I7222" s="1" t="str">
        <f>IF(Table2[[#This Row],[Description]]="","",IF(Table2[[#This Row],[Currency]]=$O$2,$P$2,HLOOKUP(Table2[[#This Row],[Date]],Funds!$C$10:$GV$11,2,FALSE)))</f>
        <v/>
      </c>
      <c r="J7222" s="215" t="str">
        <f>IF(Table2[[#This Row],[Description]]="","",Table2[[#This Row],[Value]]/Table2[[#This Row],[Conversion]])</f>
        <v/>
      </c>
      <c r="K7222" s="45" t="str">
        <f>IF(Table2[[#This Row],[Description]]="","",DATE(Table2[[#This Row],[Year]],Table2[[#This Row],[Month]],1))</f>
        <v/>
      </c>
    </row>
    <row r="7223" spans="7:11" x14ac:dyDescent="0.25">
      <c r="G7223" s="1" t="str">
        <f>IF(Table2[[#This Row],[Description]]="","",VLOOKUP(Table2[[#This Row],[Description]],$Q$1:$S$101,2,FALSE))</f>
        <v/>
      </c>
      <c r="H7223" s="1" t="str">
        <f>IF(Table2[[#This Row],[Description]]="","",VLOOKUP(Table2[[#This Row],[Description]],$Q$1:$S$101,3,FALSE))</f>
        <v/>
      </c>
      <c r="I7223" s="1" t="str">
        <f>IF(Table2[[#This Row],[Description]]="","",IF(Table2[[#This Row],[Currency]]=$O$2,$P$2,HLOOKUP(Table2[[#This Row],[Date]],Funds!$C$10:$GV$11,2,FALSE)))</f>
        <v/>
      </c>
      <c r="J7223" s="215" t="str">
        <f>IF(Table2[[#This Row],[Description]]="","",Table2[[#This Row],[Value]]/Table2[[#This Row],[Conversion]])</f>
        <v/>
      </c>
      <c r="K7223" s="45" t="str">
        <f>IF(Table2[[#This Row],[Description]]="","",DATE(Table2[[#This Row],[Year]],Table2[[#This Row],[Month]],1))</f>
        <v/>
      </c>
    </row>
    <row r="7224" spans="7:11" x14ac:dyDescent="0.25">
      <c r="G7224" s="1" t="str">
        <f>IF(Table2[[#This Row],[Description]]="","",VLOOKUP(Table2[[#This Row],[Description]],$Q$1:$S$101,2,FALSE))</f>
        <v/>
      </c>
      <c r="H7224" s="1" t="str">
        <f>IF(Table2[[#This Row],[Description]]="","",VLOOKUP(Table2[[#This Row],[Description]],$Q$1:$S$101,3,FALSE))</f>
        <v/>
      </c>
      <c r="I7224" s="1" t="str">
        <f>IF(Table2[[#This Row],[Description]]="","",IF(Table2[[#This Row],[Currency]]=$O$2,$P$2,HLOOKUP(Table2[[#This Row],[Date]],Funds!$C$10:$GV$11,2,FALSE)))</f>
        <v/>
      </c>
      <c r="J7224" s="215" t="str">
        <f>IF(Table2[[#This Row],[Description]]="","",Table2[[#This Row],[Value]]/Table2[[#This Row],[Conversion]])</f>
        <v/>
      </c>
      <c r="K7224" s="45" t="str">
        <f>IF(Table2[[#This Row],[Description]]="","",DATE(Table2[[#This Row],[Year]],Table2[[#This Row],[Month]],1))</f>
        <v/>
      </c>
    </row>
    <row r="7225" spans="7:11" x14ac:dyDescent="0.25">
      <c r="G7225" s="1" t="str">
        <f>IF(Table2[[#This Row],[Description]]="","",VLOOKUP(Table2[[#This Row],[Description]],$Q$1:$S$101,2,FALSE))</f>
        <v/>
      </c>
      <c r="H7225" s="1" t="str">
        <f>IF(Table2[[#This Row],[Description]]="","",VLOOKUP(Table2[[#This Row],[Description]],$Q$1:$S$101,3,FALSE))</f>
        <v/>
      </c>
      <c r="I7225" s="1" t="str">
        <f>IF(Table2[[#This Row],[Description]]="","",IF(Table2[[#This Row],[Currency]]=$O$2,$P$2,HLOOKUP(Table2[[#This Row],[Date]],Funds!$C$10:$GV$11,2,FALSE)))</f>
        <v/>
      </c>
      <c r="J7225" s="215" t="str">
        <f>IF(Table2[[#This Row],[Description]]="","",Table2[[#This Row],[Value]]/Table2[[#This Row],[Conversion]])</f>
        <v/>
      </c>
      <c r="K7225" s="45" t="str">
        <f>IF(Table2[[#This Row],[Description]]="","",DATE(Table2[[#This Row],[Year]],Table2[[#This Row],[Month]],1))</f>
        <v/>
      </c>
    </row>
    <row r="7226" spans="7:11" x14ac:dyDescent="0.25">
      <c r="G7226" s="1" t="str">
        <f>IF(Table2[[#This Row],[Description]]="","",VLOOKUP(Table2[[#This Row],[Description]],$Q$1:$S$101,2,FALSE))</f>
        <v/>
      </c>
      <c r="H7226" s="1" t="str">
        <f>IF(Table2[[#This Row],[Description]]="","",VLOOKUP(Table2[[#This Row],[Description]],$Q$1:$S$101,3,FALSE))</f>
        <v/>
      </c>
      <c r="I7226" s="1" t="str">
        <f>IF(Table2[[#This Row],[Description]]="","",IF(Table2[[#This Row],[Currency]]=$O$2,$P$2,HLOOKUP(Table2[[#This Row],[Date]],Funds!$C$10:$GV$11,2,FALSE)))</f>
        <v/>
      </c>
      <c r="J7226" s="215" t="str">
        <f>IF(Table2[[#This Row],[Description]]="","",Table2[[#This Row],[Value]]/Table2[[#This Row],[Conversion]])</f>
        <v/>
      </c>
      <c r="K7226" s="45" t="str">
        <f>IF(Table2[[#This Row],[Description]]="","",DATE(Table2[[#This Row],[Year]],Table2[[#This Row],[Month]],1))</f>
        <v/>
      </c>
    </row>
    <row r="7227" spans="7:11" x14ac:dyDescent="0.25">
      <c r="G7227" s="1" t="str">
        <f>IF(Table2[[#This Row],[Description]]="","",VLOOKUP(Table2[[#This Row],[Description]],$Q$1:$S$101,2,FALSE))</f>
        <v/>
      </c>
      <c r="H7227" s="1" t="str">
        <f>IF(Table2[[#This Row],[Description]]="","",VLOOKUP(Table2[[#This Row],[Description]],$Q$1:$S$101,3,FALSE))</f>
        <v/>
      </c>
      <c r="I7227" s="1" t="str">
        <f>IF(Table2[[#This Row],[Description]]="","",IF(Table2[[#This Row],[Currency]]=$O$2,$P$2,HLOOKUP(Table2[[#This Row],[Date]],Funds!$C$10:$GV$11,2,FALSE)))</f>
        <v/>
      </c>
      <c r="J7227" s="215" t="str">
        <f>IF(Table2[[#This Row],[Description]]="","",Table2[[#This Row],[Value]]/Table2[[#This Row],[Conversion]])</f>
        <v/>
      </c>
      <c r="K7227" s="45" t="str">
        <f>IF(Table2[[#This Row],[Description]]="","",DATE(Table2[[#This Row],[Year]],Table2[[#This Row],[Month]],1))</f>
        <v/>
      </c>
    </row>
    <row r="7228" spans="7:11" x14ac:dyDescent="0.25">
      <c r="G7228" s="1" t="str">
        <f>IF(Table2[[#This Row],[Description]]="","",VLOOKUP(Table2[[#This Row],[Description]],$Q$1:$S$101,2,FALSE))</f>
        <v/>
      </c>
      <c r="H7228" s="1" t="str">
        <f>IF(Table2[[#This Row],[Description]]="","",VLOOKUP(Table2[[#This Row],[Description]],$Q$1:$S$101,3,FALSE))</f>
        <v/>
      </c>
      <c r="I7228" s="1" t="str">
        <f>IF(Table2[[#This Row],[Description]]="","",IF(Table2[[#This Row],[Currency]]=$O$2,$P$2,HLOOKUP(Table2[[#This Row],[Date]],Funds!$C$10:$GV$11,2,FALSE)))</f>
        <v/>
      </c>
      <c r="J7228" s="215" t="str">
        <f>IF(Table2[[#This Row],[Description]]="","",Table2[[#This Row],[Value]]/Table2[[#This Row],[Conversion]])</f>
        <v/>
      </c>
      <c r="K7228" s="45" t="str">
        <f>IF(Table2[[#This Row],[Description]]="","",DATE(Table2[[#This Row],[Year]],Table2[[#This Row],[Month]],1))</f>
        <v/>
      </c>
    </row>
    <row r="7229" spans="7:11" x14ac:dyDescent="0.25">
      <c r="G7229" s="1" t="str">
        <f>IF(Table2[[#This Row],[Description]]="","",VLOOKUP(Table2[[#This Row],[Description]],$Q$1:$S$101,2,FALSE))</f>
        <v/>
      </c>
      <c r="H7229" s="1" t="str">
        <f>IF(Table2[[#This Row],[Description]]="","",VLOOKUP(Table2[[#This Row],[Description]],$Q$1:$S$101,3,FALSE))</f>
        <v/>
      </c>
      <c r="I7229" s="1" t="str">
        <f>IF(Table2[[#This Row],[Description]]="","",IF(Table2[[#This Row],[Currency]]=$O$2,$P$2,HLOOKUP(Table2[[#This Row],[Date]],Funds!$C$10:$GV$11,2,FALSE)))</f>
        <v/>
      </c>
      <c r="J7229" s="215" t="str">
        <f>IF(Table2[[#This Row],[Description]]="","",Table2[[#This Row],[Value]]/Table2[[#This Row],[Conversion]])</f>
        <v/>
      </c>
      <c r="K7229" s="45" t="str">
        <f>IF(Table2[[#This Row],[Description]]="","",DATE(Table2[[#This Row],[Year]],Table2[[#This Row],[Month]],1))</f>
        <v/>
      </c>
    </row>
    <row r="7230" spans="7:11" x14ac:dyDescent="0.25">
      <c r="G7230" s="1" t="str">
        <f>IF(Table2[[#This Row],[Description]]="","",VLOOKUP(Table2[[#This Row],[Description]],$Q$1:$S$101,2,FALSE))</f>
        <v/>
      </c>
      <c r="H7230" s="1" t="str">
        <f>IF(Table2[[#This Row],[Description]]="","",VLOOKUP(Table2[[#This Row],[Description]],$Q$1:$S$101,3,FALSE))</f>
        <v/>
      </c>
      <c r="I7230" s="1" t="str">
        <f>IF(Table2[[#This Row],[Description]]="","",IF(Table2[[#This Row],[Currency]]=$O$2,$P$2,HLOOKUP(Table2[[#This Row],[Date]],Funds!$C$10:$GV$11,2,FALSE)))</f>
        <v/>
      </c>
      <c r="J7230" s="215" t="str">
        <f>IF(Table2[[#This Row],[Description]]="","",Table2[[#This Row],[Value]]/Table2[[#This Row],[Conversion]])</f>
        <v/>
      </c>
      <c r="K7230" s="45" t="str">
        <f>IF(Table2[[#This Row],[Description]]="","",DATE(Table2[[#This Row],[Year]],Table2[[#This Row],[Month]],1))</f>
        <v/>
      </c>
    </row>
    <row r="7231" spans="7:11" x14ac:dyDescent="0.25">
      <c r="G7231" s="1" t="str">
        <f>IF(Table2[[#This Row],[Description]]="","",VLOOKUP(Table2[[#This Row],[Description]],$Q$1:$S$101,2,FALSE))</f>
        <v/>
      </c>
      <c r="H7231" s="1" t="str">
        <f>IF(Table2[[#This Row],[Description]]="","",VLOOKUP(Table2[[#This Row],[Description]],$Q$1:$S$101,3,FALSE))</f>
        <v/>
      </c>
      <c r="I7231" s="1" t="str">
        <f>IF(Table2[[#This Row],[Description]]="","",IF(Table2[[#This Row],[Currency]]=$O$2,$P$2,HLOOKUP(Table2[[#This Row],[Date]],Funds!$C$10:$GV$11,2,FALSE)))</f>
        <v/>
      </c>
      <c r="J7231" s="215" t="str">
        <f>IF(Table2[[#This Row],[Description]]="","",Table2[[#This Row],[Value]]/Table2[[#This Row],[Conversion]])</f>
        <v/>
      </c>
      <c r="K7231" s="45" t="str">
        <f>IF(Table2[[#This Row],[Description]]="","",DATE(Table2[[#This Row],[Year]],Table2[[#This Row],[Month]],1))</f>
        <v/>
      </c>
    </row>
    <row r="7232" spans="7:11" x14ac:dyDescent="0.25">
      <c r="G7232" s="1" t="str">
        <f>IF(Table2[[#This Row],[Description]]="","",VLOOKUP(Table2[[#This Row],[Description]],$Q$1:$S$101,2,FALSE))</f>
        <v/>
      </c>
      <c r="H7232" s="1" t="str">
        <f>IF(Table2[[#This Row],[Description]]="","",VLOOKUP(Table2[[#This Row],[Description]],$Q$1:$S$101,3,FALSE))</f>
        <v/>
      </c>
      <c r="I7232" s="1" t="str">
        <f>IF(Table2[[#This Row],[Description]]="","",IF(Table2[[#This Row],[Currency]]=$O$2,$P$2,HLOOKUP(Table2[[#This Row],[Date]],Funds!$C$10:$GV$11,2,FALSE)))</f>
        <v/>
      </c>
      <c r="J7232" s="215" t="str">
        <f>IF(Table2[[#This Row],[Description]]="","",Table2[[#This Row],[Value]]/Table2[[#This Row],[Conversion]])</f>
        <v/>
      </c>
      <c r="K7232" s="45" t="str">
        <f>IF(Table2[[#This Row],[Description]]="","",DATE(Table2[[#This Row],[Year]],Table2[[#This Row],[Month]],1))</f>
        <v/>
      </c>
    </row>
    <row r="7233" spans="7:11" x14ac:dyDescent="0.25">
      <c r="G7233" s="1" t="str">
        <f>IF(Table2[[#This Row],[Description]]="","",VLOOKUP(Table2[[#This Row],[Description]],$Q$1:$S$101,2,FALSE))</f>
        <v/>
      </c>
      <c r="H7233" s="1" t="str">
        <f>IF(Table2[[#This Row],[Description]]="","",VLOOKUP(Table2[[#This Row],[Description]],$Q$1:$S$101,3,FALSE))</f>
        <v/>
      </c>
      <c r="I7233" s="1" t="str">
        <f>IF(Table2[[#This Row],[Description]]="","",IF(Table2[[#This Row],[Currency]]=$O$2,$P$2,HLOOKUP(Table2[[#This Row],[Date]],Funds!$C$10:$GV$11,2,FALSE)))</f>
        <v/>
      </c>
      <c r="J7233" s="215" t="str">
        <f>IF(Table2[[#This Row],[Description]]="","",Table2[[#This Row],[Value]]/Table2[[#This Row],[Conversion]])</f>
        <v/>
      </c>
      <c r="K7233" s="45" t="str">
        <f>IF(Table2[[#This Row],[Description]]="","",DATE(Table2[[#This Row],[Year]],Table2[[#This Row],[Month]],1))</f>
        <v/>
      </c>
    </row>
    <row r="7234" spans="7:11" x14ac:dyDescent="0.25">
      <c r="G7234" s="1" t="str">
        <f>IF(Table2[[#This Row],[Description]]="","",VLOOKUP(Table2[[#This Row],[Description]],$Q$1:$S$101,2,FALSE))</f>
        <v/>
      </c>
      <c r="H7234" s="1" t="str">
        <f>IF(Table2[[#This Row],[Description]]="","",VLOOKUP(Table2[[#This Row],[Description]],$Q$1:$S$101,3,FALSE))</f>
        <v/>
      </c>
      <c r="I7234" s="1" t="str">
        <f>IF(Table2[[#This Row],[Description]]="","",IF(Table2[[#This Row],[Currency]]=$O$2,$P$2,HLOOKUP(Table2[[#This Row],[Date]],Funds!$C$10:$GV$11,2,FALSE)))</f>
        <v/>
      </c>
      <c r="J7234" s="215" t="str">
        <f>IF(Table2[[#This Row],[Description]]="","",Table2[[#This Row],[Value]]/Table2[[#This Row],[Conversion]])</f>
        <v/>
      </c>
      <c r="K7234" s="45" t="str">
        <f>IF(Table2[[#This Row],[Description]]="","",DATE(Table2[[#This Row],[Year]],Table2[[#This Row],[Month]],1))</f>
        <v/>
      </c>
    </row>
    <row r="7235" spans="7:11" x14ac:dyDescent="0.25">
      <c r="G7235" s="1" t="str">
        <f>IF(Table2[[#This Row],[Description]]="","",VLOOKUP(Table2[[#This Row],[Description]],$Q$1:$S$101,2,FALSE))</f>
        <v/>
      </c>
      <c r="H7235" s="1" t="str">
        <f>IF(Table2[[#This Row],[Description]]="","",VLOOKUP(Table2[[#This Row],[Description]],$Q$1:$S$101,3,FALSE))</f>
        <v/>
      </c>
      <c r="I7235" s="1" t="str">
        <f>IF(Table2[[#This Row],[Description]]="","",IF(Table2[[#This Row],[Currency]]=$O$2,$P$2,HLOOKUP(Table2[[#This Row],[Date]],Funds!$C$10:$GV$11,2,FALSE)))</f>
        <v/>
      </c>
      <c r="J7235" s="215" t="str">
        <f>IF(Table2[[#This Row],[Description]]="","",Table2[[#This Row],[Value]]/Table2[[#This Row],[Conversion]])</f>
        <v/>
      </c>
      <c r="K7235" s="45" t="str">
        <f>IF(Table2[[#This Row],[Description]]="","",DATE(Table2[[#This Row],[Year]],Table2[[#This Row],[Month]],1))</f>
        <v/>
      </c>
    </row>
    <row r="7236" spans="7:11" x14ac:dyDescent="0.25">
      <c r="G7236" s="1" t="str">
        <f>IF(Table2[[#This Row],[Description]]="","",VLOOKUP(Table2[[#This Row],[Description]],$Q$1:$S$101,2,FALSE))</f>
        <v/>
      </c>
      <c r="H7236" s="1" t="str">
        <f>IF(Table2[[#This Row],[Description]]="","",VLOOKUP(Table2[[#This Row],[Description]],$Q$1:$S$101,3,FALSE))</f>
        <v/>
      </c>
      <c r="I7236" s="1" t="str">
        <f>IF(Table2[[#This Row],[Description]]="","",IF(Table2[[#This Row],[Currency]]=$O$2,$P$2,HLOOKUP(Table2[[#This Row],[Date]],Funds!$C$10:$GV$11,2,FALSE)))</f>
        <v/>
      </c>
      <c r="J7236" s="215" t="str">
        <f>IF(Table2[[#This Row],[Description]]="","",Table2[[#This Row],[Value]]/Table2[[#This Row],[Conversion]])</f>
        <v/>
      </c>
      <c r="K7236" s="45" t="str">
        <f>IF(Table2[[#This Row],[Description]]="","",DATE(Table2[[#This Row],[Year]],Table2[[#This Row],[Month]],1))</f>
        <v/>
      </c>
    </row>
    <row r="7237" spans="7:11" x14ac:dyDescent="0.25">
      <c r="G7237" s="1" t="str">
        <f>IF(Table2[[#This Row],[Description]]="","",VLOOKUP(Table2[[#This Row],[Description]],$Q$1:$S$101,2,FALSE))</f>
        <v/>
      </c>
      <c r="H7237" s="1" t="str">
        <f>IF(Table2[[#This Row],[Description]]="","",VLOOKUP(Table2[[#This Row],[Description]],$Q$1:$S$101,3,FALSE))</f>
        <v/>
      </c>
      <c r="I7237" s="1" t="str">
        <f>IF(Table2[[#This Row],[Description]]="","",IF(Table2[[#This Row],[Currency]]=$O$2,$P$2,HLOOKUP(Table2[[#This Row],[Date]],Funds!$C$10:$GV$11,2,FALSE)))</f>
        <v/>
      </c>
      <c r="J7237" s="215" t="str">
        <f>IF(Table2[[#This Row],[Description]]="","",Table2[[#This Row],[Value]]/Table2[[#This Row],[Conversion]])</f>
        <v/>
      </c>
      <c r="K7237" s="45" t="str">
        <f>IF(Table2[[#This Row],[Description]]="","",DATE(Table2[[#This Row],[Year]],Table2[[#This Row],[Month]],1))</f>
        <v/>
      </c>
    </row>
    <row r="7238" spans="7:11" x14ac:dyDescent="0.25">
      <c r="G7238" s="1" t="str">
        <f>IF(Table2[[#This Row],[Description]]="","",VLOOKUP(Table2[[#This Row],[Description]],$Q$1:$S$101,2,FALSE))</f>
        <v/>
      </c>
      <c r="H7238" s="1" t="str">
        <f>IF(Table2[[#This Row],[Description]]="","",VLOOKUP(Table2[[#This Row],[Description]],$Q$1:$S$101,3,FALSE))</f>
        <v/>
      </c>
      <c r="I7238" s="1" t="str">
        <f>IF(Table2[[#This Row],[Description]]="","",IF(Table2[[#This Row],[Currency]]=$O$2,$P$2,HLOOKUP(Table2[[#This Row],[Date]],Funds!$C$10:$GV$11,2,FALSE)))</f>
        <v/>
      </c>
      <c r="J7238" s="215" t="str">
        <f>IF(Table2[[#This Row],[Description]]="","",Table2[[#This Row],[Value]]/Table2[[#This Row],[Conversion]])</f>
        <v/>
      </c>
      <c r="K7238" s="45" t="str">
        <f>IF(Table2[[#This Row],[Description]]="","",DATE(Table2[[#This Row],[Year]],Table2[[#This Row],[Month]],1))</f>
        <v/>
      </c>
    </row>
    <row r="7239" spans="7:11" x14ac:dyDescent="0.25">
      <c r="G7239" s="1" t="str">
        <f>IF(Table2[[#This Row],[Description]]="","",VLOOKUP(Table2[[#This Row],[Description]],$Q$1:$S$101,2,FALSE))</f>
        <v/>
      </c>
      <c r="H7239" s="1" t="str">
        <f>IF(Table2[[#This Row],[Description]]="","",VLOOKUP(Table2[[#This Row],[Description]],$Q$1:$S$101,3,FALSE))</f>
        <v/>
      </c>
      <c r="I7239" s="1" t="str">
        <f>IF(Table2[[#This Row],[Description]]="","",IF(Table2[[#This Row],[Currency]]=$O$2,$P$2,HLOOKUP(Table2[[#This Row],[Date]],Funds!$C$10:$GV$11,2,FALSE)))</f>
        <v/>
      </c>
      <c r="J7239" s="215" t="str">
        <f>IF(Table2[[#This Row],[Description]]="","",Table2[[#This Row],[Value]]/Table2[[#This Row],[Conversion]])</f>
        <v/>
      </c>
      <c r="K7239" s="45" t="str">
        <f>IF(Table2[[#This Row],[Description]]="","",DATE(Table2[[#This Row],[Year]],Table2[[#This Row],[Month]],1))</f>
        <v/>
      </c>
    </row>
    <row r="7240" spans="7:11" x14ac:dyDescent="0.25">
      <c r="G7240" s="1" t="str">
        <f>IF(Table2[[#This Row],[Description]]="","",VLOOKUP(Table2[[#This Row],[Description]],$Q$1:$S$101,2,FALSE))</f>
        <v/>
      </c>
      <c r="H7240" s="1" t="str">
        <f>IF(Table2[[#This Row],[Description]]="","",VLOOKUP(Table2[[#This Row],[Description]],$Q$1:$S$101,3,FALSE))</f>
        <v/>
      </c>
      <c r="I7240" s="1" t="str">
        <f>IF(Table2[[#This Row],[Description]]="","",IF(Table2[[#This Row],[Currency]]=$O$2,$P$2,HLOOKUP(Table2[[#This Row],[Date]],Funds!$C$10:$GV$11,2,FALSE)))</f>
        <v/>
      </c>
      <c r="J7240" s="215" t="str">
        <f>IF(Table2[[#This Row],[Description]]="","",Table2[[#This Row],[Value]]/Table2[[#This Row],[Conversion]])</f>
        <v/>
      </c>
      <c r="K7240" s="45" t="str">
        <f>IF(Table2[[#This Row],[Description]]="","",DATE(Table2[[#This Row],[Year]],Table2[[#This Row],[Month]],1))</f>
        <v/>
      </c>
    </row>
    <row r="7241" spans="7:11" x14ac:dyDescent="0.25">
      <c r="G7241" s="1" t="str">
        <f>IF(Table2[[#This Row],[Description]]="","",VLOOKUP(Table2[[#This Row],[Description]],$Q$1:$S$101,2,FALSE))</f>
        <v/>
      </c>
      <c r="H7241" s="1" t="str">
        <f>IF(Table2[[#This Row],[Description]]="","",VLOOKUP(Table2[[#This Row],[Description]],$Q$1:$S$101,3,FALSE))</f>
        <v/>
      </c>
      <c r="I7241" s="1" t="str">
        <f>IF(Table2[[#This Row],[Description]]="","",IF(Table2[[#This Row],[Currency]]=$O$2,$P$2,HLOOKUP(Table2[[#This Row],[Date]],Funds!$C$10:$GV$11,2,FALSE)))</f>
        <v/>
      </c>
      <c r="J7241" s="215" t="str">
        <f>IF(Table2[[#This Row],[Description]]="","",Table2[[#This Row],[Value]]/Table2[[#This Row],[Conversion]])</f>
        <v/>
      </c>
      <c r="K7241" s="45" t="str">
        <f>IF(Table2[[#This Row],[Description]]="","",DATE(Table2[[#This Row],[Year]],Table2[[#This Row],[Month]],1))</f>
        <v/>
      </c>
    </row>
    <row r="7242" spans="7:11" x14ac:dyDescent="0.25">
      <c r="G7242" s="1" t="str">
        <f>IF(Table2[[#This Row],[Description]]="","",VLOOKUP(Table2[[#This Row],[Description]],$Q$1:$S$101,2,FALSE))</f>
        <v/>
      </c>
      <c r="H7242" s="1" t="str">
        <f>IF(Table2[[#This Row],[Description]]="","",VLOOKUP(Table2[[#This Row],[Description]],$Q$1:$S$101,3,FALSE))</f>
        <v/>
      </c>
      <c r="I7242" s="1" t="str">
        <f>IF(Table2[[#This Row],[Description]]="","",IF(Table2[[#This Row],[Currency]]=$O$2,$P$2,HLOOKUP(Table2[[#This Row],[Date]],Funds!$C$10:$GV$11,2,FALSE)))</f>
        <v/>
      </c>
      <c r="J7242" s="215" t="str">
        <f>IF(Table2[[#This Row],[Description]]="","",Table2[[#This Row],[Value]]/Table2[[#This Row],[Conversion]])</f>
        <v/>
      </c>
      <c r="K7242" s="45" t="str">
        <f>IF(Table2[[#This Row],[Description]]="","",DATE(Table2[[#This Row],[Year]],Table2[[#This Row],[Month]],1))</f>
        <v/>
      </c>
    </row>
    <row r="7243" spans="7:11" x14ac:dyDescent="0.25">
      <c r="G7243" s="1" t="str">
        <f>IF(Table2[[#This Row],[Description]]="","",VLOOKUP(Table2[[#This Row],[Description]],$Q$1:$S$101,2,FALSE))</f>
        <v/>
      </c>
      <c r="H7243" s="1" t="str">
        <f>IF(Table2[[#This Row],[Description]]="","",VLOOKUP(Table2[[#This Row],[Description]],$Q$1:$S$101,3,FALSE))</f>
        <v/>
      </c>
      <c r="I7243" s="1" t="str">
        <f>IF(Table2[[#This Row],[Description]]="","",IF(Table2[[#This Row],[Currency]]=$O$2,$P$2,HLOOKUP(Table2[[#This Row],[Date]],Funds!$C$10:$GV$11,2,FALSE)))</f>
        <v/>
      </c>
      <c r="J7243" s="215" t="str">
        <f>IF(Table2[[#This Row],[Description]]="","",Table2[[#This Row],[Value]]/Table2[[#This Row],[Conversion]])</f>
        <v/>
      </c>
      <c r="K7243" s="45" t="str">
        <f>IF(Table2[[#This Row],[Description]]="","",DATE(Table2[[#This Row],[Year]],Table2[[#This Row],[Month]],1))</f>
        <v/>
      </c>
    </row>
    <row r="7244" spans="7:11" x14ac:dyDescent="0.25">
      <c r="G7244" s="1" t="str">
        <f>IF(Table2[[#This Row],[Description]]="","",VLOOKUP(Table2[[#This Row],[Description]],$Q$1:$S$101,2,FALSE))</f>
        <v/>
      </c>
      <c r="H7244" s="1" t="str">
        <f>IF(Table2[[#This Row],[Description]]="","",VLOOKUP(Table2[[#This Row],[Description]],$Q$1:$S$101,3,FALSE))</f>
        <v/>
      </c>
      <c r="I7244" s="1" t="str">
        <f>IF(Table2[[#This Row],[Description]]="","",IF(Table2[[#This Row],[Currency]]=$O$2,$P$2,HLOOKUP(Table2[[#This Row],[Date]],Funds!$C$10:$GV$11,2,FALSE)))</f>
        <v/>
      </c>
      <c r="J7244" s="215" t="str">
        <f>IF(Table2[[#This Row],[Description]]="","",Table2[[#This Row],[Value]]/Table2[[#This Row],[Conversion]])</f>
        <v/>
      </c>
      <c r="K7244" s="45" t="str">
        <f>IF(Table2[[#This Row],[Description]]="","",DATE(Table2[[#This Row],[Year]],Table2[[#This Row],[Month]],1))</f>
        <v/>
      </c>
    </row>
    <row r="7245" spans="7:11" x14ac:dyDescent="0.25">
      <c r="G7245" s="1" t="str">
        <f>IF(Table2[[#This Row],[Description]]="","",VLOOKUP(Table2[[#This Row],[Description]],$Q$1:$S$101,2,FALSE))</f>
        <v/>
      </c>
      <c r="H7245" s="1" t="str">
        <f>IF(Table2[[#This Row],[Description]]="","",VLOOKUP(Table2[[#This Row],[Description]],$Q$1:$S$101,3,FALSE))</f>
        <v/>
      </c>
      <c r="I7245" s="1" t="str">
        <f>IF(Table2[[#This Row],[Description]]="","",IF(Table2[[#This Row],[Currency]]=$O$2,$P$2,HLOOKUP(Table2[[#This Row],[Date]],Funds!$C$10:$GV$11,2,FALSE)))</f>
        <v/>
      </c>
      <c r="J7245" s="215" t="str">
        <f>IF(Table2[[#This Row],[Description]]="","",Table2[[#This Row],[Value]]/Table2[[#This Row],[Conversion]])</f>
        <v/>
      </c>
      <c r="K7245" s="45" t="str">
        <f>IF(Table2[[#This Row],[Description]]="","",DATE(Table2[[#This Row],[Year]],Table2[[#This Row],[Month]],1))</f>
        <v/>
      </c>
    </row>
    <row r="7246" spans="7:11" x14ac:dyDescent="0.25">
      <c r="G7246" s="1" t="str">
        <f>IF(Table2[[#This Row],[Description]]="","",VLOOKUP(Table2[[#This Row],[Description]],$Q$1:$S$101,2,FALSE))</f>
        <v/>
      </c>
      <c r="H7246" s="1" t="str">
        <f>IF(Table2[[#This Row],[Description]]="","",VLOOKUP(Table2[[#This Row],[Description]],$Q$1:$S$101,3,FALSE))</f>
        <v/>
      </c>
      <c r="I7246" s="1" t="str">
        <f>IF(Table2[[#This Row],[Description]]="","",IF(Table2[[#This Row],[Currency]]=$O$2,$P$2,HLOOKUP(Table2[[#This Row],[Date]],Funds!$C$10:$GV$11,2,FALSE)))</f>
        <v/>
      </c>
      <c r="J7246" s="215" t="str">
        <f>IF(Table2[[#This Row],[Description]]="","",Table2[[#This Row],[Value]]/Table2[[#This Row],[Conversion]])</f>
        <v/>
      </c>
      <c r="K7246" s="45" t="str">
        <f>IF(Table2[[#This Row],[Description]]="","",DATE(Table2[[#This Row],[Year]],Table2[[#This Row],[Month]],1))</f>
        <v/>
      </c>
    </row>
    <row r="7247" spans="7:11" x14ac:dyDescent="0.25">
      <c r="G7247" s="1" t="str">
        <f>IF(Table2[[#This Row],[Description]]="","",VLOOKUP(Table2[[#This Row],[Description]],$Q$1:$S$101,2,FALSE))</f>
        <v/>
      </c>
      <c r="H7247" s="1" t="str">
        <f>IF(Table2[[#This Row],[Description]]="","",VLOOKUP(Table2[[#This Row],[Description]],$Q$1:$S$101,3,FALSE))</f>
        <v/>
      </c>
      <c r="I7247" s="1" t="str">
        <f>IF(Table2[[#This Row],[Description]]="","",IF(Table2[[#This Row],[Currency]]=$O$2,$P$2,HLOOKUP(Table2[[#This Row],[Date]],Funds!$C$10:$GV$11,2,FALSE)))</f>
        <v/>
      </c>
      <c r="J7247" s="215" t="str">
        <f>IF(Table2[[#This Row],[Description]]="","",Table2[[#This Row],[Value]]/Table2[[#This Row],[Conversion]])</f>
        <v/>
      </c>
      <c r="K7247" s="45" t="str">
        <f>IF(Table2[[#This Row],[Description]]="","",DATE(Table2[[#This Row],[Year]],Table2[[#This Row],[Month]],1))</f>
        <v/>
      </c>
    </row>
    <row r="7248" spans="7:11" x14ac:dyDescent="0.25">
      <c r="G7248" s="1" t="str">
        <f>IF(Table2[[#This Row],[Description]]="","",VLOOKUP(Table2[[#This Row],[Description]],$Q$1:$S$101,2,FALSE))</f>
        <v/>
      </c>
      <c r="H7248" s="1" t="str">
        <f>IF(Table2[[#This Row],[Description]]="","",VLOOKUP(Table2[[#This Row],[Description]],$Q$1:$S$101,3,FALSE))</f>
        <v/>
      </c>
      <c r="I7248" s="1" t="str">
        <f>IF(Table2[[#This Row],[Description]]="","",IF(Table2[[#This Row],[Currency]]=$O$2,$P$2,HLOOKUP(Table2[[#This Row],[Date]],Funds!$C$10:$GV$11,2,FALSE)))</f>
        <v/>
      </c>
      <c r="J7248" s="215" t="str">
        <f>IF(Table2[[#This Row],[Description]]="","",Table2[[#This Row],[Value]]/Table2[[#This Row],[Conversion]])</f>
        <v/>
      </c>
      <c r="K7248" s="45" t="str">
        <f>IF(Table2[[#This Row],[Description]]="","",DATE(Table2[[#This Row],[Year]],Table2[[#This Row],[Month]],1))</f>
        <v/>
      </c>
    </row>
    <row r="7249" spans="7:11" x14ac:dyDescent="0.25">
      <c r="G7249" s="1" t="str">
        <f>IF(Table2[[#This Row],[Description]]="","",VLOOKUP(Table2[[#This Row],[Description]],$Q$1:$S$101,2,FALSE))</f>
        <v/>
      </c>
      <c r="H7249" s="1" t="str">
        <f>IF(Table2[[#This Row],[Description]]="","",VLOOKUP(Table2[[#This Row],[Description]],$Q$1:$S$101,3,FALSE))</f>
        <v/>
      </c>
      <c r="I7249" s="1" t="str">
        <f>IF(Table2[[#This Row],[Description]]="","",IF(Table2[[#This Row],[Currency]]=$O$2,$P$2,HLOOKUP(Table2[[#This Row],[Date]],Funds!$C$10:$GV$11,2,FALSE)))</f>
        <v/>
      </c>
      <c r="J7249" s="215" t="str">
        <f>IF(Table2[[#This Row],[Description]]="","",Table2[[#This Row],[Value]]/Table2[[#This Row],[Conversion]])</f>
        <v/>
      </c>
      <c r="K7249" s="45" t="str">
        <f>IF(Table2[[#This Row],[Description]]="","",DATE(Table2[[#This Row],[Year]],Table2[[#This Row],[Month]],1))</f>
        <v/>
      </c>
    </row>
    <row r="7250" spans="7:11" x14ac:dyDescent="0.25">
      <c r="G7250" s="1" t="str">
        <f>IF(Table2[[#This Row],[Description]]="","",VLOOKUP(Table2[[#This Row],[Description]],$Q$1:$S$101,2,FALSE))</f>
        <v/>
      </c>
      <c r="H7250" s="1" t="str">
        <f>IF(Table2[[#This Row],[Description]]="","",VLOOKUP(Table2[[#This Row],[Description]],$Q$1:$S$101,3,FALSE))</f>
        <v/>
      </c>
      <c r="I7250" s="1" t="str">
        <f>IF(Table2[[#This Row],[Description]]="","",IF(Table2[[#This Row],[Currency]]=$O$2,$P$2,HLOOKUP(Table2[[#This Row],[Date]],Funds!$C$10:$GV$11,2,FALSE)))</f>
        <v/>
      </c>
      <c r="J7250" s="215" t="str">
        <f>IF(Table2[[#This Row],[Description]]="","",Table2[[#This Row],[Value]]/Table2[[#This Row],[Conversion]])</f>
        <v/>
      </c>
      <c r="K7250" s="45" t="str">
        <f>IF(Table2[[#This Row],[Description]]="","",DATE(Table2[[#This Row],[Year]],Table2[[#This Row],[Month]],1))</f>
        <v/>
      </c>
    </row>
    <row r="7251" spans="7:11" x14ac:dyDescent="0.25">
      <c r="G7251" s="1" t="str">
        <f>IF(Table2[[#This Row],[Description]]="","",VLOOKUP(Table2[[#This Row],[Description]],$Q$1:$S$101,2,FALSE))</f>
        <v/>
      </c>
      <c r="H7251" s="1" t="str">
        <f>IF(Table2[[#This Row],[Description]]="","",VLOOKUP(Table2[[#This Row],[Description]],$Q$1:$S$101,3,FALSE))</f>
        <v/>
      </c>
      <c r="I7251" s="1" t="str">
        <f>IF(Table2[[#This Row],[Description]]="","",IF(Table2[[#This Row],[Currency]]=$O$2,$P$2,HLOOKUP(Table2[[#This Row],[Date]],Funds!$C$10:$GV$11,2,FALSE)))</f>
        <v/>
      </c>
      <c r="J7251" s="215" t="str">
        <f>IF(Table2[[#This Row],[Description]]="","",Table2[[#This Row],[Value]]/Table2[[#This Row],[Conversion]])</f>
        <v/>
      </c>
      <c r="K7251" s="45" t="str">
        <f>IF(Table2[[#This Row],[Description]]="","",DATE(Table2[[#This Row],[Year]],Table2[[#This Row],[Month]],1))</f>
        <v/>
      </c>
    </row>
    <row r="7252" spans="7:11" x14ac:dyDescent="0.25">
      <c r="G7252" s="1" t="str">
        <f>IF(Table2[[#This Row],[Description]]="","",VLOOKUP(Table2[[#This Row],[Description]],$Q$1:$S$101,2,FALSE))</f>
        <v/>
      </c>
      <c r="H7252" s="1" t="str">
        <f>IF(Table2[[#This Row],[Description]]="","",VLOOKUP(Table2[[#This Row],[Description]],$Q$1:$S$101,3,FALSE))</f>
        <v/>
      </c>
      <c r="I7252" s="1" t="str">
        <f>IF(Table2[[#This Row],[Description]]="","",IF(Table2[[#This Row],[Currency]]=$O$2,$P$2,HLOOKUP(Table2[[#This Row],[Date]],Funds!$C$10:$GV$11,2,FALSE)))</f>
        <v/>
      </c>
      <c r="J7252" s="215" t="str">
        <f>IF(Table2[[#This Row],[Description]]="","",Table2[[#This Row],[Value]]/Table2[[#This Row],[Conversion]])</f>
        <v/>
      </c>
      <c r="K7252" s="45" t="str">
        <f>IF(Table2[[#This Row],[Description]]="","",DATE(Table2[[#This Row],[Year]],Table2[[#This Row],[Month]],1))</f>
        <v/>
      </c>
    </row>
    <row r="7253" spans="7:11" x14ac:dyDescent="0.25">
      <c r="G7253" s="1" t="str">
        <f>IF(Table2[[#This Row],[Description]]="","",VLOOKUP(Table2[[#This Row],[Description]],$Q$1:$S$101,2,FALSE))</f>
        <v/>
      </c>
      <c r="H7253" s="1" t="str">
        <f>IF(Table2[[#This Row],[Description]]="","",VLOOKUP(Table2[[#This Row],[Description]],$Q$1:$S$101,3,FALSE))</f>
        <v/>
      </c>
      <c r="I7253" s="1" t="str">
        <f>IF(Table2[[#This Row],[Description]]="","",IF(Table2[[#This Row],[Currency]]=$O$2,$P$2,HLOOKUP(Table2[[#This Row],[Date]],Funds!$C$10:$GV$11,2,FALSE)))</f>
        <v/>
      </c>
      <c r="J7253" s="215" t="str">
        <f>IF(Table2[[#This Row],[Description]]="","",Table2[[#This Row],[Value]]/Table2[[#This Row],[Conversion]])</f>
        <v/>
      </c>
      <c r="K7253" s="45" t="str">
        <f>IF(Table2[[#This Row],[Description]]="","",DATE(Table2[[#This Row],[Year]],Table2[[#This Row],[Month]],1))</f>
        <v/>
      </c>
    </row>
    <row r="7254" spans="7:11" x14ac:dyDescent="0.25">
      <c r="G7254" s="1" t="str">
        <f>IF(Table2[[#This Row],[Description]]="","",VLOOKUP(Table2[[#This Row],[Description]],$Q$1:$S$101,2,FALSE))</f>
        <v/>
      </c>
      <c r="H7254" s="1" t="str">
        <f>IF(Table2[[#This Row],[Description]]="","",VLOOKUP(Table2[[#This Row],[Description]],$Q$1:$S$101,3,FALSE))</f>
        <v/>
      </c>
      <c r="I7254" s="1" t="str">
        <f>IF(Table2[[#This Row],[Description]]="","",IF(Table2[[#This Row],[Currency]]=$O$2,$P$2,HLOOKUP(Table2[[#This Row],[Date]],Funds!$C$10:$GV$11,2,FALSE)))</f>
        <v/>
      </c>
      <c r="J7254" s="215" t="str">
        <f>IF(Table2[[#This Row],[Description]]="","",Table2[[#This Row],[Value]]/Table2[[#This Row],[Conversion]])</f>
        <v/>
      </c>
      <c r="K7254" s="45" t="str">
        <f>IF(Table2[[#This Row],[Description]]="","",DATE(Table2[[#This Row],[Year]],Table2[[#This Row],[Month]],1))</f>
        <v/>
      </c>
    </row>
    <row r="7255" spans="7:11" x14ac:dyDescent="0.25">
      <c r="G7255" s="1" t="str">
        <f>IF(Table2[[#This Row],[Description]]="","",VLOOKUP(Table2[[#This Row],[Description]],$Q$1:$S$101,2,FALSE))</f>
        <v/>
      </c>
      <c r="H7255" s="1" t="str">
        <f>IF(Table2[[#This Row],[Description]]="","",VLOOKUP(Table2[[#This Row],[Description]],$Q$1:$S$101,3,FALSE))</f>
        <v/>
      </c>
      <c r="I7255" s="1" t="str">
        <f>IF(Table2[[#This Row],[Description]]="","",IF(Table2[[#This Row],[Currency]]=$O$2,$P$2,HLOOKUP(Table2[[#This Row],[Date]],Funds!$C$10:$GV$11,2,FALSE)))</f>
        <v/>
      </c>
      <c r="J7255" s="215" t="str">
        <f>IF(Table2[[#This Row],[Description]]="","",Table2[[#This Row],[Value]]/Table2[[#This Row],[Conversion]])</f>
        <v/>
      </c>
      <c r="K7255" s="45" t="str">
        <f>IF(Table2[[#This Row],[Description]]="","",DATE(Table2[[#This Row],[Year]],Table2[[#This Row],[Month]],1))</f>
        <v/>
      </c>
    </row>
    <row r="7256" spans="7:11" x14ac:dyDescent="0.25">
      <c r="G7256" s="1" t="str">
        <f>IF(Table2[[#This Row],[Description]]="","",VLOOKUP(Table2[[#This Row],[Description]],$Q$1:$S$101,2,FALSE))</f>
        <v/>
      </c>
      <c r="H7256" s="1" t="str">
        <f>IF(Table2[[#This Row],[Description]]="","",VLOOKUP(Table2[[#This Row],[Description]],$Q$1:$S$101,3,FALSE))</f>
        <v/>
      </c>
      <c r="I7256" s="1" t="str">
        <f>IF(Table2[[#This Row],[Description]]="","",IF(Table2[[#This Row],[Currency]]=$O$2,$P$2,HLOOKUP(Table2[[#This Row],[Date]],Funds!$C$10:$GV$11,2,FALSE)))</f>
        <v/>
      </c>
      <c r="J7256" s="215" t="str">
        <f>IF(Table2[[#This Row],[Description]]="","",Table2[[#This Row],[Value]]/Table2[[#This Row],[Conversion]])</f>
        <v/>
      </c>
      <c r="K7256" s="45" t="str">
        <f>IF(Table2[[#This Row],[Description]]="","",DATE(Table2[[#This Row],[Year]],Table2[[#This Row],[Month]],1))</f>
        <v/>
      </c>
    </row>
    <row r="7257" spans="7:11" x14ac:dyDescent="0.25">
      <c r="G7257" s="1" t="str">
        <f>IF(Table2[[#This Row],[Description]]="","",VLOOKUP(Table2[[#This Row],[Description]],$Q$1:$S$101,2,FALSE))</f>
        <v/>
      </c>
      <c r="H7257" s="1" t="str">
        <f>IF(Table2[[#This Row],[Description]]="","",VLOOKUP(Table2[[#This Row],[Description]],$Q$1:$S$101,3,FALSE))</f>
        <v/>
      </c>
      <c r="I7257" s="1" t="str">
        <f>IF(Table2[[#This Row],[Description]]="","",IF(Table2[[#This Row],[Currency]]=$O$2,$P$2,HLOOKUP(Table2[[#This Row],[Date]],Funds!$C$10:$GV$11,2,FALSE)))</f>
        <v/>
      </c>
      <c r="J7257" s="215" t="str">
        <f>IF(Table2[[#This Row],[Description]]="","",Table2[[#This Row],[Value]]/Table2[[#This Row],[Conversion]])</f>
        <v/>
      </c>
      <c r="K7257" s="45" t="str">
        <f>IF(Table2[[#This Row],[Description]]="","",DATE(Table2[[#This Row],[Year]],Table2[[#This Row],[Month]],1))</f>
        <v/>
      </c>
    </row>
    <row r="7258" spans="7:11" x14ac:dyDescent="0.25">
      <c r="G7258" s="1" t="str">
        <f>IF(Table2[[#This Row],[Description]]="","",VLOOKUP(Table2[[#This Row],[Description]],$Q$1:$S$101,2,FALSE))</f>
        <v/>
      </c>
      <c r="H7258" s="1" t="str">
        <f>IF(Table2[[#This Row],[Description]]="","",VLOOKUP(Table2[[#This Row],[Description]],$Q$1:$S$101,3,FALSE))</f>
        <v/>
      </c>
      <c r="I7258" s="1" t="str">
        <f>IF(Table2[[#This Row],[Description]]="","",IF(Table2[[#This Row],[Currency]]=$O$2,$P$2,HLOOKUP(Table2[[#This Row],[Date]],Funds!$C$10:$GV$11,2,FALSE)))</f>
        <v/>
      </c>
      <c r="J7258" s="215" t="str">
        <f>IF(Table2[[#This Row],[Description]]="","",Table2[[#This Row],[Value]]/Table2[[#This Row],[Conversion]])</f>
        <v/>
      </c>
      <c r="K7258" s="45" t="str">
        <f>IF(Table2[[#This Row],[Description]]="","",DATE(Table2[[#This Row],[Year]],Table2[[#This Row],[Month]],1))</f>
        <v/>
      </c>
    </row>
    <row r="7259" spans="7:11" x14ac:dyDescent="0.25">
      <c r="G7259" s="1" t="str">
        <f>IF(Table2[[#This Row],[Description]]="","",VLOOKUP(Table2[[#This Row],[Description]],$Q$1:$S$101,2,FALSE))</f>
        <v/>
      </c>
      <c r="H7259" s="1" t="str">
        <f>IF(Table2[[#This Row],[Description]]="","",VLOOKUP(Table2[[#This Row],[Description]],$Q$1:$S$101,3,FALSE))</f>
        <v/>
      </c>
      <c r="I7259" s="1" t="str">
        <f>IF(Table2[[#This Row],[Description]]="","",IF(Table2[[#This Row],[Currency]]=$O$2,$P$2,HLOOKUP(Table2[[#This Row],[Date]],Funds!$C$10:$GV$11,2,FALSE)))</f>
        <v/>
      </c>
      <c r="J7259" s="215" t="str">
        <f>IF(Table2[[#This Row],[Description]]="","",Table2[[#This Row],[Value]]/Table2[[#This Row],[Conversion]])</f>
        <v/>
      </c>
      <c r="K7259" s="45" t="str">
        <f>IF(Table2[[#This Row],[Description]]="","",DATE(Table2[[#This Row],[Year]],Table2[[#This Row],[Month]],1))</f>
        <v/>
      </c>
    </row>
    <row r="7260" spans="7:11" x14ac:dyDescent="0.25">
      <c r="G7260" s="1" t="str">
        <f>IF(Table2[[#This Row],[Description]]="","",VLOOKUP(Table2[[#This Row],[Description]],$Q$1:$S$101,2,FALSE))</f>
        <v/>
      </c>
      <c r="H7260" s="1" t="str">
        <f>IF(Table2[[#This Row],[Description]]="","",VLOOKUP(Table2[[#This Row],[Description]],$Q$1:$S$101,3,FALSE))</f>
        <v/>
      </c>
      <c r="I7260" s="1" t="str">
        <f>IF(Table2[[#This Row],[Description]]="","",IF(Table2[[#This Row],[Currency]]=$O$2,$P$2,HLOOKUP(Table2[[#This Row],[Date]],Funds!$C$10:$GV$11,2,FALSE)))</f>
        <v/>
      </c>
      <c r="J7260" s="215" t="str">
        <f>IF(Table2[[#This Row],[Description]]="","",Table2[[#This Row],[Value]]/Table2[[#This Row],[Conversion]])</f>
        <v/>
      </c>
      <c r="K7260" s="45" t="str">
        <f>IF(Table2[[#This Row],[Description]]="","",DATE(Table2[[#This Row],[Year]],Table2[[#This Row],[Month]],1))</f>
        <v/>
      </c>
    </row>
    <row r="7261" spans="7:11" x14ac:dyDescent="0.25">
      <c r="G7261" s="1" t="str">
        <f>IF(Table2[[#This Row],[Description]]="","",VLOOKUP(Table2[[#This Row],[Description]],$Q$1:$S$101,2,FALSE))</f>
        <v/>
      </c>
      <c r="H7261" s="1" t="str">
        <f>IF(Table2[[#This Row],[Description]]="","",VLOOKUP(Table2[[#This Row],[Description]],$Q$1:$S$101,3,FALSE))</f>
        <v/>
      </c>
      <c r="I7261" s="1" t="str">
        <f>IF(Table2[[#This Row],[Description]]="","",IF(Table2[[#This Row],[Currency]]=$O$2,$P$2,HLOOKUP(Table2[[#This Row],[Date]],Funds!$C$10:$GV$11,2,FALSE)))</f>
        <v/>
      </c>
      <c r="J7261" s="215" t="str">
        <f>IF(Table2[[#This Row],[Description]]="","",Table2[[#This Row],[Value]]/Table2[[#This Row],[Conversion]])</f>
        <v/>
      </c>
      <c r="K7261" s="45" t="str">
        <f>IF(Table2[[#This Row],[Description]]="","",DATE(Table2[[#This Row],[Year]],Table2[[#This Row],[Month]],1))</f>
        <v/>
      </c>
    </row>
    <row r="7262" spans="7:11" x14ac:dyDescent="0.25">
      <c r="G7262" s="1" t="str">
        <f>IF(Table2[[#This Row],[Description]]="","",VLOOKUP(Table2[[#This Row],[Description]],$Q$1:$S$101,2,FALSE))</f>
        <v/>
      </c>
      <c r="H7262" s="1" t="str">
        <f>IF(Table2[[#This Row],[Description]]="","",VLOOKUP(Table2[[#This Row],[Description]],$Q$1:$S$101,3,FALSE))</f>
        <v/>
      </c>
      <c r="I7262" s="1" t="str">
        <f>IF(Table2[[#This Row],[Description]]="","",IF(Table2[[#This Row],[Currency]]=$O$2,$P$2,HLOOKUP(Table2[[#This Row],[Date]],Funds!$C$10:$GV$11,2,FALSE)))</f>
        <v/>
      </c>
      <c r="J7262" s="215" t="str">
        <f>IF(Table2[[#This Row],[Description]]="","",Table2[[#This Row],[Value]]/Table2[[#This Row],[Conversion]])</f>
        <v/>
      </c>
      <c r="K7262" s="45" t="str">
        <f>IF(Table2[[#This Row],[Description]]="","",DATE(Table2[[#This Row],[Year]],Table2[[#This Row],[Month]],1))</f>
        <v/>
      </c>
    </row>
    <row r="7263" spans="7:11" x14ac:dyDescent="0.25">
      <c r="G7263" s="1" t="str">
        <f>IF(Table2[[#This Row],[Description]]="","",VLOOKUP(Table2[[#This Row],[Description]],$Q$1:$S$101,2,FALSE))</f>
        <v/>
      </c>
      <c r="H7263" s="1" t="str">
        <f>IF(Table2[[#This Row],[Description]]="","",VLOOKUP(Table2[[#This Row],[Description]],$Q$1:$S$101,3,FALSE))</f>
        <v/>
      </c>
      <c r="I7263" s="1" t="str">
        <f>IF(Table2[[#This Row],[Description]]="","",IF(Table2[[#This Row],[Currency]]=$O$2,$P$2,HLOOKUP(Table2[[#This Row],[Date]],Funds!$C$10:$GV$11,2,FALSE)))</f>
        <v/>
      </c>
      <c r="J7263" s="215" t="str">
        <f>IF(Table2[[#This Row],[Description]]="","",Table2[[#This Row],[Value]]/Table2[[#This Row],[Conversion]])</f>
        <v/>
      </c>
      <c r="K7263" s="45" t="str">
        <f>IF(Table2[[#This Row],[Description]]="","",DATE(Table2[[#This Row],[Year]],Table2[[#This Row],[Month]],1))</f>
        <v/>
      </c>
    </row>
    <row r="7264" spans="7:11" x14ac:dyDescent="0.25">
      <c r="G7264" s="1" t="str">
        <f>IF(Table2[[#This Row],[Description]]="","",VLOOKUP(Table2[[#This Row],[Description]],$Q$1:$S$101,2,FALSE))</f>
        <v/>
      </c>
      <c r="H7264" s="1" t="str">
        <f>IF(Table2[[#This Row],[Description]]="","",VLOOKUP(Table2[[#This Row],[Description]],$Q$1:$S$101,3,FALSE))</f>
        <v/>
      </c>
      <c r="I7264" s="1" t="str">
        <f>IF(Table2[[#This Row],[Description]]="","",IF(Table2[[#This Row],[Currency]]=$O$2,$P$2,HLOOKUP(Table2[[#This Row],[Date]],Funds!$C$10:$GV$11,2,FALSE)))</f>
        <v/>
      </c>
      <c r="J7264" s="215" t="str">
        <f>IF(Table2[[#This Row],[Description]]="","",Table2[[#This Row],[Value]]/Table2[[#This Row],[Conversion]])</f>
        <v/>
      </c>
      <c r="K7264" s="45" t="str">
        <f>IF(Table2[[#This Row],[Description]]="","",DATE(Table2[[#This Row],[Year]],Table2[[#This Row],[Month]],1))</f>
        <v/>
      </c>
    </row>
    <row r="7265" spans="7:11" x14ac:dyDescent="0.25">
      <c r="G7265" s="1" t="str">
        <f>IF(Table2[[#This Row],[Description]]="","",VLOOKUP(Table2[[#This Row],[Description]],$Q$1:$S$101,2,FALSE))</f>
        <v/>
      </c>
      <c r="H7265" s="1" t="str">
        <f>IF(Table2[[#This Row],[Description]]="","",VLOOKUP(Table2[[#This Row],[Description]],$Q$1:$S$101,3,FALSE))</f>
        <v/>
      </c>
      <c r="I7265" s="1" t="str">
        <f>IF(Table2[[#This Row],[Description]]="","",IF(Table2[[#This Row],[Currency]]=$O$2,$P$2,HLOOKUP(Table2[[#This Row],[Date]],Funds!$C$10:$GV$11,2,FALSE)))</f>
        <v/>
      </c>
      <c r="J7265" s="215" t="str">
        <f>IF(Table2[[#This Row],[Description]]="","",Table2[[#This Row],[Value]]/Table2[[#This Row],[Conversion]])</f>
        <v/>
      </c>
      <c r="K7265" s="45" t="str">
        <f>IF(Table2[[#This Row],[Description]]="","",DATE(Table2[[#This Row],[Year]],Table2[[#This Row],[Month]],1))</f>
        <v/>
      </c>
    </row>
    <row r="7266" spans="7:11" x14ac:dyDescent="0.25">
      <c r="G7266" s="1" t="str">
        <f>IF(Table2[[#This Row],[Description]]="","",VLOOKUP(Table2[[#This Row],[Description]],$Q$1:$S$101,2,FALSE))</f>
        <v/>
      </c>
      <c r="H7266" s="1" t="str">
        <f>IF(Table2[[#This Row],[Description]]="","",VLOOKUP(Table2[[#This Row],[Description]],$Q$1:$S$101,3,FALSE))</f>
        <v/>
      </c>
      <c r="I7266" s="1" t="str">
        <f>IF(Table2[[#This Row],[Description]]="","",IF(Table2[[#This Row],[Currency]]=$O$2,$P$2,HLOOKUP(Table2[[#This Row],[Date]],Funds!$C$10:$GV$11,2,FALSE)))</f>
        <v/>
      </c>
      <c r="J7266" s="215" t="str">
        <f>IF(Table2[[#This Row],[Description]]="","",Table2[[#This Row],[Value]]/Table2[[#This Row],[Conversion]])</f>
        <v/>
      </c>
      <c r="K7266" s="45" t="str">
        <f>IF(Table2[[#This Row],[Description]]="","",DATE(Table2[[#This Row],[Year]],Table2[[#This Row],[Month]],1))</f>
        <v/>
      </c>
    </row>
    <row r="7267" spans="7:11" x14ac:dyDescent="0.25">
      <c r="G7267" s="1" t="str">
        <f>IF(Table2[[#This Row],[Description]]="","",VLOOKUP(Table2[[#This Row],[Description]],$Q$1:$S$101,2,FALSE))</f>
        <v/>
      </c>
      <c r="H7267" s="1" t="str">
        <f>IF(Table2[[#This Row],[Description]]="","",VLOOKUP(Table2[[#This Row],[Description]],$Q$1:$S$101,3,FALSE))</f>
        <v/>
      </c>
      <c r="I7267" s="1" t="str">
        <f>IF(Table2[[#This Row],[Description]]="","",IF(Table2[[#This Row],[Currency]]=$O$2,$P$2,HLOOKUP(Table2[[#This Row],[Date]],Funds!$C$10:$GV$11,2,FALSE)))</f>
        <v/>
      </c>
      <c r="J7267" s="215" t="str">
        <f>IF(Table2[[#This Row],[Description]]="","",Table2[[#This Row],[Value]]/Table2[[#This Row],[Conversion]])</f>
        <v/>
      </c>
      <c r="K7267" s="45" t="str">
        <f>IF(Table2[[#This Row],[Description]]="","",DATE(Table2[[#This Row],[Year]],Table2[[#This Row],[Month]],1))</f>
        <v/>
      </c>
    </row>
    <row r="7268" spans="7:11" x14ac:dyDescent="0.25">
      <c r="G7268" s="1" t="str">
        <f>IF(Table2[[#This Row],[Description]]="","",VLOOKUP(Table2[[#This Row],[Description]],$Q$1:$S$101,2,FALSE))</f>
        <v/>
      </c>
      <c r="H7268" s="1" t="str">
        <f>IF(Table2[[#This Row],[Description]]="","",VLOOKUP(Table2[[#This Row],[Description]],$Q$1:$S$101,3,FALSE))</f>
        <v/>
      </c>
      <c r="I7268" s="1" t="str">
        <f>IF(Table2[[#This Row],[Description]]="","",IF(Table2[[#This Row],[Currency]]=$O$2,$P$2,HLOOKUP(Table2[[#This Row],[Date]],Funds!$C$10:$GV$11,2,FALSE)))</f>
        <v/>
      </c>
      <c r="J7268" s="215" t="str">
        <f>IF(Table2[[#This Row],[Description]]="","",Table2[[#This Row],[Value]]/Table2[[#This Row],[Conversion]])</f>
        <v/>
      </c>
      <c r="K7268" s="45" t="str">
        <f>IF(Table2[[#This Row],[Description]]="","",DATE(Table2[[#This Row],[Year]],Table2[[#This Row],[Month]],1))</f>
        <v/>
      </c>
    </row>
    <row r="7269" spans="7:11" x14ac:dyDescent="0.25">
      <c r="G7269" s="1" t="str">
        <f>IF(Table2[[#This Row],[Description]]="","",VLOOKUP(Table2[[#This Row],[Description]],$Q$1:$S$101,2,FALSE))</f>
        <v/>
      </c>
      <c r="H7269" s="1" t="str">
        <f>IF(Table2[[#This Row],[Description]]="","",VLOOKUP(Table2[[#This Row],[Description]],$Q$1:$S$101,3,FALSE))</f>
        <v/>
      </c>
      <c r="I7269" s="1" t="str">
        <f>IF(Table2[[#This Row],[Description]]="","",IF(Table2[[#This Row],[Currency]]=$O$2,$P$2,HLOOKUP(Table2[[#This Row],[Date]],Funds!$C$10:$GV$11,2,FALSE)))</f>
        <v/>
      </c>
      <c r="J7269" s="215" t="str">
        <f>IF(Table2[[#This Row],[Description]]="","",Table2[[#This Row],[Value]]/Table2[[#This Row],[Conversion]])</f>
        <v/>
      </c>
      <c r="K7269" s="45" t="str">
        <f>IF(Table2[[#This Row],[Description]]="","",DATE(Table2[[#This Row],[Year]],Table2[[#This Row],[Month]],1))</f>
        <v/>
      </c>
    </row>
    <row r="7270" spans="7:11" x14ac:dyDescent="0.25">
      <c r="G7270" s="1" t="str">
        <f>IF(Table2[[#This Row],[Description]]="","",VLOOKUP(Table2[[#This Row],[Description]],$Q$1:$S$101,2,FALSE))</f>
        <v/>
      </c>
      <c r="H7270" s="1" t="str">
        <f>IF(Table2[[#This Row],[Description]]="","",VLOOKUP(Table2[[#This Row],[Description]],$Q$1:$S$101,3,FALSE))</f>
        <v/>
      </c>
      <c r="I7270" s="1" t="str">
        <f>IF(Table2[[#This Row],[Description]]="","",IF(Table2[[#This Row],[Currency]]=$O$2,$P$2,HLOOKUP(Table2[[#This Row],[Date]],Funds!$C$10:$GV$11,2,FALSE)))</f>
        <v/>
      </c>
      <c r="J7270" s="215" t="str">
        <f>IF(Table2[[#This Row],[Description]]="","",Table2[[#This Row],[Value]]/Table2[[#This Row],[Conversion]])</f>
        <v/>
      </c>
      <c r="K7270" s="45" t="str">
        <f>IF(Table2[[#This Row],[Description]]="","",DATE(Table2[[#This Row],[Year]],Table2[[#This Row],[Month]],1))</f>
        <v/>
      </c>
    </row>
    <row r="7271" spans="7:11" x14ac:dyDescent="0.25">
      <c r="G7271" s="1" t="str">
        <f>IF(Table2[[#This Row],[Description]]="","",VLOOKUP(Table2[[#This Row],[Description]],$Q$1:$S$101,2,FALSE))</f>
        <v/>
      </c>
      <c r="H7271" s="1" t="str">
        <f>IF(Table2[[#This Row],[Description]]="","",VLOOKUP(Table2[[#This Row],[Description]],$Q$1:$S$101,3,FALSE))</f>
        <v/>
      </c>
      <c r="I7271" s="1" t="str">
        <f>IF(Table2[[#This Row],[Description]]="","",IF(Table2[[#This Row],[Currency]]=$O$2,$P$2,HLOOKUP(Table2[[#This Row],[Date]],Funds!$C$10:$GV$11,2,FALSE)))</f>
        <v/>
      </c>
      <c r="J7271" s="215" t="str">
        <f>IF(Table2[[#This Row],[Description]]="","",Table2[[#This Row],[Value]]/Table2[[#This Row],[Conversion]])</f>
        <v/>
      </c>
      <c r="K7271" s="45" t="str">
        <f>IF(Table2[[#This Row],[Description]]="","",DATE(Table2[[#This Row],[Year]],Table2[[#This Row],[Month]],1))</f>
        <v/>
      </c>
    </row>
    <row r="7272" spans="7:11" x14ac:dyDescent="0.25">
      <c r="G7272" s="1" t="str">
        <f>IF(Table2[[#This Row],[Description]]="","",VLOOKUP(Table2[[#This Row],[Description]],$Q$1:$S$101,2,FALSE))</f>
        <v/>
      </c>
      <c r="H7272" s="1" t="str">
        <f>IF(Table2[[#This Row],[Description]]="","",VLOOKUP(Table2[[#This Row],[Description]],$Q$1:$S$101,3,FALSE))</f>
        <v/>
      </c>
      <c r="I7272" s="1" t="str">
        <f>IF(Table2[[#This Row],[Description]]="","",IF(Table2[[#This Row],[Currency]]=$O$2,$P$2,HLOOKUP(Table2[[#This Row],[Date]],Funds!$C$10:$GV$11,2,FALSE)))</f>
        <v/>
      </c>
      <c r="J7272" s="215" t="str">
        <f>IF(Table2[[#This Row],[Description]]="","",Table2[[#This Row],[Value]]/Table2[[#This Row],[Conversion]])</f>
        <v/>
      </c>
      <c r="K7272" s="45" t="str">
        <f>IF(Table2[[#This Row],[Description]]="","",DATE(Table2[[#This Row],[Year]],Table2[[#This Row],[Month]],1))</f>
        <v/>
      </c>
    </row>
    <row r="7273" spans="7:11" x14ac:dyDescent="0.25">
      <c r="G7273" s="1" t="str">
        <f>IF(Table2[[#This Row],[Description]]="","",VLOOKUP(Table2[[#This Row],[Description]],$Q$1:$S$101,2,FALSE))</f>
        <v/>
      </c>
      <c r="H7273" s="1" t="str">
        <f>IF(Table2[[#This Row],[Description]]="","",VLOOKUP(Table2[[#This Row],[Description]],$Q$1:$S$101,3,FALSE))</f>
        <v/>
      </c>
      <c r="I7273" s="1" t="str">
        <f>IF(Table2[[#This Row],[Description]]="","",IF(Table2[[#This Row],[Currency]]=$O$2,$P$2,HLOOKUP(Table2[[#This Row],[Date]],Funds!$C$10:$GV$11,2,FALSE)))</f>
        <v/>
      </c>
      <c r="J7273" s="215" t="str">
        <f>IF(Table2[[#This Row],[Description]]="","",Table2[[#This Row],[Value]]/Table2[[#This Row],[Conversion]])</f>
        <v/>
      </c>
      <c r="K7273" s="45" t="str">
        <f>IF(Table2[[#This Row],[Description]]="","",DATE(Table2[[#This Row],[Year]],Table2[[#This Row],[Month]],1))</f>
        <v/>
      </c>
    </row>
    <row r="7274" spans="7:11" x14ac:dyDescent="0.25">
      <c r="G7274" s="1" t="str">
        <f>IF(Table2[[#This Row],[Description]]="","",VLOOKUP(Table2[[#This Row],[Description]],$Q$1:$S$101,2,FALSE))</f>
        <v/>
      </c>
      <c r="H7274" s="1" t="str">
        <f>IF(Table2[[#This Row],[Description]]="","",VLOOKUP(Table2[[#This Row],[Description]],$Q$1:$S$101,3,FALSE))</f>
        <v/>
      </c>
      <c r="I7274" s="1" t="str">
        <f>IF(Table2[[#This Row],[Description]]="","",IF(Table2[[#This Row],[Currency]]=$O$2,$P$2,HLOOKUP(Table2[[#This Row],[Date]],Funds!$C$10:$GV$11,2,FALSE)))</f>
        <v/>
      </c>
      <c r="J7274" s="215" t="str">
        <f>IF(Table2[[#This Row],[Description]]="","",Table2[[#This Row],[Value]]/Table2[[#This Row],[Conversion]])</f>
        <v/>
      </c>
      <c r="K7274" s="45" t="str">
        <f>IF(Table2[[#This Row],[Description]]="","",DATE(Table2[[#This Row],[Year]],Table2[[#This Row],[Month]],1))</f>
        <v/>
      </c>
    </row>
    <row r="7275" spans="7:11" x14ac:dyDescent="0.25">
      <c r="G7275" s="1" t="str">
        <f>IF(Table2[[#This Row],[Description]]="","",VLOOKUP(Table2[[#This Row],[Description]],$Q$1:$S$101,2,FALSE))</f>
        <v/>
      </c>
      <c r="H7275" s="1" t="str">
        <f>IF(Table2[[#This Row],[Description]]="","",VLOOKUP(Table2[[#This Row],[Description]],$Q$1:$S$101,3,FALSE))</f>
        <v/>
      </c>
      <c r="I7275" s="1" t="str">
        <f>IF(Table2[[#This Row],[Description]]="","",IF(Table2[[#This Row],[Currency]]=$O$2,$P$2,HLOOKUP(Table2[[#This Row],[Date]],Funds!$C$10:$GV$11,2,FALSE)))</f>
        <v/>
      </c>
      <c r="J7275" s="215" t="str">
        <f>IF(Table2[[#This Row],[Description]]="","",Table2[[#This Row],[Value]]/Table2[[#This Row],[Conversion]])</f>
        <v/>
      </c>
      <c r="K7275" s="45" t="str">
        <f>IF(Table2[[#This Row],[Description]]="","",DATE(Table2[[#This Row],[Year]],Table2[[#This Row],[Month]],1))</f>
        <v/>
      </c>
    </row>
    <row r="7276" spans="7:11" x14ac:dyDescent="0.25">
      <c r="G7276" s="1" t="str">
        <f>IF(Table2[[#This Row],[Description]]="","",VLOOKUP(Table2[[#This Row],[Description]],$Q$1:$S$101,2,FALSE))</f>
        <v/>
      </c>
      <c r="H7276" s="1" t="str">
        <f>IF(Table2[[#This Row],[Description]]="","",VLOOKUP(Table2[[#This Row],[Description]],$Q$1:$S$101,3,FALSE))</f>
        <v/>
      </c>
      <c r="I7276" s="1" t="str">
        <f>IF(Table2[[#This Row],[Description]]="","",IF(Table2[[#This Row],[Currency]]=$O$2,$P$2,HLOOKUP(Table2[[#This Row],[Date]],Funds!$C$10:$GV$11,2,FALSE)))</f>
        <v/>
      </c>
      <c r="J7276" s="215" t="str">
        <f>IF(Table2[[#This Row],[Description]]="","",Table2[[#This Row],[Value]]/Table2[[#This Row],[Conversion]])</f>
        <v/>
      </c>
      <c r="K7276" s="45" t="str">
        <f>IF(Table2[[#This Row],[Description]]="","",DATE(Table2[[#This Row],[Year]],Table2[[#This Row],[Month]],1))</f>
        <v/>
      </c>
    </row>
    <row r="7277" spans="7:11" x14ac:dyDescent="0.25">
      <c r="G7277" s="1" t="str">
        <f>IF(Table2[[#This Row],[Description]]="","",VLOOKUP(Table2[[#This Row],[Description]],$Q$1:$S$101,2,FALSE))</f>
        <v/>
      </c>
      <c r="H7277" s="1" t="str">
        <f>IF(Table2[[#This Row],[Description]]="","",VLOOKUP(Table2[[#This Row],[Description]],$Q$1:$S$101,3,FALSE))</f>
        <v/>
      </c>
      <c r="I7277" s="1" t="str">
        <f>IF(Table2[[#This Row],[Description]]="","",IF(Table2[[#This Row],[Currency]]=$O$2,$P$2,HLOOKUP(Table2[[#This Row],[Date]],Funds!$C$10:$GV$11,2,FALSE)))</f>
        <v/>
      </c>
      <c r="J7277" s="215" t="str">
        <f>IF(Table2[[#This Row],[Description]]="","",Table2[[#This Row],[Value]]/Table2[[#This Row],[Conversion]])</f>
        <v/>
      </c>
      <c r="K7277" s="45" t="str">
        <f>IF(Table2[[#This Row],[Description]]="","",DATE(Table2[[#This Row],[Year]],Table2[[#This Row],[Month]],1))</f>
        <v/>
      </c>
    </row>
    <row r="7278" spans="7:11" x14ac:dyDescent="0.25">
      <c r="G7278" s="1" t="str">
        <f>IF(Table2[[#This Row],[Description]]="","",VLOOKUP(Table2[[#This Row],[Description]],$Q$1:$S$101,2,FALSE))</f>
        <v/>
      </c>
      <c r="H7278" s="1" t="str">
        <f>IF(Table2[[#This Row],[Description]]="","",VLOOKUP(Table2[[#This Row],[Description]],$Q$1:$S$101,3,FALSE))</f>
        <v/>
      </c>
      <c r="I7278" s="1" t="str">
        <f>IF(Table2[[#This Row],[Description]]="","",IF(Table2[[#This Row],[Currency]]=$O$2,$P$2,HLOOKUP(Table2[[#This Row],[Date]],Funds!$C$10:$GV$11,2,FALSE)))</f>
        <v/>
      </c>
      <c r="J7278" s="215" t="str">
        <f>IF(Table2[[#This Row],[Description]]="","",Table2[[#This Row],[Value]]/Table2[[#This Row],[Conversion]])</f>
        <v/>
      </c>
      <c r="K7278" s="45" t="str">
        <f>IF(Table2[[#This Row],[Description]]="","",DATE(Table2[[#This Row],[Year]],Table2[[#This Row],[Month]],1))</f>
        <v/>
      </c>
    </row>
    <row r="7279" spans="7:11" x14ac:dyDescent="0.25">
      <c r="G7279" s="1" t="str">
        <f>IF(Table2[[#This Row],[Description]]="","",VLOOKUP(Table2[[#This Row],[Description]],$Q$1:$S$101,2,FALSE))</f>
        <v/>
      </c>
      <c r="H7279" s="1" t="str">
        <f>IF(Table2[[#This Row],[Description]]="","",VLOOKUP(Table2[[#This Row],[Description]],$Q$1:$S$101,3,FALSE))</f>
        <v/>
      </c>
      <c r="I7279" s="1" t="str">
        <f>IF(Table2[[#This Row],[Description]]="","",IF(Table2[[#This Row],[Currency]]=$O$2,$P$2,HLOOKUP(Table2[[#This Row],[Date]],Funds!$C$10:$GV$11,2,FALSE)))</f>
        <v/>
      </c>
      <c r="J7279" s="215" t="str">
        <f>IF(Table2[[#This Row],[Description]]="","",Table2[[#This Row],[Value]]/Table2[[#This Row],[Conversion]])</f>
        <v/>
      </c>
      <c r="K7279" s="45" t="str">
        <f>IF(Table2[[#This Row],[Description]]="","",DATE(Table2[[#This Row],[Year]],Table2[[#This Row],[Month]],1))</f>
        <v/>
      </c>
    </row>
    <row r="7280" spans="7:11" x14ac:dyDescent="0.25">
      <c r="G7280" s="1" t="str">
        <f>IF(Table2[[#This Row],[Description]]="","",VLOOKUP(Table2[[#This Row],[Description]],$Q$1:$S$101,2,FALSE))</f>
        <v/>
      </c>
      <c r="H7280" s="1" t="str">
        <f>IF(Table2[[#This Row],[Description]]="","",VLOOKUP(Table2[[#This Row],[Description]],$Q$1:$S$101,3,FALSE))</f>
        <v/>
      </c>
      <c r="I7280" s="1" t="str">
        <f>IF(Table2[[#This Row],[Description]]="","",IF(Table2[[#This Row],[Currency]]=$O$2,$P$2,HLOOKUP(Table2[[#This Row],[Date]],Funds!$C$10:$GV$11,2,FALSE)))</f>
        <v/>
      </c>
      <c r="J7280" s="215" t="str">
        <f>IF(Table2[[#This Row],[Description]]="","",Table2[[#This Row],[Value]]/Table2[[#This Row],[Conversion]])</f>
        <v/>
      </c>
      <c r="K7280" s="45" t="str">
        <f>IF(Table2[[#This Row],[Description]]="","",DATE(Table2[[#This Row],[Year]],Table2[[#This Row],[Month]],1))</f>
        <v/>
      </c>
    </row>
    <row r="7281" spans="7:11" x14ac:dyDescent="0.25">
      <c r="G7281" s="1" t="str">
        <f>IF(Table2[[#This Row],[Description]]="","",VLOOKUP(Table2[[#This Row],[Description]],$Q$1:$S$101,2,FALSE))</f>
        <v/>
      </c>
      <c r="H7281" s="1" t="str">
        <f>IF(Table2[[#This Row],[Description]]="","",VLOOKUP(Table2[[#This Row],[Description]],$Q$1:$S$101,3,FALSE))</f>
        <v/>
      </c>
      <c r="I7281" s="1" t="str">
        <f>IF(Table2[[#This Row],[Description]]="","",IF(Table2[[#This Row],[Currency]]=$O$2,$P$2,HLOOKUP(Table2[[#This Row],[Date]],Funds!$C$10:$GV$11,2,FALSE)))</f>
        <v/>
      </c>
      <c r="J7281" s="215" t="str">
        <f>IF(Table2[[#This Row],[Description]]="","",Table2[[#This Row],[Value]]/Table2[[#This Row],[Conversion]])</f>
        <v/>
      </c>
      <c r="K7281" s="45" t="str">
        <f>IF(Table2[[#This Row],[Description]]="","",DATE(Table2[[#This Row],[Year]],Table2[[#This Row],[Month]],1))</f>
        <v/>
      </c>
    </row>
    <row r="7282" spans="7:11" x14ac:dyDescent="0.25">
      <c r="G7282" s="1" t="str">
        <f>IF(Table2[[#This Row],[Description]]="","",VLOOKUP(Table2[[#This Row],[Description]],$Q$1:$S$101,2,FALSE))</f>
        <v/>
      </c>
      <c r="H7282" s="1" t="str">
        <f>IF(Table2[[#This Row],[Description]]="","",VLOOKUP(Table2[[#This Row],[Description]],$Q$1:$S$101,3,FALSE))</f>
        <v/>
      </c>
      <c r="I7282" s="1" t="str">
        <f>IF(Table2[[#This Row],[Description]]="","",IF(Table2[[#This Row],[Currency]]=$O$2,$P$2,HLOOKUP(Table2[[#This Row],[Date]],Funds!$C$10:$GV$11,2,FALSE)))</f>
        <v/>
      </c>
      <c r="J7282" s="215" t="str">
        <f>IF(Table2[[#This Row],[Description]]="","",Table2[[#This Row],[Value]]/Table2[[#This Row],[Conversion]])</f>
        <v/>
      </c>
      <c r="K7282" s="45" t="str">
        <f>IF(Table2[[#This Row],[Description]]="","",DATE(Table2[[#This Row],[Year]],Table2[[#This Row],[Month]],1))</f>
        <v/>
      </c>
    </row>
    <row r="7283" spans="7:11" x14ac:dyDescent="0.25">
      <c r="G7283" s="1" t="str">
        <f>IF(Table2[[#This Row],[Description]]="","",VLOOKUP(Table2[[#This Row],[Description]],$Q$1:$S$101,2,FALSE))</f>
        <v/>
      </c>
      <c r="H7283" s="1" t="str">
        <f>IF(Table2[[#This Row],[Description]]="","",VLOOKUP(Table2[[#This Row],[Description]],$Q$1:$S$101,3,FALSE))</f>
        <v/>
      </c>
      <c r="I7283" s="1" t="str">
        <f>IF(Table2[[#This Row],[Description]]="","",IF(Table2[[#This Row],[Currency]]=$O$2,$P$2,HLOOKUP(Table2[[#This Row],[Date]],Funds!$C$10:$GV$11,2,FALSE)))</f>
        <v/>
      </c>
      <c r="J7283" s="215" t="str">
        <f>IF(Table2[[#This Row],[Description]]="","",Table2[[#This Row],[Value]]/Table2[[#This Row],[Conversion]])</f>
        <v/>
      </c>
      <c r="K7283" s="45" t="str">
        <f>IF(Table2[[#This Row],[Description]]="","",DATE(Table2[[#This Row],[Year]],Table2[[#This Row],[Month]],1))</f>
        <v/>
      </c>
    </row>
    <row r="7284" spans="7:11" x14ac:dyDescent="0.25">
      <c r="G7284" s="1" t="str">
        <f>IF(Table2[[#This Row],[Description]]="","",VLOOKUP(Table2[[#This Row],[Description]],$Q$1:$S$101,2,FALSE))</f>
        <v/>
      </c>
      <c r="H7284" s="1" t="str">
        <f>IF(Table2[[#This Row],[Description]]="","",VLOOKUP(Table2[[#This Row],[Description]],$Q$1:$S$101,3,FALSE))</f>
        <v/>
      </c>
      <c r="I7284" s="1" t="str">
        <f>IF(Table2[[#This Row],[Description]]="","",IF(Table2[[#This Row],[Currency]]=$O$2,$P$2,HLOOKUP(Table2[[#This Row],[Date]],Funds!$C$10:$GV$11,2,FALSE)))</f>
        <v/>
      </c>
      <c r="J7284" s="215" t="str">
        <f>IF(Table2[[#This Row],[Description]]="","",Table2[[#This Row],[Value]]/Table2[[#This Row],[Conversion]])</f>
        <v/>
      </c>
      <c r="K7284" s="45" t="str">
        <f>IF(Table2[[#This Row],[Description]]="","",DATE(Table2[[#This Row],[Year]],Table2[[#This Row],[Month]],1))</f>
        <v/>
      </c>
    </row>
    <row r="7285" spans="7:11" x14ac:dyDescent="0.25">
      <c r="G7285" s="1" t="str">
        <f>IF(Table2[[#This Row],[Description]]="","",VLOOKUP(Table2[[#This Row],[Description]],$Q$1:$S$101,2,FALSE))</f>
        <v/>
      </c>
      <c r="H7285" s="1" t="str">
        <f>IF(Table2[[#This Row],[Description]]="","",VLOOKUP(Table2[[#This Row],[Description]],$Q$1:$S$101,3,FALSE))</f>
        <v/>
      </c>
      <c r="I7285" s="1" t="str">
        <f>IF(Table2[[#This Row],[Description]]="","",IF(Table2[[#This Row],[Currency]]=$O$2,$P$2,HLOOKUP(Table2[[#This Row],[Date]],Funds!$C$10:$GV$11,2,FALSE)))</f>
        <v/>
      </c>
      <c r="J7285" s="215" t="str">
        <f>IF(Table2[[#This Row],[Description]]="","",Table2[[#This Row],[Value]]/Table2[[#This Row],[Conversion]])</f>
        <v/>
      </c>
      <c r="K7285" s="45" t="str">
        <f>IF(Table2[[#This Row],[Description]]="","",DATE(Table2[[#This Row],[Year]],Table2[[#This Row],[Month]],1))</f>
        <v/>
      </c>
    </row>
    <row r="7286" spans="7:11" x14ac:dyDescent="0.25">
      <c r="G7286" s="1" t="str">
        <f>IF(Table2[[#This Row],[Description]]="","",VLOOKUP(Table2[[#This Row],[Description]],$Q$1:$S$101,2,FALSE))</f>
        <v/>
      </c>
      <c r="H7286" s="1" t="str">
        <f>IF(Table2[[#This Row],[Description]]="","",VLOOKUP(Table2[[#This Row],[Description]],$Q$1:$S$101,3,FALSE))</f>
        <v/>
      </c>
      <c r="I7286" s="1" t="str">
        <f>IF(Table2[[#This Row],[Description]]="","",IF(Table2[[#This Row],[Currency]]=$O$2,$P$2,HLOOKUP(Table2[[#This Row],[Date]],Funds!$C$10:$GV$11,2,FALSE)))</f>
        <v/>
      </c>
      <c r="J7286" s="215" t="str">
        <f>IF(Table2[[#This Row],[Description]]="","",Table2[[#This Row],[Value]]/Table2[[#This Row],[Conversion]])</f>
        <v/>
      </c>
      <c r="K7286" s="45" t="str">
        <f>IF(Table2[[#This Row],[Description]]="","",DATE(Table2[[#This Row],[Year]],Table2[[#This Row],[Month]],1))</f>
        <v/>
      </c>
    </row>
    <row r="7287" spans="7:11" x14ac:dyDescent="0.25">
      <c r="G7287" s="1" t="str">
        <f>IF(Table2[[#This Row],[Description]]="","",VLOOKUP(Table2[[#This Row],[Description]],$Q$1:$S$101,2,FALSE))</f>
        <v/>
      </c>
      <c r="H7287" s="1" t="str">
        <f>IF(Table2[[#This Row],[Description]]="","",VLOOKUP(Table2[[#This Row],[Description]],$Q$1:$S$101,3,FALSE))</f>
        <v/>
      </c>
      <c r="I7287" s="1" t="str">
        <f>IF(Table2[[#This Row],[Description]]="","",IF(Table2[[#This Row],[Currency]]=$O$2,$P$2,HLOOKUP(Table2[[#This Row],[Date]],Funds!$C$10:$GV$11,2,FALSE)))</f>
        <v/>
      </c>
      <c r="J7287" s="215" t="str">
        <f>IF(Table2[[#This Row],[Description]]="","",Table2[[#This Row],[Value]]/Table2[[#This Row],[Conversion]])</f>
        <v/>
      </c>
      <c r="K7287" s="45" t="str">
        <f>IF(Table2[[#This Row],[Description]]="","",DATE(Table2[[#This Row],[Year]],Table2[[#This Row],[Month]],1))</f>
        <v/>
      </c>
    </row>
    <row r="7288" spans="7:11" x14ac:dyDescent="0.25">
      <c r="G7288" s="1" t="str">
        <f>IF(Table2[[#This Row],[Description]]="","",VLOOKUP(Table2[[#This Row],[Description]],$Q$1:$S$101,2,FALSE))</f>
        <v/>
      </c>
      <c r="H7288" s="1" t="str">
        <f>IF(Table2[[#This Row],[Description]]="","",VLOOKUP(Table2[[#This Row],[Description]],$Q$1:$S$101,3,FALSE))</f>
        <v/>
      </c>
      <c r="I7288" s="1" t="str">
        <f>IF(Table2[[#This Row],[Description]]="","",IF(Table2[[#This Row],[Currency]]=$O$2,$P$2,HLOOKUP(Table2[[#This Row],[Date]],Funds!$C$10:$GV$11,2,FALSE)))</f>
        <v/>
      </c>
      <c r="J7288" s="215" t="str">
        <f>IF(Table2[[#This Row],[Description]]="","",Table2[[#This Row],[Value]]/Table2[[#This Row],[Conversion]])</f>
        <v/>
      </c>
      <c r="K7288" s="45" t="str">
        <f>IF(Table2[[#This Row],[Description]]="","",DATE(Table2[[#This Row],[Year]],Table2[[#This Row],[Month]],1))</f>
        <v/>
      </c>
    </row>
    <row r="7289" spans="7:11" x14ac:dyDescent="0.25">
      <c r="G7289" s="1" t="str">
        <f>IF(Table2[[#This Row],[Description]]="","",VLOOKUP(Table2[[#This Row],[Description]],$Q$1:$S$101,2,FALSE))</f>
        <v/>
      </c>
      <c r="H7289" s="1" t="str">
        <f>IF(Table2[[#This Row],[Description]]="","",VLOOKUP(Table2[[#This Row],[Description]],$Q$1:$S$101,3,FALSE))</f>
        <v/>
      </c>
      <c r="I7289" s="1" t="str">
        <f>IF(Table2[[#This Row],[Description]]="","",IF(Table2[[#This Row],[Currency]]=$O$2,$P$2,HLOOKUP(Table2[[#This Row],[Date]],Funds!$C$10:$GV$11,2,FALSE)))</f>
        <v/>
      </c>
      <c r="J7289" s="215" t="str">
        <f>IF(Table2[[#This Row],[Description]]="","",Table2[[#This Row],[Value]]/Table2[[#This Row],[Conversion]])</f>
        <v/>
      </c>
      <c r="K7289" s="45" t="str">
        <f>IF(Table2[[#This Row],[Description]]="","",DATE(Table2[[#This Row],[Year]],Table2[[#This Row],[Month]],1))</f>
        <v/>
      </c>
    </row>
    <row r="7290" spans="7:11" x14ac:dyDescent="0.25">
      <c r="G7290" s="1" t="str">
        <f>IF(Table2[[#This Row],[Description]]="","",VLOOKUP(Table2[[#This Row],[Description]],$Q$1:$S$101,2,FALSE))</f>
        <v/>
      </c>
      <c r="H7290" s="1" t="str">
        <f>IF(Table2[[#This Row],[Description]]="","",VLOOKUP(Table2[[#This Row],[Description]],$Q$1:$S$101,3,FALSE))</f>
        <v/>
      </c>
      <c r="I7290" s="1" t="str">
        <f>IF(Table2[[#This Row],[Description]]="","",IF(Table2[[#This Row],[Currency]]=$O$2,$P$2,HLOOKUP(Table2[[#This Row],[Date]],Funds!$C$10:$GV$11,2,FALSE)))</f>
        <v/>
      </c>
      <c r="J7290" s="215" t="str">
        <f>IF(Table2[[#This Row],[Description]]="","",Table2[[#This Row],[Value]]/Table2[[#This Row],[Conversion]])</f>
        <v/>
      </c>
      <c r="K7290" s="45" t="str">
        <f>IF(Table2[[#This Row],[Description]]="","",DATE(Table2[[#This Row],[Year]],Table2[[#This Row],[Month]],1))</f>
        <v/>
      </c>
    </row>
    <row r="7291" spans="7:11" x14ac:dyDescent="0.25">
      <c r="G7291" s="1" t="str">
        <f>IF(Table2[[#This Row],[Description]]="","",VLOOKUP(Table2[[#This Row],[Description]],$Q$1:$S$101,2,FALSE))</f>
        <v/>
      </c>
      <c r="H7291" s="1" t="str">
        <f>IF(Table2[[#This Row],[Description]]="","",VLOOKUP(Table2[[#This Row],[Description]],$Q$1:$S$101,3,FALSE))</f>
        <v/>
      </c>
      <c r="I7291" s="1" t="str">
        <f>IF(Table2[[#This Row],[Description]]="","",IF(Table2[[#This Row],[Currency]]=$O$2,$P$2,HLOOKUP(Table2[[#This Row],[Date]],Funds!$C$10:$GV$11,2,FALSE)))</f>
        <v/>
      </c>
      <c r="J7291" s="215" t="str">
        <f>IF(Table2[[#This Row],[Description]]="","",Table2[[#This Row],[Value]]/Table2[[#This Row],[Conversion]])</f>
        <v/>
      </c>
      <c r="K7291" s="45" t="str">
        <f>IF(Table2[[#This Row],[Description]]="","",DATE(Table2[[#This Row],[Year]],Table2[[#This Row],[Month]],1))</f>
        <v/>
      </c>
    </row>
    <row r="7292" spans="7:11" x14ac:dyDescent="0.25">
      <c r="G7292" s="1" t="str">
        <f>IF(Table2[[#This Row],[Description]]="","",VLOOKUP(Table2[[#This Row],[Description]],$Q$1:$S$101,2,FALSE))</f>
        <v/>
      </c>
      <c r="H7292" s="1" t="str">
        <f>IF(Table2[[#This Row],[Description]]="","",VLOOKUP(Table2[[#This Row],[Description]],$Q$1:$S$101,3,FALSE))</f>
        <v/>
      </c>
      <c r="I7292" s="1" t="str">
        <f>IF(Table2[[#This Row],[Description]]="","",IF(Table2[[#This Row],[Currency]]=$O$2,$P$2,HLOOKUP(Table2[[#This Row],[Date]],Funds!$C$10:$GV$11,2,FALSE)))</f>
        <v/>
      </c>
      <c r="J7292" s="215" t="str">
        <f>IF(Table2[[#This Row],[Description]]="","",Table2[[#This Row],[Value]]/Table2[[#This Row],[Conversion]])</f>
        <v/>
      </c>
      <c r="K7292" s="45" t="str">
        <f>IF(Table2[[#This Row],[Description]]="","",DATE(Table2[[#This Row],[Year]],Table2[[#This Row],[Month]],1))</f>
        <v/>
      </c>
    </row>
    <row r="7293" spans="7:11" x14ac:dyDescent="0.25">
      <c r="G7293" s="1" t="str">
        <f>IF(Table2[[#This Row],[Description]]="","",VLOOKUP(Table2[[#This Row],[Description]],$Q$1:$S$101,2,FALSE))</f>
        <v/>
      </c>
      <c r="H7293" s="1" t="str">
        <f>IF(Table2[[#This Row],[Description]]="","",VLOOKUP(Table2[[#This Row],[Description]],$Q$1:$S$101,3,FALSE))</f>
        <v/>
      </c>
      <c r="I7293" s="1" t="str">
        <f>IF(Table2[[#This Row],[Description]]="","",IF(Table2[[#This Row],[Currency]]=$O$2,$P$2,HLOOKUP(Table2[[#This Row],[Date]],Funds!$C$10:$GV$11,2,FALSE)))</f>
        <v/>
      </c>
      <c r="J7293" s="215" t="str">
        <f>IF(Table2[[#This Row],[Description]]="","",Table2[[#This Row],[Value]]/Table2[[#This Row],[Conversion]])</f>
        <v/>
      </c>
      <c r="K7293" s="45" t="str">
        <f>IF(Table2[[#This Row],[Description]]="","",DATE(Table2[[#This Row],[Year]],Table2[[#This Row],[Month]],1))</f>
        <v/>
      </c>
    </row>
    <row r="7294" spans="7:11" x14ac:dyDescent="0.25">
      <c r="G7294" s="1" t="str">
        <f>IF(Table2[[#This Row],[Description]]="","",VLOOKUP(Table2[[#This Row],[Description]],$Q$1:$S$101,2,FALSE))</f>
        <v/>
      </c>
      <c r="H7294" s="1" t="str">
        <f>IF(Table2[[#This Row],[Description]]="","",VLOOKUP(Table2[[#This Row],[Description]],$Q$1:$S$101,3,FALSE))</f>
        <v/>
      </c>
      <c r="I7294" s="1" t="str">
        <f>IF(Table2[[#This Row],[Description]]="","",IF(Table2[[#This Row],[Currency]]=$O$2,$P$2,HLOOKUP(Table2[[#This Row],[Date]],Funds!$C$10:$GV$11,2,FALSE)))</f>
        <v/>
      </c>
      <c r="J7294" s="215" t="str">
        <f>IF(Table2[[#This Row],[Description]]="","",Table2[[#This Row],[Value]]/Table2[[#This Row],[Conversion]])</f>
        <v/>
      </c>
      <c r="K7294" s="45" t="str">
        <f>IF(Table2[[#This Row],[Description]]="","",DATE(Table2[[#This Row],[Year]],Table2[[#This Row],[Month]],1))</f>
        <v/>
      </c>
    </row>
    <row r="7295" spans="7:11" x14ac:dyDescent="0.25">
      <c r="G7295" s="1" t="str">
        <f>IF(Table2[[#This Row],[Description]]="","",VLOOKUP(Table2[[#This Row],[Description]],$Q$1:$S$101,2,FALSE))</f>
        <v/>
      </c>
      <c r="H7295" s="1" t="str">
        <f>IF(Table2[[#This Row],[Description]]="","",VLOOKUP(Table2[[#This Row],[Description]],$Q$1:$S$101,3,FALSE))</f>
        <v/>
      </c>
      <c r="I7295" s="1" t="str">
        <f>IF(Table2[[#This Row],[Description]]="","",IF(Table2[[#This Row],[Currency]]=$O$2,$P$2,HLOOKUP(Table2[[#This Row],[Date]],Funds!$C$10:$GV$11,2,FALSE)))</f>
        <v/>
      </c>
      <c r="J7295" s="215" t="str">
        <f>IF(Table2[[#This Row],[Description]]="","",Table2[[#This Row],[Value]]/Table2[[#This Row],[Conversion]])</f>
        <v/>
      </c>
      <c r="K7295" s="45" t="str">
        <f>IF(Table2[[#This Row],[Description]]="","",DATE(Table2[[#This Row],[Year]],Table2[[#This Row],[Month]],1))</f>
        <v/>
      </c>
    </row>
    <row r="7296" spans="7:11" x14ac:dyDescent="0.25">
      <c r="G7296" s="1" t="str">
        <f>IF(Table2[[#This Row],[Description]]="","",VLOOKUP(Table2[[#This Row],[Description]],$Q$1:$S$101,2,FALSE))</f>
        <v/>
      </c>
      <c r="H7296" s="1" t="str">
        <f>IF(Table2[[#This Row],[Description]]="","",VLOOKUP(Table2[[#This Row],[Description]],$Q$1:$S$101,3,FALSE))</f>
        <v/>
      </c>
      <c r="I7296" s="1" t="str">
        <f>IF(Table2[[#This Row],[Description]]="","",IF(Table2[[#This Row],[Currency]]=$O$2,$P$2,HLOOKUP(Table2[[#This Row],[Date]],Funds!$C$10:$GV$11,2,FALSE)))</f>
        <v/>
      </c>
      <c r="J7296" s="215" t="str">
        <f>IF(Table2[[#This Row],[Description]]="","",Table2[[#This Row],[Value]]/Table2[[#This Row],[Conversion]])</f>
        <v/>
      </c>
      <c r="K7296" s="45" t="str">
        <f>IF(Table2[[#This Row],[Description]]="","",DATE(Table2[[#This Row],[Year]],Table2[[#This Row],[Month]],1))</f>
        <v/>
      </c>
    </row>
    <row r="7297" spans="7:11" x14ac:dyDescent="0.25">
      <c r="G7297" s="1" t="str">
        <f>IF(Table2[[#This Row],[Description]]="","",VLOOKUP(Table2[[#This Row],[Description]],$Q$1:$S$101,2,FALSE))</f>
        <v/>
      </c>
      <c r="H7297" s="1" t="str">
        <f>IF(Table2[[#This Row],[Description]]="","",VLOOKUP(Table2[[#This Row],[Description]],$Q$1:$S$101,3,FALSE))</f>
        <v/>
      </c>
      <c r="I7297" s="1" t="str">
        <f>IF(Table2[[#This Row],[Description]]="","",IF(Table2[[#This Row],[Currency]]=$O$2,$P$2,HLOOKUP(Table2[[#This Row],[Date]],Funds!$C$10:$GV$11,2,FALSE)))</f>
        <v/>
      </c>
      <c r="J7297" s="215" t="str">
        <f>IF(Table2[[#This Row],[Description]]="","",Table2[[#This Row],[Value]]/Table2[[#This Row],[Conversion]])</f>
        <v/>
      </c>
      <c r="K7297" s="45" t="str">
        <f>IF(Table2[[#This Row],[Description]]="","",DATE(Table2[[#This Row],[Year]],Table2[[#This Row],[Month]],1))</f>
        <v/>
      </c>
    </row>
    <row r="7298" spans="7:11" x14ac:dyDescent="0.25">
      <c r="G7298" s="1" t="str">
        <f>IF(Table2[[#This Row],[Description]]="","",VLOOKUP(Table2[[#This Row],[Description]],$Q$1:$S$101,2,FALSE))</f>
        <v/>
      </c>
      <c r="H7298" s="1" t="str">
        <f>IF(Table2[[#This Row],[Description]]="","",VLOOKUP(Table2[[#This Row],[Description]],$Q$1:$S$101,3,FALSE))</f>
        <v/>
      </c>
      <c r="I7298" s="1" t="str">
        <f>IF(Table2[[#This Row],[Description]]="","",IF(Table2[[#This Row],[Currency]]=$O$2,$P$2,HLOOKUP(Table2[[#This Row],[Date]],Funds!$C$10:$GV$11,2,FALSE)))</f>
        <v/>
      </c>
      <c r="J7298" s="215" t="str">
        <f>IF(Table2[[#This Row],[Description]]="","",Table2[[#This Row],[Value]]/Table2[[#This Row],[Conversion]])</f>
        <v/>
      </c>
      <c r="K7298" s="45" t="str">
        <f>IF(Table2[[#This Row],[Description]]="","",DATE(Table2[[#This Row],[Year]],Table2[[#This Row],[Month]],1))</f>
        <v/>
      </c>
    </row>
    <row r="7299" spans="7:11" x14ac:dyDescent="0.25">
      <c r="G7299" s="1" t="str">
        <f>IF(Table2[[#This Row],[Description]]="","",VLOOKUP(Table2[[#This Row],[Description]],$Q$1:$S$101,2,FALSE))</f>
        <v/>
      </c>
      <c r="H7299" s="1" t="str">
        <f>IF(Table2[[#This Row],[Description]]="","",VLOOKUP(Table2[[#This Row],[Description]],$Q$1:$S$101,3,FALSE))</f>
        <v/>
      </c>
      <c r="I7299" s="1" t="str">
        <f>IF(Table2[[#This Row],[Description]]="","",IF(Table2[[#This Row],[Currency]]=$O$2,$P$2,HLOOKUP(Table2[[#This Row],[Date]],Funds!$C$10:$GV$11,2,FALSE)))</f>
        <v/>
      </c>
      <c r="J7299" s="215" t="str">
        <f>IF(Table2[[#This Row],[Description]]="","",Table2[[#This Row],[Value]]/Table2[[#This Row],[Conversion]])</f>
        <v/>
      </c>
      <c r="K7299" s="45" t="str">
        <f>IF(Table2[[#This Row],[Description]]="","",DATE(Table2[[#This Row],[Year]],Table2[[#This Row],[Month]],1))</f>
        <v/>
      </c>
    </row>
    <row r="7300" spans="7:11" x14ac:dyDescent="0.25">
      <c r="G7300" s="1" t="str">
        <f>IF(Table2[[#This Row],[Description]]="","",VLOOKUP(Table2[[#This Row],[Description]],$Q$1:$S$101,2,FALSE))</f>
        <v/>
      </c>
      <c r="H7300" s="1" t="str">
        <f>IF(Table2[[#This Row],[Description]]="","",VLOOKUP(Table2[[#This Row],[Description]],$Q$1:$S$101,3,FALSE))</f>
        <v/>
      </c>
      <c r="I7300" s="1" t="str">
        <f>IF(Table2[[#This Row],[Description]]="","",IF(Table2[[#This Row],[Currency]]=$O$2,$P$2,HLOOKUP(Table2[[#This Row],[Date]],Funds!$C$10:$GV$11,2,FALSE)))</f>
        <v/>
      </c>
      <c r="J7300" s="215" t="str">
        <f>IF(Table2[[#This Row],[Description]]="","",Table2[[#This Row],[Value]]/Table2[[#This Row],[Conversion]])</f>
        <v/>
      </c>
      <c r="K7300" s="45" t="str">
        <f>IF(Table2[[#This Row],[Description]]="","",DATE(Table2[[#This Row],[Year]],Table2[[#This Row],[Month]],1))</f>
        <v/>
      </c>
    </row>
    <row r="7301" spans="7:11" x14ac:dyDescent="0.25">
      <c r="G7301" s="1" t="str">
        <f>IF(Table2[[#This Row],[Description]]="","",VLOOKUP(Table2[[#This Row],[Description]],$Q$1:$S$101,2,FALSE))</f>
        <v/>
      </c>
      <c r="H7301" s="1" t="str">
        <f>IF(Table2[[#This Row],[Description]]="","",VLOOKUP(Table2[[#This Row],[Description]],$Q$1:$S$101,3,FALSE))</f>
        <v/>
      </c>
      <c r="I7301" s="1" t="str">
        <f>IF(Table2[[#This Row],[Description]]="","",IF(Table2[[#This Row],[Currency]]=$O$2,$P$2,HLOOKUP(Table2[[#This Row],[Date]],Funds!$C$10:$GV$11,2,FALSE)))</f>
        <v/>
      </c>
      <c r="J7301" s="215" t="str">
        <f>IF(Table2[[#This Row],[Description]]="","",Table2[[#This Row],[Value]]/Table2[[#This Row],[Conversion]])</f>
        <v/>
      </c>
      <c r="K7301" s="45" t="str">
        <f>IF(Table2[[#This Row],[Description]]="","",DATE(Table2[[#This Row],[Year]],Table2[[#This Row],[Month]],1))</f>
        <v/>
      </c>
    </row>
    <row r="7302" spans="7:11" x14ac:dyDescent="0.25">
      <c r="G7302" s="1" t="str">
        <f>IF(Table2[[#This Row],[Description]]="","",VLOOKUP(Table2[[#This Row],[Description]],$Q$1:$S$101,2,FALSE))</f>
        <v/>
      </c>
      <c r="H7302" s="1" t="str">
        <f>IF(Table2[[#This Row],[Description]]="","",VLOOKUP(Table2[[#This Row],[Description]],$Q$1:$S$101,3,FALSE))</f>
        <v/>
      </c>
      <c r="I7302" s="1" t="str">
        <f>IF(Table2[[#This Row],[Description]]="","",IF(Table2[[#This Row],[Currency]]=$O$2,$P$2,HLOOKUP(Table2[[#This Row],[Date]],Funds!$C$10:$GV$11,2,FALSE)))</f>
        <v/>
      </c>
      <c r="J7302" s="215" t="str">
        <f>IF(Table2[[#This Row],[Description]]="","",Table2[[#This Row],[Value]]/Table2[[#This Row],[Conversion]])</f>
        <v/>
      </c>
      <c r="K7302" s="45" t="str">
        <f>IF(Table2[[#This Row],[Description]]="","",DATE(Table2[[#This Row],[Year]],Table2[[#This Row],[Month]],1))</f>
        <v/>
      </c>
    </row>
    <row r="7303" spans="7:11" x14ac:dyDescent="0.25">
      <c r="G7303" s="1" t="str">
        <f>IF(Table2[[#This Row],[Description]]="","",VLOOKUP(Table2[[#This Row],[Description]],$Q$1:$S$101,2,FALSE))</f>
        <v/>
      </c>
      <c r="H7303" s="1" t="str">
        <f>IF(Table2[[#This Row],[Description]]="","",VLOOKUP(Table2[[#This Row],[Description]],$Q$1:$S$101,3,FALSE))</f>
        <v/>
      </c>
      <c r="I7303" s="1" t="str">
        <f>IF(Table2[[#This Row],[Description]]="","",IF(Table2[[#This Row],[Currency]]=$O$2,$P$2,HLOOKUP(Table2[[#This Row],[Date]],Funds!$C$10:$GV$11,2,FALSE)))</f>
        <v/>
      </c>
      <c r="J7303" s="215" t="str">
        <f>IF(Table2[[#This Row],[Description]]="","",Table2[[#This Row],[Value]]/Table2[[#This Row],[Conversion]])</f>
        <v/>
      </c>
      <c r="K7303" s="45" t="str">
        <f>IF(Table2[[#This Row],[Description]]="","",DATE(Table2[[#This Row],[Year]],Table2[[#This Row],[Month]],1))</f>
        <v/>
      </c>
    </row>
    <row r="7304" spans="7:11" x14ac:dyDescent="0.25">
      <c r="G7304" s="1" t="str">
        <f>IF(Table2[[#This Row],[Description]]="","",VLOOKUP(Table2[[#This Row],[Description]],$Q$1:$S$101,2,FALSE))</f>
        <v/>
      </c>
      <c r="H7304" s="1" t="str">
        <f>IF(Table2[[#This Row],[Description]]="","",VLOOKUP(Table2[[#This Row],[Description]],$Q$1:$S$101,3,FALSE))</f>
        <v/>
      </c>
      <c r="I7304" s="1" t="str">
        <f>IF(Table2[[#This Row],[Description]]="","",IF(Table2[[#This Row],[Currency]]=$O$2,$P$2,HLOOKUP(Table2[[#This Row],[Date]],Funds!$C$10:$GV$11,2,FALSE)))</f>
        <v/>
      </c>
      <c r="J7304" s="215" t="str">
        <f>IF(Table2[[#This Row],[Description]]="","",Table2[[#This Row],[Value]]/Table2[[#This Row],[Conversion]])</f>
        <v/>
      </c>
      <c r="K7304" s="45" t="str">
        <f>IF(Table2[[#This Row],[Description]]="","",DATE(Table2[[#This Row],[Year]],Table2[[#This Row],[Month]],1))</f>
        <v/>
      </c>
    </row>
    <row r="7305" spans="7:11" x14ac:dyDescent="0.25">
      <c r="G7305" s="1" t="str">
        <f>IF(Table2[[#This Row],[Description]]="","",VLOOKUP(Table2[[#This Row],[Description]],$Q$1:$S$101,2,FALSE))</f>
        <v/>
      </c>
      <c r="H7305" s="1" t="str">
        <f>IF(Table2[[#This Row],[Description]]="","",VLOOKUP(Table2[[#This Row],[Description]],$Q$1:$S$101,3,FALSE))</f>
        <v/>
      </c>
      <c r="I7305" s="1" t="str">
        <f>IF(Table2[[#This Row],[Description]]="","",IF(Table2[[#This Row],[Currency]]=$O$2,$P$2,HLOOKUP(Table2[[#This Row],[Date]],Funds!$C$10:$GV$11,2,FALSE)))</f>
        <v/>
      </c>
      <c r="J7305" s="215" t="str">
        <f>IF(Table2[[#This Row],[Description]]="","",Table2[[#This Row],[Value]]/Table2[[#This Row],[Conversion]])</f>
        <v/>
      </c>
      <c r="K7305" s="45" t="str">
        <f>IF(Table2[[#This Row],[Description]]="","",DATE(Table2[[#This Row],[Year]],Table2[[#This Row],[Month]],1))</f>
        <v/>
      </c>
    </row>
    <row r="7306" spans="7:11" x14ac:dyDescent="0.25">
      <c r="G7306" s="1" t="str">
        <f>IF(Table2[[#This Row],[Description]]="","",VLOOKUP(Table2[[#This Row],[Description]],$Q$1:$S$101,2,FALSE))</f>
        <v/>
      </c>
      <c r="H7306" s="1" t="str">
        <f>IF(Table2[[#This Row],[Description]]="","",VLOOKUP(Table2[[#This Row],[Description]],$Q$1:$S$101,3,FALSE))</f>
        <v/>
      </c>
      <c r="I7306" s="1" t="str">
        <f>IF(Table2[[#This Row],[Description]]="","",IF(Table2[[#This Row],[Currency]]=$O$2,$P$2,HLOOKUP(Table2[[#This Row],[Date]],Funds!$C$10:$GV$11,2,FALSE)))</f>
        <v/>
      </c>
      <c r="J7306" s="215" t="str">
        <f>IF(Table2[[#This Row],[Description]]="","",Table2[[#This Row],[Value]]/Table2[[#This Row],[Conversion]])</f>
        <v/>
      </c>
      <c r="K7306" s="45" t="str">
        <f>IF(Table2[[#This Row],[Description]]="","",DATE(Table2[[#This Row],[Year]],Table2[[#This Row],[Month]],1))</f>
        <v/>
      </c>
    </row>
    <row r="7307" spans="7:11" x14ac:dyDescent="0.25">
      <c r="G7307" s="1" t="str">
        <f>IF(Table2[[#This Row],[Description]]="","",VLOOKUP(Table2[[#This Row],[Description]],$Q$1:$S$101,2,FALSE))</f>
        <v/>
      </c>
      <c r="H7307" s="1" t="str">
        <f>IF(Table2[[#This Row],[Description]]="","",VLOOKUP(Table2[[#This Row],[Description]],$Q$1:$S$101,3,FALSE))</f>
        <v/>
      </c>
      <c r="I7307" s="1" t="str">
        <f>IF(Table2[[#This Row],[Description]]="","",IF(Table2[[#This Row],[Currency]]=$O$2,$P$2,HLOOKUP(Table2[[#This Row],[Date]],Funds!$C$10:$GV$11,2,FALSE)))</f>
        <v/>
      </c>
      <c r="J7307" s="215" t="str">
        <f>IF(Table2[[#This Row],[Description]]="","",Table2[[#This Row],[Value]]/Table2[[#This Row],[Conversion]])</f>
        <v/>
      </c>
      <c r="K7307" s="45" t="str">
        <f>IF(Table2[[#This Row],[Description]]="","",DATE(Table2[[#This Row],[Year]],Table2[[#This Row],[Month]],1))</f>
        <v/>
      </c>
    </row>
    <row r="7308" spans="7:11" x14ac:dyDescent="0.25">
      <c r="G7308" s="1" t="str">
        <f>IF(Table2[[#This Row],[Description]]="","",VLOOKUP(Table2[[#This Row],[Description]],$Q$1:$S$101,2,FALSE))</f>
        <v/>
      </c>
      <c r="H7308" s="1" t="str">
        <f>IF(Table2[[#This Row],[Description]]="","",VLOOKUP(Table2[[#This Row],[Description]],$Q$1:$S$101,3,FALSE))</f>
        <v/>
      </c>
      <c r="I7308" s="1" t="str">
        <f>IF(Table2[[#This Row],[Description]]="","",IF(Table2[[#This Row],[Currency]]=$O$2,$P$2,HLOOKUP(Table2[[#This Row],[Date]],Funds!$C$10:$GV$11,2,FALSE)))</f>
        <v/>
      </c>
      <c r="J7308" s="215" t="str">
        <f>IF(Table2[[#This Row],[Description]]="","",Table2[[#This Row],[Value]]/Table2[[#This Row],[Conversion]])</f>
        <v/>
      </c>
      <c r="K7308" s="45" t="str">
        <f>IF(Table2[[#This Row],[Description]]="","",DATE(Table2[[#This Row],[Year]],Table2[[#This Row],[Month]],1))</f>
        <v/>
      </c>
    </row>
    <row r="7309" spans="7:11" x14ac:dyDescent="0.25">
      <c r="G7309" s="1" t="str">
        <f>IF(Table2[[#This Row],[Description]]="","",VLOOKUP(Table2[[#This Row],[Description]],$Q$1:$S$101,2,FALSE))</f>
        <v/>
      </c>
      <c r="H7309" s="1" t="str">
        <f>IF(Table2[[#This Row],[Description]]="","",VLOOKUP(Table2[[#This Row],[Description]],$Q$1:$S$101,3,FALSE))</f>
        <v/>
      </c>
      <c r="I7309" s="1" t="str">
        <f>IF(Table2[[#This Row],[Description]]="","",IF(Table2[[#This Row],[Currency]]=$O$2,$P$2,HLOOKUP(Table2[[#This Row],[Date]],Funds!$C$10:$GV$11,2,FALSE)))</f>
        <v/>
      </c>
      <c r="J7309" s="215" t="str">
        <f>IF(Table2[[#This Row],[Description]]="","",Table2[[#This Row],[Value]]/Table2[[#This Row],[Conversion]])</f>
        <v/>
      </c>
      <c r="K7309" s="45" t="str">
        <f>IF(Table2[[#This Row],[Description]]="","",DATE(Table2[[#This Row],[Year]],Table2[[#This Row],[Month]],1))</f>
        <v/>
      </c>
    </row>
    <row r="7310" spans="7:11" x14ac:dyDescent="0.25">
      <c r="G7310" s="1" t="str">
        <f>IF(Table2[[#This Row],[Description]]="","",VLOOKUP(Table2[[#This Row],[Description]],$Q$1:$S$101,2,FALSE))</f>
        <v/>
      </c>
      <c r="H7310" s="1" t="str">
        <f>IF(Table2[[#This Row],[Description]]="","",VLOOKUP(Table2[[#This Row],[Description]],$Q$1:$S$101,3,FALSE))</f>
        <v/>
      </c>
      <c r="I7310" s="1" t="str">
        <f>IF(Table2[[#This Row],[Description]]="","",IF(Table2[[#This Row],[Currency]]=$O$2,$P$2,HLOOKUP(Table2[[#This Row],[Date]],Funds!$C$10:$GV$11,2,FALSE)))</f>
        <v/>
      </c>
      <c r="J7310" s="215" t="str">
        <f>IF(Table2[[#This Row],[Description]]="","",Table2[[#This Row],[Value]]/Table2[[#This Row],[Conversion]])</f>
        <v/>
      </c>
      <c r="K7310" s="45" t="str">
        <f>IF(Table2[[#This Row],[Description]]="","",DATE(Table2[[#This Row],[Year]],Table2[[#This Row],[Month]],1))</f>
        <v/>
      </c>
    </row>
    <row r="7311" spans="7:11" x14ac:dyDescent="0.25">
      <c r="G7311" s="1" t="str">
        <f>IF(Table2[[#This Row],[Description]]="","",VLOOKUP(Table2[[#This Row],[Description]],$Q$1:$S$101,2,FALSE))</f>
        <v/>
      </c>
      <c r="H7311" s="1" t="str">
        <f>IF(Table2[[#This Row],[Description]]="","",VLOOKUP(Table2[[#This Row],[Description]],$Q$1:$S$101,3,FALSE))</f>
        <v/>
      </c>
      <c r="I7311" s="1" t="str">
        <f>IF(Table2[[#This Row],[Description]]="","",IF(Table2[[#This Row],[Currency]]=$O$2,$P$2,HLOOKUP(Table2[[#This Row],[Date]],Funds!$C$10:$GV$11,2,FALSE)))</f>
        <v/>
      </c>
      <c r="J7311" s="215" t="str">
        <f>IF(Table2[[#This Row],[Description]]="","",Table2[[#This Row],[Value]]/Table2[[#This Row],[Conversion]])</f>
        <v/>
      </c>
      <c r="K7311" s="45" t="str">
        <f>IF(Table2[[#This Row],[Description]]="","",DATE(Table2[[#This Row],[Year]],Table2[[#This Row],[Month]],1))</f>
        <v/>
      </c>
    </row>
    <row r="7312" spans="7:11" x14ac:dyDescent="0.25">
      <c r="G7312" s="1" t="str">
        <f>IF(Table2[[#This Row],[Description]]="","",VLOOKUP(Table2[[#This Row],[Description]],$Q$1:$S$101,2,FALSE))</f>
        <v/>
      </c>
      <c r="H7312" s="1" t="str">
        <f>IF(Table2[[#This Row],[Description]]="","",VLOOKUP(Table2[[#This Row],[Description]],$Q$1:$S$101,3,FALSE))</f>
        <v/>
      </c>
      <c r="I7312" s="1" t="str">
        <f>IF(Table2[[#This Row],[Description]]="","",IF(Table2[[#This Row],[Currency]]=$O$2,$P$2,HLOOKUP(Table2[[#This Row],[Date]],Funds!$C$10:$GV$11,2,FALSE)))</f>
        <v/>
      </c>
      <c r="J7312" s="215" t="str">
        <f>IF(Table2[[#This Row],[Description]]="","",Table2[[#This Row],[Value]]/Table2[[#This Row],[Conversion]])</f>
        <v/>
      </c>
      <c r="K7312" s="45" t="str">
        <f>IF(Table2[[#This Row],[Description]]="","",DATE(Table2[[#This Row],[Year]],Table2[[#This Row],[Month]],1))</f>
        <v/>
      </c>
    </row>
    <row r="7313" spans="7:11" x14ac:dyDescent="0.25">
      <c r="G7313" s="1" t="str">
        <f>IF(Table2[[#This Row],[Description]]="","",VLOOKUP(Table2[[#This Row],[Description]],$Q$1:$S$101,2,FALSE))</f>
        <v/>
      </c>
      <c r="H7313" s="1" t="str">
        <f>IF(Table2[[#This Row],[Description]]="","",VLOOKUP(Table2[[#This Row],[Description]],$Q$1:$S$101,3,FALSE))</f>
        <v/>
      </c>
      <c r="I7313" s="1" t="str">
        <f>IF(Table2[[#This Row],[Description]]="","",IF(Table2[[#This Row],[Currency]]=$O$2,$P$2,HLOOKUP(Table2[[#This Row],[Date]],Funds!$C$10:$GV$11,2,FALSE)))</f>
        <v/>
      </c>
      <c r="J7313" s="215" t="str">
        <f>IF(Table2[[#This Row],[Description]]="","",Table2[[#This Row],[Value]]/Table2[[#This Row],[Conversion]])</f>
        <v/>
      </c>
      <c r="K7313" s="45" t="str">
        <f>IF(Table2[[#This Row],[Description]]="","",DATE(Table2[[#This Row],[Year]],Table2[[#This Row],[Month]],1))</f>
        <v/>
      </c>
    </row>
    <row r="7314" spans="7:11" x14ac:dyDescent="0.25">
      <c r="G7314" s="1" t="str">
        <f>IF(Table2[[#This Row],[Description]]="","",VLOOKUP(Table2[[#This Row],[Description]],$Q$1:$S$101,2,FALSE))</f>
        <v/>
      </c>
      <c r="H7314" s="1" t="str">
        <f>IF(Table2[[#This Row],[Description]]="","",VLOOKUP(Table2[[#This Row],[Description]],$Q$1:$S$101,3,FALSE))</f>
        <v/>
      </c>
      <c r="I7314" s="1" t="str">
        <f>IF(Table2[[#This Row],[Description]]="","",IF(Table2[[#This Row],[Currency]]=$O$2,$P$2,HLOOKUP(Table2[[#This Row],[Date]],Funds!$C$10:$GV$11,2,FALSE)))</f>
        <v/>
      </c>
      <c r="J7314" s="215" t="str">
        <f>IF(Table2[[#This Row],[Description]]="","",Table2[[#This Row],[Value]]/Table2[[#This Row],[Conversion]])</f>
        <v/>
      </c>
      <c r="K7314" s="45" t="str">
        <f>IF(Table2[[#This Row],[Description]]="","",DATE(Table2[[#This Row],[Year]],Table2[[#This Row],[Month]],1))</f>
        <v/>
      </c>
    </row>
    <row r="7315" spans="7:11" x14ac:dyDescent="0.25">
      <c r="G7315" s="1" t="str">
        <f>IF(Table2[[#This Row],[Description]]="","",VLOOKUP(Table2[[#This Row],[Description]],$Q$1:$S$101,2,FALSE))</f>
        <v/>
      </c>
      <c r="H7315" s="1" t="str">
        <f>IF(Table2[[#This Row],[Description]]="","",VLOOKUP(Table2[[#This Row],[Description]],$Q$1:$S$101,3,FALSE))</f>
        <v/>
      </c>
      <c r="I7315" s="1" t="str">
        <f>IF(Table2[[#This Row],[Description]]="","",IF(Table2[[#This Row],[Currency]]=$O$2,$P$2,HLOOKUP(Table2[[#This Row],[Date]],Funds!$C$10:$GV$11,2,FALSE)))</f>
        <v/>
      </c>
      <c r="J7315" s="215" t="str">
        <f>IF(Table2[[#This Row],[Description]]="","",Table2[[#This Row],[Value]]/Table2[[#This Row],[Conversion]])</f>
        <v/>
      </c>
      <c r="K7315" s="45" t="str">
        <f>IF(Table2[[#This Row],[Description]]="","",DATE(Table2[[#This Row],[Year]],Table2[[#This Row],[Month]],1))</f>
        <v/>
      </c>
    </row>
    <row r="7316" spans="7:11" x14ac:dyDescent="0.25">
      <c r="G7316" s="1" t="str">
        <f>IF(Table2[[#This Row],[Description]]="","",VLOOKUP(Table2[[#This Row],[Description]],$Q$1:$S$101,2,FALSE))</f>
        <v/>
      </c>
      <c r="H7316" s="1" t="str">
        <f>IF(Table2[[#This Row],[Description]]="","",VLOOKUP(Table2[[#This Row],[Description]],$Q$1:$S$101,3,FALSE))</f>
        <v/>
      </c>
      <c r="I7316" s="1" t="str">
        <f>IF(Table2[[#This Row],[Description]]="","",IF(Table2[[#This Row],[Currency]]=$O$2,$P$2,HLOOKUP(Table2[[#This Row],[Date]],Funds!$C$10:$GV$11,2,FALSE)))</f>
        <v/>
      </c>
      <c r="J7316" s="215" t="str">
        <f>IF(Table2[[#This Row],[Description]]="","",Table2[[#This Row],[Value]]/Table2[[#This Row],[Conversion]])</f>
        <v/>
      </c>
      <c r="K7316" s="45" t="str">
        <f>IF(Table2[[#This Row],[Description]]="","",DATE(Table2[[#This Row],[Year]],Table2[[#This Row],[Month]],1))</f>
        <v/>
      </c>
    </row>
    <row r="7317" spans="7:11" x14ac:dyDescent="0.25">
      <c r="G7317" s="1" t="str">
        <f>IF(Table2[[#This Row],[Description]]="","",VLOOKUP(Table2[[#This Row],[Description]],$Q$1:$S$101,2,FALSE))</f>
        <v/>
      </c>
      <c r="H7317" s="1" t="str">
        <f>IF(Table2[[#This Row],[Description]]="","",VLOOKUP(Table2[[#This Row],[Description]],$Q$1:$S$101,3,FALSE))</f>
        <v/>
      </c>
      <c r="I7317" s="1" t="str">
        <f>IF(Table2[[#This Row],[Description]]="","",IF(Table2[[#This Row],[Currency]]=$O$2,$P$2,HLOOKUP(Table2[[#This Row],[Date]],Funds!$C$10:$GV$11,2,FALSE)))</f>
        <v/>
      </c>
      <c r="J7317" s="215" t="str">
        <f>IF(Table2[[#This Row],[Description]]="","",Table2[[#This Row],[Value]]/Table2[[#This Row],[Conversion]])</f>
        <v/>
      </c>
      <c r="K7317" s="45" t="str">
        <f>IF(Table2[[#This Row],[Description]]="","",DATE(Table2[[#This Row],[Year]],Table2[[#This Row],[Month]],1))</f>
        <v/>
      </c>
    </row>
    <row r="7318" spans="7:11" x14ac:dyDescent="0.25">
      <c r="G7318" s="1" t="str">
        <f>IF(Table2[[#This Row],[Description]]="","",VLOOKUP(Table2[[#This Row],[Description]],$Q$1:$S$101,2,FALSE))</f>
        <v/>
      </c>
      <c r="H7318" s="1" t="str">
        <f>IF(Table2[[#This Row],[Description]]="","",VLOOKUP(Table2[[#This Row],[Description]],$Q$1:$S$101,3,FALSE))</f>
        <v/>
      </c>
      <c r="I7318" s="1" t="str">
        <f>IF(Table2[[#This Row],[Description]]="","",IF(Table2[[#This Row],[Currency]]=$O$2,$P$2,HLOOKUP(Table2[[#This Row],[Date]],Funds!$C$10:$GV$11,2,FALSE)))</f>
        <v/>
      </c>
      <c r="J7318" s="215" t="str">
        <f>IF(Table2[[#This Row],[Description]]="","",Table2[[#This Row],[Value]]/Table2[[#This Row],[Conversion]])</f>
        <v/>
      </c>
      <c r="K7318" s="45" t="str">
        <f>IF(Table2[[#This Row],[Description]]="","",DATE(Table2[[#This Row],[Year]],Table2[[#This Row],[Month]],1))</f>
        <v/>
      </c>
    </row>
    <row r="7319" spans="7:11" x14ac:dyDescent="0.25">
      <c r="G7319" s="1" t="str">
        <f>IF(Table2[[#This Row],[Description]]="","",VLOOKUP(Table2[[#This Row],[Description]],$Q$1:$S$101,2,FALSE))</f>
        <v/>
      </c>
      <c r="H7319" s="1" t="str">
        <f>IF(Table2[[#This Row],[Description]]="","",VLOOKUP(Table2[[#This Row],[Description]],$Q$1:$S$101,3,FALSE))</f>
        <v/>
      </c>
      <c r="I7319" s="1" t="str">
        <f>IF(Table2[[#This Row],[Description]]="","",IF(Table2[[#This Row],[Currency]]=$O$2,$P$2,HLOOKUP(Table2[[#This Row],[Date]],Funds!$C$10:$GV$11,2,FALSE)))</f>
        <v/>
      </c>
      <c r="J7319" s="215" t="str">
        <f>IF(Table2[[#This Row],[Description]]="","",Table2[[#This Row],[Value]]/Table2[[#This Row],[Conversion]])</f>
        <v/>
      </c>
      <c r="K7319" s="45" t="str">
        <f>IF(Table2[[#This Row],[Description]]="","",DATE(Table2[[#This Row],[Year]],Table2[[#This Row],[Month]],1))</f>
        <v/>
      </c>
    </row>
    <row r="7320" spans="7:11" x14ac:dyDescent="0.25">
      <c r="G7320" s="1" t="str">
        <f>IF(Table2[[#This Row],[Description]]="","",VLOOKUP(Table2[[#This Row],[Description]],$Q$1:$S$101,2,FALSE))</f>
        <v/>
      </c>
      <c r="H7320" s="1" t="str">
        <f>IF(Table2[[#This Row],[Description]]="","",VLOOKUP(Table2[[#This Row],[Description]],$Q$1:$S$101,3,FALSE))</f>
        <v/>
      </c>
      <c r="I7320" s="1" t="str">
        <f>IF(Table2[[#This Row],[Description]]="","",IF(Table2[[#This Row],[Currency]]=$O$2,$P$2,HLOOKUP(Table2[[#This Row],[Date]],Funds!$C$10:$GV$11,2,FALSE)))</f>
        <v/>
      </c>
      <c r="J7320" s="215" t="str">
        <f>IF(Table2[[#This Row],[Description]]="","",Table2[[#This Row],[Value]]/Table2[[#This Row],[Conversion]])</f>
        <v/>
      </c>
      <c r="K7320" s="45" t="str">
        <f>IF(Table2[[#This Row],[Description]]="","",DATE(Table2[[#This Row],[Year]],Table2[[#This Row],[Month]],1))</f>
        <v/>
      </c>
    </row>
    <row r="7321" spans="7:11" x14ac:dyDescent="0.25">
      <c r="G7321" s="1" t="str">
        <f>IF(Table2[[#This Row],[Description]]="","",VLOOKUP(Table2[[#This Row],[Description]],$Q$1:$S$101,2,FALSE))</f>
        <v/>
      </c>
      <c r="H7321" s="1" t="str">
        <f>IF(Table2[[#This Row],[Description]]="","",VLOOKUP(Table2[[#This Row],[Description]],$Q$1:$S$101,3,FALSE))</f>
        <v/>
      </c>
      <c r="I7321" s="1" t="str">
        <f>IF(Table2[[#This Row],[Description]]="","",IF(Table2[[#This Row],[Currency]]=$O$2,$P$2,HLOOKUP(Table2[[#This Row],[Date]],Funds!$C$10:$GV$11,2,FALSE)))</f>
        <v/>
      </c>
      <c r="J7321" s="215" t="str">
        <f>IF(Table2[[#This Row],[Description]]="","",Table2[[#This Row],[Value]]/Table2[[#This Row],[Conversion]])</f>
        <v/>
      </c>
      <c r="K7321" s="45" t="str">
        <f>IF(Table2[[#This Row],[Description]]="","",DATE(Table2[[#This Row],[Year]],Table2[[#This Row],[Month]],1))</f>
        <v/>
      </c>
    </row>
    <row r="7322" spans="7:11" x14ac:dyDescent="0.25">
      <c r="G7322" s="1" t="str">
        <f>IF(Table2[[#This Row],[Description]]="","",VLOOKUP(Table2[[#This Row],[Description]],$Q$1:$S$101,2,FALSE))</f>
        <v/>
      </c>
      <c r="H7322" s="1" t="str">
        <f>IF(Table2[[#This Row],[Description]]="","",VLOOKUP(Table2[[#This Row],[Description]],$Q$1:$S$101,3,FALSE))</f>
        <v/>
      </c>
      <c r="I7322" s="1" t="str">
        <f>IF(Table2[[#This Row],[Description]]="","",IF(Table2[[#This Row],[Currency]]=$O$2,$P$2,HLOOKUP(Table2[[#This Row],[Date]],Funds!$C$10:$GV$11,2,FALSE)))</f>
        <v/>
      </c>
      <c r="J7322" s="215" t="str">
        <f>IF(Table2[[#This Row],[Description]]="","",Table2[[#This Row],[Value]]/Table2[[#This Row],[Conversion]])</f>
        <v/>
      </c>
      <c r="K7322" s="45" t="str">
        <f>IF(Table2[[#This Row],[Description]]="","",DATE(Table2[[#This Row],[Year]],Table2[[#This Row],[Month]],1))</f>
        <v/>
      </c>
    </row>
    <row r="7323" spans="7:11" x14ac:dyDescent="0.25">
      <c r="G7323" s="1" t="str">
        <f>IF(Table2[[#This Row],[Description]]="","",VLOOKUP(Table2[[#This Row],[Description]],$Q$1:$S$101,2,FALSE))</f>
        <v/>
      </c>
      <c r="H7323" s="1" t="str">
        <f>IF(Table2[[#This Row],[Description]]="","",VLOOKUP(Table2[[#This Row],[Description]],$Q$1:$S$101,3,FALSE))</f>
        <v/>
      </c>
      <c r="I7323" s="1" t="str">
        <f>IF(Table2[[#This Row],[Description]]="","",IF(Table2[[#This Row],[Currency]]=$O$2,$P$2,HLOOKUP(Table2[[#This Row],[Date]],Funds!$C$10:$GV$11,2,FALSE)))</f>
        <v/>
      </c>
      <c r="J7323" s="215" t="str">
        <f>IF(Table2[[#This Row],[Description]]="","",Table2[[#This Row],[Value]]/Table2[[#This Row],[Conversion]])</f>
        <v/>
      </c>
      <c r="K7323" s="45" t="str">
        <f>IF(Table2[[#This Row],[Description]]="","",DATE(Table2[[#This Row],[Year]],Table2[[#This Row],[Month]],1))</f>
        <v/>
      </c>
    </row>
    <row r="7324" spans="7:11" x14ac:dyDescent="0.25">
      <c r="G7324" s="1" t="str">
        <f>IF(Table2[[#This Row],[Description]]="","",VLOOKUP(Table2[[#This Row],[Description]],$Q$1:$S$101,2,FALSE))</f>
        <v/>
      </c>
      <c r="H7324" s="1" t="str">
        <f>IF(Table2[[#This Row],[Description]]="","",VLOOKUP(Table2[[#This Row],[Description]],$Q$1:$S$101,3,FALSE))</f>
        <v/>
      </c>
      <c r="I7324" s="1" t="str">
        <f>IF(Table2[[#This Row],[Description]]="","",IF(Table2[[#This Row],[Currency]]=$O$2,$P$2,HLOOKUP(Table2[[#This Row],[Date]],Funds!$C$10:$GV$11,2,FALSE)))</f>
        <v/>
      </c>
      <c r="J7324" s="215" t="str">
        <f>IF(Table2[[#This Row],[Description]]="","",Table2[[#This Row],[Value]]/Table2[[#This Row],[Conversion]])</f>
        <v/>
      </c>
      <c r="K7324" s="45" t="str">
        <f>IF(Table2[[#This Row],[Description]]="","",DATE(Table2[[#This Row],[Year]],Table2[[#This Row],[Month]],1))</f>
        <v/>
      </c>
    </row>
    <row r="7325" spans="7:11" x14ac:dyDescent="0.25">
      <c r="G7325" s="1" t="str">
        <f>IF(Table2[[#This Row],[Description]]="","",VLOOKUP(Table2[[#This Row],[Description]],$Q$1:$S$101,2,FALSE))</f>
        <v/>
      </c>
      <c r="H7325" s="1" t="str">
        <f>IF(Table2[[#This Row],[Description]]="","",VLOOKUP(Table2[[#This Row],[Description]],$Q$1:$S$101,3,FALSE))</f>
        <v/>
      </c>
      <c r="I7325" s="1" t="str">
        <f>IF(Table2[[#This Row],[Description]]="","",IF(Table2[[#This Row],[Currency]]=$O$2,$P$2,HLOOKUP(Table2[[#This Row],[Date]],Funds!$C$10:$GV$11,2,FALSE)))</f>
        <v/>
      </c>
      <c r="J7325" s="215" t="str">
        <f>IF(Table2[[#This Row],[Description]]="","",Table2[[#This Row],[Value]]/Table2[[#This Row],[Conversion]])</f>
        <v/>
      </c>
      <c r="K7325" s="45" t="str">
        <f>IF(Table2[[#This Row],[Description]]="","",DATE(Table2[[#This Row],[Year]],Table2[[#This Row],[Month]],1))</f>
        <v/>
      </c>
    </row>
    <row r="7326" spans="7:11" x14ac:dyDescent="0.25">
      <c r="G7326" s="1" t="str">
        <f>IF(Table2[[#This Row],[Description]]="","",VLOOKUP(Table2[[#This Row],[Description]],$Q$1:$S$101,2,FALSE))</f>
        <v/>
      </c>
      <c r="H7326" s="1" t="str">
        <f>IF(Table2[[#This Row],[Description]]="","",VLOOKUP(Table2[[#This Row],[Description]],$Q$1:$S$101,3,FALSE))</f>
        <v/>
      </c>
      <c r="I7326" s="1" t="str">
        <f>IF(Table2[[#This Row],[Description]]="","",IF(Table2[[#This Row],[Currency]]=$O$2,$P$2,HLOOKUP(Table2[[#This Row],[Date]],Funds!$C$10:$GV$11,2,FALSE)))</f>
        <v/>
      </c>
      <c r="J7326" s="215" t="str">
        <f>IF(Table2[[#This Row],[Description]]="","",Table2[[#This Row],[Value]]/Table2[[#This Row],[Conversion]])</f>
        <v/>
      </c>
      <c r="K7326" s="45" t="str">
        <f>IF(Table2[[#This Row],[Description]]="","",DATE(Table2[[#This Row],[Year]],Table2[[#This Row],[Month]],1))</f>
        <v/>
      </c>
    </row>
    <row r="7327" spans="7:11" x14ac:dyDescent="0.25">
      <c r="G7327" s="1" t="str">
        <f>IF(Table2[[#This Row],[Description]]="","",VLOOKUP(Table2[[#This Row],[Description]],$Q$1:$S$101,2,FALSE))</f>
        <v/>
      </c>
      <c r="H7327" s="1" t="str">
        <f>IF(Table2[[#This Row],[Description]]="","",VLOOKUP(Table2[[#This Row],[Description]],$Q$1:$S$101,3,FALSE))</f>
        <v/>
      </c>
      <c r="I7327" s="1" t="str">
        <f>IF(Table2[[#This Row],[Description]]="","",IF(Table2[[#This Row],[Currency]]=$O$2,$P$2,HLOOKUP(Table2[[#This Row],[Date]],Funds!$C$10:$GV$11,2,FALSE)))</f>
        <v/>
      </c>
      <c r="J7327" s="215" t="str">
        <f>IF(Table2[[#This Row],[Description]]="","",Table2[[#This Row],[Value]]/Table2[[#This Row],[Conversion]])</f>
        <v/>
      </c>
      <c r="K7327" s="45" t="str">
        <f>IF(Table2[[#This Row],[Description]]="","",DATE(Table2[[#This Row],[Year]],Table2[[#This Row],[Month]],1))</f>
        <v/>
      </c>
    </row>
    <row r="7328" spans="7:11" x14ac:dyDescent="0.25">
      <c r="G7328" s="1" t="str">
        <f>IF(Table2[[#This Row],[Description]]="","",VLOOKUP(Table2[[#This Row],[Description]],$Q$1:$S$101,2,FALSE))</f>
        <v/>
      </c>
      <c r="H7328" s="1" t="str">
        <f>IF(Table2[[#This Row],[Description]]="","",VLOOKUP(Table2[[#This Row],[Description]],$Q$1:$S$101,3,FALSE))</f>
        <v/>
      </c>
      <c r="I7328" s="1" t="str">
        <f>IF(Table2[[#This Row],[Description]]="","",IF(Table2[[#This Row],[Currency]]=$O$2,$P$2,HLOOKUP(Table2[[#This Row],[Date]],Funds!$C$10:$GV$11,2,FALSE)))</f>
        <v/>
      </c>
      <c r="J7328" s="215" t="str">
        <f>IF(Table2[[#This Row],[Description]]="","",Table2[[#This Row],[Value]]/Table2[[#This Row],[Conversion]])</f>
        <v/>
      </c>
      <c r="K7328" s="45" t="str">
        <f>IF(Table2[[#This Row],[Description]]="","",DATE(Table2[[#This Row],[Year]],Table2[[#This Row],[Month]],1))</f>
        <v/>
      </c>
    </row>
    <row r="7329" spans="7:11" x14ac:dyDescent="0.25">
      <c r="G7329" s="1" t="str">
        <f>IF(Table2[[#This Row],[Description]]="","",VLOOKUP(Table2[[#This Row],[Description]],$Q$1:$S$101,2,FALSE))</f>
        <v/>
      </c>
      <c r="H7329" s="1" t="str">
        <f>IF(Table2[[#This Row],[Description]]="","",VLOOKUP(Table2[[#This Row],[Description]],$Q$1:$S$101,3,FALSE))</f>
        <v/>
      </c>
      <c r="I7329" s="1" t="str">
        <f>IF(Table2[[#This Row],[Description]]="","",IF(Table2[[#This Row],[Currency]]=$O$2,$P$2,HLOOKUP(Table2[[#This Row],[Date]],Funds!$C$10:$GV$11,2,FALSE)))</f>
        <v/>
      </c>
      <c r="J7329" s="215" t="str">
        <f>IF(Table2[[#This Row],[Description]]="","",Table2[[#This Row],[Value]]/Table2[[#This Row],[Conversion]])</f>
        <v/>
      </c>
      <c r="K7329" s="45" t="str">
        <f>IF(Table2[[#This Row],[Description]]="","",DATE(Table2[[#This Row],[Year]],Table2[[#This Row],[Month]],1))</f>
        <v/>
      </c>
    </row>
    <row r="7330" spans="7:11" x14ac:dyDescent="0.25">
      <c r="G7330" s="1" t="str">
        <f>IF(Table2[[#This Row],[Description]]="","",VLOOKUP(Table2[[#This Row],[Description]],$Q$1:$S$101,2,FALSE))</f>
        <v/>
      </c>
      <c r="H7330" s="1" t="str">
        <f>IF(Table2[[#This Row],[Description]]="","",VLOOKUP(Table2[[#This Row],[Description]],$Q$1:$S$101,3,FALSE))</f>
        <v/>
      </c>
      <c r="I7330" s="1" t="str">
        <f>IF(Table2[[#This Row],[Description]]="","",IF(Table2[[#This Row],[Currency]]=$O$2,$P$2,HLOOKUP(Table2[[#This Row],[Date]],Funds!$C$10:$GV$11,2,FALSE)))</f>
        <v/>
      </c>
      <c r="J7330" s="215" t="str">
        <f>IF(Table2[[#This Row],[Description]]="","",Table2[[#This Row],[Value]]/Table2[[#This Row],[Conversion]])</f>
        <v/>
      </c>
      <c r="K7330" s="45" t="str">
        <f>IF(Table2[[#This Row],[Description]]="","",DATE(Table2[[#This Row],[Year]],Table2[[#This Row],[Month]],1))</f>
        <v/>
      </c>
    </row>
    <row r="7331" spans="7:11" x14ac:dyDescent="0.25">
      <c r="G7331" s="1" t="str">
        <f>IF(Table2[[#This Row],[Description]]="","",VLOOKUP(Table2[[#This Row],[Description]],$Q$1:$S$101,2,FALSE))</f>
        <v/>
      </c>
      <c r="H7331" s="1" t="str">
        <f>IF(Table2[[#This Row],[Description]]="","",VLOOKUP(Table2[[#This Row],[Description]],$Q$1:$S$101,3,FALSE))</f>
        <v/>
      </c>
      <c r="I7331" s="1" t="str">
        <f>IF(Table2[[#This Row],[Description]]="","",IF(Table2[[#This Row],[Currency]]=$O$2,$P$2,HLOOKUP(Table2[[#This Row],[Date]],Funds!$C$10:$GV$11,2,FALSE)))</f>
        <v/>
      </c>
      <c r="J7331" s="215" t="str">
        <f>IF(Table2[[#This Row],[Description]]="","",Table2[[#This Row],[Value]]/Table2[[#This Row],[Conversion]])</f>
        <v/>
      </c>
      <c r="K7331" s="45" t="str">
        <f>IF(Table2[[#This Row],[Description]]="","",DATE(Table2[[#This Row],[Year]],Table2[[#This Row],[Month]],1))</f>
        <v/>
      </c>
    </row>
    <row r="7332" spans="7:11" x14ac:dyDescent="0.25">
      <c r="G7332" s="1" t="str">
        <f>IF(Table2[[#This Row],[Description]]="","",VLOOKUP(Table2[[#This Row],[Description]],$Q$1:$S$101,2,FALSE))</f>
        <v/>
      </c>
      <c r="H7332" s="1" t="str">
        <f>IF(Table2[[#This Row],[Description]]="","",VLOOKUP(Table2[[#This Row],[Description]],$Q$1:$S$101,3,FALSE))</f>
        <v/>
      </c>
      <c r="I7332" s="1" t="str">
        <f>IF(Table2[[#This Row],[Description]]="","",IF(Table2[[#This Row],[Currency]]=$O$2,$P$2,HLOOKUP(Table2[[#This Row],[Date]],Funds!$C$10:$GV$11,2,FALSE)))</f>
        <v/>
      </c>
      <c r="J7332" s="215" t="str">
        <f>IF(Table2[[#This Row],[Description]]="","",Table2[[#This Row],[Value]]/Table2[[#This Row],[Conversion]])</f>
        <v/>
      </c>
      <c r="K7332" s="45" t="str">
        <f>IF(Table2[[#This Row],[Description]]="","",DATE(Table2[[#This Row],[Year]],Table2[[#This Row],[Month]],1))</f>
        <v/>
      </c>
    </row>
    <row r="7333" spans="7:11" x14ac:dyDescent="0.25">
      <c r="G7333" s="1" t="str">
        <f>IF(Table2[[#This Row],[Description]]="","",VLOOKUP(Table2[[#This Row],[Description]],$Q$1:$S$101,2,FALSE))</f>
        <v/>
      </c>
      <c r="H7333" s="1" t="str">
        <f>IF(Table2[[#This Row],[Description]]="","",VLOOKUP(Table2[[#This Row],[Description]],$Q$1:$S$101,3,FALSE))</f>
        <v/>
      </c>
      <c r="I7333" s="1" t="str">
        <f>IF(Table2[[#This Row],[Description]]="","",IF(Table2[[#This Row],[Currency]]=$O$2,$P$2,HLOOKUP(Table2[[#This Row],[Date]],Funds!$C$10:$GV$11,2,FALSE)))</f>
        <v/>
      </c>
      <c r="J7333" s="215" t="str">
        <f>IF(Table2[[#This Row],[Description]]="","",Table2[[#This Row],[Value]]/Table2[[#This Row],[Conversion]])</f>
        <v/>
      </c>
      <c r="K7333" s="45" t="str">
        <f>IF(Table2[[#This Row],[Description]]="","",DATE(Table2[[#This Row],[Year]],Table2[[#This Row],[Month]],1))</f>
        <v/>
      </c>
    </row>
    <row r="7334" spans="7:11" x14ac:dyDescent="0.25">
      <c r="G7334" s="1" t="str">
        <f>IF(Table2[[#This Row],[Description]]="","",VLOOKUP(Table2[[#This Row],[Description]],$Q$1:$S$101,2,FALSE))</f>
        <v/>
      </c>
      <c r="H7334" s="1" t="str">
        <f>IF(Table2[[#This Row],[Description]]="","",VLOOKUP(Table2[[#This Row],[Description]],$Q$1:$S$101,3,FALSE))</f>
        <v/>
      </c>
      <c r="I7334" s="1" t="str">
        <f>IF(Table2[[#This Row],[Description]]="","",IF(Table2[[#This Row],[Currency]]=$O$2,$P$2,HLOOKUP(Table2[[#This Row],[Date]],Funds!$C$10:$GV$11,2,FALSE)))</f>
        <v/>
      </c>
      <c r="J7334" s="215" t="str">
        <f>IF(Table2[[#This Row],[Description]]="","",Table2[[#This Row],[Value]]/Table2[[#This Row],[Conversion]])</f>
        <v/>
      </c>
      <c r="K7334" s="45" t="str">
        <f>IF(Table2[[#This Row],[Description]]="","",DATE(Table2[[#This Row],[Year]],Table2[[#This Row],[Month]],1))</f>
        <v/>
      </c>
    </row>
    <row r="7335" spans="7:11" x14ac:dyDescent="0.25">
      <c r="G7335" s="1" t="str">
        <f>IF(Table2[[#This Row],[Description]]="","",VLOOKUP(Table2[[#This Row],[Description]],$Q$1:$S$101,2,FALSE))</f>
        <v/>
      </c>
      <c r="H7335" s="1" t="str">
        <f>IF(Table2[[#This Row],[Description]]="","",VLOOKUP(Table2[[#This Row],[Description]],$Q$1:$S$101,3,FALSE))</f>
        <v/>
      </c>
      <c r="I7335" s="1" t="str">
        <f>IF(Table2[[#This Row],[Description]]="","",IF(Table2[[#This Row],[Currency]]=$O$2,$P$2,HLOOKUP(Table2[[#This Row],[Date]],Funds!$C$10:$GV$11,2,FALSE)))</f>
        <v/>
      </c>
      <c r="J7335" s="215" t="str">
        <f>IF(Table2[[#This Row],[Description]]="","",Table2[[#This Row],[Value]]/Table2[[#This Row],[Conversion]])</f>
        <v/>
      </c>
      <c r="K7335" s="45" t="str">
        <f>IF(Table2[[#This Row],[Description]]="","",DATE(Table2[[#This Row],[Year]],Table2[[#This Row],[Month]],1))</f>
        <v/>
      </c>
    </row>
    <row r="7336" spans="7:11" x14ac:dyDescent="0.25">
      <c r="G7336" s="1" t="str">
        <f>IF(Table2[[#This Row],[Description]]="","",VLOOKUP(Table2[[#This Row],[Description]],$Q$1:$S$101,2,FALSE))</f>
        <v/>
      </c>
      <c r="H7336" s="1" t="str">
        <f>IF(Table2[[#This Row],[Description]]="","",VLOOKUP(Table2[[#This Row],[Description]],$Q$1:$S$101,3,FALSE))</f>
        <v/>
      </c>
      <c r="I7336" s="1" t="str">
        <f>IF(Table2[[#This Row],[Description]]="","",IF(Table2[[#This Row],[Currency]]=$O$2,$P$2,HLOOKUP(Table2[[#This Row],[Date]],Funds!$C$10:$GV$11,2,FALSE)))</f>
        <v/>
      </c>
      <c r="J7336" s="215" t="str">
        <f>IF(Table2[[#This Row],[Description]]="","",Table2[[#This Row],[Value]]/Table2[[#This Row],[Conversion]])</f>
        <v/>
      </c>
      <c r="K7336" s="45" t="str">
        <f>IF(Table2[[#This Row],[Description]]="","",DATE(Table2[[#This Row],[Year]],Table2[[#This Row],[Month]],1))</f>
        <v/>
      </c>
    </row>
    <row r="7337" spans="7:11" x14ac:dyDescent="0.25">
      <c r="G7337" s="1" t="str">
        <f>IF(Table2[[#This Row],[Description]]="","",VLOOKUP(Table2[[#This Row],[Description]],$Q$1:$S$101,2,FALSE))</f>
        <v/>
      </c>
      <c r="H7337" s="1" t="str">
        <f>IF(Table2[[#This Row],[Description]]="","",VLOOKUP(Table2[[#This Row],[Description]],$Q$1:$S$101,3,FALSE))</f>
        <v/>
      </c>
      <c r="I7337" s="1" t="str">
        <f>IF(Table2[[#This Row],[Description]]="","",IF(Table2[[#This Row],[Currency]]=$O$2,$P$2,HLOOKUP(Table2[[#This Row],[Date]],Funds!$C$10:$GV$11,2,FALSE)))</f>
        <v/>
      </c>
      <c r="J7337" s="215" t="str">
        <f>IF(Table2[[#This Row],[Description]]="","",Table2[[#This Row],[Value]]/Table2[[#This Row],[Conversion]])</f>
        <v/>
      </c>
      <c r="K7337" s="45" t="str">
        <f>IF(Table2[[#This Row],[Description]]="","",DATE(Table2[[#This Row],[Year]],Table2[[#This Row],[Month]],1))</f>
        <v/>
      </c>
    </row>
    <row r="7338" spans="7:11" x14ac:dyDescent="0.25">
      <c r="G7338" s="1" t="str">
        <f>IF(Table2[[#This Row],[Description]]="","",VLOOKUP(Table2[[#This Row],[Description]],$Q$1:$S$101,2,FALSE))</f>
        <v/>
      </c>
      <c r="H7338" s="1" t="str">
        <f>IF(Table2[[#This Row],[Description]]="","",VLOOKUP(Table2[[#This Row],[Description]],$Q$1:$S$101,3,FALSE))</f>
        <v/>
      </c>
      <c r="I7338" s="1" t="str">
        <f>IF(Table2[[#This Row],[Description]]="","",IF(Table2[[#This Row],[Currency]]=$O$2,$P$2,HLOOKUP(Table2[[#This Row],[Date]],Funds!$C$10:$GV$11,2,FALSE)))</f>
        <v/>
      </c>
      <c r="J7338" s="215" t="str">
        <f>IF(Table2[[#This Row],[Description]]="","",Table2[[#This Row],[Value]]/Table2[[#This Row],[Conversion]])</f>
        <v/>
      </c>
      <c r="K7338" s="45" t="str">
        <f>IF(Table2[[#This Row],[Description]]="","",DATE(Table2[[#This Row],[Year]],Table2[[#This Row],[Month]],1))</f>
        <v/>
      </c>
    </row>
    <row r="7339" spans="7:11" x14ac:dyDescent="0.25">
      <c r="G7339" s="1" t="str">
        <f>IF(Table2[[#This Row],[Description]]="","",VLOOKUP(Table2[[#This Row],[Description]],$Q$1:$S$101,2,FALSE))</f>
        <v/>
      </c>
      <c r="H7339" s="1" t="str">
        <f>IF(Table2[[#This Row],[Description]]="","",VLOOKUP(Table2[[#This Row],[Description]],$Q$1:$S$101,3,FALSE))</f>
        <v/>
      </c>
      <c r="I7339" s="1" t="str">
        <f>IF(Table2[[#This Row],[Description]]="","",IF(Table2[[#This Row],[Currency]]=$O$2,$P$2,HLOOKUP(Table2[[#This Row],[Date]],Funds!$C$10:$GV$11,2,FALSE)))</f>
        <v/>
      </c>
      <c r="J7339" s="215" t="str">
        <f>IF(Table2[[#This Row],[Description]]="","",Table2[[#This Row],[Value]]/Table2[[#This Row],[Conversion]])</f>
        <v/>
      </c>
      <c r="K7339" s="45" t="str">
        <f>IF(Table2[[#This Row],[Description]]="","",DATE(Table2[[#This Row],[Year]],Table2[[#This Row],[Month]],1))</f>
        <v/>
      </c>
    </row>
    <row r="7340" spans="7:11" x14ac:dyDescent="0.25">
      <c r="G7340" s="1" t="str">
        <f>IF(Table2[[#This Row],[Description]]="","",VLOOKUP(Table2[[#This Row],[Description]],$Q$1:$S$101,2,FALSE))</f>
        <v/>
      </c>
      <c r="H7340" s="1" t="str">
        <f>IF(Table2[[#This Row],[Description]]="","",VLOOKUP(Table2[[#This Row],[Description]],$Q$1:$S$101,3,FALSE))</f>
        <v/>
      </c>
      <c r="I7340" s="1" t="str">
        <f>IF(Table2[[#This Row],[Description]]="","",IF(Table2[[#This Row],[Currency]]=$O$2,$P$2,HLOOKUP(Table2[[#This Row],[Date]],Funds!$C$10:$GV$11,2,FALSE)))</f>
        <v/>
      </c>
      <c r="J7340" s="215" t="str">
        <f>IF(Table2[[#This Row],[Description]]="","",Table2[[#This Row],[Value]]/Table2[[#This Row],[Conversion]])</f>
        <v/>
      </c>
      <c r="K7340" s="45" t="str">
        <f>IF(Table2[[#This Row],[Description]]="","",DATE(Table2[[#This Row],[Year]],Table2[[#This Row],[Month]],1))</f>
        <v/>
      </c>
    </row>
    <row r="7341" spans="7:11" x14ac:dyDescent="0.25">
      <c r="G7341" s="1" t="str">
        <f>IF(Table2[[#This Row],[Description]]="","",VLOOKUP(Table2[[#This Row],[Description]],$Q$1:$S$101,2,FALSE))</f>
        <v/>
      </c>
      <c r="H7341" s="1" t="str">
        <f>IF(Table2[[#This Row],[Description]]="","",VLOOKUP(Table2[[#This Row],[Description]],$Q$1:$S$101,3,FALSE))</f>
        <v/>
      </c>
      <c r="I7341" s="1" t="str">
        <f>IF(Table2[[#This Row],[Description]]="","",IF(Table2[[#This Row],[Currency]]=$O$2,$P$2,HLOOKUP(Table2[[#This Row],[Date]],Funds!$C$10:$GV$11,2,FALSE)))</f>
        <v/>
      </c>
      <c r="J7341" s="215" t="str">
        <f>IF(Table2[[#This Row],[Description]]="","",Table2[[#This Row],[Value]]/Table2[[#This Row],[Conversion]])</f>
        <v/>
      </c>
      <c r="K7341" s="45" t="str">
        <f>IF(Table2[[#This Row],[Description]]="","",DATE(Table2[[#This Row],[Year]],Table2[[#This Row],[Month]],1))</f>
        <v/>
      </c>
    </row>
    <row r="7342" spans="7:11" x14ac:dyDescent="0.25">
      <c r="G7342" s="1" t="str">
        <f>IF(Table2[[#This Row],[Description]]="","",VLOOKUP(Table2[[#This Row],[Description]],$Q$1:$S$101,2,FALSE))</f>
        <v/>
      </c>
      <c r="H7342" s="1" t="str">
        <f>IF(Table2[[#This Row],[Description]]="","",VLOOKUP(Table2[[#This Row],[Description]],$Q$1:$S$101,3,FALSE))</f>
        <v/>
      </c>
      <c r="I7342" s="1" t="str">
        <f>IF(Table2[[#This Row],[Description]]="","",IF(Table2[[#This Row],[Currency]]=$O$2,$P$2,HLOOKUP(Table2[[#This Row],[Date]],Funds!$C$10:$GV$11,2,FALSE)))</f>
        <v/>
      </c>
      <c r="J7342" s="215" t="str">
        <f>IF(Table2[[#This Row],[Description]]="","",Table2[[#This Row],[Value]]/Table2[[#This Row],[Conversion]])</f>
        <v/>
      </c>
      <c r="K7342" s="45" t="str">
        <f>IF(Table2[[#This Row],[Description]]="","",DATE(Table2[[#This Row],[Year]],Table2[[#This Row],[Month]],1))</f>
        <v/>
      </c>
    </row>
    <row r="7343" spans="7:11" x14ac:dyDescent="0.25">
      <c r="G7343" s="1" t="str">
        <f>IF(Table2[[#This Row],[Description]]="","",VLOOKUP(Table2[[#This Row],[Description]],$Q$1:$S$101,2,FALSE))</f>
        <v/>
      </c>
      <c r="H7343" s="1" t="str">
        <f>IF(Table2[[#This Row],[Description]]="","",VLOOKUP(Table2[[#This Row],[Description]],$Q$1:$S$101,3,FALSE))</f>
        <v/>
      </c>
      <c r="I7343" s="1" t="str">
        <f>IF(Table2[[#This Row],[Description]]="","",IF(Table2[[#This Row],[Currency]]=$O$2,$P$2,HLOOKUP(Table2[[#This Row],[Date]],Funds!$C$10:$GV$11,2,FALSE)))</f>
        <v/>
      </c>
      <c r="J7343" s="215" t="str">
        <f>IF(Table2[[#This Row],[Description]]="","",Table2[[#This Row],[Value]]/Table2[[#This Row],[Conversion]])</f>
        <v/>
      </c>
      <c r="K7343" s="45" t="str">
        <f>IF(Table2[[#This Row],[Description]]="","",DATE(Table2[[#This Row],[Year]],Table2[[#This Row],[Month]],1))</f>
        <v/>
      </c>
    </row>
    <row r="7344" spans="7:11" x14ac:dyDescent="0.25">
      <c r="G7344" s="1" t="str">
        <f>IF(Table2[[#This Row],[Description]]="","",VLOOKUP(Table2[[#This Row],[Description]],$Q$1:$S$101,2,FALSE))</f>
        <v/>
      </c>
      <c r="H7344" s="1" t="str">
        <f>IF(Table2[[#This Row],[Description]]="","",VLOOKUP(Table2[[#This Row],[Description]],$Q$1:$S$101,3,FALSE))</f>
        <v/>
      </c>
      <c r="I7344" s="1" t="str">
        <f>IF(Table2[[#This Row],[Description]]="","",IF(Table2[[#This Row],[Currency]]=$O$2,$P$2,HLOOKUP(Table2[[#This Row],[Date]],Funds!$C$10:$GV$11,2,FALSE)))</f>
        <v/>
      </c>
      <c r="J7344" s="215" t="str">
        <f>IF(Table2[[#This Row],[Description]]="","",Table2[[#This Row],[Value]]/Table2[[#This Row],[Conversion]])</f>
        <v/>
      </c>
      <c r="K7344" s="45" t="str">
        <f>IF(Table2[[#This Row],[Description]]="","",DATE(Table2[[#This Row],[Year]],Table2[[#This Row],[Month]],1))</f>
        <v/>
      </c>
    </row>
    <row r="7345" spans="7:11" x14ac:dyDescent="0.25">
      <c r="G7345" s="1" t="str">
        <f>IF(Table2[[#This Row],[Description]]="","",VLOOKUP(Table2[[#This Row],[Description]],$Q$1:$S$101,2,FALSE))</f>
        <v/>
      </c>
      <c r="H7345" s="1" t="str">
        <f>IF(Table2[[#This Row],[Description]]="","",VLOOKUP(Table2[[#This Row],[Description]],$Q$1:$S$101,3,FALSE))</f>
        <v/>
      </c>
      <c r="I7345" s="1" t="str">
        <f>IF(Table2[[#This Row],[Description]]="","",IF(Table2[[#This Row],[Currency]]=$O$2,$P$2,HLOOKUP(Table2[[#This Row],[Date]],Funds!$C$10:$GV$11,2,FALSE)))</f>
        <v/>
      </c>
      <c r="J7345" s="215" t="str">
        <f>IF(Table2[[#This Row],[Description]]="","",Table2[[#This Row],[Value]]/Table2[[#This Row],[Conversion]])</f>
        <v/>
      </c>
      <c r="K7345" s="45" t="str">
        <f>IF(Table2[[#This Row],[Description]]="","",DATE(Table2[[#This Row],[Year]],Table2[[#This Row],[Month]],1))</f>
        <v/>
      </c>
    </row>
    <row r="7346" spans="7:11" x14ac:dyDescent="0.25">
      <c r="G7346" s="1" t="str">
        <f>IF(Table2[[#This Row],[Description]]="","",VLOOKUP(Table2[[#This Row],[Description]],$Q$1:$S$101,2,FALSE))</f>
        <v/>
      </c>
      <c r="H7346" s="1" t="str">
        <f>IF(Table2[[#This Row],[Description]]="","",VLOOKUP(Table2[[#This Row],[Description]],$Q$1:$S$101,3,FALSE))</f>
        <v/>
      </c>
      <c r="I7346" s="1" t="str">
        <f>IF(Table2[[#This Row],[Description]]="","",IF(Table2[[#This Row],[Currency]]=$O$2,$P$2,HLOOKUP(Table2[[#This Row],[Date]],Funds!$C$10:$GV$11,2,FALSE)))</f>
        <v/>
      </c>
      <c r="J7346" s="215" t="str">
        <f>IF(Table2[[#This Row],[Description]]="","",Table2[[#This Row],[Value]]/Table2[[#This Row],[Conversion]])</f>
        <v/>
      </c>
      <c r="K7346" s="45" t="str">
        <f>IF(Table2[[#This Row],[Description]]="","",DATE(Table2[[#This Row],[Year]],Table2[[#This Row],[Month]],1))</f>
        <v/>
      </c>
    </row>
    <row r="7347" spans="7:11" x14ac:dyDescent="0.25">
      <c r="G7347" s="1" t="str">
        <f>IF(Table2[[#This Row],[Description]]="","",VLOOKUP(Table2[[#This Row],[Description]],$Q$1:$S$101,2,FALSE))</f>
        <v/>
      </c>
      <c r="H7347" s="1" t="str">
        <f>IF(Table2[[#This Row],[Description]]="","",VLOOKUP(Table2[[#This Row],[Description]],$Q$1:$S$101,3,FALSE))</f>
        <v/>
      </c>
      <c r="I7347" s="1" t="str">
        <f>IF(Table2[[#This Row],[Description]]="","",IF(Table2[[#This Row],[Currency]]=$O$2,$P$2,HLOOKUP(Table2[[#This Row],[Date]],Funds!$C$10:$GV$11,2,FALSE)))</f>
        <v/>
      </c>
      <c r="J7347" s="215" t="str">
        <f>IF(Table2[[#This Row],[Description]]="","",Table2[[#This Row],[Value]]/Table2[[#This Row],[Conversion]])</f>
        <v/>
      </c>
      <c r="K7347" s="45" t="str">
        <f>IF(Table2[[#This Row],[Description]]="","",DATE(Table2[[#This Row],[Year]],Table2[[#This Row],[Month]],1))</f>
        <v/>
      </c>
    </row>
    <row r="7348" spans="7:11" x14ac:dyDescent="0.25">
      <c r="G7348" s="1" t="str">
        <f>IF(Table2[[#This Row],[Description]]="","",VLOOKUP(Table2[[#This Row],[Description]],$Q$1:$S$101,2,FALSE))</f>
        <v/>
      </c>
      <c r="H7348" s="1" t="str">
        <f>IF(Table2[[#This Row],[Description]]="","",VLOOKUP(Table2[[#This Row],[Description]],$Q$1:$S$101,3,FALSE))</f>
        <v/>
      </c>
      <c r="I7348" s="1" t="str">
        <f>IF(Table2[[#This Row],[Description]]="","",IF(Table2[[#This Row],[Currency]]=$O$2,$P$2,HLOOKUP(Table2[[#This Row],[Date]],Funds!$C$10:$GV$11,2,FALSE)))</f>
        <v/>
      </c>
      <c r="J7348" s="215" t="str">
        <f>IF(Table2[[#This Row],[Description]]="","",Table2[[#This Row],[Value]]/Table2[[#This Row],[Conversion]])</f>
        <v/>
      </c>
      <c r="K7348" s="45" t="str">
        <f>IF(Table2[[#This Row],[Description]]="","",DATE(Table2[[#This Row],[Year]],Table2[[#This Row],[Month]],1))</f>
        <v/>
      </c>
    </row>
    <row r="7349" spans="7:11" x14ac:dyDescent="0.25">
      <c r="G7349" s="1" t="str">
        <f>IF(Table2[[#This Row],[Description]]="","",VLOOKUP(Table2[[#This Row],[Description]],$Q$1:$S$101,2,FALSE))</f>
        <v/>
      </c>
      <c r="H7349" s="1" t="str">
        <f>IF(Table2[[#This Row],[Description]]="","",VLOOKUP(Table2[[#This Row],[Description]],$Q$1:$S$101,3,FALSE))</f>
        <v/>
      </c>
      <c r="I7349" s="1" t="str">
        <f>IF(Table2[[#This Row],[Description]]="","",IF(Table2[[#This Row],[Currency]]=$O$2,$P$2,HLOOKUP(Table2[[#This Row],[Date]],Funds!$C$10:$GV$11,2,FALSE)))</f>
        <v/>
      </c>
      <c r="J7349" s="215" t="str">
        <f>IF(Table2[[#This Row],[Description]]="","",Table2[[#This Row],[Value]]/Table2[[#This Row],[Conversion]])</f>
        <v/>
      </c>
      <c r="K7349" s="45" t="str">
        <f>IF(Table2[[#This Row],[Description]]="","",DATE(Table2[[#This Row],[Year]],Table2[[#This Row],[Month]],1))</f>
        <v/>
      </c>
    </row>
    <row r="7350" spans="7:11" x14ac:dyDescent="0.25">
      <c r="G7350" s="1" t="str">
        <f>IF(Table2[[#This Row],[Description]]="","",VLOOKUP(Table2[[#This Row],[Description]],$Q$1:$S$101,2,FALSE))</f>
        <v/>
      </c>
      <c r="H7350" s="1" t="str">
        <f>IF(Table2[[#This Row],[Description]]="","",VLOOKUP(Table2[[#This Row],[Description]],$Q$1:$S$101,3,FALSE))</f>
        <v/>
      </c>
      <c r="I7350" s="1" t="str">
        <f>IF(Table2[[#This Row],[Description]]="","",IF(Table2[[#This Row],[Currency]]=$O$2,$P$2,HLOOKUP(Table2[[#This Row],[Date]],Funds!$C$10:$GV$11,2,FALSE)))</f>
        <v/>
      </c>
      <c r="J7350" s="215" t="str">
        <f>IF(Table2[[#This Row],[Description]]="","",Table2[[#This Row],[Value]]/Table2[[#This Row],[Conversion]])</f>
        <v/>
      </c>
      <c r="K7350" s="45" t="str">
        <f>IF(Table2[[#This Row],[Description]]="","",DATE(Table2[[#This Row],[Year]],Table2[[#This Row],[Month]],1))</f>
        <v/>
      </c>
    </row>
    <row r="7351" spans="7:11" x14ac:dyDescent="0.25">
      <c r="G7351" s="1" t="str">
        <f>IF(Table2[[#This Row],[Description]]="","",VLOOKUP(Table2[[#This Row],[Description]],$Q$1:$S$101,2,FALSE))</f>
        <v/>
      </c>
      <c r="H7351" s="1" t="str">
        <f>IF(Table2[[#This Row],[Description]]="","",VLOOKUP(Table2[[#This Row],[Description]],$Q$1:$S$101,3,FALSE))</f>
        <v/>
      </c>
      <c r="I7351" s="1" t="str">
        <f>IF(Table2[[#This Row],[Description]]="","",IF(Table2[[#This Row],[Currency]]=$O$2,$P$2,HLOOKUP(Table2[[#This Row],[Date]],Funds!$C$10:$GV$11,2,FALSE)))</f>
        <v/>
      </c>
      <c r="J7351" s="215" t="str">
        <f>IF(Table2[[#This Row],[Description]]="","",Table2[[#This Row],[Value]]/Table2[[#This Row],[Conversion]])</f>
        <v/>
      </c>
      <c r="K7351" s="45" t="str">
        <f>IF(Table2[[#This Row],[Description]]="","",DATE(Table2[[#This Row],[Year]],Table2[[#This Row],[Month]],1))</f>
        <v/>
      </c>
    </row>
    <row r="7352" spans="7:11" x14ac:dyDescent="0.25">
      <c r="G7352" s="1" t="str">
        <f>IF(Table2[[#This Row],[Description]]="","",VLOOKUP(Table2[[#This Row],[Description]],$Q$1:$S$101,2,FALSE))</f>
        <v/>
      </c>
      <c r="H7352" s="1" t="str">
        <f>IF(Table2[[#This Row],[Description]]="","",VLOOKUP(Table2[[#This Row],[Description]],$Q$1:$S$101,3,FALSE))</f>
        <v/>
      </c>
      <c r="I7352" s="1" t="str">
        <f>IF(Table2[[#This Row],[Description]]="","",IF(Table2[[#This Row],[Currency]]=$O$2,$P$2,HLOOKUP(Table2[[#This Row],[Date]],Funds!$C$10:$GV$11,2,FALSE)))</f>
        <v/>
      </c>
      <c r="J7352" s="215" t="str">
        <f>IF(Table2[[#This Row],[Description]]="","",Table2[[#This Row],[Value]]/Table2[[#This Row],[Conversion]])</f>
        <v/>
      </c>
      <c r="K7352" s="45" t="str">
        <f>IF(Table2[[#This Row],[Description]]="","",DATE(Table2[[#This Row],[Year]],Table2[[#This Row],[Month]],1))</f>
        <v/>
      </c>
    </row>
    <row r="7353" spans="7:11" x14ac:dyDescent="0.25">
      <c r="G7353" s="1" t="str">
        <f>IF(Table2[[#This Row],[Description]]="","",VLOOKUP(Table2[[#This Row],[Description]],$Q$1:$S$101,2,FALSE))</f>
        <v/>
      </c>
      <c r="H7353" s="1" t="str">
        <f>IF(Table2[[#This Row],[Description]]="","",VLOOKUP(Table2[[#This Row],[Description]],$Q$1:$S$101,3,FALSE))</f>
        <v/>
      </c>
      <c r="I7353" s="1" t="str">
        <f>IF(Table2[[#This Row],[Description]]="","",IF(Table2[[#This Row],[Currency]]=$O$2,$P$2,HLOOKUP(Table2[[#This Row],[Date]],Funds!$C$10:$GV$11,2,FALSE)))</f>
        <v/>
      </c>
      <c r="J7353" s="215" t="str">
        <f>IF(Table2[[#This Row],[Description]]="","",Table2[[#This Row],[Value]]/Table2[[#This Row],[Conversion]])</f>
        <v/>
      </c>
      <c r="K7353" s="45" t="str">
        <f>IF(Table2[[#This Row],[Description]]="","",DATE(Table2[[#This Row],[Year]],Table2[[#This Row],[Month]],1))</f>
        <v/>
      </c>
    </row>
    <row r="7354" spans="7:11" x14ac:dyDescent="0.25">
      <c r="G7354" s="1" t="str">
        <f>IF(Table2[[#This Row],[Description]]="","",VLOOKUP(Table2[[#This Row],[Description]],$Q$1:$S$101,2,FALSE))</f>
        <v/>
      </c>
      <c r="H7354" s="1" t="str">
        <f>IF(Table2[[#This Row],[Description]]="","",VLOOKUP(Table2[[#This Row],[Description]],$Q$1:$S$101,3,FALSE))</f>
        <v/>
      </c>
      <c r="I7354" s="1" t="str">
        <f>IF(Table2[[#This Row],[Description]]="","",IF(Table2[[#This Row],[Currency]]=$O$2,$P$2,HLOOKUP(Table2[[#This Row],[Date]],Funds!$C$10:$GV$11,2,FALSE)))</f>
        <v/>
      </c>
      <c r="J7354" s="215" t="str">
        <f>IF(Table2[[#This Row],[Description]]="","",Table2[[#This Row],[Value]]/Table2[[#This Row],[Conversion]])</f>
        <v/>
      </c>
      <c r="K7354" s="45" t="str">
        <f>IF(Table2[[#This Row],[Description]]="","",DATE(Table2[[#This Row],[Year]],Table2[[#This Row],[Month]],1))</f>
        <v/>
      </c>
    </row>
    <row r="7355" spans="7:11" x14ac:dyDescent="0.25">
      <c r="G7355" s="1" t="str">
        <f>IF(Table2[[#This Row],[Description]]="","",VLOOKUP(Table2[[#This Row],[Description]],$Q$1:$S$101,2,FALSE))</f>
        <v/>
      </c>
      <c r="H7355" s="1" t="str">
        <f>IF(Table2[[#This Row],[Description]]="","",VLOOKUP(Table2[[#This Row],[Description]],$Q$1:$S$101,3,FALSE))</f>
        <v/>
      </c>
      <c r="I7355" s="1" t="str">
        <f>IF(Table2[[#This Row],[Description]]="","",IF(Table2[[#This Row],[Currency]]=$O$2,$P$2,HLOOKUP(Table2[[#This Row],[Date]],Funds!$C$10:$GV$11,2,FALSE)))</f>
        <v/>
      </c>
      <c r="J7355" s="215" t="str">
        <f>IF(Table2[[#This Row],[Description]]="","",Table2[[#This Row],[Value]]/Table2[[#This Row],[Conversion]])</f>
        <v/>
      </c>
      <c r="K7355" s="45" t="str">
        <f>IF(Table2[[#This Row],[Description]]="","",DATE(Table2[[#This Row],[Year]],Table2[[#This Row],[Month]],1))</f>
        <v/>
      </c>
    </row>
    <row r="7356" spans="7:11" x14ac:dyDescent="0.25">
      <c r="G7356" s="1" t="str">
        <f>IF(Table2[[#This Row],[Description]]="","",VLOOKUP(Table2[[#This Row],[Description]],$Q$1:$S$101,2,FALSE))</f>
        <v/>
      </c>
      <c r="H7356" s="1" t="str">
        <f>IF(Table2[[#This Row],[Description]]="","",VLOOKUP(Table2[[#This Row],[Description]],$Q$1:$S$101,3,FALSE))</f>
        <v/>
      </c>
      <c r="I7356" s="1" t="str">
        <f>IF(Table2[[#This Row],[Description]]="","",IF(Table2[[#This Row],[Currency]]=$O$2,$P$2,HLOOKUP(Table2[[#This Row],[Date]],Funds!$C$10:$GV$11,2,FALSE)))</f>
        <v/>
      </c>
      <c r="J7356" s="215" t="str">
        <f>IF(Table2[[#This Row],[Description]]="","",Table2[[#This Row],[Value]]/Table2[[#This Row],[Conversion]])</f>
        <v/>
      </c>
      <c r="K7356" s="45" t="str">
        <f>IF(Table2[[#This Row],[Description]]="","",DATE(Table2[[#This Row],[Year]],Table2[[#This Row],[Month]],1))</f>
        <v/>
      </c>
    </row>
    <row r="7357" spans="7:11" x14ac:dyDescent="0.25">
      <c r="G7357" s="1" t="str">
        <f>IF(Table2[[#This Row],[Description]]="","",VLOOKUP(Table2[[#This Row],[Description]],$Q$1:$S$101,2,FALSE))</f>
        <v/>
      </c>
      <c r="H7357" s="1" t="str">
        <f>IF(Table2[[#This Row],[Description]]="","",VLOOKUP(Table2[[#This Row],[Description]],$Q$1:$S$101,3,FALSE))</f>
        <v/>
      </c>
      <c r="I7357" s="1" t="str">
        <f>IF(Table2[[#This Row],[Description]]="","",IF(Table2[[#This Row],[Currency]]=$O$2,$P$2,HLOOKUP(Table2[[#This Row],[Date]],Funds!$C$10:$GV$11,2,FALSE)))</f>
        <v/>
      </c>
      <c r="J7357" s="215" t="str">
        <f>IF(Table2[[#This Row],[Description]]="","",Table2[[#This Row],[Value]]/Table2[[#This Row],[Conversion]])</f>
        <v/>
      </c>
      <c r="K7357" s="45" t="str">
        <f>IF(Table2[[#This Row],[Description]]="","",DATE(Table2[[#This Row],[Year]],Table2[[#This Row],[Month]],1))</f>
        <v/>
      </c>
    </row>
    <row r="7358" spans="7:11" x14ac:dyDescent="0.25">
      <c r="G7358" s="1" t="str">
        <f>IF(Table2[[#This Row],[Description]]="","",VLOOKUP(Table2[[#This Row],[Description]],$Q$1:$S$101,2,FALSE))</f>
        <v/>
      </c>
      <c r="H7358" s="1" t="str">
        <f>IF(Table2[[#This Row],[Description]]="","",VLOOKUP(Table2[[#This Row],[Description]],$Q$1:$S$101,3,FALSE))</f>
        <v/>
      </c>
      <c r="I7358" s="1" t="str">
        <f>IF(Table2[[#This Row],[Description]]="","",IF(Table2[[#This Row],[Currency]]=$O$2,$P$2,HLOOKUP(Table2[[#This Row],[Date]],Funds!$C$10:$GV$11,2,FALSE)))</f>
        <v/>
      </c>
      <c r="J7358" s="215" t="str">
        <f>IF(Table2[[#This Row],[Description]]="","",Table2[[#This Row],[Value]]/Table2[[#This Row],[Conversion]])</f>
        <v/>
      </c>
      <c r="K7358" s="45" t="str">
        <f>IF(Table2[[#This Row],[Description]]="","",DATE(Table2[[#This Row],[Year]],Table2[[#This Row],[Month]],1))</f>
        <v/>
      </c>
    </row>
    <row r="7359" spans="7:11" x14ac:dyDescent="0.25">
      <c r="G7359" s="1" t="str">
        <f>IF(Table2[[#This Row],[Description]]="","",VLOOKUP(Table2[[#This Row],[Description]],$Q$1:$S$101,2,FALSE))</f>
        <v/>
      </c>
      <c r="H7359" s="1" t="str">
        <f>IF(Table2[[#This Row],[Description]]="","",VLOOKUP(Table2[[#This Row],[Description]],$Q$1:$S$101,3,FALSE))</f>
        <v/>
      </c>
      <c r="I7359" s="1" t="str">
        <f>IF(Table2[[#This Row],[Description]]="","",IF(Table2[[#This Row],[Currency]]=$O$2,$P$2,HLOOKUP(Table2[[#This Row],[Date]],Funds!$C$10:$GV$11,2,FALSE)))</f>
        <v/>
      </c>
      <c r="J7359" s="215" t="str">
        <f>IF(Table2[[#This Row],[Description]]="","",Table2[[#This Row],[Value]]/Table2[[#This Row],[Conversion]])</f>
        <v/>
      </c>
      <c r="K7359" s="45" t="str">
        <f>IF(Table2[[#This Row],[Description]]="","",DATE(Table2[[#This Row],[Year]],Table2[[#This Row],[Month]],1))</f>
        <v/>
      </c>
    </row>
    <row r="7360" spans="7:11" x14ac:dyDescent="0.25">
      <c r="G7360" s="1" t="str">
        <f>IF(Table2[[#This Row],[Description]]="","",VLOOKUP(Table2[[#This Row],[Description]],$Q$1:$S$101,2,FALSE))</f>
        <v/>
      </c>
      <c r="H7360" s="1" t="str">
        <f>IF(Table2[[#This Row],[Description]]="","",VLOOKUP(Table2[[#This Row],[Description]],$Q$1:$S$101,3,FALSE))</f>
        <v/>
      </c>
      <c r="I7360" s="1" t="str">
        <f>IF(Table2[[#This Row],[Description]]="","",IF(Table2[[#This Row],[Currency]]=$O$2,$P$2,HLOOKUP(Table2[[#This Row],[Date]],Funds!$C$10:$GV$11,2,FALSE)))</f>
        <v/>
      </c>
      <c r="J7360" s="215" t="str">
        <f>IF(Table2[[#This Row],[Description]]="","",Table2[[#This Row],[Value]]/Table2[[#This Row],[Conversion]])</f>
        <v/>
      </c>
      <c r="K7360" s="45" t="str">
        <f>IF(Table2[[#This Row],[Description]]="","",DATE(Table2[[#This Row],[Year]],Table2[[#This Row],[Month]],1))</f>
        <v/>
      </c>
    </row>
    <row r="7361" spans="7:11" x14ac:dyDescent="0.25">
      <c r="G7361" s="1" t="str">
        <f>IF(Table2[[#This Row],[Description]]="","",VLOOKUP(Table2[[#This Row],[Description]],$Q$1:$S$101,2,FALSE))</f>
        <v/>
      </c>
      <c r="H7361" s="1" t="str">
        <f>IF(Table2[[#This Row],[Description]]="","",VLOOKUP(Table2[[#This Row],[Description]],$Q$1:$S$101,3,FALSE))</f>
        <v/>
      </c>
      <c r="I7361" s="1" t="str">
        <f>IF(Table2[[#This Row],[Description]]="","",IF(Table2[[#This Row],[Currency]]=$O$2,$P$2,HLOOKUP(Table2[[#This Row],[Date]],Funds!$C$10:$GV$11,2,FALSE)))</f>
        <v/>
      </c>
      <c r="J7361" s="215" t="str">
        <f>IF(Table2[[#This Row],[Description]]="","",Table2[[#This Row],[Value]]/Table2[[#This Row],[Conversion]])</f>
        <v/>
      </c>
      <c r="K7361" s="45" t="str">
        <f>IF(Table2[[#This Row],[Description]]="","",DATE(Table2[[#This Row],[Year]],Table2[[#This Row],[Month]],1))</f>
        <v/>
      </c>
    </row>
    <row r="7362" spans="7:11" x14ac:dyDescent="0.25">
      <c r="G7362" s="1" t="str">
        <f>IF(Table2[[#This Row],[Description]]="","",VLOOKUP(Table2[[#This Row],[Description]],$Q$1:$S$101,2,FALSE))</f>
        <v/>
      </c>
      <c r="H7362" s="1" t="str">
        <f>IF(Table2[[#This Row],[Description]]="","",VLOOKUP(Table2[[#This Row],[Description]],$Q$1:$S$101,3,FALSE))</f>
        <v/>
      </c>
      <c r="I7362" s="1" t="str">
        <f>IF(Table2[[#This Row],[Description]]="","",IF(Table2[[#This Row],[Currency]]=$O$2,$P$2,HLOOKUP(Table2[[#This Row],[Date]],Funds!$C$10:$GV$11,2,FALSE)))</f>
        <v/>
      </c>
      <c r="J7362" s="215" t="str">
        <f>IF(Table2[[#This Row],[Description]]="","",Table2[[#This Row],[Value]]/Table2[[#This Row],[Conversion]])</f>
        <v/>
      </c>
      <c r="K7362" s="45" t="str">
        <f>IF(Table2[[#This Row],[Description]]="","",DATE(Table2[[#This Row],[Year]],Table2[[#This Row],[Month]],1))</f>
        <v/>
      </c>
    </row>
    <row r="7363" spans="7:11" x14ac:dyDescent="0.25">
      <c r="G7363" s="1" t="str">
        <f>IF(Table2[[#This Row],[Description]]="","",VLOOKUP(Table2[[#This Row],[Description]],$Q$1:$S$101,2,FALSE))</f>
        <v/>
      </c>
      <c r="H7363" s="1" t="str">
        <f>IF(Table2[[#This Row],[Description]]="","",VLOOKUP(Table2[[#This Row],[Description]],$Q$1:$S$101,3,FALSE))</f>
        <v/>
      </c>
      <c r="I7363" s="1" t="str">
        <f>IF(Table2[[#This Row],[Description]]="","",IF(Table2[[#This Row],[Currency]]=$O$2,$P$2,HLOOKUP(Table2[[#This Row],[Date]],Funds!$C$10:$GV$11,2,FALSE)))</f>
        <v/>
      </c>
      <c r="J7363" s="215" t="str">
        <f>IF(Table2[[#This Row],[Description]]="","",Table2[[#This Row],[Value]]/Table2[[#This Row],[Conversion]])</f>
        <v/>
      </c>
      <c r="K7363" s="45" t="str">
        <f>IF(Table2[[#This Row],[Description]]="","",DATE(Table2[[#This Row],[Year]],Table2[[#This Row],[Month]],1))</f>
        <v/>
      </c>
    </row>
    <row r="7364" spans="7:11" x14ac:dyDescent="0.25">
      <c r="G7364" s="1" t="str">
        <f>IF(Table2[[#This Row],[Description]]="","",VLOOKUP(Table2[[#This Row],[Description]],$Q$1:$S$101,2,FALSE))</f>
        <v/>
      </c>
      <c r="H7364" s="1" t="str">
        <f>IF(Table2[[#This Row],[Description]]="","",VLOOKUP(Table2[[#This Row],[Description]],$Q$1:$S$101,3,FALSE))</f>
        <v/>
      </c>
      <c r="I7364" s="1" t="str">
        <f>IF(Table2[[#This Row],[Description]]="","",IF(Table2[[#This Row],[Currency]]=$O$2,$P$2,HLOOKUP(Table2[[#This Row],[Date]],Funds!$C$10:$GV$11,2,FALSE)))</f>
        <v/>
      </c>
      <c r="J7364" s="215" t="str">
        <f>IF(Table2[[#This Row],[Description]]="","",Table2[[#This Row],[Value]]/Table2[[#This Row],[Conversion]])</f>
        <v/>
      </c>
      <c r="K7364" s="45" t="str">
        <f>IF(Table2[[#This Row],[Description]]="","",DATE(Table2[[#This Row],[Year]],Table2[[#This Row],[Month]],1))</f>
        <v/>
      </c>
    </row>
    <row r="7365" spans="7:11" x14ac:dyDescent="0.25">
      <c r="G7365" s="1" t="str">
        <f>IF(Table2[[#This Row],[Description]]="","",VLOOKUP(Table2[[#This Row],[Description]],$Q$1:$S$101,2,FALSE))</f>
        <v/>
      </c>
      <c r="H7365" s="1" t="str">
        <f>IF(Table2[[#This Row],[Description]]="","",VLOOKUP(Table2[[#This Row],[Description]],$Q$1:$S$101,3,FALSE))</f>
        <v/>
      </c>
      <c r="I7365" s="1" t="str">
        <f>IF(Table2[[#This Row],[Description]]="","",IF(Table2[[#This Row],[Currency]]=$O$2,$P$2,HLOOKUP(Table2[[#This Row],[Date]],Funds!$C$10:$GV$11,2,FALSE)))</f>
        <v/>
      </c>
      <c r="J7365" s="215" t="str">
        <f>IF(Table2[[#This Row],[Description]]="","",Table2[[#This Row],[Value]]/Table2[[#This Row],[Conversion]])</f>
        <v/>
      </c>
      <c r="K7365" s="45" t="str">
        <f>IF(Table2[[#This Row],[Description]]="","",DATE(Table2[[#This Row],[Year]],Table2[[#This Row],[Month]],1))</f>
        <v/>
      </c>
    </row>
    <row r="7366" spans="7:11" x14ac:dyDescent="0.25">
      <c r="G7366" s="1" t="str">
        <f>IF(Table2[[#This Row],[Description]]="","",VLOOKUP(Table2[[#This Row],[Description]],$Q$1:$S$101,2,FALSE))</f>
        <v/>
      </c>
      <c r="H7366" s="1" t="str">
        <f>IF(Table2[[#This Row],[Description]]="","",VLOOKUP(Table2[[#This Row],[Description]],$Q$1:$S$101,3,FALSE))</f>
        <v/>
      </c>
      <c r="I7366" s="1" t="str">
        <f>IF(Table2[[#This Row],[Description]]="","",IF(Table2[[#This Row],[Currency]]=$O$2,$P$2,HLOOKUP(Table2[[#This Row],[Date]],Funds!$C$10:$GV$11,2,FALSE)))</f>
        <v/>
      </c>
      <c r="J7366" s="215" t="str">
        <f>IF(Table2[[#This Row],[Description]]="","",Table2[[#This Row],[Value]]/Table2[[#This Row],[Conversion]])</f>
        <v/>
      </c>
      <c r="K7366" s="45" t="str">
        <f>IF(Table2[[#This Row],[Description]]="","",DATE(Table2[[#This Row],[Year]],Table2[[#This Row],[Month]],1))</f>
        <v/>
      </c>
    </row>
    <row r="7367" spans="7:11" x14ac:dyDescent="0.25">
      <c r="G7367" s="1" t="str">
        <f>IF(Table2[[#This Row],[Description]]="","",VLOOKUP(Table2[[#This Row],[Description]],$Q$1:$S$101,2,FALSE))</f>
        <v/>
      </c>
      <c r="H7367" s="1" t="str">
        <f>IF(Table2[[#This Row],[Description]]="","",VLOOKUP(Table2[[#This Row],[Description]],$Q$1:$S$101,3,FALSE))</f>
        <v/>
      </c>
      <c r="I7367" s="1" t="str">
        <f>IF(Table2[[#This Row],[Description]]="","",IF(Table2[[#This Row],[Currency]]=$O$2,$P$2,HLOOKUP(Table2[[#This Row],[Date]],Funds!$C$10:$GV$11,2,FALSE)))</f>
        <v/>
      </c>
      <c r="J7367" s="215" t="str">
        <f>IF(Table2[[#This Row],[Description]]="","",Table2[[#This Row],[Value]]/Table2[[#This Row],[Conversion]])</f>
        <v/>
      </c>
      <c r="K7367" s="45" t="str">
        <f>IF(Table2[[#This Row],[Description]]="","",DATE(Table2[[#This Row],[Year]],Table2[[#This Row],[Month]],1))</f>
        <v/>
      </c>
    </row>
    <row r="7368" spans="7:11" x14ac:dyDescent="0.25">
      <c r="G7368" s="1" t="str">
        <f>IF(Table2[[#This Row],[Description]]="","",VLOOKUP(Table2[[#This Row],[Description]],$Q$1:$S$101,2,FALSE))</f>
        <v/>
      </c>
      <c r="H7368" s="1" t="str">
        <f>IF(Table2[[#This Row],[Description]]="","",VLOOKUP(Table2[[#This Row],[Description]],$Q$1:$S$101,3,FALSE))</f>
        <v/>
      </c>
      <c r="I7368" s="1" t="str">
        <f>IF(Table2[[#This Row],[Description]]="","",IF(Table2[[#This Row],[Currency]]=$O$2,$P$2,HLOOKUP(Table2[[#This Row],[Date]],Funds!$C$10:$GV$11,2,FALSE)))</f>
        <v/>
      </c>
      <c r="J7368" s="215" t="str">
        <f>IF(Table2[[#This Row],[Description]]="","",Table2[[#This Row],[Value]]/Table2[[#This Row],[Conversion]])</f>
        <v/>
      </c>
      <c r="K7368" s="45" t="str">
        <f>IF(Table2[[#This Row],[Description]]="","",DATE(Table2[[#This Row],[Year]],Table2[[#This Row],[Month]],1))</f>
        <v/>
      </c>
    </row>
    <row r="7369" spans="7:11" x14ac:dyDescent="0.25">
      <c r="G7369" s="1" t="str">
        <f>IF(Table2[[#This Row],[Description]]="","",VLOOKUP(Table2[[#This Row],[Description]],$Q$1:$S$101,2,FALSE))</f>
        <v/>
      </c>
      <c r="H7369" s="1" t="str">
        <f>IF(Table2[[#This Row],[Description]]="","",VLOOKUP(Table2[[#This Row],[Description]],$Q$1:$S$101,3,FALSE))</f>
        <v/>
      </c>
      <c r="I7369" s="1" t="str">
        <f>IF(Table2[[#This Row],[Description]]="","",IF(Table2[[#This Row],[Currency]]=$O$2,$P$2,HLOOKUP(Table2[[#This Row],[Date]],Funds!$C$10:$GV$11,2,FALSE)))</f>
        <v/>
      </c>
      <c r="J7369" s="215" t="str">
        <f>IF(Table2[[#This Row],[Description]]="","",Table2[[#This Row],[Value]]/Table2[[#This Row],[Conversion]])</f>
        <v/>
      </c>
      <c r="K7369" s="45" t="str">
        <f>IF(Table2[[#This Row],[Description]]="","",DATE(Table2[[#This Row],[Year]],Table2[[#This Row],[Month]],1))</f>
        <v/>
      </c>
    </row>
    <row r="7370" spans="7:11" x14ac:dyDescent="0.25">
      <c r="G7370" s="1" t="str">
        <f>IF(Table2[[#This Row],[Description]]="","",VLOOKUP(Table2[[#This Row],[Description]],$Q$1:$S$101,2,FALSE))</f>
        <v/>
      </c>
      <c r="H7370" s="1" t="str">
        <f>IF(Table2[[#This Row],[Description]]="","",VLOOKUP(Table2[[#This Row],[Description]],$Q$1:$S$101,3,FALSE))</f>
        <v/>
      </c>
      <c r="I7370" s="1" t="str">
        <f>IF(Table2[[#This Row],[Description]]="","",IF(Table2[[#This Row],[Currency]]=$O$2,$P$2,HLOOKUP(Table2[[#This Row],[Date]],Funds!$C$10:$GV$11,2,FALSE)))</f>
        <v/>
      </c>
      <c r="J7370" s="215" t="str">
        <f>IF(Table2[[#This Row],[Description]]="","",Table2[[#This Row],[Value]]/Table2[[#This Row],[Conversion]])</f>
        <v/>
      </c>
      <c r="K7370" s="45" t="str">
        <f>IF(Table2[[#This Row],[Description]]="","",DATE(Table2[[#This Row],[Year]],Table2[[#This Row],[Month]],1))</f>
        <v/>
      </c>
    </row>
    <row r="7371" spans="7:11" x14ac:dyDescent="0.25">
      <c r="G7371" s="1" t="str">
        <f>IF(Table2[[#This Row],[Description]]="","",VLOOKUP(Table2[[#This Row],[Description]],$Q$1:$S$101,2,FALSE))</f>
        <v/>
      </c>
      <c r="H7371" s="1" t="str">
        <f>IF(Table2[[#This Row],[Description]]="","",VLOOKUP(Table2[[#This Row],[Description]],$Q$1:$S$101,3,FALSE))</f>
        <v/>
      </c>
      <c r="I7371" s="1" t="str">
        <f>IF(Table2[[#This Row],[Description]]="","",IF(Table2[[#This Row],[Currency]]=$O$2,$P$2,HLOOKUP(Table2[[#This Row],[Date]],Funds!$C$10:$GV$11,2,FALSE)))</f>
        <v/>
      </c>
      <c r="J7371" s="215" t="str">
        <f>IF(Table2[[#This Row],[Description]]="","",Table2[[#This Row],[Value]]/Table2[[#This Row],[Conversion]])</f>
        <v/>
      </c>
      <c r="K7371" s="45" t="str">
        <f>IF(Table2[[#This Row],[Description]]="","",DATE(Table2[[#This Row],[Year]],Table2[[#This Row],[Month]],1))</f>
        <v/>
      </c>
    </row>
    <row r="7372" spans="7:11" x14ac:dyDescent="0.25">
      <c r="G7372" s="1" t="str">
        <f>IF(Table2[[#This Row],[Description]]="","",VLOOKUP(Table2[[#This Row],[Description]],$Q$1:$S$101,2,FALSE))</f>
        <v/>
      </c>
      <c r="H7372" s="1" t="str">
        <f>IF(Table2[[#This Row],[Description]]="","",VLOOKUP(Table2[[#This Row],[Description]],$Q$1:$S$101,3,FALSE))</f>
        <v/>
      </c>
      <c r="I7372" s="1" t="str">
        <f>IF(Table2[[#This Row],[Description]]="","",IF(Table2[[#This Row],[Currency]]=$O$2,$P$2,HLOOKUP(Table2[[#This Row],[Date]],Funds!$C$10:$GV$11,2,FALSE)))</f>
        <v/>
      </c>
      <c r="J7372" s="215" t="str">
        <f>IF(Table2[[#This Row],[Description]]="","",Table2[[#This Row],[Value]]/Table2[[#This Row],[Conversion]])</f>
        <v/>
      </c>
      <c r="K7372" s="45" t="str">
        <f>IF(Table2[[#This Row],[Description]]="","",DATE(Table2[[#This Row],[Year]],Table2[[#This Row],[Month]],1))</f>
        <v/>
      </c>
    </row>
    <row r="7373" spans="7:11" x14ac:dyDescent="0.25">
      <c r="G7373" s="1" t="str">
        <f>IF(Table2[[#This Row],[Description]]="","",VLOOKUP(Table2[[#This Row],[Description]],$Q$1:$S$101,2,FALSE))</f>
        <v/>
      </c>
      <c r="H7373" s="1" t="str">
        <f>IF(Table2[[#This Row],[Description]]="","",VLOOKUP(Table2[[#This Row],[Description]],$Q$1:$S$101,3,FALSE))</f>
        <v/>
      </c>
      <c r="I7373" s="1" t="str">
        <f>IF(Table2[[#This Row],[Description]]="","",IF(Table2[[#This Row],[Currency]]=$O$2,$P$2,HLOOKUP(Table2[[#This Row],[Date]],Funds!$C$10:$GV$11,2,FALSE)))</f>
        <v/>
      </c>
      <c r="J7373" s="215" t="str">
        <f>IF(Table2[[#This Row],[Description]]="","",Table2[[#This Row],[Value]]/Table2[[#This Row],[Conversion]])</f>
        <v/>
      </c>
      <c r="K7373" s="45" t="str">
        <f>IF(Table2[[#This Row],[Description]]="","",DATE(Table2[[#This Row],[Year]],Table2[[#This Row],[Month]],1))</f>
        <v/>
      </c>
    </row>
    <row r="7374" spans="7:11" x14ac:dyDescent="0.25">
      <c r="G7374" s="1" t="str">
        <f>IF(Table2[[#This Row],[Description]]="","",VLOOKUP(Table2[[#This Row],[Description]],$Q$1:$S$101,2,FALSE))</f>
        <v/>
      </c>
      <c r="H7374" s="1" t="str">
        <f>IF(Table2[[#This Row],[Description]]="","",VLOOKUP(Table2[[#This Row],[Description]],$Q$1:$S$101,3,FALSE))</f>
        <v/>
      </c>
      <c r="I7374" s="1" t="str">
        <f>IF(Table2[[#This Row],[Description]]="","",IF(Table2[[#This Row],[Currency]]=$O$2,$P$2,HLOOKUP(Table2[[#This Row],[Date]],Funds!$C$10:$GV$11,2,FALSE)))</f>
        <v/>
      </c>
      <c r="J7374" s="215" t="str">
        <f>IF(Table2[[#This Row],[Description]]="","",Table2[[#This Row],[Value]]/Table2[[#This Row],[Conversion]])</f>
        <v/>
      </c>
      <c r="K7374" s="45" t="str">
        <f>IF(Table2[[#This Row],[Description]]="","",DATE(Table2[[#This Row],[Year]],Table2[[#This Row],[Month]],1))</f>
        <v/>
      </c>
    </row>
    <row r="7375" spans="7:11" x14ac:dyDescent="0.25">
      <c r="G7375" s="1" t="str">
        <f>IF(Table2[[#This Row],[Description]]="","",VLOOKUP(Table2[[#This Row],[Description]],$Q$1:$S$101,2,FALSE))</f>
        <v/>
      </c>
      <c r="H7375" s="1" t="str">
        <f>IF(Table2[[#This Row],[Description]]="","",VLOOKUP(Table2[[#This Row],[Description]],$Q$1:$S$101,3,FALSE))</f>
        <v/>
      </c>
      <c r="I7375" s="1" t="str">
        <f>IF(Table2[[#This Row],[Description]]="","",IF(Table2[[#This Row],[Currency]]=$O$2,$P$2,HLOOKUP(Table2[[#This Row],[Date]],Funds!$C$10:$GV$11,2,FALSE)))</f>
        <v/>
      </c>
      <c r="J7375" s="215" t="str">
        <f>IF(Table2[[#This Row],[Description]]="","",Table2[[#This Row],[Value]]/Table2[[#This Row],[Conversion]])</f>
        <v/>
      </c>
      <c r="K7375" s="45" t="str">
        <f>IF(Table2[[#This Row],[Description]]="","",DATE(Table2[[#This Row],[Year]],Table2[[#This Row],[Month]],1))</f>
        <v/>
      </c>
    </row>
    <row r="7376" spans="7:11" x14ac:dyDescent="0.25">
      <c r="G7376" s="1" t="str">
        <f>IF(Table2[[#This Row],[Description]]="","",VLOOKUP(Table2[[#This Row],[Description]],$Q$1:$S$101,2,FALSE))</f>
        <v/>
      </c>
      <c r="H7376" s="1" t="str">
        <f>IF(Table2[[#This Row],[Description]]="","",VLOOKUP(Table2[[#This Row],[Description]],$Q$1:$S$101,3,FALSE))</f>
        <v/>
      </c>
      <c r="I7376" s="1" t="str">
        <f>IF(Table2[[#This Row],[Description]]="","",IF(Table2[[#This Row],[Currency]]=$O$2,$P$2,HLOOKUP(Table2[[#This Row],[Date]],Funds!$C$10:$GV$11,2,FALSE)))</f>
        <v/>
      </c>
      <c r="J7376" s="215" t="str">
        <f>IF(Table2[[#This Row],[Description]]="","",Table2[[#This Row],[Value]]/Table2[[#This Row],[Conversion]])</f>
        <v/>
      </c>
      <c r="K7376" s="45" t="str">
        <f>IF(Table2[[#This Row],[Description]]="","",DATE(Table2[[#This Row],[Year]],Table2[[#This Row],[Month]],1))</f>
        <v/>
      </c>
    </row>
    <row r="7377" spans="7:11" x14ac:dyDescent="0.25">
      <c r="G7377" s="1" t="str">
        <f>IF(Table2[[#This Row],[Description]]="","",VLOOKUP(Table2[[#This Row],[Description]],$Q$1:$S$101,2,FALSE))</f>
        <v/>
      </c>
      <c r="H7377" s="1" t="str">
        <f>IF(Table2[[#This Row],[Description]]="","",VLOOKUP(Table2[[#This Row],[Description]],$Q$1:$S$101,3,FALSE))</f>
        <v/>
      </c>
      <c r="I7377" s="1" t="str">
        <f>IF(Table2[[#This Row],[Description]]="","",IF(Table2[[#This Row],[Currency]]=$O$2,$P$2,HLOOKUP(Table2[[#This Row],[Date]],Funds!$C$10:$GV$11,2,FALSE)))</f>
        <v/>
      </c>
      <c r="J7377" s="215" t="str">
        <f>IF(Table2[[#This Row],[Description]]="","",Table2[[#This Row],[Value]]/Table2[[#This Row],[Conversion]])</f>
        <v/>
      </c>
      <c r="K7377" s="45" t="str">
        <f>IF(Table2[[#This Row],[Description]]="","",DATE(Table2[[#This Row],[Year]],Table2[[#This Row],[Month]],1))</f>
        <v/>
      </c>
    </row>
    <row r="7378" spans="7:11" x14ac:dyDescent="0.25">
      <c r="G7378" s="1" t="str">
        <f>IF(Table2[[#This Row],[Description]]="","",VLOOKUP(Table2[[#This Row],[Description]],$Q$1:$S$101,2,FALSE))</f>
        <v/>
      </c>
      <c r="H7378" s="1" t="str">
        <f>IF(Table2[[#This Row],[Description]]="","",VLOOKUP(Table2[[#This Row],[Description]],$Q$1:$S$101,3,FALSE))</f>
        <v/>
      </c>
      <c r="I7378" s="1" t="str">
        <f>IF(Table2[[#This Row],[Description]]="","",IF(Table2[[#This Row],[Currency]]=$O$2,$P$2,HLOOKUP(Table2[[#This Row],[Date]],Funds!$C$10:$GV$11,2,FALSE)))</f>
        <v/>
      </c>
      <c r="J7378" s="215" t="str">
        <f>IF(Table2[[#This Row],[Description]]="","",Table2[[#This Row],[Value]]/Table2[[#This Row],[Conversion]])</f>
        <v/>
      </c>
      <c r="K7378" s="45" t="str">
        <f>IF(Table2[[#This Row],[Description]]="","",DATE(Table2[[#This Row],[Year]],Table2[[#This Row],[Month]],1))</f>
        <v/>
      </c>
    </row>
    <row r="7379" spans="7:11" x14ac:dyDescent="0.25">
      <c r="G7379" s="1" t="str">
        <f>IF(Table2[[#This Row],[Description]]="","",VLOOKUP(Table2[[#This Row],[Description]],$Q$1:$S$101,2,FALSE))</f>
        <v/>
      </c>
      <c r="H7379" s="1" t="str">
        <f>IF(Table2[[#This Row],[Description]]="","",VLOOKUP(Table2[[#This Row],[Description]],$Q$1:$S$101,3,FALSE))</f>
        <v/>
      </c>
      <c r="I7379" s="1" t="str">
        <f>IF(Table2[[#This Row],[Description]]="","",IF(Table2[[#This Row],[Currency]]=$O$2,$P$2,HLOOKUP(Table2[[#This Row],[Date]],Funds!$C$10:$GV$11,2,FALSE)))</f>
        <v/>
      </c>
      <c r="J7379" s="215" t="str">
        <f>IF(Table2[[#This Row],[Description]]="","",Table2[[#This Row],[Value]]/Table2[[#This Row],[Conversion]])</f>
        <v/>
      </c>
      <c r="K7379" s="45" t="str">
        <f>IF(Table2[[#This Row],[Description]]="","",DATE(Table2[[#This Row],[Year]],Table2[[#This Row],[Month]],1))</f>
        <v/>
      </c>
    </row>
    <row r="7380" spans="7:11" x14ac:dyDescent="0.25">
      <c r="G7380" s="1" t="str">
        <f>IF(Table2[[#This Row],[Description]]="","",VLOOKUP(Table2[[#This Row],[Description]],$Q$1:$S$101,2,FALSE))</f>
        <v/>
      </c>
      <c r="H7380" s="1" t="str">
        <f>IF(Table2[[#This Row],[Description]]="","",VLOOKUP(Table2[[#This Row],[Description]],$Q$1:$S$101,3,FALSE))</f>
        <v/>
      </c>
      <c r="I7380" s="1" t="str">
        <f>IF(Table2[[#This Row],[Description]]="","",IF(Table2[[#This Row],[Currency]]=$O$2,$P$2,HLOOKUP(Table2[[#This Row],[Date]],Funds!$C$10:$GV$11,2,FALSE)))</f>
        <v/>
      </c>
      <c r="J7380" s="215" t="str">
        <f>IF(Table2[[#This Row],[Description]]="","",Table2[[#This Row],[Value]]/Table2[[#This Row],[Conversion]])</f>
        <v/>
      </c>
      <c r="K7380" s="45" t="str">
        <f>IF(Table2[[#This Row],[Description]]="","",DATE(Table2[[#This Row],[Year]],Table2[[#This Row],[Month]],1))</f>
        <v/>
      </c>
    </row>
    <row r="7381" spans="7:11" x14ac:dyDescent="0.25">
      <c r="G7381" s="1" t="str">
        <f>IF(Table2[[#This Row],[Description]]="","",VLOOKUP(Table2[[#This Row],[Description]],$Q$1:$S$101,2,FALSE))</f>
        <v/>
      </c>
      <c r="H7381" s="1" t="str">
        <f>IF(Table2[[#This Row],[Description]]="","",VLOOKUP(Table2[[#This Row],[Description]],$Q$1:$S$101,3,FALSE))</f>
        <v/>
      </c>
      <c r="I7381" s="1" t="str">
        <f>IF(Table2[[#This Row],[Description]]="","",IF(Table2[[#This Row],[Currency]]=$O$2,$P$2,HLOOKUP(Table2[[#This Row],[Date]],Funds!$C$10:$GV$11,2,FALSE)))</f>
        <v/>
      </c>
      <c r="J7381" s="215" t="str">
        <f>IF(Table2[[#This Row],[Description]]="","",Table2[[#This Row],[Value]]/Table2[[#This Row],[Conversion]])</f>
        <v/>
      </c>
      <c r="K7381" s="45" t="str">
        <f>IF(Table2[[#This Row],[Description]]="","",DATE(Table2[[#This Row],[Year]],Table2[[#This Row],[Month]],1))</f>
        <v/>
      </c>
    </row>
    <row r="7382" spans="7:11" x14ac:dyDescent="0.25">
      <c r="G7382" s="1" t="str">
        <f>IF(Table2[[#This Row],[Description]]="","",VLOOKUP(Table2[[#This Row],[Description]],$Q$1:$S$101,2,FALSE))</f>
        <v/>
      </c>
      <c r="H7382" s="1" t="str">
        <f>IF(Table2[[#This Row],[Description]]="","",VLOOKUP(Table2[[#This Row],[Description]],$Q$1:$S$101,3,FALSE))</f>
        <v/>
      </c>
      <c r="I7382" s="1" t="str">
        <f>IF(Table2[[#This Row],[Description]]="","",IF(Table2[[#This Row],[Currency]]=$O$2,$P$2,HLOOKUP(Table2[[#This Row],[Date]],Funds!$C$10:$GV$11,2,FALSE)))</f>
        <v/>
      </c>
      <c r="J7382" s="215" t="str">
        <f>IF(Table2[[#This Row],[Description]]="","",Table2[[#This Row],[Value]]/Table2[[#This Row],[Conversion]])</f>
        <v/>
      </c>
      <c r="K7382" s="45" t="str">
        <f>IF(Table2[[#This Row],[Description]]="","",DATE(Table2[[#This Row],[Year]],Table2[[#This Row],[Month]],1))</f>
        <v/>
      </c>
    </row>
    <row r="7383" spans="7:11" x14ac:dyDescent="0.25">
      <c r="G7383" s="1" t="str">
        <f>IF(Table2[[#This Row],[Description]]="","",VLOOKUP(Table2[[#This Row],[Description]],$Q$1:$S$101,2,FALSE))</f>
        <v/>
      </c>
      <c r="H7383" s="1" t="str">
        <f>IF(Table2[[#This Row],[Description]]="","",VLOOKUP(Table2[[#This Row],[Description]],$Q$1:$S$101,3,FALSE))</f>
        <v/>
      </c>
      <c r="I7383" s="1" t="str">
        <f>IF(Table2[[#This Row],[Description]]="","",IF(Table2[[#This Row],[Currency]]=$O$2,$P$2,HLOOKUP(Table2[[#This Row],[Date]],Funds!$C$10:$GV$11,2,FALSE)))</f>
        <v/>
      </c>
      <c r="J7383" s="215" t="str">
        <f>IF(Table2[[#This Row],[Description]]="","",Table2[[#This Row],[Value]]/Table2[[#This Row],[Conversion]])</f>
        <v/>
      </c>
      <c r="K7383" s="45" t="str">
        <f>IF(Table2[[#This Row],[Description]]="","",DATE(Table2[[#This Row],[Year]],Table2[[#This Row],[Month]],1))</f>
        <v/>
      </c>
    </row>
    <row r="7384" spans="7:11" x14ac:dyDescent="0.25">
      <c r="G7384" s="1" t="str">
        <f>IF(Table2[[#This Row],[Description]]="","",VLOOKUP(Table2[[#This Row],[Description]],$Q$1:$S$101,2,FALSE))</f>
        <v/>
      </c>
      <c r="H7384" s="1" t="str">
        <f>IF(Table2[[#This Row],[Description]]="","",VLOOKUP(Table2[[#This Row],[Description]],$Q$1:$S$101,3,FALSE))</f>
        <v/>
      </c>
      <c r="I7384" s="1" t="str">
        <f>IF(Table2[[#This Row],[Description]]="","",IF(Table2[[#This Row],[Currency]]=$O$2,$P$2,HLOOKUP(Table2[[#This Row],[Date]],Funds!$C$10:$GV$11,2,FALSE)))</f>
        <v/>
      </c>
      <c r="J7384" s="215" t="str">
        <f>IF(Table2[[#This Row],[Description]]="","",Table2[[#This Row],[Value]]/Table2[[#This Row],[Conversion]])</f>
        <v/>
      </c>
      <c r="K7384" s="45" t="str">
        <f>IF(Table2[[#This Row],[Description]]="","",DATE(Table2[[#This Row],[Year]],Table2[[#This Row],[Month]],1))</f>
        <v/>
      </c>
    </row>
    <row r="7385" spans="7:11" x14ac:dyDescent="0.25">
      <c r="G7385" s="1" t="str">
        <f>IF(Table2[[#This Row],[Description]]="","",VLOOKUP(Table2[[#This Row],[Description]],$Q$1:$S$101,2,FALSE))</f>
        <v/>
      </c>
      <c r="H7385" s="1" t="str">
        <f>IF(Table2[[#This Row],[Description]]="","",VLOOKUP(Table2[[#This Row],[Description]],$Q$1:$S$101,3,FALSE))</f>
        <v/>
      </c>
      <c r="I7385" s="1" t="str">
        <f>IF(Table2[[#This Row],[Description]]="","",IF(Table2[[#This Row],[Currency]]=$O$2,$P$2,HLOOKUP(Table2[[#This Row],[Date]],Funds!$C$10:$GV$11,2,FALSE)))</f>
        <v/>
      </c>
      <c r="J7385" s="215" t="str">
        <f>IF(Table2[[#This Row],[Description]]="","",Table2[[#This Row],[Value]]/Table2[[#This Row],[Conversion]])</f>
        <v/>
      </c>
      <c r="K7385" s="45" t="str">
        <f>IF(Table2[[#This Row],[Description]]="","",DATE(Table2[[#This Row],[Year]],Table2[[#This Row],[Month]],1))</f>
        <v/>
      </c>
    </row>
    <row r="7386" spans="7:11" x14ac:dyDescent="0.25">
      <c r="G7386" s="1" t="str">
        <f>IF(Table2[[#This Row],[Description]]="","",VLOOKUP(Table2[[#This Row],[Description]],$Q$1:$S$101,2,FALSE))</f>
        <v/>
      </c>
      <c r="H7386" s="1" t="str">
        <f>IF(Table2[[#This Row],[Description]]="","",VLOOKUP(Table2[[#This Row],[Description]],$Q$1:$S$101,3,FALSE))</f>
        <v/>
      </c>
      <c r="I7386" s="1" t="str">
        <f>IF(Table2[[#This Row],[Description]]="","",IF(Table2[[#This Row],[Currency]]=$O$2,$P$2,HLOOKUP(Table2[[#This Row],[Date]],Funds!$C$10:$GV$11,2,FALSE)))</f>
        <v/>
      </c>
      <c r="J7386" s="215" t="str">
        <f>IF(Table2[[#This Row],[Description]]="","",Table2[[#This Row],[Value]]/Table2[[#This Row],[Conversion]])</f>
        <v/>
      </c>
      <c r="K7386" s="45" t="str">
        <f>IF(Table2[[#This Row],[Description]]="","",DATE(Table2[[#This Row],[Year]],Table2[[#This Row],[Month]],1))</f>
        <v/>
      </c>
    </row>
    <row r="7387" spans="7:11" x14ac:dyDescent="0.25">
      <c r="G7387" s="1" t="str">
        <f>IF(Table2[[#This Row],[Description]]="","",VLOOKUP(Table2[[#This Row],[Description]],$Q$1:$S$101,2,FALSE))</f>
        <v/>
      </c>
      <c r="H7387" s="1" t="str">
        <f>IF(Table2[[#This Row],[Description]]="","",VLOOKUP(Table2[[#This Row],[Description]],$Q$1:$S$101,3,FALSE))</f>
        <v/>
      </c>
      <c r="I7387" s="1" t="str">
        <f>IF(Table2[[#This Row],[Description]]="","",IF(Table2[[#This Row],[Currency]]=$O$2,$P$2,HLOOKUP(Table2[[#This Row],[Date]],Funds!$C$10:$GV$11,2,FALSE)))</f>
        <v/>
      </c>
      <c r="J7387" s="215" t="str">
        <f>IF(Table2[[#This Row],[Description]]="","",Table2[[#This Row],[Value]]/Table2[[#This Row],[Conversion]])</f>
        <v/>
      </c>
      <c r="K7387" s="45" t="str">
        <f>IF(Table2[[#This Row],[Description]]="","",DATE(Table2[[#This Row],[Year]],Table2[[#This Row],[Month]],1))</f>
        <v/>
      </c>
    </row>
    <row r="7388" spans="7:11" x14ac:dyDescent="0.25">
      <c r="G7388" s="1" t="str">
        <f>IF(Table2[[#This Row],[Description]]="","",VLOOKUP(Table2[[#This Row],[Description]],$Q$1:$S$101,2,FALSE))</f>
        <v/>
      </c>
      <c r="H7388" s="1" t="str">
        <f>IF(Table2[[#This Row],[Description]]="","",VLOOKUP(Table2[[#This Row],[Description]],$Q$1:$S$101,3,FALSE))</f>
        <v/>
      </c>
      <c r="I7388" s="1" t="str">
        <f>IF(Table2[[#This Row],[Description]]="","",IF(Table2[[#This Row],[Currency]]=$O$2,$P$2,HLOOKUP(Table2[[#This Row],[Date]],Funds!$C$10:$GV$11,2,FALSE)))</f>
        <v/>
      </c>
      <c r="J7388" s="215" t="str">
        <f>IF(Table2[[#This Row],[Description]]="","",Table2[[#This Row],[Value]]/Table2[[#This Row],[Conversion]])</f>
        <v/>
      </c>
      <c r="K7388" s="45" t="str">
        <f>IF(Table2[[#This Row],[Description]]="","",DATE(Table2[[#This Row],[Year]],Table2[[#This Row],[Month]],1))</f>
        <v/>
      </c>
    </row>
    <row r="7389" spans="7:11" x14ac:dyDescent="0.25">
      <c r="G7389" s="1" t="str">
        <f>IF(Table2[[#This Row],[Description]]="","",VLOOKUP(Table2[[#This Row],[Description]],$Q$1:$S$101,2,FALSE))</f>
        <v/>
      </c>
      <c r="H7389" s="1" t="str">
        <f>IF(Table2[[#This Row],[Description]]="","",VLOOKUP(Table2[[#This Row],[Description]],$Q$1:$S$101,3,FALSE))</f>
        <v/>
      </c>
      <c r="I7389" s="1" t="str">
        <f>IF(Table2[[#This Row],[Description]]="","",IF(Table2[[#This Row],[Currency]]=$O$2,$P$2,HLOOKUP(Table2[[#This Row],[Date]],Funds!$C$10:$GV$11,2,FALSE)))</f>
        <v/>
      </c>
      <c r="J7389" s="215" t="str">
        <f>IF(Table2[[#This Row],[Description]]="","",Table2[[#This Row],[Value]]/Table2[[#This Row],[Conversion]])</f>
        <v/>
      </c>
      <c r="K7389" s="45" t="str">
        <f>IF(Table2[[#This Row],[Description]]="","",DATE(Table2[[#This Row],[Year]],Table2[[#This Row],[Month]],1))</f>
        <v/>
      </c>
    </row>
    <row r="7390" spans="7:11" x14ac:dyDescent="0.25">
      <c r="G7390" s="1" t="str">
        <f>IF(Table2[[#This Row],[Description]]="","",VLOOKUP(Table2[[#This Row],[Description]],$Q$1:$S$101,2,FALSE))</f>
        <v/>
      </c>
      <c r="H7390" s="1" t="str">
        <f>IF(Table2[[#This Row],[Description]]="","",VLOOKUP(Table2[[#This Row],[Description]],$Q$1:$S$101,3,FALSE))</f>
        <v/>
      </c>
      <c r="I7390" s="1" t="str">
        <f>IF(Table2[[#This Row],[Description]]="","",IF(Table2[[#This Row],[Currency]]=$O$2,$P$2,HLOOKUP(Table2[[#This Row],[Date]],Funds!$C$10:$GV$11,2,FALSE)))</f>
        <v/>
      </c>
      <c r="J7390" s="215" t="str">
        <f>IF(Table2[[#This Row],[Description]]="","",Table2[[#This Row],[Value]]/Table2[[#This Row],[Conversion]])</f>
        <v/>
      </c>
      <c r="K7390" s="45" t="str">
        <f>IF(Table2[[#This Row],[Description]]="","",DATE(Table2[[#This Row],[Year]],Table2[[#This Row],[Month]],1))</f>
        <v/>
      </c>
    </row>
    <row r="7391" spans="7:11" x14ac:dyDescent="0.25">
      <c r="G7391" s="1" t="str">
        <f>IF(Table2[[#This Row],[Description]]="","",VLOOKUP(Table2[[#This Row],[Description]],$Q$1:$S$101,2,FALSE))</f>
        <v/>
      </c>
      <c r="H7391" s="1" t="str">
        <f>IF(Table2[[#This Row],[Description]]="","",VLOOKUP(Table2[[#This Row],[Description]],$Q$1:$S$101,3,FALSE))</f>
        <v/>
      </c>
      <c r="I7391" s="1" t="str">
        <f>IF(Table2[[#This Row],[Description]]="","",IF(Table2[[#This Row],[Currency]]=$O$2,$P$2,HLOOKUP(Table2[[#This Row],[Date]],Funds!$C$10:$GV$11,2,FALSE)))</f>
        <v/>
      </c>
      <c r="J7391" s="215" t="str">
        <f>IF(Table2[[#This Row],[Description]]="","",Table2[[#This Row],[Value]]/Table2[[#This Row],[Conversion]])</f>
        <v/>
      </c>
      <c r="K7391" s="45" t="str">
        <f>IF(Table2[[#This Row],[Description]]="","",DATE(Table2[[#This Row],[Year]],Table2[[#This Row],[Month]],1))</f>
        <v/>
      </c>
    </row>
    <row r="7392" spans="7:11" x14ac:dyDescent="0.25">
      <c r="G7392" s="1" t="str">
        <f>IF(Table2[[#This Row],[Description]]="","",VLOOKUP(Table2[[#This Row],[Description]],$Q$1:$S$101,2,FALSE))</f>
        <v/>
      </c>
      <c r="H7392" s="1" t="str">
        <f>IF(Table2[[#This Row],[Description]]="","",VLOOKUP(Table2[[#This Row],[Description]],$Q$1:$S$101,3,FALSE))</f>
        <v/>
      </c>
      <c r="I7392" s="1" t="str">
        <f>IF(Table2[[#This Row],[Description]]="","",IF(Table2[[#This Row],[Currency]]=$O$2,$P$2,HLOOKUP(Table2[[#This Row],[Date]],Funds!$C$10:$GV$11,2,FALSE)))</f>
        <v/>
      </c>
      <c r="J7392" s="215" t="str">
        <f>IF(Table2[[#This Row],[Description]]="","",Table2[[#This Row],[Value]]/Table2[[#This Row],[Conversion]])</f>
        <v/>
      </c>
      <c r="K7392" s="45" t="str">
        <f>IF(Table2[[#This Row],[Description]]="","",DATE(Table2[[#This Row],[Year]],Table2[[#This Row],[Month]],1))</f>
        <v/>
      </c>
    </row>
    <row r="7393" spans="7:11" x14ac:dyDescent="0.25">
      <c r="G7393" s="1" t="str">
        <f>IF(Table2[[#This Row],[Description]]="","",VLOOKUP(Table2[[#This Row],[Description]],$Q$1:$S$101,2,FALSE))</f>
        <v/>
      </c>
      <c r="H7393" s="1" t="str">
        <f>IF(Table2[[#This Row],[Description]]="","",VLOOKUP(Table2[[#This Row],[Description]],$Q$1:$S$101,3,FALSE))</f>
        <v/>
      </c>
      <c r="I7393" s="1" t="str">
        <f>IF(Table2[[#This Row],[Description]]="","",IF(Table2[[#This Row],[Currency]]=$O$2,$P$2,HLOOKUP(Table2[[#This Row],[Date]],Funds!$C$10:$GV$11,2,FALSE)))</f>
        <v/>
      </c>
      <c r="J7393" s="215" t="str">
        <f>IF(Table2[[#This Row],[Description]]="","",Table2[[#This Row],[Value]]/Table2[[#This Row],[Conversion]])</f>
        <v/>
      </c>
      <c r="K7393" s="45" t="str">
        <f>IF(Table2[[#This Row],[Description]]="","",DATE(Table2[[#This Row],[Year]],Table2[[#This Row],[Month]],1))</f>
        <v/>
      </c>
    </row>
    <row r="7394" spans="7:11" x14ac:dyDescent="0.25">
      <c r="G7394" s="1" t="str">
        <f>IF(Table2[[#This Row],[Description]]="","",VLOOKUP(Table2[[#This Row],[Description]],$Q$1:$S$101,2,FALSE))</f>
        <v/>
      </c>
      <c r="H7394" s="1" t="str">
        <f>IF(Table2[[#This Row],[Description]]="","",VLOOKUP(Table2[[#This Row],[Description]],$Q$1:$S$101,3,FALSE))</f>
        <v/>
      </c>
      <c r="I7394" s="1" t="str">
        <f>IF(Table2[[#This Row],[Description]]="","",IF(Table2[[#This Row],[Currency]]=$O$2,$P$2,HLOOKUP(Table2[[#This Row],[Date]],Funds!$C$10:$GV$11,2,FALSE)))</f>
        <v/>
      </c>
      <c r="J7394" s="215" t="str">
        <f>IF(Table2[[#This Row],[Description]]="","",Table2[[#This Row],[Value]]/Table2[[#This Row],[Conversion]])</f>
        <v/>
      </c>
      <c r="K7394" s="45" t="str">
        <f>IF(Table2[[#This Row],[Description]]="","",DATE(Table2[[#This Row],[Year]],Table2[[#This Row],[Month]],1))</f>
        <v/>
      </c>
    </row>
    <row r="7395" spans="7:11" x14ac:dyDescent="0.25">
      <c r="G7395" s="1" t="str">
        <f>IF(Table2[[#This Row],[Description]]="","",VLOOKUP(Table2[[#This Row],[Description]],$Q$1:$S$101,2,FALSE))</f>
        <v/>
      </c>
      <c r="H7395" s="1" t="str">
        <f>IF(Table2[[#This Row],[Description]]="","",VLOOKUP(Table2[[#This Row],[Description]],$Q$1:$S$101,3,FALSE))</f>
        <v/>
      </c>
      <c r="I7395" s="1" t="str">
        <f>IF(Table2[[#This Row],[Description]]="","",IF(Table2[[#This Row],[Currency]]=$O$2,$P$2,HLOOKUP(Table2[[#This Row],[Date]],Funds!$C$10:$GV$11,2,FALSE)))</f>
        <v/>
      </c>
      <c r="J7395" s="215" t="str">
        <f>IF(Table2[[#This Row],[Description]]="","",Table2[[#This Row],[Value]]/Table2[[#This Row],[Conversion]])</f>
        <v/>
      </c>
      <c r="K7395" s="45" t="str">
        <f>IF(Table2[[#This Row],[Description]]="","",DATE(Table2[[#This Row],[Year]],Table2[[#This Row],[Month]],1))</f>
        <v/>
      </c>
    </row>
    <row r="7396" spans="7:11" x14ac:dyDescent="0.25">
      <c r="G7396" s="1" t="str">
        <f>IF(Table2[[#This Row],[Description]]="","",VLOOKUP(Table2[[#This Row],[Description]],$Q$1:$S$101,2,FALSE))</f>
        <v/>
      </c>
      <c r="H7396" s="1" t="str">
        <f>IF(Table2[[#This Row],[Description]]="","",VLOOKUP(Table2[[#This Row],[Description]],$Q$1:$S$101,3,FALSE))</f>
        <v/>
      </c>
      <c r="I7396" s="1" t="str">
        <f>IF(Table2[[#This Row],[Description]]="","",IF(Table2[[#This Row],[Currency]]=$O$2,$P$2,HLOOKUP(Table2[[#This Row],[Date]],Funds!$C$10:$GV$11,2,FALSE)))</f>
        <v/>
      </c>
      <c r="J7396" s="215" t="str">
        <f>IF(Table2[[#This Row],[Description]]="","",Table2[[#This Row],[Value]]/Table2[[#This Row],[Conversion]])</f>
        <v/>
      </c>
      <c r="K7396" s="45" t="str">
        <f>IF(Table2[[#This Row],[Description]]="","",DATE(Table2[[#This Row],[Year]],Table2[[#This Row],[Month]],1))</f>
        <v/>
      </c>
    </row>
    <row r="7397" spans="7:11" x14ac:dyDescent="0.25">
      <c r="G7397" s="1" t="str">
        <f>IF(Table2[[#This Row],[Description]]="","",VLOOKUP(Table2[[#This Row],[Description]],$Q$1:$S$101,2,FALSE))</f>
        <v/>
      </c>
      <c r="H7397" s="1" t="str">
        <f>IF(Table2[[#This Row],[Description]]="","",VLOOKUP(Table2[[#This Row],[Description]],$Q$1:$S$101,3,FALSE))</f>
        <v/>
      </c>
      <c r="I7397" s="1" t="str">
        <f>IF(Table2[[#This Row],[Description]]="","",IF(Table2[[#This Row],[Currency]]=$O$2,$P$2,HLOOKUP(Table2[[#This Row],[Date]],Funds!$C$10:$GV$11,2,FALSE)))</f>
        <v/>
      </c>
      <c r="J7397" s="215" t="str">
        <f>IF(Table2[[#This Row],[Description]]="","",Table2[[#This Row],[Value]]/Table2[[#This Row],[Conversion]])</f>
        <v/>
      </c>
      <c r="K7397" s="45" t="str">
        <f>IF(Table2[[#This Row],[Description]]="","",DATE(Table2[[#This Row],[Year]],Table2[[#This Row],[Month]],1))</f>
        <v/>
      </c>
    </row>
    <row r="7398" spans="7:11" x14ac:dyDescent="0.25">
      <c r="G7398" s="1" t="str">
        <f>IF(Table2[[#This Row],[Description]]="","",VLOOKUP(Table2[[#This Row],[Description]],$Q$1:$S$101,2,FALSE))</f>
        <v/>
      </c>
      <c r="H7398" s="1" t="str">
        <f>IF(Table2[[#This Row],[Description]]="","",VLOOKUP(Table2[[#This Row],[Description]],$Q$1:$S$101,3,FALSE))</f>
        <v/>
      </c>
      <c r="I7398" s="1" t="str">
        <f>IF(Table2[[#This Row],[Description]]="","",IF(Table2[[#This Row],[Currency]]=$O$2,$P$2,HLOOKUP(Table2[[#This Row],[Date]],Funds!$C$10:$GV$11,2,FALSE)))</f>
        <v/>
      </c>
      <c r="J7398" s="215" t="str">
        <f>IF(Table2[[#This Row],[Description]]="","",Table2[[#This Row],[Value]]/Table2[[#This Row],[Conversion]])</f>
        <v/>
      </c>
      <c r="K7398" s="45" t="str">
        <f>IF(Table2[[#This Row],[Description]]="","",DATE(Table2[[#This Row],[Year]],Table2[[#This Row],[Month]],1))</f>
        <v/>
      </c>
    </row>
    <row r="7399" spans="7:11" x14ac:dyDescent="0.25">
      <c r="G7399" s="1" t="str">
        <f>IF(Table2[[#This Row],[Description]]="","",VLOOKUP(Table2[[#This Row],[Description]],$Q$1:$S$101,2,FALSE))</f>
        <v/>
      </c>
      <c r="H7399" s="1" t="str">
        <f>IF(Table2[[#This Row],[Description]]="","",VLOOKUP(Table2[[#This Row],[Description]],$Q$1:$S$101,3,FALSE))</f>
        <v/>
      </c>
      <c r="I7399" s="1" t="str">
        <f>IF(Table2[[#This Row],[Description]]="","",IF(Table2[[#This Row],[Currency]]=$O$2,$P$2,HLOOKUP(Table2[[#This Row],[Date]],Funds!$C$10:$GV$11,2,FALSE)))</f>
        <v/>
      </c>
      <c r="J7399" s="215" t="str">
        <f>IF(Table2[[#This Row],[Description]]="","",Table2[[#This Row],[Value]]/Table2[[#This Row],[Conversion]])</f>
        <v/>
      </c>
      <c r="K7399" s="45" t="str">
        <f>IF(Table2[[#This Row],[Description]]="","",DATE(Table2[[#This Row],[Year]],Table2[[#This Row],[Month]],1))</f>
        <v/>
      </c>
    </row>
    <row r="7400" spans="7:11" x14ac:dyDescent="0.25">
      <c r="G7400" s="1" t="str">
        <f>IF(Table2[[#This Row],[Description]]="","",VLOOKUP(Table2[[#This Row],[Description]],$Q$1:$S$101,2,FALSE))</f>
        <v/>
      </c>
      <c r="H7400" s="1" t="str">
        <f>IF(Table2[[#This Row],[Description]]="","",VLOOKUP(Table2[[#This Row],[Description]],$Q$1:$S$101,3,FALSE))</f>
        <v/>
      </c>
      <c r="I7400" s="1" t="str">
        <f>IF(Table2[[#This Row],[Description]]="","",IF(Table2[[#This Row],[Currency]]=$O$2,$P$2,HLOOKUP(Table2[[#This Row],[Date]],Funds!$C$10:$GV$11,2,FALSE)))</f>
        <v/>
      </c>
      <c r="J7400" s="215" t="str">
        <f>IF(Table2[[#This Row],[Description]]="","",Table2[[#This Row],[Value]]/Table2[[#This Row],[Conversion]])</f>
        <v/>
      </c>
      <c r="K7400" s="45" t="str">
        <f>IF(Table2[[#This Row],[Description]]="","",DATE(Table2[[#This Row],[Year]],Table2[[#This Row],[Month]],1))</f>
        <v/>
      </c>
    </row>
    <row r="7401" spans="7:11" x14ac:dyDescent="0.25">
      <c r="G7401" s="1" t="str">
        <f>IF(Table2[[#This Row],[Description]]="","",VLOOKUP(Table2[[#This Row],[Description]],$Q$1:$S$101,2,FALSE))</f>
        <v/>
      </c>
      <c r="H7401" s="1" t="str">
        <f>IF(Table2[[#This Row],[Description]]="","",VLOOKUP(Table2[[#This Row],[Description]],$Q$1:$S$101,3,FALSE))</f>
        <v/>
      </c>
      <c r="I7401" s="1" t="str">
        <f>IF(Table2[[#This Row],[Description]]="","",IF(Table2[[#This Row],[Currency]]=$O$2,$P$2,HLOOKUP(Table2[[#This Row],[Date]],Funds!$C$10:$GV$11,2,FALSE)))</f>
        <v/>
      </c>
      <c r="J7401" s="215" t="str">
        <f>IF(Table2[[#This Row],[Description]]="","",Table2[[#This Row],[Value]]/Table2[[#This Row],[Conversion]])</f>
        <v/>
      </c>
      <c r="K7401" s="45" t="str">
        <f>IF(Table2[[#This Row],[Description]]="","",DATE(Table2[[#This Row],[Year]],Table2[[#This Row],[Month]],1))</f>
        <v/>
      </c>
    </row>
    <row r="7402" spans="7:11" x14ac:dyDescent="0.25">
      <c r="G7402" s="1" t="str">
        <f>IF(Table2[[#This Row],[Description]]="","",VLOOKUP(Table2[[#This Row],[Description]],$Q$1:$S$101,2,FALSE))</f>
        <v/>
      </c>
      <c r="H7402" s="1" t="str">
        <f>IF(Table2[[#This Row],[Description]]="","",VLOOKUP(Table2[[#This Row],[Description]],$Q$1:$S$101,3,FALSE))</f>
        <v/>
      </c>
      <c r="I7402" s="1" t="str">
        <f>IF(Table2[[#This Row],[Description]]="","",IF(Table2[[#This Row],[Currency]]=$O$2,$P$2,HLOOKUP(Table2[[#This Row],[Date]],Funds!$C$10:$GV$11,2,FALSE)))</f>
        <v/>
      </c>
      <c r="J7402" s="215" t="str">
        <f>IF(Table2[[#This Row],[Description]]="","",Table2[[#This Row],[Value]]/Table2[[#This Row],[Conversion]])</f>
        <v/>
      </c>
      <c r="K7402" s="45" t="str">
        <f>IF(Table2[[#This Row],[Description]]="","",DATE(Table2[[#This Row],[Year]],Table2[[#This Row],[Month]],1))</f>
        <v/>
      </c>
    </row>
    <row r="7403" spans="7:11" x14ac:dyDescent="0.25">
      <c r="G7403" s="1" t="str">
        <f>IF(Table2[[#This Row],[Description]]="","",VLOOKUP(Table2[[#This Row],[Description]],$Q$1:$S$101,2,FALSE))</f>
        <v/>
      </c>
      <c r="H7403" s="1" t="str">
        <f>IF(Table2[[#This Row],[Description]]="","",VLOOKUP(Table2[[#This Row],[Description]],$Q$1:$S$101,3,FALSE))</f>
        <v/>
      </c>
      <c r="I7403" s="1" t="str">
        <f>IF(Table2[[#This Row],[Description]]="","",IF(Table2[[#This Row],[Currency]]=$O$2,$P$2,HLOOKUP(Table2[[#This Row],[Date]],Funds!$C$10:$GV$11,2,FALSE)))</f>
        <v/>
      </c>
      <c r="J7403" s="215" t="str">
        <f>IF(Table2[[#This Row],[Description]]="","",Table2[[#This Row],[Value]]/Table2[[#This Row],[Conversion]])</f>
        <v/>
      </c>
      <c r="K7403" s="45" t="str">
        <f>IF(Table2[[#This Row],[Description]]="","",DATE(Table2[[#This Row],[Year]],Table2[[#This Row],[Month]],1))</f>
        <v/>
      </c>
    </row>
    <row r="7404" spans="7:11" x14ac:dyDescent="0.25">
      <c r="G7404" s="1" t="str">
        <f>IF(Table2[[#This Row],[Description]]="","",VLOOKUP(Table2[[#This Row],[Description]],$Q$1:$S$101,2,FALSE))</f>
        <v/>
      </c>
      <c r="H7404" s="1" t="str">
        <f>IF(Table2[[#This Row],[Description]]="","",VLOOKUP(Table2[[#This Row],[Description]],$Q$1:$S$101,3,FALSE))</f>
        <v/>
      </c>
      <c r="I7404" s="1" t="str">
        <f>IF(Table2[[#This Row],[Description]]="","",IF(Table2[[#This Row],[Currency]]=$O$2,$P$2,HLOOKUP(Table2[[#This Row],[Date]],Funds!$C$10:$GV$11,2,FALSE)))</f>
        <v/>
      </c>
      <c r="J7404" s="215" t="str">
        <f>IF(Table2[[#This Row],[Description]]="","",Table2[[#This Row],[Value]]/Table2[[#This Row],[Conversion]])</f>
        <v/>
      </c>
      <c r="K7404" s="45" t="str">
        <f>IF(Table2[[#This Row],[Description]]="","",DATE(Table2[[#This Row],[Year]],Table2[[#This Row],[Month]],1))</f>
        <v/>
      </c>
    </row>
    <row r="7405" spans="7:11" x14ac:dyDescent="0.25">
      <c r="G7405" s="1" t="str">
        <f>IF(Table2[[#This Row],[Description]]="","",VLOOKUP(Table2[[#This Row],[Description]],$Q$1:$S$101,2,FALSE))</f>
        <v/>
      </c>
      <c r="H7405" s="1" t="str">
        <f>IF(Table2[[#This Row],[Description]]="","",VLOOKUP(Table2[[#This Row],[Description]],$Q$1:$S$101,3,FALSE))</f>
        <v/>
      </c>
      <c r="I7405" s="1" t="str">
        <f>IF(Table2[[#This Row],[Description]]="","",IF(Table2[[#This Row],[Currency]]=$O$2,$P$2,HLOOKUP(Table2[[#This Row],[Date]],Funds!$C$10:$GV$11,2,FALSE)))</f>
        <v/>
      </c>
      <c r="J7405" s="215" t="str">
        <f>IF(Table2[[#This Row],[Description]]="","",Table2[[#This Row],[Value]]/Table2[[#This Row],[Conversion]])</f>
        <v/>
      </c>
      <c r="K7405" s="45" t="str">
        <f>IF(Table2[[#This Row],[Description]]="","",DATE(Table2[[#This Row],[Year]],Table2[[#This Row],[Month]],1))</f>
        <v/>
      </c>
    </row>
    <row r="7406" spans="7:11" x14ac:dyDescent="0.25">
      <c r="G7406" s="1" t="str">
        <f>IF(Table2[[#This Row],[Description]]="","",VLOOKUP(Table2[[#This Row],[Description]],$Q$1:$S$101,2,FALSE))</f>
        <v/>
      </c>
      <c r="H7406" s="1" t="str">
        <f>IF(Table2[[#This Row],[Description]]="","",VLOOKUP(Table2[[#This Row],[Description]],$Q$1:$S$101,3,FALSE))</f>
        <v/>
      </c>
      <c r="I7406" s="1" t="str">
        <f>IF(Table2[[#This Row],[Description]]="","",IF(Table2[[#This Row],[Currency]]=$O$2,$P$2,HLOOKUP(Table2[[#This Row],[Date]],Funds!$C$10:$GV$11,2,FALSE)))</f>
        <v/>
      </c>
      <c r="J7406" s="215" t="str">
        <f>IF(Table2[[#This Row],[Description]]="","",Table2[[#This Row],[Value]]/Table2[[#This Row],[Conversion]])</f>
        <v/>
      </c>
      <c r="K7406" s="45" t="str">
        <f>IF(Table2[[#This Row],[Description]]="","",DATE(Table2[[#This Row],[Year]],Table2[[#This Row],[Month]],1))</f>
        <v/>
      </c>
    </row>
    <row r="7407" spans="7:11" x14ac:dyDescent="0.25">
      <c r="G7407" s="1" t="str">
        <f>IF(Table2[[#This Row],[Description]]="","",VLOOKUP(Table2[[#This Row],[Description]],$Q$1:$S$101,2,FALSE))</f>
        <v/>
      </c>
      <c r="H7407" s="1" t="str">
        <f>IF(Table2[[#This Row],[Description]]="","",VLOOKUP(Table2[[#This Row],[Description]],$Q$1:$S$101,3,FALSE))</f>
        <v/>
      </c>
      <c r="I7407" s="1" t="str">
        <f>IF(Table2[[#This Row],[Description]]="","",IF(Table2[[#This Row],[Currency]]=$O$2,$P$2,HLOOKUP(Table2[[#This Row],[Date]],Funds!$C$10:$GV$11,2,FALSE)))</f>
        <v/>
      </c>
      <c r="J7407" s="215" t="str">
        <f>IF(Table2[[#This Row],[Description]]="","",Table2[[#This Row],[Value]]/Table2[[#This Row],[Conversion]])</f>
        <v/>
      </c>
      <c r="K7407" s="45" t="str">
        <f>IF(Table2[[#This Row],[Description]]="","",DATE(Table2[[#This Row],[Year]],Table2[[#This Row],[Month]],1))</f>
        <v/>
      </c>
    </row>
    <row r="7408" spans="7:11" x14ac:dyDescent="0.25">
      <c r="G7408" s="1" t="str">
        <f>IF(Table2[[#This Row],[Description]]="","",VLOOKUP(Table2[[#This Row],[Description]],$Q$1:$S$101,2,FALSE))</f>
        <v/>
      </c>
      <c r="H7408" s="1" t="str">
        <f>IF(Table2[[#This Row],[Description]]="","",VLOOKUP(Table2[[#This Row],[Description]],$Q$1:$S$101,3,FALSE))</f>
        <v/>
      </c>
      <c r="I7408" s="1" t="str">
        <f>IF(Table2[[#This Row],[Description]]="","",IF(Table2[[#This Row],[Currency]]=$O$2,$P$2,HLOOKUP(Table2[[#This Row],[Date]],Funds!$C$10:$GV$11,2,FALSE)))</f>
        <v/>
      </c>
      <c r="J7408" s="215" t="str">
        <f>IF(Table2[[#This Row],[Description]]="","",Table2[[#This Row],[Value]]/Table2[[#This Row],[Conversion]])</f>
        <v/>
      </c>
      <c r="K7408" s="45" t="str">
        <f>IF(Table2[[#This Row],[Description]]="","",DATE(Table2[[#This Row],[Year]],Table2[[#This Row],[Month]],1))</f>
        <v/>
      </c>
    </row>
    <row r="7409" spans="7:11" x14ac:dyDescent="0.25">
      <c r="G7409" s="1" t="str">
        <f>IF(Table2[[#This Row],[Description]]="","",VLOOKUP(Table2[[#This Row],[Description]],$Q$1:$S$101,2,FALSE))</f>
        <v/>
      </c>
      <c r="H7409" s="1" t="str">
        <f>IF(Table2[[#This Row],[Description]]="","",VLOOKUP(Table2[[#This Row],[Description]],$Q$1:$S$101,3,FALSE))</f>
        <v/>
      </c>
      <c r="I7409" s="1" t="str">
        <f>IF(Table2[[#This Row],[Description]]="","",IF(Table2[[#This Row],[Currency]]=$O$2,$P$2,HLOOKUP(Table2[[#This Row],[Date]],Funds!$C$10:$GV$11,2,FALSE)))</f>
        <v/>
      </c>
      <c r="J7409" s="215" t="str">
        <f>IF(Table2[[#This Row],[Description]]="","",Table2[[#This Row],[Value]]/Table2[[#This Row],[Conversion]])</f>
        <v/>
      </c>
      <c r="K7409" s="45" t="str">
        <f>IF(Table2[[#This Row],[Description]]="","",DATE(Table2[[#This Row],[Year]],Table2[[#This Row],[Month]],1))</f>
        <v/>
      </c>
    </row>
    <row r="7410" spans="7:11" x14ac:dyDescent="0.25">
      <c r="G7410" s="1" t="str">
        <f>IF(Table2[[#This Row],[Description]]="","",VLOOKUP(Table2[[#This Row],[Description]],$Q$1:$S$101,2,FALSE))</f>
        <v/>
      </c>
      <c r="H7410" s="1" t="str">
        <f>IF(Table2[[#This Row],[Description]]="","",VLOOKUP(Table2[[#This Row],[Description]],$Q$1:$S$101,3,FALSE))</f>
        <v/>
      </c>
      <c r="I7410" s="1" t="str">
        <f>IF(Table2[[#This Row],[Description]]="","",IF(Table2[[#This Row],[Currency]]=$O$2,$P$2,HLOOKUP(Table2[[#This Row],[Date]],Funds!$C$10:$GV$11,2,FALSE)))</f>
        <v/>
      </c>
      <c r="J7410" s="215" t="str">
        <f>IF(Table2[[#This Row],[Description]]="","",Table2[[#This Row],[Value]]/Table2[[#This Row],[Conversion]])</f>
        <v/>
      </c>
      <c r="K7410" s="45" t="str">
        <f>IF(Table2[[#This Row],[Description]]="","",DATE(Table2[[#This Row],[Year]],Table2[[#This Row],[Month]],1))</f>
        <v/>
      </c>
    </row>
    <row r="7411" spans="7:11" x14ac:dyDescent="0.25">
      <c r="G7411" s="1" t="str">
        <f>IF(Table2[[#This Row],[Description]]="","",VLOOKUP(Table2[[#This Row],[Description]],$Q$1:$S$101,2,FALSE))</f>
        <v/>
      </c>
      <c r="H7411" s="1" t="str">
        <f>IF(Table2[[#This Row],[Description]]="","",VLOOKUP(Table2[[#This Row],[Description]],$Q$1:$S$101,3,FALSE))</f>
        <v/>
      </c>
      <c r="I7411" s="1" t="str">
        <f>IF(Table2[[#This Row],[Description]]="","",IF(Table2[[#This Row],[Currency]]=$O$2,$P$2,HLOOKUP(Table2[[#This Row],[Date]],Funds!$C$10:$GV$11,2,FALSE)))</f>
        <v/>
      </c>
      <c r="J7411" s="215" t="str">
        <f>IF(Table2[[#This Row],[Description]]="","",Table2[[#This Row],[Value]]/Table2[[#This Row],[Conversion]])</f>
        <v/>
      </c>
      <c r="K7411" s="45" t="str">
        <f>IF(Table2[[#This Row],[Description]]="","",DATE(Table2[[#This Row],[Year]],Table2[[#This Row],[Month]],1))</f>
        <v/>
      </c>
    </row>
    <row r="7412" spans="7:11" x14ac:dyDescent="0.25">
      <c r="G7412" s="1" t="str">
        <f>IF(Table2[[#This Row],[Description]]="","",VLOOKUP(Table2[[#This Row],[Description]],$Q$1:$S$101,2,FALSE))</f>
        <v/>
      </c>
      <c r="H7412" s="1" t="str">
        <f>IF(Table2[[#This Row],[Description]]="","",VLOOKUP(Table2[[#This Row],[Description]],$Q$1:$S$101,3,FALSE))</f>
        <v/>
      </c>
      <c r="I7412" s="1" t="str">
        <f>IF(Table2[[#This Row],[Description]]="","",IF(Table2[[#This Row],[Currency]]=$O$2,$P$2,HLOOKUP(Table2[[#This Row],[Date]],Funds!$C$10:$GV$11,2,FALSE)))</f>
        <v/>
      </c>
      <c r="J7412" s="215" t="str">
        <f>IF(Table2[[#This Row],[Description]]="","",Table2[[#This Row],[Value]]/Table2[[#This Row],[Conversion]])</f>
        <v/>
      </c>
      <c r="K7412" s="45" t="str">
        <f>IF(Table2[[#This Row],[Description]]="","",DATE(Table2[[#This Row],[Year]],Table2[[#This Row],[Month]],1))</f>
        <v/>
      </c>
    </row>
    <row r="7413" spans="7:11" x14ac:dyDescent="0.25">
      <c r="G7413" s="1" t="str">
        <f>IF(Table2[[#This Row],[Description]]="","",VLOOKUP(Table2[[#This Row],[Description]],$Q$1:$S$101,2,FALSE))</f>
        <v/>
      </c>
      <c r="H7413" s="1" t="str">
        <f>IF(Table2[[#This Row],[Description]]="","",VLOOKUP(Table2[[#This Row],[Description]],$Q$1:$S$101,3,FALSE))</f>
        <v/>
      </c>
      <c r="I7413" s="1" t="str">
        <f>IF(Table2[[#This Row],[Description]]="","",IF(Table2[[#This Row],[Currency]]=$O$2,$P$2,HLOOKUP(Table2[[#This Row],[Date]],Funds!$C$10:$GV$11,2,FALSE)))</f>
        <v/>
      </c>
      <c r="J7413" s="215" t="str">
        <f>IF(Table2[[#This Row],[Description]]="","",Table2[[#This Row],[Value]]/Table2[[#This Row],[Conversion]])</f>
        <v/>
      </c>
      <c r="K7413" s="45" t="str">
        <f>IF(Table2[[#This Row],[Description]]="","",DATE(Table2[[#This Row],[Year]],Table2[[#This Row],[Month]],1))</f>
        <v/>
      </c>
    </row>
    <row r="7414" spans="7:11" x14ac:dyDescent="0.25">
      <c r="G7414" s="1" t="str">
        <f>IF(Table2[[#This Row],[Description]]="","",VLOOKUP(Table2[[#This Row],[Description]],$Q$1:$S$101,2,FALSE))</f>
        <v/>
      </c>
      <c r="H7414" s="1" t="str">
        <f>IF(Table2[[#This Row],[Description]]="","",VLOOKUP(Table2[[#This Row],[Description]],$Q$1:$S$101,3,FALSE))</f>
        <v/>
      </c>
      <c r="I7414" s="1" t="str">
        <f>IF(Table2[[#This Row],[Description]]="","",IF(Table2[[#This Row],[Currency]]=$O$2,$P$2,HLOOKUP(Table2[[#This Row],[Date]],Funds!$C$10:$GV$11,2,FALSE)))</f>
        <v/>
      </c>
      <c r="J7414" s="215" t="str">
        <f>IF(Table2[[#This Row],[Description]]="","",Table2[[#This Row],[Value]]/Table2[[#This Row],[Conversion]])</f>
        <v/>
      </c>
      <c r="K7414" s="45" t="str">
        <f>IF(Table2[[#This Row],[Description]]="","",DATE(Table2[[#This Row],[Year]],Table2[[#This Row],[Month]],1))</f>
        <v/>
      </c>
    </row>
    <row r="7415" spans="7:11" x14ac:dyDescent="0.25">
      <c r="G7415" s="1" t="str">
        <f>IF(Table2[[#This Row],[Description]]="","",VLOOKUP(Table2[[#This Row],[Description]],$Q$1:$S$101,2,FALSE))</f>
        <v/>
      </c>
      <c r="H7415" s="1" t="str">
        <f>IF(Table2[[#This Row],[Description]]="","",VLOOKUP(Table2[[#This Row],[Description]],$Q$1:$S$101,3,FALSE))</f>
        <v/>
      </c>
      <c r="I7415" s="1" t="str">
        <f>IF(Table2[[#This Row],[Description]]="","",IF(Table2[[#This Row],[Currency]]=$O$2,$P$2,HLOOKUP(Table2[[#This Row],[Date]],Funds!$C$10:$GV$11,2,FALSE)))</f>
        <v/>
      </c>
      <c r="J7415" s="215" t="str">
        <f>IF(Table2[[#This Row],[Description]]="","",Table2[[#This Row],[Value]]/Table2[[#This Row],[Conversion]])</f>
        <v/>
      </c>
      <c r="K7415" s="45" t="str">
        <f>IF(Table2[[#This Row],[Description]]="","",DATE(Table2[[#This Row],[Year]],Table2[[#This Row],[Month]],1))</f>
        <v/>
      </c>
    </row>
    <row r="7416" spans="7:11" x14ac:dyDescent="0.25">
      <c r="G7416" s="1" t="str">
        <f>IF(Table2[[#This Row],[Description]]="","",VLOOKUP(Table2[[#This Row],[Description]],$Q$1:$S$101,2,FALSE))</f>
        <v/>
      </c>
      <c r="H7416" s="1" t="str">
        <f>IF(Table2[[#This Row],[Description]]="","",VLOOKUP(Table2[[#This Row],[Description]],$Q$1:$S$101,3,FALSE))</f>
        <v/>
      </c>
      <c r="I7416" s="1" t="str">
        <f>IF(Table2[[#This Row],[Description]]="","",IF(Table2[[#This Row],[Currency]]=$O$2,$P$2,HLOOKUP(Table2[[#This Row],[Date]],Funds!$C$10:$GV$11,2,FALSE)))</f>
        <v/>
      </c>
      <c r="J7416" s="215" t="str">
        <f>IF(Table2[[#This Row],[Description]]="","",Table2[[#This Row],[Value]]/Table2[[#This Row],[Conversion]])</f>
        <v/>
      </c>
      <c r="K7416" s="45" t="str">
        <f>IF(Table2[[#This Row],[Description]]="","",DATE(Table2[[#This Row],[Year]],Table2[[#This Row],[Month]],1))</f>
        <v/>
      </c>
    </row>
    <row r="7417" spans="7:11" x14ac:dyDescent="0.25">
      <c r="G7417" s="1" t="str">
        <f>IF(Table2[[#This Row],[Description]]="","",VLOOKUP(Table2[[#This Row],[Description]],$Q$1:$S$101,2,FALSE))</f>
        <v/>
      </c>
      <c r="H7417" s="1" t="str">
        <f>IF(Table2[[#This Row],[Description]]="","",VLOOKUP(Table2[[#This Row],[Description]],$Q$1:$S$101,3,FALSE))</f>
        <v/>
      </c>
      <c r="I7417" s="1" t="str">
        <f>IF(Table2[[#This Row],[Description]]="","",IF(Table2[[#This Row],[Currency]]=$O$2,$P$2,HLOOKUP(Table2[[#This Row],[Date]],Funds!$C$10:$GV$11,2,FALSE)))</f>
        <v/>
      </c>
      <c r="J7417" s="215" t="str">
        <f>IF(Table2[[#This Row],[Description]]="","",Table2[[#This Row],[Value]]/Table2[[#This Row],[Conversion]])</f>
        <v/>
      </c>
      <c r="K7417" s="45" t="str">
        <f>IF(Table2[[#This Row],[Description]]="","",DATE(Table2[[#This Row],[Year]],Table2[[#This Row],[Month]],1))</f>
        <v/>
      </c>
    </row>
    <row r="7418" spans="7:11" x14ac:dyDescent="0.25">
      <c r="G7418" s="1" t="str">
        <f>IF(Table2[[#This Row],[Description]]="","",VLOOKUP(Table2[[#This Row],[Description]],$Q$1:$S$101,2,FALSE))</f>
        <v/>
      </c>
      <c r="H7418" s="1" t="str">
        <f>IF(Table2[[#This Row],[Description]]="","",VLOOKUP(Table2[[#This Row],[Description]],$Q$1:$S$101,3,FALSE))</f>
        <v/>
      </c>
      <c r="I7418" s="1" t="str">
        <f>IF(Table2[[#This Row],[Description]]="","",IF(Table2[[#This Row],[Currency]]=$O$2,$P$2,HLOOKUP(Table2[[#This Row],[Date]],Funds!$C$10:$GV$11,2,FALSE)))</f>
        <v/>
      </c>
      <c r="J7418" s="215" t="str">
        <f>IF(Table2[[#This Row],[Description]]="","",Table2[[#This Row],[Value]]/Table2[[#This Row],[Conversion]])</f>
        <v/>
      </c>
      <c r="K7418" s="45" t="str">
        <f>IF(Table2[[#This Row],[Description]]="","",DATE(Table2[[#This Row],[Year]],Table2[[#This Row],[Month]],1))</f>
        <v/>
      </c>
    </row>
    <row r="7419" spans="7:11" x14ac:dyDescent="0.25">
      <c r="G7419" s="1" t="str">
        <f>IF(Table2[[#This Row],[Description]]="","",VLOOKUP(Table2[[#This Row],[Description]],$Q$1:$S$101,2,FALSE))</f>
        <v/>
      </c>
      <c r="H7419" s="1" t="str">
        <f>IF(Table2[[#This Row],[Description]]="","",VLOOKUP(Table2[[#This Row],[Description]],$Q$1:$S$101,3,FALSE))</f>
        <v/>
      </c>
      <c r="I7419" s="1" t="str">
        <f>IF(Table2[[#This Row],[Description]]="","",IF(Table2[[#This Row],[Currency]]=$O$2,$P$2,HLOOKUP(Table2[[#This Row],[Date]],Funds!$C$10:$GV$11,2,FALSE)))</f>
        <v/>
      </c>
      <c r="J7419" s="215" t="str">
        <f>IF(Table2[[#This Row],[Description]]="","",Table2[[#This Row],[Value]]/Table2[[#This Row],[Conversion]])</f>
        <v/>
      </c>
      <c r="K7419" s="45" t="str">
        <f>IF(Table2[[#This Row],[Description]]="","",DATE(Table2[[#This Row],[Year]],Table2[[#This Row],[Month]],1))</f>
        <v/>
      </c>
    </row>
    <row r="7420" spans="7:11" x14ac:dyDescent="0.25">
      <c r="G7420" s="1" t="str">
        <f>IF(Table2[[#This Row],[Description]]="","",VLOOKUP(Table2[[#This Row],[Description]],$Q$1:$S$101,2,FALSE))</f>
        <v/>
      </c>
      <c r="H7420" s="1" t="str">
        <f>IF(Table2[[#This Row],[Description]]="","",VLOOKUP(Table2[[#This Row],[Description]],$Q$1:$S$101,3,FALSE))</f>
        <v/>
      </c>
      <c r="I7420" s="1" t="str">
        <f>IF(Table2[[#This Row],[Description]]="","",IF(Table2[[#This Row],[Currency]]=$O$2,$P$2,HLOOKUP(Table2[[#This Row],[Date]],Funds!$C$10:$GV$11,2,FALSE)))</f>
        <v/>
      </c>
      <c r="J7420" s="215" t="str">
        <f>IF(Table2[[#This Row],[Description]]="","",Table2[[#This Row],[Value]]/Table2[[#This Row],[Conversion]])</f>
        <v/>
      </c>
      <c r="K7420" s="45" t="str">
        <f>IF(Table2[[#This Row],[Description]]="","",DATE(Table2[[#This Row],[Year]],Table2[[#This Row],[Month]],1))</f>
        <v/>
      </c>
    </row>
    <row r="7421" spans="7:11" x14ac:dyDescent="0.25">
      <c r="G7421" s="1" t="str">
        <f>IF(Table2[[#This Row],[Description]]="","",VLOOKUP(Table2[[#This Row],[Description]],$Q$1:$S$101,2,FALSE))</f>
        <v/>
      </c>
      <c r="H7421" s="1" t="str">
        <f>IF(Table2[[#This Row],[Description]]="","",VLOOKUP(Table2[[#This Row],[Description]],$Q$1:$S$101,3,FALSE))</f>
        <v/>
      </c>
      <c r="I7421" s="1" t="str">
        <f>IF(Table2[[#This Row],[Description]]="","",IF(Table2[[#This Row],[Currency]]=$O$2,$P$2,HLOOKUP(Table2[[#This Row],[Date]],Funds!$C$10:$GV$11,2,FALSE)))</f>
        <v/>
      </c>
      <c r="J7421" s="215" t="str">
        <f>IF(Table2[[#This Row],[Description]]="","",Table2[[#This Row],[Value]]/Table2[[#This Row],[Conversion]])</f>
        <v/>
      </c>
      <c r="K7421" s="45" t="str">
        <f>IF(Table2[[#This Row],[Description]]="","",DATE(Table2[[#This Row],[Year]],Table2[[#This Row],[Month]],1))</f>
        <v/>
      </c>
    </row>
    <row r="7422" spans="7:11" x14ac:dyDescent="0.25">
      <c r="G7422" s="1" t="str">
        <f>IF(Table2[[#This Row],[Description]]="","",VLOOKUP(Table2[[#This Row],[Description]],$Q$1:$S$101,2,FALSE))</f>
        <v/>
      </c>
      <c r="H7422" s="1" t="str">
        <f>IF(Table2[[#This Row],[Description]]="","",VLOOKUP(Table2[[#This Row],[Description]],$Q$1:$S$101,3,FALSE))</f>
        <v/>
      </c>
      <c r="I7422" s="1" t="str">
        <f>IF(Table2[[#This Row],[Description]]="","",IF(Table2[[#This Row],[Currency]]=$O$2,$P$2,HLOOKUP(Table2[[#This Row],[Date]],Funds!$C$10:$GV$11,2,FALSE)))</f>
        <v/>
      </c>
      <c r="J7422" s="215" t="str">
        <f>IF(Table2[[#This Row],[Description]]="","",Table2[[#This Row],[Value]]/Table2[[#This Row],[Conversion]])</f>
        <v/>
      </c>
      <c r="K7422" s="45" t="str">
        <f>IF(Table2[[#This Row],[Description]]="","",DATE(Table2[[#This Row],[Year]],Table2[[#This Row],[Month]],1))</f>
        <v/>
      </c>
    </row>
    <row r="7423" spans="7:11" x14ac:dyDescent="0.25">
      <c r="G7423" s="1" t="str">
        <f>IF(Table2[[#This Row],[Description]]="","",VLOOKUP(Table2[[#This Row],[Description]],$Q$1:$S$101,2,FALSE))</f>
        <v/>
      </c>
      <c r="H7423" s="1" t="str">
        <f>IF(Table2[[#This Row],[Description]]="","",VLOOKUP(Table2[[#This Row],[Description]],$Q$1:$S$101,3,FALSE))</f>
        <v/>
      </c>
      <c r="I7423" s="1" t="str">
        <f>IF(Table2[[#This Row],[Description]]="","",IF(Table2[[#This Row],[Currency]]=$O$2,$P$2,HLOOKUP(Table2[[#This Row],[Date]],Funds!$C$10:$GV$11,2,FALSE)))</f>
        <v/>
      </c>
      <c r="J7423" s="215" t="str">
        <f>IF(Table2[[#This Row],[Description]]="","",Table2[[#This Row],[Value]]/Table2[[#This Row],[Conversion]])</f>
        <v/>
      </c>
      <c r="K7423" s="45" t="str">
        <f>IF(Table2[[#This Row],[Description]]="","",DATE(Table2[[#This Row],[Year]],Table2[[#This Row],[Month]],1))</f>
        <v/>
      </c>
    </row>
    <row r="7424" spans="7:11" x14ac:dyDescent="0.25">
      <c r="G7424" s="1" t="str">
        <f>IF(Table2[[#This Row],[Description]]="","",VLOOKUP(Table2[[#This Row],[Description]],$Q$1:$S$101,2,FALSE))</f>
        <v/>
      </c>
      <c r="H7424" s="1" t="str">
        <f>IF(Table2[[#This Row],[Description]]="","",VLOOKUP(Table2[[#This Row],[Description]],$Q$1:$S$101,3,FALSE))</f>
        <v/>
      </c>
      <c r="I7424" s="1" t="str">
        <f>IF(Table2[[#This Row],[Description]]="","",IF(Table2[[#This Row],[Currency]]=$O$2,$P$2,HLOOKUP(Table2[[#This Row],[Date]],Funds!$C$10:$GV$11,2,FALSE)))</f>
        <v/>
      </c>
      <c r="J7424" s="215" t="str">
        <f>IF(Table2[[#This Row],[Description]]="","",Table2[[#This Row],[Value]]/Table2[[#This Row],[Conversion]])</f>
        <v/>
      </c>
      <c r="K7424" s="45" t="str">
        <f>IF(Table2[[#This Row],[Description]]="","",DATE(Table2[[#This Row],[Year]],Table2[[#This Row],[Month]],1))</f>
        <v/>
      </c>
    </row>
    <row r="7425" spans="7:11" x14ac:dyDescent="0.25">
      <c r="G7425" s="1" t="str">
        <f>IF(Table2[[#This Row],[Description]]="","",VLOOKUP(Table2[[#This Row],[Description]],$Q$1:$S$101,2,FALSE))</f>
        <v/>
      </c>
      <c r="H7425" s="1" t="str">
        <f>IF(Table2[[#This Row],[Description]]="","",VLOOKUP(Table2[[#This Row],[Description]],$Q$1:$S$101,3,FALSE))</f>
        <v/>
      </c>
      <c r="I7425" s="1" t="str">
        <f>IF(Table2[[#This Row],[Description]]="","",IF(Table2[[#This Row],[Currency]]=$O$2,$P$2,HLOOKUP(Table2[[#This Row],[Date]],Funds!$C$10:$GV$11,2,FALSE)))</f>
        <v/>
      </c>
      <c r="J7425" s="215" t="str">
        <f>IF(Table2[[#This Row],[Description]]="","",Table2[[#This Row],[Value]]/Table2[[#This Row],[Conversion]])</f>
        <v/>
      </c>
      <c r="K7425" s="45" t="str">
        <f>IF(Table2[[#This Row],[Description]]="","",DATE(Table2[[#This Row],[Year]],Table2[[#This Row],[Month]],1))</f>
        <v/>
      </c>
    </row>
    <row r="7426" spans="7:11" x14ac:dyDescent="0.25">
      <c r="G7426" s="1" t="str">
        <f>IF(Table2[[#This Row],[Description]]="","",VLOOKUP(Table2[[#This Row],[Description]],$Q$1:$S$101,2,FALSE))</f>
        <v/>
      </c>
      <c r="H7426" s="1" t="str">
        <f>IF(Table2[[#This Row],[Description]]="","",VLOOKUP(Table2[[#This Row],[Description]],$Q$1:$S$101,3,FALSE))</f>
        <v/>
      </c>
      <c r="I7426" s="1" t="str">
        <f>IF(Table2[[#This Row],[Description]]="","",IF(Table2[[#This Row],[Currency]]=$O$2,$P$2,HLOOKUP(Table2[[#This Row],[Date]],Funds!$C$10:$GV$11,2,FALSE)))</f>
        <v/>
      </c>
      <c r="J7426" s="215" t="str">
        <f>IF(Table2[[#This Row],[Description]]="","",Table2[[#This Row],[Value]]/Table2[[#This Row],[Conversion]])</f>
        <v/>
      </c>
      <c r="K7426" s="45" t="str">
        <f>IF(Table2[[#This Row],[Description]]="","",DATE(Table2[[#This Row],[Year]],Table2[[#This Row],[Month]],1))</f>
        <v/>
      </c>
    </row>
    <row r="7427" spans="7:11" x14ac:dyDescent="0.25">
      <c r="G7427" s="1" t="str">
        <f>IF(Table2[[#This Row],[Description]]="","",VLOOKUP(Table2[[#This Row],[Description]],$Q$1:$S$101,2,FALSE))</f>
        <v/>
      </c>
      <c r="H7427" s="1" t="str">
        <f>IF(Table2[[#This Row],[Description]]="","",VLOOKUP(Table2[[#This Row],[Description]],$Q$1:$S$101,3,FALSE))</f>
        <v/>
      </c>
      <c r="I7427" s="1" t="str">
        <f>IF(Table2[[#This Row],[Description]]="","",IF(Table2[[#This Row],[Currency]]=$O$2,$P$2,HLOOKUP(Table2[[#This Row],[Date]],Funds!$C$10:$GV$11,2,FALSE)))</f>
        <v/>
      </c>
      <c r="J7427" s="215" t="str">
        <f>IF(Table2[[#This Row],[Description]]="","",Table2[[#This Row],[Value]]/Table2[[#This Row],[Conversion]])</f>
        <v/>
      </c>
      <c r="K7427" s="45" t="str">
        <f>IF(Table2[[#This Row],[Description]]="","",DATE(Table2[[#This Row],[Year]],Table2[[#This Row],[Month]],1))</f>
        <v/>
      </c>
    </row>
    <row r="7428" spans="7:11" x14ac:dyDescent="0.25">
      <c r="G7428" s="1" t="str">
        <f>IF(Table2[[#This Row],[Description]]="","",VLOOKUP(Table2[[#This Row],[Description]],$Q$1:$S$101,2,FALSE))</f>
        <v/>
      </c>
      <c r="H7428" s="1" t="str">
        <f>IF(Table2[[#This Row],[Description]]="","",VLOOKUP(Table2[[#This Row],[Description]],$Q$1:$S$101,3,FALSE))</f>
        <v/>
      </c>
      <c r="I7428" s="1" t="str">
        <f>IF(Table2[[#This Row],[Description]]="","",IF(Table2[[#This Row],[Currency]]=$O$2,$P$2,HLOOKUP(Table2[[#This Row],[Date]],Funds!$C$10:$GV$11,2,FALSE)))</f>
        <v/>
      </c>
      <c r="J7428" s="215" t="str">
        <f>IF(Table2[[#This Row],[Description]]="","",Table2[[#This Row],[Value]]/Table2[[#This Row],[Conversion]])</f>
        <v/>
      </c>
      <c r="K7428" s="45" t="str">
        <f>IF(Table2[[#This Row],[Description]]="","",DATE(Table2[[#This Row],[Year]],Table2[[#This Row],[Month]],1))</f>
        <v/>
      </c>
    </row>
    <row r="7429" spans="7:11" x14ac:dyDescent="0.25">
      <c r="G7429" s="1" t="str">
        <f>IF(Table2[[#This Row],[Description]]="","",VLOOKUP(Table2[[#This Row],[Description]],$Q$1:$S$101,2,FALSE))</f>
        <v/>
      </c>
      <c r="H7429" s="1" t="str">
        <f>IF(Table2[[#This Row],[Description]]="","",VLOOKUP(Table2[[#This Row],[Description]],$Q$1:$S$101,3,FALSE))</f>
        <v/>
      </c>
      <c r="I7429" s="1" t="str">
        <f>IF(Table2[[#This Row],[Description]]="","",IF(Table2[[#This Row],[Currency]]=$O$2,$P$2,HLOOKUP(Table2[[#This Row],[Date]],Funds!$C$10:$GV$11,2,FALSE)))</f>
        <v/>
      </c>
      <c r="J7429" s="215" t="str">
        <f>IF(Table2[[#This Row],[Description]]="","",Table2[[#This Row],[Value]]/Table2[[#This Row],[Conversion]])</f>
        <v/>
      </c>
      <c r="K7429" s="45" t="str">
        <f>IF(Table2[[#This Row],[Description]]="","",DATE(Table2[[#This Row],[Year]],Table2[[#This Row],[Month]],1))</f>
        <v/>
      </c>
    </row>
    <row r="7430" spans="7:11" x14ac:dyDescent="0.25">
      <c r="G7430" s="1" t="str">
        <f>IF(Table2[[#This Row],[Description]]="","",VLOOKUP(Table2[[#This Row],[Description]],$Q$1:$S$101,2,FALSE))</f>
        <v/>
      </c>
      <c r="H7430" s="1" t="str">
        <f>IF(Table2[[#This Row],[Description]]="","",VLOOKUP(Table2[[#This Row],[Description]],$Q$1:$S$101,3,FALSE))</f>
        <v/>
      </c>
      <c r="I7430" s="1" t="str">
        <f>IF(Table2[[#This Row],[Description]]="","",IF(Table2[[#This Row],[Currency]]=$O$2,$P$2,HLOOKUP(Table2[[#This Row],[Date]],Funds!$C$10:$GV$11,2,FALSE)))</f>
        <v/>
      </c>
      <c r="J7430" s="215" t="str">
        <f>IF(Table2[[#This Row],[Description]]="","",Table2[[#This Row],[Value]]/Table2[[#This Row],[Conversion]])</f>
        <v/>
      </c>
      <c r="K7430" s="45" t="str">
        <f>IF(Table2[[#This Row],[Description]]="","",DATE(Table2[[#This Row],[Year]],Table2[[#This Row],[Month]],1))</f>
        <v/>
      </c>
    </row>
    <row r="7431" spans="7:11" x14ac:dyDescent="0.25">
      <c r="G7431" s="1" t="str">
        <f>IF(Table2[[#This Row],[Description]]="","",VLOOKUP(Table2[[#This Row],[Description]],$Q$1:$S$101,2,FALSE))</f>
        <v/>
      </c>
      <c r="H7431" s="1" t="str">
        <f>IF(Table2[[#This Row],[Description]]="","",VLOOKUP(Table2[[#This Row],[Description]],$Q$1:$S$101,3,FALSE))</f>
        <v/>
      </c>
      <c r="I7431" s="1" t="str">
        <f>IF(Table2[[#This Row],[Description]]="","",IF(Table2[[#This Row],[Currency]]=$O$2,$P$2,HLOOKUP(Table2[[#This Row],[Date]],Funds!$C$10:$GV$11,2,FALSE)))</f>
        <v/>
      </c>
      <c r="J7431" s="215" t="str">
        <f>IF(Table2[[#This Row],[Description]]="","",Table2[[#This Row],[Value]]/Table2[[#This Row],[Conversion]])</f>
        <v/>
      </c>
      <c r="K7431" s="45" t="str">
        <f>IF(Table2[[#This Row],[Description]]="","",DATE(Table2[[#This Row],[Year]],Table2[[#This Row],[Month]],1))</f>
        <v/>
      </c>
    </row>
    <row r="7432" spans="7:11" x14ac:dyDescent="0.25">
      <c r="G7432" s="1" t="str">
        <f>IF(Table2[[#This Row],[Description]]="","",VLOOKUP(Table2[[#This Row],[Description]],$Q$1:$S$101,2,FALSE))</f>
        <v/>
      </c>
      <c r="H7432" s="1" t="str">
        <f>IF(Table2[[#This Row],[Description]]="","",VLOOKUP(Table2[[#This Row],[Description]],$Q$1:$S$101,3,FALSE))</f>
        <v/>
      </c>
      <c r="I7432" s="1" t="str">
        <f>IF(Table2[[#This Row],[Description]]="","",IF(Table2[[#This Row],[Currency]]=$O$2,$P$2,HLOOKUP(Table2[[#This Row],[Date]],Funds!$C$10:$GV$11,2,FALSE)))</f>
        <v/>
      </c>
      <c r="J7432" s="215" t="str">
        <f>IF(Table2[[#This Row],[Description]]="","",Table2[[#This Row],[Value]]/Table2[[#This Row],[Conversion]])</f>
        <v/>
      </c>
      <c r="K7432" s="45" t="str">
        <f>IF(Table2[[#This Row],[Description]]="","",DATE(Table2[[#This Row],[Year]],Table2[[#This Row],[Month]],1))</f>
        <v/>
      </c>
    </row>
    <row r="7433" spans="7:11" x14ac:dyDescent="0.25">
      <c r="G7433" s="1" t="str">
        <f>IF(Table2[[#This Row],[Description]]="","",VLOOKUP(Table2[[#This Row],[Description]],$Q$1:$S$101,2,FALSE))</f>
        <v/>
      </c>
      <c r="H7433" s="1" t="str">
        <f>IF(Table2[[#This Row],[Description]]="","",VLOOKUP(Table2[[#This Row],[Description]],$Q$1:$S$101,3,FALSE))</f>
        <v/>
      </c>
      <c r="I7433" s="1" t="str">
        <f>IF(Table2[[#This Row],[Description]]="","",IF(Table2[[#This Row],[Currency]]=$O$2,$P$2,HLOOKUP(Table2[[#This Row],[Date]],Funds!$C$10:$GV$11,2,FALSE)))</f>
        <v/>
      </c>
      <c r="J7433" s="215" t="str">
        <f>IF(Table2[[#This Row],[Description]]="","",Table2[[#This Row],[Value]]/Table2[[#This Row],[Conversion]])</f>
        <v/>
      </c>
      <c r="K7433" s="45" t="str">
        <f>IF(Table2[[#This Row],[Description]]="","",DATE(Table2[[#This Row],[Year]],Table2[[#This Row],[Month]],1))</f>
        <v/>
      </c>
    </row>
    <row r="7434" spans="7:11" x14ac:dyDescent="0.25">
      <c r="G7434" s="1" t="str">
        <f>IF(Table2[[#This Row],[Description]]="","",VLOOKUP(Table2[[#This Row],[Description]],$Q$1:$S$101,2,FALSE))</f>
        <v/>
      </c>
      <c r="H7434" s="1" t="str">
        <f>IF(Table2[[#This Row],[Description]]="","",VLOOKUP(Table2[[#This Row],[Description]],$Q$1:$S$101,3,FALSE))</f>
        <v/>
      </c>
      <c r="I7434" s="1" t="str">
        <f>IF(Table2[[#This Row],[Description]]="","",IF(Table2[[#This Row],[Currency]]=$O$2,$P$2,HLOOKUP(Table2[[#This Row],[Date]],Funds!$C$10:$GV$11,2,FALSE)))</f>
        <v/>
      </c>
      <c r="J7434" s="215" t="str">
        <f>IF(Table2[[#This Row],[Description]]="","",Table2[[#This Row],[Value]]/Table2[[#This Row],[Conversion]])</f>
        <v/>
      </c>
      <c r="K7434" s="45" t="str">
        <f>IF(Table2[[#This Row],[Description]]="","",DATE(Table2[[#This Row],[Year]],Table2[[#This Row],[Month]],1))</f>
        <v/>
      </c>
    </row>
    <row r="7435" spans="7:11" x14ac:dyDescent="0.25">
      <c r="G7435" s="1" t="str">
        <f>IF(Table2[[#This Row],[Description]]="","",VLOOKUP(Table2[[#This Row],[Description]],$Q$1:$S$101,2,FALSE))</f>
        <v/>
      </c>
      <c r="H7435" s="1" t="str">
        <f>IF(Table2[[#This Row],[Description]]="","",VLOOKUP(Table2[[#This Row],[Description]],$Q$1:$S$101,3,FALSE))</f>
        <v/>
      </c>
      <c r="I7435" s="1" t="str">
        <f>IF(Table2[[#This Row],[Description]]="","",IF(Table2[[#This Row],[Currency]]=$O$2,$P$2,HLOOKUP(Table2[[#This Row],[Date]],Funds!$C$10:$GV$11,2,FALSE)))</f>
        <v/>
      </c>
      <c r="J7435" s="215" t="str">
        <f>IF(Table2[[#This Row],[Description]]="","",Table2[[#This Row],[Value]]/Table2[[#This Row],[Conversion]])</f>
        <v/>
      </c>
      <c r="K7435" s="45" t="str">
        <f>IF(Table2[[#This Row],[Description]]="","",DATE(Table2[[#This Row],[Year]],Table2[[#This Row],[Month]],1))</f>
        <v/>
      </c>
    </row>
    <row r="7436" spans="7:11" x14ac:dyDescent="0.25">
      <c r="G7436" s="1" t="str">
        <f>IF(Table2[[#This Row],[Description]]="","",VLOOKUP(Table2[[#This Row],[Description]],$Q$1:$S$101,2,FALSE))</f>
        <v/>
      </c>
      <c r="H7436" s="1" t="str">
        <f>IF(Table2[[#This Row],[Description]]="","",VLOOKUP(Table2[[#This Row],[Description]],$Q$1:$S$101,3,FALSE))</f>
        <v/>
      </c>
      <c r="I7436" s="1" t="str">
        <f>IF(Table2[[#This Row],[Description]]="","",IF(Table2[[#This Row],[Currency]]=$O$2,$P$2,HLOOKUP(Table2[[#This Row],[Date]],Funds!$C$10:$GV$11,2,FALSE)))</f>
        <v/>
      </c>
      <c r="J7436" s="215" t="str">
        <f>IF(Table2[[#This Row],[Description]]="","",Table2[[#This Row],[Value]]/Table2[[#This Row],[Conversion]])</f>
        <v/>
      </c>
      <c r="K7436" s="45" t="str">
        <f>IF(Table2[[#This Row],[Description]]="","",DATE(Table2[[#This Row],[Year]],Table2[[#This Row],[Month]],1))</f>
        <v/>
      </c>
    </row>
    <row r="7437" spans="7:11" x14ac:dyDescent="0.25">
      <c r="G7437" s="1" t="str">
        <f>IF(Table2[[#This Row],[Description]]="","",VLOOKUP(Table2[[#This Row],[Description]],$Q$1:$S$101,2,FALSE))</f>
        <v/>
      </c>
      <c r="H7437" s="1" t="str">
        <f>IF(Table2[[#This Row],[Description]]="","",VLOOKUP(Table2[[#This Row],[Description]],$Q$1:$S$101,3,FALSE))</f>
        <v/>
      </c>
      <c r="I7437" s="1" t="str">
        <f>IF(Table2[[#This Row],[Description]]="","",IF(Table2[[#This Row],[Currency]]=$O$2,$P$2,HLOOKUP(Table2[[#This Row],[Date]],Funds!$C$10:$GV$11,2,FALSE)))</f>
        <v/>
      </c>
      <c r="J7437" s="215" t="str">
        <f>IF(Table2[[#This Row],[Description]]="","",Table2[[#This Row],[Value]]/Table2[[#This Row],[Conversion]])</f>
        <v/>
      </c>
      <c r="K7437" s="45" t="str">
        <f>IF(Table2[[#This Row],[Description]]="","",DATE(Table2[[#This Row],[Year]],Table2[[#This Row],[Month]],1))</f>
        <v/>
      </c>
    </row>
    <row r="7438" spans="7:11" x14ac:dyDescent="0.25">
      <c r="G7438" s="1" t="str">
        <f>IF(Table2[[#This Row],[Description]]="","",VLOOKUP(Table2[[#This Row],[Description]],$Q$1:$S$101,2,FALSE))</f>
        <v/>
      </c>
      <c r="H7438" s="1" t="str">
        <f>IF(Table2[[#This Row],[Description]]="","",VLOOKUP(Table2[[#This Row],[Description]],$Q$1:$S$101,3,FALSE))</f>
        <v/>
      </c>
      <c r="I7438" s="1" t="str">
        <f>IF(Table2[[#This Row],[Description]]="","",IF(Table2[[#This Row],[Currency]]=$O$2,$P$2,HLOOKUP(Table2[[#This Row],[Date]],Funds!$C$10:$GV$11,2,FALSE)))</f>
        <v/>
      </c>
      <c r="J7438" s="215" t="str">
        <f>IF(Table2[[#This Row],[Description]]="","",Table2[[#This Row],[Value]]/Table2[[#This Row],[Conversion]])</f>
        <v/>
      </c>
      <c r="K7438" s="45" t="str">
        <f>IF(Table2[[#This Row],[Description]]="","",DATE(Table2[[#This Row],[Year]],Table2[[#This Row],[Month]],1))</f>
        <v/>
      </c>
    </row>
    <row r="7439" spans="7:11" x14ac:dyDescent="0.25">
      <c r="G7439" s="1" t="str">
        <f>IF(Table2[[#This Row],[Description]]="","",VLOOKUP(Table2[[#This Row],[Description]],$Q$1:$S$101,2,FALSE))</f>
        <v/>
      </c>
      <c r="H7439" s="1" t="str">
        <f>IF(Table2[[#This Row],[Description]]="","",VLOOKUP(Table2[[#This Row],[Description]],$Q$1:$S$101,3,FALSE))</f>
        <v/>
      </c>
      <c r="I7439" s="1" t="str">
        <f>IF(Table2[[#This Row],[Description]]="","",IF(Table2[[#This Row],[Currency]]=$O$2,$P$2,HLOOKUP(Table2[[#This Row],[Date]],Funds!$C$10:$GV$11,2,FALSE)))</f>
        <v/>
      </c>
      <c r="J7439" s="215" t="str">
        <f>IF(Table2[[#This Row],[Description]]="","",Table2[[#This Row],[Value]]/Table2[[#This Row],[Conversion]])</f>
        <v/>
      </c>
      <c r="K7439" s="45" t="str">
        <f>IF(Table2[[#This Row],[Description]]="","",DATE(Table2[[#This Row],[Year]],Table2[[#This Row],[Month]],1))</f>
        <v/>
      </c>
    </row>
    <row r="7440" spans="7:11" x14ac:dyDescent="0.25">
      <c r="G7440" s="1" t="str">
        <f>IF(Table2[[#This Row],[Description]]="","",VLOOKUP(Table2[[#This Row],[Description]],$Q$1:$S$101,2,FALSE))</f>
        <v/>
      </c>
      <c r="H7440" s="1" t="str">
        <f>IF(Table2[[#This Row],[Description]]="","",VLOOKUP(Table2[[#This Row],[Description]],$Q$1:$S$101,3,FALSE))</f>
        <v/>
      </c>
      <c r="I7440" s="1" t="str">
        <f>IF(Table2[[#This Row],[Description]]="","",IF(Table2[[#This Row],[Currency]]=$O$2,$P$2,HLOOKUP(Table2[[#This Row],[Date]],Funds!$C$10:$GV$11,2,FALSE)))</f>
        <v/>
      </c>
      <c r="J7440" s="215" t="str">
        <f>IF(Table2[[#This Row],[Description]]="","",Table2[[#This Row],[Value]]/Table2[[#This Row],[Conversion]])</f>
        <v/>
      </c>
      <c r="K7440" s="45" t="str">
        <f>IF(Table2[[#This Row],[Description]]="","",DATE(Table2[[#This Row],[Year]],Table2[[#This Row],[Month]],1))</f>
        <v/>
      </c>
    </row>
    <row r="7441" spans="7:11" x14ac:dyDescent="0.25">
      <c r="G7441" s="1" t="str">
        <f>IF(Table2[[#This Row],[Description]]="","",VLOOKUP(Table2[[#This Row],[Description]],$Q$1:$S$101,2,FALSE))</f>
        <v/>
      </c>
      <c r="H7441" s="1" t="str">
        <f>IF(Table2[[#This Row],[Description]]="","",VLOOKUP(Table2[[#This Row],[Description]],$Q$1:$S$101,3,FALSE))</f>
        <v/>
      </c>
      <c r="I7441" s="1" t="str">
        <f>IF(Table2[[#This Row],[Description]]="","",IF(Table2[[#This Row],[Currency]]=$O$2,$P$2,HLOOKUP(Table2[[#This Row],[Date]],Funds!$C$10:$GV$11,2,FALSE)))</f>
        <v/>
      </c>
      <c r="J7441" s="215" t="str">
        <f>IF(Table2[[#This Row],[Description]]="","",Table2[[#This Row],[Value]]/Table2[[#This Row],[Conversion]])</f>
        <v/>
      </c>
      <c r="K7441" s="45" t="str">
        <f>IF(Table2[[#This Row],[Description]]="","",DATE(Table2[[#This Row],[Year]],Table2[[#This Row],[Month]],1))</f>
        <v/>
      </c>
    </row>
    <row r="7442" spans="7:11" x14ac:dyDescent="0.25">
      <c r="G7442" s="1" t="str">
        <f>IF(Table2[[#This Row],[Description]]="","",VLOOKUP(Table2[[#This Row],[Description]],$Q$1:$S$101,2,FALSE))</f>
        <v/>
      </c>
      <c r="H7442" s="1" t="str">
        <f>IF(Table2[[#This Row],[Description]]="","",VLOOKUP(Table2[[#This Row],[Description]],$Q$1:$S$101,3,FALSE))</f>
        <v/>
      </c>
      <c r="I7442" s="1" t="str">
        <f>IF(Table2[[#This Row],[Description]]="","",IF(Table2[[#This Row],[Currency]]=$O$2,$P$2,HLOOKUP(Table2[[#This Row],[Date]],Funds!$C$10:$GV$11,2,FALSE)))</f>
        <v/>
      </c>
      <c r="J7442" s="215" t="str">
        <f>IF(Table2[[#This Row],[Description]]="","",Table2[[#This Row],[Value]]/Table2[[#This Row],[Conversion]])</f>
        <v/>
      </c>
      <c r="K7442" s="45" t="str">
        <f>IF(Table2[[#This Row],[Description]]="","",DATE(Table2[[#This Row],[Year]],Table2[[#This Row],[Month]],1))</f>
        <v/>
      </c>
    </row>
    <row r="7443" spans="7:11" x14ac:dyDescent="0.25">
      <c r="G7443" s="1" t="str">
        <f>IF(Table2[[#This Row],[Description]]="","",VLOOKUP(Table2[[#This Row],[Description]],$Q$1:$S$101,2,FALSE))</f>
        <v/>
      </c>
      <c r="H7443" s="1" t="str">
        <f>IF(Table2[[#This Row],[Description]]="","",VLOOKUP(Table2[[#This Row],[Description]],$Q$1:$S$101,3,FALSE))</f>
        <v/>
      </c>
      <c r="I7443" s="1" t="str">
        <f>IF(Table2[[#This Row],[Description]]="","",IF(Table2[[#This Row],[Currency]]=$O$2,$P$2,HLOOKUP(Table2[[#This Row],[Date]],Funds!$C$10:$GV$11,2,FALSE)))</f>
        <v/>
      </c>
      <c r="J7443" s="215" t="str">
        <f>IF(Table2[[#This Row],[Description]]="","",Table2[[#This Row],[Value]]/Table2[[#This Row],[Conversion]])</f>
        <v/>
      </c>
      <c r="K7443" s="45" t="str">
        <f>IF(Table2[[#This Row],[Description]]="","",DATE(Table2[[#This Row],[Year]],Table2[[#This Row],[Month]],1))</f>
        <v/>
      </c>
    </row>
    <row r="7444" spans="7:11" x14ac:dyDescent="0.25">
      <c r="G7444" s="1" t="str">
        <f>IF(Table2[[#This Row],[Description]]="","",VLOOKUP(Table2[[#This Row],[Description]],$Q$1:$S$101,2,FALSE))</f>
        <v/>
      </c>
      <c r="H7444" s="1" t="str">
        <f>IF(Table2[[#This Row],[Description]]="","",VLOOKUP(Table2[[#This Row],[Description]],$Q$1:$S$101,3,FALSE))</f>
        <v/>
      </c>
      <c r="I7444" s="1" t="str">
        <f>IF(Table2[[#This Row],[Description]]="","",IF(Table2[[#This Row],[Currency]]=$O$2,$P$2,HLOOKUP(Table2[[#This Row],[Date]],Funds!$C$10:$GV$11,2,FALSE)))</f>
        <v/>
      </c>
      <c r="J7444" s="215" t="str">
        <f>IF(Table2[[#This Row],[Description]]="","",Table2[[#This Row],[Value]]/Table2[[#This Row],[Conversion]])</f>
        <v/>
      </c>
      <c r="K7444" s="45" t="str">
        <f>IF(Table2[[#This Row],[Description]]="","",DATE(Table2[[#This Row],[Year]],Table2[[#This Row],[Month]],1))</f>
        <v/>
      </c>
    </row>
    <row r="7445" spans="7:11" x14ac:dyDescent="0.25">
      <c r="G7445" s="1" t="str">
        <f>IF(Table2[[#This Row],[Description]]="","",VLOOKUP(Table2[[#This Row],[Description]],$Q$1:$S$101,2,FALSE))</f>
        <v/>
      </c>
      <c r="H7445" s="1" t="str">
        <f>IF(Table2[[#This Row],[Description]]="","",VLOOKUP(Table2[[#This Row],[Description]],$Q$1:$S$101,3,FALSE))</f>
        <v/>
      </c>
      <c r="I7445" s="1" t="str">
        <f>IF(Table2[[#This Row],[Description]]="","",IF(Table2[[#This Row],[Currency]]=$O$2,$P$2,HLOOKUP(Table2[[#This Row],[Date]],Funds!$C$10:$GV$11,2,FALSE)))</f>
        <v/>
      </c>
      <c r="J7445" s="215" t="str">
        <f>IF(Table2[[#This Row],[Description]]="","",Table2[[#This Row],[Value]]/Table2[[#This Row],[Conversion]])</f>
        <v/>
      </c>
      <c r="K7445" s="45" t="str">
        <f>IF(Table2[[#This Row],[Description]]="","",DATE(Table2[[#This Row],[Year]],Table2[[#This Row],[Month]],1))</f>
        <v/>
      </c>
    </row>
    <row r="7446" spans="7:11" x14ac:dyDescent="0.25">
      <c r="G7446" s="1" t="str">
        <f>IF(Table2[[#This Row],[Description]]="","",VLOOKUP(Table2[[#This Row],[Description]],$Q$1:$S$101,2,FALSE))</f>
        <v/>
      </c>
      <c r="H7446" s="1" t="str">
        <f>IF(Table2[[#This Row],[Description]]="","",VLOOKUP(Table2[[#This Row],[Description]],$Q$1:$S$101,3,FALSE))</f>
        <v/>
      </c>
      <c r="I7446" s="1" t="str">
        <f>IF(Table2[[#This Row],[Description]]="","",IF(Table2[[#This Row],[Currency]]=$O$2,$P$2,HLOOKUP(Table2[[#This Row],[Date]],Funds!$C$10:$GV$11,2,FALSE)))</f>
        <v/>
      </c>
      <c r="J7446" s="215" t="str">
        <f>IF(Table2[[#This Row],[Description]]="","",Table2[[#This Row],[Value]]/Table2[[#This Row],[Conversion]])</f>
        <v/>
      </c>
      <c r="K7446" s="45" t="str">
        <f>IF(Table2[[#This Row],[Description]]="","",DATE(Table2[[#This Row],[Year]],Table2[[#This Row],[Month]],1))</f>
        <v/>
      </c>
    </row>
    <row r="7447" spans="7:11" x14ac:dyDescent="0.25">
      <c r="G7447" s="1" t="str">
        <f>IF(Table2[[#This Row],[Description]]="","",VLOOKUP(Table2[[#This Row],[Description]],$Q$1:$S$101,2,FALSE))</f>
        <v/>
      </c>
      <c r="H7447" s="1" t="str">
        <f>IF(Table2[[#This Row],[Description]]="","",VLOOKUP(Table2[[#This Row],[Description]],$Q$1:$S$101,3,FALSE))</f>
        <v/>
      </c>
      <c r="I7447" s="1" t="str">
        <f>IF(Table2[[#This Row],[Description]]="","",IF(Table2[[#This Row],[Currency]]=$O$2,$P$2,HLOOKUP(Table2[[#This Row],[Date]],Funds!$C$10:$GV$11,2,FALSE)))</f>
        <v/>
      </c>
      <c r="J7447" s="215" t="str">
        <f>IF(Table2[[#This Row],[Description]]="","",Table2[[#This Row],[Value]]/Table2[[#This Row],[Conversion]])</f>
        <v/>
      </c>
      <c r="K7447" s="45" t="str">
        <f>IF(Table2[[#This Row],[Description]]="","",DATE(Table2[[#This Row],[Year]],Table2[[#This Row],[Month]],1))</f>
        <v/>
      </c>
    </row>
    <row r="7448" spans="7:11" x14ac:dyDescent="0.25">
      <c r="G7448" s="1" t="str">
        <f>IF(Table2[[#This Row],[Description]]="","",VLOOKUP(Table2[[#This Row],[Description]],$Q$1:$S$101,2,FALSE))</f>
        <v/>
      </c>
      <c r="H7448" s="1" t="str">
        <f>IF(Table2[[#This Row],[Description]]="","",VLOOKUP(Table2[[#This Row],[Description]],$Q$1:$S$101,3,FALSE))</f>
        <v/>
      </c>
      <c r="I7448" s="1" t="str">
        <f>IF(Table2[[#This Row],[Description]]="","",IF(Table2[[#This Row],[Currency]]=$O$2,$P$2,HLOOKUP(Table2[[#This Row],[Date]],Funds!$C$10:$GV$11,2,FALSE)))</f>
        <v/>
      </c>
      <c r="J7448" s="215" t="str">
        <f>IF(Table2[[#This Row],[Description]]="","",Table2[[#This Row],[Value]]/Table2[[#This Row],[Conversion]])</f>
        <v/>
      </c>
      <c r="K7448" s="45" t="str">
        <f>IF(Table2[[#This Row],[Description]]="","",DATE(Table2[[#This Row],[Year]],Table2[[#This Row],[Month]],1))</f>
        <v/>
      </c>
    </row>
    <row r="7449" spans="7:11" x14ac:dyDescent="0.25">
      <c r="G7449" s="1" t="str">
        <f>IF(Table2[[#This Row],[Description]]="","",VLOOKUP(Table2[[#This Row],[Description]],$Q$1:$S$101,2,FALSE))</f>
        <v/>
      </c>
      <c r="H7449" s="1" t="str">
        <f>IF(Table2[[#This Row],[Description]]="","",VLOOKUP(Table2[[#This Row],[Description]],$Q$1:$S$101,3,FALSE))</f>
        <v/>
      </c>
      <c r="I7449" s="1" t="str">
        <f>IF(Table2[[#This Row],[Description]]="","",IF(Table2[[#This Row],[Currency]]=$O$2,$P$2,HLOOKUP(Table2[[#This Row],[Date]],Funds!$C$10:$GV$11,2,FALSE)))</f>
        <v/>
      </c>
      <c r="J7449" s="215" t="str">
        <f>IF(Table2[[#This Row],[Description]]="","",Table2[[#This Row],[Value]]/Table2[[#This Row],[Conversion]])</f>
        <v/>
      </c>
      <c r="K7449" s="45" t="str">
        <f>IF(Table2[[#This Row],[Description]]="","",DATE(Table2[[#This Row],[Year]],Table2[[#This Row],[Month]],1))</f>
        <v/>
      </c>
    </row>
    <row r="7450" spans="7:11" x14ac:dyDescent="0.25">
      <c r="G7450" s="1" t="str">
        <f>IF(Table2[[#This Row],[Description]]="","",VLOOKUP(Table2[[#This Row],[Description]],$Q$1:$S$101,2,FALSE))</f>
        <v/>
      </c>
      <c r="H7450" s="1" t="str">
        <f>IF(Table2[[#This Row],[Description]]="","",VLOOKUP(Table2[[#This Row],[Description]],$Q$1:$S$101,3,FALSE))</f>
        <v/>
      </c>
      <c r="I7450" s="1" t="str">
        <f>IF(Table2[[#This Row],[Description]]="","",IF(Table2[[#This Row],[Currency]]=$O$2,$P$2,HLOOKUP(Table2[[#This Row],[Date]],Funds!$C$10:$GV$11,2,FALSE)))</f>
        <v/>
      </c>
      <c r="J7450" s="215" t="str">
        <f>IF(Table2[[#This Row],[Description]]="","",Table2[[#This Row],[Value]]/Table2[[#This Row],[Conversion]])</f>
        <v/>
      </c>
      <c r="K7450" s="45" t="str">
        <f>IF(Table2[[#This Row],[Description]]="","",DATE(Table2[[#This Row],[Year]],Table2[[#This Row],[Month]],1))</f>
        <v/>
      </c>
    </row>
    <row r="7451" spans="7:11" x14ac:dyDescent="0.25">
      <c r="G7451" s="1" t="str">
        <f>IF(Table2[[#This Row],[Description]]="","",VLOOKUP(Table2[[#This Row],[Description]],$Q$1:$S$101,2,FALSE))</f>
        <v/>
      </c>
      <c r="H7451" s="1" t="str">
        <f>IF(Table2[[#This Row],[Description]]="","",VLOOKUP(Table2[[#This Row],[Description]],$Q$1:$S$101,3,FALSE))</f>
        <v/>
      </c>
      <c r="I7451" s="1" t="str">
        <f>IF(Table2[[#This Row],[Description]]="","",IF(Table2[[#This Row],[Currency]]=$O$2,$P$2,HLOOKUP(Table2[[#This Row],[Date]],Funds!$C$10:$GV$11,2,FALSE)))</f>
        <v/>
      </c>
      <c r="J7451" s="215" t="str">
        <f>IF(Table2[[#This Row],[Description]]="","",Table2[[#This Row],[Value]]/Table2[[#This Row],[Conversion]])</f>
        <v/>
      </c>
      <c r="K7451" s="45" t="str">
        <f>IF(Table2[[#This Row],[Description]]="","",DATE(Table2[[#This Row],[Year]],Table2[[#This Row],[Month]],1))</f>
        <v/>
      </c>
    </row>
    <row r="7452" spans="7:11" x14ac:dyDescent="0.25">
      <c r="G7452" s="1" t="str">
        <f>IF(Table2[[#This Row],[Description]]="","",VLOOKUP(Table2[[#This Row],[Description]],$Q$1:$S$101,2,FALSE))</f>
        <v/>
      </c>
      <c r="H7452" s="1" t="str">
        <f>IF(Table2[[#This Row],[Description]]="","",VLOOKUP(Table2[[#This Row],[Description]],$Q$1:$S$101,3,FALSE))</f>
        <v/>
      </c>
      <c r="I7452" s="1" t="str">
        <f>IF(Table2[[#This Row],[Description]]="","",IF(Table2[[#This Row],[Currency]]=$O$2,$P$2,HLOOKUP(Table2[[#This Row],[Date]],Funds!$C$10:$GV$11,2,FALSE)))</f>
        <v/>
      </c>
      <c r="J7452" s="215" t="str">
        <f>IF(Table2[[#This Row],[Description]]="","",Table2[[#This Row],[Value]]/Table2[[#This Row],[Conversion]])</f>
        <v/>
      </c>
      <c r="K7452" s="45" t="str">
        <f>IF(Table2[[#This Row],[Description]]="","",DATE(Table2[[#This Row],[Year]],Table2[[#This Row],[Month]],1))</f>
        <v/>
      </c>
    </row>
    <row r="7453" spans="7:11" x14ac:dyDescent="0.25">
      <c r="G7453" s="1" t="str">
        <f>IF(Table2[[#This Row],[Description]]="","",VLOOKUP(Table2[[#This Row],[Description]],$Q$1:$S$101,2,FALSE))</f>
        <v/>
      </c>
      <c r="H7453" s="1" t="str">
        <f>IF(Table2[[#This Row],[Description]]="","",VLOOKUP(Table2[[#This Row],[Description]],$Q$1:$S$101,3,FALSE))</f>
        <v/>
      </c>
      <c r="I7453" s="1" t="str">
        <f>IF(Table2[[#This Row],[Description]]="","",IF(Table2[[#This Row],[Currency]]=$O$2,$P$2,HLOOKUP(Table2[[#This Row],[Date]],Funds!$C$10:$GV$11,2,FALSE)))</f>
        <v/>
      </c>
      <c r="J7453" s="215" t="str">
        <f>IF(Table2[[#This Row],[Description]]="","",Table2[[#This Row],[Value]]/Table2[[#This Row],[Conversion]])</f>
        <v/>
      </c>
      <c r="K7453" s="45" t="str">
        <f>IF(Table2[[#This Row],[Description]]="","",DATE(Table2[[#This Row],[Year]],Table2[[#This Row],[Month]],1))</f>
        <v/>
      </c>
    </row>
    <row r="7454" spans="7:11" x14ac:dyDescent="0.25">
      <c r="G7454" s="1" t="str">
        <f>IF(Table2[[#This Row],[Description]]="","",VLOOKUP(Table2[[#This Row],[Description]],$Q$1:$S$101,2,FALSE))</f>
        <v/>
      </c>
      <c r="H7454" s="1" t="str">
        <f>IF(Table2[[#This Row],[Description]]="","",VLOOKUP(Table2[[#This Row],[Description]],$Q$1:$S$101,3,FALSE))</f>
        <v/>
      </c>
      <c r="I7454" s="1" t="str">
        <f>IF(Table2[[#This Row],[Description]]="","",IF(Table2[[#This Row],[Currency]]=$O$2,$P$2,HLOOKUP(Table2[[#This Row],[Date]],Funds!$C$10:$GV$11,2,FALSE)))</f>
        <v/>
      </c>
      <c r="J7454" s="215" t="str">
        <f>IF(Table2[[#This Row],[Description]]="","",Table2[[#This Row],[Value]]/Table2[[#This Row],[Conversion]])</f>
        <v/>
      </c>
      <c r="K7454" s="45" t="str">
        <f>IF(Table2[[#This Row],[Description]]="","",DATE(Table2[[#This Row],[Year]],Table2[[#This Row],[Month]],1))</f>
        <v/>
      </c>
    </row>
    <row r="7455" spans="7:11" x14ac:dyDescent="0.25">
      <c r="G7455" s="1" t="str">
        <f>IF(Table2[[#This Row],[Description]]="","",VLOOKUP(Table2[[#This Row],[Description]],$Q$1:$S$101,2,FALSE))</f>
        <v/>
      </c>
      <c r="H7455" s="1" t="str">
        <f>IF(Table2[[#This Row],[Description]]="","",VLOOKUP(Table2[[#This Row],[Description]],$Q$1:$S$101,3,FALSE))</f>
        <v/>
      </c>
      <c r="I7455" s="1" t="str">
        <f>IF(Table2[[#This Row],[Description]]="","",IF(Table2[[#This Row],[Currency]]=$O$2,$P$2,HLOOKUP(Table2[[#This Row],[Date]],Funds!$C$10:$GV$11,2,FALSE)))</f>
        <v/>
      </c>
      <c r="J7455" s="215" t="str">
        <f>IF(Table2[[#This Row],[Description]]="","",Table2[[#This Row],[Value]]/Table2[[#This Row],[Conversion]])</f>
        <v/>
      </c>
      <c r="K7455" s="45" t="str">
        <f>IF(Table2[[#This Row],[Description]]="","",DATE(Table2[[#This Row],[Year]],Table2[[#This Row],[Month]],1))</f>
        <v/>
      </c>
    </row>
    <row r="7456" spans="7:11" x14ac:dyDescent="0.25">
      <c r="G7456" s="1" t="str">
        <f>IF(Table2[[#This Row],[Description]]="","",VLOOKUP(Table2[[#This Row],[Description]],$Q$1:$S$101,2,FALSE))</f>
        <v/>
      </c>
      <c r="H7456" s="1" t="str">
        <f>IF(Table2[[#This Row],[Description]]="","",VLOOKUP(Table2[[#This Row],[Description]],$Q$1:$S$101,3,FALSE))</f>
        <v/>
      </c>
      <c r="I7456" s="1" t="str">
        <f>IF(Table2[[#This Row],[Description]]="","",IF(Table2[[#This Row],[Currency]]=$O$2,$P$2,HLOOKUP(Table2[[#This Row],[Date]],Funds!$C$10:$GV$11,2,FALSE)))</f>
        <v/>
      </c>
      <c r="J7456" s="215" t="str">
        <f>IF(Table2[[#This Row],[Description]]="","",Table2[[#This Row],[Value]]/Table2[[#This Row],[Conversion]])</f>
        <v/>
      </c>
      <c r="K7456" s="45" t="str">
        <f>IF(Table2[[#This Row],[Description]]="","",DATE(Table2[[#This Row],[Year]],Table2[[#This Row],[Month]],1))</f>
        <v/>
      </c>
    </row>
    <row r="7457" spans="7:11" x14ac:dyDescent="0.25">
      <c r="G7457" s="1" t="str">
        <f>IF(Table2[[#This Row],[Description]]="","",VLOOKUP(Table2[[#This Row],[Description]],$Q$1:$S$101,2,FALSE))</f>
        <v/>
      </c>
      <c r="H7457" s="1" t="str">
        <f>IF(Table2[[#This Row],[Description]]="","",VLOOKUP(Table2[[#This Row],[Description]],$Q$1:$S$101,3,FALSE))</f>
        <v/>
      </c>
      <c r="I7457" s="1" t="str">
        <f>IF(Table2[[#This Row],[Description]]="","",IF(Table2[[#This Row],[Currency]]=$O$2,$P$2,HLOOKUP(Table2[[#This Row],[Date]],Funds!$C$10:$GV$11,2,FALSE)))</f>
        <v/>
      </c>
      <c r="J7457" s="215" t="str">
        <f>IF(Table2[[#This Row],[Description]]="","",Table2[[#This Row],[Value]]/Table2[[#This Row],[Conversion]])</f>
        <v/>
      </c>
      <c r="K7457" s="45" t="str">
        <f>IF(Table2[[#This Row],[Description]]="","",DATE(Table2[[#This Row],[Year]],Table2[[#This Row],[Month]],1))</f>
        <v/>
      </c>
    </row>
    <row r="7458" spans="7:11" x14ac:dyDescent="0.25">
      <c r="G7458" s="1" t="str">
        <f>IF(Table2[[#This Row],[Description]]="","",VLOOKUP(Table2[[#This Row],[Description]],$Q$1:$S$101,2,FALSE))</f>
        <v/>
      </c>
      <c r="H7458" s="1" t="str">
        <f>IF(Table2[[#This Row],[Description]]="","",VLOOKUP(Table2[[#This Row],[Description]],$Q$1:$S$101,3,FALSE))</f>
        <v/>
      </c>
      <c r="I7458" s="1" t="str">
        <f>IF(Table2[[#This Row],[Description]]="","",IF(Table2[[#This Row],[Currency]]=$O$2,$P$2,HLOOKUP(Table2[[#This Row],[Date]],Funds!$C$10:$GV$11,2,FALSE)))</f>
        <v/>
      </c>
      <c r="J7458" s="215" t="str">
        <f>IF(Table2[[#This Row],[Description]]="","",Table2[[#This Row],[Value]]/Table2[[#This Row],[Conversion]])</f>
        <v/>
      </c>
      <c r="K7458" s="45" t="str">
        <f>IF(Table2[[#This Row],[Description]]="","",DATE(Table2[[#This Row],[Year]],Table2[[#This Row],[Month]],1))</f>
        <v/>
      </c>
    </row>
    <row r="7459" spans="7:11" x14ac:dyDescent="0.25">
      <c r="G7459" s="1" t="str">
        <f>IF(Table2[[#This Row],[Description]]="","",VLOOKUP(Table2[[#This Row],[Description]],$Q$1:$S$101,2,FALSE))</f>
        <v/>
      </c>
      <c r="H7459" s="1" t="str">
        <f>IF(Table2[[#This Row],[Description]]="","",VLOOKUP(Table2[[#This Row],[Description]],$Q$1:$S$101,3,FALSE))</f>
        <v/>
      </c>
      <c r="I7459" s="1" t="str">
        <f>IF(Table2[[#This Row],[Description]]="","",IF(Table2[[#This Row],[Currency]]=$O$2,$P$2,HLOOKUP(Table2[[#This Row],[Date]],Funds!$C$10:$GV$11,2,FALSE)))</f>
        <v/>
      </c>
      <c r="J7459" s="215" t="str">
        <f>IF(Table2[[#This Row],[Description]]="","",Table2[[#This Row],[Value]]/Table2[[#This Row],[Conversion]])</f>
        <v/>
      </c>
      <c r="K7459" s="45" t="str">
        <f>IF(Table2[[#This Row],[Description]]="","",DATE(Table2[[#This Row],[Year]],Table2[[#This Row],[Month]],1))</f>
        <v/>
      </c>
    </row>
    <row r="7460" spans="7:11" x14ac:dyDescent="0.25">
      <c r="G7460" s="1" t="str">
        <f>IF(Table2[[#This Row],[Description]]="","",VLOOKUP(Table2[[#This Row],[Description]],$Q$1:$S$101,2,FALSE))</f>
        <v/>
      </c>
      <c r="H7460" s="1" t="str">
        <f>IF(Table2[[#This Row],[Description]]="","",VLOOKUP(Table2[[#This Row],[Description]],$Q$1:$S$101,3,FALSE))</f>
        <v/>
      </c>
      <c r="I7460" s="1" t="str">
        <f>IF(Table2[[#This Row],[Description]]="","",IF(Table2[[#This Row],[Currency]]=$O$2,$P$2,HLOOKUP(Table2[[#This Row],[Date]],Funds!$C$10:$GV$11,2,FALSE)))</f>
        <v/>
      </c>
      <c r="J7460" s="215" t="str">
        <f>IF(Table2[[#This Row],[Description]]="","",Table2[[#This Row],[Value]]/Table2[[#This Row],[Conversion]])</f>
        <v/>
      </c>
      <c r="K7460" s="45" t="str">
        <f>IF(Table2[[#This Row],[Description]]="","",DATE(Table2[[#This Row],[Year]],Table2[[#This Row],[Month]],1))</f>
        <v/>
      </c>
    </row>
    <row r="7461" spans="7:11" x14ac:dyDescent="0.25">
      <c r="G7461" s="1" t="str">
        <f>IF(Table2[[#This Row],[Description]]="","",VLOOKUP(Table2[[#This Row],[Description]],$Q$1:$S$101,2,FALSE))</f>
        <v/>
      </c>
      <c r="H7461" s="1" t="str">
        <f>IF(Table2[[#This Row],[Description]]="","",VLOOKUP(Table2[[#This Row],[Description]],$Q$1:$S$101,3,FALSE))</f>
        <v/>
      </c>
      <c r="I7461" s="1" t="str">
        <f>IF(Table2[[#This Row],[Description]]="","",IF(Table2[[#This Row],[Currency]]=$O$2,$P$2,HLOOKUP(Table2[[#This Row],[Date]],Funds!$C$10:$GV$11,2,FALSE)))</f>
        <v/>
      </c>
      <c r="J7461" s="215" t="str">
        <f>IF(Table2[[#This Row],[Description]]="","",Table2[[#This Row],[Value]]/Table2[[#This Row],[Conversion]])</f>
        <v/>
      </c>
      <c r="K7461" s="45" t="str">
        <f>IF(Table2[[#This Row],[Description]]="","",DATE(Table2[[#This Row],[Year]],Table2[[#This Row],[Month]],1))</f>
        <v/>
      </c>
    </row>
    <row r="7462" spans="7:11" x14ac:dyDescent="0.25">
      <c r="G7462" s="1" t="str">
        <f>IF(Table2[[#This Row],[Description]]="","",VLOOKUP(Table2[[#This Row],[Description]],$Q$1:$S$101,2,FALSE))</f>
        <v/>
      </c>
      <c r="H7462" s="1" t="str">
        <f>IF(Table2[[#This Row],[Description]]="","",VLOOKUP(Table2[[#This Row],[Description]],$Q$1:$S$101,3,FALSE))</f>
        <v/>
      </c>
      <c r="I7462" s="1" t="str">
        <f>IF(Table2[[#This Row],[Description]]="","",IF(Table2[[#This Row],[Currency]]=$O$2,$P$2,HLOOKUP(Table2[[#This Row],[Date]],Funds!$C$10:$GV$11,2,FALSE)))</f>
        <v/>
      </c>
      <c r="J7462" s="215" t="str">
        <f>IF(Table2[[#This Row],[Description]]="","",Table2[[#This Row],[Value]]/Table2[[#This Row],[Conversion]])</f>
        <v/>
      </c>
      <c r="K7462" s="45" t="str">
        <f>IF(Table2[[#This Row],[Description]]="","",DATE(Table2[[#This Row],[Year]],Table2[[#This Row],[Month]],1))</f>
        <v/>
      </c>
    </row>
    <row r="7463" spans="7:11" x14ac:dyDescent="0.25">
      <c r="G7463" s="1" t="str">
        <f>IF(Table2[[#This Row],[Description]]="","",VLOOKUP(Table2[[#This Row],[Description]],$Q$1:$S$101,2,FALSE))</f>
        <v/>
      </c>
      <c r="H7463" s="1" t="str">
        <f>IF(Table2[[#This Row],[Description]]="","",VLOOKUP(Table2[[#This Row],[Description]],$Q$1:$S$101,3,FALSE))</f>
        <v/>
      </c>
      <c r="I7463" s="1" t="str">
        <f>IF(Table2[[#This Row],[Description]]="","",IF(Table2[[#This Row],[Currency]]=$O$2,$P$2,HLOOKUP(Table2[[#This Row],[Date]],Funds!$C$10:$GV$11,2,FALSE)))</f>
        <v/>
      </c>
      <c r="J7463" s="215" t="str">
        <f>IF(Table2[[#This Row],[Description]]="","",Table2[[#This Row],[Value]]/Table2[[#This Row],[Conversion]])</f>
        <v/>
      </c>
      <c r="K7463" s="45" t="str">
        <f>IF(Table2[[#This Row],[Description]]="","",DATE(Table2[[#This Row],[Year]],Table2[[#This Row],[Month]],1))</f>
        <v/>
      </c>
    </row>
    <row r="7464" spans="7:11" x14ac:dyDescent="0.25">
      <c r="G7464" s="1" t="str">
        <f>IF(Table2[[#This Row],[Description]]="","",VLOOKUP(Table2[[#This Row],[Description]],$Q$1:$S$101,2,FALSE))</f>
        <v/>
      </c>
      <c r="H7464" s="1" t="str">
        <f>IF(Table2[[#This Row],[Description]]="","",VLOOKUP(Table2[[#This Row],[Description]],$Q$1:$S$101,3,FALSE))</f>
        <v/>
      </c>
      <c r="I7464" s="1" t="str">
        <f>IF(Table2[[#This Row],[Description]]="","",IF(Table2[[#This Row],[Currency]]=$O$2,$P$2,HLOOKUP(Table2[[#This Row],[Date]],Funds!$C$10:$GV$11,2,FALSE)))</f>
        <v/>
      </c>
      <c r="J7464" s="215" t="str">
        <f>IF(Table2[[#This Row],[Description]]="","",Table2[[#This Row],[Value]]/Table2[[#This Row],[Conversion]])</f>
        <v/>
      </c>
      <c r="K7464" s="45" t="str">
        <f>IF(Table2[[#This Row],[Description]]="","",DATE(Table2[[#This Row],[Year]],Table2[[#This Row],[Month]],1))</f>
        <v/>
      </c>
    </row>
    <row r="7465" spans="7:11" x14ac:dyDescent="0.25">
      <c r="G7465" s="1" t="str">
        <f>IF(Table2[[#This Row],[Description]]="","",VLOOKUP(Table2[[#This Row],[Description]],$Q$1:$S$101,2,FALSE))</f>
        <v/>
      </c>
      <c r="H7465" s="1" t="str">
        <f>IF(Table2[[#This Row],[Description]]="","",VLOOKUP(Table2[[#This Row],[Description]],$Q$1:$S$101,3,FALSE))</f>
        <v/>
      </c>
      <c r="I7465" s="1" t="str">
        <f>IF(Table2[[#This Row],[Description]]="","",IF(Table2[[#This Row],[Currency]]=$O$2,$P$2,HLOOKUP(Table2[[#This Row],[Date]],Funds!$C$10:$GV$11,2,FALSE)))</f>
        <v/>
      </c>
      <c r="J7465" s="215" t="str">
        <f>IF(Table2[[#This Row],[Description]]="","",Table2[[#This Row],[Value]]/Table2[[#This Row],[Conversion]])</f>
        <v/>
      </c>
      <c r="K7465" s="45" t="str">
        <f>IF(Table2[[#This Row],[Description]]="","",DATE(Table2[[#This Row],[Year]],Table2[[#This Row],[Month]],1))</f>
        <v/>
      </c>
    </row>
    <row r="7466" spans="7:11" x14ac:dyDescent="0.25">
      <c r="G7466" s="1" t="str">
        <f>IF(Table2[[#This Row],[Description]]="","",VLOOKUP(Table2[[#This Row],[Description]],$Q$1:$S$101,2,FALSE))</f>
        <v/>
      </c>
      <c r="H7466" s="1" t="str">
        <f>IF(Table2[[#This Row],[Description]]="","",VLOOKUP(Table2[[#This Row],[Description]],$Q$1:$S$101,3,FALSE))</f>
        <v/>
      </c>
      <c r="I7466" s="1" t="str">
        <f>IF(Table2[[#This Row],[Description]]="","",IF(Table2[[#This Row],[Currency]]=$O$2,$P$2,HLOOKUP(Table2[[#This Row],[Date]],Funds!$C$10:$GV$11,2,FALSE)))</f>
        <v/>
      </c>
      <c r="J7466" s="215" t="str">
        <f>IF(Table2[[#This Row],[Description]]="","",Table2[[#This Row],[Value]]/Table2[[#This Row],[Conversion]])</f>
        <v/>
      </c>
      <c r="K7466" s="45" t="str">
        <f>IF(Table2[[#This Row],[Description]]="","",DATE(Table2[[#This Row],[Year]],Table2[[#This Row],[Month]],1))</f>
        <v/>
      </c>
    </row>
    <row r="7467" spans="7:11" x14ac:dyDescent="0.25">
      <c r="G7467" s="1" t="str">
        <f>IF(Table2[[#This Row],[Description]]="","",VLOOKUP(Table2[[#This Row],[Description]],$Q$1:$S$101,2,FALSE))</f>
        <v/>
      </c>
      <c r="H7467" s="1" t="str">
        <f>IF(Table2[[#This Row],[Description]]="","",VLOOKUP(Table2[[#This Row],[Description]],$Q$1:$S$101,3,FALSE))</f>
        <v/>
      </c>
      <c r="I7467" s="1" t="str">
        <f>IF(Table2[[#This Row],[Description]]="","",IF(Table2[[#This Row],[Currency]]=$O$2,$P$2,HLOOKUP(Table2[[#This Row],[Date]],Funds!$C$10:$GV$11,2,FALSE)))</f>
        <v/>
      </c>
      <c r="J7467" s="215" t="str">
        <f>IF(Table2[[#This Row],[Description]]="","",Table2[[#This Row],[Value]]/Table2[[#This Row],[Conversion]])</f>
        <v/>
      </c>
      <c r="K7467" s="45" t="str">
        <f>IF(Table2[[#This Row],[Description]]="","",DATE(Table2[[#This Row],[Year]],Table2[[#This Row],[Month]],1))</f>
        <v/>
      </c>
    </row>
    <row r="7468" spans="7:11" x14ac:dyDescent="0.25">
      <c r="G7468" s="1" t="str">
        <f>IF(Table2[[#This Row],[Description]]="","",VLOOKUP(Table2[[#This Row],[Description]],$Q$1:$S$101,2,FALSE))</f>
        <v/>
      </c>
      <c r="H7468" s="1" t="str">
        <f>IF(Table2[[#This Row],[Description]]="","",VLOOKUP(Table2[[#This Row],[Description]],$Q$1:$S$101,3,FALSE))</f>
        <v/>
      </c>
      <c r="I7468" s="1" t="str">
        <f>IF(Table2[[#This Row],[Description]]="","",IF(Table2[[#This Row],[Currency]]=$O$2,$P$2,HLOOKUP(Table2[[#This Row],[Date]],Funds!$C$10:$GV$11,2,FALSE)))</f>
        <v/>
      </c>
      <c r="J7468" s="215" t="str">
        <f>IF(Table2[[#This Row],[Description]]="","",Table2[[#This Row],[Value]]/Table2[[#This Row],[Conversion]])</f>
        <v/>
      </c>
      <c r="K7468" s="45" t="str">
        <f>IF(Table2[[#This Row],[Description]]="","",DATE(Table2[[#This Row],[Year]],Table2[[#This Row],[Month]],1))</f>
        <v/>
      </c>
    </row>
    <row r="7469" spans="7:11" x14ac:dyDescent="0.25">
      <c r="G7469" s="1" t="str">
        <f>IF(Table2[[#This Row],[Description]]="","",VLOOKUP(Table2[[#This Row],[Description]],$Q$1:$S$101,2,FALSE))</f>
        <v/>
      </c>
      <c r="H7469" s="1" t="str">
        <f>IF(Table2[[#This Row],[Description]]="","",VLOOKUP(Table2[[#This Row],[Description]],$Q$1:$S$101,3,FALSE))</f>
        <v/>
      </c>
      <c r="I7469" s="1" t="str">
        <f>IF(Table2[[#This Row],[Description]]="","",IF(Table2[[#This Row],[Currency]]=$O$2,$P$2,HLOOKUP(Table2[[#This Row],[Date]],Funds!$C$10:$GV$11,2,FALSE)))</f>
        <v/>
      </c>
      <c r="J7469" s="215" t="str">
        <f>IF(Table2[[#This Row],[Description]]="","",Table2[[#This Row],[Value]]/Table2[[#This Row],[Conversion]])</f>
        <v/>
      </c>
      <c r="K7469" s="45" t="str">
        <f>IF(Table2[[#This Row],[Description]]="","",DATE(Table2[[#This Row],[Year]],Table2[[#This Row],[Month]],1))</f>
        <v/>
      </c>
    </row>
    <row r="7470" spans="7:11" x14ac:dyDescent="0.25">
      <c r="G7470" s="1" t="str">
        <f>IF(Table2[[#This Row],[Description]]="","",VLOOKUP(Table2[[#This Row],[Description]],$Q$1:$S$101,2,FALSE))</f>
        <v/>
      </c>
      <c r="H7470" s="1" t="str">
        <f>IF(Table2[[#This Row],[Description]]="","",VLOOKUP(Table2[[#This Row],[Description]],$Q$1:$S$101,3,FALSE))</f>
        <v/>
      </c>
      <c r="I7470" s="1" t="str">
        <f>IF(Table2[[#This Row],[Description]]="","",IF(Table2[[#This Row],[Currency]]=$O$2,$P$2,HLOOKUP(Table2[[#This Row],[Date]],Funds!$C$10:$GV$11,2,FALSE)))</f>
        <v/>
      </c>
      <c r="J7470" s="215" t="str">
        <f>IF(Table2[[#This Row],[Description]]="","",Table2[[#This Row],[Value]]/Table2[[#This Row],[Conversion]])</f>
        <v/>
      </c>
      <c r="K7470" s="45" t="str">
        <f>IF(Table2[[#This Row],[Description]]="","",DATE(Table2[[#This Row],[Year]],Table2[[#This Row],[Month]],1))</f>
        <v/>
      </c>
    </row>
    <row r="7471" spans="7:11" x14ac:dyDescent="0.25">
      <c r="G7471" s="1" t="str">
        <f>IF(Table2[[#This Row],[Description]]="","",VLOOKUP(Table2[[#This Row],[Description]],$Q$1:$S$101,2,FALSE))</f>
        <v/>
      </c>
      <c r="H7471" s="1" t="str">
        <f>IF(Table2[[#This Row],[Description]]="","",VLOOKUP(Table2[[#This Row],[Description]],$Q$1:$S$101,3,FALSE))</f>
        <v/>
      </c>
      <c r="I7471" s="1" t="str">
        <f>IF(Table2[[#This Row],[Description]]="","",IF(Table2[[#This Row],[Currency]]=$O$2,$P$2,HLOOKUP(Table2[[#This Row],[Date]],Funds!$C$10:$GV$11,2,FALSE)))</f>
        <v/>
      </c>
      <c r="J7471" s="215" t="str">
        <f>IF(Table2[[#This Row],[Description]]="","",Table2[[#This Row],[Value]]/Table2[[#This Row],[Conversion]])</f>
        <v/>
      </c>
      <c r="K7471" s="45" t="str">
        <f>IF(Table2[[#This Row],[Description]]="","",DATE(Table2[[#This Row],[Year]],Table2[[#This Row],[Month]],1))</f>
        <v/>
      </c>
    </row>
    <row r="7472" spans="7:11" x14ac:dyDescent="0.25">
      <c r="G7472" s="1" t="str">
        <f>IF(Table2[[#This Row],[Description]]="","",VLOOKUP(Table2[[#This Row],[Description]],$Q$1:$S$101,2,FALSE))</f>
        <v/>
      </c>
      <c r="H7472" s="1" t="str">
        <f>IF(Table2[[#This Row],[Description]]="","",VLOOKUP(Table2[[#This Row],[Description]],$Q$1:$S$101,3,FALSE))</f>
        <v/>
      </c>
      <c r="I7472" s="1" t="str">
        <f>IF(Table2[[#This Row],[Description]]="","",IF(Table2[[#This Row],[Currency]]=$O$2,$P$2,HLOOKUP(Table2[[#This Row],[Date]],Funds!$C$10:$GV$11,2,FALSE)))</f>
        <v/>
      </c>
      <c r="J7472" s="215" t="str">
        <f>IF(Table2[[#This Row],[Description]]="","",Table2[[#This Row],[Value]]/Table2[[#This Row],[Conversion]])</f>
        <v/>
      </c>
      <c r="K7472" s="45" t="str">
        <f>IF(Table2[[#This Row],[Description]]="","",DATE(Table2[[#This Row],[Year]],Table2[[#This Row],[Month]],1))</f>
        <v/>
      </c>
    </row>
    <row r="7473" spans="7:11" x14ac:dyDescent="0.25">
      <c r="G7473" s="1" t="str">
        <f>IF(Table2[[#This Row],[Description]]="","",VLOOKUP(Table2[[#This Row],[Description]],$Q$1:$S$101,2,FALSE))</f>
        <v/>
      </c>
      <c r="H7473" s="1" t="str">
        <f>IF(Table2[[#This Row],[Description]]="","",VLOOKUP(Table2[[#This Row],[Description]],$Q$1:$S$101,3,FALSE))</f>
        <v/>
      </c>
      <c r="I7473" s="1" t="str">
        <f>IF(Table2[[#This Row],[Description]]="","",IF(Table2[[#This Row],[Currency]]=$O$2,$P$2,HLOOKUP(Table2[[#This Row],[Date]],Funds!$C$10:$GV$11,2,FALSE)))</f>
        <v/>
      </c>
      <c r="J7473" s="215" t="str">
        <f>IF(Table2[[#This Row],[Description]]="","",Table2[[#This Row],[Value]]/Table2[[#This Row],[Conversion]])</f>
        <v/>
      </c>
      <c r="K7473" s="45" t="str">
        <f>IF(Table2[[#This Row],[Description]]="","",DATE(Table2[[#This Row],[Year]],Table2[[#This Row],[Month]],1))</f>
        <v/>
      </c>
    </row>
    <row r="7474" spans="7:11" x14ac:dyDescent="0.25">
      <c r="G7474" s="1" t="str">
        <f>IF(Table2[[#This Row],[Description]]="","",VLOOKUP(Table2[[#This Row],[Description]],$Q$1:$S$101,2,FALSE))</f>
        <v/>
      </c>
      <c r="H7474" s="1" t="str">
        <f>IF(Table2[[#This Row],[Description]]="","",VLOOKUP(Table2[[#This Row],[Description]],$Q$1:$S$101,3,FALSE))</f>
        <v/>
      </c>
      <c r="I7474" s="1" t="str">
        <f>IF(Table2[[#This Row],[Description]]="","",IF(Table2[[#This Row],[Currency]]=$O$2,$P$2,HLOOKUP(Table2[[#This Row],[Date]],Funds!$C$10:$GV$11,2,FALSE)))</f>
        <v/>
      </c>
      <c r="J7474" s="215" t="str">
        <f>IF(Table2[[#This Row],[Description]]="","",Table2[[#This Row],[Value]]/Table2[[#This Row],[Conversion]])</f>
        <v/>
      </c>
      <c r="K7474" s="45" t="str">
        <f>IF(Table2[[#This Row],[Description]]="","",DATE(Table2[[#This Row],[Year]],Table2[[#This Row],[Month]],1))</f>
        <v/>
      </c>
    </row>
    <row r="7475" spans="7:11" x14ac:dyDescent="0.25">
      <c r="G7475" s="1" t="str">
        <f>IF(Table2[[#This Row],[Description]]="","",VLOOKUP(Table2[[#This Row],[Description]],$Q$1:$S$101,2,FALSE))</f>
        <v/>
      </c>
      <c r="H7475" s="1" t="str">
        <f>IF(Table2[[#This Row],[Description]]="","",VLOOKUP(Table2[[#This Row],[Description]],$Q$1:$S$101,3,FALSE))</f>
        <v/>
      </c>
      <c r="I7475" s="1" t="str">
        <f>IF(Table2[[#This Row],[Description]]="","",IF(Table2[[#This Row],[Currency]]=$O$2,$P$2,HLOOKUP(Table2[[#This Row],[Date]],Funds!$C$10:$GV$11,2,FALSE)))</f>
        <v/>
      </c>
      <c r="J7475" s="215" t="str">
        <f>IF(Table2[[#This Row],[Description]]="","",Table2[[#This Row],[Value]]/Table2[[#This Row],[Conversion]])</f>
        <v/>
      </c>
      <c r="K7475" s="45" t="str">
        <f>IF(Table2[[#This Row],[Description]]="","",DATE(Table2[[#This Row],[Year]],Table2[[#This Row],[Month]],1))</f>
        <v/>
      </c>
    </row>
    <row r="7476" spans="7:11" x14ac:dyDescent="0.25">
      <c r="G7476" s="1" t="str">
        <f>IF(Table2[[#This Row],[Description]]="","",VLOOKUP(Table2[[#This Row],[Description]],$Q$1:$S$101,2,FALSE))</f>
        <v/>
      </c>
      <c r="H7476" s="1" t="str">
        <f>IF(Table2[[#This Row],[Description]]="","",VLOOKUP(Table2[[#This Row],[Description]],$Q$1:$S$101,3,FALSE))</f>
        <v/>
      </c>
      <c r="I7476" s="1" t="str">
        <f>IF(Table2[[#This Row],[Description]]="","",IF(Table2[[#This Row],[Currency]]=$O$2,$P$2,HLOOKUP(Table2[[#This Row],[Date]],Funds!$C$10:$GV$11,2,FALSE)))</f>
        <v/>
      </c>
      <c r="J7476" s="215" t="str">
        <f>IF(Table2[[#This Row],[Description]]="","",Table2[[#This Row],[Value]]/Table2[[#This Row],[Conversion]])</f>
        <v/>
      </c>
      <c r="K7476" s="45" t="str">
        <f>IF(Table2[[#This Row],[Description]]="","",DATE(Table2[[#This Row],[Year]],Table2[[#This Row],[Month]],1))</f>
        <v/>
      </c>
    </row>
    <row r="7477" spans="7:11" x14ac:dyDescent="0.25">
      <c r="G7477" s="1" t="str">
        <f>IF(Table2[[#This Row],[Description]]="","",VLOOKUP(Table2[[#This Row],[Description]],$Q$1:$S$101,2,FALSE))</f>
        <v/>
      </c>
      <c r="H7477" s="1" t="str">
        <f>IF(Table2[[#This Row],[Description]]="","",VLOOKUP(Table2[[#This Row],[Description]],$Q$1:$S$101,3,FALSE))</f>
        <v/>
      </c>
      <c r="I7477" s="1" t="str">
        <f>IF(Table2[[#This Row],[Description]]="","",IF(Table2[[#This Row],[Currency]]=$O$2,$P$2,HLOOKUP(Table2[[#This Row],[Date]],Funds!$C$10:$GV$11,2,FALSE)))</f>
        <v/>
      </c>
      <c r="J7477" s="215" t="str">
        <f>IF(Table2[[#This Row],[Description]]="","",Table2[[#This Row],[Value]]/Table2[[#This Row],[Conversion]])</f>
        <v/>
      </c>
      <c r="K7477" s="45" t="str">
        <f>IF(Table2[[#This Row],[Description]]="","",DATE(Table2[[#This Row],[Year]],Table2[[#This Row],[Month]],1))</f>
        <v/>
      </c>
    </row>
    <row r="7478" spans="7:11" x14ac:dyDescent="0.25">
      <c r="G7478" s="1" t="str">
        <f>IF(Table2[[#This Row],[Description]]="","",VLOOKUP(Table2[[#This Row],[Description]],$Q$1:$S$101,2,FALSE))</f>
        <v/>
      </c>
      <c r="H7478" s="1" t="str">
        <f>IF(Table2[[#This Row],[Description]]="","",VLOOKUP(Table2[[#This Row],[Description]],$Q$1:$S$101,3,FALSE))</f>
        <v/>
      </c>
      <c r="I7478" s="1" t="str">
        <f>IF(Table2[[#This Row],[Description]]="","",IF(Table2[[#This Row],[Currency]]=$O$2,$P$2,HLOOKUP(Table2[[#This Row],[Date]],Funds!$C$10:$GV$11,2,FALSE)))</f>
        <v/>
      </c>
      <c r="J7478" s="215" t="str">
        <f>IF(Table2[[#This Row],[Description]]="","",Table2[[#This Row],[Value]]/Table2[[#This Row],[Conversion]])</f>
        <v/>
      </c>
      <c r="K7478" s="45" t="str">
        <f>IF(Table2[[#This Row],[Description]]="","",DATE(Table2[[#This Row],[Year]],Table2[[#This Row],[Month]],1))</f>
        <v/>
      </c>
    </row>
    <row r="7479" spans="7:11" x14ac:dyDescent="0.25">
      <c r="G7479" s="1" t="str">
        <f>IF(Table2[[#This Row],[Description]]="","",VLOOKUP(Table2[[#This Row],[Description]],$Q$1:$S$101,2,FALSE))</f>
        <v/>
      </c>
      <c r="H7479" s="1" t="str">
        <f>IF(Table2[[#This Row],[Description]]="","",VLOOKUP(Table2[[#This Row],[Description]],$Q$1:$S$101,3,FALSE))</f>
        <v/>
      </c>
      <c r="I7479" s="1" t="str">
        <f>IF(Table2[[#This Row],[Description]]="","",IF(Table2[[#This Row],[Currency]]=$O$2,$P$2,HLOOKUP(Table2[[#This Row],[Date]],Funds!$C$10:$GV$11,2,FALSE)))</f>
        <v/>
      </c>
      <c r="J7479" s="215" t="str">
        <f>IF(Table2[[#This Row],[Description]]="","",Table2[[#This Row],[Value]]/Table2[[#This Row],[Conversion]])</f>
        <v/>
      </c>
      <c r="K7479" s="45" t="str">
        <f>IF(Table2[[#This Row],[Description]]="","",DATE(Table2[[#This Row],[Year]],Table2[[#This Row],[Month]],1))</f>
        <v/>
      </c>
    </row>
    <row r="7480" spans="7:11" x14ac:dyDescent="0.25">
      <c r="G7480" s="1" t="str">
        <f>IF(Table2[[#This Row],[Description]]="","",VLOOKUP(Table2[[#This Row],[Description]],$Q$1:$S$101,2,FALSE))</f>
        <v/>
      </c>
      <c r="H7480" s="1" t="str">
        <f>IF(Table2[[#This Row],[Description]]="","",VLOOKUP(Table2[[#This Row],[Description]],$Q$1:$S$101,3,FALSE))</f>
        <v/>
      </c>
      <c r="I7480" s="1" t="str">
        <f>IF(Table2[[#This Row],[Description]]="","",IF(Table2[[#This Row],[Currency]]=$O$2,$P$2,HLOOKUP(Table2[[#This Row],[Date]],Funds!$C$10:$GV$11,2,FALSE)))</f>
        <v/>
      </c>
      <c r="J7480" s="215" t="str">
        <f>IF(Table2[[#This Row],[Description]]="","",Table2[[#This Row],[Value]]/Table2[[#This Row],[Conversion]])</f>
        <v/>
      </c>
      <c r="K7480" s="45" t="str">
        <f>IF(Table2[[#This Row],[Description]]="","",DATE(Table2[[#This Row],[Year]],Table2[[#This Row],[Month]],1))</f>
        <v/>
      </c>
    </row>
    <row r="7481" spans="7:11" x14ac:dyDescent="0.25">
      <c r="G7481" s="1" t="str">
        <f>IF(Table2[[#This Row],[Description]]="","",VLOOKUP(Table2[[#This Row],[Description]],$Q$1:$S$101,2,FALSE))</f>
        <v/>
      </c>
      <c r="H7481" s="1" t="str">
        <f>IF(Table2[[#This Row],[Description]]="","",VLOOKUP(Table2[[#This Row],[Description]],$Q$1:$S$101,3,FALSE))</f>
        <v/>
      </c>
      <c r="I7481" s="1" t="str">
        <f>IF(Table2[[#This Row],[Description]]="","",IF(Table2[[#This Row],[Currency]]=$O$2,$P$2,HLOOKUP(Table2[[#This Row],[Date]],Funds!$C$10:$GV$11,2,FALSE)))</f>
        <v/>
      </c>
      <c r="J7481" s="215" t="str">
        <f>IF(Table2[[#This Row],[Description]]="","",Table2[[#This Row],[Value]]/Table2[[#This Row],[Conversion]])</f>
        <v/>
      </c>
      <c r="K7481" s="45" t="str">
        <f>IF(Table2[[#This Row],[Description]]="","",DATE(Table2[[#This Row],[Year]],Table2[[#This Row],[Month]],1))</f>
        <v/>
      </c>
    </row>
    <row r="7482" spans="7:11" x14ac:dyDescent="0.25">
      <c r="G7482" s="1" t="str">
        <f>IF(Table2[[#This Row],[Description]]="","",VLOOKUP(Table2[[#This Row],[Description]],$Q$1:$S$101,2,FALSE))</f>
        <v/>
      </c>
      <c r="H7482" s="1" t="str">
        <f>IF(Table2[[#This Row],[Description]]="","",VLOOKUP(Table2[[#This Row],[Description]],$Q$1:$S$101,3,FALSE))</f>
        <v/>
      </c>
      <c r="I7482" s="1" t="str">
        <f>IF(Table2[[#This Row],[Description]]="","",IF(Table2[[#This Row],[Currency]]=$O$2,$P$2,HLOOKUP(Table2[[#This Row],[Date]],Funds!$C$10:$GV$11,2,FALSE)))</f>
        <v/>
      </c>
      <c r="J7482" s="215" t="str">
        <f>IF(Table2[[#This Row],[Description]]="","",Table2[[#This Row],[Value]]/Table2[[#This Row],[Conversion]])</f>
        <v/>
      </c>
      <c r="K7482" s="45" t="str">
        <f>IF(Table2[[#This Row],[Description]]="","",DATE(Table2[[#This Row],[Year]],Table2[[#This Row],[Month]],1))</f>
        <v/>
      </c>
    </row>
    <row r="7483" spans="7:11" x14ac:dyDescent="0.25">
      <c r="G7483" s="1" t="str">
        <f>IF(Table2[[#This Row],[Description]]="","",VLOOKUP(Table2[[#This Row],[Description]],$Q$1:$S$101,2,FALSE))</f>
        <v/>
      </c>
      <c r="H7483" s="1" t="str">
        <f>IF(Table2[[#This Row],[Description]]="","",VLOOKUP(Table2[[#This Row],[Description]],$Q$1:$S$101,3,FALSE))</f>
        <v/>
      </c>
      <c r="I7483" s="1" t="str">
        <f>IF(Table2[[#This Row],[Description]]="","",IF(Table2[[#This Row],[Currency]]=$O$2,$P$2,HLOOKUP(Table2[[#This Row],[Date]],Funds!$C$10:$GV$11,2,FALSE)))</f>
        <v/>
      </c>
      <c r="J7483" s="215" t="str">
        <f>IF(Table2[[#This Row],[Description]]="","",Table2[[#This Row],[Value]]/Table2[[#This Row],[Conversion]])</f>
        <v/>
      </c>
      <c r="K7483" s="45" t="str">
        <f>IF(Table2[[#This Row],[Description]]="","",DATE(Table2[[#This Row],[Year]],Table2[[#This Row],[Month]],1))</f>
        <v/>
      </c>
    </row>
    <row r="7484" spans="7:11" x14ac:dyDescent="0.25">
      <c r="G7484" s="1" t="str">
        <f>IF(Table2[[#This Row],[Description]]="","",VLOOKUP(Table2[[#This Row],[Description]],$Q$1:$S$101,2,FALSE))</f>
        <v/>
      </c>
      <c r="H7484" s="1" t="str">
        <f>IF(Table2[[#This Row],[Description]]="","",VLOOKUP(Table2[[#This Row],[Description]],$Q$1:$S$101,3,FALSE))</f>
        <v/>
      </c>
      <c r="I7484" s="1" t="str">
        <f>IF(Table2[[#This Row],[Description]]="","",IF(Table2[[#This Row],[Currency]]=$O$2,$P$2,HLOOKUP(Table2[[#This Row],[Date]],Funds!$C$10:$GV$11,2,FALSE)))</f>
        <v/>
      </c>
      <c r="J7484" s="215" t="str">
        <f>IF(Table2[[#This Row],[Description]]="","",Table2[[#This Row],[Value]]/Table2[[#This Row],[Conversion]])</f>
        <v/>
      </c>
      <c r="K7484" s="45" t="str">
        <f>IF(Table2[[#This Row],[Description]]="","",DATE(Table2[[#This Row],[Year]],Table2[[#This Row],[Month]],1))</f>
        <v/>
      </c>
    </row>
    <row r="7485" spans="7:11" x14ac:dyDescent="0.25">
      <c r="G7485" s="1" t="str">
        <f>IF(Table2[[#This Row],[Description]]="","",VLOOKUP(Table2[[#This Row],[Description]],$Q$1:$S$101,2,FALSE))</f>
        <v/>
      </c>
      <c r="H7485" s="1" t="str">
        <f>IF(Table2[[#This Row],[Description]]="","",VLOOKUP(Table2[[#This Row],[Description]],$Q$1:$S$101,3,FALSE))</f>
        <v/>
      </c>
      <c r="I7485" s="1" t="str">
        <f>IF(Table2[[#This Row],[Description]]="","",IF(Table2[[#This Row],[Currency]]=$O$2,$P$2,HLOOKUP(Table2[[#This Row],[Date]],Funds!$C$10:$GV$11,2,FALSE)))</f>
        <v/>
      </c>
      <c r="J7485" s="215" t="str">
        <f>IF(Table2[[#This Row],[Description]]="","",Table2[[#This Row],[Value]]/Table2[[#This Row],[Conversion]])</f>
        <v/>
      </c>
      <c r="K7485" s="45" t="str">
        <f>IF(Table2[[#This Row],[Description]]="","",DATE(Table2[[#This Row],[Year]],Table2[[#This Row],[Month]],1))</f>
        <v/>
      </c>
    </row>
    <row r="7486" spans="7:11" x14ac:dyDescent="0.25">
      <c r="G7486" s="1" t="str">
        <f>IF(Table2[[#This Row],[Description]]="","",VLOOKUP(Table2[[#This Row],[Description]],$Q$1:$S$101,2,FALSE))</f>
        <v/>
      </c>
      <c r="H7486" s="1" t="str">
        <f>IF(Table2[[#This Row],[Description]]="","",VLOOKUP(Table2[[#This Row],[Description]],$Q$1:$S$101,3,FALSE))</f>
        <v/>
      </c>
      <c r="I7486" s="1" t="str">
        <f>IF(Table2[[#This Row],[Description]]="","",IF(Table2[[#This Row],[Currency]]=$O$2,$P$2,HLOOKUP(Table2[[#This Row],[Date]],Funds!$C$10:$GV$11,2,FALSE)))</f>
        <v/>
      </c>
      <c r="J7486" s="215" t="str">
        <f>IF(Table2[[#This Row],[Description]]="","",Table2[[#This Row],[Value]]/Table2[[#This Row],[Conversion]])</f>
        <v/>
      </c>
      <c r="K7486" s="45" t="str">
        <f>IF(Table2[[#This Row],[Description]]="","",DATE(Table2[[#This Row],[Year]],Table2[[#This Row],[Month]],1))</f>
        <v/>
      </c>
    </row>
    <row r="7487" spans="7:11" x14ac:dyDescent="0.25">
      <c r="G7487" s="1" t="str">
        <f>IF(Table2[[#This Row],[Description]]="","",VLOOKUP(Table2[[#This Row],[Description]],$Q$1:$S$101,2,FALSE))</f>
        <v/>
      </c>
      <c r="H7487" s="1" t="str">
        <f>IF(Table2[[#This Row],[Description]]="","",VLOOKUP(Table2[[#This Row],[Description]],$Q$1:$S$101,3,FALSE))</f>
        <v/>
      </c>
      <c r="I7487" s="1" t="str">
        <f>IF(Table2[[#This Row],[Description]]="","",IF(Table2[[#This Row],[Currency]]=$O$2,$P$2,HLOOKUP(Table2[[#This Row],[Date]],Funds!$C$10:$GV$11,2,FALSE)))</f>
        <v/>
      </c>
      <c r="J7487" s="215" t="str">
        <f>IF(Table2[[#This Row],[Description]]="","",Table2[[#This Row],[Value]]/Table2[[#This Row],[Conversion]])</f>
        <v/>
      </c>
      <c r="K7487" s="45" t="str">
        <f>IF(Table2[[#This Row],[Description]]="","",DATE(Table2[[#This Row],[Year]],Table2[[#This Row],[Month]],1))</f>
        <v/>
      </c>
    </row>
    <row r="7488" spans="7:11" x14ac:dyDescent="0.25">
      <c r="G7488" s="1" t="str">
        <f>IF(Table2[[#This Row],[Description]]="","",VLOOKUP(Table2[[#This Row],[Description]],$Q$1:$S$101,2,FALSE))</f>
        <v/>
      </c>
      <c r="H7488" s="1" t="str">
        <f>IF(Table2[[#This Row],[Description]]="","",VLOOKUP(Table2[[#This Row],[Description]],$Q$1:$S$101,3,FALSE))</f>
        <v/>
      </c>
      <c r="I7488" s="1" t="str">
        <f>IF(Table2[[#This Row],[Description]]="","",IF(Table2[[#This Row],[Currency]]=$O$2,$P$2,HLOOKUP(Table2[[#This Row],[Date]],Funds!$C$10:$GV$11,2,FALSE)))</f>
        <v/>
      </c>
      <c r="J7488" s="215" t="str">
        <f>IF(Table2[[#This Row],[Description]]="","",Table2[[#This Row],[Value]]/Table2[[#This Row],[Conversion]])</f>
        <v/>
      </c>
      <c r="K7488" s="45" t="str">
        <f>IF(Table2[[#This Row],[Description]]="","",DATE(Table2[[#This Row],[Year]],Table2[[#This Row],[Month]],1))</f>
        <v/>
      </c>
    </row>
    <row r="7489" spans="7:11" x14ac:dyDescent="0.25">
      <c r="G7489" s="1" t="str">
        <f>IF(Table2[[#This Row],[Description]]="","",VLOOKUP(Table2[[#This Row],[Description]],$Q$1:$S$101,2,FALSE))</f>
        <v/>
      </c>
      <c r="H7489" s="1" t="str">
        <f>IF(Table2[[#This Row],[Description]]="","",VLOOKUP(Table2[[#This Row],[Description]],$Q$1:$S$101,3,FALSE))</f>
        <v/>
      </c>
      <c r="I7489" s="1" t="str">
        <f>IF(Table2[[#This Row],[Description]]="","",IF(Table2[[#This Row],[Currency]]=$O$2,$P$2,HLOOKUP(Table2[[#This Row],[Date]],Funds!$C$10:$GV$11,2,FALSE)))</f>
        <v/>
      </c>
      <c r="J7489" s="215" t="str">
        <f>IF(Table2[[#This Row],[Description]]="","",Table2[[#This Row],[Value]]/Table2[[#This Row],[Conversion]])</f>
        <v/>
      </c>
      <c r="K7489" s="45" t="str">
        <f>IF(Table2[[#This Row],[Description]]="","",DATE(Table2[[#This Row],[Year]],Table2[[#This Row],[Month]],1))</f>
        <v/>
      </c>
    </row>
    <row r="7490" spans="7:11" x14ac:dyDescent="0.25">
      <c r="G7490" s="1" t="str">
        <f>IF(Table2[[#This Row],[Description]]="","",VLOOKUP(Table2[[#This Row],[Description]],$Q$1:$S$101,2,FALSE))</f>
        <v/>
      </c>
      <c r="H7490" s="1" t="str">
        <f>IF(Table2[[#This Row],[Description]]="","",VLOOKUP(Table2[[#This Row],[Description]],$Q$1:$S$101,3,FALSE))</f>
        <v/>
      </c>
      <c r="I7490" s="1" t="str">
        <f>IF(Table2[[#This Row],[Description]]="","",IF(Table2[[#This Row],[Currency]]=$O$2,$P$2,HLOOKUP(Table2[[#This Row],[Date]],Funds!$C$10:$GV$11,2,FALSE)))</f>
        <v/>
      </c>
      <c r="J7490" s="215" t="str">
        <f>IF(Table2[[#This Row],[Description]]="","",Table2[[#This Row],[Value]]/Table2[[#This Row],[Conversion]])</f>
        <v/>
      </c>
      <c r="K7490" s="45" t="str">
        <f>IF(Table2[[#This Row],[Description]]="","",DATE(Table2[[#This Row],[Year]],Table2[[#This Row],[Month]],1))</f>
        <v/>
      </c>
    </row>
    <row r="7491" spans="7:11" x14ac:dyDescent="0.25">
      <c r="G7491" s="1" t="str">
        <f>IF(Table2[[#This Row],[Description]]="","",VLOOKUP(Table2[[#This Row],[Description]],$Q$1:$S$101,2,FALSE))</f>
        <v/>
      </c>
      <c r="H7491" s="1" t="str">
        <f>IF(Table2[[#This Row],[Description]]="","",VLOOKUP(Table2[[#This Row],[Description]],$Q$1:$S$101,3,FALSE))</f>
        <v/>
      </c>
      <c r="I7491" s="1" t="str">
        <f>IF(Table2[[#This Row],[Description]]="","",IF(Table2[[#This Row],[Currency]]=$O$2,$P$2,HLOOKUP(Table2[[#This Row],[Date]],Funds!$C$10:$GV$11,2,FALSE)))</f>
        <v/>
      </c>
      <c r="J7491" s="215" t="str">
        <f>IF(Table2[[#This Row],[Description]]="","",Table2[[#This Row],[Value]]/Table2[[#This Row],[Conversion]])</f>
        <v/>
      </c>
      <c r="K7491" s="45" t="str">
        <f>IF(Table2[[#This Row],[Description]]="","",DATE(Table2[[#This Row],[Year]],Table2[[#This Row],[Month]],1))</f>
        <v/>
      </c>
    </row>
    <row r="7492" spans="7:11" x14ac:dyDescent="0.25">
      <c r="G7492" s="1" t="str">
        <f>IF(Table2[[#This Row],[Description]]="","",VLOOKUP(Table2[[#This Row],[Description]],$Q$1:$S$101,2,FALSE))</f>
        <v/>
      </c>
      <c r="H7492" s="1" t="str">
        <f>IF(Table2[[#This Row],[Description]]="","",VLOOKUP(Table2[[#This Row],[Description]],$Q$1:$S$101,3,FALSE))</f>
        <v/>
      </c>
      <c r="I7492" s="1" t="str">
        <f>IF(Table2[[#This Row],[Description]]="","",IF(Table2[[#This Row],[Currency]]=$O$2,$P$2,HLOOKUP(Table2[[#This Row],[Date]],Funds!$C$10:$GV$11,2,FALSE)))</f>
        <v/>
      </c>
      <c r="J7492" s="215" t="str">
        <f>IF(Table2[[#This Row],[Description]]="","",Table2[[#This Row],[Value]]/Table2[[#This Row],[Conversion]])</f>
        <v/>
      </c>
      <c r="K7492" s="45" t="str">
        <f>IF(Table2[[#This Row],[Description]]="","",DATE(Table2[[#This Row],[Year]],Table2[[#This Row],[Month]],1))</f>
        <v/>
      </c>
    </row>
    <row r="7493" spans="7:11" x14ac:dyDescent="0.25">
      <c r="G7493" s="1" t="str">
        <f>IF(Table2[[#This Row],[Description]]="","",VLOOKUP(Table2[[#This Row],[Description]],$Q$1:$S$101,2,FALSE))</f>
        <v/>
      </c>
      <c r="H7493" s="1" t="str">
        <f>IF(Table2[[#This Row],[Description]]="","",VLOOKUP(Table2[[#This Row],[Description]],$Q$1:$S$101,3,FALSE))</f>
        <v/>
      </c>
      <c r="I7493" s="1" t="str">
        <f>IF(Table2[[#This Row],[Description]]="","",IF(Table2[[#This Row],[Currency]]=$O$2,$P$2,HLOOKUP(Table2[[#This Row],[Date]],Funds!$C$10:$GV$11,2,FALSE)))</f>
        <v/>
      </c>
      <c r="J7493" s="215" t="str">
        <f>IF(Table2[[#This Row],[Description]]="","",Table2[[#This Row],[Value]]/Table2[[#This Row],[Conversion]])</f>
        <v/>
      </c>
      <c r="K7493" s="45" t="str">
        <f>IF(Table2[[#This Row],[Description]]="","",DATE(Table2[[#This Row],[Year]],Table2[[#This Row],[Month]],1))</f>
        <v/>
      </c>
    </row>
    <row r="7494" spans="7:11" x14ac:dyDescent="0.25">
      <c r="G7494" s="1" t="str">
        <f>IF(Table2[[#This Row],[Description]]="","",VLOOKUP(Table2[[#This Row],[Description]],$Q$1:$S$101,2,FALSE))</f>
        <v/>
      </c>
      <c r="H7494" s="1" t="str">
        <f>IF(Table2[[#This Row],[Description]]="","",VLOOKUP(Table2[[#This Row],[Description]],$Q$1:$S$101,3,FALSE))</f>
        <v/>
      </c>
      <c r="I7494" s="1" t="str">
        <f>IF(Table2[[#This Row],[Description]]="","",IF(Table2[[#This Row],[Currency]]=$O$2,$P$2,HLOOKUP(Table2[[#This Row],[Date]],Funds!$C$10:$GV$11,2,FALSE)))</f>
        <v/>
      </c>
      <c r="J7494" s="215" t="str">
        <f>IF(Table2[[#This Row],[Description]]="","",Table2[[#This Row],[Value]]/Table2[[#This Row],[Conversion]])</f>
        <v/>
      </c>
      <c r="K7494" s="45" t="str">
        <f>IF(Table2[[#This Row],[Description]]="","",DATE(Table2[[#This Row],[Year]],Table2[[#This Row],[Month]],1))</f>
        <v/>
      </c>
    </row>
    <row r="7495" spans="7:11" x14ac:dyDescent="0.25">
      <c r="G7495" s="1" t="str">
        <f>IF(Table2[[#This Row],[Description]]="","",VLOOKUP(Table2[[#This Row],[Description]],$Q$1:$S$101,2,FALSE))</f>
        <v/>
      </c>
      <c r="H7495" s="1" t="str">
        <f>IF(Table2[[#This Row],[Description]]="","",VLOOKUP(Table2[[#This Row],[Description]],$Q$1:$S$101,3,FALSE))</f>
        <v/>
      </c>
      <c r="I7495" s="1" t="str">
        <f>IF(Table2[[#This Row],[Description]]="","",IF(Table2[[#This Row],[Currency]]=$O$2,$P$2,HLOOKUP(Table2[[#This Row],[Date]],Funds!$C$10:$GV$11,2,FALSE)))</f>
        <v/>
      </c>
      <c r="J7495" s="215" t="str">
        <f>IF(Table2[[#This Row],[Description]]="","",Table2[[#This Row],[Value]]/Table2[[#This Row],[Conversion]])</f>
        <v/>
      </c>
      <c r="K7495" s="45" t="str">
        <f>IF(Table2[[#This Row],[Description]]="","",DATE(Table2[[#This Row],[Year]],Table2[[#This Row],[Month]],1))</f>
        <v/>
      </c>
    </row>
    <row r="7496" spans="7:11" x14ac:dyDescent="0.25">
      <c r="G7496" s="1" t="str">
        <f>IF(Table2[[#This Row],[Description]]="","",VLOOKUP(Table2[[#This Row],[Description]],$Q$1:$S$101,2,FALSE))</f>
        <v/>
      </c>
      <c r="H7496" s="1" t="str">
        <f>IF(Table2[[#This Row],[Description]]="","",VLOOKUP(Table2[[#This Row],[Description]],$Q$1:$S$101,3,FALSE))</f>
        <v/>
      </c>
      <c r="I7496" s="1" t="str">
        <f>IF(Table2[[#This Row],[Description]]="","",IF(Table2[[#This Row],[Currency]]=$O$2,$P$2,HLOOKUP(Table2[[#This Row],[Date]],Funds!$C$10:$GV$11,2,FALSE)))</f>
        <v/>
      </c>
      <c r="J7496" s="215" t="str">
        <f>IF(Table2[[#This Row],[Description]]="","",Table2[[#This Row],[Value]]/Table2[[#This Row],[Conversion]])</f>
        <v/>
      </c>
      <c r="K7496" s="45" t="str">
        <f>IF(Table2[[#This Row],[Description]]="","",DATE(Table2[[#This Row],[Year]],Table2[[#This Row],[Month]],1))</f>
        <v/>
      </c>
    </row>
    <row r="7497" spans="7:11" x14ac:dyDescent="0.25">
      <c r="G7497" s="1" t="str">
        <f>IF(Table2[[#This Row],[Description]]="","",VLOOKUP(Table2[[#This Row],[Description]],$Q$1:$S$101,2,FALSE))</f>
        <v/>
      </c>
      <c r="H7497" s="1" t="str">
        <f>IF(Table2[[#This Row],[Description]]="","",VLOOKUP(Table2[[#This Row],[Description]],$Q$1:$S$101,3,FALSE))</f>
        <v/>
      </c>
      <c r="I7497" s="1" t="str">
        <f>IF(Table2[[#This Row],[Description]]="","",IF(Table2[[#This Row],[Currency]]=$O$2,$P$2,HLOOKUP(Table2[[#This Row],[Date]],Funds!$C$10:$GV$11,2,FALSE)))</f>
        <v/>
      </c>
      <c r="J7497" s="215" t="str">
        <f>IF(Table2[[#This Row],[Description]]="","",Table2[[#This Row],[Value]]/Table2[[#This Row],[Conversion]])</f>
        <v/>
      </c>
      <c r="K7497" s="45" t="str">
        <f>IF(Table2[[#This Row],[Description]]="","",DATE(Table2[[#This Row],[Year]],Table2[[#This Row],[Month]],1))</f>
        <v/>
      </c>
    </row>
    <row r="7498" spans="7:11" x14ac:dyDescent="0.25">
      <c r="G7498" s="1" t="str">
        <f>IF(Table2[[#This Row],[Description]]="","",VLOOKUP(Table2[[#This Row],[Description]],$Q$1:$S$101,2,FALSE))</f>
        <v/>
      </c>
      <c r="H7498" s="1" t="str">
        <f>IF(Table2[[#This Row],[Description]]="","",VLOOKUP(Table2[[#This Row],[Description]],$Q$1:$S$101,3,FALSE))</f>
        <v/>
      </c>
      <c r="I7498" s="1" t="str">
        <f>IF(Table2[[#This Row],[Description]]="","",IF(Table2[[#This Row],[Currency]]=$O$2,$P$2,HLOOKUP(Table2[[#This Row],[Date]],Funds!$C$10:$GV$11,2,FALSE)))</f>
        <v/>
      </c>
      <c r="J7498" s="215" t="str">
        <f>IF(Table2[[#This Row],[Description]]="","",Table2[[#This Row],[Value]]/Table2[[#This Row],[Conversion]])</f>
        <v/>
      </c>
      <c r="K7498" s="45" t="str">
        <f>IF(Table2[[#This Row],[Description]]="","",DATE(Table2[[#This Row],[Year]],Table2[[#This Row],[Month]],1))</f>
        <v/>
      </c>
    </row>
    <row r="7499" spans="7:11" x14ac:dyDescent="0.25">
      <c r="G7499" s="1" t="str">
        <f>IF(Table2[[#This Row],[Description]]="","",VLOOKUP(Table2[[#This Row],[Description]],$Q$1:$S$101,2,FALSE))</f>
        <v/>
      </c>
      <c r="H7499" s="1" t="str">
        <f>IF(Table2[[#This Row],[Description]]="","",VLOOKUP(Table2[[#This Row],[Description]],$Q$1:$S$101,3,FALSE))</f>
        <v/>
      </c>
      <c r="I7499" s="1" t="str">
        <f>IF(Table2[[#This Row],[Description]]="","",IF(Table2[[#This Row],[Currency]]=$O$2,$P$2,HLOOKUP(Table2[[#This Row],[Date]],Funds!$C$10:$GV$11,2,FALSE)))</f>
        <v/>
      </c>
      <c r="J7499" s="215" t="str">
        <f>IF(Table2[[#This Row],[Description]]="","",Table2[[#This Row],[Value]]/Table2[[#This Row],[Conversion]])</f>
        <v/>
      </c>
      <c r="K7499" s="45" t="str">
        <f>IF(Table2[[#This Row],[Description]]="","",DATE(Table2[[#This Row],[Year]],Table2[[#This Row],[Month]],1))</f>
        <v/>
      </c>
    </row>
    <row r="7500" spans="7:11" x14ac:dyDescent="0.25">
      <c r="G7500" s="1" t="str">
        <f>IF(Table2[[#This Row],[Description]]="","",VLOOKUP(Table2[[#This Row],[Description]],$Q$1:$S$101,2,FALSE))</f>
        <v/>
      </c>
      <c r="H7500" s="1" t="str">
        <f>IF(Table2[[#This Row],[Description]]="","",VLOOKUP(Table2[[#This Row],[Description]],$Q$1:$S$101,3,FALSE))</f>
        <v/>
      </c>
      <c r="I7500" s="1" t="str">
        <f>IF(Table2[[#This Row],[Description]]="","",IF(Table2[[#This Row],[Currency]]=$O$2,$P$2,HLOOKUP(Table2[[#This Row],[Date]],Funds!$C$10:$GV$11,2,FALSE)))</f>
        <v/>
      </c>
      <c r="J7500" s="215" t="str">
        <f>IF(Table2[[#This Row],[Description]]="","",Table2[[#This Row],[Value]]/Table2[[#This Row],[Conversion]])</f>
        <v/>
      </c>
      <c r="K7500" s="45" t="str">
        <f>IF(Table2[[#This Row],[Description]]="","",DATE(Table2[[#This Row],[Year]],Table2[[#This Row],[Month]],1))</f>
        <v/>
      </c>
    </row>
    <row r="7501" spans="7:11" x14ac:dyDescent="0.25">
      <c r="G7501" s="1" t="str">
        <f>IF(Table2[[#This Row],[Description]]="","",VLOOKUP(Table2[[#This Row],[Description]],$Q$1:$S$101,2,FALSE))</f>
        <v/>
      </c>
      <c r="H7501" s="1" t="str">
        <f>IF(Table2[[#This Row],[Description]]="","",VLOOKUP(Table2[[#This Row],[Description]],$Q$1:$S$101,3,FALSE))</f>
        <v/>
      </c>
      <c r="I7501" s="1" t="str">
        <f>IF(Table2[[#This Row],[Description]]="","",IF(Table2[[#This Row],[Currency]]=$O$2,$P$2,HLOOKUP(Table2[[#This Row],[Date]],Funds!$C$10:$GV$11,2,FALSE)))</f>
        <v/>
      </c>
      <c r="J7501" s="215" t="str">
        <f>IF(Table2[[#This Row],[Description]]="","",Table2[[#This Row],[Value]]/Table2[[#This Row],[Conversion]])</f>
        <v/>
      </c>
      <c r="K7501" s="45" t="str">
        <f>IF(Table2[[#This Row],[Description]]="","",DATE(Table2[[#This Row],[Year]],Table2[[#This Row],[Month]],1))</f>
        <v/>
      </c>
    </row>
    <row r="7502" spans="7:11" x14ac:dyDescent="0.25">
      <c r="G7502" s="1" t="str">
        <f>IF(Table2[[#This Row],[Description]]="","",VLOOKUP(Table2[[#This Row],[Description]],$Q$1:$S$101,2,FALSE))</f>
        <v/>
      </c>
      <c r="H7502" s="1" t="str">
        <f>IF(Table2[[#This Row],[Description]]="","",VLOOKUP(Table2[[#This Row],[Description]],$Q$1:$S$101,3,FALSE))</f>
        <v/>
      </c>
      <c r="I7502" s="1" t="str">
        <f>IF(Table2[[#This Row],[Description]]="","",IF(Table2[[#This Row],[Currency]]=$O$2,$P$2,HLOOKUP(Table2[[#This Row],[Date]],Funds!$C$10:$GV$11,2,FALSE)))</f>
        <v/>
      </c>
      <c r="J7502" s="215" t="str">
        <f>IF(Table2[[#This Row],[Description]]="","",Table2[[#This Row],[Value]]/Table2[[#This Row],[Conversion]])</f>
        <v/>
      </c>
      <c r="K7502" s="45" t="str">
        <f>IF(Table2[[#This Row],[Description]]="","",DATE(Table2[[#This Row],[Year]],Table2[[#This Row],[Month]],1))</f>
        <v/>
      </c>
    </row>
    <row r="7503" spans="7:11" x14ac:dyDescent="0.25">
      <c r="G7503" s="1" t="str">
        <f>IF(Table2[[#This Row],[Description]]="","",VLOOKUP(Table2[[#This Row],[Description]],$Q$1:$S$101,2,FALSE))</f>
        <v/>
      </c>
      <c r="H7503" s="1" t="str">
        <f>IF(Table2[[#This Row],[Description]]="","",VLOOKUP(Table2[[#This Row],[Description]],$Q$1:$S$101,3,FALSE))</f>
        <v/>
      </c>
      <c r="I7503" s="1" t="str">
        <f>IF(Table2[[#This Row],[Description]]="","",IF(Table2[[#This Row],[Currency]]=$O$2,$P$2,HLOOKUP(Table2[[#This Row],[Date]],Funds!$C$10:$GV$11,2,FALSE)))</f>
        <v/>
      </c>
      <c r="J7503" s="215" t="str">
        <f>IF(Table2[[#This Row],[Description]]="","",Table2[[#This Row],[Value]]/Table2[[#This Row],[Conversion]])</f>
        <v/>
      </c>
      <c r="K7503" s="45" t="str">
        <f>IF(Table2[[#This Row],[Description]]="","",DATE(Table2[[#This Row],[Year]],Table2[[#This Row],[Month]],1))</f>
        <v/>
      </c>
    </row>
    <row r="7504" spans="7:11" x14ac:dyDescent="0.25">
      <c r="G7504" s="1" t="str">
        <f>IF(Table2[[#This Row],[Description]]="","",VLOOKUP(Table2[[#This Row],[Description]],$Q$1:$S$101,2,FALSE))</f>
        <v/>
      </c>
      <c r="H7504" s="1" t="str">
        <f>IF(Table2[[#This Row],[Description]]="","",VLOOKUP(Table2[[#This Row],[Description]],$Q$1:$S$101,3,FALSE))</f>
        <v/>
      </c>
      <c r="I7504" s="1" t="str">
        <f>IF(Table2[[#This Row],[Description]]="","",IF(Table2[[#This Row],[Currency]]=$O$2,$P$2,HLOOKUP(Table2[[#This Row],[Date]],Funds!$C$10:$GV$11,2,FALSE)))</f>
        <v/>
      </c>
      <c r="J7504" s="215" t="str">
        <f>IF(Table2[[#This Row],[Description]]="","",Table2[[#This Row],[Value]]/Table2[[#This Row],[Conversion]])</f>
        <v/>
      </c>
      <c r="K7504" s="45" t="str">
        <f>IF(Table2[[#This Row],[Description]]="","",DATE(Table2[[#This Row],[Year]],Table2[[#This Row],[Month]],1))</f>
        <v/>
      </c>
    </row>
    <row r="7505" spans="7:11" x14ac:dyDescent="0.25">
      <c r="G7505" s="1" t="str">
        <f>IF(Table2[[#This Row],[Description]]="","",VLOOKUP(Table2[[#This Row],[Description]],$Q$1:$S$101,2,FALSE))</f>
        <v/>
      </c>
      <c r="H7505" s="1" t="str">
        <f>IF(Table2[[#This Row],[Description]]="","",VLOOKUP(Table2[[#This Row],[Description]],$Q$1:$S$101,3,FALSE))</f>
        <v/>
      </c>
      <c r="I7505" s="1" t="str">
        <f>IF(Table2[[#This Row],[Description]]="","",IF(Table2[[#This Row],[Currency]]=$O$2,$P$2,HLOOKUP(Table2[[#This Row],[Date]],Funds!$C$10:$GV$11,2,FALSE)))</f>
        <v/>
      </c>
      <c r="J7505" s="215" t="str">
        <f>IF(Table2[[#This Row],[Description]]="","",Table2[[#This Row],[Value]]/Table2[[#This Row],[Conversion]])</f>
        <v/>
      </c>
      <c r="K7505" s="45" t="str">
        <f>IF(Table2[[#This Row],[Description]]="","",DATE(Table2[[#This Row],[Year]],Table2[[#This Row],[Month]],1))</f>
        <v/>
      </c>
    </row>
    <row r="7506" spans="7:11" x14ac:dyDescent="0.25">
      <c r="G7506" s="1" t="str">
        <f>IF(Table2[[#This Row],[Description]]="","",VLOOKUP(Table2[[#This Row],[Description]],$Q$1:$S$101,2,FALSE))</f>
        <v/>
      </c>
      <c r="H7506" s="1" t="str">
        <f>IF(Table2[[#This Row],[Description]]="","",VLOOKUP(Table2[[#This Row],[Description]],$Q$1:$S$101,3,FALSE))</f>
        <v/>
      </c>
      <c r="I7506" s="1" t="str">
        <f>IF(Table2[[#This Row],[Description]]="","",IF(Table2[[#This Row],[Currency]]=$O$2,$P$2,HLOOKUP(Table2[[#This Row],[Date]],Funds!$C$10:$GV$11,2,FALSE)))</f>
        <v/>
      </c>
      <c r="J7506" s="215" t="str">
        <f>IF(Table2[[#This Row],[Description]]="","",Table2[[#This Row],[Value]]/Table2[[#This Row],[Conversion]])</f>
        <v/>
      </c>
      <c r="K7506" s="45" t="str">
        <f>IF(Table2[[#This Row],[Description]]="","",DATE(Table2[[#This Row],[Year]],Table2[[#This Row],[Month]],1))</f>
        <v/>
      </c>
    </row>
    <row r="7507" spans="7:11" x14ac:dyDescent="0.25">
      <c r="G7507" s="1" t="str">
        <f>IF(Table2[[#This Row],[Description]]="","",VLOOKUP(Table2[[#This Row],[Description]],$Q$1:$S$101,2,FALSE))</f>
        <v/>
      </c>
      <c r="H7507" s="1" t="str">
        <f>IF(Table2[[#This Row],[Description]]="","",VLOOKUP(Table2[[#This Row],[Description]],$Q$1:$S$101,3,FALSE))</f>
        <v/>
      </c>
      <c r="I7507" s="1" t="str">
        <f>IF(Table2[[#This Row],[Description]]="","",IF(Table2[[#This Row],[Currency]]=$O$2,$P$2,HLOOKUP(Table2[[#This Row],[Date]],Funds!$C$10:$GV$11,2,FALSE)))</f>
        <v/>
      </c>
      <c r="J7507" s="215" t="str">
        <f>IF(Table2[[#This Row],[Description]]="","",Table2[[#This Row],[Value]]/Table2[[#This Row],[Conversion]])</f>
        <v/>
      </c>
      <c r="K7507" s="45" t="str">
        <f>IF(Table2[[#This Row],[Description]]="","",DATE(Table2[[#This Row],[Year]],Table2[[#This Row],[Month]],1))</f>
        <v/>
      </c>
    </row>
    <row r="7508" spans="7:11" x14ac:dyDescent="0.25">
      <c r="G7508" s="1" t="str">
        <f>IF(Table2[[#This Row],[Description]]="","",VLOOKUP(Table2[[#This Row],[Description]],$Q$1:$S$101,2,FALSE))</f>
        <v/>
      </c>
      <c r="H7508" s="1" t="str">
        <f>IF(Table2[[#This Row],[Description]]="","",VLOOKUP(Table2[[#This Row],[Description]],$Q$1:$S$101,3,FALSE))</f>
        <v/>
      </c>
      <c r="I7508" s="1" t="str">
        <f>IF(Table2[[#This Row],[Description]]="","",IF(Table2[[#This Row],[Currency]]=$O$2,$P$2,HLOOKUP(Table2[[#This Row],[Date]],Funds!$C$10:$GV$11,2,FALSE)))</f>
        <v/>
      </c>
      <c r="J7508" s="215" t="str">
        <f>IF(Table2[[#This Row],[Description]]="","",Table2[[#This Row],[Value]]/Table2[[#This Row],[Conversion]])</f>
        <v/>
      </c>
      <c r="K7508" s="45" t="str">
        <f>IF(Table2[[#This Row],[Description]]="","",DATE(Table2[[#This Row],[Year]],Table2[[#This Row],[Month]],1))</f>
        <v/>
      </c>
    </row>
    <row r="7509" spans="7:11" x14ac:dyDescent="0.25">
      <c r="G7509" s="1" t="str">
        <f>IF(Table2[[#This Row],[Description]]="","",VLOOKUP(Table2[[#This Row],[Description]],$Q$1:$S$101,2,FALSE))</f>
        <v/>
      </c>
      <c r="H7509" s="1" t="str">
        <f>IF(Table2[[#This Row],[Description]]="","",VLOOKUP(Table2[[#This Row],[Description]],$Q$1:$S$101,3,FALSE))</f>
        <v/>
      </c>
      <c r="I7509" s="1" t="str">
        <f>IF(Table2[[#This Row],[Description]]="","",IF(Table2[[#This Row],[Currency]]=$O$2,$P$2,HLOOKUP(Table2[[#This Row],[Date]],Funds!$C$10:$GV$11,2,FALSE)))</f>
        <v/>
      </c>
      <c r="J7509" s="215" t="str">
        <f>IF(Table2[[#This Row],[Description]]="","",Table2[[#This Row],[Value]]/Table2[[#This Row],[Conversion]])</f>
        <v/>
      </c>
      <c r="K7509" s="45" t="str">
        <f>IF(Table2[[#This Row],[Description]]="","",DATE(Table2[[#This Row],[Year]],Table2[[#This Row],[Month]],1))</f>
        <v/>
      </c>
    </row>
    <row r="7510" spans="7:11" x14ac:dyDescent="0.25">
      <c r="G7510" s="1" t="str">
        <f>IF(Table2[[#This Row],[Description]]="","",VLOOKUP(Table2[[#This Row],[Description]],$Q$1:$S$101,2,FALSE))</f>
        <v/>
      </c>
      <c r="H7510" s="1" t="str">
        <f>IF(Table2[[#This Row],[Description]]="","",VLOOKUP(Table2[[#This Row],[Description]],$Q$1:$S$101,3,FALSE))</f>
        <v/>
      </c>
      <c r="I7510" s="1" t="str">
        <f>IF(Table2[[#This Row],[Description]]="","",IF(Table2[[#This Row],[Currency]]=$O$2,$P$2,HLOOKUP(Table2[[#This Row],[Date]],Funds!$C$10:$GV$11,2,FALSE)))</f>
        <v/>
      </c>
      <c r="J7510" s="215" t="str">
        <f>IF(Table2[[#This Row],[Description]]="","",Table2[[#This Row],[Value]]/Table2[[#This Row],[Conversion]])</f>
        <v/>
      </c>
      <c r="K7510" s="45" t="str">
        <f>IF(Table2[[#This Row],[Description]]="","",DATE(Table2[[#This Row],[Year]],Table2[[#This Row],[Month]],1))</f>
        <v/>
      </c>
    </row>
    <row r="7511" spans="7:11" x14ac:dyDescent="0.25">
      <c r="G7511" s="1" t="str">
        <f>IF(Table2[[#This Row],[Description]]="","",VLOOKUP(Table2[[#This Row],[Description]],$Q$1:$S$101,2,FALSE))</f>
        <v/>
      </c>
      <c r="H7511" s="1" t="str">
        <f>IF(Table2[[#This Row],[Description]]="","",VLOOKUP(Table2[[#This Row],[Description]],$Q$1:$S$101,3,FALSE))</f>
        <v/>
      </c>
      <c r="I7511" s="1" t="str">
        <f>IF(Table2[[#This Row],[Description]]="","",IF(Table2[[#This Row],[Currency]]=$O$2,$P$2,HLOOKUP(Table2[[#This Row],[Date]],Funds!$C$10:$GV$11,2,FALSE)))</f>
        <v/>
      </c>
      <c r="J7511" s="215" t="str">
        <f>IF(Table2[[#This Row],[Description]]="","",Table2[[#This Row],[Value]]/Table2[[#This Row],[Conversion]])</f>
        <v/>
      </c>
      <c r="K7511" s="45" t="str">
        <f>IF(Table2[[#This Row],[Description]]="","",DATE(Table2[[#This Row],[Year]],Table2[[#This Row],[Month]],1))</f>
        <v/>
      </c>
    </row>
    <row r="7512" spans="7:11" x14ac:dyDescent="0.25">
      <c r="G7512" s="1" t="str">
        <f>IF(Table2[[#This Row],[Description]]="","",VLOOKUP(Table2[[#This Row],[Description]],$Q$1:$S$101,2,FALSE))</f>
        <v/>
      </c>
      <c r="H7512" s="1" t="str">
        <f>IF(Table2[[#This Row],[Description]]="","",VLOOKUP(Table2[[#This Row],[Description]],$Q$1:$S$101,3,FALSE))</f>
        <v/>
      </c>
      <c r="I7512" s="1" t="str">
        <f>IF(Table2[[#This Row],[Description]]="","",IF(Table2[[#This Row],[Currency]]=$O$2,$P$2,HLOOKUP(Table2[[#This Row],[Date]],Funds!$C$10:$GV$11,2,FALSE)))</f>
        <v/>
      </c>
      <c r="J7512" s="215" t="str">
        <f>IF(Table2[[#This Row],[Description]]="","",Table2[[#This Row],[Value]]/Table2[[#This Row],[Conversion]])</f>
        <v/>
      </c>
      <c r="K7512" s="45" t="str">
        <f>IF(Table2[[#This Row],[Description]]="","",DATE(Table2[[#This Row],[Year]],Table2[[#This Row],[Month]],1))</f>
        <v/>
      </c>
    </row>
    <row r="7513" spans="7:11" x14ac:dyDescent="0.25">
      <c r="G7513" s="1" t="str">
        <f>IF(Table2[[#This Row],[Description]]="","",VLOOKUP(Table2[[#This Row],[Description]],$Q$1:$S$101,2,FALSE))</f>
        <v/>
      </c>
      <c r="H7513" s="1" t="str">
        <f>IF(Table2[[#This Row],[Description]]="","",VLOOKUP(Table2[[#This Row],[Description]],$Q$1:$S$101,3,FALSE))</f>
        <v/>
      </c>
      <c r="I7513" s="1" t="str">
        <f>IF(Table2[[#This Row],[Description]]="","",IF(Table2[[#This Row],[Currency]]=$O$2,$P$2,HLOOKUP(Table2[[#This Row],[Date]],Funds!$C$10:$GV$11,2,FALSE)))</f>
        <v/>
      </c>
      <c r="J7513" s="215" t="str">
        <f>IF(Table2[[#This Row],[Description]]="","",Table2[[#This Row],[Value]]/Table2[[#This Row],[Conversion]])</f>
        <v/>
      </c>
      <c r="K7513" s="45" t="str">
        <f>IF(Table2[[#This Row],[Description]]="","",DATE(Table2[[#This Row],[Year]],Table2[[#This Row],[Month]],1))</f>
        <v/>
      </c>
    </row>
    <row r="7514" spans="7:11" x14ac:dyDescent="0.25">
      <c r="G7514" s="1" t="str">
        <f>IF(Table2[[#This Row],[Description]]="","",VLOOKUP(Table2[[#This Row],[Description]],$Q$1:$S$101,2,FALSE))</f>
        <v/>
      </c>
      <c r="H7514" s="1" t="str">
        <f>IF(Table2[[#This Row],[Description]]="","",VLOOKUP(Table2[[#This Row],[Description]],$Q$1:$S$101,3,FALSE))</f>
        <v/>
      </c>
      <c r="I7514" s="1" t="str">
        <f>IF(Table2[[#This Row],[Description]]="","",IF(Table2[[#This Row],[Currency]]=$O$2,$P$2,HLOOKUP(Table2[[#This Row],[Date]],Funds!$C$10:$GV$11,2,FALSE)))</f>
        <v/>
      </c>
      <c r="J7514" s="215" t="str">
        <f>IF(Table2[[#This Row],[Description]]="","",Table2[[#This Row],[Value]]/Table2[[#This Row],[Conversion]])</f>
        <v/>
      </c>
      <c r="K7514" s="45" t="str">
        <f>IF(Table2[[#This Row],[Description]]="","",DATE(Table2[[#This Row],[Year]],Table2[[#This Row],[Month]],1))</f>
        <v/>
      </c>
    </row>
    <row r="7515" spans="7:11" x14ac:dyDescent="0.25">
      <c r="G7515" s="1" t="str">
        <f>IF(Table2[[#This Row],[Description]]="","",VLOOKUP(Table2[[#This Row],[Description]],$Q$1:$S$101,2,FALSE))</f>
        <v/>
      </c>
      <c r="H7515" s="1" t="str">
        <f>IF(Table2[[#This Row],[Description]]="","",VLOOKUP(Table2[[#This Row],[Description]],$Q$1:$S$101,3,FALSE))</f>
        <v/>
      </c>
      <c r="I7515" s="1" t="str">
        <f>IF(Table2[[#This Row],[Description]]="","",IF(Table2[[#This Row],[Currency]]=$O$2,$P$2,HLOOKUP(Table2[[#This Row],[Date]],Funds!$C$10:$GV$11,2,FALSE)))</f>
        <v/>
      </c>
      <c r="J7515" s="215" t="str">
        <f>IF(Table2[[#This Row],[Description]]="","",Table2[[#This Row],[Value]]/Table2[[#This Row],[Conversion]])</f>
        <v/>
      </c>
      <c r="K7515" s="45" t="str">
        <f>IF(Table2[[#This Row],[Description]]="","",DATE(Table2[[#This Row],[Year]],Table2[[#This Row],[Month]],1))</f>
        <v/>
      </c>
    </row>
    <row r="7516" spans="7:11" x14ac:dyDescent="0.25">
      <c r="G7516" s="1" t="str">
        <f>IF(Table2[[#This Row],[Description]]="","",VLOOKUP(Table2[[#This Row],[Description]],$Q$1:$S$101,2,FALSE))</f>
        <v/>
      </c>
      <c r="H7516" s="1" t="str">
        <f>IF(Table2[[#This Row],[Description]]="","",VLOOKUP(Table2[[#This Row],[Description]],$Q$1:$S$101,3,FALSE))</f>
        <v/>
      </c>
      <c r="I7516" s="1" t="str">
        <f>IF(Table2[[#This Row],[Description]]="","",IF(Table2[[#This Row],[Currency]]=$O$2,$P$2,HLOOKUP(Table2[[#This Row],[Date]],Funds!$C$10:$GV$11,2,FALSE)))</f>
        <v/>
      </c>
      <c r="J7516" s="215" t="str">
        <f>IF(Table2[[#This Row],[Description]]="","",Table2[[#This Row],[Value]]/Table2[[#This Row],[Conversion]])</f>
        <v/>
      </c>
      <c r="K7516" s="45" t="str">
        <f>IF(Table2[[#This Row],[Description]]="","",DATE(Table2[[#This Row],[Year]],Table2[[#This Row],[Month]],1))</f>
        <v/>
      </c>
    </row>
    <row r="7517" spans="7:11" x14ac:dyDescent="0.25">
      <c r="G7517" s="1" t="str">
        <f>IF(Table2[[#This Row],[Description]]="","",VLOOKUP(Table2[[#This Row],[Description]],$Q$1:$S$101,2,FALSE))</f>
        <v/>
      </c>
      <c r="H7517" s="1" t="str">
        <f>IF(Table2[[#This Row],[Description]]="","",VLOOKUP(Table2[[#This Row],[Description]],$Q$1:$S$101,3,FALSE))</f>
        <v/>
      </c>
      <c r="I7517" s="1" t="str">
        <f>IF(Table2[[#This Row],[Description]]="","",IF(Table2[[#This Row],[Currency]]=$O$2,$P$2,HLOOKUP(Table2[[#This Row],[Date]],Funds!$C$10:$GV$11,2,FALSE)))</f>
        <v/>
      </c>
      <c r="J7517" s="215" t="str">
        <f>IF(Table2[[#This Row],[Description]]="","",Table2[[#This Row],[Value]]/Table2[[#This Row],[Conversion]])</f>
        <v/>
      </c>
      <c r="K7517" s="45" t="str">
        <f>IF(Table2[[#This Row],[Description]]="","",DATE(Table2[[#This Row],[Year]],Table2[[#This Row],[Month]],1))</f>
        <v/>
      </c>
    </row>
    <row r="7518" spans="7:11" x14ac:dyDescent="0.25">
      <c r="G7518" s="1" t="str">
        <f>IF(Table2[[#This Row],[Description]]="","",VLOOKUP(Table2[[#This Row],[Description]],$Q$1:$S$101,2,FALSE))</f>
        <v/>
      </c>
      <c r="H7518" s="1" t="str">
        <f>IF(Table2[[#This Row],[Description]]="","",VLOOKUP(Table2[[#This Row],[Description]],$Q$1:$S$101,3,FALSE))</f>
        <v/>
      </c>
      <c r="I7518" s="1" t="str">
        <f>IF(Table2[[#This Row],[Description]]="","",IF(Table2[[#This Row],[Currency]]=$O$2,$P$2,HLOOKUP(Table2[[#This Row],[Date]],Funds!$C$10:$GV$11,2,FALSE)))</f>
        <v/>
      </c>
      <c r="J7518" s="215" t="str">
        <f>IF(Table2[[#This Row],[Description]]="","",Table2[[#This Row],[Value]]/Table2[[#This Row],[Conversion]])</f>
        <v/>
      </c>
      <c r="K7518" s="45" t="str">
        <f>IF(Table2[[#This Row],[Description]]="","",DATE(Table2[[#This Row],[Year]],Table2[[#This Row],[Month]],1))</f>
        <v/>
      </c>
    </row>
    <row r="7519" spans="7:11" x14ac:dyDescent="0.25">
      <c r="G7519" s="1" t="str">
        <f>IF(Table2[[#This Row],[Description]]="","",VLOOKUP(Table2[[#This Row],[Description]],$Q$1:$S$101,2,FALSE))</f>
        <v/>
      </c>
      <c r="H7519" s="1" t="str">
        <f>IF(Table2[[#This Row],[Description]]="","",VLOOKUP(Table2[[#This Row],[Description]],$Q$1:$S$101,3,FALSE))</f>
        <v/>
      </c>
      <c r="I7519" s="1" t="str">
        <f>IF(Table2[[#This Row],[Description]]="","",IF(Table2[[#This Row],[Currency]]=$O$2,$P$2,HLOOKUP(Table2[[#This Row],[Date]],Funds!$C$10:$GV$11,2,FALSE)))</f>
        <v/>
      </c>
      <c r="J7519" s="215" t="str">
        <f>IF(Table2[[#This Row],[Description]]="","",Table2[[#This Row],[Value]]/Table2[[#This Row],[Conversion]])</f>
        <v/>
      </c>
      <c r="K7519" s="45" t="str">
        <f>IF(Table2[[#This Row],[Description]]="","",DATE(Table2[[#This Row],[Year]],Table2[[#This Row],[Month]],1))</f>
        <v/>
      </c>
    </row>
    <row r="7520" spans="7:11" x14ac:dyDescent="0.25">
      <c r="G7520" s="1" t="str">
        <f>IF(Table2[[#This Row],[Description]]="","",VLOOKUP(Table2[[#This Row],[Description]],$Q$1:$S$101,2,FALSE))</f>
        <v/>
      </c>
      <c r="H7520" s="1" t="str">
        <f>IF(Table2[[#This Row],[Description]]="","",VLOOKUP(Table2[[#This Row],[Description]],$Q$1:$S$101,3,FALSE))</f>
        <v/>
      </c>
      <c r="I7520" s="1" t="str">
        <f>IF(Table2[[#This Row],[Description]]="","",IF(Table2[[#This Row],[Currency]]=$O$2,$P$2,HLOOKUP(Table2[[#This Row],[Date]],Funds!$C$10:$GV$11,2,FALSE)))</f>
        <v/>
      </c>
      <c r="J7520" s="215" t="str">
        <f>IF(Table2[[#This Row],[Description]]="","",Table2[[#This Row],[Value]]/Table2[[#This Row],[Conversion]])</f>
        <v/>
      </c>
      <c r="K7520" s="45" t="str">
        <f>IF(Table2[[#This Row],[Description]]="","",DATE(Table2[[#This Row],[Year]],Table2[[#This Row],[Month]],1))</f>
        <v/>
      </c>
    </row>
    <row r="7521" spans="7:11" x14ac:dyDescent="0.25">
      <c r="G7521" s="1" t="str">
        <f>IF(Table2[[#This Row],[Description]]="","",VLOOKUP(Table2[[#This Row],[Description]],$Q$1:$S$101,2,FALSE))</f>
        <v/>
      </c>
      <c r="H7521" s="1" t="str">
        <f>IF(Table2[[#This Row],[Description]]="","",VLOOKUP(Table2[[#This Row],[Description]],$Q$1:$S$101,3,FALSE))</f>
        <v/>
      </c>
      <c r="I7521" s="1" t="str">
        <f>IF(Table2[[#This Row],[Description]]="","",IF(Table2[[#This Row],[Currency]]=$O$2,$P$2,HLOOKUP(Table2[[#This Row],[Date]],Funds!$C$10:$GV$11,2,FALSE)))</f>
        <v/>
      </c>
      <c r="J7521" s="215" t="str">
        <f>IF(Table2[[#This Row],[Description]]="","",Table2[[#This Row],[Value]]/Table2[[#This Row],[Conversion]])</f>
        <v/>
      </c>
      <c r="K7521" s="45" t="str">
        <f>IF(Table2[[#This Row],[Description]]="","",DATE(Table2[[#This Row],[Year]],Table2[[#This Row],[Month]],1))</f>
        <v/>
      </c>
    </row>
    <row r="7522" spans="7:11" x14ac:dyDescent="0.25">
      <c r="G7522" s="1" t="str">
        <f>IF(Table2[[#This Row],[Description]]="","",VLOOKUP(Table2[[#This Row],[Description]],$Q$1:$S$101,2,FALSE))</f>
        <v/>
      </c>
      <c r="H7522" s="1" t="str">
        <f>IF(Table2[[#This Row],[Description]]="","",VLOOKUP(Table2[[#This Row],[Description]],$Q$1:$S$101,3,FALSE))</f>
        <v/>
      </c>
      <c r="I7522" s="1" t="str">
        <f>IF(Table2[[#This Row],[Description]]="","",IF(Table2[[#This Row],[Currency]]=$O$2,$P$2,HLOOKUP(Table2[[#This Row],[Date]],Funds!$C$10:$GV$11,2,FALSE)))</f>
        <v/>
      </c>
      <c r="J7522" s="215" t="str">
        <f>IF(Table2[[#This Row],[Description]]="","",Table2[[#This Row],[Value]]/Table2[[#This Row],[Conversion]])</f>
        <v/>
      </c>
      <c r="K7522" s="45" t="str">
        <f>IF(Table2[[#This Row],[Description]]="","",DATE(Table2[[#This Row],[Year]],Table2[[#This Row],[Month]],1))</f>
        <v/>
      </c>
    </row>
    <row r="7523" spans="7:11" x14ac:dyDescent="0.25">
      <c r="G7523" s="1" t="str">
        <f>IF(Table2[[#This Row],[Description]]="","",VLOOKUP(Table2[[#This Row],[Description]],$Q$1:$S$101,2,FALSE))</f>
        <v/>
      </c>
      <c r="H7523" s="1" t="str">
        <f>IF(Table2[[#This Row],[Description]]="","",VLOOKUP(Table2[[#This Row],[Description]],$Q$1:$S$101,3,FALSE))</f>
        <v/>
      </c>
      <c r="I7523" s="1" t="str">
        <f>IF(Table2[[#This Row],[Description]]="","",IF(Table2[[#This Row],[Currency]]=$O$2,$P$2,HLOOKUP(Table2[[#This Row],[Date]],Funds!$C$10:$GV$11,2,FALSE)))</f>
        <v/>
      </c>
      <c r="J7523" s="215" t="str">
        <f>IF(Table2[[#This Row],[Description]]="","",Table2[[#This Row],[Value]]/Table2[[#This Row],[Conversion]])</f>
        <v/>
      </c>
      <c r="K7523" s="45" t="str">
        <f>IF(Table2[[#This Row],[Description]]="","",DATE(Table2[[#This Row],[Year]],Table2[[#This Row],[Month]],1))</f>
        <v/>
      </c>
    </row>
    <row r="7524" spans="7:11" x14ac:dyDescent="0.25">
      <c r="G7524" s="1" t="str">
        <f>IF(Table2[[#This Row],[Description]]="","",VLOOKUP(Table2[[#This Row],[Description]],$Q$1:$S$101,2,FALSE))</f>
        <v/>
      </c>
      <c r="H7524" s="1" t="str">
        <f>IF(Table2[[#This Row],[Description]]="","",VLOOKUP(Table2[[#This Row],[Description]],$Q$1:$S$101,3,FALSE))</f>
        <v/>
      </c>
      <c r="I7524" s="1" t="str">
        <f>IF(Table2[[#This Row],[Description]]="","",IF(Table2[[#This Row],[Currency]]=$O$2,$P$2,HLOOKUP(Table2[[#This Row],[Date]],Funds!$C$10:$GV$11,2,FALSE)))</f>
        <v/>
      </c>
      <c r="J7524" s="215" t="str">
        <f>IF(Table2[[#This Row],[Description]]="","",Table2[[#This Row],[Value]]/Table2[[#This Row],[Conversion]])</f>
        <v/>
      </c>
      <c r="K7524" s="45" t="str">
        <f>IF(Table2[[#This Row],[Description]]="","",DATE(Table2[[#This Row],[Year]],Table2[[#This Row],[Month]],1))</f>
        <v/>
      </c>
    </row>
    <row r="7525" spans="7:11" x14ac:dyDescent="0.25">
      <c r="G7525" s="1" t="str">
        <f>IF(Table2[[#This Row],[Description]]="","",VLOOKUP(Table2[[#This Row],[Description]],$Q$1:$S$101,2,FALSE))</f>
        <v/>
      </c>
      <c r="H7525" s="1" t="str">
        <f>IF(Table2[[#This Row],[Description]]="","",VLOOKUP(Table2[[#This Row],[Description]],$Q$1:$S$101,3,FALSE))</f>
        <v/>
      </c>
      <c r="I7525" s="1" t="str">
        <f>IF(Table2[[#This Row],[Description]]="","",IF(Table2[[#This Row],[Currency]]=$O$2,$P$2,HLOOKUP(Table2[[#This Row],[Date]],Funds!$C$10:$GV$11,2,FALSE)))</f>
        <v/>
      </c>
      <c r="J7525" s="215" t="str">
        <f>IF(Table2[[#This Row],[Description]]="","",Table2[[#This Row],[Value]]/Table2[[#This Row],[Conversion]])</f>
        <v/>
      </c>
      <c r="K7525" s="45" t="str">
        <f>IF(Table2[[#This Row],[Description]]="","",DATE(Table2[[#This Row],[Year]],Table2[[#This Row],[Month]],1))</f>
        <v/>
      </c>
    </row>
    <row r="7526" spans="7:11" x14ac:dyDescent="0.25">
      <c r="G7526" s="1" t="str">
        <f>IF(Table2[[#This Row],[Description]]="","",VLOOKUP(Table2[[#This Row],[Description]],$Q$1:$S$101,2,FALSE))</f>
        <v/>
      </c>
      <c r="H7526" s="1" t="str">
        <f>IF(Table2[[#This Row],[Description]]="","",VLOOKUP(Table2[[#This Row],[Description]],$Q$1:$S$101,3,FALSE))</f>
        <v/>
      </c>
      <c r="I7526" s="1" t="str">
        <f>IF(Table2[[#This Row],[Description]]="","",IF(Table2[[#This Row],[Currency]]=$O$2,$P$2,HLOOKUP(Table2[[#This Row],[Date]],Funds!$C$10:$GV$11,2,FALSE)))</f>
        <v/>
      </c>
      <c r="J7526" s="215" t="str">
        <f>IF(Table2[[#This Row],[Description]]="","",Table2[[#This Row],[Value]]/Table2[[#This Row],[Conversion]])</f>
        <v/>
      </c>
      <c r="K7526" s="45" t="str">
        <f>IF(Table2[[#This Row],[Description]]="","",DATE(Table2[[#This Row],[Year]],Table2[[#This Row],[Month]],1))</f>
        <v/>
      </c>
    </row>
    <row r="7527" spans="7:11" x14ac:dyDescent="0.25">
      <c r="G7527" s="1" t="str">
        <f>IF(Table2[[#This Row],[Description]]="","",VLOOKUP(Table2[[#This Row],[Description]],$Q$1:$S$101,2,FALSE))</f>
        <v/>
      </c>
      <c r="H7527" s="1" t="str">
        <f>IF(Table2[[#This Row],[Description]]="","",VLOOKUP(Table2[[#This Row],[Description]],$Q$1:$S$101,3,FALSE))</f>
        <v/>
      </c>
      <c r="I7527" s="1" t="str">
        <f>IF(Table2[[#This Row],[Description]]="","",IF(Table2[[#This Row],[Currency]]=$O$2,$P$2,HLOOKUP(Table2[[#This Row],[Date]],Funds!$C$10:$GV$11,2,FALSE)))</f>
        <v/>
      </c>
      <c r="J7527" s="215" t="str">
        <f>IF(Table2[[#This Row],[Description]]="","",Table2[[#This Row],[Value]]/Table2[[#This Row],[Conversion]])</f>
        <v/>
      </c>
      <c r="K7527" s="45" t="str">
        <f>IF(Table2[[#This Row],[Description]]="","",DATE(Table2[[#This Row],[Year]],Table2[[#This Row],[Month]],1))</f>
        <v/>
      </c>
    </row>
    <row r="7528" spans="7:11" x14ac:dyDescent="0.25">
      <c r="G7528" s="1" t="str">
        <f>IF(Table2[[#This Row],[Description]]="","",VLOOKUP(Table2[[#This Row],[Description]],$Q$1:$S$101,2,FALSE))</f>
        <v/>
      </c>
      <c r="H7528" s="1" t="str">
        <f>IF(Table2[[#This Row],[Description]]="","",VLOOKUP(Table2[[#This Row],[Description]],$Q$1:$S$101,3,FALSE))</f>
        <v/>
      </c>
      <c r="I7528" s="1" t="str">
        <f>IF(Table2[[#This Row],[Description]]="","",IF(Table2[[#This Row],[Currency]]=$O$2,$P$2,HLOOKUP(Table2[[#This Row],[Date]],Funds!$C$10:$GV$11,2,FALSE)))</f>
        <v/>
      </c>
      <c r="J7528" s="215" t="str">
        <f>IF(Table2[[#This Row],[Description]]="","",Table2[[#This Row],[Value]]/Table2[[#This Row],[Conversion]])</f>
        <v/>
      </c>
      <c r="K7528" s="45" t="str">
        <f>IF(Table2[[#This Row],[Description]]="","",DATE(Table2[[#This Row],[Year]],Table2[[#This Row],[Month]],1))</f>
        <v/>
      </c>
    </row>
    <row r="7529" spans="7:11" x14ac:dyDescent="0.25">
      <c r="G7529" s="1" t="str">
        <f>IF(Table2[[#This Row],[Description]]="","",VLOOKUP(Table2[[#This Row],[Description]],$Q$1:$S$101,2,FALSE))</f>
        <v/>
      </c>
      <c r="H7529" s="1" t="str">
        <f>IF(Table2[[#This Row],[Description]]="","",VLOOKUP(Table2[[#This Row],[Description]],$Q$1:$S$101,3,FALSE))</f>
        <v/>
      </c>
      <c r="I7529" s="1" t="str">
        <f>IF(Table2[[#This Row],[Description]]="","",IF(Table2[[#This Row],[Currency]]=$O$2,$P$2,HLOOKUP(Table2[[#This Row],[Date]],Funds!$C$10:$GV$11,2,FALSE)))</f>
        <v/>
      </c>
      <c r="J7529" s="215" t="str">
        <f>IF(Table2[[#This Row],[Description]]="","",Table2[[#This Row],[Value]]/Table2[[#This Row],[Conversion]])</f>
        <v/>
      </c>
      <c r="K7529" s="45" t="str">
        <f>IF(Table2[[#This Row],[Description]]="","",DATE(Table2[[#This Row],[Year]],Table2[[#This Row],[Month]],1))</f>
        <v/>
      </c>
    </row>
    <row r="7530" spans="7:11" x14ac:dyDescent="0.25">
      <c r="G7530" s="1" t="str">
        <f>IF(Table2[[#This Row],[Description]]="","",VLOOKUP(Table2[[#This Row],[Description]],$Q$1:$S$101,2,FALSE))</f>
        <v/>
      </c>
      <c r="H7530" s="1" t="str">
        <f>IF(Table2[[#This Row],[Description]]="","",VLOOKUP(Table2[[#This Row],[Description]],$Q$1:$S$101,3,FALSE))</f>
        <v/>
      </c>
      <c r="I7530" s="1" t="str">
        <f>IF(Table2[[#This Row],[Description]]="","",IF(Table2[[#This Row],[Currency]]=$O$2,$P$2,HLOOKUP(Table2[[#This Row],[Date]],Funds!$C$10:$GV$11,2,FALSE)))</f>
        <v/>
      </c>
      <c r="J7530" s="215" t="str">
        <f>IF(Table2[[#This Row],[Description]]="","",Table2[[#This Row],[Value]]/Table2[[#This Row],[Conversion]])</f>
        <v/>
      </c>
      <c r="K7530" s="45" t="str">
        <f>IF(Table2[[#This Row],[Description]]="","",DATE(Table2[[#This Row],[Year]],Table2[[#This Row],[Month]],1))</f>
        <v/>
      </c>
    </row>
    <row r="7531" spans="7:11" x14ac:dyDescent="0.25">
      <c r="G7531" s="1" t="str">
        <f>IF(Table2[[#This Row],[Description]]="","",VLOOKUP(Table2[[#This Row],[Description]],$Q$1:$S$101,2,FALSE))</f>
        <v/>
      </c>
      <c r="H7531" s="1" t="str">
        <f>IF(Table2[[#This Row],[Description]]="","",VLOOKUP(Table2[[#This Row],[Description]],$Q$1:$S$101,3,FALSE))</f>
        <v/>
      </c>
      <c r="I7531" s="1" t="str">
        <f>IF(Table2[[#This Row],[Description]]="","",IF(Table2[[#This Row],[Currency]]=$O$2,$P$2,HLOOKUP(Table2[[#This Row],[Date]],Funds!$C$10:$GV$11,2,FALSE)))</f>
        <v/>
      </c>
      <c r="J7531" s="215" t="str">
        <f>IF(Table2[[#This Row],[Description]]="","",Table2[[#This Row],[Value]]/Table2[[#This Row],[Conversion]])</f>
        <v/>
      </c>
      <c r="K7531" s="45" t="str">
        <f>IF(Table2[[#This Row],[Description]]="","",DATE(Table2[[#This Row],[Year]],Table2[[#This Row],[Month]],1))</f>
        <v/>
      </c>
    </row>
    <row r="7532" spans="7:11" x14ac:dyDescent="0.25">
      <c r="G7532" s="1" t="str">
        <f>IF(Table2[[#This Row],[Description]]="","",VLOOKUP(Table2[[#This Row],[Description]],$Q$1:$S$101,2,FALSE))</f>
        <v/>
      </c>
      <c r="H7532" s="1" t="str">
        <f>IF(Table2[[#This Row],[Description]]="","",VLOOKUP(Table2[[#This Row],[Description]],$Q$1:$S$101,3,FALSE))</f>
        <v/>
      </c>
      <c r="I7532" s="1" t="str">
        <f>IF(Table2[[#This Row],[Description]]="","",IF(Table2[[#This Row],[Currency]]=$O$2,$P$2,HLOOKUP(Table2[[#This Row],[Date]],Funds!$C$10:$GV$11,2,FALSE)))</f>
        <v/>
      </c>
      <c r="J7532" s="215" t="str">
        <f>IF(Table2[[#This Row],[Description]]="","",Table2[[#This Row],[Value]]/Table2[[#This Row],[Conversion]])</f>
        <v/>
      </c>
      <c r="K7532" s="45" t="str">
        <f>IF(Table2[[#This Row],[Description]]="","",DATE(Table2[[#This Row],[Year]],Table2[[#This Row],[Month]],1))</f>
        <v/>
      </c>
    </row>
    <row r="7533" spans="7:11" x14ac:dyDescent="0.25">
      <c r="G7533" s="1" t="str">
        <f>IF(Table2[[#This Row],[Description]]="","",VLOOKUP(Table2[[#This Row],[Description]],$Q$1:$S$101,2,FALSE))</f>
        <v/>
      </c>
      <c r="H7533" s="1" t="str">
        <f>IF(Table2[[#This Row],[Description]]="","",VLOOKUP(Table2[[#This Row],[Description]],$Q$1:$S$101,3,FALSE))</f>
        <v/>
      </c>
      <c r="I7533" s="1" t="str">
        <f>IF(Table2[[#This Row],[Description]]="","",IF(Table2[[#This Row],[Currency]]=$O$2,$P$2,HLOOKUP(Table2[[#This Row],[Date]],Funds!$C$10:$GV$11,2,FALSE)))</f>
        <v/>
      </c>
      <c r="J7533" s="215" t="str">
        <f>IF(Table2[[#This Row],[Description]]="","",Table2[[#This Row],[Value]]/Table2[[#This Row],[Conversion]])</f>
        <v/>
      </c>
      <c r="K7533" s="45" t="str">
        <f>IF(Table2[[#This Row],[Description]]="","",DATE(Table2[[#This Row],[Year]],Table2[[#This Row],[Month]],1))</f>
        <v/>
      </c>
    </row>
    <row r="7534" spans="7:11" x14ac:dyDescent="0.25">
      <c r="G7534" s="1" t="str">
        <f>IF(Table2[[#This Row],[Description]]="","",VLOOKUP(Table2[[#This Row],[Description]],$Q$1:$S$101,2,FALSE))</f>
        <v/>
      </c>
      <c r="H7534" s="1" t="str">
        <f>IF(Table2[[#This Row],[Description]]="","",VLOOKUP(Table2[[#This Row],[Description]],$Q$1:$S$101,3,FALSE))</f>
        <v/>
      </c>
      <c r="I7534" s="1" t="str">
        <f>IF(Table2[[#This Row],[Description]]="","",IF(Table2[[#This Row],[Currency]]=$O$2,$P$2,HLOOKUP(Table2[[#This Row],[Date]],Funds!$C$10:$GV$11,2,FALSE)))</f>
        <v/>
      </c>
      <c r="J7534" s="215" t="str">
        <f>IF(Table2[[#This Row],[Description]]="","",Table2[[#This Row],[Value]]/Table2[[#This Row],[Conversion]])</f>
        <v/>
      </c>
      <c r="K7534" s="45" t="str">
        <f>IF(Table2[[#This Row],[Description]]="","",DATE(Table2[[#This Row],[Year]],Table2[[#This Row],[Month]],1))</f>
        <v/>
      </c>
    </row>
    <row r="7535" spans="7:11" x14ac:dyDescent="0.25">
      <c r="G7535" s="1" t="str">
        <f>IF(Table2[[#This Row],[Description]]="","",VLOOKUP(Table2[[#This Row],[Description]],$Q$1:$S$101,2,FALSE))</f>
        <v/>
      </c>
      <c r="H7535" s="1" t="str">
        <f>IF(Table2[[#This Row],[Description]]="","",VLOOKUP(Table2[[#This Row],[Description]],$Q$1:$S$101,3,FALSE))</f>
        <v/>
      </c>
      <c r="I7535" s="1" t="str">
        <f>IF(Table2[[#This Row],[Description]]="","",IF(Table2[[#This Row],[Currency]]=$O$2,$P$2,HLOOKUP(Table2[[#This Row],[Date]],Funds!$C$10:$GV$11,2,FALSE)))</f>
        <v/>
      </c>
      <c r="J7535" s="215" t="str">
        <f>IF(Table2[[#This Row],[Description]]="","",Table2[[#This Row],[Value]]/Table2[[#This Row],[Conversion]])</f>
        <v/>
      </c>
      <c r="K7535" s="45" t="str">
        <f>IF(Table2[[#This Row],[Description]]="","",DATE(Table2[[#This Row],[Year]],Table2[[#This Row],[Month]],1))</f>
        <v/>
      </c>
    </row>
    <row r="7536" spans="7:11" x14ac:dyDescent="0.25">
      <c r="G7536" s="1" t="str">
        <f>IF(Table2[[#This Row],[Description]]="","",VLOOKUP(Table2[[#This Row],[Description]],$Q$1:$S$101,2,FALSE))</f>
        <v/>
      </c>
      <c r="H7536" s="1" t="str">
        <f>IF(Table2[[#This Row],[Description]]="","",VLOOKUP(Table2[[#This Row],[Description]],$Q$1:$S$101,3,FALSE))</f>
        <v/>
      </c>
      <c r="I7536" s="1" t="str">
        <f>IF(Table2[[#This Row],[Description]]="","",IF(Table2[[#This Row],[Currency]]=$O$2,$P$2,HLOOKUP(Table2[[#This Row],[Date]],Funds!$C$10:$GV$11,2,FALSE)))</f>
        <v/>
      </c>
      <c r="J7536" s="215" t="str">
        <f>IF(Table2[[#This Row],[Description]]="","",Table2[[#This Row],[Value]]/Table2[[#This Row],[Conversion]])</f>
        <v/>
      </c>
      <c r="K7536" s="45" t="str">
        <f>IF(Table2[[#This Row],[Description]]="","",DATE(Table2[[#This Row],[Year]],Table2[[#This Row],[Month]],1))</f>
        <v/>
      </c>
    </row>
    <row r="7537" spans="7:11" x14ac:dyDescent="0.25">
      <c r="G7537" s="1" t="str">
        <f>IF(Table2[[#This Row],[Description]]="","",VLOOKUP(Table2[[#This Row],[Description]],$Q$1:$S$101,2,FALSE))</f>
        <v/>
      </c>
      <c r="H7537" s="1" t="str">
        <f>IF(Table2[[#This Row],[Description]]="","",VLOOKUP(Table2[[#This Row],[Description]],$Q$1:$S$101,3,FALSE))</f>
        <v/>
      </c>
      <c r="I7537" s="1" t="str">
        <f>IF(Table2[[#This Row],[Description]]="","",IF(Table2[[#This Row],[Currency]]=$O$2,$P$2,HLOOKUP(Table2[[#This Row],[Date]],Funds!$C$10:$GV$11,2,FALSE)))</f>
        <v/>
      </c>
      <c r="J7537" s="215" t="str">
        <f>IF(Table2[[#This Row],[Description]]="","",Table2[[#This Row],[Value]]/Table2[[#This Row],[Conversion]])</f>
        <v/>
      </c>
      <c r="K7537" s="45" t="str">
        <f>IF(Table2[[#This Row],[Description]]="","",DATE(Table2[[#This Row],[Year]],Table2[[#This Row],[Month]],1))</f>
        <v/>
      </c>
    </row>
    <row r="7538" spans="7:11" x14ac:dyDescent="0.25">
      <c r="G7538" s="1" t="str">
        <f>IF(Table2[[#This Row],[Description]]="","",VLOOKUP(Table2[[#This Row],[Description]],$Q$1:$S$101,2,FALSE))</f>
        <v/>
      </c>
      <c r="H7538" s="1" t="str">
        <f>IF(Table2[[#This Row],[Description]]="","",VLOOKUP(Table2[[#This Row],[Description]],$Q$1:$S$101,3,FALSE))</f>
        <v/>
      </c>
      <c r="I7538" s="1" t="str">
        <f>IF(Table2[[#This Row],[Description]]="","",IF(Table2[[#This Row],[Currency]]=$O$2,$P$2,HLOOKUP(Table2[[#This Row],[Date]],Funds!$C$10:$GV$11,2,FALSE)))</f>
        <v/>
      </c>
      <c r="J7538" s="215" t="str">
        <f>IF(Table2[[#This Row],[Description]]="","",Table2[[#This Row],[Value]]/Table2[[#This Row],[Conversion]])</f>
        <v/>
      </c>
      <c r="K7538" s="45" t="str">
        <f>IF(Table2[[#This Row],[Description]]="","",DATE(Table2[[#This Row],[Year]],Table2[[#This Row],[Month]],1))</f>
        <v/>
      </c>
    </row>
    <row r="7539" spans="7:11" x14ac:dyDescent="0.25">
      <c r="G7539" s="1" t="str">
        <f>IF(Table2[[#This Row],[Description]]="","",VLOOKUP(Table2[[#This Row],[Description]],$Q$1:$S$101,2,FALSE))</f>
        <v/>
      </c>
      <c r="H7539" s="1" t="str">
        <f>IF(Table2[[#This Row],[Description]]="","",VLOOKUP(Table2[[#This Row],[Description]],$Q$1:$S$101,3,FALSE))</f>
        <v/>
      </c>
      <c r="I7539" s="1" t="str">
        <f>IF(Table2[[#This Row],[Description]]="","",IF(Table2[[#This Row],[Currency]]=$O$2,$P$2,HLOOKUP(Table2[[#This Row],[Date]],Funds!$C$10:$GV$11,2,FALSE)))</f>
        <v/>
      </c>
      <c r="J7539" s="215" t="str">
        <f>IF(Table2[[#This Row],[Description]]="","",Table2[[#This Row],[Value]]/Table2[[#This Row],[Conversion]])</f>
        <v/>
      </c>
      <c r="K7539" s="45" t="str">
        <f>IF(Table2[[#This Row],[Description]]="","",DATE(Table2[[#This Row],[Year]],Table2[[#This Row],[Month]],1))</f>
        <v/>
      </c>
    </row>
    <row r="7540" spans="7:11" x14ac:dyDescent="0.25">
      <c r="G7540" s="1" t="str">
        <f>IF(Table2[[#This Row],[Description]]="","",VLOOKUP(Table2[[#This Row],[Description]],$Q$1:$S$101,2,FALSE))</f>
        <v/>
      </c>
      <c r="H7540" s="1" t="str">
        <f>IF(Table2[[#This Row],[Description]]="","",VLOOKUP(Table2[[#This Row],[Description]],$Q$1:$S$101,3,FALSE))</f>
        <v/>
      </c>
      <c r="I7540" s="1" t="str">
        <f>IF(Table2[[#This Row],[Description]]="","",IF(Table2[[#This Row],[Currency]]=$O$2,$P$2,HLOOKUP(Table2[[#This Row],[Date]],Funds!$C$10:$GV$11,2,FALSE)))</f>
        <v/>
      </c>
      <c r="J7540" s="215" t="str">
        <f>IF(Table2[[#This Row],[Description]]="","",Table2[[#This Row],[Value]]/Table2[[#This Row],[Conversion]])</f>
        <v/>
      </c>
      <c r="K7540" s="45" t="str">
        <f>IF(Table2[[#This Row],[Description]]="","",DATE(Table2[[#This Row],[Year]],Table2[[#This Row],[Month]],1))</f>
        <v/>
      </c>
    </row>
    <row r="7541" spans="7:11" x14ac:dyDescent="0.25">
      <c r="G7541" s="1" t="str">
        <f>IF(Table2[[#This Row],[Description]]="","",VLOOKUP(Table2[[#This Row],[Description]],$Q$1:$S$101,2,FALSE))</f>
        <v/>
      </c>
      <c r="H7541" s="1" t="str">
        <f>IF(Table2[[#This Row],[Description]]="","",VLOOKUP(Table2[[#This Row],[Description]],$Q$1:$S$101,3,FALSE))</f>
        <v/>
      </c>
      <c r="I7541" s="1" t="str">
        <f>IF(Table2[[#This Row],[Description]]="","",IF(Table2[[#This Row],[Currency]]=$O$2,$P$2,HLOOKUP(Table2[[#This Row],[Date]],Funds!$C$10:$GV$11,2,FALSE)))</f>
        <v/>
      </c>
      <c r="J7541" s="215" t="str">
        <f>IF(Table2[[#This Row],[Description]]="","",Table2[[#This Row],[Value]]/Table2[[#This Row],[Conversion]])</f>
        <v/>
      </c>
      <c r="K7541" s="45" t="str">
        <f>IF(Table2[[#This Row],[Description]]="","",DATE(Table2[[#This Row],[Year]],Table2[[#This Row],[Month]],1))</f>
        <v/>
      </c>
    </row>
    <row r="7542" spans="7:11" x14ac:dyDescent="0.25">
      <c r="G7542" s="1" t="str">
        <f>IF(Table2[[#This Row],[Description]]="","",VLOOKUP(Table2[[#This Row],[Description]],$Q$1:$S$101,2,FALSE))</f>
        <v/>
      </c>
      <c r="H7542" s="1" t="str">
        <f>IF(Table2[[#This Row],[Description]]="","",VLOOKUP(Table2[[#This Row],[Description]],$Q$1:$S$101,3,FALSE))</f>
        <v/>
      </c>
      <c r="I7542" s="1" t="str">
        <f>IF(Table2[[#This Row],[Description]]="","",IF(Table2[[#This Row],[Currency]]=$O$2,$P$2,HLOOKUP(Table2[[#This Row],[Date]],Funds!$C$10:$GV$11,2,FALSE)))</f>
        <v/>
      </c>
      <c r="J7542" s="215" t="str">
        <f>IF(Table2[[#This Row],[Description]]="","",Table2[[#This Row],[Value]]/Table2[[#This Row],[Conversion]])</f>
        <v/>
      </c>
      <c r="K7542" s="45" t="str">
        <f>IF(Table2[[#This Row],[Description]]="","",DATE(Table2[[#This Row],[Year]],Table2[[#This Row],[Month]],1))</f>
        <v/>
      </c>
    </row>
    <row r="7543" spans="7:11" x14ac:dyDescent="0.25">
      <c r="G7543" s="1" t="str">
        <f>IF(Table2[[#This Row],[Description]]="","",VLOOKUP(Table2[[#This Row],[Description]],$Q$1:$S$101,2,FALSE))</f>
        <v/>
      </c>
      <c r="H7543" s="1" t="str">
        <f>IF(Table2[[#This Row],[Description]]="","",VLOOKUP(Table2[[#This Row],[Description]],$Q$1:$S$101,3,FALSE))</f>
        <v/>
      </c>
      <c r="I7543" s="1" t="str">
        <f>IF(Table2[[#This Row],[Description]]="","",IF(Table2[[#This Row],[Currency]]=$O$2,$P$2,HLOOKUP(Table2[[#This Row],[Date]],Funds!$C$10:$GV$11,2,FALSE)))</f>
        <v/>
      </c>
      <c r="J7543" s="215" t="str">
        <f>IF(Table2[[#This Row],[Description]]="","",Table2[[#This Row],[Value]]/Table2[[#This Row],[Conversion]])</f>
        <v/>
      </c>
      <c r="K7543" s="45" t="str">
        <f>IF(Table2[[#This Row],[Description]]="","",DATE(Table2[[#This Row],[Year]],Table2[[#This Row],[Month]],1))</f>
        <v/>
      </c>
    </row>
    <row r="7544" spans="7:11" x14ac:dyDescent="0.25">
      <c r="G7544" s="1" t="str">
        <f>IF(Table2[[#This Row],[Description]]="","",VLOOKUP(Table2[[#This Row],[Description]],$Q$1:$S$101,2,FALSE))</f>
        <v/>
      </c>
      <c r="H7544" s="1" t="str">
        <f>IF(Table2[[#This Row],[Description]]="","",VLOOKUP(Table2[[#This Row],[Description]],$Q$1:$S$101,3,FALSE))</f>
        <v/>
      </c>
      <c r="I7544" s="1" t="str">
        <f>IF(Table2[[#This Row],[Description]]="","",IF(Table2[[#This Row],[Currency]]=$O$2,$P$2,HLOOKUP(Table2[[#This Row],[Date]],Funds!$C$10:$GV$11,2,FALSE)))</f>
        <v/>
      </c>
      <c r="J7544" s="215" t="str">
        <f>IF(Table2[[#This Row],[Description]]="","",Table2[[#This Row],[Value]]/Table2[[#This Row],[Conversion]])</f>
        <v/>
      </c>
      <c r="K7544" s="45" t="str">
        <f>IF(Table2[[#This Row],[Description]]="","",DATE(Table2[[#This Row],[Year]],Table2[[#This Row],[Month]],1))</f>
        <v/>
      </c>
    </row>
    <row r="7545" spans="7:11" x14ac:dyDescent="0.25">
      <c r="G7545" s="1" t="str">
        <f>IF(Table2[[#This Row],[Description]]="","",VLOOKUP(Table2[[#This Row],[Description]],$Q$1:$S$101,2,FALSE))</f>
        <v/>
      </c>
      <c r="H7545" s="1" t="str">
        <f>IF(Table2[[#This Row],[Description]]="","",VLOOKUP(Table2[[#This Row],[Description]],$Q$1:$S$101,3,FALSE))</f>
        <v/>
      </c>
      <c r="I7545" s="1" t="str">
        <f>IF(Table2[[#This Row],[Description]]="","",IF(Table2[[#This Row],[Currency]]=$O$2,$P$2,HLOOKUP(Table2[[#This Row],[Date]],Funds!$C$10:$GV$11,2,FALSE)))</f>
        <v/>
      </c>
      <c r="J7545" s="215" t="str">
        <f>IF(Table2[[#This Row],[Description]]="","",Table2[[#This Row],[Value]]/Table2[[#This Row],[Conversion]])</f>
        <v/>
      </c>
      <c r="K7545" s="45" t="str">
        <f>IF(Table2[[#This Row],[Description]]="","",DATE(Table2[[#This Row],[Year]],Table2[[#This Row],[Month]],1))</f>
        <v/>
      </c>
    </row>
    <row r="7546" spans="7:11" x14ac:dyDescent="0.25">
      <c r="G7546" s="1" t="str">
        <f>IF(Table2[[#This Row],[Description]]="","",VLOOKUP(Table2[[#This Row],[Description]],$Q$1:$S$101,2,FALSE))</f>
        <v/>
      </c>
      <c r="H7546" s="1" t="str">
        <f>IF(Table2[[#This Row],[Description]]="","",VLOOKUP(Table2[[#This Row],[Description]],$Q$1:$S$101,3,FALSE))</f>
        <v/>
      </c>
      <c r="I7546" s="1" t="str">
        <f>IF(Table2[[#This Row],[Description]]="","",IF(Table2[[#This Row],[Currency]]=$O$2,$P$2,HLOOKUP(Table2[[#This Row],[Date]],Funds!$C$10:$GV$11,2,FALSE)))</f>
        <v/>
      </c>
      <c r="J7546" s="215" t="str">
        <f>IF(Table2[[#This Row],[Description]]="","",Table2[[#This Row],[Value]]/Table2[[#This Row],[Conversion]])</f>
        <v/>
      </c>
      <c r="K7546" s="45" t="str">
        <f>IF(Table2[[#This Row],[Description]]="","",DATE(Table2[[#This Row],[Year]],Table2[[#This Row],[Month]],1))</f>
        <v/>
      </c>
    </row>
    <row r="7547" spans="7:11" x14ac:dyDescent="0.25">
      <c r="G7547" s="1" t="str">
        <f>IF(Table2[[#This Row],[Description]]="","",VLOOKUP(Table2[[#This Row],[Description]],$Q$1:$S$101,2,FALSE))</f>
        <v/>
      </c>
      <c r="H7547" s="1" t="str">
        <f>IF(Table2[[#This Row],[Description]]="","",VLOOKUP(Table2[[#This Row],[Description]],$Q$1:$S$101,3,FALSE))</f>
        <v/>
      </c>
      <c r="I7547" s="1" t="str">
        <f>IF(Table2[[#This Row],[Description]]="","",IF(Table2[[#This Row],[Currency]]=$O$2,$P$2,HLOOKUP(Table2[[#This Row],[Date]],Funds!$C$10:$GV$11,2,FALSE)))</f>
        <v/>
      </c>
      <c r="J7547" s="215" t="str">
        <f>IF(Table2[[#This Row],[Description]]="","",Table2[[#This Row],[Value]]/Table2[[#This Row],[Conversion]])</f>
        <v/>
      </c>
      <c r="K7547" s="45" t="str">
        <f>IF(Table2[[#This Row],[Description]]="","",DATE(Table2[[#This Row],[Year]],Table2[[#This Row],[Month]],1))</f>
        <v/>
      </c>
    </row>
    <row r="7548" spans="7:11" x14ac:dyDescent="0.25">
      <c r="G7548" s="1" t="str">
        <f>IF(Table2[[#This Row],[Description]]="","",VLOOKUP(Table2[[#This Row],[Description]],$Q$1:$S$101,2,FALSE))</f>
        <v/>
      </c>
      <c r="H7548" s="1" t="str">
        <f>IF(Table2[[#This Row],[Description]]="","",VLOOKUP(Table2[[#This Row],[Description]],$Q$1:$S$101,3,FALSE))</f>
        <v/>
      </c>
      <c r="I7548" s="1" t="str">
        <f>IF(Table2[[#This Row],[Description]]="","",IF(Table2[[#This Row],[Currency]]=$O$2,$P$2,HLOOKUP(Table2[[#This Row],[Date]],Funds!$C$10:$GV$11,2,FALSE)))</f>
        <v/>
      </c>
      <c r="J7548" s="215" t="str">
        <f>IF(Table2[[#This Row],[Description]]="","",Table2[[#This Row],[Value]]/Table2[[#This Row],[Conversion]])</f>
        <v/>
      </c>
      <c r="K7548" s="45" t="str">
        <f>IF(Table2[[#This Row],[Description]]="","",DATE(Table2[[#This Row],[Year]],Table2[[#This Row],[Month]],1))</f>
        <v/>
      </c>
    </row>
    <row r="7549" spans="7:11" x14ac:dyDescent="0.25">
      <c r="G7549" s="1" t="str">
        <f>IF(Table2[[#This Row],[Description]]="","",VLOOKUP(Table2[[#This Row],[Description]],$Q$1:$S$101,2,FALSE))</f>
        <v/>
      </c>
      <c r="H7549" s="1" t="str">
        <f>IF(Table2[[#This Row],[Description]]="","",VLOOKUP(Table2[[#This Row],[Description]],$Q$1:$S$101,3,FALSE))</f>
        <v/>
      </c>
      <c r="I7549" s="1" t="str">
        <f>IF(Table2[[#This Row],[Description]]="","",IF(Table2[[#This Row],[Currency]]=$O$2,$P$2,HLOOKUP(Table2[[#This Row],[Date]],Funds!$C$10:$GV$11,2,FALSE)))</f>
        <v/>
      </c>
      <c r="J7549" s="215" t="str">
        <f>IF(Table2[[#This Row],[Description]]="","",Table2[[#This Row],[Value]]/Table2[[#This Row],[Conversion]])</f>
        <v/>
      </c>
      <c r="K7549" s="45" t="str">
        <f>IF(Table2[[#This Row],[Description]]="","",DATE(Table2[[#This Row],[Year]],Table2[[#This Row],[Month]],1))</f>
        <v/>
      </c>
    </row>
    <row r="7550" spans="7:11" x14ac:dyDescent="0.25">
      <c r="G7550" s="1" t="str">
        <f>IF(Table2[[#This Row],[Description]]="","",VLOOKUP(Table2[[#This Row],[Description]],$Q$1:$S$101,2,FALSE))</f>
        <v/>
      </c>
      <c r="H7550" s="1" t="str">
        <f>IF(Table2[[#This Row],[Description]]="","",VLOOKUP(Table2[[#This Row],[Description]],$Q$1:$S$101,3,FALSE))</f>
        <v/>
      </c>
      <c r="I7550" s="1" t="str">
        <f>IF(Table2[[#This Row],[Description]]="","",IF(Table2[[#This Row],[Currency]]=$O$2,$P$2,HLOOKUP(Table2[[#This Row],[Date]],Funds!$C$10:$GV$11,2,FALSE)))</f>
        <v/>
      </c>
      <c r="J7550" s="215" t="str">
        <f>IF(Table2[[#This Row],[Description]]="","",Table2[[#This Row],[Value]]/Table2[[#This Row],[Conversion]])</f>
        <v/>
      </c>
      <c r="K7550" s="45" t="str">
        <f>IF(Table2[[#This Row],[Description]]="","",DATE(Table2[[#This Row],[Year]],Table2[[#This Row],[Month]],1))</f>
        <v/>
      </c>
    </row>
    <row r="7551" spans="7:11" x14ac:dyDescent="0.25">
      <c r="G7551" s="1" t="str">
        <f>IF(Table2[[#This Row],[Description]]="","",VLOOKUP(Table2[[#This Row],[Description]],$Q$1:$S$101,2,FALSE))</f>
        <v/>
      </c>
      <c r="H7551" s="1" t="str">
        <f>IF(Table2[[#This Row],[Description]]="","",VLOOKUP(Table2[[#This Row],[Description]],$Q$1:$S$101,3,FALSE))</f>
        <v/>
      </c>
      <c r="I7551" s="1" t="str">
        <f>IF(Table2[[#This Row],[Description]]="","",IF(Table2[[#This Row],[Currency]]=$O$2,$P$2,HLOOKUP(Table2[[#This Row],[Date]],Funds!$C$10:$GV$11,2,FALSE)))</f>
        <v/>
      </c>
      <c r="J7551" s="215" t="str">
        <f>IF(Table2[[#This Row],[Description]]="","",Table2[[#This Row],[Value]]/Table2[[#This Row],[Conversion]])</f>
        <v/>
      </c>
      <c r="K7551" s="45" t="str">
        <f>IF(Table2[[#This Row],[Description]]="","",DATE(Table2[[#This Row],[Year]],Table2[[#This Row],[Month]],1))</f>
        <v/>
      </c>
    </row>
    <row r="7552" spans="7:11" x14ac:dyDescent="0.25">
      <c r="G7552" s="1" t="str">
        <f>IF(Table2[[#This Row],[Description]]="","",VLOOKUP(Table2[[#This Row],[Description]],$Q$1:$S$101,2,FALSE))</f>
        <v/>
      </c>
      <c r="H7552" s="1" t="str">
        <f>IF(Table2[[#This Row],[Description]]="","",VLOOKUP(Table2[[#This Row],[Description]],$Q$1:$S$101,3,FALSE))</f>
        <v/>
      </c>
      <c r="I7552" s="1" t="str">
        <f>IF(Table2[[#This Row],[Description]]="","",IF(Table2[[#This Row],[Currency]]=$O$2,$P$2,HLOOKUP(Table2[[#This Row],[Date]],Funds!$C$10:$GV$11,2,FALSE)))</f>
        <v/>
      </c>
      <c r="J7552" s="215" t="str">
        <f>IF(Table2[[#This Row],[Description]]="","",Table2[[#This Row],[Value]]/Table2[[#This Row],[Conversion]])</f>
        <v/>
      </c>
      <c r="K7552" s="45" t="str">
        <f>IF(Table2[[#This Row],[Description]]="","",DATE(Table2[[#This Row],[Year]],Table2[[#This Row],[Month]],1))</f>
        <v/>
      </c>
    </row>
    <row r="7553" spans="7:11" x14ac:dyDescent="0.25">
      <c r="G7553" s="1" t="str">
        <f>IF(Table2[[#This Row],[Description]]="","",VLOOKUP(Table2[[#This Row],[Description]],$Q$1:$S$101,2,FALSE))</f>
        <v/>
      </c>
      <c r="H7553" s="1" t="str">
        <f>IF(Table2[[#This Row],[Description]]="","",VLOOKUP(Table2[[#This Row],[Description]],$Q$1:$S$101,3,FALSE))</f>
        <v/>
      </c>
      <c r="I7553" s="1" t="str">
        <f>IF(Table2[[#This Row],[Description]]="","",IF(Table2[[#This Row],[Currency]]=$O$2,$P$2,HLOOKUP(Table2[[#This Row],[Date]],Funds!$C$10:$GV$11,2,FALSE)))</f>
        <v/>
      </c>
      <c r="J7553" s="215" t="str">
        <f>IF(Table2[[#This Row],[Description]]="","",Table2[[#This Row],[Value]]/Table2[[#This Row],[Conversion]])</f>
        <v/>
      </c>
      <c r="K7553" s="45" t="str">
        <f>IF(Table2[[#This Row],[Description]]="","",DATE(Table2[[#This Row],[Year]],Table2[[#This Row],[Month]],1))</f>
        <v/>
      </c>
    </row>
    <row r="7554" spans="7:11" x14ac:dyDescent="0.25">
      <c r="G7554" s="1" t="str">
        <f>IF(Table2[[#This Row],[Description]]="","",VLOOKUP(Table2[[#This Row],[Description]],$Q$1:$S$101,2,FALSE))</f>
        <v/>
      </c>
      <c r="H7554" s="1" t="str">
        <f>IF(Table2[[#This Row],[Description]]="","",VLOOKUP(Table2[[#This Row],[Description]],$Q$1:$S$101,3,FALSE))</f>
        <v/>
      </c>
      <c r="I7554" s="1" t="str">
        <f>IF(Table2[[#This Row],[Description]]="","",IF(Table2[[#This Row],[Currency]]=$O$2,$P$2,HLOOKUP(Table2[[#This Row],[Date]],Funds!$C$10:$GV$11,2,FALSE)))</f>
        <v/>
      </c>
      <c r="J7554" s="215" t="str">
        <f>IF(Table2[[#This Row],[Description]]="","",Table2[[#This Row],[Value]]/Table2[[#This Row],[Conversion]])</f>
        <v/>
      </c>
      <c r="K7554" s="45" t="str">
        <f>IF(Table2[[#This Row],[Description]]="","",DATE(Table2[[#This Row],[Year]],Table2[[#This Row],[Month]],1))</f>
        <v/>
      </c>
    </row>
    <row r="7555" spans="7:11" x14ac:dyDescent="0.25">
      <c r="G7555" s="1" t="str">
        <f>IF(Table2[[#This Row],[Description]]="","",VLOOKUP(Table2[[#This Row],[Description]],$Q$1:$S$101,2,FALSE))</f>
        <v/>
      </c>
      <c r="H7555" s="1" t="str">
        <f>IF(Table2[[#This Row],[Description]]="","",VLOOKUP(Table2[[#This Row],[Description]],$Q$1:$S$101,3,FALSE))</f>
        <v/>
      </c>
      <c r="I7555" s="1" t="str">
        <f>IF(Table2[[#This Row],[Description]]="","",IF(Table2[[#This Row],[Currency]]=$O$2,$P$2,HLOOKUP(Table2[[#This Row],[Date]],Funds!$C$10:$GV$11,2,FALSE)))</f>
        <v/>
      </c>
      <c r="J7555" s="215" t="str">
        <f>IF(Table2[[#This Row],[Description]]="","",Table2[[#This Row],[Value]]/Table2[[#This Row],[Conversion]])</f>
        <v/>
      </c>
      <c r="K7555" s="45" t="str">
        <f>IF(Table2[[#This Row],[Description]]="","",DATE(Table2[[#This Row],[Year]],Table2[[#This Row],[Month]],1))</f>
        <v/>
      </c>
    </row>
    <row r="7556" spans="7:11" x14ac:dyDescent="0.25">
      <c r="G7556" s="1" t="str">
        <f>IF(Table2[[#This Row],[Description]]="","",VLOOKUP(Table2[[#This Row],[Description]],$Q$1:$S$101,2,FALSE))</f>
        <v/>
      </c>
      <c r="H7556" s="1" t="str">
        <f>IF(Table2[[#This Row],[Description]]="","",VLOOKUP(Table2[[#This Row],[Description]],$Q$1:$S$101,3,FALSE))</f>
        <v/>
      </c>
      <c r="I7556" s="1" t="str">
        <f>IF(Table2[[#This Row],[Description]]="","",IF(Table2[[#This Row],[Currency]]=$O$2,$P$2,HLOOKUP(Table2[[#This Row],[Date]],Funds!$C$10:$GV$11,2,FALSE)))</f>
        <v/>
      </c>
      <c r="J7556" s="215" t="str">
        <f>IF(Table2[[#This Row],[Description]]="","",Table2[[#This Row],[Value]]/Table2[[#This Row],[Conversion]])</f>
        <v/>
      </c>
      <c r="K7556" s="45" t="str">
        <f>IF(Table2[[#This Row],[Description]]="","",DATE(Table2[[#This Row],[Year]],Table2[[#This Row],[Month]],1))</f>
        <v/>
      </c>
    </row>
    <row r="7557" spans="7:11" x14ac:dyDescent="0.25">
      <c r="G7557" s="1" t="str">
        <f>IF(Table2[[#This Row],[Description]]="","",VLOOKUP(Table2[[#This Row],[Description]],$Q$1:$S$101,2,FALSE))</f>
        <v/>
      </c>
      <c r="H7557" s="1" t="str">
        <f>IF(Table2[[#This Row],[Description]]="","",VLOOKUP(Table2[[#This Row],[Description]],$Q$1:$S$101,3,FALSE))</f>
        <v/>
      </c>
      <c r="I7557" s="1" t="str">
        <f>IF(Table2[[#This Row],[Description]]="","",IF(Table2[[#This Row],[Currency]]=$O$2,$P$2,HLOOKUP(Table2[[#This Row],[Date]],Funds!$C$10:$GV$11,2,FALSE)))</f>
        <v/>
      </c>
      <c r="J7557" s="215" t="str">
        <f>IF(Table2[[#This Row],[Description]]="","",Table2[[#This Row],[Value]]/Table2[[#This Row],[Conversion]])</f>
        <v/>
      </c>
      <c r="K7557" s="45" t="str">
        <f>IF(Table2[[#This Row],[Description]]="","",DATE(Table2[[#This Row],[Year]],Table2[[#This Row],[Month]],1))</f>
        <v/>
      </c>
    </row>
    <row r="7558" spans="7:11" x14ac:dyDescent="0.25">
      <c r="G7558" s="1" t="str">
        <f>IF(Table2[[#This Row],[Description]]="","",VLOOKUP(Table2[[#This Row],[Description]],$Q$1:$S$101,2,FALSE))</f>
        <v/>
      </c>
      <c r="H7558" s="1" t="str">
        <f>IF(Table2[[#This Row],[Description]]="","",VLOOKUP(Table2[[#This Row],[Description]],$Q$1:$S$101,3,FALSE))</f>
        <v/>
      </c>
      <c r="I7558" s="1" t="str">
        <f>IF(Table2[[#This Row],[Description]]="","",IF(Table2[[#This Row],[Currency]]=$O$2,$P$2,HLOOKUP(Table2[[#This Row],[Date]],Funds!$C$10:$GV$11,2,FALSE)))</f>
        <v/>
      </c>
      <c r="J7558" s="215" t="str">
        <f>IF(Table2[[#This Row],[Description]]="","",Table2[[#This Row],[Value]]/Table2[[#This Row],[Conversion]])</f>
        <v/>
      </c>
      <c r="K7558" s="45" t="str">
        <f>IF(Table2[[#This Row],[Description]]="","",DATE(Table2[[#This Row],[Year]],Table2[[#This Row],[Month]],1))</f>
        <v/>
      </c>
    </row>
    <row r="7559" spans="7:11" x14ac:dyDescent="0.25">
      <c r="G7559" s="1" t="str">
        <f>IF(Table2[[#This Row],[Description]]="","",VLOOKUP(Table2[[#This Row],[Description]],$Q$1:$S$101,2,FALSE))</f>
        <v/>
      </c>
      <c r="H7559" s="1" t="str">
        <f>IF(Table2[[#This Row],[Description]]="","",VLOOKUP(Table2[[#This Row],[Description]],$Q$1:$S$101,3,FALSE))</f>
        <v/>
      </c>
      <c r="I7559" s="1" t="str">
        <f>IF(Table2[[#This Row],[Description]]="","",IF(Table2[[#This Row],[Currency]]=$O$2,$P$2,HLOOKUP(Table2[[#This Row],[Date]],Funds!$C$10:$GV$11,2,FALSE)))</f>
        <v/>
      </c>
      <c r="J7559" s="215" t="str">
        <f>IF(Table2[[#This Row],[Description]]="","",Table2[[#This Row],[Value]]/Table2[[#This Row],[Conversion]])</f>
        <v/>
      </c>
      <c r="K7559" s="45" t="str">
        <f>IF(Table2[[#This Row],[Description]]="","",DATE(Table2[[#This Row],[Year]],Table2[[#This Row],[Month]],1))</f>
        <v/>
      </c>
    </row>
    <row r="7560" spans="7:11" x14ac:dyDescent="0.25">
      <c r="G7560" s="1" t="str">
        <f>IF(Table2[[#This Row],[Description]]="","",VLOOKUP(Table2[[#This Row],[Description]],$Q$1:$S$101,2,FALSE))</f>
        <v/>
      </c>
      <c r="H7560" s="1" t="str">
        <f>IF(Table2[[#This Row],[Description]]="","",VLOOKUP(Table2[[#This Row],[Description]],$Q$1:$S$101,3,FALSE))</f>
        <v/>
      </c>
      <c r="I7560" s="1" t="str">
        <f>IF(Table2[[#This Row],[Description]]="","",IF(Table2[[#This Row],[Currency]]=$O$2,$P$2,HLOOKUP(Table2[[#This Row],[Date]],Funds!$C$10:$GV$11,2,FALSE)))</f>
        <v/>
      </c>
      <c r="J7560" s="215" t="str">
        <f>IF(Table2[[#This Row],[Description]]="","",Table2[[#This Row],[Value]]/Table2[[#This Row],[Conversion]])</f>
        <v/>
      </c>
      <c r="K7560" s="45" t="str">
        <f>IF(Table2[[#This Row],[Description]]="","",DATE(Table2[[#This Row],[Year]],Table2[[#This Row],[Month]],1))</f>
        <v/>
      </c>
    </row>
    <row r="7561" spans="7:11" x14ac:dyDescent="0.25">
      <c r="G7561" s="1" t="str">
        <f>IF(Table2[[#This Row],[Description]]="","",VLOOKUP(Table2[[#This Row],[Description]],$Q$1:$S$101,2,FALSE))</f>
        <v/>
      </c>
      <c r="H7561" s="1" t="str">
        <f>IF(Table2[[#This Row],[Description]]="","",VLOOKUP(Table2[[#This Row],[Description]],$Q$1:$S$101,3,FALSE))</f>
        <v/>
      </c>
      <c r="I7561" s="1" t="str">
        <f>IF(Table2[[#This Row],[Description]]="","",IF(Table2[[#This Row],[Currency]]=$O$2,$P$2,HLOOKUP(Table2[[#This Row],[Date]],Funds!$C$10:$GV$11,2,FALSE)))</f>
        <v/>
      </c>
      <c r="J7561" s="215" t="str">
        <f>IF(Table2[[#This Row],[Description]]="","",Table2[[#This Row],[Value]]/Table2[[#This Row],[Conversion]])</f>
        <v/>
      </c>
      <c r="K7561" s="45" t="str">
        <f>IF(Table2[[#This Row],[Description]]="","",DATE(Table2[[#This Row],[Year]],Table2[[#This Row],[Month]],1))</f>
        <v/>
      </c>
    </row>
    <row r="7562" spans="7:11" x14ac:dyDescent="0.25">
      <c r="G7562" s="1" t="str">
        <f>IF(Table2[[#This Row],[Description]]="","",VLOOKUP(Table2[[#This Row],[Description]],$Q$1:$S$101,2,FALSE))</f>
        <v/>
      </c>
      <c r="H7562" s="1" t="str">
        <f>IF(Table2[[#This Row],[Description]]="","",VLOOKUP(Table2[[#This Row],[Description]],$Q$1:$S$101,3,FALSE))</f>
        <v/>
      </c>
      <c r="I7562" s="1" t="str">
        <f>IF(Table2[[#This Row],[Description]]="","",IF(Table2[[#This Row],[Currency]]=$O$2,$P$2,HLOOKUP(Table2[[#This Row],[Date]],Funds!$C$10:$GV$11,2,FALSE)))</f>
        <v/>
      </c>
      <c r="J7562" s="215" t="str">
        <f>IF(Table2[[#This Row],[Description]]="","",Table2[[#This Row],[Value]]/Table2[[#This Row],[Conversion]])</f>
        <v/>
      </c>
      <c r="K7562" s="45" t="str">
        <f>IF(Table2[[#This Row],[Description]]="","",DATE(Table2[[#This Row],[Year]],Table2[[#This Row],[Month]],1))</f>
        <v/>
      </c>
    </row>
    <row r="7563" spans="7:11" x14ac:dyDescent="0.25">
      <c r="G7563" s="1" t="str">
        <f>IF(Table2[[#This Row],[Description]]="","",VLOOKUP(Table2[[#This Row],[Description]],$Q$1:$S$101,2,FALSE))</f>
        <v/>
      </c>
      <c r="H7563" s="1" t="str">
        <f>IF(Table2[[#This Row],[Description]]="","",VLOOKUP(Table2[[#This Row],[Description]],$Q$1:$S$101,3,FALSE))</f>
        <v/>
      </c>
      <c r="I7563" s="1" t="str">
        <f>IF(Table2[[#This Row],[Description]]="","",IF(Table2[[#This Row],[Currency]]=$O$2,$P$2,HLOOKUP(Table2[[#This Row],[Date]],Funds!$C$10:$GV$11,2,FALSE)))</f>
        <v/>
      </c>
      <c r="J7563" s="215" t="str">
        <f>IF(Table2[[#This Row],[Description]]="","",Table2[[#This Row],[Value]]/Table2[[#This Row],[Conversion]])</f>
        <v/>
      </c>
      <c r="K7563" s="45" t="str">
        <f>IF(Table2[[#This Row],[Description]]="","",DATE(Table2[[#This Row],[Year]],Table2[[#This Row],[Month]],1))</f>
        <v/>
      </c>
    </row>
    <row r="7564" spans="7:11" x14ac:dyDescent="0.25">
      <c r="G7564" s="1" t="str">
        <f>IF(Table2[[#This Row],[Description]]="","",VLOOKUP(Table2[[#This Row],[Description]],$Q$1:$S$101,2,FALSE))</f>
        <v/>
      </c>
      <c r="H7564" s="1" t="str">
        <f>IF(Table2[[#This Row],[Description]]="","",VLOOKUP(Table2[[#This Row],[Description]],$Q$1:$S$101,3,FALSE))</f>
        <v/>
      </c>
      <c r="I7564" s="1" t="str">
        <f>IF(Table2[[#This Row],[Description]]="","",IF(Table2[[#This Row],[Currency]]=$O$2,$P$2,HLOOKUP(Table2[[#This Row],[Date]],Funds!$C$10:$GV$11,2,FALSE)))</f>
        <v/>
      </c>
      <c r="J7564" s="215" t="str">
        <f>IF(Table2[[#This Row],[Description]]="","",Table2[[#This Row],[Value]]/Table2[[#This Row],[Conversion]])</f>
        <v/>
      </c>
      <c r="K7564" s="45" t="str">
        <f>IF(Table2[[#This Row],[Description]]="","",DATE(Table2[[#This Row],[Year]],Table2[[#This Row],[Month]],1))</f>
        <v/>
      </c>
    </row>
    <row r="7565" spans="7:11" x14ac:dyDescent="0.25">
      <c r="G7565" s="1" t="str">
        <f>IF(Table2[[#This Row],[Description]]="","",VLOOKUP(Table2[[#This Row],[Description]],$Q$1:$S$101,2,FALSE))</f>
        <v/>
      </c>
      <c r="H7565" s="1" t="str">
        <f>IF(Table2[[#This Row],[Description]]="","",VLOOKUP(Table2[[#This Row],[Description]],$Q$1:$S$101,3,FALSE))</f>
        <v/>
      </c>
      <c r="I7565" s="1" t="str">
        <f>IF(Table2[[#This Row],[Description]]="","",IF(Table2[[#This Row],[Currency]]=$O$2,$P$2,HLOOKUP(Table2[[#This Row],[Date]],Funds!$C$10:$GV$11,2,FALSE)))</f>
        <v/>
      </c>
      <c r="J7565" s="215" t="str">
        <f>IF(Table2[[#This Row],[Description]]="","",Table2[[#This Row],[Value]]/Table2[[#This Row],[Conversion]])</f>
        <v/>
      </c>
      <c r="K7565" s="45" t="str">
        <f>IF(Table2[[#This Row],[Description]]="","",DATE(Table2[[#This Row],[Year]],Table2[[#This Row],[Month]],1))</f>
        <v/>
      </c>
    </row>
    <row r="7566" spans="7:11" x14ac:dyDescent="0.25">
      <c r="G7566" s="1" t="str">
        <f>IF(Table2[[#This Row],[Description]]="","",VLOOKUP(Table2[[#This Row],[Description]],$Q$1:$S$101,2,FALSE))</f>
        <v/>
      </c>
      <c r="H7566" s="1" t="str">
        <f>IF(Table2[[#This Row],[Description]]="","",VLOOKUP(Table2[[#This Row],[Description]],$Q$1:$S$101,3,FALSE))</f>
        <v/>
      </c>
      <c r="I7566" s="1" t="str">
        <f>IF(Table2[[#This Row],[Description]]="","",IF(Table2[[#This Row],[Currency]]=$O$2,$P$2,HLOOKUP(Table2[[#This Row],[Date]],Funds!$C$10:$GV$11,2,FALSE)))</f>
        <v/>
      </c>
      <c r="J7566" s="215" t="str">
        <f>IF(Table2[[#This Row],[Description]]="","",Table2[[#This Row],[Value]]/Table2[[#This Row],[Conversion]])</f>
        <v/>
      </c>
      <c r="K7566" s="45" t="str">
        <f>IF(Table2[[#This Row],[Description]]="","",DATE(Table2[[#This Row],[Year]],Table2[[#This Row],[Month]],1))</f>
        <v/>
      </c>
    </row>
    <row r="7567" spans="7:11" x14ac:dyDescent="0.25">
      <c r="G7567" s="1" t="str">
        <f>IF(Table2[[#This Row],[Description]]="","",VLOOKUP(Table2[[#This Row],[Description]],$Q$1:$S$101,2,FALSE))</f>
        <v/>
      </c>
      <c r="H7567" s="1" t="str">
        <f>IF(Table2[[#This Row],[Description]]="","",VLOOKUP(Table2[[#This Row],[Description]],$Q$1:$S$101,3,FALSE))</f>
        <v/>
      </c>
      <c r="I7567" s="1" t="str">
        <f>IF(Table2[[#This Row],[Description]]="","",IF(Table2[[#This Row],[Currency]]=$O$2,$P$2,HLOOKUP(Table2[[#This Row],[Date]],Funds!$C$10:$GV$11,2,FALSE)))</f>
        <v/>
      </c>
      <c r="J7567" s="215" t="str">
        <f>IF(Table2[[#This Row],[Description]]="","",Table2[[#This Row],[Value]]/Table2[[#This Row],[Conversion]])</f>
        <v/>
      </c>
      <c r="K7567" s="45" t="str">
        <f>IF(Table2[[#This Row],[Description]]="","",DATE(Table2[[#This Row],[Year]],Table2[[#This Row],[Month]],1))</f>
        <v/>
      </c>
    </row>
    <row r="7568" spans="7:11" x14ac:dyDescent="0.25">
      <c r="G7568" s="1" t="str">
        <f>IF(Table2[[#This Row],[Description]]="","",VLOOKUP(Table2[[#This Row],[Description]],$Q$1:$S$101,2,FALSE))</f>
        <v/>
      </c>
      <c r="H7568" s="1" t="str">
        <f>IF(Table2[[#This Row],[Description]]="","",VLOOKUP(Table2[[#This Row],[Description]],$Q$1:$S$101,3,FALSE))</f>
        <v/>
      </c>
      <c r="I7568" s="1" t="str">
        <f>IF(Table2[[#This Row],[Description]]="","",IF(Table2[[#This Row],[Currency]]=$O$2,$P$2,HLOOKUP(Table2[[#This Row],[Date]],Funds!$C$10:$GV$11,2,FALSE)))</f>
        <v/>
      </c>
      <c r="J7568" s="215" t="str">
        <f>IF(Table2[[#This Row],[Description]]="","",Table2[[#This Row],[Value]]/Table2[[#This Row],[Conversion]])</f>
        <v/>
      </c>
      <c r="K7568" s="45" t="str">
        <f>IF(Table2[[#This Row],[Description]]="","",DATE(Table2[[#This Row],[Year]],Table2[[#This Row],[Month]],1))</f>
        <v/>
      </c>
    </row>
    <row r="7569" spans="7:11" x14ac:dyDescent="0.25">
      <c r="G7569" s="1" t="str">
        <f>IF(Table2[[#This Row],[Description]]="","",VLOOKUP(Table2[[#This Row],[Description]],$Q$1:$S$101,2,FALSE))</f>
        <v/>
      </c>
      <c r="H7569" s="1" t="str">
        <f>IF(Table2[[#This Row],[Description]]="","",VLOOKUP(Table2[[#This Row],[Description]],$Q$1:$S$101,3,FALSE))</f>
        <v/>
      </c>
      <c r="I7569" s="1" t="str">
        <f>IF(Table2[[#This Row],[Description]]="","",IF(Table2[[#This Row],[Currency]]=$O$2,$P$2,HLOOKUP(Table2[[#This Row],[Date]],Funds!$C$10:$GV$11,2,FALSE)))</f>
        <v/>
      </c>
      <c r="J7569" s="215" t="str">
        <f>IF(Table2[[#This Row],[Description]]="","",Table2[[#This Row],[Value]]/Table2[[#This Row],[Conversion]])</f>
        <v/>
      </c>
      <c r="K7569" s="45" t="str">
        <f>IF(Table2[[#This Row],[Description]]="","",DATE(Table2[[#This Row],[Year]],Table2[[#This Row],[Month]],1))</f>
        <v/>
      </c>
    </row>
    <row r="7570" spans="7:11" x14ac:dyDescent="0.25">
      <c r="G7570" s="1" t="str">
        <f>IF(Table2[[#This Row],[Description]]="","",VLOOKUP(Table2[[#This Row],[Description]],$Q$1:$S$101,2,FALSE))</f>
        <v/>
      </c>
      <c r="H7570" s="1" t="str">
        <f>IF(Table2[[#This Row],[Description]]="","",VLOOKUP(Table2[[#This Row],[Description]],$Q$1:$S$101,3,FALSE))</f>
        <v/>
      </c>
      <c r="I7570" s="1" t="str">
        <f>IF(Table2[[#This Row],[Description]]="","",IF(Table2[[#This Row],[Currency]]=$O$2,$P$2,HLOOKUP(Table2[[#This Row],[Date]],Funds!$C$10:$GV$11,2,FALSE)))</f>
        <v/>
      </c>
      <c r="J7570" s="215" t="str">
        <f>IF(Table2[[#This Row],[Description]]="","",Table2[[#This Row],[Value]]/Table2[[#This Row],[Conversion]])</f>
        <v/>
      </c>
      <c r="K7570" s="45" t="str">
        <f>IF(Table2[[#This Row],[Description]]="","",DATE(Table2[[#This Row],[Year]],Table2[[#This Row],[Month]],1))</f>
        <v/>
      </c>
    </row>
    <row r="7571" spans="7:11" x14ac:dyDescent="0.25">
      <c r="G7571" s="1" t="str">
        <f>IF(Table2[[#This Row],[Description]]="","",VLOOKUP(Table2[[#This Row],[Description]],$Q$1:$S$101,2,FALSE))</f>
        <v/>
      </c>
      <c r="H7571" s="1" t="str">
        <f>IF(Table2[[#This Row],[Description]]="","",VLOOKUP(Table2[[#This Row],[Description]],$Q$1:$S$101,3,FALSE))</f>
        <v/>
      </c>
      <c r="I7571" s="1" t="str">
        <f>IF(Table2[[#This Row],[Description]]="","",IF(Table2[[#This Row],[Currency]]=$O$2,$P$2,HLOOKUP(Table2[[#This Row],[Date]],Funds!$C$10:$GV$11,2,FALSE)))</f>
        <v/>
      </c>
      <c r="J7571" s="215" t="str">
        <f>IF(Table2[[#This Row],[Description]]="","",Table2[[#This Row],[Value]]/Table2[[#This Row],[Conversion]])</f>
        <v/>
      </c>
      <c r="K7571" s="45" t="str">
        <f>IF(Table2[[#This Row],[Description]]="","",DATE(Table2[[#This Row],[Year]],Table2[[#This Row],[Month]],1))</f>
        <v/>
      </c>
    </row>
    <row r="7572" spans="7:11" x14ac:dyDescent="0.25">
      <c r="G7572" s="1" t="str">
        <f>IF(Table2[[#This Row],[Description]]="","",VLOOKUP(Table2[[#This Row],[Description]],$Q$1:$S$101,2,FALSE))</f>
        <v/>
      </c>
      <c r="H7572" s="1" t="str">
        <f>IF(Table2[[#This Row],[Description]]="","",VLOOKUP(Table2[[#This Row],[Description]],$Q$1:$S$101,3,FALSE))</f>
        <v/>
      </c>
      <c r="I7572" s="1" t="str">
        <f>IF(Table2[[#This Row],[Description]]="","",IF(Table2[[#This Row],[Currency]]=$O$2,$P$2,HLOOKUP(Table2[[#This Row],[Date]],Funds!$C$10:$GV$11,2,FALSE)))</f>
        <v/>
      </c>
      <c r="J7572" s="215" t="str">
        <f>IF(Table2[[#This Row],[Description]]="","",Table2[[#This Row],[Value]]/Table2[[#This Row],[Conversion]])</f>
        <v/>
      </c>
      <c r="K7572" s="45" t="str">
        <f>IF(Table2[[#This Row],[Description]]="","",DATE(Table2[[#This Row],[Year]],Table2[[#This Row],[Month]],1))</f>
        <v/>
      </c>
    </row>
    <row r="7573" spans="7:11" x14ac:dyDescent="0.25">
      <c r="G7573" s="1" t="str">
        <f>IF(Table2[[#This Row],[Description]]="","",VLOOKUP(Table2[[#This Row],[Description]],$Q$1:$S$101,2,FALSE))</f>
        <v/>
      </c>
      <c r="H7573" s="1" t="str">
        <f>IF(Table2[[#This Row],[Description]]="","",VLOOKUP(Table2[[#This Row],[Description]],$Q$1:$S$101,3,FALSE))</f>
        <v/>
      </c>
      <c r="I7573" s="1" t="str">
        <f>IF(Table2[[#This Row],[Description]]="","",IF(Table2[[#This Row],[Currency]]=$O$2,$P$2,HLOOKUP(Table2[[#This Row],[Date]],Funds!$C$10:$GV$11,2,FALSE)))</f>
        <v/>
      </c>
      <c r="J7573" s="215" t="str">
        <f>IF(Table2[[#This Row],[Description]]="","",Table2[[#This Row],[Value]]/Table2[[#This Row],[Conversion]])</f>
        <v/>
      </c>
      <c r="K7573" s="45" t="str">
        <f>IF(Table2[[#This Row],[Description]]="","",DATE(Table2[[#This Row],[Year]],Table2[[#This Row],[Month]],1))</f>
        <v/>
      </c>
    </row>
    <row r="7574" spans="7:11" x14ac:dyDescent="0.25">
      <c r="G7574" s="1" t="str">
        <f>IF(Table2[[#This Row],[Description]]="","",VLOOKUP(Table2[[#This Row],[Description]],$Q$1:$S$101,2,FALSE))</f>
        <v/>
      </c>
      <c r="H7574" s="1" t="str">
        <f>IF(Table2[[#This Row],[Description]]="","",VLOOKUP(Table2[[#This Row],[Description]],$Q$1:$S$101,3,FALSE))</f>
        <v/>
      </c>
      <c r="I7574" s="1" t="str">
        <f>IF(Table2[[#This Row],[Description]]="","",IF(Table2[[#This Row],[Currency]]=$O$2,$P$2,HLOOKUP(Table2[[#This Row],[Date]],Funds!$C$10:$GV$11,2,FALSE)))</f>
        <v/>
      </c>
      <c r="J7574" s="215" t="str">
        <f>IF(Table2[[#This Row],[Description]]="","",Table2[[#This Row],[Value]]/Table2[[#This Row],[Conversion]])</f>
        <v/>
      </c>
      <c r="K7574" s="45" t="str">
        <f>IF(Table2[[#This Row],[Description]]="","",DATE(Table2[[#This Row],[Year]],Table2[[#This Row],[Month]],1))</f>
        <v/>
      </c>
    </row>
    <row r="7575" spans="7:11" x14ac:dyDescent="0.25">
      <c r="G7575" s="1" t="str">
        <f>IF(Table2[[#This Row],[Description]]="","",VLOOKUP(Table2[[#This Row],[Description]],$Q$1:$S$101,2,FALSE))</f>
        <v/>
      </c>
      <c r="H7575" s="1" t="str">
        <f>IF(Table2[[#This Row],[Description]]="","",VLOOKUP(Table2[[#This Row],[Description]],$Q$1:$S$101,3,FALSE))</f>
        <v/>
      </c>
      <c r="I7575" s="1" t="str">
        <f>IF(Table2[[#This Row],[Description]]="","",IF(Table2[[#This Row],[Currency]]=$O$2,$P$2,HLOOKUP(Table2[[#This Row],[Date]],Funds!$C$10:$GV$11,2,FALSE)))</f>
        <v/>
      </c>
      <c r="J7575" s="215" t="str">
        <f>IF(Table2[[#This Row],[Description]]="","",Table2[[#This Row],[Value]]/Table2[[#This Row],[Conversion]])</f>
        <v/>
      </c>
      <c r="K7575" s="45" t="str">
        <f>IF(Table2[[#This Row],[Description]]="","",DATE(Table2[[#This Row],[Year]],Table2[[#This Row],[Month]],1))</f>
        <v/>
      </c>
    </row>
    <row r="7576" spans="7:11" x14ac:dyDescent="0.25">
      <c r="G7576" s="1" t="str">
        <f>IF(Table2[[#This Row],[Description]]="","",VLOOKUP(Table2[[#This Row],[Description]],$Q$1:$S$101,2,FALSE))</f>
        <v/>
      </c>
      <c r="H7576" s="1" t="str">
        <f>IF(Table2[[#This Row],[Description]]="","",VLOOKUP(Table2[[#This Row],[Description]],$Q$1:$S$101,3,FALSE))</f>
        <v/>
      </c>
      <c r="I7576" s="1" t="str">
        <f>IF(Table2[[#This Row],[Description]]="","",IF(Table2[[#This Row],[Currency]]=$O$2,$P$2,HLOOKUP(Table2[[#This Row],[Date]],Funds!$C$10:$GV$11,2,FALSE)))</f>
        <v/>
      </c>
      <c r="J7576" s="215" t="str">
        <f>IF(Table2[[#This Row],[Description]]="","",Table2[[#This Row],[Value]]/Table2[[#This Row],[Conversion]])</f>
        <v/>
      </c>
      <c r="K7576" s="45" t="str">
        <f>IF(Table2[[#This Row],[Description]]="","",DATE(Table2[[#This Row],[Year]],Table2[[#This Row],[Month]],1))</f>
        <v/>
      </c>
    </row>
    <row r="7577" spans="7:11" x14ac:dyDescent="0.25">
      <c r="G7577" s="1" t="str">
        <f>IF(Table2[[#This Row],[Description]]="","",VLOOKUP(Table2[[#This Row],[Description]],$Q$1:$S$101,2,FALSE))</f>
        <v/>
      </c>
      <c r="H7577" s="1" t="str">
        <f>IF(Table2[[#This Row],[Description]]="","",VLOOKUP(Table2[[#This Row],[Description]],$Q$1:$S$101,3,FALSE))</f>
        <v/>
      </c>
      <c r="I7577" s="1" t="str">
        <f>IF(Table2[[#This Row],[Description]]="","",IF(Table2[[#This Row],[Currency]]=$O$2,$P$2,HLOOKUP(Table2[[#This Row],[Date]],Funds!$C$10:$GV$11,2,FALSE)))</f>
        <v/>
      </c>
      <c r="J7577" s="215" t="str">
        <f>IF(Table2[[#This Row],[Description]]="","",Table2[[#This Row],[Value]]/Table2[[#This Row],[Conversion]])</f>
        <v/>
      </c>
      <c r="K7577" s="45" t="str">
        <f>IF(Table2[[#This Row],[Description]]="","",DATE(Table2[[#This Row],[Year]],Table2[[#This Row],[Month]],1))</f>
        <v/>
      </c>
    </row>
    <row r="7578" spans="7:11" x14ac:dyDescent="0.25">
      <c r="G7578" s="1" t="str">
        <f>IF(Table2[[#This Row],[Description]]="","",VLOOKUP(Table2[[#This Row],[Description]],$Q$1:$S$101,2,FALSE))</f>
        <v/>
      </c>
      <c r="H7578" s="1" t="str">
        <f>IF(Table2[[#This Row],[Description]]="","",VLOOKUP(Table2[[#This Row],[Description]],$Q$1:$S$101,3,FALSE))</f>
        <v/>
      </c>
      <c r="I7578" s="1" t="str">
        <f>IF(Table2[[#This Row],[Description]]="","",IF(Table2[[#This Row],[Currency]]=$O$2,$P$2,HLOOKUP(Table2[[#This Row],[Date]],Funds!$C$10:$GV$11,2,FALSE)))</f>
        <v/>
      </c>
      <c r="J7578" s="215" t="str">
        <f>IF(Table2[[#This Row],[Description]]="","",Table2[[#This Row],[Value]]/Table2[[#This Row],[Conversion]])</f>
        <v/>
      </c>
      <c r="K7578" s="45" t="str">
        <f>IF(Table2[[#This Row],[Description]]="","",DATE(Table2[[#This Row],[Year]],Table2[[#This Row],[Month]],1))</f>
        <v/>
      </c>
    </row>
    <row r="7579" spans="7:11" x14ac:dyDescent="0.25">
      <c r="G7579" s="1" t="str">
        <f>IF(Table2[[#This Row],[Description]]="","",VLOOKUP(Table2[[#This Row],[Description]],$Q$1:$S$101,2,FALSE))</f>
        <v/>
      </c>
      <c r="H7579" s="1" t="str">
        <f>IF(Table2[[#This Row],[Description]]="","",VLOOKUP(Table2[[#This Row],[Description]],$Q$1:$S$101,3,FALSE))</f>
        <v/>
      </c>
      <c r="I7579" s="1" t="str">
        <f>IF(Table2[[#This Row],[Description]]="","",IF(Table2[[#This Row],[Currency]]=$O$2,$P$2,HLOOKUP(Table2[[#This Row],[Date]],Funds!$C$10:$GV$11,2,FALSE)))</f>
        <v/>
      </c>
      <c r="J7579" s="215" t="str">
        <f>IF(Table2[[#This Row],[Description]]="","",Table2[[#This Row],[Value]]/Table2[[#This Row],[Conversion]])</f>
        <v/>
      </c>
      <c r="K7579" s="45" t="str">
        <f>IF(Table2[[#This Row],[Description]]="","",DATE(Table2[[#This Row],[Year]],Table2[[#This Row],[Month]],1))</f>
        <v/>
      </c>
    </row>
    <row r="7580" spans="7:11" x14ac:dyDescent="0.25">
      <c r="G7580" s="1" t="str">
        <f>IF(Table2[[#This Row],[Description]]="","",VLOOKUP(Table2[[#This Row],[Description]],$Q$1:$S$101,2,FALSE))</f>
        <v/>
      </c>
      <c r="H7580" s="1" t="str">
        <f>IF(Table2[[#This Row],[Description]]="","",VLOOKUP(Table2[[#This Row],[Description]],$Q$1:$S$101,3,FALSE))</f>
        <v/>
      </c>
      <c r="I7580" s="1" t="str">
        <f>IF(Table2[[#This Row],[Description]]="","",IF(Table2[[#This Row],[Currency]]=$O$2,$P$2,HLOOKUP(Table2[[#This Row],[Date]],Funds!$C$10:$GV$11,2,FALSE)))</f>
        <v/>
      </c>
      <c r="J7580" s="215" t="str">
        <f>IF(Table2[[#This Row],[Description]]="","",Table2[[#This Row],[Value]]/Table2[[#This Row],[Conversion]])</f>
        <v/>
      </c>
      <c r="K7580" s="45" t="str">
        <f>IF(Table2[[#This Row],[Description]]="","",DATE(Table2[[#This Row],[Year]],Table2[[#This Row],[Month]],1))</f>
        <v/>
      </c>
    </row>
    <row r="7581" spans="7:11" x14ac:dyDescent="0.25">
      <c r="G7581" s="1" t="str">
        <f>IF(Table2[[#This Row],[Description]]="","",VLOOKUP(Table2[[#This Row],[Description]],$Q$1:$S$101,2,FALSE))</f>
        <v/>
      </c>
      <c r="H7581" s="1" t="str">
        <f>IF(Table2[[#This Row],[Description]]="","",VLOOKUP(Table2[[#This Row],[Description]],$Q$1:$S$101,3,FALSE))</f>
        <v/>
      </c>
      <c r="I7581" s="1" t="str">
        <f>IF(Table2[[#This Row],[Description]]="","",IF(Table2[[#This Row],[Currency]]=$O$2,$P$2,HLOOKUP(Table2[[#This Row],[Date]],Funds!$C$10:$GV$11,2,FALSE)))</f>
        <v/>
      </c>
      <c r="J7581" s="215" t="str">
        <f>IF(Table2[[#This Row],[Description]]="","",Table2[[#This Row],[Value]]/Table2[[#This Row],[Conversion]])</f>
        <v/>
      </c>
      <c r="K7581" s="45" t="str">
        <f>IF(Table2[[#This Row],[Description]]="","",DATE(Table2[[#This Row],[Year]],Table2[[#This Row],[Month]],1))</f>
        <v/>
      </c>
    </row>
    <row r="7582" spans="7:11" x14ac:dyDescent="0.25">
      <c r="G7582" s="1" t="str">
        <f>IF(Table2[[#This Row],[Description]]="","",VLOOKUP(Table2[[#This Row],[Description]],$Q$1:$S$101,2,FALSE))</f>
        <v/>
      </c>
      <c r="H7582" s="1" t="str">
        <f>IF(Table2[[#This Row],[Description]]="","",VLOOKUP(Table2[[#This Row],[Description]],$Q$1:$S$101,3,FALSE))</f>
        <v/>
      </c>
      <c r="I7582" s="1" t="str">
        <f>IF(Table2[[#This Row],[Description]]="","",IF(Table2[[#This Row],[Currency]]=$O$2,$P$2,HLOOKUP(Table2[[#This Row],[Date]],Funds!$C$10:$GV$11,2,FALSE)))</f>
        <v/>
      </c>
      <c r="J7582" s="215" t="str">
        <f>IF(Table2[[#This Row],[Description]]="","",Table2[[#This Row],[Value]]/Table2[[#This Row],[Conversion]])</f>
        <v/>
      </c>
      <c r="K7582" s="45" t="str">
        <f>IF(Table2[[#This Row],[Description]]="","",DATE(Table2[[#This Row],[Year]],Table2[[#This Row],[Month]],1))</f>
        <v/>
      </c>
    </row>
    <row r="7583" spans="7:11" x14ac:dyDescent="0.25">
      <c r="G7583" s="1" t="str">
        <f>IF(Table2[[#This Row],[Description]]="","",VLOOKUP(Table2[[#This Row],[Description]],$Q$1:$S$101,2,FALSE))</f>
        <v/>
      </c>
      <c r="H7583" s="1" t="str">
        <f>IF(Table2[[#This Row],[Description]]="","",VLOOKUP(Table2[[#This Row],[Description]],$Q$1:$S$101,3,FALSE))</f>
        <v/>
      </c>
      <c r="I7583" s="1" t="str">
        <f>IF(Table2[[#This Row],[Description]]="","",IF(Table2[[#This Row],[Currency]]=$O$2,$P$2,HLOOKUP(Table2[[#This Row],[Date]],Funds!$C$10:$GV$11,2,FALSE)))</f>
        <v/>
      </c>
      <c r="J7583" s="215" t="str">
        <f>IF(Table2[[#This Row],[Description]]="","",Table2[[#This Row],[Value]]/Table2[[#This Row],[Conversion]])</f>
        <v/>
      </c>
      <c r="K7583" s="45" t="str">
        <f>IF(Table2[[#This Row],[Description]]="","",DATE(Table2[[#This Row],[Year]],Table2[[#This Row],[Month]],1))</f>
        <v/>
      </c>
    </row>
    <row r="7584" spans="7:11" x14ac:dyDescent="0.25">
      <c r="G7584" s="1" t="str">
        <f>IF(Table2[[#This Row],[Description]]="","",VLOOKUP(Table2[[#This Row],[Description]],$Q$1:$S$101,2,FALSE))</f>
        <v/>
      </c>
      <c r="H7584" s="1" t="str">
        <f>IF(Table2[[#This Row],[Description]]="","",VLOOKUP(Table2[[#This Row],[Description]],$Q$1:$S$101,3,FALSE))</f>
        <v/>
      </c>
      <c r="I7584" s="1" t="str">
        <f>IF(Table2[[#This Row],[Description]]="","",IF(Table2[[#This Row],[Currency]]=$O$2,$P$2,HLOOKUP(Table2[[#This Row],[Date]],Funds!$C$10:$GV$11,2,FALSE)))</f>
        <v/>
      </c>
      <c r="J7584" s="215" t="str">
        <f>IF(Table2[[#This Row],[Description]]="","",Table2[[#This Row],[Value]]/Table2[[#This Row],[Conversion]])</f>
        <v/>
      </c>
      <c r="K7584" s="45" t="str">
        <f>IF(Table2[[#This Row],[Description]]="","",DATE(Table2[[#This Row],[Year]],Table2[[#This Row],[Month]],1))</f>
        <v/>
      </c>
    </row>
    <row r="7585" spans="7:11" x14ac:dyDescent="0.25">
      <c r="G7585" s="1" t="str">
        <f>IF(Table2[[#This Row],[Description]]="","",VLOOKUP(Table2[[#This Row],[Description]],$Q$1:$S$101,2,FALSE))</f>
        <v/>
      </c>
      <c r="H7585" s="1" t="str">
        <f>IF(Table2[[#This Row],[Description]]="","",VLOOKUP(Table2[[#This Row],[Description]],$Q$1:$S$101,3,FALSE))</f>
        <v/>
      </c>
      <c r="I7585" s="1" t="str">
        <f>IF(Table2[[#This Row],[Description]]="","",IF(Table2[[#This Row],[Currency]]=$O$2,$P$2,HLOOKUP(Table2[[#This Row],[Date]],Funds!$C$10:$GV$11,2,FALSE)))</f>
        <v/>
      </c>
      <c r="J7585" s="215" t="str">
        <f>IF(Table2[[#This Row],[Description]]="","",Table2[[#This Row],[Value]]/Table2[[#This Row],[Conversion]])</f>
        <v/>
      </c>
      <c r="K7585" s="45" t="str">
        <f>IF(Table2[[#This Row],[Description]]="","",DATE(Table2[[#This Row],[Year]],Table2[[#This Row],[Month]],1))</f>
        <v/>
      </c>
    </row>
    <row r="7586" spans="7:11" x14ac:dyDescent="0.25">
      <c r="G7586" s="1" t="str">
        <f>IF(Table2[[#This Row],[Description]]="","",VLOOKUP(Table2[[#This Row],[Description]],$Q$1:$S$101,2,FALSE))</f>
        <v/>
      </c>
      <c r="H7586" s="1" t="str">
        <f>IF(Table2[[#This Row],[Description]]="","",VLOOKUP(Table2[[#This Row],[Description]],$Q$1:$S$101,3,FALSE))</f>
        <v/>
      </c>
      <c r="I7586" s="1" t="str">
        <f>IF(Table2[[#This Row],[Description]]="","",IF(Table2[[#This Row],[Currency]]=$O$2,$P$2,HLOOKUP(Table2[[#This Row],[Date]],Funds!$C$10:$GV$11,2,FALSE)))</f>
        <v/>
      </c>
      <c r="J7586" s="215" t="str">
        <f>IF(Table2[[#This Row],[Description]]="","",Table2[[#This Row],[Value]]/Table2[[#This Row],[Conversion]])</f>
        <v/>
      </c>
      <c r="K7586" s="45" t="str">
        <f>IF(Table2[[#This Row],[Description]]="","",DATE(Table2[[#This Row],[Year]],Table2[[#This Row],[Month]],1))</f>
        <v/>
      </c>
    </row>
    <row r="7587" spans="7:11" x14ac:dyDescent="0.25">
      <c r="G7587" s="1" t="str">
        <f>IF(Table2[[#This Row],[Description]]="","",VLOOKUP(Table2[[#This Row],[Description]],$Q$1:$S$101,2,FALSE))</f>
        <v/>
      </c>
      <c r="H7587" s="1" t="str">
        <f>IF(Table2[[#This Row],[Description]]="","",VLOOKUP(Table2[[#This Row],[Description]],$Q$1:$S$101,3,FALSE))</f>
        <v/>
      </c>
      <c r="I7587" s="1" t="str">
        <f>IF(Table2[[#This Row],[Description]]="","",IF(Table2[[#This Row],[Currency]]=$O$2,$P$2,HLOOKUP(Table2[[#This Row],[Date]],Funds!$C$10:$GV$11,2,FALSE)))</f>
        <v/>
      </c>
      <c r="J7587" s="215" t="str">
        <f>IF(Table2[[#This Row],[Description]]="","",Table2[[#This Row],[Value]]/Table2[[#This Row],[Conversion]])</f>
        <v/>
      </c>
      <c r="K7587" s="45" t="str">
        <f>IF(Table2[[#This Row],[Description]]="","",DATE(Table2[[#This Row],[Year]],Table2[[#This Row],[Month]],1))</f>
        <v/>
      </c>
    </row>
    <row r="7588" spans="7:11" x14ac:dyDescent="0.25">
      <c r="G7588" s="1" t="str">
        <f>IF(Table2[[#This Row],[Description]]="","",VLOOKUP(Table2[[#This Row],[Description]],$Q$1:$S$101,2,FALSE))</f>
        <v/>
      </c>
      <c r="H7588" s="1" t="str">
        <f>IF(Table2[[#This Row],[Description]]="","",VLOOKUP(Table2[[#This Row],[Description]],$Q$1:$S$101,3,FALSE))</f>
        <v/>
      </c>
      <c r="I7588" s="1" t="str">
        <f>IF(Table2[[#This Row],[Description]]="","",IF(Table2[[#This Row],[Currency]]=$O$2,$P$2,HLOOKUP(Table2[[#This Row],[Date]],Funds!$C$10:$GV$11,2,FALSE)))</f>
        <v/>
      </c>
      <c r="J7588" s="215" t="str">
        <f>IF(Table2[[#This Row],[Description]]="","",Table2[[#This Row],[Value]]/Table2[[#This Row],[Conversion]])</f>
        <v/>
      </c>
      <c r="K7588" s="45" t="str">
        <f>IF(Table2[[#This Row],[Description]]="","",DATE(Table2[[#This Row],[Year]],Table2[[#This Row],[Month]],1))</f>
        <v/>
      </c>
    </row>
    <row r="7589" spans="7:11" x14ac:dyDescent="0.25">
      <c r="G7589" s="1" t="str">
        <f>IF(Table2[[#This Row],[Description]]="","",VLOOKUP(Table2[[#This Row],[Description]],$Q$1:$S$101,2,FALSE))</f>
        <v/>
      </c>
      <c r="H7589" s="1" t="str">
        <f>IF(Table2[[#This Row],[Description]]="","",VLOOKUP(Table2[[#This Row],[Description]],$Q$1:$S$101,3,FALSE))</f>
        <v/>
      </c>
      <c r="I7589" s="1" t="str">
        <f>IF(Table2[[#This Row],[Description]]="","",IF(Table2[[#This Row],[Currency]]=$O$2,$P$2,HLOOKUP(Table2[[#This Row],[Date]],Funds!$C$10:$GV$11,2,FALSE)))</f>
        <v/>
      </c>
      <c r="J7589" s="215" t="str">
        <f>IF(Table2[[#This Row],[Description]]="","",Table2[[#This Row],[Value]]/Table2[[#This Row],[Conversion]])</f>
        <v/>
      </c>
      <c r="K7589" s="45" t="str">
        <f>IF(Table2[[#This Row],[Description]]="","",DATE(Table2[[#This Row],[Year]],Table2[[#This Row],[Month]],1))</f>
        <v/>
      </c>
    </row>
    <row r="7590" spans="7:11" x14ac:dyDescent="0.25">
      <c r="G7590" s="1" t="str">
        <f>IF(Table2[[#This Row],[Description]]="","",VLOOKUP(Table2[[#This Row],[Description]],$Q$1:$S$101,2,FALSE))</f>
        <v/>
      </c>
      <c r="H7590" s="1" t="str">
        <f>IF(Table2[[#This Row],[Description]]="","",VLOOKUP(Table2[[#This Row],[Description]],$Q$1:$S$101,3,FALSE))</f>
        <v/>
      </c>
      <c r="I7590" s="1" t="str">
        <f>IF(Table2[[#This Row],[Description]]="","",IF(Table2[[#This Row],[Currency]]=$O$2,$P$2,HLOOKUP(Table2[[#This Row],[Date]],Funds!$C$10:$GV$11,2,FALSE)))</f>
        <v/>
      </c>
      <c r="J7590" s="215" t="str">
        <f>IF(Table2[[#This Row],[Description]]="","",Table2[[#This Row],[Value]]/Table2[[#This Row],[Conversion]])</f>
        <v/>
      </c>
      <c r="K7590" s="45" t="str">
        <f>IF(Table2[[#This Row],[Description]]="","",DATE(Table2[[#This Row],[Year]],Table2[[#This Row],[Month]],1))</f>
        <v/>
      </c>
    </row>
    <row r="7591" spans="7:11" x14ac:dyDescent="0.25">
      <c r="G7591" s="1" t="str">
        <f>IF(Table2[[#This Row],[Description]]="","",VLOOKUP(Table2[[#This Row],[Description]],$Q$1:$S$101,2,FALSE))</f>
        <v/>
      </c>
      <c r="H7591" s="1" t="str">
        <f>IF(Table2[[#This Row],[Description]]="","",VLOOKUP(Table2[[#This Row],[Description]],$Q$1:$S$101,3,FALSE))</f>
        <v/>
      </c>
      <c r="I7591" s="1" t="str">
        <f>IF(Table2[[#This Row],[Description]]="","",IF(Table2[[#This Row],[Currency]]=$O$2,$P$2,HLOOKUP(Table2[[#This Row],[Date]],Funds!$C$10:$GV$11,2,FALSE)))</f>
        <v/>
      </c>
      <c r="J7591" s="215" t="str">
        <f>IF(Table2[[#This Row],[Description]]="","",Table2[[#This Row],[Value]]/Table2[[#This Row],[Conversion]])</f>
        <v/>
      </c>
      <c r="K7591" s="45" t="str">
        <f>IF(Table2[[#This Row],[Description]]="","",DATE(Table2[[#This Row],[Year]],Table2[[#This Row],[Month]],1))</f>
        <v/>
      </c>
    </row>
    <row r="7592" spans="7:11" x14ac:dyDescent="0.25">
      <c r="G7592" s="1" t="str">
        <f>IF(Table2[[#This Row],[Description]]="","",VLOOKUP(Table2[[#This Row],[Description]],$Q$1:$S$101,2,FALSE))</f>
        <v/>
      </c>
      <c r="H7592" s="1" t="str">
        <f>IF(Table2[[#This Row],[Description]]="","",VLOOKUP(Table2[[#This Row],[Description]],$Q$1:$S$101,3,FALSE))</f>
        <v/>
      </c>
      <c r="I7592" s="1" t="str">
        <f>IF(Table2[[#This Row],[Description]]="","",IF(Table2[[#This Row],[Currency]]=$O$2,$P$2,HLOOKUP(Table2[[#This Row],[Date]],Funds!$C$10:$GV$11,2,FALSE)))</f>
        <v/>
      </c>
      <c r="J7592" s="215" t="str">
        <f>IF(Table2[[#This Row],[Description]]="","",Table2[[#This Row],[Value]]/Table2[[#This Row],[Conversion]])</f>
        <v/>
      </c>
      <c r="K7592" s="45" t="str">
        <f>IF(Table2[[#This Row],[Description]]="","",DATE(Table2[[#This Row],[Year]],Table2[[#This Row],[Month]],1))</f>
        <v/>
      </c>
    </row>
    <row r="7593" spans="7:11" x14ac:dyDescent="0.25">
      <c r="G7593" s="1" t="str">
        <f>IF(Table2[[#This Row],[Description]]="","",VLOOKUP(Table2[[#This Row],[Description]],$Q$1:$S$101,2,FALSE))</f>
        <v/>
      </c>
      <c r="H7593" s="1" t="str">
        <f>IF(Table2[[#This Row],[Description]]="","",VLOOKUP(Table2[[#This Row],[Description]],$Q$1:$S$101,3,FALSE))</f>
        <v/>
      </c>
      <c r="I7593" s="1" t="str">
        <f>IF(Table2[[#This Row],[Description]]="","",IF(Table2[[#This Row],[Currency]]=$O$2,$P$2,HLOOKUP(Table2[[#This Row],[Date]],Funds!$C$10:$GV$11,2,FALSE)))</f>
        <v/>
      </c>
      <c r="J7593" s="215" t="str">
        <f>IF(Table2[[#This Row],[Description]]="","",Table2[[#This Row],[Value]]/Table2[[#This Row],[Conversion]])</f>
        <v/>
      </c>
      <c r="K7593" s="45" t="str">
        <f>IF(Table2[[#This Row],[Description]]="","",DATE(Table2[[#This Row],[Year]],Table2[[#This Row],[Month]],1))</f>
        <v/>
      </c>
    </row>
    <row r="7594" spans="7:11" x14ac:dyDescent="0.25">
      <c r="G7594" s="1" t="str">
        <f>IF(Table2[[#This Row],[Description]]="","",VLOOKUP(Table2[[#This Row],[Description]],$Q$1:$S$101,2,FALSE))</f>
        <v/>
      </c>
      <c r="H7594" s="1" t="str">
        <f>IF(Table2[[#This Row],[Description]]="","",VLOOKUP(Table2[[#This Row],[Description]],$Q$1:$S$101,3,FALSE))</f>
        <v/>
      </c>
      <c r="I7594" s="1" t="str">
        <f>IF(Table2[[#This Row],[Description]]="","",IF(Table2[[#This Row],[Currency]]=$O$2,$P$2,HLOOKUP(Table2[[#This Row],[Date]],Funds!$C$10:$GV$11,2,FALSE)))</f>
        <v/>
      </c>
      <c r="J7594" s="215" t="str">
        <f>IF(Table2[[#This Row],[Description]]="","",Table2[[#This Row],[Value]]/Table2[[#This Row],[Conversion]])</f>
        <v/>
      </c>
      <c r="K7594" s="45" t="str">
        <f>IF(Table2[[#This Row],[Description]]="","",DATE(Table2[[#This Row],[Year]],Table2[[#This Row],[Month]],1))</f>
        <v/>
      </c>
    </row>
    <row r="7595" spans="7:11" x14ac:dyDescent="0.25">
      <c r="G7595" s="1" t="str">
        <f>IF(Table2[[#This Row],[Description]]="","",VLOOKUP(Table2[[#This Row],[Description]],$Q$1:$S$101,2,FALSE))</f>
        <v/>
      </c>
      <c r="H7595" s="1" t="str">
        <f>IF(Table2[[#This Row],[Description]]="","",VLOOKUP(Table2[[#This Row],[Description]],$Q$1:$S$101,3,FALSE))</f>
        <v/>
      </c>
      <c r="I7595" s="1" t="str">
        <f>IF(Table2[[#This Row],[Description]]="","",IF(Table2[[#This Row],[Currency]]=$O$2,$P$2,HLOOKUP(Table2[[#This Row],[Date]],Funds!$C$10:$GV$11,2,FALSE)))</f>
        <v/>
      </c>
      <c r="J7595" s="215" t="str">
        <f>IF(Table2[[#This Row],[Description]]="","",Table2[[#This Row],[Value]]/Table2[[#This Row],[Conversion]])</f>
        <v/>
      </c>
      <c r="K7595" s="45" t="str">
        <f>IF(Table2[[#This Row],[Description]]="","",DATE(Table2[[#This Row],[Year]],Table2[[#This Row],[Month]],1))</f>
        <v/>
      </c>
    </row>
    <row r="7596" spans="7:11" x14ac:dyDescent="0.25">
      <c r="G7596" s="1" t="str">
        <f>IF(Table2[[#This Row],[Description]]="","",VLOOKUP(Table2[[#This Row],[Description]],$Q$1:$S$101,2,FALSE))</f>
        <v/>
      </c>
      <c r="H7596" s="1" t="str">
        <f>IF(Table2[[#This Row],[Description]]="","",VLOOKUP(Table2[[#This Row],[Description]],$Q$1:$S$101,3,FALSE))</f>
        <v/>
      </c>
      <c r="I7596" s="1" t="str">
        <f>IF(Table2[[#This Row],[Description]]="","",IF(Table2[[#This Row],[Currency]]=$O$2,$P$2,HLOOKUP(Table2[[#This Row],[Date]],Funds!$C$10:$GV$11,2,FALSE)))</f>
        <v/>
      </c>
      <c r="J7596" s="215" t="str">
        <f>IF(Table2[[#This Row],[Description]]="","",Table2[[#This Row],[Value]]/Table2[[#This Row],[Conversion]])</f>
        <v/>
      </c>
      <c r="K7596" s="45" t="str">
        <f>IF(Table2[[#This Row],[Description]]="","",DATE(Table2[[#This Row],[Year]],Table2[[#This Row],[Month]],1))</f>
        <v/>
      </c>
    </row>
    <row r="7597" spans="7:11" x14ac:dyDescent="0.25">
      <c r="G7597" s="1" t="str">
        <f>IF(Table2[[#This Row],[Description]]="","",VLOOKUP(Table2[[#This Row],[Description]],$Q$1:$S$101,2,FALSE))</f>
        <v/>
      </c>
      <c r="H7597" s="1" t="str">
        <f>IF(Table2[[#This Row],[Description]]="","",VLOOKUP(Table2[[#This Row],[Description]],$Q$1:$S$101,3,FALSE))</f>
        <v/>
      </c>
      <c r="I7597" s="1" t="str">
        <f>IF(Table2[[#This Row],[Description]]="","",IF(Table2[[#This Row],[Currency]]=$O$2,$P$2,HLOOKUP(Table2[[#This Row],[Date]],Funds!$C$10:$GV$11,2,FALSE)))</f>
        <v/>
      </c>
      <c r="J7597" s="215" t="str">
        <f>IF(Table2[[#This Row],[Description]]="","",Table2[[#This Row],[Value]]/Table2[[#This Row],[Conversion]])</f>
        <v/>
      </c>
      <c r="K7597" s="45" t="str">
        <f>IF(Table2[[#This Row],[Description]]="","",DATE(Table2[[#This Row],[Year]],Table2[[#This Row],[Month]],1))</f>
        <v/>
      </c>
    </row>
    <row r="7598" spans="7:11" x14ac:dyDescent="0.25">
      <c r="G7598" s="1" t="str">
        <f>IF(Table2[[#This Row],[Description]]="","",VLOOKUP(Table2[[#This Row],[Description]],$Q$1:$S$101,2,FALSE))</f>
        <v/>
      </c>
      <c r="H7598" s="1" t="str">
        <f>IF(Table2[[#This Row],[Description]]="","",VLOOKUP(Table2[[#This Row],[Description]],$Q$1:$S$101,3,FALSE))</f>
        <v/>
      </c>
      <c r="I7598" s="1" t="str">
        <f>IF(Table2[[#This Row],[Description]]="","",IF(Table2[[#This Row],[Currency]]=$O$2,$P$2,HLOOKUP(Table2[[#This Row],[Date]],Funds!$C$10:$GV$11,2,FALSE)))</f>
        <v/>
      </c>
      <c r="J7598" s="215" t="str">
        <f>IF(Table2[[#This Row],[Description]]="","",Table2[[#This Row],[Value]]/Table2[[#This Row],[Conversion]])</f>
        <v/>
      </c>
      <c r="K7598" s="45" t="str">
        <f>IF(Table2[[#This Row],[Description]]="","",DATE(Table2[[#This Row],[Year]],Table2[[#This Row],[Month]],1))</f>
        <v/>
      </c>
    </row>
    <row r="7599" spans="7:11" x14ac:dyDescent="0.25">
      <c r="G7599" s="1" t="str">
        <f>IF(Table2[[#This Row],[Description]]="","",VLOOKUP(Table2[[#This Row],[Description]],$Q$1:$S$101,2,FALSE))</f>
        <v/>
      </c>
      <c r="H7599" s="1" t="str">
        <f>IF(Table2[[#This Row],[Description]]="","",VLOOKUP(Table2[[#This Row],[Description]],$Q$1:$S$101,3,FALSE))</f>
        <v/>
      </c>
      <c r="I7599" s="1" t="str">
        <f>IF(Table2[[#This Row],[Description]]="","",IF(Table2[[#This Row],[Currency]]=$O$2,$P$2,HLOOKUP(Table2[[#This Row],[Date]],Funds!$C$10:$GV$11,2,FALSE)))</f>
        <v/>
      </c>
      <c r="J7599" s="215" t="str">
        <f>IF(Table2[[#This Row],[Description]]="","",Table2[[#This Row],[Value]]/Table2[[#This Row],[Conversion]])</f>
        <v/>
      </c>
      <c r="K7599" s="45" t="str">
        <f>IF(Table2[[#This Row],[Description]]="","",DATE(Table2[[#This Row],[Year]],Table2[[#This Row],[Month]],1))</f>
        <v/>
      </c>
    </row>
    <row r="7600" spans="7:11" x14ac:dyDescent="0.25">
      <c r="G7600" s="1" t="str">
        <f>IF(Table2[[#This Row],[Description]]="","",VLOOKUP(Table2[[#This Row],[Description]],$Q$1:$S$101,2,FALSE))</f>
        <v/>
      </c>
      <c r="H7600" s="1" t="str">
        <f>IF(Table2[[#This Row],[Description]]="","",VLOOKUP(Table2[[#This Row],[Description]],$Q$1:$S$101,3,FALSE))</f>
        <v/>
      </c>
      <c r="I7600" s="1" t="str">
        <f>IF(Table2[[#This Row],[Description]]="","",IF(Table2[[#This Row],[Currency]]=$O$2,$P$2,HLOOKUP(Table2[[#This Row],[Date]],Funds!$C$10:$GV$11,2,FALSE)))</f>
        <v/>
      </c>
      <c r="J7600" s="215" t="str">
        <f>IF(Table2[[#This Row],[Description]]="","",Table2[[#This Row],[Value]]/Table2[[#This Row],[Conversion]])</f>
        <v/>
      </c>
      <c r="K7600" s="45" t="str">
        <f>IF(Table2[[#This Row],[Description]]="","",DATE(Table2[[#This Row],[Year]],Table2[[#This Row],[Month]],1))</f>
        <v/>
      </c>
    </row>
    <row r="7601" spans="7:11" x14ac:dyDescent="0.25">
      <c r="G7601" s="1" t="str">
        <f>IF(Table2[[#This Row],[Description]]="","",VLOOKUP(Table2[[#This Row],[Description]],$Q$1:$S$101,2,FALSE))</f>
        <v/>
      </c>
      <c r="H7601" s="1" t="str">
        <f>IF(Table2[[#This Row],[Description]]="","",VLOOKUP(Table2[[#This Row],[Description]],$Q$1:$S$101,3,FALSE))</f>
        <v/>
      </c>
      <c r="I7601" s="1" t="str">
        <f>IF(Table2[[#This Row],[Description]]="","",IF(Table2[[#This Row],[Currency]]=$O$2,$P$2,HLOOKUP(Table2[[#This Row],[Date]],Funds!$C$10:$GV$11,2,FALSE)))</f>
        <v/>
      </c>
      <c r="J7601" s="215" t="str">
        <f>IF(Table2[[#This Row],[Description]]="","",Table2[[#This Row],[Value]]/Table2[[#This Row],[Conversion]])</f>
        <v/>
      </c>
      <c r="K7601" s="45" t="str">
        <f>IF(Table2[[#This Row],[Description]]="","",DATE(Table2[[#This Row],[Year]],Table2[[#This Row],[Month]],1))</f>
        <v/>
      </c>
    </row>
    <row r="7602" spans="7:11" x14ac:dyDescent="0.25">
      <c r="G7602" s="1" t="str">
        <f>IF(Table2[[#This Row],[Description]]="","",VLOOKUP(Table2[[#This Row],[Description]],$Q$1:$S$101,2,FALSE))</f>
        <v/>
      </c>
      <c r="H7602" s="1" t="str">
        <f>IF(Table2[[#This Row],[Description]]="","",VLOOKUP(Table2[[#This Row],[Description]],$Q$1:$S$101,3,FALSE))</f>
        <v/>
      </c>
      <c r="I7602" s="1" t="str">
        <f>IF(Table2[[#This Row],[Description]]="","",IF(Table2[[#This Row],[Currency]]=$O$2,$P$2,HLOOKUP(Table2[[#This Row],[Date]],Funds!$C$10:$GV$11,2,FALSE)))</f>
        <v/>
      </c>
      <c r="J7602" s="215" t="str">
        <f>IF(Table2[[#This Row],[Description]]="","",Table2[[#This Row],[Value]]/Table2[[#This Row],[Conversion]])</f>
        <v/>
      </c>
      <c r="K7602" s="45" t="str">
        <f>IF(Table2[[#This Row],[Description]]="","",DATE(Table2[[#This Row],[Year]],Table2[[#This Row],[Month]],1))</f>
        <v/>
      </c>
    </row>
    <row r="7603" spans="7:11" x14ac:dyDescent="0.25">
      <c r="G7603" s="1" t="str">
        <f>IF(Table2[[#This Row],[Description]]="","",VLOOKUP(Table2[[#This Row],[Description]],$Q$1:$S$101,2,FALSE))</f>
        <v/>
      </c>
      <c r="H7603" s="1" t="str">
        <f>IF(Table2[[#This Row],[Description]]="","",VLOOKUP(Table2[[#This Row],[Description]],$Q$1:$S$101,3,FALSE))</f>
        <v/>
      </c>
      <c r="I7603" s="1" t="str">
        <f>IF(Table2[[#This Row],[Description]]="","",IF(Table2[[#This Row],[Currency]]=$O$2,$P$2,HLOOKUP(Table2[[#This Row],[Date]],Funds!$C$10:$GV$11,2,FALSE)))</f>
        <v/>
      </c>
      <c r="J7603" s="215" t="str">
        <f>IF(Table2[[#This Row],[Description]]="","",Table2[[#This Row],[Value]]/Table2[[#This Row],[Conversion]])</f>
        <v/>
      </c>
      <c r="K7603" s="45" t="str">
        <f>IF(Table2[[#This Row],[Description]]="","",DATE(Table2[[#This Row],[Year]],Table2[[#This Row],[Month]],1))</f>
        <v/>
      </c>
    </row>
    <row r="7604" spans="7:11" x14ac:dyDescent="0.25">
      <c r="G7604" s="1" t="str">
        <f>IF(Table2[[#This Row],[Description]]="","",VLOOKUP(Table2[[#This Row],[Description]],$Q$1:$S$101,2,FALSE))</f>
        <v/>
      </c>
      <c r="H7604" s="1" t="str">
        <f>IF(Table2[[#This Row],[Description]]="","",VLOOKUP(Table2[[#This Row],[Description]],$Q$1:$S$101,3,FALSE))</f>
        <v/>
      </c>
      <c r="I7604" s="1" t="str">
        <f>IF(Table2[[#This Row],[Description]]="","",IF(Table2[[#This Row],[Currency]]=$O$2,$P$2,HLOOKUP(Table2[[#This Row],[Date]],Funds!$C$10:$GV$11,2,FALSE)))</f>
        <v/>
      </c>
      <c r="J7604" s="215" t="str">
        <f>IF(Table2[[#This Row],[Description]]="","",Table2[[#This Row],[Value]]/Table2[[#This Row],[Conversion]])</f>
        <v/>
      </c>
      <c r="K7604" s="45" t="str">
        <f>IF(Table2[[#This Row],[Description]]="","",DATE(Table2[[#This Row],[Year]],Table2[[#This Row],[Month]],1))</f>
        <v/>
      </c>
    </row>
    <row r="7605" spans="7:11" x14ac:dyDescent="0.25">
      <c r="G7605" s="1" t="str">
        <f>IF(Table2[[#This Row],[Description]]="","",VLOOKUP(Table2[[#This Row],[Description]],$Q$1:$S$101,2,FALSE))</f>
        <v/>
      </c>
      <c r="H7605" s="1" t="str">
        <f>IF(Table2[[#This Row],[Description]]="","",VLOOKUP(Table2[[#This Row],[Description]],$Q$1:$S$101,3,FALSE))</f>
        <v/>
      </c>
      <c r="I7605" s="1" t="str">
        <f>IF(Table2[[#This Row],[Description]]="","",IF(Table2[[#This Row],[Currency]]=$O$2,$P$2,HLOOKUP(Table2[[#This Row],[Date]],Funds!$C$10:$GV$11,2,FALSE)))</f>
        <v/>
      </c>
      <c r="J7605" s="215" t="str">
        <f>IF(Table2[[#This Row],[Description]]="","",Table2[[#This Row],[Value]]/Table2[[#This Row],[Conversion]])</f>
        <v/>
      </c>
      <c r="K7605" s="45" t="str">
        <f>IF(Table2[[#This Row],[Description]]="","",DATE(Table2[[#This Row],[Year]],Table2[[#This Row],[Month]],1))</f>
        <v/>
      </c>
    </row>
    <row r="7606" spans="7:11" x14ac:dyDescent="0.25">
      <c r="G7606" s="1" t="str">
        <f>IF(Table2[[#This Row],[Description]]="","",VLOOKUP(Table2[[#This Row],[Description]],$Q$1:$S$101,2,FALSE))</f>
        <v/>
      </c>
      <c r="H7606" s="1" t="str">
        <f>IF(Table2[[#This Row],[Description]]="","",VLOOKUP(Table2[[#This Row],[Description]],$Q$1:$S$101,3,FALSE))</f>
        <v/>
      </c>
      <c r="I7606" s="1" t="str">
        <f>IF(Table2[[#This Row],[Description]]="","",IF(Table2[[#This Row],[Currency]]=$O$2,$P$2,HLOOKUP(Table2[[#This Row],[Date]],Funds!$C$10:$GV$11,2,FALSE)))</f>
        <v/>
      </c>
      <c r="J7606" s="215" t="str">
        <f>IF(Table2[[#This Row],[Description]]="","",Table2[[#This Row],[Value]]/Table2[[#This Row],[Conversion]])</f>
        <v/>
      </c>
      <c r="K7606" s="45" t="str">
        <f>IF(Table2[[#This Row],[Description]]="","",DATE(Table2[[#This Row],[Year]],Table2[[#This Row],[Month]],1))</f>
        <v/>
      </c>
    </row>
    <row r="7607" spans="7:11" x14ac:dyDescent="0.25">
      <c r="G7607" s="1" t="str">
        <f>IF(Table2[[#This Row],[Description]]="","",VLOOKUP(Table2[[#This Row],[Description]],$Q$1:$S$101,2,FALSE))</f>
        <v/>
      </c>
      <c r="H7607" s="1" t="str">
        <f>IF(Table2[[#This Row],[Description]]="","",VLOOKUP(Table2[[#This Row],[Description]],$Q$1:$S$101,3,FALSE))</f>
        <v/>
      </c>
      <c r="I7607" s="1" t="str">
        <f>IF(Table2[[#This Row],[Description]]="","",IF(Table2[[#This Row],[Currency]]=$O$2,$P$2,HLOOKUP(Table2[[#This Row],[Date]],Funds!$C$10:$GV$11,2,FALSE)))</f>
        <v/>
      </c>
      <c r="J7607" s="215" t="str">
        <f>IF(Table2[[#This Row],[Description]]="","",Table2[[#This Row],[Value]]/Table2[[#This Row],[Conversion]])</f>
        <v/>
      </c>
      <c r="K7607" s="45" t="str">
        <f>IF(Table2[[#This Row],[Description]]="","",DATE(Table2[[#This Row],[Year]],Table2[[#This Row],[Month]],1))</f>
        <v/>
      </c>
    </row>
    <row r="7608" spans="7:11" x14ac:dyDescent="0.25">
      <c r="G7608" s="1" t="str">
        <f>IF(Table2[[#This Row],[Description]]="","",VLOOKUP(Table2[[#This Row],[Description]],$Q$1:$S$101,2,FALSE))</f>
        <v/>
      </c>
      <c r="H7608" s="1" t="str">
        <f>IF(Table2[[#This Row],[Description]]="","",VLOOKUP(Table2[[#This Row],[Description]],$Q$1:$S$101,3,FALSE))</f>
        <v/>
      </c>
      <c r="I7608" s="1" t="str">
        <f>IF(Table2[[#This Row],[Description]]="","",IF(Table2[[#This Row],[Currency]]=$O$2,$P$2,HLOOKUP(Table2[[#This Row],[Date]],Funds!$C$10:$GV$11,2,FALSE)))</f>
        <v/>
      </c>
      <c r="J7608" s="215" t="str">
        <f>IF(Table2[[#This Row],[Description]]="","",Table2[[#This Row],[Value]]/Table2[[#This Row],[Conversion]])</f>
        <v/>
      </c>
      <c r="K7608" s="45" t="str">
        <f>IF(Table2[[#This Row],[Description]]="","",DATE(Table2[[#This Row],[Year]],Table2[[#This Row],[Month]],1))</f>
        <v/>
      </c>
    </row>
    <row r="7609" spans="7:11" x14ac:dyDescent="0.25">
      <c r="G7609" s="1" t="str">
        <f>IF(Table2[[#This Row],[Description]]="","",VLOOKUP(Table2[[#This Row],[Description]],$Q$1:$S$101,2,FALSE))</f>
        <v/>
      </c>
      <c r="H7609" s="1" t="str">
        <f>IF(Table2[[#This Row],[Description]]="","",VLOOKUP(Table2[[#This Row],[Description]],$Q$1:$S$101,3,FALSE))</f>
        <v/>
      </c>
      <c r="I7609" s="1" t="str">
        <f>IF(Table2[[#This Row],[Description]]="","",IF(Table2[[#This Row],[Currency]]=$O$2,$P$2,HLOOKUP(Table2[[#This Row],[Date]],Funds!$C$10:$GV$11,2,FALSE)))</f>
        <v/>
      </c>
      <c r="J7609" s="215" t="str">
        <f>IF(Table2[[#This Row],[Description]]="","",Table2[[#This Row],[Value]]/Table2[[#This Row],[Conversion]])</f>
        <v/>
      </c>
      <c r="K7609" s="45" t="str">
        <f>IF(Table2[[#This Row],[Description]]="","",DATE(Table2[[#This Row],[Year]],Table2[[#This Row],[Month]],1))</f>
        <v/>
      </c>
    </row>
    <row r="7610" spans="7:11" x14ac:dyDescent="0.25">
      <c r="G7610" s="1" t="str">
        <f>IF(Table2[[#This Row],[Description]]="","",VLOOKUP(Table2[[#This Row],[Description]],$Q$1:$S$101,2,FALSE))</f>
        <v/>
      </c>
      <c r="H7610" s="1" t="str">
        <f>IF(Table2[[#This Row],[Description]]="","",VLOOKUP(Table2[[#This Row],[Description]],$Q$1:$S$101,3,FALSE))</f>
        <v/>
      </c>
      <c r="I7610" s="1" t="str">
        <f>IF(Table2[[#This Row],[Description]]="","",IF(Table2[[#This Row],[Currency]]=$O$2,$P$2,HLOOKUP(Table2[[#This Row],[Date]],Funds!$C$10:$GV$11,2,FALSE)))</f>
        <v/>
      </c>
      <c r="J7610" s="215" t="str">
        <f>IF(Table2[[#This Row],[Description]]="","",Table2[[#This Row],[Value]]/Table2[[#This Row],[Conversion]])</f>
        <v/>
      </c>
      <c r="K7610" s="45" t="str">
        <f>IF(Table2[[#This Row],[Description]]="","",DATE(Table2[[#This Row],[Year]],Table2[[#This Row],[Month]],1))</f>
        <v/>
      </c>
    </row>
    <row r="7611" spans="7:11" x14ac:dyDescent="0.25">
      <c r="G7611" s="1" t="str">
        <f>IF(Table2[[#This Row],[Description]]="","",VLOOKUP(Table2[[#This Row],[Description]],$Q$1:$S$101,2,FALSE))</f>
        <v/>
      </c>
      <c r="H7611" s="1" t="str">
        <f>IF(Table2[[#This Row],[Description]]="","",VLOOKUP(Table2[[#This Row],[Description]],$Q$1:$S$101,3,FALSE))</f>
        <v/>
      </c>
      <c r="I7611" s="1" t="str">
        <f>IF(Table2[[#This Row],[Description]]="","",IF(Table2[[#This Row],[Currency]]=$O$2,$P$2,HLOOKUP(Table2[[#This Row],[Date]],Funds!$C$10:$GV$11,2,FALSE)))</f>
        <v/>
      </c>
      <c r="J7611" s="215" t="str">
        <f>IF(Table2[[#This Row],[Description]]="","",Table2[[#This Row],[Value]]/Table2[[#This Row],[Conversion]])</f>
        <v/>
      </c>
      <c r="K7611" s="45" t="str">
        <f>IF(Table2[[#This Row],[Description]]="","",DATE(Table2[[#This Row],[Year]],Table2[[#This Row],[Month]],1))</f>
        <v/>
      </c>
    </row>
    <row r="7612" spans="7:11" x14ac:dyDescent="0.25">
      <c r="G7612" s="1" t="str">
        <f>IF(Table2[[#This Row],[Description]]="","",VLOOKUP(Table2[[#This Row],[Description]],$Q$1:$S$101,2,FALSE))</f>
        <v/>
      </c>
      <c r="H7612" s="1" t="str">
        <f>IF(Table2[[#This Row],[Description]]="","",VLOOKUP(Table2[[#This Row],[Description]],$Q$1:$S$101,3,FALSE))</f>
        <v/>
      </c>
      <c r="I7612" s="1" t="str">
        <f>IF(Table2[[#This Row],[Description]]="","",IF(Table2[[#This Row],[Currency]]=$O$2,$P$2,HLOOKUP(Table2[[#This Row],[Date]],Funds!$C$10:$GV$11,2,FALSE)))</f>
        <v/>
      </c>
      <c r="J7612" s="215" t="str">
        <f>IF(Table2[[#This Row],[Description]]="","",Table2[[#This Row],[Value]]/Table2[[#This Row],[Conversion]])</f>
        <v/>
      </c>
      <c r="K7612" s="45" t="str">
        <f>IF(Table2[[#This Row],[Description]]="","",DATE(Table2[[#This Row],[Year]],Table2[[#This Row],[Month]],1))</f>
        <v/>
      </c>
    </row>
    <row r="7613" spans="7:11" x14ac:dyDescent="0.25">
      <c r="G7613" s="1" t="str">
        <f>IF(Table2[[#This Row],[Description]]="","",VLOOKUP(Table2[[#This Row],[Description]],$Q$1:$S$101,2,FALSE))</f>
        <v/>
      </c>
      <c r="H7613" s="1" t="str">
        <f>IF(Table2[[#This Row],[Description]]="","",VLOOKUP(Table2[[#This Row],[Description]],$Q$1:$S$101,3,FALSE))</f>
        <v/>
      </c>
      <c r="I7613" s="1" t="str">
        <f>IF(Table2[[#This Row],[Description]]="","",IF(Table2[[#This Row],[Currency]]=$O$2,$P$2,HLOOKUP(Table2[[#This Row],[Date]],Funds!$C$10:$GV$11,2,FALSE)))</f>
        <v/>
      </c>
      <c r="J7613" s="215" t="str">
        <f>IF(Table2[[#This Row],[Description]]="","",Table2[[#This Row],[Value]]/Table2[[#This Row],[Conversion]])</f>
        <v/>
      </c>
      <c r="K7613" s="45" t="str">
        <f>IF(Table2[[#This Row],[Description]]="","",DATE(Table2[[#This Row],[Year]],Table2[[#This Row],[Month]],1))</f>
        <v/>
      </c>
    </row>
    <row r="7614" spans="7:11" x14ac:dyDescent="0.25">
      <c r="G7614" s="1" t="str">
        <f>IF(Table2[[#This Row],[Description]]="","",VLOOKUP(Table2[[#This Row],[Description]],$Q$1:$S$101,2,FALSE))</f>
        <v/>
      </c>
      <c r="H7614" s="1" t="str">
        <f>IF(Table2[[#This Row],[Description]]="","",VLOOKUP(Table2[[#This Row],[Description]],$Q$1:$S$101,3,FALSE))</f>
        <v/>
      </c>
      <c r="I7614" s="1" t="str">
        <f>IF(Table2[[#This Row],[Description]]="","",IF(Table2[[#This Row],[Currency]]=$O$2,$P$2,HLOOKUP(Table2[[#This Row],[Date]],Funds!$C$10:$GV$11,2,FALSE)))</f>
        <v/>
      </c>
      <c r="J7614" s="215" t="str">
        <f>IF(Table2[[#This Row],[Description]]="","",Table2[[#This Row],[Value]]/Table2[[#This Row],[Conversion]])</f>
        <v/>
      </c>
      <c r="K7614" s="45" t="str">
        <f>IF(Table2[[#This Row],[Description]]="","",DATE(Table2[[#This Row],[Year]],Table2[[#This Row],[Month]],1))</f>
        <v/>
      </c>
    </row>
    <row r="7615" spans="7:11" x14ac:dyDescent="0.25">
      <c r="G7615" s="1" t="str">
        <f>IF(Table2[[#This Row],[Description]]="","",VLOOKUP(Table2[[#This Row],[Description]],$Q$1:$S$101,2,FALSE))</f>
        <v/>
      </c>
      <c r="H7615" s="1" t="str">
        <f>IF(Table2[[#This Row],[Description]]="","",VLOOKUP(Table2[[#This Row],[Description]],$Q$1:$S$101,3,FALSE))</f>
        <v/>
      </c>
      <c r="I7615" s="1" t="str">
        <f>IF(Table2[[#This Row],[Description]]="","",IF(Table2[[#This Row],[Currency]]=$O$2,$P$2,HLOOKUP(Table2[[#This Row],[Date]],Funds!$C$10:$GV$11,2,FALSE)))</f>
        <v/>
      </c>
      <c r="J7615" s="215" t="str">
        <f>IF(Table2[[#This Row],[Description]]="","",Table2[[#This Row],[Value]]/Table2[[#This Row],[Conversion]])</f>
        <v/>
      </c>
      <c r="K7615" s="45" t="str">
        <f>IF(Table2[[#This Row],[Description]]="","",DATE(Table2[[#This Row],[Year]],Table2[[#This Row],[Month]],1))</f>
        <v/>
      </c>
    </row>
    <row r="7616" spans="7:11" x14ac:dyDescent="0.25">
      <c r="G7616" s="1" t="str">
        <f>IF(Table2[[#This Row],[Description]]="","",VLOOKUP(Table2[[#This Row],[Description]],$Q$1:$S$101,2,FALSE))</f>
        <v/>
      </c>
      <c r="H7616" s="1" t="str">
        <f>IF(Table2[[#This Row],[Description]]="","",VLOOKUP(Table2[[#This Row],[Description]],$Q$1:$S$101,3,FALSE))</f>
        <v/>
      </c>
      <c r="I7616" s="1" t="str">
        <f>IF(Table2[[#This Row],[Description]]="","",IF(Table2[[#This Row],[Currency]]=$O$2,$P$2,HLOOKUP(Table2[[#This Row],[Date]],Funds!$C$10:$GV$11,2,FALSE)))</f>
        <v/>
      </c>
      <c r="J7616" s="215" t="str">
        <f>IF(Table2[[#This Row],[Description]]="","",Table2[[#This Row],[Value]]/Table2[[#This Row],[Conversion]])</f>
        <v/>
      </c>
      <c r="K7616" s="45" t="str">
        <f>IF(Table2[[#This Row],[Description]]="","",DATE(Table2[[#This Row],[Year]],Table2[[#This Row],[Month]],1))</f>
        <v/>
      </c>
    </row>
    <row r="7617" spans="7:11" x14ac:dyDescent="0.25">
      <c r="G7617" s="1" t="str">
        <f>IF(Table2[[#This Row],[Description]]="","",VLOOKUP(Table2[[#This Row],[Description]],$Q$1:$S$101,2,FALSE))</f>
        <v/>
      </c>
      <c r="H7617" s="1" t="str">
        <f>IF(Table2[[#This Row],[Description]]="","",VLOOKUP(Table2[[#This Row],[Description]],$Q$1:$S$101,3,FALSE))</f>
        <v/>
      </c>
      <c r="I7617" s="1" t="str">
        <f>IF(Table2[[#This Row],[Description]]="","",IF(Table2[[#This Row],[Currency]]=$O$2,$P$2,HLOOKUP(Table2[[#This Row],[Date]],Funds!$C$10:$GV$11,2,FALSE)))</f>
        <v/>
      </c>
      <c r="J7617" s="215" t="str">
        <f>IF(Table2[[#This Row],[Description]]="","",Table2[[#This Row],[Value]]/Table2[[#This Row],[Conversion]])</f>
        <v/>
      </c>
      <c r="K7617" s="45" t="str">
        <f>IF(Table2[[#This Row],[Description]]="","",DATE(Table2[[#This Row],[Year]],Table2[[#This Row],[Month]],1))</f>
        <v/>
      </c>
    </row>
    <row r="7618" spans="7:11" x14ac:dyDescent="0.25">
      <c r="G7618" s="1" t="str">
        <f>IF(Table2[[#This Row],[Description]]="","",VLOOKUP(Table2[[#This Row],[Description]],$Q$1:$S$101,2,FALSE))</f>
        <v/>
      </c>
      <c r="H7618" s="1" t="str">
        <f>IF(Table2[[#This Row],[Description]]="","",VLOOKUP(Table2[[#This Row],[Description]],$Q$1:$S$101,3,FALSE))</f>
        <v/>
      </c>
      <c r="I7618" s="1" t="str">
        <f>IF(Table2[[#This Row],[Description]]="","",IF(Table2[[#This Row],[Currency]]=$O$2,$P$2,HLOOKUP(Table2[[#This Row],[Date]],Funds!$C$10:$GV$11,2,FALSE)))</f>
        <v/>
      </c>
      <c r="J7618" s="215" t="str">
        <f>IF(Table2[[#This Row],[Description]]="","",Table2[[#This Row],[Value]]/Table2[[#This Row],[Conversion]])</f>
        <v/>
      </c>
      <c r="K7618" s="45" t="str">
        <f>IF(Table2[[#This Row],[Description]]="","",DATE(Table2[[#This Row],[Year]],Table2[[#This Row],[Month]],1))</f>
        <v/>
      </c>
    </row>
    <row r="7619" spans="7:11" x14ac:dyDescent="0.25">
      <c r="G7619" s="1" t="str">
        <f>IF(Table2[[#This Row],[Description]]="","",VLOOKUP(Table2[[#This Row],[Description]],$Q$1:$S$101,2,FALSE))</f>
        <v/>
      </c>
      <c r="H7619" s="1" t="str">
        <f>IF(Table2[[#This Row],[Description]]="","",VLOOKUP(Table2[[#This Row],[Description]],$Q$1:$S$101,3,FALSE))</f>
        <v/>
      </c>
      <c r="I7619" s="1" t="str">
        <f>IF(Table2[[#This Row],[Description]]="","",IF(Table2[[#This Row],[Currency]]=$O$2,$P$2,HLOOKUP(Table2[[#This Row],[Date]],Funds!$C$10:$GV$11,2,FALSE)))</f>
        <v/>
      </c>
      <c r="J7619" s="215" t="str">
        <f>IF(Table2[[#This Row],[Description]]="","",Table2[[#This Row],[Value]]/Table2[[#This Row],[Conversion]])</f>
        <v/>
      </c>
      <c r="K7619" s="45" t="str">
        <f>IF(Table2[[#This Row],[Description]]="","",DATE(Table2[[#This Row],[Year]],Table2[[#This Row],[Month]],1))</f>
        <v/>
      </c>
    </row>
    <row r="7620" spans="7:11" x14ac:dyDescent="0.25">
      <c r="G7620" s="1" t="str">
        <f>IF(Table2[[#This Row],[Description]]="","",VLOOKUP(Table2[[#This Row],[Description]],$Q$1:$S$101,2,FALSE))</f>
        <v/>
      </c>
      <c r="H7620" s="1" t="str">
        <f>IF(Table2[[#This Row],[Description]]="","",VLOOKUP(Table2[[#This Row],[Description]],$Q$1:$S$101,3,FALSE))</f>
        <v/>
      </c>
      <c r="I7620" s="1" t="str">
        <f>IF(Table2[[#This Row],[Description]]="","",IF(Table2[[#This Row],[Currency]]=$O$2,$P$2,HLOOKUP(Table2[[#This Row],[Date]],Funds!$C$10:$GV$11,2,FALSE)))</f>
        <v/>
      </c>
      <c r="J7620" s="215" t="str">
        <f>IF(Table2[[#This Row],[Description]]="","",Table2[[#This Row],[Value]]/Table2[[#This Row],[Conversion]])</f>
        <v/>
      </c>
      <c r="K7620" s="45" t="str">
        <f>IF(Table2[[#This Row],[Description]]="","",DATE(Table2[[#This Row],[Year]],Table2[[#This Row],[Month]],1))</f>
        <v/>
      </c>
    </row>
    <row r="7621" spans="7:11" x14ac:dyDescent="0.25">
      <c r="G7621" s="1" t="str">
        <f>IF(Table2[[#This Row],[Description]]="","",VLOOKUP(Table2[[#This Row],[Description]],$Q$1:$S$101,2,FALSE))</f>
        <v/>
      </c>
      <c r="H7621" s="1" t="str">
        <f>IF(Table2[[#This Row],[Description]]="","",VLOOKUP(Table2[[#This Row],[Description]],$Q$1:$S$101,3,FALSE))</f>
        <v/>
      </c>
      <c r="I7621" s="1" t="str">
        <f>IF(Table2[[#This Row],[Description]]="","",IF(Table2[[#This Row],[Currency]]=$O$2,$P$2,HLOOKUP(Table2[[#This Row],[Date]],Funds!$C$10:$GV$11,2,FALSE)))</f>
        <v/>
      </c>
      <c r="J7621" s="215" t="str">
        <f>IF(Table2[[#This Row],[Description]]="","",Table2[[#This Row],[Value]]/Table2[[#This Row],[Conversion]])</f>
        <v/>
      </c>
      <c r="K7621" s="45" t="str">
        <f>IF(Table2[[#This Row],[Description]]="","",DATE(Table2[[#This Row],[Year]],Table2[[#This Row],[Month]],1))</f>
        <v/>
      </c>
    </row>
    <row r="7622" spans="7:11" x14ac:dyDescent="0.25">
      <c r="G7622" s="1" t="str">
        <f>IF(Table2[[#This Row],[Description]]="","",VLOOKUP(Table2[[#This Row],[Description]],$Q$1:$S$101,2,FALSE))</f>
        <v/>
      </c>
      <c r="H7622" s="1" t="str">
        <f>IF(Table2[[#This Row],[Description]]="","",VLOOKUP(Table2[[#This Row],[Description]],$Q$1:$S$101,3,FALSE))</f>
        <v/>
      </c>
      <c r="I7622" s="1" t="str">
        <f>IF(Table2[[#This Row],[Description]]="","",IF(Table2[[#This Row],[Currency]]=$O$2,$P$2,HLOOKUP(Table2[[#This Row],[Date]],Funds!$C$10:$GV$11,2,FALSE)))</f>
        <v/>
      </c>
      <c r="J7622" s="215" t="str">
        <f>IF(Table2[[#This Row],[Description]]="","",Table2[[#This Row],[Value]]/Table2[[#This Row],[Conversion]])</f>
        <v/>
      </c>
      <c r="K7622" s="45" t="str">
        <f>IF(Table2[[#This Row],[Description]]="","",DATE(Table2[[#This Row],[Year]],Table2[[#This Row],[Month]],1))</f>
        <v/>
      </c>
    </row>
    <row r="7623" spans="7:11" x14ac:dyDescent="0.25">
      <c r="G7623" s="1" t="str">
        <f>IF(Table2[[#This Row],[Description]]="","",VLOOKUP(Table2[[#This Row],[Description]],$Q$1:$S$101,2,FALSE))</f>
        <v/>
      </c>
      <c r="H7623" s="1" t="str">
        <f>IF(Table2[[#This Row],[Description]]="","",VLOOKUP(Table2[[#This Row],[Description]],$Q$1:$S$101,3,FALSE))</f>
        <v/>
      </c>
      <c r="I7623" s="1" t="str">
        <f>IF(Table2[[#This Row],[Description]]="","",IF(Table2[[#This Row],[Currency]]=$O$2,$P$2,HLOOKUP(Table2[[#This Row],[Date]],Funds!$C$10:$GV$11,2,FALSE)))</f>
        <v/>
      </c>
      <c r="J7623" s="215" t="str">
        <f>IF(Table2[[#This Row],[Description]]="","",Table2[[#This Row],[Value]]/Table2[[#This Row],[Conversion]])</f>
        <v/>
      </c>
      <c r="K7623" s="45" t="str">
        <f>IF(Table2[[#This Row],[Description]]="","",DATE(Table2[[#This Row],[Year]],Table2[[#This Row],[Month]],1))</f>
        <v/>
      </c>
    </row>
    <row r="7624" spans="7:11" x14ac:dyDescent="0.25">
      <c r="G7624" s="1" t="str">
        <f>IF(Table2[[#This Row],[Description]]="","",VLOOKUP(Table2[[#This Row],[Description]],$Q$1:$S$101,2,FALSE))</f>
        <v/>
      </c>
      <c r="H7624" s="1" t="str">
        <f>IF(Table2[[#This Row],[Description]]="","",VLOOKUP(Table2[[#This Row],[Description]],$Q$1:$S$101,3,FALSE))</f>
        <v/>
      </c>
      <c r="I7624" s="1" t="str">
        <f>IF(Table2[[#This Row],[Description]]="","",IF(Table2[[#This Row],[Currency]]=$O$2,$P$2,HLOOKUP(Table2[[#This Row],[Date]],Funds!$C$10:$GV$11,2,FALSE)))</f>
        <v/>
      </c>
      <c r="J7624" s="215" t="str">
        <f>IF(Table2[[#This Row],[Description]]="","",Table2[[#This Row],[Value]]/Table2[[#This Row],[Conversion]])</f>
        <v/>
      </c>
      <c r="K7624" s="45" t="str">
        <f>IF(Table2[[#This Row],[Description]]="","",DATE(Table2[[#This Row],[Year]],Table2[[#This Row],[Month]],1))</f>
        <v/>
      </c>
    </row>
    <row r="7625" spans="7:11" x14ac:dyDescent="0.25">
      <c r="G7625" s="1" t="str">
        <f>IF(Table2[[#This Row],[Description]]="","",VLOOKUP(Table2[[#This Row],[Description]],$Q$1:$S$101,2,FALSE))</f>
        <v/>
      </c>
      <c r="H7625" s="1" t="str">
        <f>IF(Table2[[#This Row],[Description]]="","",VLOOKUP(Table2[[#This Row],[Description]],$Q$1:$S$101,3,FALSE))</f>
        <v/>
      </c>
      <c r="I7625" s="1" t="str">
        <f>IF(Table2[[#This Row],[Description]]="","",IF(Table2[[#This Row],[Currency]]=$O$2,$P$2,HLOOKUP(Table2[[#This Row],[Date]],Funds!$C$10:$GV$11,2,FALSE)))</f>
        <v/>
      </c>
      <c r="J7625" s="215" t="str">
        <f>IF(Table2[[#This Row],[Description]]="","",Table2[[#This Row],[Value]]/Table2[[#This Row],[Conversion]])</f>
        <v/>
      </c>
      <c r="K7625" s="45" t="str">
        <f>IF(Table2[[#This Row],[Description]]="","",DATE(Table2[[#This Row],[Year]],Table2[[#This Row],[Month]],1))</f>
        <v/>
      </c>
    </row>
    <row r="7626" spans="7:11" x14ac:dyDescent="0.25">
      <c r="G7626" s="1" t="str">
        <f>IF(Table2[[#This Row],[Description]]="","",VLOOKUP(Table2[[#This Row],[Description]],$Q$1:$S$101,2,FALSE))</f>
        <v/>
      </c>
      <c r="H7626" s="1" t="str">
        <f>IF(Table2[[#This Row],[Description]]="","",VLOOKUP(Table2[[#This Row],[Description]],$Q$1:$S$101,3,FALSE))</f>
        <v/>
      </c>
      <c r="I7626" s="1" t="str">
        <f>IF(Table2[[#This Row],[Description]]="","",IF(Table2[[#This Row],[Currency]]=$O$2,$P$2,HLOOKUP(Table2[[#This Row],[Date]],Funds!$C$10:$GV$11,2,FALSE)))</f>
        <v/>
      </c>
      <c r="J7626" s="215" t="str">
        <f>IF(Table2[[#This Row],[Description]]="","",Table2[[#This Row],[Value]]/Table2[[#This Row],[Conversion]])</f>
        <v/>
      </c>
      <c r="K7626" s="45" t="str">
        <f>IF(Table2[[#This Row],[Description]]="","",DATE(Table2[[#This Row],[Year]],Table2[[#This Row],[Month]],1))</f>
        <v/>
      </c>
    </row>
    <row r="7627" spans="7:11" x14ac:dyDescent="0.25">
      <c r="G7627" s="1" t="str">
        <f>IF(Table2[[#This Row],[Description]]="","",VLOOKUP(Table2[[#This Row],[Description]],$Q$1:$S$101,2,FALSE))</f>
        <v/>
      </c>
      <c r="H7627" s="1" t="str">
        <f>IF(Table2[[#This Row],[Description]]="","",VLOOKUP(Table2[[#This Row],[Description]],$Q$1:$S$101,3,FALSE))</f>
        <v/>
      </c>
      <c r="I7627" s="1" t="str">
        <f>IF(Table2[[#This Row],[Description]]="","",IF(Table2[[#This Row],[Currency]]=$O$2,$P$2,HLOOKUP(Table2[[#This Row],[Date]],Funds!$C$10:$GV$11,2,FALSE)))</f>
        <v/>
      </c>
      <c r="J7627" s="215" t="str">
        <f>IF(Table2[[#This Row],[Description]]="","",Table2[[#This Row],[Value]]/Table2[[#This Row],[Conversion]])</f>
        <v/>
      </c>
      <c r="K7627" s="45" t="str">
        <f>IF(Table2[[#This Row],[Description]]="","",DATE(Table2[[#This Row],[Year]],Table2[[#This Row],[Month]],1))</f>
        <v/>
      </c>
    </row>
    <row r="7628" spans="7:11" x14ac:dyDescent="0.25">
      <c r="G7628" s="1" t="str">
        <f>IF(Table2[[#This Row],[Description]]="","",VLOOKUP(Table2[[#This Row],[Description]],$Q$1:$S$101,2,FALSE))</f>
        <v/>
      </c>
      <c r="H7628" s="1" t="str">
        <f>IF(Table2[[#This Row],[Description]]="","",VLOOKUP(Table2[[#This Row],[Description]],$Q$1:$S$101,3,FALSE))</f>
        <v/>
      </c>
      <c r="I7628" s="1" t="str">
        <f>IF(Table2[[#This Row],[Description]]="","",IF(Table2[[#This Row],[Currency]]=$O$2,$P$2,HLOOKUP(Table2[[#This Row],[Date]],Funds!$C$10:$GV$11,2,FALSE)))</f>
        <v/>
      </c>
      <c r="J7628" s="215" t="str">
        <f>IF(Table2[[#This Row],[Description]]="","",Table2[[#This Row],[Value]]/Table2[[#This Row],[Conversion]])</f>
        <v/>
      </c>
      <c r="K7628" s="45" t="str">
        <f>IF(Table2[[#This Row],[Description]]="","",DATE(Table2[[#This Row],[Year]],Table2[[#This Row],[Month]],1))</f>
        <v/>
      </c>
    </row>
    <row r="7629" spans="7:11" x14ac:dyDescent="0.25">
      <c r="G7629" s="1" t="str">
        <f>IF(Table2[[#This Row],[Description]]="","",VLOOKUP(Table2[[#This Row],[Description]],$Q$1:$S$101,2,FALSE))</f>
        <v/>
      </c>
      <c r="H7629" s="1" t="str">
        <f>IF(Table2[[#This Row],[Description]]="","",VLOOKUP(Table2[[#This Row],[Description]],$Q$1:$S$101,3,FALSE))</f>
        <v/>
      </c>
      <c r="I7629" s="1" t="str">
        <f>IF(Table2[[#This Row],[Description]]="","",IF(Table2[[#This Row],[Currency]]=$O$2,$P$2,HLOOKUP(Table2[[#This Row],[Date]],Funds!$C$10:$GV$11,2,FALSE)))</f>
        <v/>
      </c>
      <c r="J7629" s="215" t="str">
        <f>IF(Table2[[#This Row],[Description]]="","",Table2[[#This Row],[Value]]/Table2[[#This Row],[Conversion]])</f>
        <v/>
      </c>
      <c r="K7629" s="45" t="str">
        <f>IF(Table2[[#This Row],[Description]]="","",DATE(Table2[[#This Row],[Year]],Table2[[#This Row],[Month]],1))</f>
        <v/>
      </c>
    </row>
    <row r="7630" spans="7:11" x14ac:dyDescent="0.25">
      <c r="G7630" s="1" t="str">
        <f>IF(Table2[[#This Row],[Description]]="","",VLOOKUP(Table2[[#This Row],[Description]],$Q$1:$S$101,2,FALSE))</f>
        <v/>
      </c>
      <c r="H7630" s="1" t="str">
        <f>IF(Table2[[#This Row],[Description]]="","",VLOOKUP(Table2[[#This Row],[Description]],$Q$1:$S$101,3,FALSE))</f>
        <v/>
      </c>
      <c r="I7630" s="1" t="str">
        <f>IF(Table2[[#This Row],[Description]]="","",IF(Table2[[#This Row],[Currency]]=$O$2,$P$2,HLOOKUP(Table2[[#This Row],[Date]],Funds!$C$10:$GV$11,2,FALSE)))</f>
        <v/>
      </c>
      <c r="J7630" s="215" t="str">
        <f>IF(Table2[[#This Row],[Description]]="","",Table2[[#This Row],[Value]]/Table2[[#This Row],[Conversion]])</f>
        <v/>
      </c>
      <c r="K7630" s="45" t="str">
        <f>IF(Table2[[#This Row],[Description]]="","",DATE(Table2[[#This Row],[Year]],Table2[[#This Row],[Month]],1))</f>
        <v/>
      </c>
    </row>
    <row r="7631" spans="7:11" x14ac:dyDescent="0.25">
      <c r="G7631" s="1" t="str">
        <f>IF(Table2[[#This Row],[Description]]="","",VLOOKUP(Table2[[#This Row],[Description]],$Q$1:$S$101,2,FALSE))</f>
        <v/>
      </c>
      <c r="H7631" s="1" t="str">
        <f>IF(Table2[[#This Row],[Description]]="","",VLOOKUP(Table2[[#This Row],[Description]],$Q$1:$S$101,3,FALSE))</f>
        <v/>
      </c>
      <c r="I7631" s="1" t="str">
        <f>IF(Table2[[#This Row],[Description]]="","",IF(Table2[[#This Row],[Currency]]=$O$2,$P$2,HLOOKUP(Table2[[#This Row],[Date]],Funds!$C$10:$GV$11,2,FALSE)))</f>
        <v/>
      </c>
      <c r="J7631" s="215" t="str">
        <f>IF(Table2[[#This Row],[Description]]="","",Table2[[#This Row],[Value]]/Table2[[#This Row],[Conversion]])</f>
        <v/>
      </c>
      <c r="K7631" s="45" t="str">
        <f>IF(Table2[[#This Row],[Description]]="","",DATE(Table2[[#This Row],[Year]],Table2[[#This Row],[Month]],1))</f>
        <v/>
      </c>
    </row>
    <row r="7632" spans="7:11" x14ac:dyDescent="0.25">
      <c r="G7632" s="1" t="str">
        <f>IF(Table2[[#This Row],[Description]]="","",VLOOKUP(Table2[[#This Row],[Description]],$Q$1:$S$101,2,FALSE))</f>
        <v/>
      </c>
      <c r="H7632" s="1" t="str">
        <f>IF(Table2[[#This Row],[Description]]="","",VLOOKUP(Table2[[#This Row],[Description]],$Q$1:$S$101,3,FALSE))</f>
        <v/>
      </c>
      <c r="I7632" s="1" t="str">
        <f>IF(Table2[[#This Row],[Description]]="","",IF(Table2[[#This Row],[Currency]]=$O$2,$P$2,HLOOKUP(Table2[[#This Row],[Date]],Funds!$C$10:$GV$11,2,FALSE)))</f>
        <v/>
      </c>
      <c r="J7632" s="215" t="str">
        <f>IF(Table2[[#This Row],[Description]]="","",Table2[[#This Row],[Value]]/Table2[[#This Row],[Conversion]])</f>
        <v/>
      </c>
      <c r="K7632" s="45" t="str">
        <f>IF(Table2[[#This Row],[Description]]="","",DATE(Table2[[#This Row],[Year]],Table2[[#This Row],[Month]],1))</f>
        <v/>
      </c>
    </row>
    <row r="7633" spans="7:11" x14ac:dyDescent="0.25">
      <c r="G7633" s="1" t="str">
        <f>IF(Table2[[#This Row],[Description]]="","",VLOOKUP(Table2[[#This Row],[Description]],$Q$1:$S$101,2,FALSE))</f>
        <v/>
      </c>
      <c r="H7633" s="1" t="str">
        <f>IF(Table2[[#This Row],[Description]]="","",VLOOKUP(Table2[[#This Row],[Description]],$Q$1:$S$101,3,FALSE))</f>
        <v/>
      </c>
      <c r="I7633" s="1" t="str">
        <f>IF(Table2[[#This Row],[Description]]="","",IF(Table2[[#This Row],[Currency]]=$O$2,$P$2,HLOOKUP(Table2[[#This Row],[Date]],Funds!$C$10:$GV$11,2,FALSE)))</f>
        <v/>
      </c>
      <c r="J7633" s="215" t="str">
        <f>IF(Table2[[#This Row],[Description]]="","",Table2[[#This Row],[Value]]/Table2[[#This Row],[Conversion]])</f>
        <v/>
      </c>
      <c r="K7633" s="45" t="str">
        <f>IF(Table2[[#This Row],[Description]]="","",DATE(Table2[[#This Row],[Year]],Table2[[#This Row],[Month]],1))</f>
        <v/>
      </c>
    </row>
    <row r="7634" spans="7:11" x14ac:dyDescent="0.25">
      <c r="G7634" s="1" t="str">
        <f>IF(Table2[[#This Row],[Description]]="","",VLOOKUP(Table2[[#This Row],[Description]],$Q$1:$S$101,2,FALSE))</f>
        <v/>
      </c>
      <c r="H7634" s="1" t="str">
        <f>IF(Table2[[#This Row],[Description]]="","",VLOOKUP(Table2[[#This Row],[Description]],$Q$1:$S$101,3,FALSE))</f>
        <v/>
      </c>
      <c r="I7634" s="1" t="str">
        <f>IF(Table2[[#This Row],[Description]]="","",IF(Table2[[#This Row],[Currency]]=$O$2,$P$2,HLOOKUP(Table2[[#This Row],[Date]],Funds!$C$10:$GV$11,2,FALSE)))</f>
        <v/>
      </c>
      <c r="J7634" s="215" t="str">
        <f>IF(Table2[[#This Row],[Description]]="","",Table2[[#This Row],[Value]]/Table2[[#This Row],[Conversion]])</f>
        <v/>
      </c>
      <c r="K7634" s="45" t="str">
        <f>IF(Table2[[#This Row],[Description]]="","",DATE(Table2[[#This Row],[Year]],Table2[[#This Row],[Month]],1))</f>
        <v/>
      </c>
    </row>
    <row r="7635" spans="7:11" x14ac:dyDescent="0.25">
      <c r="G7635" s="1" t="str">
        <f>IF(Table2[[#This Row],[Description]]="","",VLOOKUP(Table2[[#This Row],[Description]],$Q$1:$S$101,2,FALSE))</f>
        <v/>
      </c>
      <c r="H7635" s="1" t="str">
        <f>IF(Table2[[#This Row],[Description]]="","",VLOOKUP(Table2[[#This Row],[Description]],$Q$1:$S$101,3,FALSE))</f>
        <v/>
      </c>
      <c r="I7635" s="1" t="str">
        <f>IF(Table2[[#This Row],[Description]]="","",IF(Table2[[#This Row],[Currency]]=$O$2,$P$2,HLOOKUP(Table2[[#This Row],[Date]],Funds!$C$10:$GV$11,2,FALSE)))</f>
        <v/>
      </c>
      <c r="J7635" s="215" t="str">
        <f>IF(Table2[[#This Row],[Description]]="","",Table2[[#This Row],[Value]]/Table2[[#This Row],[Conversion]])</f>
        <v/>
      </c>
      <c r="K7635" s="45" t="str">
        <f>IF(Table2[[#This Row],[Description]]="","",DATE(Table2[[#This Row],[Year]],Table2[[#This Row],[Month]],1))</f>
        <v/>
      </c>
    </row>
    <row r="7636" spans="7:11" x14ac:dyDescent="0.25">
      <c r="G7636" s="1" t="str">
        <f>IF(Table2[[#This Row],[Description]]="","",VLOOKUP(Table2[[#This Row],[Description]],$Q$1:$S$101,2,FALSE))</f>
        <v/>
      </c>
      <c r="H7636" s="1" t="str">
        <f>IF(Table2[[#This Row],[Description]]="","",VLOOKUP(Table2[[#This Row],[Description]],$Q$1:$S$101,3,FALSE))</f>
        <v/>
      </c>
      <c r="I7636" s="1" t="str">
        <f>IF(Table2[[#This Row],[Description]]="","",IF(Table2[[#This Row],[Currency]]=$O$2,$P$2,HLOOKUP(Table2[[#This Row],[Date]],Funds!$C$10:$GV$11,2,FALSE)))</f>
        <v/>
      </c>
      <c r="J7636" s="215" t="str">
        <f>IF(Table2[[#This Row],[Description]]="","",Table2[[#This Row],[Value]]/Table2[[#This Row],[Conversion]])</f>
        <v/>
      </c>
      <c r="K7636" s="45" t="str">
        <f>IF(Table2[[#This Row],[Description]]="","",DATE(Table2[[#This Row],[Year]],Table2[[#This Row],[Month]],1))</f>
        <v/>
      </c>
    </row>
    <row r="7637" spans="7:11" x14ac:dyDescent="0.25">
      <c r="G7637" s="1" t="str">
        <f>IF(Table2[[#This Row],[Description]]="","",VLOOKUP(Table2[[#This Row],[Description]],$Q$1:$S$101,2,FALSE))</f>
        <v/>
      </c>
      <c r="H7637" s="1" t="str">
        <f>IF(Table2[[#This Row],[Description]]="","",VLOOKUP(Table2[[#This Row],[Description]],$Q$1:$S$101,3,FALSE))</f>
        <v/>
      </c>
      <c r="I7637" s="1" t="str">
        <f>IF(Table2[[#This Row],[Description]]="","",IF(Table2[[#This Row],[Currency]]=$O$2,$P$2,HLOOKUP(Table2[[#This Row],[Date]],Funds!$C$10:$GV$11,2,FALSE)))</f>
        <v/>
      </c>
      <c r="J7637" s="215" t="str">
        <f>IF(Table2[[#This Row],[Description]]="","",Table2[[#This Row],[Value]]/Table2[[#This Row],[Conversion]])</f>
        <v/>
      </c>
      <c r="K7637" s="45" t="str">
        <f>IF(Table2[[#This Row],[Description]]="","",DATE(Table2[[#This Row],[Year]],Table2[[#This Row],[Month]],1))</f>
        <v/>
      </c>
    </row>
    <row r="7638" spans="7:11" x14ac:dyDescent="0.25">
      <c r="G7638" s="1" t="str">
        <f>IF(Table2[[#This Row],[Description]]="","",VLOOKUP(Table2[[#This Row],[Description]],$Q$1:$S$101,2,FALSE))</f>
        <v/>
      </c>
      <c r="H7638" s="1" t="str">
        <f>IF(Table2[[#This Row],[Description]]="","",VLOOKUP(Table2[[#This Row],[Description]],$Q$1:$S$101,3,FALSE))</f>
        <v/>
      </c>
      <c r="I7638" s="1" t="str">
        <f>IF(Table2[[#This Row],[Description]]="","",IF(Table2[[#This Row],[Currency]]=$O$2,$P$2,HLOOKUP(Table2[[#This Row],[Date]],Funds!$C$10:$GV$11,2,FALSE)))</f>
        <v/>
      </c>
      <c r="J7638" s="215" t="str">
        <f>IF(Table2[[#This Row],[Description]]="","",Table2[[#This Row],[Value]]/Table2[[#This Row],[Conversion]])</f>
        <v/>
      </c>
      <c r="K7638" s="45" t="str">
        <f>IF(Table2[[#This Row],[Description]]="","",DATE(Table2[[#This Row],[Year]],Table2[[#This Row],[Month]],1))</f>
        <v/>
      </c>
    </row>
    <row r="7639" spans="7:11" x14ac:dyDescent="0.25">
      <c r="G7639" s="1" t="str">
        <f>IF(Table2[[#This Row],[Description]]="","",VLOOKUP(Table2[[#This Row],[Description]],$Q$1:$S$101,2,FALSE))</f>
        <v/>
      </c>
      <c r="H7639" s="1" t="str">
        <f>IF(Table2[[#This Row],[Description]]="","",VLOOKUP(Table2[[#This Row],[Description]],$Q$1:$S$101,3,FALSE))</f>
        <v/>
      </c>
      <c r="I7639" s="1" t="str">
        <f>IF(Table2[[#This Row],[Description]]="","",IF(Table2[[#This Row],[Currency]]=$O$2,$P$2,HLOOKUP(Table2[[#This Row],[Date]],Funds!$C$10:$GV$11,2,FALSE)))</f>
        <v/>
      </c>
      <c r="J7639" s="215" t="str">
        <f>IF(Table2[[#This Row],[Description]]="","",Table2[[#This Row],[Value]]/Table2[[#This Row],[Conversion]])</f>
        <v/>
      </c>
      <c r="K7639" s="45" t="str">
        <f>IF(Table2[[#This Row],[Description]]="","",DATE(Table2[[#This Row],[Year]],Table2[[#This Row],[Month]],1))</f>
        <v/>
      </c>
    </row>
    <row r="7640" spans="7:11" x14ac:dyDescent="0.25">
      <c r="G7640" s="1" t="str">
        <f>IF(Table2[[#This Row],[Description]]="","",VLOOKUP(Table2[[#This Row],[Description]],$Q$1:$S$101,2,FALSE))</f>
        <v/>
      </c>
      <c r="H7640" s="1" t="str">
        <f>IF(Table2[[#This Row],[Description]]="","",VLOOKUP(Table2[[#This Row],[Description]],$Q$1:$S$101,3,FALSE))</f>
        <v/>
      </c>
      <c r="I7640" s="1" t="str">
        <f>IF(Table2[[#This Row],[Description]]="","",IF(Table2[[#This Row],[Currency]]=$O$2,$P$2,HLOOKUP(Table2[[#This Row],[Date]],Funds!$C$10:$GV$11,2,FALSE)))</f>
        <v/>
      </c>
      <c r="J7640" s="215" t="str">
        <f>IF(Table2[[#This Row],[Description]]="","",Table2[[#This Row],[Value]]/Table2[[#This Row],[Conversion]])</f>
        <v/>
      </c>
      <c r="K7640" s="45" t="str">
        <f>IF(Table2[[#This Row],[Description]]="","",DATE(Table2[[#This Row],[Year]],Table2[[#This Row],[Month]],1))</f>
        <v/>
      </c>
    </row>
    <row r="7641" spans="7:11" x14ac:dyDescent="0.25">
      <c r="G7641" s="1" t="str">
        <f>IF(Table2[[#This Row],[Description]]="","",VLOOKUP(Table2[[#This Row],[Description]],$Q$1:$S$101,2,FALSE))</f>
        <v/>
      </c>
      <c r="H7641" s="1" t="str">
        <f>IF(Table2[[#This Row],[Description]]="","",VLOOKUP(Table2[[#This Row],[Description]],$Q$1:$S$101,3,FALSE))</f>
        <v/>
      </c>
      <c r="I7641" s="1" t="str">
        <f>IF(Table2[[#This Row],[Description]]="","",IF(Table2[[#This Row],[Currency]]=$O$2,$P$2,HLOOKUP(Table2[[#This Row],[Date]],Funds!$C$10:$GV$11,2,FALSE)))</f>
        <v/>
      </c>
      <c r="J7641" s="215" t="str">
        <f>IF(Table2[[#This Row],[Description]]="","",Table2[[#This Row],[Value]]/Table2[[#This Row],[Conversion]])</f>
        <v/>
      </c>
      <c r="K7641" s="45" t="str">
        <f>IF(Table2[[#This Row],[Description]]="","",DATE(Table2[[#This Row],[Year]],Table2[[#This Row],[Month]],1))</f>
        <v/>
      </c>
    </row>
    <row r="7642" spans="7:11" x14ac:dyDescent="0.25">
      <c r="G7642" s="1" t="str">
        <f>IF(Table2[[#This Row],[Description]]="","",VLOOKUP(Table2[[#This Row],[Description]],$Q$1:$S$101,2,FALSE))</f>
        <v/>
      </c>
      <c r="H7642" s="1" t="str">
        <f>IF(Table2[[#This Row],[Description]]="","",VLOOKUP(Table2[[#This Row],[Description]],$Q$1:$S$101,3,FALSE))</f>
        <v/>
      </c>
      <c r="I7642" s="1" t="str">
        <f>IF(Table2[[#This Row],[Description]]="","",IF(Table2[[#This Row],[Currency]]=$O$2,$P$2,HLOOKUP(Table2[[#This Row],[Date]],Funds!$C$10:$GV$11,2,FALSE)))</f>
        <v/>
      </c>
      <c r="J7642" s="215" t="str">
        <f>IF(Table2[[#This Row],[Description]]="","",Table2[[#This Row],[Value]]/Table2[[#This Row],[Conversion]])</f>
        <v/>
      </c>
      <c r="K7642" s="45" t="str">
        <f>IF(Table2[[#This Row],[Description]]="","",DATE(Table2[[#This Row],[Year]],Table2[[#This Row],[Month]],1))</f>
        <v/>
      </c>
    </row>
    <row r="7643" spans="7:11" x14ac:dyDescent="0.25">
      <c r="G7643" s="1" t="str">
        <f>IF(Table2[[#This Row],[Description]]="","",VLOOKUP(Table2[[#This Row],[Description]],$Q$1:$S$101,2,FALSE))</f>
        <v/>
      </c>
      <c r="H7643" s="1" t="str">
        <f>IF(Table2[[#This Row],[Description]]="","",VLOOKUP(Table2[[#This Row],[Description]],$Q$1:$S$101,3,FALSE))</f>
        <v/>
      </c>
      <c r="I7643" s="1" t="str">
        <f>IF(Table2[[#This Row],[Description]]="","",IF(Table2[[#This Row],[Currency]]=$O$2,$P$2,HLOOKUP(Table2[[#This Row],[Date]],Funds!$C$10:$GV$11,2,FALSE)))</f>
        <v/>
      </c>
      <c r="J7643" s="215" t="str">
        <f>IF(Table2[[#This Row],[Description]]="","",Table2[[#This Row],[Value]]/Table2[[#This Row],[Conversion]])</f>
        <v/>
      </c>
      <c r="K7643" s="45" t="str">
        <f>IF(Table2[[#This Row],[Description]]="","",DATE(Table2[[#This Row],[Year]],Table2[[#This Row],[Month]],1))</f>
        <v/>
      </c>
    </row>
    <row r="7644" spans="7:11" x14ac:dyDescent="0.25">
      <c r="G7644" s="1" t="str">
        <f>IF(Table2[[#This Row],[Description]]="","",VLOOKUP(Table2[[#This Row],[Description]],$Q$1:$S$101,2,FALSE))</f>
        <v/>
      </c>
      <c r="H7644" s="1" t="str">
        <f>IF(Table2[[#This Row],[Description]]="","",VLOOKUP(Table2[[#This Row],[Description]],$Q$1:$S$101,3,FALSE))</f>
        <v/>
      </c>
      <c r="I7644" s="1" t="str">
        <f>IF(Table2[[#This Row],[Description]]="","",IF(Table2[[#This Row],[Currency]]=$O$2,$P$2,HLOOKUP(Table2[[#This Row],[Date]],Funds!$C$10:$GV$11,2,FALSE)))</f>
        <v/>
      </c>
      <c r="J7644" s="215" t="str">
        <f>IF(Table2[[#This Row],[Description]]="","",Table2[[#This Row],[Value]]/Table2[[#This Row],[Conversion]])</f>
        <v/>
      </c>
      <c r="K7644" s="45" t="str">
        <f>IF(Table2[[#This Row],[Description]]="","",DATE(Table2[[#This Row],[Year]],Table2[[#This Row],[Month]],1))</f>
        <v/>
      </c>
    </row>
    <row r="7645" spans="7:11" x14ac:dyDescent="0.25">
      <c r="G7645" s="1" t="str">
        <f>IF(Table2[[#This Row],[Description]]="","",VLOOKUP(Table2[[#This Row],[Description]],$Q$1:$S$101,2,FALSE))</f>
        <v/>
      </c>
      <c r="H7645" s="1" t="str">
        <f>IF(Table2[[#This Row],[Description]]="","",VLOOKUP(Table2[[#This Row],[Description]],$Q$1:$S$101,3,FALSE))</f>
        <v/>
      </c>
      <c r="I7645" s="1" t="str">
        <f>IF(Table2[[#This Row],[Description]]="","",IF(Table2[[#This Row],[Currency]]=$O$2,$P$2,HLOOKUP(Table2[[#This Row],[Date]],Funds!$C$10:$GV$11,2,FALSE)))</f>
        <v/>
      </c>
      <c r="J7645" s="215" t="str">
        <f>IF(Table2[[#This Row],[Description]]="","",Table2[[#This Row],[Value]]/Table2[[#This Row],[Conversion]])</f>
        <v/>
      </c>
      <c r="K7645" s="45" t="str">
        <f>IF(Table2[[#This Row],[Description]]="","",DATE(Table2[[#This Row],[Year]],Table2[[#This Row],[Month]],1))</f>
        <v/>
      </c>
    </row>
    <row r="7646" spans="7:11" x14ac:dyDescent="0.25">
      <c r="G7646" s="1" t="str">
        <f>IF(Table2[[#This Row],[Description]]="","",VLOOKUP(Table2[[#This Row],[Description]],$Q$1:$S$101,2,FALSE))</f>
        <v/>
      </c>
      <c r="H7646" s="1" t="str">
        <f>IF(Table2[[#This Row],[Description]]="","",VLOOKUP(Table2[[#This Row],[Description]],$Q$1:$S$101,3,FALSE))</f>
        <v/>
      </c>
      <c r="I7646" s="1" t="str">
        <f>IF(Table2[[#This Row],[Description]]="","",IF(Table2[[#This Row],[Currency]]=$O$2,$P$2,HLOOKUP(Table2[[#This Row],[Date]],Funds!$C$10:$GV$11,2,FALSE)))</f>
        <v/>
      </c>
      <c r="J7646" s="215" t="str">
        <f>IF(Table2[[#This Row],[Description]]="","",Table2[[#This Row],[Value]]/Table2[[#This Row],[Conversion]])</f>
        <v/>
      </c>
      <c r="K7646" s="45" t="str">
        <f>IF(Table2[[#This Row],[Description]]="","",DATE(Table2[[#This Row],[Year]],Table2[[#This Row],[Month]],1))</f>
        <v/>
      </c>
    </row>
    <row r="7647" spans="7:11" x14ac:dyDescent="0.25">
      <c r="G7647" s="1" t="str">
        <f>IF(Table2[[#This Row],[Description]]="","",VLOOKUP(Table2[[#This Row],[Description]],$Q$1:$S$101,2,FALSE))</f>
        <v/>
      </c>
      <c r="H7647" s="1" t="str">
        <f>IF(Table2[[#This Row],[Description]]="","",VLOOKUP(Table2[[#This Row],[Description]],$Q$1:$S$101,3,FALSE))</f>
        <v/>
      </c>
      <c r="I7647" s="1" t="str">
        <f>IF(Table2[[#This Row],[Description]]="","",IF(Table2[[#This Row],[Currency]]=$O$2,$P$2,HLOOKUP(Table2[[#This Row],[Date]],Funds!$C$10:$GV$11,2,FALSE)))</f>
        <v/>
      </c>
      <c r="J7647" s="215" t="str">
        <f>IF(Table2[[#This Row],[Description]]="","",Table2[[#This Row],[Value]]/Table2[[#This Row],[Conversion]])</f>
        <v/>
      </c>
      <c r="K7647" s="45" t="str">
        <f>IF(Table2[[#This Row],[Description]]="","",DATE(Table2[[#This Row],[Year]],Table2[[#This Row],[Month]],1))</f>
        <v/>
      </c>
    </row>
    <row r="7648" spans="7:11" x14ac:dyDescent="0.25">
      <c r="G7648" s="1" t="str">
        <f>IF(Table2[[#This Row],[Description]]="","",VLOOKUP(Table2[[#This Row],[Description]],$Q$1:$S$101,2,FALSE))</f>
        <v/>
      </c>
      <c r="H7648" s="1" t="str">
        <f>IF(Table2[[#This Row],[Description]]="","",VLOOKUP(Table2[[#This Row],[Description]],$Q$1:$S$101,3,FALSE))</f>
        <v/>
      </c>
      <c r="I7648" s="1" t="str">
        <f>IF(Table2[[#This Row],[Description]]="","",IF(Table2[[#This Row],[Currency]]=$O$2,$P$2,HLOOKUP(Table2[[#This Row],[Date]],Funds!$C$10:$GV$11,2,FALSE)))</f>
        <v/>
      </c>
      <c r="J7648" s="215" t="str">
        <f>IF(Table2[[#This Row],[Description]]="","",Table2[[#This Row],[Value]]/Table2[[#This Row],[Conversion]])</f>
        <v/>
      </c>
      <c r="K7648" s="45" t="str">
        <f>IF(Table2[[#This Row],[Description]]="","",DATE(Table2[[#This Row],[Year]],Table2[[#This Row],[Month]],1))</f>
        <v/>
      </c>
    </row>
    <row r="7649" spans="7:11" x14ac:dyDescent="0.25">
      <c r="G7649" s="1" t="str">
        <f>IF(Table2[[#This Row],[Description]]="","",VLOOKUP(Table2[[#This Row],[Description]],$Q$1:$S$101,2,FALSE))</f>
        <v/>
      </c>
      <c r="H7649" s="1" t="str">
        <f>IF(Table2[[#This Row],[Description]]="","",VLOOKUP(Table2[[#This Row],[Description]],$Q$1:$S$101,3,FALSE))</f>
        <v/>
      </c>
      <c r="I7649" s="1" t="str">
        <f>IF(Table2[[#This Row],[Description]]="","",IF(Table2[[#This Row],[Currency]]=$O$2,$P$2,HLOOKUP(Table2[[#This Row],[Date]],Funds!$C$10:$GV$11,2,FALSE)))</f>
        <v/>
      </c>
      <c r="J7649" s="215" t="str">
        <f>IF(Table2[[#This Row],[Description]]="","",Table2[[#This Row],[Value]]/Table2[[#This Row],[Conversion]])</f>
        <v/>
      </c>
      <c r="K7649" s="45" t="str">
        <f>IF(Table2[[#This Row],[Description]]="","",DATE(Table2[[#This Row],[Year]],Table2[[#This Row],[Month]],1))</f>
        <v/>
      </c>
    </row>
    <row r="7650" spans="7:11" x14ac:dyDescent="0.25">
      <c r="G7650" s="1" t="str">
        <f>IF(Table2[[#This Row],[Description]]="","",VLOOKUP(Table2[[#This Row],[Description]],$Q$1:$S$101,2,FALSE))</f>
        <v/>
      </c>
      <c r="H7650" s="1" t="str">
        <f>IF(Table2[[#This Row],[Description]]="","",VLOOKUP(Table2[[#This Row],[Description]],$Q$1:$S$101,3,FALSE))</f>
        <v/>
      </c>
      <c r="I7650" s="1" t="str">
        <f>IF(Table2[[#This Row],[Description]]="","",IF(Table2[[#This Row],[Currency]]=$O$2,$P$2,HLOOKUP(Table2[[#This Row],[Date]],Funds!$C$10:$GV$11,2,FALSE)))</f>
        <v/>
      </c>
      <c r="J7650" s="215" t="str">
        <f>IF(Table2[[#This Row],[Description]]="","",Table2[[#This Row],[Value]]/Table2[[#This Row],[Conversion]])</f>
        <v/>
      </c>
      <c r="K7650" s="45" t="str">
        <f>IF(Table2[[#This Row],[Description]]="","",DATE(Table2[[#This Row],[Year]],Table2[[#This Row],[Month]],1))</f>
        <v/>
      </c>
    </row>
    <row r="7651" spans="7:11" x14ac:dyDescent="0.25">
      <c r="G7651" s="1" t="str">
        <f>IF(Table2[[#This Row],[Description]]="","",VLOOKUP(Table2[[#This Row],[Description]],$Q$1:$S$101,2,FALSE))</f>
        <v/>
      </c>
      <c r="H7651" s="1" t="str">
        <f>IF(Table2[[#This Row],[Description]]="","",VLOOKUP(Table2[[#This Row],[Description]],$Q$1:$S$101,3,FALSE))</f>
        <v/>
      </c>
      <c r="I7651" s="1" t="str">
        <f>IF(Table2[[#This Row],[Description]]="","",IF(Table2[[#This Row],[Currency]]=$O$2,$P$2,HLOOKUP(Table2[[#This Row],[Date]],Funds!$C$10:$GV$11,2,FALSE)))</f>
        <v/>
      </c>
      <c r="J7651" s="215" t="str">
        <f>IF(Table2[[#This Row],[Description]]="","",Table2[[#This Row],[Value]]/Table2[[#This Row],[Conversion]])</f>
        <v/>
      </c>
      <c r="K7651" s="45" t="str">
        <f>IF(Table2[[#This Row],[Description]]="","",DATE(Table2[[#This Row],[Year]],Table2[[#This Row],[Month]],1))</f>
        <v/>
      </c>
    </row>
    <row r="7652" spans="7:11" x14ac:dyDescent="0.25">
      <c r="G7652" s="1" t="str">
        <f>IF(Table2[[#This Row],[Description]]="","",VLOOKUP(Table2[[#This Row],[Description]],$Q$1:$S$101,2,FALSE))</f>
        <v/>
      </c>
      <c r="H7652" s="1" t="str">
        <f>IF(Table2[[#This Row],[Description]]="","",VLOOKUP(Table2[[#This Row],[Description]],$Q$1:$S$101,3,FALSE))</f>
        <v/>
      </c>
      <c r="I7652" s="1" t="str">
        <f>IF(Table2[[#This Row],[Description]]="","",IF(Table2[[#This Row],[Currency]]=$O$2,$P$2,HLOOKUP(Table2[[#This Row],[Date]],Funds!$C$10:$GV$11,2,FALSE)))</f>
        <v/>
      </c>
      <c r="J7652" s="215" t="str">
        <f>IF(Table2[[#This Row],[Description]]="","",Table2[[#This Row],[Value]]/Table2[[#This Row],[Conversion]])</f>
        <v/>
      </c>
      <c r="K7652" s="45" t="str">
        <f>IF(Table2[[#This Row],[Description]]="","",DATE(Table2[[#This Row],[Year]],Table2[[#This Row],[Month]],1))</f>
        <v/>
      </c>
    </row>
    <row r="7653" spans="7:11" x14ac:dyDescent="0.25">
      <c r="G7653" s="1" t="str">
        <f>IF(Table2[[#This Row],[Description]]="","",VLOOKUP(Table2[[#This Row],[Description]],$Q$1:$S$101,2,FALSE))</f>
        <v/>
      </c>
      <c r="H7653" s="1" t="str">
        <f>IF(Table2[[#This Row],[Description]]="","",VLOOKUP(Table2[[#This Row],[Description]],$Q$1:$S$101,3,FALSE))</f>
        <v/>
      </c>
      <c r="I7653" s="1" t="str">
        <f>IF(Table2[[#This Row],[Description]]="","",IF(Table2[[#This Row],[Currency]]=$O$2,$P$2,HLOOKUP(Table2[[#This Row],[Date]],Funds!$C$10:$GV$11,2,FALSE)))</f>
        <v/>
      </c>
      <c r="J7653" s="215" t="str">
        <f>IF(Table2[[#This Row],[Description]]="","",Table2[[#This Row],[Value]]/Table2[[#This Row],[Conversion]])</f>
        <v/>
      </c>
      <c r="K7653" s="45" t="str">
        <f>IF(Table2[[#This Row],[Description]]="","",DATE(Table2[[#This Row],[Year]],Table2[[#This Row],[Month]],1))</f>
        <v/>
      </c>
    </row>
    <row r="7654" spans="7:11" x14ac:dyDescent="0.25">
      <c r="G7654" s="1" t="str">
        <f>IF(Table2[[#This Row],[Description]]="","",VLOOKUP(Table2[[#This Row],[Description]],$Q$1:$S$101,2,FALSE))</f>
        <v/>
      </c>
      <c r="H7654" s="1" t="str">
        <f>IF(Table2[[#This Row],[Description]]="","",VLOOKUP(Table2[[#This Row],[Description]],$Q$1:$S$101,3,FALSE))</f>
        <v/>
      </c>
      <c r="I7654" s="1" t="str">
        <f>IF(Table2[[#This Row],[Description]]="","",IF(Table2[[#This Row],[Currency]]=$O$2,$P$2,HLOOKUP(Table2[[#This Row],[Date]],Funds!$C$10:$GV$11,2,FALSE)))</f>
        <v/>
      </c>
      <c r="J7654" s="215" t="str">
        <f>IF(Table2[[#This Row],[Description]]="","",Table2[[#This Row],[Value]]/Table2[[#This Row],[Conversion]])</f>
        <v/>
      </c>
      <c r="K7654" s="45" t="str">
        <f>IF(Table2[[#This Row],[Description]]="","",DATE(Table2[[#This Row],[Year]],Table2[[#This Row],[Month]],1))</f>
        <v/>
      </c>
    </row>
    <row r="7655" spans="7:11" x14ac:dyDescent="0.25">
      <c r="G7655" s="1" t="str">
        <f>IF(Table2[[#This Row],[Description]]="","",VLOOKUP(Table2[[#This Row],[Description]],$Q$1:$S$101,2,FALSE))</f>
        <v/>
      </c>
      <c r="H7655" s="1" t="str">
        <f>IF(Table2[[#This Row],[Description]]="","",VLOOKUP(Table2[[#This Row],[Description]],$Q$1:$S$101,3,FALSE))</f>
        <v/>
      </c>
      <c r="I7655" s="1" t="str">
        <f>IF(Table2[[#This Row],[Description]]="","",IF(Table2[[#This Row],[Currency]]=$O$2,$P$2,HLOOKUP(Table2[[#This Row],[Date]],Funds!$C$10:$GV$11,2,FALSE)))</f>
        <v/>
      </c>
      <c r="J7655" s="215" t="str">
        <f>IF(Table2[[#This Row],[Description]]="","",Table2[[#This Row],[Value]]/Table2[[#This Row],[Conversion]])</f>
        <v/>
      </c>
      <c r="K7655" s="45" t="str">
        <f>IF(Table2[[#This Row],[Description]]="","",DATE(Table2[[#This Row],[Year]],Table2[[#This Row],[Month]],1))</f>
        <v/>
      </c>
    </row>
    <row r="7656" spans="7:11" x14ac:dyDescent="0.25">
      <c r="G7656" s="1" t="str">
        <f>IF(Table2[[#This Row],[Description]]="","",VLOOKUP(Table2[[#This Row],[Description]],$Q$1:$S$101,2,FALSE))</f>
        <v/>
      </c>
      <c r="H7656" s="1" t="str">
        <f>IF(Table2[[#This Row],[Description]]="","",VLOOKUP(Table2[[#This Row],[Description]],$Q$1:$S$101,3,FALSE))</f>
        <v/>
      </c>
      <c r="I7656" s="1" t="str">
        <f>IF(Table2[[#This Row],[Description]]="","",IF(Table2[[#This Row],[Currency]]=$O$2,$P$2,HLOOKUP(Table2[[#This Row],[Date]],Funds!$C$10:$GV$11,2,FALSE)))</f>
        <v/>
      </c>
      <c r="J7656" s="215" t="str">
        <f>IF(Table2[[#This Row],[Description]]="","",Table2[[#This Row],[Value]]/Table2[[#This Row],[Conversion]])</f>
        <v/>
      </c>
      <c r="K7656" s="45" t="str">
        <f>IF(Table2[[#This Row],[Description]]="","",DATE(Table2[[#This Row],[Year]],Table2[[#This Row],[Month]],1))</f>
        <v/>
      </c>
    </row>
    <row r="7657" spans="7:11" x14ac:dyDescent="0.25">
      <c r="G7657" s="1" t="str">
        <f>IF(Table2[[#This Row],[Description]]="","",VLOOKUP(Table2[[#This Row],[Description]],$Q$1:$S$101,2,FALSE))</f>
        <v/>
      </c>
      <c r="H7657" s="1" t="str">
        <f>IF(Table2[[#This Row],[Description]]="","",VLOOKUP(Table2[[#This Row],[Description]],$Q$1:$S$101,3,FALSE))</f>
        <v/>
      </c>
      <c r="I7657" s="1" t="str">
        <f>IF(Table2[[#This Row],[Description]]="","",IF(Table2[[#This Row],[Currency]]=$O$2,$P$2,HLOOKUP(Table2[[#This Row],[Date]],Funds!$C$10:$GV$11,2,FALSE)))</f>
        <v/>
      </c>
      <c r="J7657" s="215" t="str">
        <f>IF(Table2[[#This Row],[Description]]="","",Table2[[#This Row],[Value]]/Table2[[#This Row],[Conversion]])</f>
        <v/>
      </c>
      <c r="K7657" s="45" t="str">
        <f>IF(Table2[[#This Row],[Description]]="","",DATE(Table2[[#This Row],[Year]],Table2[[#This Row],[Month]],1))</f>
        <v/>
      </c>
    </row>
    <row r="7658" spans="7:11" x14ac:dyDescent="0.25">
      <c r="G7658" s="1" t="str">
        <f>IF(Table2[[#This Row],[Description]]="","",VLOOKUP(Table2[[#This Row],[Description]],$Q$1:$S$101,2,FALSE))</f>
        <v/>
      </c>
      <c r="H7658" s="1" t="str">
        <f>IF(Table2[[#This Row],[Description]]="","",VLOOKUP(Table2[[#This Row],[Description]],$Q$1:$S$101,3,FALSE))</f>
        <v/>
      </c>
      <c r="I7658" s="1" t="str">
        <f>IF(Table2[[#This Row],[Description]]="","",IF(Table2[[#This Row],[Currency]]=$O$2,$P$2,HLOOKUP(Table2[[#This Row],[Date]],Funds!$C$10:$GV$11,2,FALSE)))</f>
        <v/>
      </c>
      <c r="J7658" s="215" t="str">
        <f>IF(Table2[[#This Row],[Description]]="","",Table2[[#This Row],[Value]]/Table2[[#This Row],[Conversion]])</f>
        <v/>
      </c>
      <c r="K7658" s="45" t="str">
        <f>IF(Table2[[#This Row],[Description]]="","",DATE(Table2[[#This Row],[Year]],Table2[[#This Row],[Month]],1))</f>
        <v/>
      </c>
    </row>
    <row r="7659" spans="7:11" x14ac:dyDescent="0.25">
      <c r="G7659" s="1" t="str">
        <f>IF(Table2[[#This Row],[Description]]="","",VLOOKUP(Table2[[#This Row],[Description]],$Q$1:$S$101,2,FALSE))</f>
        <v/>
      </c>
      <c r="H7659" s="1" t="str">
        <f>IF(Table2[[#This Row],[Description]]="","",VLOOKUP(Table2[[#This Row],[Description]],$Q$1:$S$101,3,FALSE))</f>
        <v/>
      </c>
      <c r="I7659" s="1" t="str">
        <f>IF(Table2[[#This Row],[Description]]="","",IF(Table2[[#This Row],[Currency]]=$O$2,$P$2,HLOOKUP(Table2[[#This Row],[Date]],Funds!$C$10:$GV$11,2,FALSE)))</f>
        <v/>
      </c>
      <c r="J7659" s="215" t="str">
        <f>IF(Table2[[#This Row],[Description]]="","",Table2[[#This Row],[Value]]/Table2[[#This Row],[Conversion]])</f>
        <v/>
      </c>
      <c r="K7659" s="45" t="str">
        <f>IF(Table2[[#This Row],[Description]]="","",DATE(Table2[[#This Row],[Year]],Table2[[#This Row],[Month]],1))</f>
        <v/>
      </c>
    </row>
    <row r="7660" spans="7:11" x14ac:dyDescent="0.25">
      <c r="G7660" s="1" t="str">
        <f>IF(Table2[[#This Row],[Description]]="","",VLOOKUP(Table2[[#This Row],[Description]],$Q$1:$S$101,2,FALSE))</f>
        <v/>
      </c>
      <c r="H7660" s="1" t="str">
        <f>IF(Table2[[#This Row],[Description]]="","",VLOOKUP(Table2[[#This Row],[Description]],$Q$1:$S$101,3,FALSE))</f>
        <v/>
      </c>
      <c r="I7660" s="1" t="str">
        <f>IF(Table2[[#This Row],[Description]]="","",IF(Table2[[#This Row],[Currency]]=$O$2,$P$2,HLOOKUP(Table2[[#This Row],[Date]],Funds!$C$10:$GV$11,2,FALSE)))</f>
        <v/>
      </c>
      <c r="J7660" s="215" t="str">
        <f>IF(Table2[[#This Row],[Description]]="","",Table2[[#This Row],[Value]]/Table2[[#This Row],[Conversion]])</f>
        <v/>
      </c>
      <c r="K7660" s="45" t="str">
        <f>IF(Table2[[#This Row],[Description]]="","",DATE(Table2[[#This Row],[Year]],Table2[[#This Row],[Month]],1))</f>
        <v/>
      </c>
    </row>
    <row r="7661" spans="7:11" x14ac:dyDescent="0.25">
      <c r="G7661" s="1" t="str">
        <f>IF(Table2[[#This Row],[Description]]="","",VLOOKUP(Table2[[#This Row],[Description]],$Q$1:$S$101,2,FALSE))</f>
        <v/>
      </c>
      <c r="H7661" s="1" t="str">
        <f>IF(Table2[[#This Row],[Description]]="","",VLOOKUP(Table2[[#This Row],[Description]],$Q$1:$S$101,3,FALSE))</f>
        <v/>
      </c>
      <c r="I7661" s="1" t="str">
        <f>IF(Table2[[#This Row],[Description]]="","",IF(Table2[[#This Row],[Currency]]=$O$2,$P$2,HLOOKUP(Table2[[#This Row],[Date]],Funds!$C$10:$GV$11,2,FALSE)))</f>
        <v/>
      </c>
      <c r="J7661" s="215" t="str">
        <f>IF(Table2[[#This Row],[Description]]="","",Table2[[#This Row],[Value]]/Table2[[#This Row],[Conversion]])</f>
        <v/>
      </c>
      <c r="K7661" s="45" t="str">
        <f>IF(Table2[[#This Row],[Description]]="","",DATE(Table2[[#This Row],[Year]],Table2[[#This Row],[Month]],1))</f>
        <v/>
      </c>
    </row>
    <row r="7662" spans="7:11" x14ac:dyDescent="0.25">
      <c r="G7662" s="1" t="str">
        <f>IF(Table2[[#This Row],[Description]]="","",VLOOKUP(Table2[[#This Row],[Description]],$Q$1:$S$101,2,FALSE))</f>
        <v/>
      </c>
      <c r="H7662" s="1" t="str">
        <f>IF(Table2[[#This Row],[Description]]="","",VLOOKUP(Table2[[#This Row],[Description]],$Q$1:$S$101,3,FALSE))</f>
        <v/>
      </c>
      <c r="I7662" s="1" t="str">
        <f>IF(Table2[[#This Row],[Description]]="","",IF(Table2[[#This Row],[Currency]]=$O$2,$P$2,HLOOKUP(Table2[[#This Row],[Date]],Funds!$C$10:$GV$11,2,FALSE)))</f>
        <v/>
      </c>
      <c r="J7662" s="215" t="str">
        <f>IF(Table2[[#This Row],[Description]]="","",Table2[[#This Row],[Value]]/Table2[[#This Row],[Conversion]])</f>
        <v/>
      </c>
      <c r="K7662" s="45" t="str">
        <f>IF(Table2[[#This Row],[Description]]="","",DATE(Table2[[#This Row],[Year]],Table2[[#This Row],[Month]],1))</f>
        <v/>
      </c>
    </row>
    <row r="7663" spans="7:11" x14ac:dyDescent="0.25">
      <c r="G7663" s="1" t="str">
        <f>IF(Table2[[#This Row],[Description]]="","",VLOOKUP(Table2[[#This Row],[Description]],$Q$1:$S$101,2,FALSE))</f>
        <v/>
      </c>
      <c r="H7663" s="1" t="str">
        <f>IF(Table2[[#This Row],[Description]]="","",VLOOKUP(Table2[[#This Row],[Description]],$Q$1:$S$101,3,FALSE))</f>
        <v/>
      </c>
      <c r="I7663" s="1" t="str">
        <f>IF(Table2[[#This Row],[Description]]="","",IF(Table2[[#This Row],[Currency]]=$O$2,$P$2,HLOOKUP(Table2[[#This Row],[Date]],Funds!$C$10:$GV$11,2,FALSE)))</f>
        <v/>
      </c>
      <c r="J7663" s="215" t="str">
        <f>IF(Table2[[#This Row],[Description]]="","",Table2[[#This Row],[Value]]/Table2[[#This Row],[Conversion]])</f>
        <v/>
      </c>
      <c r="K7663" s="45" t="str">
        <f>IF(Table2[[#This Row],[Description]]="","",DATE(Table2[[#This Row],[Year]],Table2[[#This Row],[Month]],1))</f>
        <v/>
      </c>
    </row>
    <row r="7664" spans="7:11" x14ac:dyDescent="0.25">
      <c r="G7664" s="1" t="str">
        <f>IF(Table2[[#This Row],[Description]]="","",VLOOKUP(Table2[[#This Row],[Description]],$Q$1:$S$101,2,FALSE))</f>
        <v/>
      </c>
      <c r="H7664" s="1" t="str">
        <f>IF(Table2[[#This Row],[Description]]="","",VLOOKUP(Table2[[#This Row],[Description]],$Q$1:$S$101,3,FALSE))</f>
        <v/>
      </c>
      <c r="I7664" s="1" t="str">
        <f>IF(Table2[[#This Row],[Description]]="","",IF(Table2[[#This Row],[Currency]]=$O$2,$P$2,HLOOKUP(Table2[[#This Row],[Date]],Funds!$C$10:$GV$11,2,FALSE)))</f>
        <v/>
      </c>
      <c r="J7664" s="215" t="str">
        <f>IF(Table2[[#This Row],[Description]]="","",Table2[[#This Row],[Value]]/Table2[[#This Row],[Conversion]])</f>
        <v/>
      </c>
      <c r="K7664" s="45" t="str">
        <f>IF(Table2[[#This Row],[Description]]="","",DATE(Table2[[#This Row],[Year]],Table2[[#This Row],[Month]],1))</f>
        <v/>
      </c>
    </row>
    <row r="7665" spans="7:11" x14ac:dyDescent="0.25">
      <c r="G7665" s="1" t="str">
        <f>IF(Table2[[#This Row],[Description]]="","",VLOOKUP(Table2[[#This Row],[Description]],$Q$1:$S$101,2,FALSE))</f>
        <v/>
      </c>
      <c r="H7665" s="1" t="str">
        <f>IF(Table2[[#This Row],[Description]]="","",VLOOKUP(Table2[[#This Row],[Description]],$Q$1:$S$101,3,FALSE))</f>
        <v/>
      </c>
      <c r="I7665" s="1" t="str">
        <f>IF(Table2[[#This Row],[Description]]="","",IF(Table2[[#This Row],[Currency]]=$O$2,$P$2,HLOOKUP(Table2[[#This Row],[Date]],Funds!$C$10:$GV$11,2,FALSE)))</f>
        <v/>
      </c>
      <c r="J7665" s="215" t="str">
        <f>IF(Table2[[#This Row],[Description]]="","",Table2[[#This Row],[Value]]/Table2[[#This Row],[Conversion]])</f>
        <v/>
      </c>
      <c r="K7665" s="45" t="str">
        <f>IF(Table2[[#This Row],[Description]]="","",DATE(Table2[[#This Row],[Year]],Table2[[#This Row],[Month]],1))</f>
        <v/>
      </c>
    </row>
    <row r="7666" spans="7:11" x14ac:dyDescent="0.25">
      <c r="G7666" s="1" t="str">
        <f>IF(Table2[[#This Row],[Description]]="","",VLOOKUP(Table2[[#This Row],[Description]],$Q$1:$S$101,2,FALSE))</f>
        <v/>
      </c>
      <c r="H7666" s="1" t="str">
        <f>IF(Table2[[#This Row],[Description]]="","",VLOOKUP(Table2[[#This Row],[Description]],$Q$1:$S$101,3,FALSE))</f>
        <v/>
      </c>
      <c r="I7666" s="1" t="str">
        <f>IF(Table2[[#This Row],[Description]]="","",IF(Table2[[#This Row],[Currency]]=$O$2,$P$2,HLOOKUP(Table2[[#This Row],[Date]],Funds!$C$10:$GV$11,2,FALSE)))</f>
        <v/>
      </c>
      <c r="J7666" s="215" t="str">
        <f>IF(Table2[[#This Row],[Description]]="","",Table2[[#This Row],[Value]]/Table2[[#This Row],[Conversion]])</f>
        <v/>
      </c>
      <c r="K7666" s="45" t="str">
        <f>IF(Table2[[#This Row],[Description]]="","",DATE(Table2[[#This Row],[Year]],Table2[[#This Row],[Month]],1))</f>
        <v/>
      </c>
    </row>
    <row r="7667" spans="7:11" x14ac:dyDescent="0.25">
      <c r="G7667" s="1" t="str">
        <f>IF(Table2[[#This Row],[Description]]="","",VLOOKUP(Table2[[#This Row],[Description]],$Q$1:$S$101,2,FALSE))</f>
        <v/>
      </c>
      <c r="H7667" s="1" t="str">
        <f>IF(Table2[[#This Row],[Description]]="","",VLOOKUP(Table2[[#This Row],[Description]],$Q$1:$S$101,3,FALSE))</f>
        <v/>
      </c>
      <c r="I7667" s="1" t="str">
        <f>IF(Table2[[#This Row],[Description]]="","",IF(Table2[[#This Row],[Currency]]=$O$2,$P$2,HLOOKUP(Table2[[#This Row],[Date]],Funds!$C$10:$GV$11,2,FALSE)))</f>
        <v/>
      </c>
      <c r="J7667" s="215" t="str">
        <f>IF(Table2[[#This Row],[Description]]="","",Table2[[#This Row],[Value]]/Table2[[#This Row],[Conversion]])</f>
        <v/>
      </c>
      <c r="K7667" s="45" t="str">
        <f>IF(Table2[[#This Row],[Description]]="","",DATE(Table2[[#This Row],[Year]],Table2[[#This Row],[Month]],1))</f>
        <v/>
      </c>
    </row>
    <row r="7668" spans="7:11" x14ac:dyDescent="0.25">
      <c r="G7668" s="1" t="str">
        <f>IF(Table2[[#This Row],[Description]]="","",VLOOKUP(Table2[[#This Row],[Description]],$Q$1:$S$101,2,FALSE))</f>
        <v/>
      </c>
      <c r="H7668" s="1" t="str">
        <f>IF(Table2[[#This Row],[Description]]="","",VLOOKUP(Table2[[#This Row],[Description]],$Q$1:$S$101,3,FALSE))</f>
        <v/>
      </c>
      <c r="I7668" s="1" t="str">
        <f>IF(Table2[[#This Row],[Description]]="","",IF(Table2[[#This Row],[Currency]]=$O$2,$P$2,HLOOKUP(Table2[[#This Row],[Date]],Funds!$C$10:$GV$11,2,FALSE)))</f>
        <v/>
      </c>
      <c r="J7668" s="215" t="str">
        <f>IF(Table2[[#This Row],[Description]]="","",Table2[[#This Row],[Value]]/Table2[[#This Row],[Conversion]])</f>
        <v/>
      </c>
      <c r="K7668" s="45" t="str">
        <f>IF(Table2[[#This Row],[Description]]="","",DATE(Table2[[#This Row],[Year]],Table2[[#This Row],[Month]],1))</f>
        <v/>
      </c>
    </row>
    <row r="7669" spans="7:11" x14ac:dyDescent="0.25">
      <c r="G7669" s="1" t="str">
        <f>IF(Table2[[#This Row],[Description]]="","",VLOOKUP(Table2[[#This Row],[Description]],$Q$1:$S$101,2,FALSE))</f>
        <v/>
      </c>
      <c r="H7669" s="1" t="str">
        <f>IF(Table2[[#This Row],[Description]]="","",VLOOKUP(Table2[[#This Row],[Description]],$Q$1:$S$101,3,FALSE))</f>
        <v/>
      </c>
      <c r="I7669" s="1" t="str">
        <f>IF(Table2[[#This Row],[Description]]="","",IF(Table2[[#This Row],[Currency]]=$O$2,$P$2,HLOOKUP(Table2[[#This Row],[Date]],Funds!$C$10:$GV$11,2,FALSE)))</f>
        <v/>
      </c>
      <c r="J7669" s="215" t="str">
        <f>IF(Table2[[#This Row],[Description]]="","",Table2[[#This Row],[Value]]/Table2[[#This Row],[Conversion]])</f>
        <v/>
      </c>
      <c r="K7669" s="45" t="str">
        <f>IF(Table2[[#This Row],[Description]]="","",DATE(Table2[[#This Row],[Year]],Table2[[#This Row],[Month]],1))</f>
        <v/>
      </c>
    </row>
    <row r="7670" spans="7:11" x14ac:dyDescent="0.25">
      <c r="G7670" s="1" t="str">
        <f>IF(Table2[[#This Row],[Description]]="","",VLOOKUP(Table2[[#This Row],[Description]],$Q$1:$S$101,2,FALSE))</f>
        <v/>
      </c>
      <c r="H7670" s="1" t="str">
        <f>IF(Table2[[#This Row],[Description]]="","",VLOOKUP(Table2[[#This Row],[Description]],$Q$1:$S$101,3,FALSE))</f>
        <v/>
      </c>
      <c r="I7670" s="1" t="str">
        <f>IF(Table2[[#This Row],[Description]]="","",IF(Table2[[#This Row],[Currency]]=$O$2,$P$2,HLOOKUP(Table2[[#This Row],[Date]],Funds!$C$10:$GV$11,2,FALSE)))</f>
        <v/>
      </c>
      <c r="J7670" s="215" t="str">
        <f>IF(Table2[[#This Row],[Description]]="","",Table2[[#This Row],[Value]]/Table2[[#This Row],[Conversion]])</f>
        <v/>
      </c>
      <c r="K7670" s="45" t="str">
        <f>IF(Table2[[#This Row],[Description]]="","",DATE(Table2[[#This Row],[Year]],Table2[[#This Row],[Month]],1))</f>
        <v/>
      </c>
    </row>
    <row r="7671" spans="7:11" x14ac:dyDescent="0.25">
      <c r="G7671" s="1" t="str">
        <f>IF(Table2[[#This Row],[Description]]="","",VLOOKUP(Table2[[#This Row],[Description]],$Q$1:$S$101,2,FALSE))</f>
        <v/>
      </c>
      <c r="H7671" s="1" t="str">
        <f>IF(Table2[[#This Row],[Description]]="","",VLOOKUP(Table2[[#This Row],[Description]],$Q$1:$S$101,3,FALSE))</f>
        <v/>
      </c>
      <c r="I7671" s="1" t="str">
        <f>IF(Table2[[#This Row],[Description]]="","",IF(Table2[[#This Row],[Currency]]=$O$2,$P$2,HLOOKUP(Table2[[#This Row],[Date]],Funds!$C$10:$GV$11,2,FALSE)))</f>
        <v/>
      </c>
      <c r="J7671" s="215" t="str">
        <f>IF(Table2[[#This Row],[Description]]="","",Table2[[#This Row],[Value]]/Table2[[#This Row],[Conversion]])</f>
        <v/>
      </c>
      <c r="K7671" s="45" t="str">
        <f>IF(Table2[[#This Row],[Description]]="","",DATE(Table2[[#This Row],[Year]],Table2[[#This Row],[Month]],1))</f>
        <v/>
      </c>
    </row>
    <row r="7672" spans="7:11" x14ac:dyDescent="0.25">
      <c r="G7672" s="1" t="str">
        <f>IF(Table2[[#This Row],[Description]]="","",VLOOKUP(Table2[[#This Row],[Description]],$Q$1:$S$101,2,FALSE))</f>
        <v/>
      </c>
      <c r="H7672" s="1" t="str">
        <f>IF(Table2[[#This Row],[Description]]="","",VLOOKUP(Table2[[#This Row],[Description]],$Q$1:$S$101,3,FALSE))</f>
        <v/>
      </c>
      <c r="I7672" s="1" t="str">
        <f>IF(Table2[[#This Row],[Description]]="","",IF(Table2[[#This Row],[Currency]]=$O$2,$P$2,HLOOKUP(Table2[[#This Row],[Date]],Funds!$C$10:$GV$11,2,FALSE)))</f>
        <v/>
      </c>
      <c r="J7672" s="215" t="str">
        <f>IF(Table2[[#This Row],[Description]]="","",Table2[[#This Row],[Value]]/Table2[[#This Row],[Conversion]])</f>
        <v/>
      </c>
      <c r="K7672" s="45" t="str">
        <f>IF(Table2[[#This Row],[Description]]="","",DATE(Table2[[#This Row],[Year]],Table2[[#This Row],[Month]],1))</f>
        <v/>
      </c>
    </row>
    <row r="7673" spans="7:11" x14ac:dyDescent="0.25">
      <c r="G7673" s="1" t="str">
        <f>IF(Table2[[#This Row],[Description]]="","",VLOOKUP(Table2[[#This Row],[Description]],$Q$1:$S$101,2,FALSE))</f>
        <v/>
      </c>
      <c r="H7673" s="1" t="str">
        <f>IF(Table2[[#This Row],[Description]]="","",VLOOKUP(Table2[[#This Row],[Description]],$Q$1:$S$101,3,FALSE))</f>
        <v/>
      </c>
      <c r="I7673" s="1" t="str">
        <f>IF(Table2[[#This Row],[Description]]="","",IF(Table2[[#This Row],[Currency]]=$O$2,$P$2,HLOOKUP(Table2[[#This Row],[Date]],Funds!$C$10:$GV$11,2,FALSE)))</f>
        <v/>
      </c>
      <c r="J7673" s="215" t="str">
        <f>IF(Table2[[#This Row],[Description]]="","",Table2[[#This Row],[Value]]/Table2[[#This Row],[Conversion]])</f>
        <v/>
      </c>
      <c r="K7673" s="45" t="str">
        <f>IF(Table2[[#This Row],[Description]]="","",DATE(Table2[[#This Row],[Year]],Table2[[#This Row],[Month]],1))</f>
        <v/>
      </c>
    </row>
    <row r="7674" spans="7:11" x14ac:dyDescent="0.25">
      <c r="G7674" s="1" t="str">
        <f>IF(Table2[[#This Row],[Description]]="","",VLOOKUP(Table2[[#This Row],[Description]],$Q$1:$S$101,2,FALSE))</f>
        <v/>
      </c>
      <c r="H7674" s="1" t="str">
        <f>IF(Table2[[#This Row],[Description]]="","",VLOOKUP(Table2[[#This Row],[Description]],$Q$1:$S$101,3,FALSE))</f>
        <v/>
      </c>
      <c r="I7674" s="1" t="str">
        <f>IF(Table2[[#This Row],[Description]]="","",IF(Table2[[#This Row],[Currency]]=$O$2,$P$2,HLOOKUP(Table2[[#This Row],[Date]],Funds!$C$10:$GV$11,2,FALSE)))</f>
        <v/>
      </c>
      <c r="J7674" s="215" t="str">
        <f>IF(Table2[[#This Row],[Description]]="","",Table2[[#This Row],[Value]]/Table2[[#This Row],[Conversion]])</f>
        <v/>
      </c>
      <c r="K7674" s="45" t="str">
        <f>IF(Table2[[#This Row],[Description]]="","",DATE(Table2[[#This Row],[Year]],Table2[[#This Row],[Month]],1))</f>
        <v/>
      </c>
    </row>
    <row r="7675" spans="7:11" x14ac:dyDescent="0.25">
      <c r="G7675" s="1" t="str">
        <f>IF(Table2[[#This Row],[Description]]="","",VLOOKUP(Table2[[#This Row],[Description]],$Q$1:$S$101,2,FALSE))</f>
        <v/>
      </c>
      <c r="H7675" s="1" t="str">
        <f>IF(Table2[[#This Row],[Description]]="","",VLOOKUP(Table2[[#This Row],[Description]],$Q$1:$S$101,3,FALSE))</f>
        <v/>
      </c>
      <c r="I7675" s="1" t="str">
        <f>IF(Table2[[#This Row],[Description]]="","",IF(Table2[[#This Row],[Currency]]=$O$2,$P$2,HLOOKUP(Table2[[#This Row],[Date]],Funds!$C$10:$GV$11,2,FALSE)))</f>
        <v/>
      </c>
      <c r="J7675" s="215" t="str">
        <f>IF(Table2[[#This Row],[Description]]="","",Table2[[#This Row],[Value]]/Table2[[#This Row],[Conversion]])</f>
        <v/>
      </c>
      <c r="K7675" s="45" t="str">
        <f>IF(Table2[[#This Row],[Description]]="","",DATE(Table2[[#This Row],[Year]],Table2[[#This Row],[Month]],1))</f>
        <v/>
      </c>
    </row>
    <row r="7676" spans="7:11" x14ac:dyDescent="0.25">
      <c r="G7676" s="1" t="str">
        <f>IF(Table2[[#This Row],[Description]]="","",VLOOKUP(Table2[[#This Row],[Description]],$Q$1:$S$101,2,FALSE))</f>
        <v/>
      </c>
      <c r="H7676" s="1" t="str">
        <f>IF(Table2[[#This Row],[Description]]="","",VLOOKUP(Table2[[#This Row],[Description]],$Q$1:$S$101,3,FALSE))</f>
        <v/>
      </c>
      <c r="I7676" s="1" t="str">
        <f>IF(Table2[[#This Row],[Description]]="","",IF(Table2[[#This Row],[Currency]]=$O$2,$P$2,HLOOKUP(Table2[[#This Row],[Date]],Funds!$C$10:$GV$11,2,FALSE)))</f>
        <v/>
      </c>
      <c r="J7676" s="215" t="str">
        <f>IF(Table2[[#This Row],[Description]]="","",Table2[[#This Row],[Value]]/Table2[[#This Row],[Conversion]])</f>
        <v/>
      </c>
      <c r="K7676" s="45" t="str">
        <f>IF(Table2[[#This Row],[Description]]="","",DATE(Table2[[#This Row],[Year]],Table2[[#This Row],[Month]],1))</f>
        <v/>
      </c>
    </row>
    <row r="7677" spans="7:11" x14ac:dyDescent="0.25">
      <c r="G7677" s="1" t="str">
        <f>IF(Table2[[#This Row],[Description]]="","",VLOOKUP(Table2[[#This Row],[Description]],$Q$1:$S$101,2,FALSE))</f>
        <v/>
      </c>
      <c r="H7677" s="1" t="str">
        <f>IF(Table2[[#This Row],[Description]]="","",VLOOKUP(Table2[[#This Row],[Description]],$Q$1:$S$101,3,FALSE))</f>
        <v/>
      </c>
      <c r="I7677" s="1" t="str">
        <f>IF(Table2[[#This Row],[Description]]="","",IF(Table2[[#This Row],[Currency]]=$O$2,$P$2,HLOOKUP(Table2[[#This Row],[Date]],Funds!$C$10:$GV$11,2,FALSE)))</f>
        <v/>
      </c>
      <c r="J7677" s="215" t="str">
        <f>IF(Table2[[#This Row],[Description]]="","",Table2[[#This Row],[Value]]/Table2[[#This Row],[Conversion]])</f>
        <v/>
      </c>
      <c r="K7677" s="45" t="str">
        <f>IF(Table2[[#This Row],[Description]]="","",DATE(Table2[[#This Row],[Year]],Table2[[#This Row],[Month]],1))</f>
        <v/>
      </c>
    </row>
    <row r="7678" spans="7:11" x14ac:dyDescent="0.25">
      <c r="G7678" s="1" t="str">
        <f>IF(Table2[[#This Row],[Description]]="","",VLOOKUP(Table2[[#This Row],[Description]],$Q$1:$S$101,2,FALSE))</f>
        <v/>
      </c>
      <c r="H7678" s="1" t="str">
        <f>IF(Table2[[#This Row],[Description]]="","",VLOOKUP(Table2[[#This Row],[Description]],$Q$1:$S$101,3,FALSE))</f>
        <v/>
      </c>
      <c r="I7678" s="1" t="str">
        <f>IF(Table2[[#This Row],[Description]]="","",IF(Table2[[#This Row],[Currency]]=$O$2,$P$2,HLOOKUP(Table2[[#This Row],[Date]],Funds!$C$10:$GV$11,2,FALSE)))</f>
        <v/>
      </c>
      <c r="J7678" s="215" t="str">
        <f>IF(Table2[[#This Row],[Description]]="","",Table2[[#This Row],[Value]]/Table2[[#This Row],[Conversion]])</f>
        <v/>
      </c>
      <c r="K7678" s="45" t="str">
        <f>IF(Table2[[#This Row],[Description]]="","",DATE(Table2[[#This Row],[Year]],Table2[[#This Row],[Month]],1))</f>
        <v/>
      </c>
    </row>
    <row r="7679" spans="7:11" x14ac:dyDescent="0.25">
      <c r="G7679" s="1" t="str">
        <f>IF(Table2[[#This Row],[Description]]="","",VLOOKUP(Table2[[#This Row],[Description]],$Q$1:$S$101,2,FALSE))</f>
        <v/>
      </c>
      <c r="H7679" s="1" t="str">
        <f>IF(Table2[[#This Row],[Description]]="","",VLOOKUP(Table2[[#This Row],[Description]],$Q$1:$S$101,3,FALSE))</f>
        <v/>
      </c>
      <c r="I7679" s="1" t="str">
        <f>IF(Table2[[#This Row],[Description]]="","",IF(Table2[[#This Row],[Currency]]=$O$2,$P$2,HLOOKUP(Table2[[#This Row],[Date]],Funds!$C$10:$GV$11,2,FALSE)))</f>
        <v/>
      </c>
      <c r="J7679" s="215" t="str">
        <f>IF(Table2[[#This Row],[Description]]="","",Table2[[#This Row],[Value]]/Table2[[#This Row],[Conversion]])</f>
        <v/>
      </c>
      <c r="K7679" s="45" t="str">
        <f>IF(Table2[[#This Row],[Description]]="","",DATE(Table2[[#This Row],[Year]],Table2[[#This Row],[Month]],1))</f>
        <v/>
      </c>
    </row>
    <row r="7680" spans="7:11" x14ac:dyDescent="0.25">
      <c r="G7680" s="1" t="str">
        <f>IF(Table2[[#This Row],[Description]]="","",VLOOKUP(Table2[[#This Row],[Description]],$Q$1:$S$101,2,FALSE))</f>
        <v/>
      </c>
      <c r="H7680" s="1" t="str">
        <f>IF(Table2[[#This Row],[Description]]="","",VLOOKUP(Table2[[#This Row],[Description]],$Q$1:$S$101,3,FALSE))</f>
        <v/>
      </c>
      <c r="I7680" s="1" t="str">
        <f>IF(Table2[[#This Row],[Description]]="","",IF(Table2[[#This Row],[Currency]]=$O$2,$P$2,HLOOKUP(Table2[[#This Row],[Date]],Funds!$C$10:$GV$11,2,FALSE)))</f>
        <v/>
      </c>
      <c r="J7680" s="215" t="str">
        <f>IF(Table2[[#This Row],[Description]]="","",Table2[[#This Row],[Value]]/Table2[[#This Row],[Conversion]])</f>
        <v/>
      </c>
      <c r="K7680" s="45" t="str">
        <f>IF(Table2[[#This Row],[Description]]="","",DATE(Table2[[#This Row],[Year]],Table2[[#This Row],[Month]],1))</f>
        <v/>
      </c>
    </row>
    <row r="7681" spans="7:11" x14ac:dyDescent="0.25">
      <c r="G7681" s="1" t="str">
        <f>IF(Table2[[#This Row],[Description]]="","",VLOOKUP(Table2[[#This Row],[Description]],$Q$1:$S$101,2,FALSE))</f>
        <v/>
      </c>
      <c r="H7681" s="1" t="str">
        <f>IF(Table2[[#This Row],[Description]]="","",VLOOKUP(Table2[[#This Row],[Description]],$Q$1:$S$101,3,FALSE))</f>
        <v/>
      </c>
      <c r="I7681" s="1" t="str">
        <f>IF(Table2[[#This Row],[Description]]="","",IF(Table2[[#This Row],[Currency]]=$O$2,$P$2,HLOOKUP(Table2[[#This Row],[Date]],Funds!$C$10:$GV$11,2,FALSE)))</f>
        <v/>
      </c>
      <c r="J7681" s="215" t="str">
        <f>IF(Table2[[#This Row],[Description]]="","",Table2[[#This Row],[Value]]/Table2[[#This Row],[Conversion]])</f>
        <v/>
      </c>
      <c r="K7681" s="45" t="str">
        <f>IF(Table2[[#This Row],[Description]]="","",DATE(Table2[[#This Row],[Year]],Table2[[#This Row],[Month]],1))</f>
        <v/>
      </c>
    </row>
    <row r="7682" spans="7:11" x14ac:dyDescent="0.25">
      <c r="G7682" s="1" t="str">
        <f>IF(Table2[[#This Row],[Description]]="","",VLOOKUP(Table2[[#This Row],[Description]],$Q$1:$S$101,2,FALSE))</f>
        <v/>
      </c>
      <c r="H7682" s="1" t="str">
        <f>IF(Table2[[#This Row],[Description]]="","",VLOOKUP(Table2[[#This Row],[Description]],$Q$1:$S$101,3,FALSE))</f>
        <v/>
      </c>
      <c r="I7682" s="1" t="str">
        <f>IF(Table2[[#This Row],[Description]]="","",IF(Table2[[#This Row],[Currency]]=$O$2,$P$2,HLOOKUP(Table2[[#This Row],[Date]],Funds!$C$10:$GV$11,2,FALSE)))</f>
        <v/>
      </c>
      <c r="J7682" s="215" t="str">
        <f>IF(Table2[[#This Row],[Description]]="","",Table2[[#This Row],[Value]]/Table2[[#This Row],[Conversion]])</f>
        <v/>
      </c>
      <c r="K7682" s="45" t="str">
        <f>IF(Table2[[#This Row],[Description]]="","",DATE(Table2[[#This Row],[Year]],Table2[[#This Row],[Month]],1))</f>
        <v/>
      </c>
    </row>
    <row r="7683" spans="7:11" x14ac:dyDescent="0.25">
      <c r="G7683" s="1" t="str">
        <f>IF(Table2[[#This Row],[Description]]="","",VLOOKUP(Table2[[#This Row],[Description]],$Q$1:$S$101,2,FALSE))</f>
        <v/>
      </c>
      <c r="H7683" s="1" t="str">
        <f>IF(Table2[[#This Row],[Description]]="","",VLOOKUP(Table2[[#This Row],[Description]],$Q$1:$S$101,3,FALSE))</f>
        <v/>
      </c>
      <c r="I7683" s="1" t="str">
        <f>IF(Table2[[#This Row],[Description]]="","",IF(Table2[[#This Row],[Currency]]=$O$2,$P$2,HLOOKUP(Table2[[#This Row],[Date]],Funds!$C$10:$GV$11,2,FALSE)))</f>
        <v/>
      </c>
      <c r="J7683" s="215" t="str">
        <f>IF(Table2[[#This Row],[Description]]="","",Table2[[#This Row],[Value]]/Table2[[#This Row],[Conversion]])</f>
        <v/>
      </c>
      <c r="K7683" s="45" t="str">
        <f>IF(Table2[[#This Row],[Description]]="","",DATE(Table2[[#This Row],[Year]],Table2[[#This Row],[Month]],1))</f>
        <v/>
      </c>
    </row>
    <row r="7684" spans="7:11" x14ac:dyDescent="0.25">
      <c r="G7684" s="1" t="str">
        <f>IF(Table2[[#This Row],[Description]]="","",VLOOKUP(Table2[[#This Row],[Description]],$Q$1:$S$101,2,FALSE))</f>
        <v/>
      </c>
      <c r="H7684" s="1" t="str">
        <f>IF(Table2[[#This Row],[Description]]="","",VLOOKUP(Table2[[#This Row],[Description]],$Q$1:$S$101,3,FALSE))</f>
        <v/>
      </c>
      <c r="I7684" s="1" t="str">
        <f>IF(Table2[[#This Row],[Description]]="","",IF(Table2[[#This Row],[Currency]]=$O$2,$P$2,HLOOKUP(Table2[[#This Row],[Date]],Funds!$C$10:$GV$11,2,FALSE)))</f>
        <v/>
      </c>
      <c r="J7684" s="215" t="str">
        <f>IF(Table2[[#This Row],[Description]]="","",Table2[[#This Row],[Value]]/Table2[[#This Row],[Conversion]])</f>
        <v/>
      </c>
      <c r="K7684" s="45" t="str">
        <f>IF(Table2[[#This Row],[Description]]="","",DATE(Table2[[#This Row],[Year]],Table2[[#This Row],[Month]],1))</f>
        <v/>
      </c>
    </row>
    <row r="7685" spans="7:11" x14ac:dyDescent="0.25">
      <c r="G7685" s="1" t="str">
        <f>IF(Table2[[#This Row],[Description]]="","",VLOOKUP(Table2[[#This Row],[Description]],$Q$1:$S$101,2,FALSE))</f>
        <v/>
      </c>
      <c r="H7685" s="1" t="str">
        <f>IF(Table2[[#This Row],[Description]]="","",VLOOKUP(Table2[[#This Row],[Description]],$Q$1:$S$101,3,FALSE))</f>
        <v/>
      </c>
      <c r="I7685" s="1" t="str">
        <f>IF(Table2[[#This Row],[Description]]="","",IF(Table2[[#This Row],[Currency]]=$O$2,$P$2,HLOOKUP(Table2[[#This Row],[Date]],Funds!$C$10:$GV$11,2,FALSE)))</f>
        <v/>
      </c>
      <c r="J7685" s="215" t="str">
        <f>IF(Table2[[#This Row],[Description]]="","",Table2[[#This Row],[Value]]/Table2[[#This Row],[Conversion]])</f>
        <v/>
      </c>
      <c r="K7685" s="45" t="str">
        <f>IF(Table2[[#This Row],[Description]]="","",DATE(Table2[[#This Row],[Year]],Table2[[#This Row],[Month]],1))</f>
        <v/>
      </c>
    </row>
    <row r="7686" spans="7:11" x14ac:dyDescent="0.25">
      <c r="G7686" s="1" t="str">
        <f>IF(Table2[[#This Row],[Description]]="","",VLOOKUP(Table2[[#This Row],[Description]],$Q$1:$S$101,2,FALSE))</f>
        <v/>
      </c>
      <c r="H7686" s="1" t="str">
        <f>IF(Table2[[#This Row],[Description]]="","",VLOOKUP(Table2[[#This Row],[Description]],$Q$1:$S$101,3,FALSE))</f>
        <v/>
      </c>
      <c r="I7686" s="1" t="str">
        <f>IF(Table2[[#This Row],[Description]]="","",IF(Table2[[#This Row],[Currency]]=$O$2,$P$2,HLOOKUP(Table2[[#This Row],[Date]],Funds!$C$10:$GV$11,2,FALSE)))</f>
        <v/>
      </c>
      <c r="J7686" s="215" t="str">
        <f>IF(Table2[[#This Row],[Description]]="","",Table2[[#This Row],[Value]]/Table2[[#This Row],[Conversion]])</f>
        <v/>
      </c>
      <c r="K7686" s="45" t="str">
        <f>IF(Table2[[#This Row],[Description]]="","",DATE(Table2[[#This Row],[Year]],Table2[[#This Row],[Month]],1))</f>
        <v/>
      </c>
    </row>
    <row r="7687" spans="7:11" x14ac:dyDescent="0.25">
      <c r="G7687" s="1" t="str">
        <f>IF(Table2[[#This Row],[Description]]="","",VLOOKUP(Table2[[#This Row],[Description]],$Q$1:$S$101,2,FALSE))</f>
        <v/>
      </c>
      <c r="H7687" s="1" t="str">
        <f>IF(Table2[[#This Row],[Description]]="","",VLOOKUP(Table2[[#This Row],[Description]],$Q$1:$S$101,3,FALSE))</f>
        <v/>
      </c>
      <c r="I7687" s="1" t="str">
        <f>IF(Table2[[#This Row],[Description]]="","",IF(Table2[[#This Row],[Currency]]=$O$2,$P$2,HLOOKUP(Table2[[#This Row],[Date]],Funds!$C$10:$GV$11,2,FALSE)))</f>
        <v/>
      </c>
      <c r="J7687" s="215" t="str">
        <f>IF(Table2[[#This Row],[Description]]="","",Table2[[#This Row],[Value]]/Table2[[#This Row],[Conversion]])</f>
        <v/>
      </c>
      <c r="K7687" s="45" t="str">
        <f>IF(Table2[[#This Row],[Description]]="","",DATE(Table2[[#This Row],[Year]],Table2[[#This Row],[Month]],1))</f>
        <v/>
      </c>
    </row>
    <row r="7688" spans="7:11" x14ac:dyDescent="0.25">
      <c r="G7688" s="1" t="str">
        <f>IF(Table2[[#This Row],[Description]]="","",VLOOKUP(Table2[[#This Row],[Description]],$Q$1:$S$101,2,FALSE))</f>
        <v/>
      </c>
      <c r="H7688" s="1" t="str">
        <f>IF(Table2[[#This Row],[Description]]="","",VLOOKUP(Table2[[#This Row],[Description]],$Q$1:$S$101,3,FALSE))</f>
        <v/>
      </c>
      <c r="I7688" s="1" t="str">
        <f>IF(Table2[[#This Row],[Description]]="","",IF(Table2[[#This Row],[Currency]]=$O$2,$P$2,HLOOKUP(Table2[[#This Row],[Date]],Funds!$C$10:$GV$11,2,FALSE)))</f>
        <v/>
      </c>
      <c r="J7688" s="215" t="str">
        <f>IF(Table2[[#This Row],[Description]]="","",Table2[[#This Row],[Value]]/Table2[[#This Row],[Conversion]])</f>
        <v/>
      </c>
      <c r="K7688" s="45" t="str">
        <f>IF(Table2[[#This Row],[Description]]="","",DATE(Table2[[#This Row],[Year]],Table2[[#This Row],[Month]],1))</f>
        <v/>
      </c>
    </row>
    <row r="7689" spans="7:11" x14ac:dyDescent="0.25">
      <c r="G7689" s="1" t="str">
        <f>IF(Table2[[#This Row],[Description]]="","",VLOOKUP(Table2[[#This Row],[Description]],$Q$1:$S$101,2,FALSE))</f>
        <v/>
      </c>
      <c r="H7689" s="1" t="str">
        <f>IF(Table2[[#This Row],[Description]]="","",VLOOKUP(Table2[[#This Row],[Description]],$Q$1:$S$101,3,FALSE))</f>
        <v/>
      </c>
      <c r="I7689" s="1" t="str">
        <f>IF(Table2[[#This Row],[Description]]="","",IF(Table2[[#This Row],[Currency]]=$O$2,$P$2,HLOOKUP(Table2[[#This Row],[Date]],Funds!$C$10:$GV$11,2,FALSE)))</f>
        <v/>
      </c>
      <c r="J7689" s="215" t="str">
        <f>IF(Table2[[#This Row],[Description]]="","",Table2[[#This Row],[Value]]/Table2[[#This Row],[Conversion]])</f>
        <v/>
      </c>
      <c r="K7689" s="45" t="str">
        <f>IF(Table2[[#This Row],[Description]]="","",DATE(Table2[[#This Row],[Year]],Table2[[#This Row],[Month]],1))</f>
        <v/>
      </c>
    </row>
    <row r="7690" spans="7:11" x14ac:dyDescent="0.25">
      <c r="G7690" s="1" t="str">
        <f>IF(Table2[[#This Row],[Description]]="","",VLOOKUP(Table2[[#This Row],[Description]],$Q$1:$S$101,2,FALSE))</f>
        <v/>
      </c>
      <c r="H7690" s="1" t="str">
        <f>IF(Table2[[#This Row],[Description]]="","",VLOOKUP(Table2[[#This Row],[Description]],$Q$1:$S$101,3,FALSE))</f>
        <v/>
      </c>
      <c r="I7690" s="1" t="str">
        <f>IF(Table2[[#This Row],[Description]]="","",IF(Table2[[#This Row],[Currency]]=$O$2,$P$2,HLOOKUP(Table2[[#This Row],[Date]],Funds!$C$10:$GV$11,2,FALSE)))</f>
        <v/>
      </c>
      <c r="J7690" s="215" t="str">
        <f>IF(Table2[[#This Row],[Description]]="","",Table2[[#This Row],[Value]]/Table2[[#This Row],[Conversion]])</f>
        <v/>
      </c>
      <c r="K7690" s="45" t="str">
        <f>IF(Table2[[#This Row],[Description]]="","",DATE(Table2[[#This Row],[Year]],Table2[[#This Row],[Month]],1))</f>
        <v/>
      </c>
    </row>
    <row r="7691" spans="7:11" x14ac:dyDescent="0.25">
      <c r="G7691" s="1" t="str">
        <f>IF(Table2[[#This Row],[Description]]="","",VLOOKUP(Table2[[#This Row],[Description]],$Q$1:$S$101,2,FALSE))</f>
        <v/>
      </c>
      <c r="H7691" s="1" t="str">
        <f>IF(Table2[[#This Row],[Description]]="","",VLOOKUP(Table2[[#This Row],[Description]],$Q$1:$S$101,3,FALSE))</f>
        <v/>
      </c>
      <c r="I7691" s="1" t="str">
        <f>IF(Table2[[#This Row],[Description]]="","",IF(Table2[[#This Row],[Currency]]=$O$2,$P$2,HLOOKUP(Table2[[#This Row],[Date]],Funds!$C$10:$GV$11,2,FALSE)))</f>
        <v/>
      </c>
      <c r="J7691" s="215" t="str">
        <f>IF(Table2[[#This Row],[Description]]="","",Table2[[#This Row],[Value]]/Table2[[#This Row],[Conversion]])</f>
        <v/>
      </c>
      <c r="K7691" s="45" t="str">
        <f>IF(Table2[[#This Row],[Description]]="","",DATE(Table2[[#This Row],[Year]],Table2[[#This Row],[Month]],1))</f>
        <v/>
      </c>
    </row>
    <row r="7692" spans="7:11" x14ac:dyDescent="0.25">
      <c r="G7692" s="1" t="str">
        <f>IF(Table2[[#This Row],[Description]]="","",VLOOKUP(Table2[[#This Row],[Description]],$Q$1:$S$101,2,FALSE))</f>
        <v/>
      </c>
      <c r="H7692" s="1" t="str">
        <f>IF(Table2[[#This Row],[Description]]="","",VLOOKUP(Table2[[#This Row],[Description]],$Q$1:$S$101,3,FALSE))</f>
        <v/>
      </c>
      <c r="I7692" s="1" t="str">
        <f>IF(Table2[[#This Row],[Description]]="","",IF(Table2[[#This Row],[Currency]]=$O$2,$P$2,HLOOKUP(Table2[[#This Row],[Date]],Funds!$C$10:$GV$11,2,FALSE)))</f>
        <v/>
      </c>
      <c r="J7692" s="215" t="str">
        <f>IF(Table2[[#This Row],[Description]]="","",Table2[[#This Row],[Value]]/Table2[[#This Row],[Conversion]])</f>
        <v/>
      </c>
      <c r="K7692" s="45" t="str">
        <f>IF(Table2[[#This Row],[Description]]="","",DATE(Table2[[#This Row],[Year]],Table2[[#This Row],[Month]],1))</f>
        <v/>
      </c>
    </row>
    <row r="7693" spans="7:11" x14ac:dyDescent="0.25">
      <c r="G7693" s="1" t="str">
        <f>IF(Table2[[#This Row],[Description]]="","",VLOOKUP(Table2[[#This Row],[Description]],$Q$1:$S$101,2,FALSE))</f>
        <v/>
      </c>
      <c r="H7693" s="1" t="str">
        <f>IF(Table2[[#This Row],[Description]]="","",VLOOKUP(Table2[[#This Row],[Description]],$Q$1:$S$101,3,FALSE))</f>
        <v/>
      </c>
      <c r="I7693" s="1" t="str">
        <f>IF(Table2[[#This Row],[Description]]="","",IF(Table2[[#This Row],[Currency]]=$O$2,$P$2,HLOOKUP(Table2[[#This Row],[Date]],Funds!$C$10:$GV$11,2,FALSE)))</f>
        <v/>
      </c>
      <c r="J7693" s="215" t="str">
        <f>IF(Table2[[#This Row],[Description]]="","",Table2[[#This Row],[Value]]/Table2[[#This Row],[Conversion]])</f>
        <v/>
      </c>
      <c r="K7693" s="45" t="str">
        <f>IF(Table2[[#This Row],[Description]]="","",DATE(Table2[[#This Row],[Year]],Table2[[#This Row],[Month]],1))</f>
        <v/>
      </c>
    </row>
    <row r="7694" spans="7:11" x14ac:dyDescent="0.25">
      <c r="G7694" s="1" t="str">
        <f>IF(Table2[[#This Row],[Description]]="","",VLOOKUP(Table2[[#This Row],[Description]],$Q$1:$S$101,2,FALSE))</f>
        <v/>
      </c>
      <c r="H7694" s="1" t="str">
        <f>IF(Table2[[#This Row],[Description]]="","",VLOOKUP(Table2[[#This Row],[Description]],$Q$1:$S$101,3,FALSE))</f>
        <v/>
      </c>
      <c r="I7694" s="1" t="str">
        <f>IF(Table2[[#This Row],[Description]]="","",IF(Table2[[#This Row],[Currency]]=$O$2,$P$2,HLOOKUP(Table2[[#This Row],[Date]],Funds!$C$10:$GV$11,2,FALSE)))</f>
        <v/>
      </c>
      <c r="J7694" s="215" t="str">
        <f>IF(Table2[[#This Row],[Description]]="","",Table2[[#This Row],[Value]]/Table2[[#This Row],[Conversion]])</f>
        <v/>
      </c>
      <c r="K7694" s="45" t="str">
        <f>IF(Table2[[#This Row],[Description]]="","",DATE(Table2[[#This Row],[Year]],Table2[[#This Row],[Month]],1))</f>
        <v/>
      </c>
    </row>
    <row r="7695" spans="7:11" x14ac:dyDescent="0.25">
      <c r="G7695" s="1" t="str">
        <f>IF(Table2[[#This Row],[Description]]="","",VLOOKUP(Table2[[#This Row],[Description]],$Q$1:$S$101,2,FALSE))</f>
        <v/>
      </c>
      <c r="H7695" s="1" t="str">
        <f>IF(Table2[[#This Row],[Description]]="","",VLOOKUP(Table2[[#This Row],[Description]],$Q$1:$S$101,3,FALSE))</f>
        <v/>
      </c>
      <c r="I7695" s="1" t="str">
        <f>IF(Table2[[#This Row],[Description]]="","",IF(Table2[[#This Row],[Currency]]=$O$2,$P$2,HLOOKUP(Table2[[#This Row],[Date]],Funds!$C$10:$GV$11,2,FALSE)))</f>
        <v/>
      </c>
      <c r="J7695" s="215" t="str">
        <f>IF(Table2[[#This Row],[Description]]="","",Table2[[#This Row],[Value]]/Table2[[#This Row],[Conversion]])</f>
        <v/>
      </c>
      <c r="K7695" s="45" t="str">
        <f>IF(Table2[[#This Row],[Description]]="","",DATE(Table2[[#This Row],[Year]],Table2[[#This Row],[Month]],1))</f>
        <v/>
      </c>
    </row>
    <row r="7696" spans="7:11" x14ac:dyDescent="0.25">
      <c r="G7696" s="1" t="str">
        <f>IF(Table2[[#This Row],[Description]]="","",VLOOKUP(Table2[[#This Row],[Description]],$Q$1:$S$101,2,FALSE))</f>
        <v/>
      </c>
      <c r="H7696" s="1" t="str">
        <f>IF(Table2[[#This Row],[Description]]="","",VLOOKUP(Table2[[#This Row],[Description]],$Q$1:$S$101,3,FALSE))</f>
        <v/>
      </c>
      <c r="I7696" s="1" t="str">
        <f>IF(Table2[[#This Row],[Description]]="","",IF(Table2[[#This Row],[Currency]]=$O$2,$P$2,HLOOKUP(Table2[[#This Row],[Date]],Funds!$C$10:$GV$11,2,FALSE)))</f>
        <v/>
      </c>
      <c r="J7696" s="215" t="str">
        <f>IF(Table2[[#This Row],[Description]]="","",Table2[[#This Row],[Value]]/Table2[[#This Row],[Conversion]])</f>
        <v/>
      </c>
      <c r="K7696" s="45" t="str">
        <f>IF(Table2[[#This Row],[Description]]="","",DATE(Table2[[#This Row],[Year]],Table2[[#This Row],[Month]],1))</f>
        <v/>
      </c>
    </row>
    <row r="7697" spans="7:11" x14ac:dyDescent="0.25">
      <c r="G7697" s="1" t="str">
        <f>IF(Table2[[#This Row],[Description]]="","",VLOOKUP(Table2[[#This Row],[Description]],$Q$1:$S$101,2,FALSE))</f>
        <v/>
      </c>
      <c r="H7697" s="1" t="str">
        <f>IF(Table2[[#This Row],[Description]]="","",VLOOKUP(Table2[[#This Row],[Description]],$Q$1:$S$101,3,FALSE))</f>
        <v/>
      </c>
      <c r="I7697" s="1" t="str">
        <f>IF(Table2[[#This Row],[Description]]="","",IF(Table2[[#This Row],[Currency]]=$O$2,$P$2,HLOOKUP(Table2[[#This Row],[Date]],Funds!$C$10:$GV$11,2,FALSE)))</f>
        <v/>
      </c>
      <c r="J7697" s="215" t="str">
        <f>IF(Table2[[#This Row],[Description]]="","",Table2[[#This Row],[Value]]/Table2[[#This Row],[Conversion]])</f>
        <v/>
      </c>
      <c r="K7697" s="45" t="str">
        <f>IF(Table2[[#This Row],[Description]]="","",DATE(Table2[[#This Row],[Year]],Table2[[#This Row],[Month]],1))</f>
        <v/>
      </c>
    </row>
    <row r="7698" spans="7:11" x14ac:dyDescent="0.25">
      <c r="G7698" s="1" t="str">
        <f>IF(Table2[[#This Row],[Description]]="","",VLOOKUP(Table2[[#This Row],[Description]],$Q$1:$S$101,2,FALSE))</f>
        <v/>
      </c>
      <c r="H7698" s="1" t="str">
        <f>IF(Table2[[#This Row],[Description]]="","",VLOOKUP(Table2[[#This Row],[Description]],$Q$1:$S$101,3,FALSE))</f>
        <v/>
      </c>
      <c r="I7698" s="1" t="str">
        <f>IF(Table2[[#This Row],[Description]]="","",IF(Table2[[#This Row],[Currency]]=$O$2,$P$2,HLOOKUP(Table2[[#This Row],[Date]],Funds!$C$10:$GV$11,2,FALSE)))</f>
        <v/>
      </c>
      <c r="J7698" s="215" t="str">
        <f>IF(Table2[[#This Row],[Description]]="","",Table2[[#This Row],[Value]]/Table2[[#This Row],[Conversion]])</f>
        <v/>
      </c>
      <c r="K7698" s="45" t="str">
        <f>IF(Table2[[#This Row],[Description]]="","",DATE(Table2[[#This Row],[Year]],Table2[[#This Row],[Month]],1))</f>
        <v/>
      </c>
    </row>
    <row r="7699" spans="7:11" x14ac:dyDescent="0.25">
      <c r="G7699" s="1" t="str">
        <f>IF(Table2[[#This Row],[Description]]="","",VLOOKUP(Table2[[#This Row],[Description]],$Q$1:$S$101,2,FALSE))</f>
        <v/>
      </c>
      <c r="H7699" s="1" t="str">
        <f>IF(Table2[[#This Row],[Description]]="","",VLOOKUP(Table2[[#This Row],[Description]],$Q$1:$S$101,3,FALSE))</f>
        <v/>
      </c>
      <c r="I7699" s="1" t="str">
        <f>IF(Table2[[#This Row],[Description]]="","",IF(Table2[[#This Row],[Currency]]=$O$2,$P$2,HLOOKUP(Table2[[#This Row],[Date]],Funds!$C$10:$GV$11,2,FALSE)))</f>
        <v/>
      </c>
      <c r="J7699" s="215" t="str">
        <f>IF(Table2[[#This Row],[Description]]="","",Table2[[#This Row],[Value]]/Table2[[#This Row],[Conversion]])</f>
        <v/>
      </c>
      <c r="K7699" s="45" t="str">
        <f>IF(Table2[[#This Row],[Description]]="","",DATE(Table2[[#This Row],[Year]],Table2[[#This Row],[Month]],1))</f>
        <v/>
      </c>
    </row>
    <row r="7700" spans="7:11" x14ac:dyDescent="0.25">
      <c r="G7700" s="1" t="str">
        <f>IF(Table2[[#This Row],[Description]]="","",VLOOKUP(Table2[[#This Row],[Description]],$Q$1:$S$101,2,FALSE))</f>
        <v/>
      </c>
      <c r="H7700" s="1" t="str">
        <f>IF(Table2[[#This Row],[Description]]="","",VLOOKUP(Table2[[#This Row],[Description]],$Q$1:$S$101,3,FALSE))</f>
        <v/>
      </c>
      <c r="I7700" s="1" t="str">
        <f>IF(Table2[[#This Row],[Description]]="","",IF(Table2[[#This Row],[Currency]]=$O$2,$P$2,HLOOKUP(Table2[[#This Row],[Date]],Funds!$C$10:$GV$11,2,FALSE)))</f>
        <v/>
      </c>
      <c r="J7700" s="215" t="str">
        <f>IF(Table2[[#This Row],[Description]]="","",Table2[[#This Row],[Value]]/Table2[[#This Row],[Conversion]])</f>
        <v/>
      </c>
      <c r="K7700" s="45" t="str">
        <f>IF(Table2[[#This Row],[Description]]="","",DATE(Table2[[#This Row],[Year]],Table2[[#This Row],[Month]],1))</f>
        <v/>
      </c>
    </row>
    <row r="7701" spans="7:11" x14ac:dyDescent="0.25">
      <c r="G7701" s="1" t="str">
        <f>IF(Table2[[#This Row],[Description]]="","",VLOOKUP(Table2[[#This Row],[Description]],$Q$1:$S$101,2,FALSE))</f>
        <v/>
      </c>
      <c r="H7701" s="1" t="str">
        <f>IF(Table2[[#This Row],[Description]]="","",VLOOKUP(Table2[[#This Row],[Description]],$Q$1:$S$101,3,FALSE))</f>
        <v/>
      </c>
      <c r="I7701" s="1" t="str">
        <f>IF(Table2[[#This Row],[Description]]="","",IF(Table2[[#This Row],[Currency]]=$O$2,$P$2,HLOOKUP(Table2[[#This Row],[Date]],Funds!$C$10:$GV$11,2,FALSE)))</f>
        <v/>
      </c>
      <c r="J7701" s="215" t="str">
        <f>IF(Table2[[#This Row],[Description]]="","",Table2[[#This Row],[Value]]/Table2[[#This Row],[Conversion]])</f>
        <v/>
      </c>
      <c r="K7701" s="45" t="str">
        <f>IF(Table2[[#This Row],[Description]]="","",DATE(Table2[[#This Row],[Year]],Table2[[#This Row],[Month]],1))</f>
        <v/>
      </c>
    </row>
    <row r="7702" spans="7:11" x14ac:dyDescent="0.25">
      <c r="G7702" s="1" t="str">
        <f>IF(Table2[[#This Row],[Description]]="","",VLOOKUP(Table2[[#This Row],[Description]],$Q$1:$S$101,2,FALSE))</f>
        <v/>
      </c>
      <c r="H7702" s="1" t="str">
        <f>IF(Table2[[#This Row],[Description]]="","",VLOOKUP(Table2[[#This Row],[Description]],$Q$1:$S$101,3,FALSE))</f>
        <v/>
      </c>
      <c r="I7702" s="1" t="str">
        <f>IF(Table2[[#This Row],[Description]]="","",IF(Table2[[#This Row],[Currency]]=$O$2,$P$2,HLOOKUP(Table2[[#This Row],[Date]],Funds!$C$10:$GV$11,2,FALSE)))</f>
        <v/>
      </c>
      <c r="J7702" s="215" t="str">
        <f>IF(Table2[[#This Row],[Description]]="","",Table2[[#This Row],[Value]]/Table2[[#This Row],[Conversion]])</f>
        <v/>
      </c>
      <c r="K7702" s="45" t="str">
        <f>IF(Table2[[#This Row],[Description]]="","",DATE(Table2[[#This Row],[Year]],Table2[[#This Row],[Month]],1))</f>
        <v/>
      </c>
    </row>
    <row r="7703" spans="7:11" x14ac:dyDescent="0.25">
      <c r="G7703" s="1" t="str">
        <f>IF(Table2[[#This Row],[Description]]="","",VLOOKUP(Table2[[#This Row],[Description]],$Q$1:$S$101,2,FALSE))</f>
        <v/>
      </c>
      <c r="H7703" s="1" t="str">
        <f>IF(Table2[[#This Row],[Description]]="","",VLOOKUP(Table2[[#This Row],[Description]],$Q$1:$S$101,3,FALSE))</f>
        <v/>
      </c>
      <c r="I7703" s="1" t="str">
        <f>IF(Table2[[#This Row],[Description]]="","",IF(Table2[[#This Row],[Currency]]=$O$2,$P$2,HLOOKUP(Table2[[#This Row],[Date]],Funds!$C$10:$GV$11,2,FALSE)))</f>
        <v/>
      </c>
      <c r="J7703" s="215" t="str">
        <f>IF(Table2[[#This Row],[Description]]="","",Table2[[#This Row],[Value]]/Table2[[#This Row],[Conversion]])</f>
        <v/>
      </c>
      <c r="K7703" s="45" t="str">
        <f>IF(Table2[[#This Row],[Description]]="","",DATE(Table2[[#This Row],[Year]],Table2[[#This Row],[Month]],1))</f>
        <v/>
      </c>
    </row>
    <row r="7704" spans="7:11" x14ac:dyDescent="0.25">
      <c r="G7704" s="1" t="str">
        <f>IF(Table2[[#This Row],[Description]]="","",VLOOKUP(Table2[[#This Row],[Description]],$Q$1:$S$101,2,FALSE))</f>
        <v/>
      </c>
      <c r="H7704" s="1" t="str">
        <f>IF(Table2[[#This Row],[Description]]="","",VLOOKUP(Table2[[#This Row],[Description]],$Q$1:$S$101,3,FALSE))</f>
        <v/>
      </c>
      <c r="I7704" s="1" t="str">
        <f>IF(Table2[[#This Row],[Description]]="","",IF(Table2[[#This Row],[Currency]]=$O$2,$P$2,HLOOKUP(Table2[[#This Row],[Date]],Funds!$C$10:$GV$11,2,FALSE)))</f>
        <v/>
      </c>
      <c r="J7704" s="215" t="str">
        <f>IF(Table2[[#This Row],[Description]]="","",Table2[[#This Row],[Value]]/Table2[[#This Row],[Conversion]])</f>
        <v/>
      </c>
      <c r="K7704" s="45" t="str">
        <f>IF(Table2[[#This Row],[Description]]="","",DATE(Table2[[#This Row],[Year]],Table2[[#This Row],[Month]],1))</f>
        <v/>
      </c>
    </row>
    <row r="7705" spans="7:11" x14ac:dyDescent="0.25">
      <c r="G7705" s="1" t="str">
        <f>IF(Table2[[#This Row],[Description]]="","",VLOOKUP(Table2[[#This Row],[Description]],$Q$1:$S$101,2,FALSE))</f>
        <v/>
      </c>
      <c r="H7705" s="1" t="str">
        <f>IF(Table2[[#This Row],[Description]]="","",VLOOKUP(Table2[[#This Row],[Description]],$Q$1:$S$101,3,FALSE))</f>
        <v/>
      </c>
      <c r="I7705" s="1" t="str">
        <f>IF(Table2[[#This Row],[Description]]="","",IF(Table2[[#This Row],[Currency]]=$O$2,$P$2,HLOOKUP(Table2[[#This Row],[Date]],Funds!$C$10:$GV$11,2,FALSE)))</f>
        <v/>
      </c>
      <c r="J7705" s="215" t="str">
        <f>IF(Table2[[#This Row],[Description]]="","",Table2[[#This Row],[Value]]/Table2[[#This Row],[Conversion]])</f>
        <v/>
      </c>
      <c r="K7705" s="45" t="str">
        <f>IF(Table2[[#This Row],[Description]]="","",DATE(Table2[[#This Row],[Year]],Table2[[#This Row],[Month]],1))</f>
        <v/>
      </c>
    </row>
    <row r="7706" spans="7:11" x14ac:dyDescent="0.25">
      <c r="G7706" s="1" t="str">
        <f>IF(Table2[[#This Row],[Description]]="","",VLOOKUP(Table2[[#This Row],[Description]],$Q$1:$S$101,2,FALSE))</f>
        <v/>
      </c>
      <c r="H7706" s="1" t="str">
        <f>IF(Table2[[#This Row],[Description]]="","",VLOOKUP(Table2[[#This Row],[Description]],$Q$1:$S$101,3,FALSE))</f>
        <v/>
      </c>
      <c r="I7706" s="1" t="str">
        <f>IF(Table2[[#This Row],[Description]]="","",IF(Table2[[#This Row],[Currency]]=$O$2,$P$2,HLOOKUP(Table2[[#This Row],[Date]],Funds!$C$10:$GV$11,2,FALSE)))</f>
        <v/>
      </c>
      <c r="J7706" s="215" t="str">
        <f>IF(Table2[[#This Row],[Description]]="","",Table2[[#This Row],[Value]]/Table2[[#This Row],[Conversion]])</f>
        <v/>
      </c>
      <c r="K7706" s="45" t="str">
        <f>IF(Table2[[#This Row],[Description]]="","",DATE(Table2[[#This Row],[Year]],Table2[[#This Row],[Month]],1))</f>
        <v/>
      </c>
    </row>
    <row r="7707" spans="7:11" x14ac:dyDescent="0.25">
      <c r="G7707" s="1" t="str">
        <f>IF(Table2[[#This Row],[Description]]="","",VLOOKUP(Table2[[#This Row],[Description]],$Q$1:$S$101,2,FALSE))</f>
        <v/>
      </c>
      <c r="H7707" s="1" t="str">
        <f>IF(Table2[[#This Row],[Description]]="","",VLOOKUP(Table2[[#This Row],[Description]],$Q$1:$S$101,3,FALSE))</f>
        <v/>
      </c>
      <c r="I7707" s="1" t="str">
        <f>IF(Table2[[#This Row],[Description]]="","",IF(Table2[[#This Row],[Currency]]=$O$2,$P$2,HLOOKUP(Table2[[#This Row],[Date]],Funds!$C$10:$GV$11,2,FALSE)))</f>
        <v/>
      </c>
      <c r="J7707" s="215" t="str">
        <f>IF(Table2[[#This Row],[Description]]="","",Table2[[#This Row],[Value]]/Table2[[#This Row],[Conversion]])</f>
        <v/>
      </c>
      <c r="K7707" s="45" t="str">
        <f>IF(Table2[[#This Row],[Description]]="","",DATE(Table2[[#This Row],[Year]],Table2[[#This Row],[Month]],1))</f>
        <v/>
      </c>
    </row>
    <row r="7708" spans="7:11" x14ac:dyDescent="0.25">
      <c r="G7708" s="1" t="str">
        <f>IF(Table2[[#This Row],[Description]]="","",VLOOKUP(Table2[[#This Row],[Description]],$Q$1:$S$101,2,FALSE))</f>
        <v/>
      </c>
      <c r="H7708" s="1" t="str">
        <f>IF(Table2[[#This Row],[Description]]="","",VLOOKUP(Table2[[#This Row],[Description]],$Q$1:$S$101,3,FALSE))</f>
        <v/>
      </c>
      <c r="I7708" s="1" t="str">
        <f>IF(Table2[[#This Row],[Description]]="","",IF(Table2[[#This Row],[Currency]]=$O$2,$P$2,HLOOKUP(Table2[[#This Row],[Date]],Funds!$C$10:$GV$11,2,FALSE)))</f>
        <v/>
      </c>
      <c r="J7708" s="215" t="str">
        <f>IF(Table2[[#This Row],[Description]]="","",Table2[[#This Row],[Value]]/Table2[[#This Row],[Conversion]])</f>
        <v/>
      </c>
      <c r="K7708" s="45" t="str">
        <f>IF(Table2[[#This Row],[Description]]="","",DATE(Table2[[#This Row],[Year]],Table2[[#This Row],[Month]],1))</f>
        <v/>
      </c>
    </row>
    <row r="7709" spans="7:11" x14ac:dyDescent="0.25">
      <c r="G7709" s="1" t="str">
        <f>IF(Table2[[#This Row],[Description]]="","",VLOOKUP(Table2[[#This Row],[Description]],$Q$1:$S$101,2,FALSE))</f>
        <v/>
      </c>
      <c r="H7709" s="1" t="str">
        <f>IF(Table2[[#This Row],[Description]]="","",VLOOKUP(Table2[[#This Row],[Description]],$Q$1:$S$101,3,FALSE))</f>
        <v/>
      </c>
      <c r="I7709" s="1" t="str">
        <f>IF(Table2[[#This Row],[Description]]="","",IF(Table2[[#This Row],[Currency]]=$O$2,$P$2,HLOOKUP(Table2[[#This Row],[Date]],Funds!$C$10:$GV$11,2,FALSE)))</f>
        <v/>
      </c>
      <c r="J7709" s="215" t="str">
        <f>IF(Table2[[#This Row],[Description]]="","",Table2[[#This Row],[Value]]/Table2[[#This Row],[Conversion]])</f>
        <v/>
      </c>
      <c r="K7709" s="45" t="str">
        <f>IF(Table2[[#This Row],[Description]]="","",DATE(Table2[[#This Row],[Year]],Table2[[#This Row],[Month]],1))</f>
        <v/>
      </c>
    </row>
    <row r="7710" spans="7:11" x14ac:dyDescent="0.25">
      <c r="G7710" s="1" t="str">
        <f>IF(Table2[[#This Row],[Description]]="","",VLOOKUP(Table2[[#This Row],[Description]],$Q$1:$S$101,2,FALSE))</f>
        <v/>
      </c>
      <c r="H7710" s="1" t="str">
        <f>IF(Table2[[#This Row],[Description]]="","",VLOOKUP(Table2[[#This Row],[Description]],$Q$1:$S$101,3,FALSE))</f>
        <v/>
      </c>
      <c r="I7710" s="1" t="str">
        <f>IF(Table2[[#This Row],[Description]]="","",IF(Table2[[#This Row],[Currency]]=$O$2,$P$2,HLOOKUP(Table2[[#This Row],[Date]],Funds!$C$10:$GV$11,2,FALSE)))</f>
        <v/>
      </c>
      <c r="J7710" s="215" t="str">
        <f>IF(Table2[[#This Row],[Description]]="","",Table2[[#This Row],[Value]]/Table2[[#This Row],[Conversion]])</f>
        <v/>
      </c>
      <c r="K7710" s="45" t="str">
        <f>IF(Table2[[#This Row],[Description]]="","",DATE(Table2[[#This Row],[Year]],Table2[[#This Row],[Month]],1))</f>
        <v/>
      </c>
    </row>
    <row r="7711" spans="7:11" x14ac:dyDescent="0.25">
      <c r="G7711" s="1" t="str">
        <f>IF(Table2[[#This Row],[Description]]="","",VLOOKUP(Table2[[#This Row],[Description]],$Q$1:$S$101,2,FALSE))</f>
        <v/>
      </c>
      <c r="H7711" s="1" t="str">
        <f>IF(Table2[[#This Row],[Description]]="","",VLOOKUP(Table2[[#This Row],[Description]],$Q$1:$S$101,3,FALSE))</f>
        <v/>
      </c>
      <c r="I7711" s="1" t="str">
        <f>IF(Table2[[#This Row],[Description]]="","",IF(Table2[[#This Row],[Currency]]=$O$2,$P$2,HLOOKUP(Table2[[#This Row],[Date]],Funds!$C$10:$GV$11,2,FALSE)))</f>
        <v/>
      </c>
      <c r="J7711" s="215" t="str">
        <f>IF(Table2[[#This Row],[Description]]="","",Table2[[#This Row],[Value]]/Table2[[#This Row],[Conversion]])</f>
        <v/>
      </c>
      <c r="K7711" s="45" t="str">
        <f>IF(Table2[[#This Row],[Description]]="","",DATE(Table2[[#This Row],[Year]],Table2[[#This Row],[Month]],1))</f>
        <v/>
      </c>
    </row>
    <row r="7712" spans="7:11" x14ac:dyDescent="0.25">
      <c r="G7712" s="1" t="str">
        <f>IF(Table2[[#This Row],[Description]]="","",VLOOKUP(Table2[[#This Row],[Description]],$Q$1:$S$101,2,FALSE))</f>
        <v/>
      </c>
      <c r="H7712" s="1" t="str">
        <f>IF(Table2[[#This Row],[Description]]="","",VLOOKUP(Table2[[#This Row],[Description]],$Q$1:$S$101,3,FALSE))</f>
        <v/>
      </c>
      <c r="I7712" s="1" t="str">
        <f>IF(Table2[[#This Row],[Description]]="","",IF(Table2[[#This Row],[Currency]]=$O$2,$P$2,HLOOKUP(Table2[[#This Row],[Date]],Funds!$C$10:$GV$11,2,FALSE)))</f>
        <v/>
      </c>
      <c r="J7712" s="215" t="str">
        <f>IF(Table2[[#This Row],[Description]]="","",Table2[[#This Row],[Value]]/Table2[[#This Row],[Conversion]])</f>
        <v/>
      </c>
      <c r="K7712" s="45" t="str">
        <f>IF(Table2[[#This Row],[Description]]="","",DATE(Table2[[#This Row],[Year]],Table2[[#This Row],[Month]],1))</f>
        <v/>
      </c>
    </row>
    <row r="7713" spans="7:11" x14ac:dyDescent="0.25">
      <c r="G7713" s="1" t="str">
        <f>IF(Table2[[#This Row],[Description]]="","",VLOOKUP(Table2[[#This Row],[Description]],$Q$1:$S$101,2,FALSE))</f>
        <v/>
      </c>
      <c r="H7713" s="1" t="str">
        <f>IF(Table2[[#This Row],[Description]]="","",VLOOKUP(Table2[[#This Row],[Description]],$Q$1:$S$101,3,FALSE))</f>
        <v/>
      </c>
      <c r="I7713" s="1" t="str">
        <f>IF(Table2[[#This Row],[Description]]="","",IF(Table2[[#This Row],[Currency]]=$O$2,$P$2,HLOOKUP(Table2[[#This Row],[Date]],Funds!$C$10:$GV$11,2,FALSE)))</f>
        <v/>
      </c>
      <c r="J7713" s="215" t="str">
        <f>IF(Table2[[#This Row],[Description]]="","",Table2[[#This Row],[Value]]/Table2[[#This Row],[Conversion]])</f>
        <v/>
      </c>
      <c r="K7713" s="45" t="str">
        <f>IF(Table2[[#This Row],[Description]]="","",DATE(Table2[[#This Row],[Year]],Table2[[#This Row],[Month]],1))</f>
        <v/>
      </c>
    </row>
    <row r="7714" spans="7:11" x14ac:dyDescent="0.25">
      <c r="G7714" s="1" t="str">
        <f>IF(Table2[[#This Row],[Description]]="","",VLOOKUP(Table2[[#This Row],[Description]],$Q$1:$S$101,2,FALSE))</f>
        <v/>
      </c>
      <c r="H7714" s="1" t="str">
        <f>IF(Table2[[#This Row],[Description]]="","",VLOOKUP(Table2[[#This Row],[Description]],$Q$1:$S$101,3,FALSE))</f>
        <v/>
      </c>
      <c r="I7714" s="1" t="str">
        <f>IF(Table2[[#This Row],[Description]]="","",IF(Table2[[#This Row],[Currency]]=$O$2,$P$2,HLOOKUP(Table2[[#This Row],[Date]],Funds!$C$10:$GV$11,2,FALSE)))</f>
        <v/>
      </c>
      <c r="J7714" s="215" t="str">
        <f>IF(Table2[[#This Row],[Description]]="","",Table2[[#This Row],[Value]]/Table2[[#This Row],[Conversion]])</f>
        <v/>
      </c>
      <c r="K7714" s="45" t="str">
        <f>IF(Table2[[#This Row],[Description]]="","",DATE(Table2[[#This Row],[Year]],Table2[[#This Row],[Month]],1))</f>
        <v/>
      </c>
    </row>
    <row r="7715" spans="7:11" x14ac:dyDescent="0.25">
      <c r="G7715" s="1" t="str">
        <f>IF(Table2[[#This Row],[Description]]="","",VLOOKUP(Table2[[#This Row],[Description]],$Q$1:$S$101,2,FALSE))</f>
        <v/>
      </c>
      <c r="H7715" s="1" t="str">
        <f>IF(Table2[[#This Row],[Description]]="","",VLOOKUP(Table2[[#This Row],[Description]],$Q$1:$S$101,3,FALSE))</f>
        <v/>
      </c>
      <c r="I7715" s="1" t="str">
        <f>IF(Table2[[#This Row],[Description]]="","",IF(Table2[[#This Row],[Currency]]=$O$2,$P$2,HLOOKUP(Table2[[#This Row],[Date]],Funds!$C$10:$GV$11,2,FALSE)))</f>
        <v/>
      </c>
      <c r="J7715" s="215" t="str">
        <f>IF(Table2[[#This Row],[Description]]="","",Table2[[#This Row],[Value]]/Table2[[#This Row],[Conversion]])</f>
        <v/>
      </c>
      <c r="K7715" s="45" t="str">
        <f>IF(Table2[[#This Row],[Description]]="","",DATE(Table2[[#This Row],[Year]],Table2[[#This Row],[Month]],1))</f>
        <v/>
      </c>
    </row>
    <row r="7716" spans="7:11" x14ac:dyDescent="0.25">
      <c r="G7716" s="1" t="str">
        <f>IF(Table2[[#This Row],[Description]]="","",VLOOKUP(Table2[[#This Row],[Description]],$Q$1:$S$101,2,FALSE))</f>
        <v/>
      </c>
      <c r="H7716" s="1" t="str">
        <f>IF(Table2[[#This Row],[Description]]="","",VLOOKUP(Table2[[#This Row],[Description]],$Q$1:$S$101,3,FALSE))</f>
        <v/>
      </c>
      <c r="I7716" s="1" t="str">
        <f>IF(Table2[[#This Row],[Description]]="","",IF(Table2[[#This Row],[Currency]]=$O$2,$P$2,HLOOKUP(Table2[[#This Row],[Date]],Funds!$C$10:$GV$11,2,FALSE)))</f>
        <v/>
      </c>
      <c r="J7716" s="215" t="str">
        <f>IF(Table2[[#This Row],[Description]]="","",Table2[[#This Row],[Value]]/Table2[[#This Row],[Conversion]])</f>
        <v/>
      </c>
      <c r="K7716" s="45" t="str">
        <f>IF(Table2[[#This Row],[Description]]="","",DATE(Table2[[#This Row],[Year]],Table2[[#This Row],[Month]],1))</f>
        <v/>
      </c>
    </row>
    <row r="7717" spans="7:11" x14ac:dyDescent="0.25">
      <c r="G7717" s="1" t="str">
        <f>IF(Table2[[#This Row],[Description]]="","",VLOOKUP(Table2[[#This Row],[Description]],$Q$1:$S$101,2,FALSE))</f>
        <v/>
      </c>
      <c r="H7717" s="1" t="str">
        <f>IF(Table2[[#This Row],[Description]]="","",VLOOKUP(Table2[[#This Row],[Description]],$Q$1:$S$101,3,FALSE))</f>
        <v/>
      </c>
      <c r="I7717" s="1" t="str">
        <f>IF(Table2[[#This Row],[Description]]="","",IF(Table2[[#This Row],[Currency]]=$O$2,$P$2,HLOOKUP(Table2[[#This Row],[Date]],Funds!$C$10:$GV$11,2,FALSE)))</f>
        <v/>
      </c>
      <c r="J7717" s="215" t="str">
        <f>IF(Table2[[#This Row],[Description]]="","",Table2[[#This Row],[Value]]/Table2[[#This Row],[Conversion]])</f>
        <v/>
      </c>
      <c r="K7717" s="45" t="str">
        <f>IF(Table2[[#This Row],[Description]]="","",DATE(Table2[[#This Row],[Year]],Table2[[#This Row],[Month]],1))</f>
        <v/>
      </c>
    </row>
    <row r="7718" spans="7:11" x14ac:dyDescent="0.25">
      <c r="G7718" s="1" t="str">
        <f>IF(Table2[[#This Row],[Description]]="","",VLOOKUP(Table2[[#This Row],[Description]],$Q$1:$S$101,2,FALSE))</f>
        <v/>
      </c>
      <c r="H7718" s="1" t="str">
        <f>IF(Table2[[#This Row],[Description]]="","",VLOOKUP(Table2[[#This Row],[Description]],$Q$1:$S$101,3,FALSE))</f>
        <v/>
      </c>
      <c r="I7718" s="1" t="str">
        <f>IF(Table2[[#This Row],[Description]]="","",IF(Table2[[#This Row],[Currency]]=$O$2,$P$2,HLOOKUP(Table2[[#This Row],[Date]],Funds!$C$10:$GV$11,2,FALSE)))</f>
        <v/>
      </c>
      <c r="J7718" s="215" t="str">
        <f>IF(Table2[[#This Row],[Description]]="","",Table2[[#This Row],[Value]]/Table2[[#This Row],[Conversion]])</f>
        <v/>
      </c>
      <c r="K7718" s="45" t="str">
        <f>IF(Table2[[#This Row],[Description]]="","",DATE(Table2[[#This Row],[Year]],Table2[[#This Row],[Month]],1))</f>
        <v/>
      </c>
    </row>
    <row r="7719" spans="7:11" x14ac:dyDescent="0.25">
      <c r="G7719" s="1" t="str">
        <f>IF(Table2[[#This Row],[Description]]="","",VLOOKUP(Table2[[#This Row],[Description]],$Q$1:$S$101,2,FALSE))</f>
        <v/>
      </c>
      <c r="H7719" s="1" t="str">
        <f>IF(Table2[[#This Row],[Description]]="","",VLOOKUP(Table2[[#This Row],[Description]],$Q$1:$S$101,3,FALSE))</f>
        <v/>
      </c>
      <c r="I7719" s="1" t="str">
        <f>IF(Table2[[#This Row],[Description]]="","",IF(Table2[[#This Row],[Currency]]=$O$2,$P$2,HLOOKUP(Table2[[#This Row],[Date]],Funds!$C$10:$GV$11,2,FALSE)))</f>
        <v/>
      </c>
      <c r="J7719" s="215" t="str">
        <f>IF(Table2[[#This Row],[Description]]="","",Table2[[#This Row],[Value]]/Table2[[#This Row],[Conversion]])</f>
        <v/>
      </c>
      <c r="K7719" s="45" t="str">
        <f>IF(Table2[[#This Row],[Description]]="","",DATE(Table2[[#This Row],[Year]],Table2[[#This Row],[Month]],1))</f>
        <v/>
      </c>
    </row>
    <row r="7720" spans="7:11" x14ac:dyDescent="0.25">
      <c r="G7720" s="1" t="str">
        <f>IF(Table2[[#This Row],[Description]]="","",VLOOKUP(Table2[[#This Row],[Description]],$Q$1:$S$101,2,FALSE))</f>
        <v/>
      </c>
      <c r="H7720" s="1" t="str">
        <f>IF(Table2[[#This Row],[Description]]="","",VLOOKUP(Table2[[#This Row],[Description]],$Q$1:$S$101,3,FALSE))</f>
        <v/>
      </c>
      <c r="I7720" s="1" t="str">
        <f>IF(Table2[[#This Row],[Description]]="","",IF(Table2[[#This Row],[Currency]]=$O$2,$P$2,HLOOKUP(Table2[[#This Row],[Date]],Funds!$C$10:$GV$11,2,FALSE)))</f>
        <v/>
      </c>
      <c r="J7720" s="215" t="str">
        <f>IF(Table2[[#This Row],[Description]]="","",Table2[[#This Row],[Value]]/Table2[[#This Row],[Conversion]])</f>
        <v/>
      </c>
      <c r="K7720" s="45" t="str">
        <f>IF(Table2[[#This Row],[Description]]="","",DATE(Table2[[#This Row],[Year]],Table2[[#This Row],[Month]],1))</f>
        <v/>
      </c>
    </row>
    <row r="7721" spans="7:11" x14ac:dyDescent="0.25">
      <c r="G7721" s="1" t="str">
        <f>IF(Table2[[#This Row],[Description]]="","",VLOOKUP(Table2[[#This Row],[Description]],$Q$1:$S$101,2,FALSE))</f>
        <v/>
      </c>
      <c r="H7721" s="1" t="str">
        <f>IF(Table2[[#This Row],[Description]]="","",VLOOKUP(Table2[[#This Row],[Description]],$Q$1:$S$101,3,FALSE))</f>
        <v/>
      </c>
      <c r="I7721" s="1" t="str">
        <f>IF(Table2[[#This Row],[Description]]="","",IF(Table2[[#This Row],[Currency]]=$O$2,$P$2,HLOOKUP(Table2[[#This Row],[Date]],Funds!$C$10:$GV$11,2,FALSE)))</f>
        <v/>
      </c>
      <c r="J7721" s="215" t="str">
        <f>IF(Table2[[#This Row],[Description]]="","",Table2[[#This Row],[Value]]/Table2[[#This Row],[Conversion]])</f>
        <v/>
      </c>
      <c r="K7721" s="45" t="str">
        <f>IF(Table2[[#This Row],[Description]]="","",DATE(Table2[[#This Row],[Year]],Table2[[#This Row],[Month]],1))</f>
        <v/>
      </c>
    </row>
    <row r="7722" spans="7:11" x14ac:dyDescent="0.25">
      <c r="G7722" s="1" t="str">
        <f>IF(Table2[[#This Row],[Description]]="","",VLOOKUP(Table2[[#This Row],[Description]],$Q$1:$S$101,2,FALSE))</f>
        <v/>
      </c>
      <c r="H7722" s="1" t="str">
        <f>IF(Table2[[#This Row],[Description]]="","",VLOOKUP(Table2[[#This Row],[Description]],$Q$1:$S$101,3,FALSE))</f>
        <v/>
      </c>
      <c r="I7722" s="1" t="str">
        <f>IF(Table2[[#This Row],[Description]]="","",IF(Table2[[#This Row],[Currency]]=$O$2,$P$2,HLOOKUP(Table2[[#This Row],[Date]],Funds!$C$10:$GV$11,2,FALSE)))</f>
        <v/>
      </c>
      <c r="J7722" s="215" t="str">
        <f>IF(Table2[[#This Row],[Description]]="","",Table2[[#This Row],[Value]]/Table2[[#This Row],[Conversion]])</f>
        <v/>
      </c>
      <c r="K7722" s="45" t="str">
        <f>IF(Table2[[#This Row],[Description]]="","",DATE(Table2[[#This Row],[Year]],Table2[[#This Row],[Month]],1))</f>
        <v/>
      </c>
    </row>
    <row r="7723" spans="7:11" x14ac:dyDescent="0.25">
      <c r="G7723" s="1" t="str">
        <f>IF(Table2[[#This Row],[Description]]="","",VLOOKUP(Table2[[#This Row],[Description]],$Q$1:$S$101,2,FALSE))</f>
        <v/>
      </c>
      <c r="H7723" s="1" t="str">
        <f>IF(Table2[[#This Row],[Description]]="","",VLOOKUP(Table2[[#This Row],[Description]],$Q$1:$S$101,3,FALSE))</f>
        <v/>
      </c>
      <c r="I7723" s="1" t="str">
        <f>IF(Table2[[#This Row],[Description]]="","",IF(Table2[[#This Row],[Currency]]=$O$2,$P$2,HLOOKUP(Table2[[#This Row],[Date]],Funds!$C$10:$GV$11,2,FALSE)))</f>
        <v/>
      </c>
      <c r="J7723" s="215" t="str">
        <f>IF(Table2[[#This Row],[Description]]="","",Table2[[#This Row],[Value]]/Table2[[#This Row],[Conversion]])</f>
        <v/>
      </c>
      <c r="K7723" s="45" t="str">
        <f>IF(Table2[[#This Row],[Description]]="","",DATE(Table2[[#This Row],[Year]],Table2[[#This Row],[Month]],1))</f>
        <v/>
      </c>
    </row>
    <row r="7724" spans="7:11" x14ac:dyDescent="0.25">
      <c r="G7724" s="1" t="str">
        <f>IF(Table2[[#This Row],[Description]]="","",VLOOKUP(Table2[[#This Row],[Description]],$Q$1:$S$101,2,FALSE))</f>
        <v/>
      </c>
      <c r="H7724" s="1" t="str">
        <f>IF(Table2[[#This Row],[Description]]="","",VLOOKUP(Table2[[#This Row],[Description]],$Q$1:$S$101,3,FALSE))</f>
        <v/>
      </c>
      <c r="I7724" s="1" t="str">
        <f>IF(Table2[[#This Row],[Description]]="","",IF(Table2[[#This Row],[Currency]]=$O$2,$P$2,HLOOKUP(Table2[[#This Row],[Date]],Funds!$C$10:$GV$11,2,FALSE)))</f>
        <v/>
      </c>
      <c r="J7724" s="215" t="str">
        <f>IF(Table2[[#This Row],[Description]]="","",Table2[[#This Row],[Value]]/Table2[[#This Row],[Conversion]])</f>
        <v/>
      </c>
      <c r="K7724" s="45" t="str">
        <f>IF(Table2[[#This Row],[Description]]="","",DATE(Table2[[#This Row],[Year]],Table2[[#This Row],[Month]],1))</f>
        <v/>
      </c>
    </row>
    <row r="7725" spans="7:11" x14ac:dyDescent="0.25">
      <c r="G7725" s="1" t="str">
        <f>IF(Table2[[#This Row],[Description]]="","",VLOOKUP(Table2[[#This Row],[Description]],$Q$1:$S$101,2,FALSE))</f>
        <v/>
      </c>
      <c r="H7725" s="1" t="str">
        <f>IF(Table2[[#This Row],[Description]]="","",VLOOKUP(Table2[[#This Row],[Description]],$Q$1:$S$101,3,FALSE))</f>
        <v/>
      </c>
      <c r="I7725" s="1" t="str">
        <f>IF(Table2[[#This Row],[Description]]="","",IF(Table2[[#This Row],[Currency]]=$O$2,$P$2,HLOOKUP(Table2[[#This Row],[Date]],Funds!$C$10:$GV$11,2,FALSE)))</f>
        <v/>
      </c>
      <c r="J7725" s="215" t="str">
        <f>IF(Table2[[#This Row],[Description]]="","",Table2[[#This Row],[Value]]/Table2[[#This Row],[Conversion]])</f>
        <v/>
      </c>
      <c r="K7725" s="45" t="str">
        <f>IF(Table2[[#This Row],[Description]]="","",DATE(Table2[[#This Row],[Year]],Table2[[#This Row],[Month]],1))</f>
        <v/>
      </c>
    </row>
    <row r="7726" spans="7:11" x14ac:dyDescent="0.25">
      <c r="G7726" s="1" t="str">
        <f>IF(Table2[[#This Row],[Description]]="","",VLOOKUP(Table2[[#This Row],[Description]],$Q$1:$S$101,2,FALSE))</f>
        <v/>
      </c>
      <c r="H7726" s="1" t="str">
        <f>IF(Table2[[#This Row],[Description]]="","",VLOOKUP(Table2[[#This Row],[Description]],$Q$1:$S$101,3,FALSE))</f>
        <v/>
      </c>
      <c r="I7726" s="1" t="str">
        <f>IF(Table2[[#This Row],[Description]]="","",IF(Table2[[#This Row],[Currency]]=$O$2,$P$2,HLOOKUP(Table2[[#This Row],[Date]],Funds!$C$10:$GV$11,2,FALSE)))</f>
        <v/>
      </c>
      <c r="J7726" s="215" t="str">
        <f>IF(Table2[[#This Row],[Description]]="","",Table2[[#This Row],[Value]]/Table2[[#This Row],[Conversion]])</f>
        <v/>
      </c>
      <c r="K7726" s="45" t="str">
        <f>IF(Table2[[#This Row],[Description]]="","",DATE(Table2[[#This Row],[Year]],Table2[[#This Row],[Month]],1))</f>
        <v/>
      </c>
    </row>
    <row r="7727" spans="7:11" x14ac:dyDescent="0.25">
      <c r="G7727" s="1" t="str">
        <f>IF(Table2[[#This Row],[Description]]="","",VLOOKUP(Table2[[#This Row],[Description]],$Q$1:$S$101,2,FALSE))</f>
        <v/>
      </c>
      <c r="H7727" s="1" t="str">
        <f>IF(Table2[[#This Row],[Description]]="","",VLOOKUP(Table2[[#This Row],[Description]],$Q$1:$S$101,3,FALSE))</f>
        <v/>
      </c>
      <c r="I7727" s="1" t="str">
        <f>IF(Table2[[#This Row],[Description]]="","",IF(Table2[[#This Row],[Currency]]=$O$2,$P$2,HLOOKUP(Table2[[#This Row],[Date]],Funds!$C$10:$GV$11,2,FALSE)))</f>
        <v/>
      </c>
      <c r="J7727" s="215" t="str">
        <f>IF(Table2[[#This Row],[Description]]="","",Table2[[#This Row],[Value]]/Table2[[#This Row],[Conversion]])</f>
        <v/>
      </c>
      <c r="K7727" s="45" t="str">
        <f>IF(Table2[[#This Row],[Description]]="","",DATE(Table2[[#This Row],[Year]],Table2[[#This Row],[Month]],1))</f>
        <v/>
      </c>
    </row>
    <row r="7728" spans="7:11" x14ac:dyDescent="0.25">
      <c r="G7728" s="1" t="str">
        <f>IF(Table2[[#This Row],[Description]]="","",VLOOKUP(Table2[[#This Row],[Description]],$Q$1:$S$101,2,FALSE))</f>
        <v/>
      </c>
      <c r="H7728" s="1" t="str">
        <f>IF(Table2[[#This Row],[Description]]="","",VLOOKUP(Table2[[#This Row],[Description]],$Q$1:$S$101,3,FALSE))</f>
        <v/>
      </c>
      <c r="I7728" s="1" t="str">
        <f>IF(Table2[[#This Row],[Description]]="","",IF(Table2[[#This Row],[Currency]]=$O$2,$P$2,HLOOKUP(Table2[[#This Row],[Date]],Funds!$C$10:$GV$11,2,FALSE)))</f>
        <v/>
      </c>
      <c r="J7728" s="215" t="str">
        <f>IF(Table2[[#This Row],[Description]]="","",Table2[[#This Row],[Value]]/Table2[[#This Row],[Conversion]])</f>
        <v/>
      </c>
      <c r="K7728" s="45" t="str">
        <f>IF(Table2[[#This Row],[Description]]="","",DATE(Table2[[#This Row],[Year]],Table2[[#This Row],[Month]],1))</f>
        <v/>
      </c>
    </row>
    <row r="7729" spans="7:11" x14ac:dyDescent="0.25">
      <c r="G7729" s="1" t="str">
        <f>IF(Table2[[#This Row],[Description]]="","",VLOOKUP(Table2[[#This Row],[Description]],$Q$1:$S$101,2,FALSE))</f>
        <v/>
      </c>
      <c r="H7729" s="1" t="str">
        <f>IF(Table2[[#This Row],[Description]]="","",VLOOKUP(Table2[[#This Row],[Description]],$Q$1:$S$101,3,FALSE))</f>
        <v/>
      </c>
      <c r="I7729" s="1" t="str">
        <f>IF(Table2[[#This Row],[Description]]="","",IF(Table2[[#This Row],[Currency]]=$O$2,$P$2,HLOOKUP(Table2[[#This Row],[Date]],Funds!$C$10:$GV$11,2,FALSE)))</f>
        <v/>
      </c>
      <c r="J7729" s="215" t="str">
        <f>IF(Table2[[#This Row],[Description]]="","",Table2[[#This Row],[Value]]/Table2[[#This Row],[Conversion]])</f>
        <v/>
      </c>
      <c r="K7729" s="45" t="str">
        <f>IF(Table2[[#This Row],[Description]]="","",DATE(Table2[[#This Row],[Year]],Table2[[#This Row],[Month]],1))</f>
        <v/>
      </c>
    </row>
    <row r="7730" spans="7:11" x14ac:dyDescent="0.25">
      <c r="G7730" s="1" t="str">
        <f>IF(Table2[[#This Row],[Description]]="","",VLOOKUP(Table2[[#This Row],[Description]],$Q$1:$S$101,2,FALSE))</f>
        <v/>
      </c>
      <c r="H7730" s="1" t="str">
        <f>IF(Table2[[#This Row],[Description]]="","",VLOOKUP(Table2[[#This Row],[Description]],$Q$1:$S$101,3,FALSE))</f>
        <v/>
      </c>
      <c r="I7730" s="1" t="str">
        <f>IF(Table2[[#This Row],[Description]]="","",IF(Table2[[#This Row],[Currency]]=$O$2,$P$2,HLOOKUP(Table2[[#This Row],[Date]],Funds!$C$10:$GV$11,2,FALSE)))</f>
        <v/>
      </c>
      <c r="J7730" s="215" t="str">
        <f>IF(Table2[[#This Row],[Description]]="","",Table2[[#This Row],[Value]]/Table2[[#This Row],[Conversion]])</f>
        <v/>
      </c>
      <c r="K7730" s="45" t="str">
        <f>IF(Table2[[#This Row],[Description]]="","",DATE(Table2[[#This Row],[Year]],Table2[[#This Row],[Month]],1))</f>
        <v/>
      </c>
    </row>
    <row r="7731" spans="7:11" x14ac:dyDescent="0.25">
      <c r="G7731" s="1" t="str">
        <f>IF(Table2[[#This Row],[Description]]="","",VLOOKUP(Table2[[#This Row],[Description]],$Q$1:$S$101,2,FALSE))</f>
        <v/>
      </c>
      <c r="H7731" s="1" t="str">
        <f>IF(Table2[[#This Row],[Description]]="","",VLOOKUP(Table2[[#This Row],[Description]],$Q$1:$S$101,3,FALSE))</f>
        <v/>
      </c>
      <c r="I7731" s="1" t="str">
        <f>IF(Table2[[#This Row],[Description]]="","",IF(Table2[[#This Row],[Currency]]=$O$2,$P$2,HLOOKUP(Table2[[#This Row],[Date]],Funds!$C$10:$GV$11,2,FALSE)))</f>
        <v/>
      </c>
      <c r="J7731" s="215" t="str">
        <f>IF(Table2[[#This Row],[Description]]="","",Table2[[#This Row],[Value]]/Table2[[#This Row],[Conversion]])</f>
        <v/>
      </c>
      <c r="K7731" s="45" t="str">
        <f>IF(Table2[[#This Row],[Description]]="","",DATE(Table2[[#This Row],[Year]],Table2[[#This Row],[Month]],1))</f>
        <v/>
      </c>
    </row>
    <row r="7732" spans="7:11" x14ac:dyDescent="0.25">
      <c r="G7732" s="1" t="str">
        <f>IF(Table2[[#This Row],[Description]]="","",VLOOKUP(Table2[[#This Row],[Description]],$Q$1:$S$101,2,FALSE))</f>
        <v/>
      </c>
      <c r="H7732" s="1" t="str">
        <f>IF(Table2[[#This Row],[Description]]="","",VLOOKUP(Table2[[#This Row],[Description]],$Q$1:$S$101,3,FALSE))</f>
        <v/>
      </c>
      <c r="I7732" s="1" t="str">
        <f>IF(Table2[[#This Row],[Description]]="","",IF(Table2[[#This Row],[Currency]]=$O$2,$P$2,HLOOKUP(Table2[[#This Row],[Date]],Funds!$C$10:$GV$11,2,FALSE)))</f>
        <v/>
      </c>
      <c r="J7732" s="215" t="str">
        <f>IF(Table2[[#This Row],[Description]]="","",Table2[[#This Row],[Value]]/Table2[[#This Row],[Conversion]])</f>
        <v/>
      </c>
      <c r="K7732" s="45" t="str">
        <f>IF(Table2[[#This Row],[Description]]="","",DATE(Table2[[#This Row],[Year]],Table2[[#This Row],[Month]],1))</f>
        <v/>
      </c>
    </row>
    <row r="7733" spans="7:11" x14ac:dyDescent="0.25">
      <c r="G7733" s="1" t="str">
        <f>IF(Table2[[#This Row],[Description]]="","",VLOOKUP(Table2[[#This Row],[Description]],$Q$1:$S$101,2,FALSE))</f>
        <v/>
      </c>
      <c r="H7733" s="1" t="str">
        <f>IF(Table2[[#This Row],[Description]]="","",VLOOKUP(Table2[[#This Row],[Description]],$Q$1:$S$101,3,FALSE))</f>
        <v/>
      </c>
      <c r="I7733" s="1" t="str">
        <f>IF(Table2[[#This Row],[Description]]="","",IF(Table2[[#This Row],[Currency]]=$O$2,$P$2,HLOOKUP(Table2[[#This Row],[Date]],Funds!$C$10:$GV$11,2,FALSE)))</f>
        <v/>
      </c>
      <c r="J7733" s="215" t="str">
        <f>IF(Table2[[#This Row],[Description]]="","",Table2[[#This Row],[Value]]/Table2[[#This Row],[Conversion]])</f>
        <v/>
      </c>
      <c r="K7733" s="45" t="str">
        <f>IF(Table2[[#This Row],[Description]]="","",DATE(Table2[[#This Row],[Year]],Table2[[#This Row],[Month]],1))</f>
        <v/>
      </c>
    </row>
    <row r="7734" spans="7:11" x14ac:dyDescent="0.25">
      <c r="G7734" s="1" t="str">
        <f>IF(Table2[[#This Row],[Description]]="","",VLOOKUP(Table2[[#This Row],[Description]],$Q$1:$S$101,2,FALSE))</f>
        <v/>
      </c>
      <c r="H7734" s="1" t="str">
        <f>IF(Table2[[#This Row],[Description]]="","",VLOOKUP(Table2[[#This Row],[Description]],$Q$1:$S$101,3,FALSE))</f>
        <v/>
      </c>
      <c r="I7734" s="1" t="str">
        <f>IF(Table2[[#This Row],[Description]]="","",IF(Table2[[#This Row],[Currency]]=$O$2,$P$2,HLOOKUP(Table2[[#This Row],[Date]],Funds!$C$10:$GV$11,2,FALSE)))</f>
        <v/>
      </c>
      <c r="J7734" s="215" t="str">
        <f>IF(Table2[[#This Row],[Description]]="","",Table2[[#This Row],[Value]]/Table2[[#This Row],[Conversion]])</f>
        <v/>
      </c>
      <c r="K7734" s="45" t="str">
        <f>IF(Table2[[#This Row],[Description]]="","",DATE(Table2[[#This Row],[Year]],Table2[[#This Row],[Month]],1))</f>
        <v/>
      </c>
    </row>
    <row r="7735" spans="7:11" x14ac:dyDescent="0.25">
      <c r="G7735" s="1" t="str">
        <f>IF(Table2[[#This Row],[Description]]="","",VLOOKUP(Table2[[#This Row],[Description]],$Q$1:$S$101,2,FALSE))</f>
        <v/>
      </c>
      <c r="H7735" s="1" t="str">
        <f>IF(Table2[[#This Row],[Description]]="","",VLOOKUP(Table2[[#This Row],[Description]],$Q$1:$S$101,3,FALSE))</f>
        <v/>
      </c>
      <c r="I7735" s="1" t="str">
        <f>IF(Table2[[#This Row],[Description]]="","",IF(Table2[[#This Row],[Currency]]=$O$2,$P$2,HLOOKUP(Table2[[#This Row],[Date]],Funds!$C$10:$GV$11,2,FALSE)))</f>
        <v/>
      </c>
      <c r="J7735" s="215" t="str">
        <f>IF(Table2[[#This Row],[Description]]="","",Table2[[#This Row],[Value]]/Table2[[#This Row],[Conversion]])</f>
        <v/>
      </c>
      <c r="K7735" s="45" t="str">
        <f>IF(Table2[[#This Row],[Description]]="","",DATE(Table2[[#This Row],[Year]],Table2[[#This Row],[Month]],1))</f>
        <v/>
      </c>
    </row>
    <row r="7736" spans="7:11" x14ac:dyDescent="0.25">
      <c r="G7736" s="1" t="str">
        <f>IF(Table2[[#This Row],[Description]]="","",VLOOKUP(Table2[[#This Row],[Description]],$Q$1:$S$101,2,FALSE))</f>
        <v/>
      </c>
      <c r="H7736" s="1" t="str">
        <f>IF(Table2[[#This Row],[Description]]="","",VLOOKUP(Table2[[#This Row],[Description]],$Q$1:$S$101,3,FALSE))</f>
        <v/>
      </c>
      <c r="I7736" s="1" t="str">
        <f>IF(Table2[[#This Row],[Description]]="","",IF(Table2[[#This Row],[Currency]]=$O$2,$P$2,HLOOKUP(Table2[[#This Row],[Date]],Funds!$C$10:$GV$11,2,FALSE)))</f>
        <v/>
      </c>
      <c r="J7736" s="215" t="str">
        <f>IF(Table2[[#This Row],[Description]]="","",Table2[[#This Row],[Value]]/Table2[[#This Row],[Conversion]])</f>
        <v/>
      </c>
      <c r="K7736" s="45" t="str">
        <f>IF(Table2[[#This Row],[Description]]="","",DATE(Table2[[#This Row],[Year]],Table2[[#This Row],[Month]],1))</f>
        <v/>
      </c>
    </row>
    <row r="7737" spans="7:11" x14ac:dyDescent="0.25">
      <c r="G7737" s="1" t="str">
        <f>IF(Table2[[#This Row],[Description]]="","",VLOOKUP(Table2[[#This Row],[Description]],$Q$1:$S$101,2,FALSE))</f>
        <v/>
      </c>
      <c r="H7737" s="1" t="str">
        <f>IF(Table2[[#This Row],[Description]]="","",VLOOKUP(Table2[[#This Row],[Description]],$Q$1:$S$101,3,FALSE))</f>
        <v/>
      </c>
      <c r="I7737" s="1" t="str">
        <f>IF(Table2[[#This Row],[Description]]="","",IF(Table2[[#This Row],[Currency]]=$O$2,$P$2,HLOOKUP(Table2[[#This Row],[Date]],Funds!$C$10:$GV$11,2,FALSE)))</f>
        <v/>
      </c>
      <c r="J7737" s="215" t="str">
        <f>IF(Table2[[#This Row],[Description]]="","",Table2[[#This Row],[Value]]/Table2[[#This Row],[Conversion]])</f>
        <v/>
      </c>
      <c r="K7737" s="45" t="str">
        <f>IF(Table2[[#This Row],[Description]]="","",DATE(Table2[[#This Row],[Year]],Table2[[#This Row],[Month]],1))</f>
        <v/>
      </c>
    </row>
    <row r="7738" spans="7:11" x14ac:dyDescent="0.25">
      <c r="G7738" s="1" t="str">
        <f>IF(Table2[[#This Row],[Description]]="","",VLOOKUP(Table2[[#This Row],[Description]],$Q$1:$S$101,2,FALSE))</f>
        <v/>
      </c>
      <c r="H7738" s="1" t="str">
        <f>IF(Table2[[#This Row],[Description]]="","",VLOOKUP(Table2[[#This Row],[Description]],$Q$1:$S$101,3,FALSE))</f>
        <v/>
      </c>
      <c r="I7738" s="1" t="str">
        <f>IF(Table2[[#This Row],[Description]]="","",IF(Table2[[#This Row],[Currency]]=$O$2,$P$2,HLOOKUP(Table2[[#This Row],[Date]],Funds!$C$10:$GV$11,2,FALSE)))</f>
        <v/>
      </c>
      <c r="J7738" s="215" t="str">
        <f>IF(Table2[[#This Row],[Description]]="","",Table2[[#This Row],[Value]]/Table2[[#This Row],[Conversion]])</f>
        <v/>
      </c>
      <c r="K7738" s="45" t="str">
        <f>IF(Table2[[#This Row],[Description]]="","",DATE(Table2[[#This Row],[Year]],Table2[[#This Row],[Month]],1))</f>
        <v/>
      </c>
    </row>
    <row r="7739" spans="7:11" x14ac:dyDescent="0.25">
      <c r="G7739" s="1" t="str">
        <f>IF(Table2[[#This Row],[Description]]="","",VLOOKUP(Table2[[#This Row],[Description]],$Q$1:$S$101,2,FALSE))</f>
        <v/>
      </c>
      <c r="H7739" s="1" t="str">
        <f>IF(Table2[[#This Row],[Description]]="","",VLOOKUP(Table2[[#This Row],[Description]],$Q$1:$S$101,3,FALSE))</f>
        <v/>
      </c>
      <c r="I7739" s="1" t="str">
        <f>IF(Table2[[#This Row],[Description]]="","",IF(Table2[[#This Row],[Currency]]=$O$2,$P$2,HLOOKUP(Table2[[#This Row],[Date]],Funds!$C$10:$GV$11,2,FALSE)))</f>
        <v/>
      </c>
      <c r="J7739" s="215" t="str">
        <f>IF(Table2[[#This Row],[Description]]="","",Table2[[#This Row],[Value]]/Table2[[#This Row],[Conversion]])</f>
        <v/>
      </c>
      <c r="K7739" s="45" t="str">
        <f>IF(Table2[[#This Row],[Description]]="","",DATE(Table2[[#This Row],[Year]],Table2[[#This Row],[Month]],1))</f>
        <v/>
      </c>
    </row>
    <row r="7740" spans="7:11" x14ac:dyDescent="0.25">
      <c r="G7740" s="1" t="str">
        <f>IF(Table2[[#This Row],[Description]]="","",VLOOKUP(Table2[[#This Row],[Description]],$Q$1:$S$101,2,FALSE))</f>
        <v/>
      </c>
      <c r="H7740" s="1" t="str">
        <f>IF(Table2[[#This Row],[Description]]="","",VLOOKUP(Table2[[#This Row],[Description]],$Q$1:$S$101,3,FALSE))</f>
        <v/>
      </c>
      <c r="I7740" s="1" t="str">
        <f>IF(Table2[[#This Row],[Description]]="","",IF(Table2[[#This Row],[Currency]]=$O$2,$P$2,HLOOKUP(Table2[[#This Row],[Date]],Funds!$C$10:$GV$11,2,FALSE)))</f>
        <v/>
      </c>
      <c r="J7740" s="215" t="str">
        <f>IF(Table2[[#This Row],[Description]]="","",Table2[[#This Row],[Value]]/Table2[[#This Row],[Conversion]])</f>
        <v/>
      </c>
      <c r="K7740" s="45" t="str">
        <f>IF(Table2[[#This Row],[Description]]="","",DATE(Table2[[#This Row],[Year]],Table2[[#This Row],[Month]],1))</f>
        <v/>
      </c>
    </row>
    <row r="7741" spans="7:11" x14ac:dyDescent="0.25">
      <c r="G7741" s="1" t="str">
        <f>IF(Table2[[#This Row],[Description]]="","",VLOOKUP(Table2[[#This Row],[Description]],$Q$1:$S$101,2,FALSE))</f>
        <v/>
      </c>
      <c r="H7741" s="1" t="str">
        <f>IF(Table2[[#This Row],[Description]]="","",VLOOKUP(Table2[[#This Row],[Description]],$Q$1:$S$101,3,FALSE))</f>
        <v/>
      </c>
      <c r="I7741" s="1" t="str">
        <f>IF(Table2[[#This Row],[Description]]="","",IF(Table2[[#This Row],[Currency]]=$O$2,$P$2,HLOOKUP(Table2[[#This Row],[Date]],Funds!$C$10:$GV$11,2,FALSE)))</f>
        <v/>
      </c>
      <c r="J7741" s="215" t="str">
        <f>IF(Table2[[#This Row],[Description]]="","",Table2[[#This Row],[Value]]/Table2[[#This Row],[Conversion]])</f>
        <v/>
      </c>
      <c r="K7741" s="45" t="str">
        <f>IF(Table2[[#This Row],[Description]]="","",DATE(Table2[[#This Row],[Year]],Table2[[#This Row],[Month]],1))</f>
        <v/>
      </c>
    </row>
    <row r="7742" spans="7:11" x14ac:dyDescent="0.25">
      <c r="G7742" s="1" t="str">
        <f>IF(Table2[[#This Row],[Description]]="","",VLOOKUP(Table2[[#This Row],[Description]],$Q$1:$S$101,2,FALSE))</f>
        <v/>
      </c>
      <c r="H7742" s="1" t="str">
        <f>IF(Table2[[#This Row],[Description]]="","",VLOOKUP(Table2[[#This Row],[Description]],$Q$1:$S$101,3,FALSE))</f>
        <v/>
      </c>
      <c r="I7742" s="1" t="str">
        <f>IF(Table2[[#This Row],[Description]]="","",IF(Table2[[#This Row],[Currency]]=$O$2,$P$2,HLOOKUP(Table2[[#This Row],[Date]],Funds!$C$10:$GV$11,2,FALSE)))</f>
        <v/>
      </c>
      <c r="J7742" s="215" t="str">
        <f>IF(Table2[[#This Row],[Description]]="","",Table2[[#This Row],[Value]]/Table2[[#This Row],[Conversion]])</f>
        <v/>
      </c>
      <c r="K7742" s="45" t="str">
        <f>IF(Table2[[#This Row],[Description]]="","",DATE(Table2[[#This Row],[Year]],Table2[[#This Row],[Month]],1))</f>
        <v/>
      </c>
    </row>
    <row r="7743" spans="7:11" x14ac:dyDescent="0.25">
      <c r="G7743" s="1" t="str">
        <f>IF(Table2[[#This Row],[Description]]="","",VLOOKUP(Table2[[#This Row],[Description]],$Q$1:$S$101,2,FALSE))</f>
        <v/>
      </c>
      <c r="H7743" s="1" t="str">
        <f>IF(Table2[[#This Row],[Description]]="","",VLOOKUP(Table2[[#This Row],[Description]],$Q$1:$S$101,3,FALSE))</f>
        <v/>
      </c>
      <c r="I7743" s="1" t="str">
        <f>IF(Table2[[#This Row],[Description]]="","",IF(Table2[[#This Row],[Currency]]=$O$2,$P$2,HLOOKUP(Table2[[#This Row],[Date]],Funds!$C$10:$GV$11,2,FALSE)))</f>
        <v/>
      </c>
      <c r="J7743" s="215" t="str">
        <f>IF(Table2[[#This Row],[Description]]="","",Table2[[#This Row],[Value]]/Table2[[#This Row],[Conversion]])</f>
        <v/>
      </c>
      <c r="K7743" s="45" t="str">
        <f>IF(Table2[[#This Row],[Description]]="","",DATE(Table2[[#This Row],[Year]],Table2[[#This Row],[Month]],1))</f>
        <v/>
      </c>
    </row>
    <row r="7744" spans="7:11" x14ac:dyDescent="0.25">
      <c r="G7744" s="1" t="str">
        <f>IF(Table2[[#This Row],[Description]]="","",VLOOKUP(Table2[[#This Row],[Description]],$Q$1:$S$101,2,FALSE))</f>
        <v/>
      </c>
      <c r="H7744" s="1" t="str">
        <f>IF(Table2[[#This Row],[Description]]="","",VLOOKUP(Table2[[#This Row],[Description]],$Q$1:$S$101,3,FALSE))</f>
        <v/>
      </c>
      <c r="I7744" s="1" t="str">
        <f>IF(Table2[[#This Row],[Description]]="","",IF(Table2[[#This Row],[Currency]]=$O$2,$P$2,HLOOKUP(Table2[[#This Row],[Date]],Funds!$C$10:$GV$11,2,FALSE)))</f>
        <v/>
      </c>
      <c r="J7744" s="215" t="str">
        <f>IF(Table2[[#This Row],[Description]]="","",Table2[[#This Row],[Value]]/Table2[[#This Row],[Conversion]])</f>
        <v/>
      </c>
      <c r="K7744" s="45" t="str">
        <f>IF(Table2[[#This Row],[Description]]="","",DATE(Table2[[#This Row],[Year]],Table2[[#This Row],[Month]],1))</f>
        <v/>
      </c>
    </row>
    <row r="7745" spans="7:11" x14ac:dyDescent="0.25">
      <c r="G7745" s="1" t="str">
        <f>IF(Table2[[#This Row],[Description]]="","",VLOOKUP(Table2[[#This Row],[Description]],$Q$1:$S$101,2,FALSE))</f>
        <v/>
      </c>
      <c r="H7745" s="1" t="str">
        <f>IF(Table2[[#This Row],[Description]]="","",VLOOKUP(Table2[[#This Row],[Description]],$Q$1:$S$101,3,FALSE))</f>
        <v/>
      </c>
      <c r="I7745" s="1" t="str">
        <f>IF(Table2[[#This Row],[Description]]="","",IF(Table2[[#This Row],[Currency]]=$O$2,$P$2,HLOOKUP(Table2[[#This Row],[Date]],Funds!$C$10:$GV$11,2,FALSE)))</f>
        <v/>
      </c>
      <c r="J7745" s="215" t="str">
        <f>IF(Table2[[#This Row],[Description]]="","",Table2[[#This Row],[Value]]/Table2[[#This Row],[Conversion]])</f>
        <v/>
      </c>
      <c r="K7745" s="45" t="str">
        <f>IF(Table2[[#This Row],[Description]]="","",DATE(Table2[[#This Row],[Year]],Table2[[#This Row],[Month]],1))</f>
        <v/>
      </c>
    </row>
    <row r="7746" spans="7:11" x14ac:dyDescent="0.25">
      <c r="G7746" s="1" t="str">
        <f>IF(Table2[[#This Row],[Description]]="","",VLOOKUP(Table2[[#This Row],[Description]],$Q$1:$S$101,2,FALSE))</f>
        <v/>
      </c>
      <c r="H7746" s="1" t="str">
        <f>IF(Table2[[#This Row],[Description]]="","",VLOOKUP(Table2[[#This Row],[Description]],$Q$1:$S$101,3,FALSE))</f>
        <v/>
      </c>
      <c r="I7746" s="1" t="str">
        <f>IF(Table2[[#This Row],[Description]]="","",IF(Table2[[#This Row],[Currency]]=$O$2,$P$2,HLOOKUP(Table2[[#This Row],[Date]],Funds!$C$10:$GV$11,2,FALSE)))</f>
        <v/>
      </c>
      <c r="J7746" s="215" t="str">
        <f>IF(Table2[[#This Row],[Description]]="","",Table2[[#This Row],[Value]]/Table2[[#This Row],[Conversion]])</f>
        <v/>
      </c>
      <c r="K7746" s="45" t="str">
        <f>IF(Table2[[#This Row],[Description]]="","",DATE(Table2[[#This Row],[Year]],Table2[[#This Row],[Month]],1))</f>
        <v/>
      </c>
    </row>
    <row r="7747" spans="7:11" x14ac:dyDescent="0.25">
      <c r="G7747" s="1" t="str">
        <f>IF(Table2[[#This Row],[Description]]="","",VLOOKUP(Table2[[#This Row],[Description]],$Q$1:$S$101,2,FALSE))</f>
        <v/>
      </c>
      <c r="H7747" s="1" t="str">
        <f>IF(Table2[[#This Row],[Description]]="","",VLOOKUP(Table2[[#This Row],[Description]],$Q$1:$S$101,3,FALSE))</f>
        <v/>
      </c>
      <c r="I7747" s="1" t="str">
        <f>IF(Table2[[#This Row],[Description]]="","",IF(Table2[[#This Row],[Currency]]=$O$2,$P$2,HLOOKUP(Table2[[#This Row],[Date]],Funds!$C$10:$GV$11,2,FALSE)))</f>
        <v/>
      </c>
      <c r="J7747" s="215" t="str">
        <f>IF(Table2[[#This Row],[Description]]="","",Table2[[#This Row],[Value]]/Table2[[#This Row],[Conversion]])</f>
        <v/>
      </c>
      <c r="K7747" s="45" t="str">
        <f>IF(Table2[[#This Row],[Description]]="","",DATE(Table2[[#This Row],[Year]],Table2[[#This Row],[Month]],1))</f>
        <v/>
      </c>
    </row>
    <row r="7748" spans="7:11" x14ac:dyDescent="0.25">
      <c r="G7748" s="1" t="str">
        <f>IF(Table2[[#This Row],[Description]]="","",VLOOKUP(Table2[[#This Row],[Description]],$Q$1:$S$101,2,FALSE))</f>
        <v/>
      </c>
      <c r="H7748" s="1" t="str">
        <f>IF(Table2[[#This Row],[Description]]="","",VLOOKUP(Table2[[#This Row],[Description]],$Q$1:$S$101,3,FALSE))</f>
        <v/>
      </c>
      <c r="I7748" s="1" t="str">
        <f>IF(Table2[[#This Row],[Description]]="","",IF(Table2[[#This Row],[Currency]]=$O$2,$P$2,HLOOKUP(Table2[[#This Row],[Date]],Funds!$C$10:$GV$11,2,FALSE)))</f>
        <v/>
      </c>
      <c r="J7748" s="215" t="str">
        <f>IF(Table2[[#This Row],[Description]]="","",Table2[[#This Row],[Value]]/Table2[[#This Row],[Conversion]])</f>
        <v/>
      </c>
      <c r="K7748" s="45" t="str">
        <f>IF(Table2[[#This Row],[Description]]="","",DATE(Table2[[#This Row],[Year]],Table2[[#This Row],[Month]],1))</f>
        <v/>
      </c>
    </row>
    <row r="7749" spans="7:11" x14ac:dyDescent="0.25">
      <c r="G7749" s="1" t="str">
        <f>IF(Table2[[#This Row],[Description]]="","",VLOOKUP(Table2[[#This Row],[Description]],$Q$1:$S$101,2,FALSE))</f>
        <v/>
      </c>
      <c r="H7749" s="1" t="str">
        <f>IF(Table2[[#This Row],[Description]]="","",VLOOKUP(Table2[[#This Row],[Description]],$Q$1:$S$101,3,FALSE))</f>
        <v/>
      </c>
      <c r="I7749" s="1" t="str">
        <f>IF(Table2[[#This Row],[Description]]="","",IF(Table2[[#This Row],[Currency]]=$O$2,$P$2,HLOOKUP(Table2[[#This Row],[Date]],Funds!$C$10:$GV$11,2,FALSE)))</f>
        <v/>
      </c>
      <c r="J7749" s="215" t="str">
        <f>IF(Table2[[#This Row],[Description]]="","",Table2[[#This Row],[Value]]/Table2[[#This Row],[Conversion]])</f>
        <v/>
      </c>
      <c r="K7749" s="45" t="str">
        <f>IF(Table2[[#This Row],[Description]]="","",DATE(Table2[[#This Row],[Year]],Table2[[#This Row],[Month]],1))</f>
        <v/>
      </c>
    </row>
    <row r="7750" spans="7:11" x14ac:dyDescent="0.25">
      <c r="G7750" s="1" t="str">
        <f>IF(Table2[[#This Row],[Description]]="","",VLOOKUP(Table2[[#This Row],[Description]],$Q$1:$S$101,2,FALSE))</f>
        <v/>
      </c>
      <c r="H7750" s="1" t="str">
        <f>IF(Table2[[#This Row],[Description]]="","",VLOOKUP(Table2[[#This Row],[Description]],$Q$1:$S$101,3,FALSE))</f>
        <v/>
      </c>
      <c r="I7750" s="1" t="str">
        <f>IF(Table2[[#This Row],[Description]]="","",IF(Table2[[#This Row],[Currency]]=$O$2,$P$2,HLOOKUP(Table2[[#This Row],[Date]],Funds!$C$10:$GV$11,2,FALSE)))</f>
        <v/>
      </c>
      <c r="J7750" s="215" t="str">
        <f>IF(Table2[[#This Row],[Description]]="","",Table2[[#This Row],[Value]]/Table2[[#This Row],[Conversion]])</f>
        <v/>
      </c>
      <c r="K7750" s="45" t="str">
        <f>IF(Table2[[#This Row],[Description]]="","",DATE(Table2[[#This Row],[Year]],Table2[[#This Row],[Month]],1))</f>
        <v/>
      </c>
    </row>
    <row r="7751" spans="7:11" x14ac:dyDescent="0.25">
      <c r="G7751" s="1" t="str">
        <f>IF(Table2[[#This Row],[Description]]="","",VLOOKUP(Table2[[#This Row],[Description]],$Q$1:$S$101,2,FALSE))</f>
        <v/>
      </c>
      <c r="H7751" s="1" t="str">
        <f>IF(Table2[[#This Row],[Description]]="","",VLOOKUP(Table2[[#This Row],[Description]],$Q$1:$S$101,3,FALSE))</f>
        <v/>
      </c>
      <c r="I7751" s="1" t="str">
        <f>IF(Table2[[#This Row],[Description]]="","",IF(Table2[[#This Row],[Currency]]=$O$2,$P$2,HLOOKUP(Table2[[#This Row],[Date]],Funds!$C$10:$GV$11,2,FALSE)))</f>
        <v/>
      </c>
      <c r="J7751" s="215" t="str">
        <f>IF(Table2[[#This Row],[Description]]="","",Table2[[#This Row],[Value]]/Table2[[#This Row],[Conversion]])</f>
        <v/>
      </c>
      <c r="K7751" s="45" t="str">
        <f>IF(Table2[[#This Row],[Description]]="","",DATE(Table2[[#This Row],[Year]],Table2[[#This Row],[Month]],1))</f>
        <v/>
      </c>
    </row>
    <row r="7752" spans="7:11" x14ac:dyDescent="0.25">
      <c r="G7752" s="1" t="str">
        <f>IF(Table2[[#This Row],[Description]]="","",VLOOKUP(Table2[[#This Row],[Description]],$Q$1:$S$101,2,FALSE))</f>
        <v/>
      </c>
      <c r="H7752" s="1" t="str">
        <f>IF(Table2[[#This Row],[Description]]="","",VLOOKUP(Table2[[#This Row],[Description]],$Q$1:$S$101,3,FALSE))</f>
        <v/>
      </c>
      <c r="I7752" s="1" t="str">
        <f>IF(Table2[[#This Row],[Description]]="","",IF(Table2[[#This Row],[Currency]]=$O$2,$P$2,HLOOKUP(Table2[[#This Row],[Date]],Funds!$C$10:$GV$11,2,FALSE)))</f>
        <v/>
      </c>
      <c r="J7752" s="215" t="str">
        <f>IF(Table2[[#This Row],[Description]]="","",Table2[[#This Row],[Value]]/Table2[[#This Row],[Conversion]])</f>
        <v/>
      </c>
      <c r="K7752" s="45" t="str">
        <f>IF(Table2[[#This Row],[Description]]="","",DATE(Table2[[#This Row],[Year]],Table2[[#This Row],[Month]],1))</f>
        <v/>
      </c>
    </row>
    <row r="7753" spans="7:11" x14ac:dyDescent="0.25">
      <c r="G7753" s="1" t="str">
        <f>IF(Table2[[#This Row],[Description]]="","",VLOOKUP(Table2[[#This Row],[Description]],$Q$1:$S$101,2,FALSE))</f>
        <v/>
      </c>
      <c r="H7753" s="1" t="str">
        <f>IF(Table2[[#This Row],[Description]]="","",VLOOKUP(Table2[[#This Row],[Description]],$Q$1:$S$101,3,FALSE))</f>
        <v/>
      </c>
      <c r="I7753" s="1" t="str">
        <f>IF(Table2[[#This Row],[Description]]="","",IF(Table2[[#This Row],[Currency]]=$O$2,$P$2,HLOOKUP(Table2[[#This Row],[Date]],Funds!$C$10:$GV$11,2,FALSE)))</f>
        <v/>
      </c>
      <c r="J7753" s="215" t="str">
        <f>IF(Table2[[#This Row],[Description]]="","",Table2[[#This Row],[Value]]/Table2[[#This Row],[Conversion]])</f>
        <v/>
      </c>
      <c r="K7753" s="45" t="str">
        <f>IF(Table2[[#This Row],[Description]]="","",DATE(Table2[[#This Row],[Year]],Table2[[#This Row],[Month]],1))</f>
        <v/>
      </c>
    </row>
    <row r="7754" spans="7:11" x14ac:dyDescent="0.25">
      <c r="G7754" s="1" t="str">
        <f>IF(Table2[[#This Row],[Description]]="","",VLOOKUP(Table2[[#This Row],[Description]],$Q$1:$S$101,2,FALSE))</f>
        <v/>
      </c>
      <c r="H7754" s="1" t="str">
        <f>IF(Table2[[#This Row],[Description]]="","",VLOOKUP(Table2[[#This Row],[Description]],$Q$1:$S$101,3,FALSE))</f>
        <v/>
      </c>
      <c r="I7754" s="1" t="str">
        <f>IF(Table2[[#This Row],[Description]]="","",IF(Table2[[#This Row],[Currency]]=$O$2,$P$2,HLOOKUP(Table2[[#This Row],[Date]],Funds!$C$10:$GV$11,2,FALSE)))</f>
        <v/>
      </c>
      <c r="J7754" s="215" t="str">
        <f>IF(Table2[[#This Row],[Description]]="","",Table2[[#This Row],[Value]]/Table2[[#This Row],[Conversion]])</f>
        <v/>
      </c>
      <c r="K7754" s="45" t="str">
        <f>IF(Table2[[#This Row],[Description]]="","",DATE(Table2[[#This Row],[Year]],Table2[[#This Row],[Month]],1))</f>
        <v/>
      </c>
    </row>
    <row r="7755" spans="7:11" x14ac:dyDescent="0.25">
      <c r="G7755" s="1" t="str">
        <f>IF(Table2[[#This Row],[Description]]="","",VLOOKUP(Table2[[#This Row],[Description]],$Q$1:$S$101,2,FALSE))</f>
        <v/>
      </c>
      <c r="H7755" s="1" t="str">
        <f>IF(Table2[[#This Row],[Description]]="","",VLOOKUP(Table2[[#This Row],[Description]],$Q$1:$S$101,3,FALSE))</f>
        <v/>
      </c>
      <c r="I7755" s="1" t="str">
        <f>IF(Table2[[#This Row],[Description]]="","",IF(Table2[[#This Row],[Currency]]=$O$2,$P$2,HLOOKUP(Table2[[#This Row],[Date]],Funds!$C$10:$GV$11,2,FALSE)))</f>
        <v/>
      </c>
      <c r="J7755" s="215" t="str">
        <f>IF(Table2[[#This Row],[Description]]="","",Table2[[#This Row],[Value]]/Table2[[#This Row],[Conversion]])</f>
        <v/>
      </c>
      <c r="K7755" s="45" t="str">
        <f>IF(Table2[[#This Row],[Description]]="","",DATE(Table2[[#This Row],[Year]],Table2[[#This Row],[Month]],1))</f>
        <v/>
      </c>
    </row>
    <row r="7756" spans="7:11" x14ac:dyDescent="0.25">
      <c r="G7756" s="1" t="str">
        <f>IF(Table2[[#This Row],[Description]]="","",VLOOKUP(Table2[[#This Row],[Description]],$Q$1:$S$101,2,FALSE))</f>
        <v/>
      </c>
      <c r="H7756" s="1" t="str">
        <f>IF(Table2[[#This Row],[Description]]="","",VLOOKUP(Table2[[#This Row],[Description]],$Q$1:$S$101,3,FALSE))</f>
        <v/>
      </c>
      <c r="I7756" s="1" t="str">
        <f>IF(Table2[[#This Row],[Description]]="","",IF(Table2[[#This Row],[Currency]]=$O$2,$P$2,HLOOKUP(Table2[[#This Row],[Date]],Funds!$C$10:$GV$11,2,FALSE)))</f>
        <v/>
      </c>
      <c r="J7756" s="215" t="str">
        <f>IF(Table2[[#This Row],[Description]]="","",Table2[[#This Row],[Value]]/Table2[[#This Row],[Conversion]])</f>
        <v/>
      </c>
      <c r="K7756" s="45" t="str">
        <f>IF(Table2[[#This Row],[Description]]="","",DATE(Table2[[#This Row],[Year]],Table2[[#This Row],[Month]],1))</f>
        <v/>
      </c>
    </row>
    <row r="7757" spans="7:11" x14ac:dyDescent="0.25">
      <c r="G7757" s="1" t="str">
        <f>IF(Table2[[#This Row],[Description]]="","",VLOOKUP(Table2[[#This Row],[Description]],$Q$1:$S$101,2,FALSE))</f>
        <v/>
      </c>
      <c r="H7757" s="1" t="str">
        <f>IF(Table2[[#This Row],[Description]]="","",VLOOKUP(Table2[[#This Row],[Description]],$Q$1:$S$101,3,FALSE))</f>
        <v/>
      </c>
      <c r="I7757" s="1" t="str">
        <f>IF(Table2[[#This Row],[Description]]="","",IF(Table2[[#This Row],[Currency]]=$O$2,$P$2,HLOOKUP(Table2[[#This Row],[Date]],Funds!$C$10:$GV$11,2,FALSE)))</f>
        <v/>
      </c>
      <c r="J7757" s="215" t="str">
        <f>IF(Table2[[#This Row],[Description]]="","",Table2[[#This Row],[Value]]/Table2[[#This Row],[Conversion]])</f>
        <v/>
      </c>
      <c r="K7757" s="45" t="str">
        <f>IF(Table2[[#This Row],[Description]]="","",DATE(Table2[[#This Row],[Year]],Table2[[#This Row],[Month]],1))</f>
        <v/>
      </c>
    </row>
    <row r="7758" spans="7:11" x14ac:dyDescent="0.25">
      <c r="G7758" s="1" t="str">
        <f>IF(Table2[[#This Row],[Description]]="","",VLOOKUP(Table2[[#This Row],[Description]],$Q$1:$S$101,2,FALSE))</f>
        <v/>
      </c>
      <c r="H7758" s="1" t="str">
        <f>IF(Table2[[#This Row],[Description]]="","",VLOOKUP(Table2[[#This Row],[Description]],$Q$1:$S$101,3,FALSE))</f>
        <v/>
      </c>
      <c r="I7758" s="1" t="str">
        <f>IF(Table2[[#This Row],[Description]]="","",IF(Table2[[#This Row],[Currency]]=$O$2,$P$2,HLOOKUP(Table2[[#This Row],[Date]],Funds!$C$10:$GV$11,2,FALSE)))</f>
        <v/>
      </c>
      <c r="J7758" s="215" t="str">
        <f>IF(Table2[[#This Row],[Description]]="","",Table2[[#This Row],[Value]]/Table2[[#This Row],[Conversion]])</f>
        <v/>
      </c>
      <c r="K7758" s="45" t="str">
        <f>IF(Table2[[#This Row],[Description]]="","",DATE(Table2[[#This Row],[Year]],Table2[[#This Row],[Month]],1))</f>
        <v/>
      </c>
    </row>
    <row r="7759" spans="7:11" x14ac:dyDescent="0.25">
      <c r="G7759" s="1" t="str">
        <f>IF(Table2[[#This Row],[Description]]="","",VLOOKUP(Table2[[#This Row],[Description]],$Q$1:$S$101,2,FALSE))</f>
        <v/>
      </c>
      <c r="H7759" s="1" t="str">
        <f>IF(Table2[[#This Row],[Description]]="","",VLOOKUP(Table2[[#This Row],[Description]],$Q$1:$S$101,3,FALSE))</f>
        <v/>
      </c>
      <c r="I7759" s="1" t="str">
        <f>IF(Table2[[#This Row],[Description]]="","",IF(Table2[[#This Row],[Currency]]=$O$2,$P$2,HLOOKUP(Table2[[#This Row],[Date]],Funds!$C$10:$GV$11,2,FALSE)))</f>
        <v/>
      </c>
      <c r="J7759" s="215" t="str">
        <f>IF(Table2[[#This Row],[Description]]="","",Table2[[#This Row],[Value]]/Table2[[#This Row],[Conversion]])</f>
        <v/>
      </c>
      <c r="K7759" s="45" t="str">
        <f>IF(Table2[[#This Row],[Description]]="","",DATE(Table2[[#This Row],[Year]],Table2[[#This Row],[Month]],1))</f>
        <v/>
      </c>
    </row>
    <row r="7760" spans="7:11" x14ac:dyDescent="0.25">
      <c r="G7760" s="1" t="str">
        <f>IF(Table2[[#This Row],[Description]]="","",VLOOKUP(Table2[[#This Row],[Description]],$Q$1:$S$101,2,FALSE))</f>
        <v/>
      </c>
      <c r="H7760" s="1" t="str">
        <f>IF(Table2[[#This Row],[Description]]="","",VLOOKUP(Table2[[#This Row],[Description]],$Q$1:$S$101,3,FALSE))</f>
        <v/>
      </c>
      <c r="I7760" s="1" t="str">
        <f>IF(Table2[[#This Row],[Description]]="","",IF(Table2[[#This Row],[Currency]]=$O$2,$P$2,HLOOKUP(Table2[[#This Row],[Date]],Funds!$C$10:$GV$11,2,FALSE)))</f>
        <v/>
      </c>
      <c r="J7760" s="215" t="str">
        <f>IF(Table2[[#This Row],[Description]]="","",Table2[[#This Row],[Value]]/Table2[[#This Row],[Conversion]])</f>
        <v/>
      </c>
      <c r="K7760" s="45" t="str">
        <f>IF(Table2[[#This Row],[Description]]="","",DATE(Table2[[#This Row],[Year]],Table2[[#This Row],[Month]],1))</f>
        <v/>
      </c>
    </row>
    <row r="7761" spans="7:11" x14ac:dyDescent="0.25">
      <c r="G7761" s="1" t="str">
        <f>IF(Table2[[#This Row],[Description]]="","",VLOOKUP(Table2[[#This Row],[Description]],$Q$1:$S$101,2,FALSE))</f>
        <v/>
      </c>
      <c r="H7761" s="1" t="str">
        <f>IF(Table2[[#This Row],[Description]]="","",VLOOKUP(Table2[[#This Row],[Description]],$Q$1:$S$101,3,FALSE))</f>
        <v/>
      </c>
      <c r="I7761" s="1" t="str">
        <f>IF(Table2[[#This Row],[Description]]="","",IF(Table2[[#This Row],[Currency]]=$O$2,$P$2,HLOOKUP(Table2[[#This Row],[Date]],Funds!$C$10:$GV$11,2,FALSE)))</f>
        <v/>
      </c>
      <c r="J7761" s="215" t="str">
        <f>IF(Table2[[#This Row],[Description]]="","",Table2[[#This Row],[Value]]/Table2[[#This Row],[Conversion]])</f>
        <v/>
      </c>
      <c r="K7761" s="45" t="str">
        <f>IF(Table2[[#This Row],[Description]]="","",DATE(Table2[[#This Row],[Year]],Table2[[#This Row],[Month]],1))</f>
        <v/>
      </c>
    </row>
    <row r="7762" spans="7:11" x14ac:dyDescent="0.25">
      <c r="G7762" s="1" t="str">
        <f>IF(Table2[[#This Row],[Description]]="","",VLOOKUP(Table2[[#This Row],[Description]],$Q$1:$S$101,2,FALSE))</f>
        <v/>
      </c>
      <c r="H7762" s="1" t="str">
        <f>IF(Table2[[#This Row],[Description]]="","",VLOOKUP(Table2[[#This Row],[Description]],$Q$1:$S$101,3,FALSE))</f>
        <v/>
      </c>
      <c r="I7762" s="1" t="str">
        <f>IF(Table2[[#This Row],[Description]]="","",IF(Table2[[#This Row],[Currency]]=$O$2,$P$2,HLOOKUP(Table2[[#This Row],[Date]],Funds!$C$10:$GV$11,2,FALSE)))</f>
        <v/>
      </c>
      <c r="J7762" s="215" t="str">
        <f>IF(Table2[[#This Row],[Description]]="","",Table2[[#This Row],[Value]]/Table2[[#This Row],[Conversion]])</f>
        <v/>
      </c>
      <c r="K7762" s="45" t="str">
        <f>IF(Table2[[#This Row],[Description]]="","",DATE(Table2[[#This Row],[Year]],Table2[[#This Row],[Month]],1))</f>
        <v/>
      </c>
    </row>
    <row r="7763" spans="7:11" x14ac:dyDescent="0.25">
      <c r="G7763" s="1" t="str">
        <f>IF(Table2[[#This Row],[Description]]="","",VLOOKUP(Table2[[#This Row],[Description]],$Q$1:$S$101,2,FALSE))</f>
        <v/>
      </c>
      <c r="H7763" s="1" t="str">
        <f>IF(Table2[[#This Row],[Description]]="","",VLOOKUP(Table2[[#This Row],[Description]],$Q$1:$S$101,3,FALSE))</f>
        <v/>
      </c>
      <c r="I7763" s="1" t="str">
        <f>IF(Table2[[#This Row],[Description]]="","",IF(Table2[[#This Row],[Currency]]=$O$2,$P$2,HLOOKUP(Table2[[#This Row],[Date]],Funds!$C$10:$GV$11,2,FALSE)))</f>
        <v/>
      </c>
      <c r="J7763" s="215" t="str">
        <f>IF(Table2[[#This Row],[Description]]="","",Table2[[#This Row],[Value]]/Table2[[#This Row],[Conversion]])</f>
        <v/>
      </c>
      <c r="K7763" s="45" t="str">
        <f>IF(Table2[[#This Row],[Description]]="","",DATE(Table2[[#This Row],[Year]],Table2[[#This Row],[Month]],1))</f>
        <v/>
      </c>
    </row>
    <row r="7764" spans="7:11" x14ac:dyDescent="0.25">
      <c r="G7764" s="1" t="str">
        <f>IF(Table2[[#This Row],[Description]]="","",VLOOKUP(Table2[[#This Row],[Description]],$Q$1:$S$101,2,FALSE))</f>
        <v/>
      </c>
      <c r="H7764" s="1" t="str">
        <f>IF(Table2[[#This Row],[Description]]="","",VLOOKUP(Table2[[#This Row],[Description]],$Q$1:$S$101,3,FALSE))</f>
        <v/>
      </c>
      <c r="I7764" s="1" t="str">
        <f>IF(Table2[[#This Row],[Description]]="","",IF(Table2[[#This Row],[Currency]]=$O$2,$P$2,HLOOKUP(Table2[[#This Row],[Date]],Funds!$C$10:$GV$11,2,FALSE)))</f>
        <v/>
      </c>
      <c r="J7764" s="215" t="str">
        <f>IF(Table2[[#This Row],[Description]]="","",Table2[[#This Row],[Value]]/Table2[[#This Row],[Conversion]])</f>
        <v/>
      </c>
      <c r="K7764" s="45" t="str">
        <f>IF(Table2[[#This Row],[Description]]="","",DATE(Table2[[#This Row],[Year]],Table2[[#This Row],[Month]],1))</f>
        <v/>
      </c>
    </row>
    <row r="7765" spans="7:11" x14ac:dyDescent="0.25">
      <c r="G7765" s="1" t="str">
        <f>IF(Table2[[#This Row],[Description]]="","",VLOOKUP(Table2[[#This Row],[Description]],$Q$1:$S$101,2,FALSE))</f>
        <v/>
      </c>
      <c r="H7765" s="1" t="str">
        <f>IF(Table2[[#This Row],[Description]]="","",VLOOKUP(Table2[[#This Row],[Description]],$Q$1:$S$101,3,FALSE))</f>
        <v/>
      </c>
      <c r="I7765" s="1" t="str">
        <f>IF(Table2[[#This Row],[Description]]="","",IF(Table2[[#This Row],[Currency]]=$O$2,$P$2,HLOOKUP(Table2[[#This Row],[Date]],Funds!$C$10:$GV$11,2,FALSE)))</f>
        <v/>
      </c>
      <c r="J7765" s="215" t="str">
        <f>IF(Table2[[#This Row],[Description]]="","",Table2[[#This Row],[Value]]/Table2[[#This Row],[Conversion]])</f>
        <v/>
      </c>
      <c r="K7765" s="45" t="str">
        <f>IF(Table2[[#This Row],[Description]]="","",DATE(Table2[[#This Row],[Year]],Table2[[#This Row],[Month]],1))</f>
        <v/>
      </c>
    </row>
    <row r="7766" spans="7:11" x14ac:dyDescent="0.25">
      <c r="G7766" s="1" t="str">
        <f>IF(Table2[[#This Row],[Description]]="","",VLOOKUP(Table2[[#This Row],[Description]],$Q$1:$S$101,2,FALSE))</f>
        <v/>
      </c>
      <c r="H7766" s="1" t="str">
        <f>IF(Table2[[#This Row],[Description]]="","",VLOOKUP(Table2[[#This Row],[Description]],$Q$1:$S$101,3,FALSE))</f>
        <v/>
      </c>
      <c r="I7766" s="1" t="str">
        <f>IF(Table2[[#This Row],[Description]]="","",IF(Table2[[#This Row],[Currency]]=$O$2,$P$2,HLOOKUP(Table2[[#This Row],[Date]],Funds!$C$10:$GV$11,2,FALSE)))</f>
        <v/>
      </c>
      <c r="J7766" s="215" t="str">
        <f>IF(Table2[[#This Row],[Description]]="","",Table2[[#This Row],[Value]]/Table2[[#This Row],[Conversion]])</f>
        <v/>
      </c>
      <c r="K7766" s="45" t="str">
        <f>IF(Table2[[#This Row],[Description]]="","",DATE(Table2[[#This Row],[Year]],Table2[[#This Row],[Month]],1))</f>
        <v/>
      </c>
    </row>
    <row r="7767" spans="7:11" x14ac:dyDescent="0.25">
      <c r="G7767" s="1" t="str">
        <f>IF(Table2[[#This Row],[Description]]="","",VLOOKUP(Table2[[#This Row],[Description]],$Q$1:$S$101,2,FALSE))</f>
        <v/>
      </c>
      <c r="H7767" s="1" t="str">
        <f>IF(Table2[[#This Row],[Description]]="","",VLOOKUP(Table2[[#This Row],[Description]],$Q$1:$S$101,3,FALSE))</f>
        <v/>
      </c>
      <c r="I7767" s="1" t="str">
        <f>IF(Table2[[#This Row],[Description]]="","",IF(Table2[[#This Row],[Currency]]=$O$2,$P$2,HLOOKUP(Table2[[#This Row],[Date]],Funds!$C$10:$GV$11,2,FALSE)))</f>
        <v/>
      </c>
      <c r="J7767" s="215" t="str">
        <f>IF(Table2[[#This Row],[Description]]="","",Table2[[#This Row],[Value]]/Table2[[#This Row],[Conversion]])</f>
        <v/>
      </c>
      <c r="K7767" s="45" t="str">
        <f>IF(Table2[[#This Row],[Description]]="","",DATE(Table2[[#This Row],[Year]],Table2[[#This Row],[Month]],1))</f>
        <v/>
      </c>
    </row>
    <row r="7768" spans="7:11" x14ac:dyDescent="0.25">
      <c r="G7768" s="1" t="str">
        <f>IF(Table2[[#This Row],[Description]]="","",VLOOKUP(Table2[[#This Row],[Description]],$Q$1:$S$101,2,FALSE))</f>
        <v/>
      </c>
      <c r="H7768" s="1" t="str">
        <f>IF(Table2[[#This Row],[Description]]="","",VLOOKUP(Table2[[#This Row],[Description]],$Q$1:$S$101,3,FALSE))</f>
        <v/>
      </c>
      <c r="I7768" s="1" t="str">
        <f>IF(Table2[[#This Row],[Description]]="","",IF(Table2[[#This Row],[Currency]]=$O$2,$P$2,HLOOKUP(Table2[[#This Row],[Date]],Funds!$C$10:$GV$11,2,FALSE)))</f>
        <v/>
      </c>
      <c r="J7768" s="215" t="str">
        <f>IF(Table2[[#This Row],[Description]]="","",Table2[[#This Row],[Value]]/Table2[[#This Row],[Conversion]])</f>
        <v/>
      </c>
      <c r="K7768" s="45" t="str">
        <f>IF(Table2[[#This Row],[Description]]="","",DATE(Table2[[#This Row],[Year]],Table2[[#This Row],[Month]],1))</f>
        <v/>
      </c>
    </row>
    <row r="7769" spans="7:11" x14ac:dyDescent="0.25">
      <c r="G7769" s="1" t="str">
        <f>IF(Table2[[#This Row],[Description]]="","",VLOOKUP(Table2[[#This Row],[Description]],$Q$1:$S$101,2,FALSE))</f>
        <v/>
      </c>
      <c r="H7769" s="1" t="str">
        <f>IF(Table2[[#This Row],[Description]]="","",VLOOKUP(Table2[[#This Row],[Description]],$Q$1:$S$101,3,FALSE))</f>
        <v/>
      </c>
      <c r="I7769" s="1" t="str">
        <f>IF(Table2[[#This Row],[Description]]="","",IF(Table2[[#This Row],[Currency]]=$O$2,$P$2,HLOOKUP(Table2[[#This Row],[Date]],Funds!$C$10:$GV$11,2,FALSE)))</f>
        <v/>
      </c>
      <c r="J7769" s="215" t="str">
        <f>IF(Table2[[#This Row],[Description]]="","",Table2[[#This Row],[Value]]/Table2[[#This Row],[Conversion]])</f>
        <v/>
      </c>
      <c r="K7769" s="45" t="str">
        <f>IF(Table2[[#This Row],[Description]]="","",DATE(Table2[[#This Row],[Year]],Table2[[#This Row],[Month]],1))</f>
        <v/>
      </c>
    </row>
    <row r="7770" spans="7:11" x14ac:dyDescent="0.25">
      <c r="G7770" s="1" t="str">
        <f>IF(Table2[[#This Row],[Description]]="","",VLOOKUP(Table2[[#This Row],[Description]],$Q$1:$S$101,2,FALSE))</f>
        <v/>
      </c>
      <c r="H7770" s="1" t="str">
        <f>IF(Table2[[#This Row],[Description]]="","",VLOOKUP(Table2[[#This Row],[Description]],$Q$1:$S$101,3,FALSE))</f>
        <v/>
      </c>
      <c r="I7770" s="1" t="str">
        <f>IF(Table2[[#This Row],[Description]]="","",IF(Table2[[#This Row],[Currency]]=$O$2,$P$2,HLOOKUP(Table2[[#This Row],[Date]],Funds!$C$10:$GV$11,2,FALSE)))</f>
        <v/>
      </c>
      <c r="J7770" s="215" t="str">
        <f>IF(Table2[[#This Row],[Description]]="","",Table2[[#This Row],[Value]]/Table2[[#This Row],[Conversion]])</f>
        <v/>
      </c>
      <c r="K7770" s="45" t="str">
        <f>IF(Table2[[#This Row],[Description]]="","",DATE(Table2[[#This Row],[Year]],Table2[[#This Row],[Month]],1))</f>
        <v/>
      </c>
    </row>
    <row r="7771" spans="7:11" x14ac:dyDescent="0.25">
      <c r="G7771" s="1" t="str">
        <f>IF(Table2[[#This Row],[Description]]="","",VLOOKUP(Table2[[#This Row],[Description]],$Q$1:$S$101,2,FALSE))</f>
        <v/>
      </c>
      <c r="H7771" s="1" t="str">
        <f>IF(Table2[[#This Row],[Description]]="","",VLOOKUP(Table2[[#This Row],[Description]],$Q$1:$S$101,3,FALSE))</f>
        <v/>
      </c>
      <c r="I7771" s="1" t="str">
        <f>IF(Table2[[#This Row],[Description]]="","",IF(Table2[[#This Row],[Currency]]=$O$2,$P$2,HLOOKUP(Table2[[#This Row],[Date]],Funds!$C$10:$GV$11,2,FALSE)))</f>
        <v/>
      </c>
      <c r="J7771" s="215" t="str">
        <f>IF(Table2[[#This Row],[Description]]="","",Table2[[#This Row],[Value]]/Table2[[#This Row],[Conversion]])</f>
        <v/>
      </c>
      <c r="K7771" s="45" t="str">
        <f>IF(Table2[[#This Row],[Description]]="","",DATE(Table2[[#This Row],[Year]],Table2[[#This Row],[Month]],1))</f>
        <v/>
      </c>
    </row>
    <row r="7772" spans="7:11" x14ac:dyDescent="0.25">
      <c r="G7772" s="1" t="str">
        <f>IF(Table2[[#This Row],[Description]]="","",VLOOKUP(Table2[[#This Row],[Description]],$Q$1:$S$101,2,FALSE))</f>
        <v/>
      </c>
      <c r="H7772" s="1" t="str">
        <f>IF(Table2[[#This Row],[Description]]="","",VLOOKUP(Table2[[#This Row],[Description]],$Q$1:$S$101,3,FALSE))</f>
        <v/>
      </c>
      <c r="I7772" s="1" t="str">
        <f>IF(Table2[[#This Row],[Description]]="","",IF(Table2[[#This Row],[Currency]]=$O$2,$P$2,HLOOKUP(Table2[[#This Row],[Date]],Funds!$C$10:$GV$11,2,FALSE)))</f>
        <v/>
      </c>
      <c r="J7772" s="215" t="str">
        <f>IF(Table2[[#This Row],[Description]]="","",Table2[[#This Row],[Value]]/Table2[[#This Row],[Conversion]])</f>
        <v/>
      </c>
      <c r="K7772" s="45" t="str">
        <f>IF(Table2[[#This Row],[Description]]="","",DATE(Table2[[#This Row],[Year]],Table2[[#This Row],[Month]],1))</f>
        <v/>
      </c>
    </row>
    <row r="7773" spans="7:11" x14ac:dyDescent="0.25">
      <c r="G7773" s="1" t="str">
        <f>IF(Table2[[#This Row],[Description]]="","",VLOOKUP(Table2[[#This Row],[Description]],$Q$1:$S$101,2,FALSE))</f>
        <v/>
      </c>
      <c r="H7773" s="1" t="str">
        <f>IF(Table2[[#This Row],[Description]]="","",VLOOKUP(Table2[[#This Row],[Description]],$Q$1:$S$101,3,FALSE))</f>
        <v/>
      </c>
      <c r="I7773" s="1" t="str">
        <f>IF(Table2[[#This Row],[Description]]="","",IF(Table2[[#This Row],[Currency]]=$O$2,$P$2,HLOOKUP(Table2[[#This Row],[Date]],Funds!$C$10:$GV$11,2,FALSE)))</f>
        <v/>
      </c>
      <c r="J7773" s="215" t="str">
        <f>IF(Table2[[#This Row],[Description]]="","",Table2[[#This Row],[Value]]/Table2[[#This Row],[Conversion]])</f>
        <v/>
      </c>
      <c r="K7773" s="45" t="str">
        <f>IF(Table2[[#This Row],[Description]]="","",DATE(Table2[[#This Row],[Year]],Table2[[#This Row],[Month]],1))</f>
        <v/>
      </c>
    </row>
    <row r="7774" spans="7:11" x14ac:dyDescent="0.25">
      <c r="G7774" s="1" t="str">
        <f>IF(Table2[[#This Row],[Description]]="","",VLOOKUP(Table2[[#This Row],[Description]],$Q$1:$S$101,2,FALSE))</f>
        <v/>
      </c>
      <c r="H7774" s="1" t="str">
        <f>IF(Table2[[#This Row],[Description]]="","",VLOOKUP(Table2[[#This Row],[Description]],$Q$1:$S$101,3,FALSE))</f>
        <v/>
      </c>
      <c r="I7774" s="1" t="str">
        <f>IF(Table2[[#This Row],[Description]]="","",IF(Table2[[#This Row],[Currency]]=$O$2,$P$2,HLOOKUP(Table2[[#This Row],[Date]],Funds!$C$10:$GV$11,2,FALSE)))</f>
        <v/>
      </c>
      <c r="J7774" s="215" t="str">
        <f>IF(Table2[[#This Row],[Description]]="","",Table2[[#This Row],[Value]]/Table2[[#This Row],[Conversion]])</f>
        <v/>
      </c>
      <c r="K7774" s="45" t="str">
        <f>IF(Table2[[#This Row],[Description]]="","",DATE(Table2[[#This Row],[Year]],Table2[[#This Row],[Month]],1))</f>
        <v/>
      </c>
    </row>
    <row r="7775" spans="7:11" x14ac:dyDescent="0.25">
      <c r="G7775" s="1" t="str">
        <f>IF(Table2[[#This Row],[Description]]="","",VLOOKUP(Table2[[#This Row],[Description]],$Q$1:$S$101,2,FALSE))</f>
        <v/>
      </c>
      <c r="H7775" s="1" t="str">
        <f>IF(Table2[[#This Row],[Description]]="","",VLOOKUP(Table2[[#This Row],[Description]],$Q$1:$S$101,3,FALSE))</f>
        <v/>
      </c>
      <c r="I7775" s="1" t="str">
        <f>IF(Table2[[#This Row],[Description]]="","",IF(Table2[[#This Row],[Currency]]=$O$2,$P$2,HLOOKUP(Table2[[#This Row],[Date]],Funds!$C$10:$GV$11,2,FALSE)))</f>
        <v/>
      </c>
      <c r="J7775" s="215" t="str">
        <f>IF(Table2[[#This Row],[Description]]="","",Table2[[#This Row],[Value]]/Table2[[#This Row],[Conversion]])</f>
        <v/>
      </c>
      <c r="K7775" s="45" t="str">
        <f>IF(Table2[[#This Row],[Description]]="","",DATE(Table2[[#This Row],[Year]],Table2[[#This Row],[Month]],1))</f>
        <v/>
      </c>
    </row>
    <row r="7776" spans="7:11" x14ac:dyDescent="0.25">
      <c r="G7776" s="1" t="str">
        <f>IF(Table2[[#This Row],[Description]]="","",VLOOKUP(Table2[[#This Row],[Description]],$Q$1:$S$101,2,FALSE))</f>
        <v/>
      </c>
      <c r="H7776" s="1" t="str">
        <f>IF(Table2[[#This Row],[Description]]="","",VLOOKUP(Table2[[#This Row],[Description]],$Q$1:$S$101,3,FALSE))</f>
        <v/>
      </c>
      <c r="I7776" s="1" t="str">
        <f>IF(Table2[[#This Row],[Description]]="","",IF(Table2[[#This Row],[Currency]]=$O$2,$P$2,HLOOKUP(Table2[[#This Row],[Date]],Funds!$C$10:$GV$11,2,FALSE)))</f>
        <v/>
      </c>
      <c r="J7776" s="215" t="str">
        <f>IF(Table2[[#This Row],[Description]]="","",Table2[[#This Row],[Value]]/Table2[[#This Row],[Conversion]])</f>
        <v/>
      </c>
      <c r="K7776" s="45" t="str">
        <f>IF(Table2[[#This Row],[Description]]="","",DATE(Table2[[#This Row],[Year]],Table2[[#This Row],[Month]],1))</f>
        <v/>
      </c>
    </row>
    <row r="7777" spans="7:11" x14ac:dyDescent="0.25">
      <c r="G7777" s="1" t="str">
        <f>IF(Table2[[#This Row],[Description]]="","",VLOOKUP(Table2[[#This Row],[Description]],$Q$1:$S$101,2,FALSE))</f>
        <v/>
      </c>
      <c r="H7777" s="1" t="str">
        <f>IF(Table2[[#This Row],[Description]]="","",VLOOKUP(Table2[[#This Row],[Description]],$Q$1:$S$101,3,FALSE))</f>
        <v/>
      </c>
      <c r="I7777" s="1" t="str">
        <f>IF(Table2[[#This Row],[Description]]="","",IF(Table2[[#This Row],[Currency]]=$O$2,$P$2,HLOOKUP(Table2[[#This Row],[Date]],Funds!$C$10:$GV$11,2,FALSE)))</f>
        <v/>
      </c>
      <c r="J7777" s="215" t="str">
        <f>IF(Table2[[#This Row],[Description]]="","",Table2[[#This Row],[Value]]/Table2[[#This Row],[Conversion]])</f>
        <v/>
      </c>
      <c r="K7777" s="45" t="str">
        <f>IF(Table2[[#This Row],[Description]]="","",DATE(Table2[[#This Row],[Year]],Table2[[#This Row],[Month]],1))</f>
        <v/>
      </c>
    </row>
    <row r="7778" spans="7:11" x14ac:dyDescent="0.25">
      <c r="G7778" s="1" t="str">
        <f>IF(Table2[[#This Row],[Description]]="","",VLOOKUP(Table2[[#This Row],[Description]],$Q$1:$S$101,2,FALSE))</f>
        <v/>
      </c>
      <c r="H7778" s="1" t="str">
        <f>IF(Table2[[#This Row],[Description]]="","",VLOOKUP(Table2[[#This Row],[Description]],$Q$1:$S$101,3,FALSE))</f>
        <v/>
      </c>
      <c r="I7778" s="1" t="str">
        <f>IF(Table2[[#This Row],[Description]]="","",IF(Table2[[#This Row],[Currency]]=$O$2,$P$2,HLOOKUP(Table2[[#This Row],[Date]],Funds!$C$10:$GV$11,2,FALSE)))</f>
        <v/>
      </c>
      <c r="J7778" s="215" t="str">
        <f>IF(Table2[[#This Row],[Description]]="","",Table2[[#This Row],[Value]]/Table2[[#This Row],[Conversion]])</f>
        <v/>
      </c>
      <c r="K7778" s="45" t="str">
        <f>IF(Table2[[#This Row],[Description]]="","",DATE(Table2[[#This Row],[Year]],Table2[[#This Row],[Month]],1))</f>
        <v/>
      </c>
    </row>
    <row r="7779" spans="7:11" x14ac:dyDescent="0.25">
      <c r="G7779" s="1" t="str">
        <f>IF(Table2[[#This Row],[Description]]="","",VLOOKUP(Table2[[#This Row],[Description]],$Q$1:$S$101,2,FALSE))</f>
        <v/>
      </c>
      <c r="H7779" s="1" t="str">
        <f>IF(Table2[[#This Row],[Description]]="","",VLOOKUP(Table2[[#This Row],[Description]],$Q$1:$S$101,3,FALSE))</f>
        <v/>
      </c>
      <c r="I7779" s="1" t="str">
        <f>IF(Table2[[#This Row],[Description]]="","",IF(Table2[[#This Row],[Currency]]=$O$2,$P$2,HLOOKUP(Table2[[#This Row],[Date]],Funds!$C$10:$GV$11,2,FALSE)))</f>
        <v/>
      </c>
      <c r="J7779" s="215" t="str">
        <f>IF(Table2[[#This Row],[Description]]="","",Table2[[#This Row],[Value]]/Table2[[#This Row],[Conversion]])</f>
        <v/>
      </c>
      <c r="K7779" s="45" t="str">
        <f>IF(Table2[[#This Row],[Description]]="","",DATE(Table2[[#This Row],[Year]],Table2[[#This Row],[Month]],1))</f>
        <v/>
      </c>
    </row>
    <row r="7780" spans="7:11" x14ac:dyDescent="0.25">
      <c r="G7780" s="1" t="str">
        <f>IF(Table2[[#This Row],[Description]]="","",VLOOKUP(Table2[[#This Row],[Description]],$Q$1:$S$101,2,FALSE))</f>
        <v/>
      </c>
      <c r="H7780" s="1" t="str">
        <f>IF(Table2[[#This Row],[Description]]="","",VLOOKUP(Table2[[#This Row],[Description]],$Q$1:$S$101,3,FALSE))</f>
        <v/>
      </c>
      <c r="I7780" s="1" t="str">
        <f>IF(Table2[[#This Row],[Description]]="","",IF(Table2[[#This Row],[Currency]]=$O$2,$P$2,HLOOKUP(Table2[[#This Row],[Date]],Funds!$C$10:$GV$11,2,FALSE)))</f>
        <v/>
      </c>
      <c r="J7780" s="215" t="str">
        <f>IF(Table2[[#This Row],[Description]]="","",Table2[[#This Row],[Value]]/Table2[[#This Row],[Conversion]])</f>
        <v/>
      </c>
      <c r="K7780" s="45" t="str">
        <f>IF(Table2[[#This Row],[Description]]="","",DATE(Table2[[#This Row],[Year]],Table2[[#This Row],[Month]],1))</f>
        <v/>
      </c>
    </row>
    <row r="7781" spans="7:11" x14ac:dyDescent="0.25">
      <c r="G7781" s="1" t="str">
        <f>IF(Table2[[#This Row],[Description]]="","",VLOOKUP(Table2[[#This Row],[Description]],$Q$1:$S$101,2,FALSE))</f>
        <v/>
      </c>
      <c r="H7781" s="1" t="str">
        <f>IF(Table2[[#This Row],[Description]]="","",VLOOKUP(Table2[[#This Row],[Description]],$Q$1:$S$101,3,FALSE))</f>
        <v/>
      </c>
      <c r="I7781" s="1" t="str">
        <f>IF(Table2[[#This Row],[Description]]="","",IF(Table2[[#This Row],[Currency]]=$O$2,$P$2,HLOOKUP(Table2[[#This Row],[Date]],Funds!$C$10:$GV$11,2,FALSE)))</f>
        <v/>
      </c>
      <c r="J7781" s="215" t="str">
        <f>IF(Table2[[#This Row],[Description]]="","",Table2[[#This Row],[Value]]/Table2[[#This Row],[Conversion]])</f>
        <v/>
      </c>
      <c r="K7781" s="45" t="str">
        <f>IF(Table2[[#This Row],[Description]]="","",DATE(Table2[[#This Row],[Year]],Table2[[#This Row],[Month]],1))</f>
        <v/>
      </c>
    </row>
    <row r="7782" spans="7:11" x14ac:dyDescent="0.25">
      <c r="G7782" s="1" t="str">
        <f>IF(Table2[[#This Row],[Description]]="","",VLOOKUP(Table2[[#This Row],[Description]],$Q$1:$S$101,2,FALSE))</f>
        <v/>
      </c>
      <c r="H7782" s="1" t="str">
        <f>IF(Table2[[#This Row],[Description]]="","",VLOOKUP(Table2[[#This Row],[Description]],$Q$1:$S$101,3,FALSE))</f>
        <v/>
      </c>
      <c r="I7782" s="1" t="str">
        <f>IF(Table2[[#This Row],[Description]]="","",IF(Table2[[#This Row],[Currency]]=$O$2,$P$2,HLOOKUP(Table2[[#This Row],[Date]],Funds!$C$10:$GV$11,2,FALSE)))</f>
        <v/>
      </c>
      <c r="J7782" s="215" t="str">
        <f>IF(Table2[[#This Row],[Description]]="","",Table2[[#This Row],[Value]]/Table2[[#This Row],[Conversion]])</f>
        <v/>
      </c>
      <c r="K7782" s="45" t="str">
        <f>IF(Table2[[#This Row],[Description]]="","",DATE(Table2[[#This Row],[Year]],Table2[[#This Row],[Month]],1))</f>
        <v/>
      </c>
    </row>
    <row r="7783" spans="7:11" x14ac:dyDescent="0.25">
      <c r="G7783" s="1" t="str">
        <f>IF(Table2[[#This Row],[Description]]="","",VLOOKUP(Table2[[#This Row],[Description]],$Q$1:$S$101,2,FALSE))</f>
        <v/>
      </c>
      <c r="H7783" s="1" t="str">
        <f>IF(Table2[[#This Row],[Description]]="","",VLOOKUP(Table2[[#This Row],[Description]],$Q$1:$S$101,3,FALSE))</f>
        <v/>
      </c>
      <c r="I7783" s="1" t="str">
        <f>IF(Table2[[#This Row],[Description]]="","",IF(Table2[[#This Row],[Currency]]=$O$2,$P$2,HLOOKUP(Table2[[#This Row],[Date]],Funds!$C$10:$GV$11,2,FALSE)))</f>
        <v/>
      </c>
      <c r="J7783" s="215" t="str">
        <f>IF(Table2[[#This Row],[Description]]="","",Table2[[#This Row],[Value]]/Table2[[#This Row],[Conversion]])</f>
        <v/>
      </c>
      <c r="K7783" s="45" t="str">
        <f>IF(Table2[[#This Row],[Description]]="","",DATE(Table2[[#This Row],[Year]],Table2[[#This Row],[Month]],1))</f>
        <v/>
      </c>
    </row>
    <row r="7784" spans="7:11" x14ac:dyDescent="0.25">
      <c r="G7784" s="1" t="str">
        <f>IF(Table2[[#This Row],[Description]]="","",VLOOKUP(Table2[[#This Row],[Description]],$Q$1:$S$101,2,FALSE))</f>
        <v/>
      </c>
      <c r="H7784" s="1" t="str">
        <f>IF(Table2[[#This Row],[Description]]="","",VLOOKUP(Table2[[#This Row],[Description]],$Q$1:$S$101,3,FALSE))</f>
        <v/>
      </c>
      <c r="I7784" s="1" t="str">
        <f>IF(Table2[[#This Row],[Description]]="","",IF(Table2[[#This Row],[Currency]]=$O$2,$P$2,HLOOKUP(Table2[[#This Row],[Date]],Funds!$C$10:$GV$11,2,FALSE)))</f>
        <v/>
      </c>
      <c r="J7784" s="215" t="str">
        <f>IF(Table2[[#This Row],[Description]]="","",Table2[[#This Row],[Value]]/Table2[[#This Row],[Conversion]])</f>
        <v/>
      </c>
      <c r="K7784" s="45" t="str">
        <f>IF(Table2[[#This Row],[Description]]="","",DATE(Table2[[#This Row],[Year]],Table2[[#This Row],[Month]],1))</f>
        <v/>
      </c>
    </row>
    <row r="7785" spans="7:11" x14ac:dyDescent="0.25">
      <c r="G7785" s="1" t="str">
        <f>IF(Table2[[#This Row],[Description]]="","",VLOOKUP(Table2[[#This Row],[Description]],$Q$1:$S$101,2,FALSE))</f>
        <v/>
      </c>
      <c r="H7785" s="1" t="str">
        <f>IF(Table2[[#This Row],[Description]]="","",VLOOKUP(Table2[[#This Row],[Description]],$Q$1:$S$101,3,FALSE))</f>
        <v/>
      </c>
      <c r="I7785" s="1" t="str">
        <f>IF(Table2[[#This Row],[Description]]="","",IF(Table2[[#This Row],[Currency]]=$O$2,$P$2,HLOOKUP(Table2[[#This Row],[Date]],Funds!$C$10:$GV$11,2,FALSE)))</f>
        <v/>
      </c>
      <c r="J7785" s="215" t="str">
        <f>IF(Table2[[#This Row],[Description]]="","",Table2[[#This Row],[Value]]/Table2[[#This Row],[Conversion]])</f>
        <v/>
      </c>
      <c r="K7785" s="45" t="str">
        <f>IF(Table2[[#This Row],[Description]]="","",DATE(Table2[[#This Row],[Year]],Table2[[#This Row],[Month]],1))</f>
        <v/>
      </c>
    </row>
    <row r="7786" spans="7:11" x14ac:dyDescent="0.25">
      <c r="G7786" s="1" t="str">
        <f>IF(Table2[[#This Row],[Description]]="","",VLOOKUP(Table2[[#This Row],[Description]],$Q$1:$S$101,2,FALSE))</f>
        <v/>
      </c>
      <c r="H7786" s="1" t="str">
        <f>IF(Table2[[#This Row],[Description]]="","",VLOOKUP(Table2[[#This Row],[Description]],$Q$1:$S$101,3,FALSE))</f>
        <v/>
      </c>
      <c r="I7786" s="1" t="str">
        <f>IF(Table2[[#This Row],[Description]]="","",IF(Table2[[#This Row],[Currency]]=$O$2,$P$2,HLOOKUP(Table2[[#This Row],[Date]],Funds!$C$10:$GV$11,2,FALSE)))</f>
        <v/>
      </c>
      <c r="J7786" s="215" t="str">
        <f>IF(Table2[[#This Row],[Description]]="","",Table2[[#This Row],[Value]]/Table2[[#This Row],[Conversion]])</f>
        <v/>
      </c>
      <c r="K7786" s="45" t="str">
        <f>IF(Table2[[#This Row],[Description]]="","",DATE(Table2[[#This Row],[Year]],Table2[[#This Row],[Month]],1))</f>
        <v/>
      </c>
    </row>
    <row r="7787" spans="7:11" x14ac:dyDescent="0.25">
      <c r="G7787" s="1" t="str">
        <f>IF(Table2[[#This Row],[Description]]="","",VLOOKUP(Table2[[#This Row],[Description]],$Q$1:$S$101,2,FALSE))</f>
        <v/>
      </c>
      <c r="H7787" s="1" t="str">
        <f>IF(Table2[[#This Row],[Description]]="","",VLOOKUP(Table2[[#This Row],[Description]],$Q$1:$S$101,3,FALSE))</f>
        <v/>
      </c>
      <c r="I7787" s="1" t="str">
        <f>IF(Table2[[#This Row],[Description]]="","",IF(Table2[[#This Row],[Currency]]=$O$2,$P$2,HLOOKUP(Table2[[#This Row],[Date]],Funds!$C$10:$GV$11,2,FALSE)))</f>
        <v/>
      </c>
      <c r="J7787" s="215" t="str">
        <f>IF(Table2[[#This Row],[Description]]="","",Table2[[#This Row],[Value]]/Table2[[#This Row],[Conversion]])</f>
        <v/>
      </c>
      <c r="K7787" s="45" t="str">
        <f>IF(Table2[[#This Row],[Description]]="","",DATE(Table2[[#This Row],[Year]],Table2[[#This Row],[Month]],1))</f>
        <v/>
      </c>
    </row>
    <row r="7788" spans="7:11" x14ac:dyDescent="0.25">
      <c r="G7788" s="1" t="str">
        <f>IF(Table2[[#This Row],[Description]]="","",VLOOKUP(Table2[[#This Row],[Description]],$Q$1:$S$101,2,FALSE))</f>
        <v/>
      </c>
      <c r="H7788" s="1" t="str">
        <f>IF(Table2[[#This Row],[Description]]="","",VLOOKUP(Table2[[#This Row],[Description]],$Q$1:$S$101,3,FALSE))</f>
        <v/>
      </c>
      <c r="I7788" s="1" t="str">
        <f>IF(Table2[[#This Row],[Description]]="","",IF(Table2[[#This Row],[Currency]]=$O$2,$P$2,HLOOKUP(Table2[[#This Row],[Date]],Funds!$C$10:$GV$11,2,FALSE)))</f>
        <v/>
      </c>
      <c r="J7788" s="215" t="str">
        <f>IF(Table2[[#This Row],[Description]]="","",Table2[[#This Row],[Value]]/Table2[[#This Row],[Conversion]])</f>
        <v/>
      </c>
      <c r="K7788" s="45" t="str">
        <f>IF(Table2[[#This Row],[Description]]="","",DATE(Table2[[#This Row],[Year]],Table2[[#This Row],[Month]],1))</f>
        <v/>
      </c>
    </row>
    <row r="7789" spans="7:11" x14ac:dyDescent="0.25">
      <c r="G7789" s="1" t="str">
        <f>IF(Table2[[#This Row],[Description]]="","",VLOOKUP(Table2[[#This Row],[Description]],$Q$1:$S$101,2,FALSE))</f>
        <v/>
      </c>
      <c r="H7789" s="1" t="str">
        <f>IF(Table2[[#This Row],[Description]]="","",VLOOKUP(Table2[[#This Row],[Description]],$Q$1:$S$101,3,FALSE))</f>
        <v/>
      </c>
      <c r="I7789" s="1" t="str">
        <f>IF(Table2[[#This Row],[Description]]="","",IF(Table2[[#This Row],[Currency]]=$O$2,$P$2,HLOOKUP(Table2[[#This Row],[Date]],Funds!$C$10:$GV$11,2,FALSE)))</f>
        <v/>
      </c>
      <c r="J7789" s="215" t="str">
        <f>IF(Table2[[#This Row],[Description]]="","",Table2[[#This Row],[Value]]/Table2[[#This Row],[Conversion]])</f>
        <v/>
      </c>
      <c r="K7789" s="45" t="str">
        <f>IF(Table2[[#This Row],[Description]]="","",DATE(Table2[[#This Row],[Year]],Table2[[#This Row],[Month]],1))</f>
        <v/>
      </c>
    </row>
    <row r="7790" spans="7:11" x14ac:dyDescent="0.25">
      <c r="G7790" s="1" t="str">
        <f>IF(Table2[[#This Row],[Description]]="","",VLOOKUP(Table2[[#This Row],[Description]],$Q$1:$S$101,2,FALSE))</f>
        <v/>
      </c>
      <c r="H7790" s="1" t="str">
        <f>IF(Table2[[#This Row],[Description]]="","",VLOOKUP(Table2[[#This Row],[Description]],$Q$1:$S$101,3,FALSE))</f>
        <v/>
      </c>
      <c r="I7790" s="1" t="str">
        <f>IF(Table2[[#This Row],[Description]]="","",IF(Table2[[#This Row],[Currency]]=$O$2,$P$2,HLOOKUP(Table2[[#This Row],[Date]],Funds!$C$10:$GV$11,2,FALSE)))</f>
        <v/>
      </c>
      <c r="J7790" s="215" t="str">
        <f>IF(Table2[[#This Row],[Description]]="","",Table2[[#This Row],[Value]]/Table2[[#This Row],[Conversion]])</f>
        <v/>
      </c>
      <c r="K7790" s="45" t="str">
        <f>IF(Table2[[#This Row],[Description]]="","",DATE(Table2[[#This Row],[Year]],Table2[[#This Row],[Month]],1))</f>
        <v/>
      </c>
    </row>
    <row r="7791" spans="7:11" x14ac:dyDescent="0.25">
      <c r="G7791" s="1" t="str">
        <f>IF(Table2[[#This Row],[Description]]="","",VLOOKUP(Table2[[#This Row],[Description]],$Q$1:$S$101,2,FALSE))</f>
        <v/>
      </c>
      <c r="H7791" s="1" t="str">
        <f>IF(Table2[[#This Row],[Description]]="","",VLOOKUP(Table2[[#This Row],[Description]],$Q$1:$S$101,3,FALSE))</f>
        <v/>
      </c>
      <c r="I7791" s="1" t="str">
        <f>IF(Table2[[#This Row],[Description]]="","",IF(Table2[[#This Row],[Currency]]=$O$2,$P$2,HLOOKUP(Table2[[#This Row],[Date]],Funds!$C$10:$GV$11,2,FALSE)))</f>
        <v/>
      </c>
      <c r="J7791" s="215" t="str">
        <f>IF(Table2[[#This Row],[Description]]="","",Table2[[#This Row],[Value]]/Table2[[#This Row],[Conversion]])</f>
        <v/>
      </c>
      <c r="K7791" s="45" t="str">
        <f>IF(Table2[[#This Row],[Description]]="","",DATE(Table2[[#This Row],[Year]],Table2[[#This Row],[Month]],1))</f>
        <v/>
      </c>
    </row>
    <row r="7792" spans="7:11" x14ac:dyDescent="0.25">
      <c r="G7792" s="1" t="str">
        <f>IF(Table2[[#This Row],[Description]]="","",VLOOKUP(Table2[[#This Row],[Description]],$Q$1:$S$101,2,FALSE))</f>
        <v/>
      </c>
      <c r="H7792" s="1" t="str">
        <f>IF(Table2[[#This Row],[Description]]="","",VLOOKUP(Table2[[#This Row],[Description]],$Q$1:$S$101,3,FALSE))</f>
        <v/>
      </c>
      <c r="I7792" s="1" t="str">
        <f>IF(Table2[[#This Row],[Description]]="","",IF(Table2[[#This Row],[Currency]]=$O$2,$P$2,HLOOKUP(Table2[[#This Row],[Date]],Funds!$C$10:$GV$11,2,FALSE)))</f>
        <v/>
      </c>
      <c r="J7792" s="215" t="str">
        <f>IF(Table2[[#This Row],[Description]]="","",Table2[[#This Row],[Value]]/Table2[[#This Row],[Conversion]])</f>
        <v/>
      </c>
      <c r="K7792" s="45" t="str">
        <f>IF(Table2[[#This Row],[Description]]="","",DATE(Table2[[#This Row],[Year]],Table2[[#This Row],[Month]],1))</f>
        <v/>
      </c>
    </row>
    <row r="7793" spans="7:11" x14ac:dyDescent="0.25">
      <c r="G7793" s="1" t="str">
        <f>IF(Table2[[#This Row],[Description]]="","",VLOOKUP(Table2[[#This Row],[Description]],$Q$1:$S$101,2,FALSE))</f>
        <v/>
      </c>
      <c r="H7793" s="1" t="str">
        <f>IF(Table2[[#This Row],[Description]]="","",VLOOKUP(Table2[[#This Row],[Description]],$Q$1:$S$101,3,FALSE))</f>
        <v/>
      </c>
      <c r="I7793" s="1" t="str">
        <f>IF(Table2[[#This Row],[Description]]="","",IF(Table2[[#This Row],[Currency]]=$O$2,$P$2,HLOOKUP(Table2[[#This Row],[Date]],Funds!$C$10:$GV$11,2,FALSE)))</f>
        <v/>
      </c>
      <c r="J7793" s="215" t="str">
        <f>IF(Table2[[#This Row],[Description]]="","",Table2[[#This Row],[Value]]/Table2[[#This Row],[Conversion]])</f>
        <v/>
      </c>
      <c r="K7793" s="45" t="str">
        <f>IF(Table2[[#This Row],[Description]]="","",DATE(Table2[[#This Row],[Year]],Table2[[#This Row],[Month]],1))</f>
        <v/>
      </c>
    </row>
    <row r="7794" spans="7:11" x14ac:dyDescent="0.25">
      <c r="G7794" s="1" t="str">
        <f>IF(Table2[[#This Row],[Description]]="","",VLOOKUP(Table2[[#This Row],[Description]],$Q$1:$S$101,2,FALSE))</f>
        <v/>
      </c>
      <c r="H7794" s="1" t="str">
        <f>IF(Table2[[#This Row],[Description]]="","",VLOOKUP(Table2[[#This Row],[Description]],$Q$1:$S$101,3,FALSE))</f>
        <v/>
      </c>
      <c r="I7794" s="1" t="str">
        <f>IF(Table2[[#This Row],[Description]]="","",IF(Table2[[#This Row],[Currency]]=$O$2,$P$2,HLOOKUP(Table2[[#This Row],[Date]],Funds!$C$10:$GV$11,2,FALSE)))</f>
        <v/>
      </c>
      <c r="J7794" s="215" t="str">
        <f>IF(Table2[[#This Row],[Description]]="","",Table2[[#This Row],[Value]]/Table2[[#This Row],[Conversion]])</f>
        <v/>
      </c>
      <c r="K7794" s="45" t="str">
        <f>IF(Table2[[#This Row],[Description]]="","",DATE(Table2[[#This Row],[Year]],Table2[[#This Row],[Month]],1))</f>
        <v/>
      </c>
    </row>
    <row r="7795" spans="7:11" x14ac:dyDescent="0.25">
      <c r="G7795" s="1" t="str">
        <f>IF(Table2[[#This Row],[Description]]="","",VLOOKUP(Table2[[#This Row],[Description]],$Q$1:$S$101,2,FALSE))</f>
        <v/>
      </c>
      <c r="H7795" s="1" t="str">
        <f>IF(Table2[[#This Row],[Description]]="","",VLOOKUP(Table2[[#This Row],[Description]],$Q$1:$S$101,3,FALSE))</f>
        <v/>
      </c>
      <c r="I7795" s="1" t="str">
        <f>IF(Table2[[#This Row],[Description]]="","",IF(Table2[[#This Row],[Currency]]=$O$2,$P$2,HLOOKUP(Table2[[#This Row],[Date]],Funds!$C$10:$GV$11,2,FALSE)))</f>
        <v/>
      </c>
      <c r="J7795" s="215" t="str">
        <f>IF(Table2[[#This Row],[Description]]="","",Table2[[#This Row],[Value]]/Table2[[#This Row],[Conversion]])</f>
        <v/>
      </c>
      <c r="K7795" s="45" t="str">
        <f>IF(Table2[[#This Row],[Description]]="","",DATE(Table2[[#This Row],[Year]],Table2[[#This Row],[Month]],1))</f>
        <v/>
      </c>
    </row>
    <row r="7796" spans="7:11" x14ac:dyDescent="0.25">
      <c r="G7796" s="1" t="str">
        <f>IF(Table2[[#This Row],[Description]]="","",VLOOKUP(Table2[[#This Row],[Description]],$Q$1:$S$101,2,FALSE))</f>
        <v/>
      </c>
      <c r="H7796" s="1" t="str">
        <f>IF(Table2[[#This Row],[Description]]="","",VLOOKUP(Table2[[#This Row],[Description]],$Q$1:$S$101,3,FALSE))</f>
        <v/>
      </c>
      <c r="I7796" s="1" t="str">
        <f>IF(Table2[[#This Row],[Description]]="","",IF(Table2[[#This Row],[Currency]]=$O$2,$P$2,HLOOKUP(Table2[[#This Row],[Date]],Funds!$C$10:$GV$11,2,FALSE)))</f>
        <v/>
      </c>
      <c r="J7796" s="215" t="str">
        <f>IF(Table2[[#This Row],[Description]]="","",Table2[[#This Row],[Value]]/Table2[[#This Row],[Conversion]])</f>
        <v/>
      </c>
      <c r="K7796" s="45" t="str">
        <f>IF(Table2[[#This Row],[Description]]="","",DATE(Table2[[#This Row],[Year]],Table2[[#This Row],[Month]],1))</f>
        <v/>
      </c>
    </row>
    <row r="7797" spans="7:11" x14ac:dyDescent="0.25">
      <c r="G7797" s="1" t="str">
        <f>IF(Table2[[#This Row],[Description]]="","",VLOOKUP(Table2[[#This Row],[Description]],$Q$1:$S$101,2,FALSE))</f>
        <v/>
      </c>
      <c r="H7797" s="1" t="str">
        <f>IF(Table2[[#This Row],[Description]]="","",VLOOKUP(Table2[[#This Row],[Description]],$Q$1:$S$101,3,FALSE))</f>
        <v/>
      </c>
      <c r="I7797" s="1" t="str">
        <f>IF(Table2[[#This Row],[Description]]="","",IF(Table2[[#This Row],[Currency]]=$O$2,$P$2,HLOOKUP(Table2[[#This Row],[Date]],Funds!$C$10:$GV$11,2,FALSE)))</f>
        <v/>
      </c>
      <c r="J7797" s="215" t="str">
        <f>IF(Table2[[#This Row],[Description]]="","",Table2[[#This Row],[Value]]/Table2[[#This Row],[Conversion]])</f>
        <v/>
      </c>
      <c r="K7797" s="45" t="str">
        <f>IF(Table2[[#This Row],[Description]]="","",DATE(Table2[[#This Row],[Year]],Table2[[#This Row],[Month]],1))</f>
        <v/>
      </c>
    </row>
    <row r="7798" spans="7:11" x14ac:dyDescent="0.25">
      <c r="G7798" s="1" t="str">
        <f>IF(Table2[[#This Row],[Description]]="","",VLOOKUP(Table2[[#This Row],[Description]],$Q$1:$S$101,2,FALSE))</f>
        <v/>
      </c>
      <c r="H7798" s="1" t="str">
        <f>IF(Table2[[#This Row],[Description]]="","",VLOOKUP(Table2[[#This Row],[Description]],$Q$1:$S$101,3,FALSE))</f>
        <v/>
      </c>
      <c r="I7798" s="1" t="str">
        <f>IF(Table2[[#This Row],[Description]]="","",IF(Table2[[#This Row],[Currency]]=$O$2,$P$2,HLOOKUP(Table2[[#This Row],[Date]],Funds!$C$10:$GV$11,2,FALSE)))</f>
        <v/>
      </c>
      <c r="J7798" s="215" t="str">
        <f>IF(Table2[[#This Row],[Description]]="","",Table2[[#This Row],[Value]]/Table2[[#This Row],[Conversion]])</f>
        <v/>
      </c>
      <c r="K7798" s="45" t="str">
        <f>IF(Table2[[#This Row],[Description]]="","",DATE(Table2[[#This Row],[Year]],Table2[[#This Row],[Month]],1))</f>
        <v/>
      </c>
    </row>
    <row r="7799" spans="7:11" x14ac:dyDescent="0.25">
      <c r="G7799" s="1" t="str">
        <f>IF(Table2[[#This Row],[Description]]="","",VLOOKUP(Table2[[#This Row],[Description]],$Q$1:$S$101,2,FALSE))</f>
        <v/>
      </c>
      <c r="H7799" s="1" t="str">
        <f>IF(Table2[[#This Row],[Description]]="","",VLOOKUP(Table2[[#This Row],[Description]],$Q$1:$S$101,3,FALSE))</f>
        <v/>
      </c>
      <c r="I7799" s="1" t="str">
        <f>IF(Table2[[#This Row],[Description]]="","",IF(Table2[[#This Row],[Currency]]=$O$2,$P$2,HLOOKUP(Table2[[#This Row],[Date]],Funds!$C$10:$GV$11,2,FALSE)))</f>
        <v/>
      </c>
      <c r="J7799" s="215" t="str">
        <f>IF(Table2[[#This Row],[Description]]="","",Table2[[#This Row],[Value]]/Table2[[#This Row],[Conversion]])</f>
        <v/>
      </c>
      <c r="K7799" s="45" t="str">
        <f>IF(Table2[[#This Row],[Description]]="","",DATE(Table2[[#This Row],[Year]],Table2[[#This Row],[Month]],1))</f>
        <v/>
      </c>
    </row>
    <row r="7800" spans="7:11" x14ac:dyDescent="0.25">
      <c r="G7800" s="1" t="str">
        <f>IF(Table2[[#This Row],[Description]]="","",VLOOKUP(Table2[[#This Row],[Description]],$Q$1:$S$101,2,FALSE))</f>
        <v/>
      </c>
      <c r="H7800" s="1" t="str">
        <f>IF(Table2[[#This Row],[Description]]="","",VLOOKUP(Table2[[#This Row],[Description]],$Q$1:$S$101,3,FALSE))</f>
        <v/>
      </c>
      <c r="I7800" s="1" t="str">
        <f>IF(Table2[[#This Row],[Description]]="","",IF(Table2[[#This Row],[Currency]]=$O$2,$P$2,HLOOKUP(Table2[[#This Row],[Date]],Funds!$C$10:$GV$11,2,FALSE)))</f>
        <v/>
      </c>
      <c r="J7800" s="215" t="str">
        <f>IF(Table2[[#This Row],[Description]]="","",Table2[[#This Row],[Value]]/Table2[[#This Row],[Conversion]])</f>
        <v/>
      </c>
      <c r="K7800" s="45" t="str">
        <f>IF(Table2[[#This Row],[Description]]="","",DATE(Table2[[#This Row],[Year]],Table2[[#This Row],[Month]],1))</f>
        <v/>
      </c>
    </row>
    <row r="7801" spans="7:11" x14ac:dyDescent="0.25">
      <c r="G7801" s="1" t="str">
        <f>IF(Table2[[#This Row],[Description]]="","",VLOOKUP(Table2[[#This Row],[Description]],$Q$1:$S$101,2,FALSE))</f>
        <v/>
      </c>
      <c r="H7801" s="1" t="str">
        <f>IF(Table2[[#This Row],[Description]]="","",VLOOKUP(Table2[[#This Row],[Description]],$Q$1:$S$101,3,FALSE))</f>
        <v/>
      </c>
      <c r="I7801" s="1" t="str">
        <f>IF(Table2[[#This Row],[Description]]="","",IF(Table2[[#This Row],[Currency]]=$O$2,$P$2,HLOOKUP(Table2[[#This Row],[Date]],Funds!$C$10:$GV$11,2,FALSE)))</f>
        <v/>
      </c>
      <c r="J7801" s="215" t="str">
        <f>IF(Table2[[#This Row],[Description]]="","",Table2[[#This Row],[Value]]/Table2[[#This Row],[Conversion]])</f>
        <v/>
      </c>
      <c r="K7801" s="45" t="str">
        <f>IF(Table2[[#This Row],[Description]]="","",DATE(Table2[[#This Row],[Year]],Table2[[#This Row],[Month]],1))</f>
        <v/>
      </c>
    </row>
    <row r="7802" spans="7:11" x14ac:dyDescent="0.25">
      <c r="G7802" s="1" t="str">
        <f>IF(Table2[[#This Row],[Description]]="","",VLOOKUP(Table2[[#This Row],[Description]],$Q$1:$S$101,2,FALSE))</f>
        <v/>
      </c>
      <c r="H7802" s="1" t="str">
        <f>IF(Table2[[#This Row],[Description]]="","",VLOOKUP(Table2[[#This Row],[Description]],$Q$1:$S$101,3,FALSE))</f>
        <v/>
      </c>
      <c r="I7802" s="1" t="str">
        <f>IF(Table2[[#This Row],[Description]]="","",IF(Table2[[#This Row],[Currency]]=$O$2,$P$2,HLOOKUP(Table2[[#This Row],[Date]],Funds!$C$10:$GV$11,2,FALSE)))</f>
        <v/>
      </c>
      <c r="J7802" s="215" t="str">
        <f>IF(Table2[[#This Row],[Description]]="","",Table2[[#This Row],[Value]]/Table2[[#This Row],[Conversion]])</f>
        <v/>
      </c>
      <c r="K7802" s="45" t="str">
        <f>IF(Table2[[#This Row],[Description]]="","",DATE(Table2[[#This Row],[Year]],Table2[[#This Row],[Month]],1))</f>
        <v/>
      </c>
    </row>
    <row r="7803" spans="7:11" x14ac:dyDescent="0.25">
      <c r="G7803" s="1" t="str">
        <f>IF(Table2[[#This Row],[Description]]="","",VLOOKUP(Table2[[#This Row],[Description]],$Q$1:$S$101,2,FALSE))</f>
        <v/>
      </c>
      <c r="H7803" s="1" t="str">
        <f>IF(Table2[[#This Row],[Description]]="","",VLOOKUP(Table2[[#This Row],[Description]],$Q$1:$S$101,3,FALSE))</f>
        <v/>
      </c>
      <c r="I7803" s="1" t="str">
        <f>IF(Table2[[#This Row],[Description]]="","",IF(Table2[[#This Row],[Currency]]=$O$2,$P$2,HLOOKUP(Table2[[#This Row],[Date]],Funds!$C$10:$GV$11,2,FALSE)))</f>
        <v/>
      </c>
      <c r="J7803" s="215" t="str">
        <f>IF(Table2[[#This Row],[Description]]="","",Table2[[#This Row],[Value]]/Table2[[#This Row],[Conversion]])</f>
        <v/>
      </c>
      <c r="K7803" s="45" t="str">
        <f>IF(Table2[[#This Row],[Description]]="","",DATE(Table2[[#This Row],[Year]],Table2[[#This Row],[Month]],1))</f>
        <v/>
      </c>
    </row>
    <row r="7804" spans="7:11" x14ac:dyDescent="0.25">
      <c r="G7804" s="1" t="str">
        <f>IF(Table2[[#This Row],[Description]]="","",VLOOKUP(Table2[[#This Row],[Description]],$Q$1:$S$101,2,FALSE))</f>
        <v/>
      </c>
      <c r="H7804" s="1" t="str">
        <f>IF(Table2[[#This Row],[Description]]="","",VLOOKUP(Table2[[#This Row],[Description]],$Q$1:$S$101,3,FALSE))</f>
        <v/>
      </c>
      <c r="I7804" s="1" t="str">
        <f>IF(Table2[[#This Row],[Description]]="","",IF(Table2[[#This Row],[Currency]]=$O$2,$P$2,HLOOKUP(Table2[[#This Row],[Date]],Funds!$C$10:$GV$11,2,FALSE)))</f>
        <v/>
      </c>
      <c r="J7804" s="215" t="str">
        <f>IF(Table2[[#This Row],[Description]]="","",Table2[[#This Row],[Value]]/Table2[[#This Row],[Conversion]])</f>
        <v/>
      </c>
      <c r="K7804" s="45" t="str">
        <f>IF(Table2[[#This Row],[Description]]="","",DATE(Table2[[#This Row],[Year]],Table2[[#This Row],[Month]],1))</f>
        <v/>
      </c>
    </row>
    <row r="7805" spans="7:11" x14ac:dyDescent="0.25">
      <c r="G7805" s="1" t="str">
        <f>IF(Table2[[#This Row],[Description]]="","",VLOOKUP(Table2[[#This Row],[Description]],$Q$1:$S$101,2,FALSE))</f>
        <v/>
      </c>
      <c r="H7805" s="1" t="str">
        <f>IF(Table2[[#This Row],[Description]]="","",VLOOKUP(Table2[[#This Row],[Description]],$Q$1:$S$101,3,FALSE))</f>
        <v/>
      </c>
      <c r="I7805" s="1" t="str">
        <f>IF(Table2[[#This Row],[Description]]="","",IF(Table2[[#This Row],[Currency]]=$O$2,$P$2,HLOOKUP(Table2[[#This Row],[Date]],Funds!$C$10:$GV$11,2,FALSE)))</f>
        <v/>
      </c>
      <c r="J7805" s="215" t="str">
        <f>IF(Table2[[#This Row],[Description]]="","",Table2[[#This Row],[Value]]/Table2[[#This Row],[Conversion]])</f>
        <v/>
      </c>
      <c r="K7805" s="45" t="str">
        <f>IF(Table2[[#This Row],[Description]]="","",DATE(Table2[[#This Row],[Year]],Table2[[#This Row],[Month]],1))</f>
        <v/>
      </c>
    </row>
    <row r="7806" spans="7:11" x14ac:dyDescent="0.25">
      <c r="G7806" s="1" t="str">
        <f>IF(Table2[[#This Row],[Description]]="","",VLOOKUP(Table2[[#This Row],[Description]],$Q$1:$S$101,2,FALSE))</f>
        <v/>
      </c>
      <c r="H7806" s="1" t="str">
        <f>IF(Table2[[#This Row],[Description]]="","",VLOOKUP(Table2[[#This Row],[Description]],$Q$1:$S$101,3,FALSE))</f>
        <v/>
      </c>
      <c r="I7806" s="1" t="str">
        <f>IF(Table2[[#This Row],[Description]]="","",IF(Table2[[#This Row],[Currency]]=$O$2,$P$2,HLOOKUP(Table2[[#This Row],[Date]],Funds!$C$10:$GV$11,2,FALSE)))</f>
        <v/>
      </c>
      <c r="J7806" s="215" t="str">
        <f>IF(Table2[[#This Row],[Description]]="","",Table2[[#This Row],[Value]]/Table2[[#This Row],[Conversion]])</f>
        <v/>
      </c>
      <c r="K7806" s="45" t="str">
        <f>IF(Table2[[#This Row],[Description]]="","",DATE(Table2[[#This Row],[Year]],Table2[[#This Row],[Month]],1))</f>
        <v/>
      </c>
    </row>
    <row r="7807" spans="7:11" x14ac:dyDescent="0.25">
      <c r="G7807" s="1" t="str">
        <f>IF(Table2[[#This Row],[Description]]="","",VLOOKUP(Table2[[#This Row],[Description]],$Q$1:$S$101,2,FALSE))</f>
        <v/>
      </c>
      <c r="H7807" s="1" t="str">
        <f>IF(Table2[[#This Row],[Description]]="","",VLOOKUP(Table2[[#This Row],[Description]],$Q$1:$S$101,3,FALSE))</f>
        <v/>
      </c>
      <c r="I7807" s="1" t="str">
        <f>IF(Table2[[#This Row],[Description]]="","",IF(Table2[[#This Row],[Currency]]=$O$2,$P$2,HLOOKUP(Table2[[#This Row],[Date]],Funds!$C$10:$GV$11,2,FALSE)))</f>
        <v/>
      </c>
      <c r="J7807" s="215" t="str">
        <f>IF(Table2[[#This Row],[Description]]="","",Table2[[#This Row],[Value]]/Table2[[#This Row],[Conversion]])</f>
        <v/>
      </c>
      <c r="K7807" s="45" t="str">
        <f>IF(Table2[[#This Row],[Description]]="","",DATE(Table2[[#This Row],[Year]],Table2[[#This Row],[Month]],1))</f>
        <v/>
      </c>
    </row>
    <row r="7808" spans="7:11" x14ac:dyDescent="0.25">
      <c r="G7808" s="1" t="str">
        <f>IF(Table2[[#This Row],[Description]]="","",VLOOKUP(Table2[[#This Row],[Description]],$Q$1:$S$101,2,FALSE))</f>
        <v/>
      </c>
      <c r="H7808" s="1" t="str">
        <f>IF(Table2[[#This Row],[Description]]="","",VLOOKUP(Table2[[#This Row],[Description]],$Q$1:$S$101,3,FALSE))</f>
        <v/>
      </c>
      <c r="I7808" s="1" t="str">
        <f>IF(Table2[[#This Row],[Description]]="","",IF(Table2[[#This Row],[Currency]]=$O$2,$P$2,HLOOKUP(Table2[[#This Row],[Date]],Funds!$C$10:$GV$11,2,FALSE)))</f>
        <v/>
      </c>
      <c r="J7808" s="215" t="str">
        <f>IF(Table2[[#This Row],[Description]]="","",Table2[[#This Row],[Value]]/Table2[[#This Row],[Conversion]])</f>
        <v/>
      </c>
      <c r="K7808" s="45" t="str">
        <f>IF(Table2[[#This Row],[Description]]="","",DATE(Table2[[#This Row],[Year]],Table2[[#This Row],[Month]],1))</f>
        <v/>
      </c>
    </row>
    <row r="7809" spans="7:11" x14ac:dyDescent="0.25">
      <c r="G7809" s="1" t="str">
        <f>IF(Table2[[#This Row],[Description]]="","",VLOOKUP(Table2[[#This Row],[Description]],$Q$1:$S$101,2,FALSE))</f>
        <v/>
      </c>
      <c r="H7809" s="1" t="str">
        <f>IF(Table2[[#This Row],[Description]]="","",VLOOKUP(Table2[[#This Row],[Description]],$Q$1:$S$101,3,FALSE))</f>
        <v/>
      </c>
      <c r="I7809" s="1" t="str">
        <f>IF(Table2[[#This Row],[Description]]="","",IF(Table2[[#This Row],[Currency]]=$O$2,$P$2,HLOOKUP(Table2[[#This Row],[Date]],Funds!$C$10:$GV$11,2,FALSE)))</f>
        <v/>
      </c>
      <c r="J7809" s="215" t="str">
        <f>IF(Table2[[#This Row],[Description]]="","",Table2[[#This Row],[Value]]/Table2[[#This Row],[Conversion]])</f>
        <v/>
      </c>
      <c r="K7809" s="45" t="str">
        <f>IF(Table2[[#This Row],[Description]]="","",DATE(Table2[[#This Row],[Year]],Table2[[#This Row],[Month]],1))</f>
        <v/>
      </c>
    </row>
    <row r="7810" spans="7:11" x14ac:dyDescent="0.25">
      <c r="G7810" s="1" t="str">
        <f>IF(Table2[[#This Row],[Description]]="","",VLOOKUP(Table2[[#This Row],[Description]],$Q$1:$S$101,2,FALSE))</f>
        <v/>
      </c>
      <c r="H7810" s="1" t="str">
        <f>IF(Table2[[#This Row],[Description]]="","",VLOOKUP(Table2[[#This Row],[Description]],$Q$1:$S$101,3,FALSE))</f>
        <v/>
      </c>
      <c r="I7810" s="1" t="str">
        <f>IF(Table2[[#This Row],[Description]]="","",IF(Table2[[#This Row],[Currency]]=$O$2,$P$2,HLOOKUP(Table2[[#This Row],[Date]],Funds!$C$10:$GV$11,2,FALSE)))</f>
        <v/>
      </c>
      <c r="J7810" s="215" t="str">
        <f>IF(Table2[[#This Row],[Description]]="","",Table2[[#This Row],[Value]]/Table2[[#This Row],[Conversion]])</f>
        <v/>
      </c>
      <c r="K7810" s="45" t="str">
        <f>IF(Table2[[#This Row],[Description]]="","",DATE(Table2[[#This Row],[Year]],Table2[[#This Row],[Month]],1))</f>
        <v/>
      </c>
    </row>
    <row r="7811" spans="7:11" x14ac:dyDescent="0.25">
      <c r="G7811" s="1" t="str">
        <f>IF(Table2[[#This Row],[Description]]="","",VLOOKUP(Table2[[#This Row],[Description]],$Q$1:$S$101,2,FALSE))</f>
        <v/>
      </c>
      <c r="H7811" s="1" t="str">
        <f>IF(Table2[[#This Row],[Description]]="","",VLOOKUP(Table2[[#This Row],[Description]],$Q$1:$S$101,3,FALSE))</f>
        <v/>
      </c>
      <c r="I7811" s="1" t="str">
        <f>IF(Table2[[#This Row],[Description]]="","",IF(Table2[[#This Row],[Currency]]=$O$2,$P$2,HLOOKUP(Table2[[#This Row],[Date]],Funds!$C$10:$GV$11,2,FALSE)))</f>
        <v/>
      </c>
      <c r="J7811" s="215" t="str">
        <f>IF(Table2[[#This Row],[Description]]="","",Table2[[#This Row],[Value]]/Table2[[#This Row],[Conversion]])</f>
        <v/>
      </c>
      <c r="K7811" s="45" t="str">
        <f>IF(Table2[[#This Row],[Description]]="","",DATE(Table2[[#This Row],[Year]],Table2[[#This Row],[Month]],1))</f>
        <v/>
      </c>
    </row>
    <row r="7812" spans="7:11" x14ac:dyDescent="0.25">
      <c r="G7812" s="1" t="str">
        <f>IF(Table2[[#This Row],[Description]]="","",VLOOKUP(Table2[[#This Row],[Description]],$Q$1:$S$101,2,FALSE))</f>
        <v/>
      </c>
      <c r="H7812" s="1" t="str">
        <f>IF(Table2[[#This Row],[Description]]="","",VLOOKUP(Table2[[#This Row],[Description]],$Q$1:$S$101,3,FALSE))</f>
        <v/>
      </c>
      <c r="I7812" s="1" t="str">
        <f>IF(Table2[[#This Row],[Description]]="","",IF(Table2[[#This Row],[Currency]]=$O$2,$P$2,HLOOKUP(Table2[[#This Row],[Date]],Funds!$C$10:$GV$11,2,FALSE)))</f>
        <v/>
      </c>
      <c r="J7812" s="215" t="str">
        <f>IF(Table2[[#This Row],[Description]]="","",Table2[[#This Row],[Value]]/Table2[[#This Row],[Conversion]])</f>
        <v/>
      </c>
      <c r="K7812" s="45" t="str">
        <f>IF(Table2[[#This Row],[Description]]="","",DATE(Table2[[#This Row],[Year]],Table2[[#This Row],[Month]],1))</f>
        <v/>
      </c>
    </row>
    <row r="7813" spans="7:11" x14ac:dyDescent="0.25">
      <c r="G7813" s="1" t="str">
        <f>IF(Table2[[#This Row],[Description]]="","",VLOOKUP(Table2[[#This Row],[Description]],$Q$1:$S$101,2,FALSE))</f>
        <v/>
      </c>
      <c r="H7813" s="1" t="str">
        <f>IF(Table2[[#This Row],[Description]]="","",VLOOKUP(Table2[[#This Row],[Description]],$Q$1:$S$101,3,FALSE))</f>
        <v/>
      </c>
      <c r="I7813" s="1" t="str">
        <f>IF(Table2[[#This Row],[Description]]="","",IF(Table2[[#This Row],[Currency]]=$O$2,$P$2,HLOOKUP(Table2[[#This Row],[Date]],Funds!$C$10:$GV$11,2,FALSE)))</f>
        <v/>
      </c>
      <c r="J7813" s="215" t="str">
        <f>IF(Table2[[#This Row],[Description]]="","",Table2[[#This Row],[Value]]/Table2[[#This Row],[Conversion]])</f>
        <v/>
      </c>
      <c r="K7813" s="45" t="str">
        <f>IF(Table2[[#This Row],[Description]]="","",DATE(Table2[[#This Row],[Year]],Table2[[#This Row],[Month]],1))</f>
        <v/>
      </c>
    </row>
    <row r="7814" spans="7:11" x14ac:dyDescent="0.25">
      <c r="G7814" s="1" t="str">
        <f>IF(Table2[[#This Row],[Description]]="","",VLOOKUP(Table2[[#This Row],[Description]],$Q$1:$S$101,2,FALSE))</f>
        <v/>
      </c>
      <c r="H7814" s="1" t="str">
        <f>IF(Table2[[#This Row],[Description]]="","",VLOOKUP(Table2[[#This Row],[Description]],$Q$1:$S$101,3,FALSE))</f>
        <v/>
      </c>
      <c r="I7814" s="1" t="str">
        <f>IF(Table2[[#This Row],[Description]]="","",IF(Table2[[#This Row],[Currency]]=$O$2,$P$2,HLOOKUP(Table2[[#This Row],[Date]],Funds!$C$10:$GV$11,2,FALSE)))</f>
        <v/>
      </c>
      <c r="J7814" s="215" t="str">
        <f>IF(Table2[[#This Row],[Description]]="","",Table2[[#This Row],[Value]]/Table2[[#This Row],[Conversion]])</f>
        <v/>
      </c>
      <c r="K7814" s="45" t="str">
        <f>IF(Table2[[#This Row],[Description]]="","",DATE(Table2[[#This Row],[Year]],Table2[[#This Row],[Month]],1))</f>
        <v/>
      </c>
    </row>
    <row r="7815" spans="7:11" x14ac:dyDescent="0.25">
      <c r="G7815" s="1" t="str">
        <f>IF(Table2[[#This Row],[Description]]="","",VLOOKUP(Table2[[#This Row],[Description]],$Q$1:$S$101,2,FALSE))</f>
        <v/>
      </c>
      <c r="H7815" s="1" t="str">
        <f>IF(Table2[[#This Row],[Description]]="","",VLOOKUP(Table2[[#This Row],[Description]],$Q$1:$S$101,3,FALSE))</f>
        <v/>
      </c>
      <c r="I7815" s="1" t="str">
        <f>IF(Table2[[#This Row],[Description]]="","",IF(Table2[[#This Row],[Currency]]=$O$2,$P$2,HLOOKUP(Table2[[#This Row],[Date]],Funds!$C$10:$GV$11,2,FALSE)))</f>
        <v/>
      </c>
      <c r="J7815" s="215" t="str">
        <f>IF(Table2[[#This Row],[Description]]="","",Table2[[#This Row],[Value]]/Table2[[#This Row],[Conversion]])</f>
        <v/>
      </c>
      <c r="K7815" s="45" t="str">
        <f>IF(Table2[[#This Row],[Description]]="","",DATE(Table2[[#This Row],[Year]],Table2[[#This Row],[Month]],1))</f>
        <v/>
      </c>
    </row>
    <row r="7816" spans="7:11" x14ac:dyDescent="0.25">
      <c r="G7816" s="1" t="str">
        <f>IF(Table2[[#This Row],[Description]]="","",VLOOKUP(Table2[[#This Row],[Description]],$Q$1:$S$101,2,FALSE))</f>
        <v/>
      </c>
      <c r="H7816" s="1" t="str">
        <f>IF(Table2[[#This Row],[Description]]="","",VLOOKUP(Table2[[#This Row],[Description]],$Q$1:$S$101,3,FALSE))</f>
        <v/>
      </c>
      <c r="I7816" s="1" t="str">
        <f>IF(Table2[[#This Row],[Description]]="","",IF(Table2[[#This Row],[Currency]]=$O$2,$P$2,HLOOKUP(Table2[[#This Row],[Date]],Funds!$C$10:$GV$11,2,FALSE)))</f>
        <v/>
      </c>
      <c r="J7816" s="215" t="str">
        <f>IF(Table2[[#This Row],[Description]]="","",Table2[[#This Row],[Value]]/Table2[[#This Row],[Conversion]])</f>
        <v/>
      </c>
      <c r="K7816" s="45" t="str">
        <f>IF(Table2[[#This Row],[Description]]="","",DATE(Table2[[#This Row],[Year]],Table2[[#This Row],[Month]],1))</f>
        <v/>
      </c>
    </row>
    <row r="7817" spans="7:11" x14ac:dyDescent="0.25">
      <c r="G7817" s="1" t="str">
        <f>IF(Table2[[#This Row],[Description]]="","",VLOOKUP(Table2[[#This Row],[Description]],$Q$1:$S$101,2,FALSE))</f>
        <v/>
      </c>
      <c r="H7817" s="1" t="str">
        <f>IF(Table2[[#This Row],[Description]]="","",VLOOKUP(Table2[[#This Row],[Description]],$Q$1:$S$101,3,FALSE))</f>
        <v/>
      </c>
      <c r="I7817" s="1" t="str">
        <f>IF(Table2[[#This Row],[Description]]="","",IF(Table2[[#This Row],[Currency]]=$O$2,$P$2,HLOOKUP(Table2[[#This Row],[Date]],Funds!$C$10:$GV$11,2,FALSE)))</f>
        <v/>
      </c>
      <c r="J7817" s="215" t="str">
        <f>IF(Table2[[#This Row],[Description]]="","",Table2[[#This Row],[Value]]/Table2[[#This Row],[Conversion]])</f>
        <v/>
      </c>
      <c r="K7817" s="45" t="str">
        <f>IF(Table2[[#This Row],[Description]]="","",DATE(Table2[[#This Row],[Year]],Table2[[#This Row],[Month]],1))</f>
        <v/>
      </c>
    </row>
    <row r="7818" spans="7:11" x14ac:dyDescent="0.25">
      <c r="G7818" s="1" t="str">
        <f>IF(Table2[[#This Row],[Description]]="","",VLOOKUP(Table2[[#This Row],[Description]],$Q$1:$S$101,2,FALSE))</f>
        <v/>
      </c>
      <c r="H7818" s="1" t="str">
        <f>IF(Table2[[#This Row],[Description]]="","",VLOOKUP(Table2[[#This Row],[Description]],$Q$1:$S$101,3,FALSE))</f>
        <v/>
      </c>
      <c r="I7818" s="1" t="str">
        <f>IF(Table2[[#This Row],[Description]]="","",IF(Table2[[#This Row],[Currency]]=$O$2,$P$2,HLOOKUP(Table2[[#This Row],[Date]],Funds!$C$10:$GV$11,2,FALSE)))</f>
        <v/>
      </c>
      <c r="J7818" s="215" t="str">
        <f>IF(Table2[[#This Row],[Description]]="","",Table2[[#This Row],[Value]]/Table2[[#This Row],[Conversion]])</f>
        <v/>
      </c>
      <c r="K7818" s="45" t="str">
        <f>IF(Table2[[#This Row],[Description]]="","",DATE(Table2[[#This Row],[Year]],Table2[[#This Row],[Month]],1))</f>
        <v/>
      </c>
    </row>
    <row r="7819" spans="7:11" x14ac:dyDescent="0.25">
      <c r="G7819" s="1" t="str">
        <f>IF(Table2[[#This Row],[Description]]="","",VLOOKUP(Table2[[#This Row],[Description]],$Q$1:$S$101,2,FALSE))</f>
        <v/>
      </c>
      <c r="H7819" s="1" t="str">
        <f>IF(Table2[[#This Row],[Description]]="","",VLOOKUP(Table2[[#This Row],[Description]],$Q$1:$S$101,3,FALSE))</f>
        <v/>
      </c>
      <c r="I7819" s="1" t="str">
        <f>IF(Table2[[#This Row],[Description]]="","",IF(Table2[[#This Row],[Currency]]=$O$2,$P$2,HLOOKUP(Table2[[#This Row],[Date]],Funds!$C$10:$GV$11,2,FALSE)))</f>
        <v/>
      </c>
      <c r="J7819" s="215" t="str">
        <f>IF(Table2[[#This Row],[Description]]="","",Table2[[#This Row],[Value]]/Table2[[#This Row],[Conversion]])</f>
        <v/>
      </c>
      <c r="K7819" s="45" t="str">
        <f>IF(Table2[[#This Row],[Description]]="","",DATE(Table2[[#This Row],[Year]],Table2[[#This Row],[Month]],1))</f>
        <v/>
      </c>
    </row>
    <row r="7820" spans="7:11" x14ac:dyDescent="0.25">
      <c r="G7820" s="1" t="str">
        <f>IF(Table2[[#This Row],[Description]]="","",VLOOKUP(Table2[[#This Row],[Description]],$Q$1:$S$101,2,FALSE))</f>
        <v/>
      </c>
      <c r="H7820" s="1" t="str">
        <f>IF(Table2[[#This Row],[Description]]="","",VLOOKUP(Table2[[#This Row],[Description]],$Q$1:$S$101,3,FALSE))</f>
        <v/>
      </c>
      <c r="I7820" s="1" t="str">
        <f>IF(Table2[[#This Row],[Description]]="","",IF(Table2[[#This Row],[Currency]]=$O$2,$P$2,HLOOKUP(Table2[[#This Row],[Date]],Funds!$C$10:$GV$11,2,FALSE)))</f>
        <v/>
      </c>
      <c r="J7820" s="215" t="str">
        <f>IF(Table2[[#This Row],[Description]]="","",Table2[[#This Row],[Value]]/Table2[[#This Row],[Conversion]])</f>
        <v/>
      </c>
      <c r="K7820" s="45" t="str">
        <f>IF(Table2[[#This Row],[Description]]="","",DATE(Table2[[#This Row],[Year]],Table2[[#This Row],[Month]],1))</f>
        <v/>
      </c>
    </row>
    <row r="7821" spans="7:11" x14ac:dyDescent="0.25">
      <c r="G7821" s="1" t="str">
        <f>IF(Table2[[#This Row],[Description]]="","",VLOOKUP(Table2[[#This Row],[Description]],$Q$1:$S$101,2,FALSE))</f>
        <v/>
      </c>
      <c r="H7821" s="1" t="str">
        <f>IF(Table2[[#This Row],[Description]]="","",VLOOKUP(Table2[[#This Row],[Description]],$Q$1:$S$101,3,FALSE))</f>
        <v/>
      </c>
      <c r="I7821" s="1" t="str">
        <f>IF(Table2[[#This Row],[Description]]="","",IF(Table2[[#This Row],[Currency]]=$O$2,$P$2,HLOOKUP(Table2[[#This Row],[Date]],Funds!$C$10:$GV$11,2,FALSE)))</f>
        <v/>
      </c>
      <c r="J7821" s="215" t="str">
        <f>IF(Table2[[#This Row],[Description]]="","",Table2[[#This Row],[Value]]/Table2[[#This Row],[Conversion]])</f>
        <v/>
      </c>
      <c r="K7821" s="45" t="str">
        <f>IF(Table2[[#This Row],[Description]]="","",DATE(Table2[[#This Row],[Year]],Table2[[#This Row],[Month]],1))</f>
        <v/>
      </c>
    </row>
    <row r="7822" spans="7:11" x14ac:dyDescent="0.25">
      <c r="G7822" s="1" t="str">
        <f>IF(Table2[[#This Row],[Description]]="","",VLOOKUP(Table2[[#This Row],[Description]],$Q$1:$S$101,2,FALSE))</f>
        <v/>
      </c>
      <c r="H7822" s="1" t="str">
        <f>IF(Table2[[#This Row],[Description]]="","",VLOOKUP(Table2[[#This Row],[Description]],$Q$1:$S$101,3,FALSE))</f>
        <v/>
      </c>
      <c r="I7822" s="1" t="str">
        <f>IF(Table2[[#This Row],[Description]]="","",IF(Table2[[#This Row],[Currency]]=$O$2,$P$2,HLOOKUP(Table2[[#This Row],[Date]],Funds!$C$10:$GV$11,2,FALSE)))</f>
        <v/>
      </c>
      <c r="J7822" s="215" t="str">
        <f>IF(Table2[[#This Row],[Description]]="","",Table2[[#This Row],[Value]]/Table2[[#This Row],[Conversion]])</f>
        <v/>
      </c>
      <c r="K7822" s="45" t="str">
        <f>IF(Table2[[#This Row],[Description]]="","",DATE(Table2[[#This Row],[Year]],Table2[[#This Row],[Month]],1))</f>
        <v/>
      </c>
    </row>
    <row r="7823" spans="7:11" x14ac:dyDescent="0.25">
      <c r="G7823" s="1" t="str">
        <f>IF(Table2[[#This Row],[Description]]="","",VLOOKUP(Table2[[#This Row],[Description]],$Q$1:$S$101,2,FALSE))</f>
        <v/>
      </c>
      <c r="H7823" s="1" t="str">
        <f>IF(Table2[[#This Row],[Description]]="","",VLOOKUP(Table2[[#This Row],[Description]],$Q$1:$S$101,3,FALSE))</f>
        <v/>
      </c>
      <c r="I7823" s="1" t="str">
        <f>IF(Table2[[#This Row],[Description]]="","",IF(Table2[[#This Row],[Currency]]=$O$2,$P$2,HLOOKUP(Table2[[#This Row],[Date]],Funds!$C$10:$GV$11,2,FALSE)))</f>
        <v/>
      </c>
      <c r="J7823" s="215" t="str">
        <f>IF(Table2[[#This Row],[Description]]="","",Table2[[#This Row],[Value]]/Table2[[#This Row],[Conversion]])</f>
        <v/>
      </c>
      <c r="K7823" s="45" t="str">
        <f>IF(Table2[[#This Row],[Description]]="","",DATE(Table2[[#This Row],[Year]],Table2[[#This Row],[Month]],1))</f>
        <v/>
      </c>
    </row>
    <row r="7824" spans="7:11" x14ac:dyDescent="0.25">
      <c r="G7824" s="1" t="str">
        <f>IF(Table2[[#This Row],[Description]]="","",VLOOKUP(Table2[[#This Row],[Description]],$Q$1:$S$101,2,FALSE))</f>
        <v/>
      </c>
      <c r="H7824" s="1" t="str">
        <f>IF(Table2[[#This Row],[Description]]="","",VLOOKUP(Table2[[#This Row],[Description]],$Q$1:$S$101,3,FALSE))</f>
        <v/>
      </c>
      <c r="I7824" s="1" t="str">
        <f>IF(Table2[[#This Row],[Description]]="","",IF(Table2[[#This Row],[Currency]]=$O$2,$P$2,HLOOKUP(Table2[[#This Row],[Date]],Funds!$C$10:$GV$11,2,FALSE)))</f>
        <v/>
      </c>
      <c r="J7824" s="215" t="str">
        <f>IF(Table2[[#This Row],[Description]]="","",Table2[[#This Row],[Value]]/Table2[[#This Row],[Conversion]])</f>
        <v/>
      </c>
      <c r="K7824" s="45" t="str">
        <f>IF(Table2[[#This Row],[Description]]="","",DATE(Table2[[#This Row],[Year]],Table2[[#This Row],[Month]],1))</f>
        <v/>
      </c>
    </row>
    <row r="7825" spans="7:11" x14ac:dyDescent="0.25">
      <c r="G7825" s="1" t="str">
        <f>IF(Table2[[#This Row],[Description]]="","",VLOOKUP(Table2[[#This Row],[Description]],$Q$1:$S$101,2,FALSE))</f>
        <v/>
      </c>
      <c r="H7825" s="1" t="str">
        <f>IF(Table2[[#This Row],[Description]]="","",VLOOKUP(Table2[[#This Row],[Description]],$Q$1:$S$101,3,FALSE))</f>
        <v/>
      </c>
      <c r="I7825" s="1" t="str">
        <f>IF(Table2[[#This Row],[Description]]="","",IF(Table2[[#This Row],[Currency]]=$O$2,$P$2,HLOOKUP(Table2[[#This Row],[Date]],Funds!$C$10:$GV$11,2,FALSE)))</f>
        <v/>
      </c>
      <c r="J7825" s="215" t="str">
        <f>IF(Table2[[#This Row],[Description]]="","",Table2[[#This Row],[Value]]/Table2[[#This Row],[Conversion]])</f>
        <v/>
      </c>
      <c r="K7825" s="45" t="str">
        <f>IF(Table2[[#This Row],[Description]]="","",DATE(Table2[[#This Row],[Year]],Table2[[#This Row],[Month]],1))</f>
        <v/>
      </c>
    </row>
    <row r="7826" spans="7:11" x14ac:dyDescent="0.25">
      <c r="G7826" s="1" t="str">
        <f>IF(Table2[[#This Row],[Description]]="","",VLOOKUP(Table2[[#This Row],[Description]],$Q$1:$S$101,2,FALSE))</f>
        <v/>
      </c>
      <c r="H7826" s="1" t="str">
        <f>IF(Table2[[#This Row],[Description]]="","",VLOOKUP(Table2[[#This Row],[Description]],$Q$1:$S$101,3,FALSE))</f>
        <v/>
      </c>
      <c r="I7826" s="1" t="str">
        <f>IF(Table2[[#This Row],[Description]]="","",IF(Table2[[#This Row],[Currency]]=$O$2,$P$2,HLOOKUP(Table2[[#This Row],[Date]],Funds!$C$10:$GV$11,2,FALSE)))</f>
        <v/>
      </c>
      <c r="J7826" s="215" t="str">
        <f>IF(Table2[[#This Row],[Description]]="","",Table2[[#This Row],[Value]]/Table2[[#This Row],[Conversion]])</f>
        <v/>
      </c>
      <c r="K7826" s="45" t="str">
        <f>IF(Table2[[#This Row],[Description]]="","",DATE(Table2[[#This Row],[Year]],Table2[[#This Row],[Month]],1))</f>
        <v/>
      </c>
    </row>
    <row r="7827" spans="7:11" x14ac:dyDescent="0.25">
      <c r="G7827" s="1" t="str">
        <f>IF(Table2[[#This Row],[Description]]="","",VLOOKUP(Table2[[#This Row],[Description]],$Q$1:$S$101,2,FALSE))</f>
        <v/>
      </c>
      <c r="H7827" s="1" t="str">
        <f>IF(Table2[[#This Row],[Description]]="","",VLOOKUP(Table2[[#This Row],[Description]],$Q$1:$S$101,3,FALSE))</f>
        <v/>
      </c>
      <c r="I7827" s="1" t="str">
        <f>IF(Table2[[#This Row],[Description]]="","",IF(Table2[[#This Row],[Currency]]=$O$2,$P$2,HLOOKUP(Table2[[#This Row],[Date]],Funds!$C$10:$GV$11,2,FALSE)))</f>
        <v/>
      </c>
      <c r="J7827" s="215" t="str">
        <f>IF(Table2[[#This Row],[Description]]="","",Table2[[#This Row],[Value]]/Table2[[#This Row],[Conversion]])</f>
        <v/>
      </c>
      <c r="K7827" s="45" t="str">
        <f>IF(Table2[[#This Row],[Description]]="","",DATE(Table2[[#This Row],[Year]],Table2[[#This Row],[Month]],1))</f>
        <v/>
      </c>
    </row>
    <row r="7828" spans="7:11" x14ac:dyDescent="0.25">
      <c r="G7828" s="1" t="str">
        <f>IF(Table2[[#This Row],[Description]]="","",VLOOKUP(Table2[[#This Row],[Description]],$Q$1:$S$101,2,FALSE))</f>
        <v/>
      </c>
      <c r="H7828" s="1" t="str">
        <f>IF(Table2[[#This Row],[Description]]="","",VLOOKUP(Table2[[#This Row],[Description]],$Q$1:$S$101,3,FALSE))</f>
        <v/>
      </c>
      <c r="I7828" s="1" t="str">
        <f>IF(Table2[[#This Row],[Description]]="","",IF(Table2[[#This Row],[Currency]]=$O$2,$P$2,HLOOKUP(Table2[[#This Row],[Date]],Funds!$C$10:$GV$11,2,FALSE)))</f>
        <v/>
      </c>
      <c r="J7828" s="215" t="str">
        <f>IF(Table2[[#This Row],[Description]]="","",Table2[[#This Row],[Value]]/Table2[[#This Row],[Conversion]])</f>
        <v/>
      </c>
      <c r="K7828" s="45" t="str">
        <f>IF(Table2[[#This Row],[Description]]="","",DATE(Table2[[#This Row],[Year]],Table2[[#This Row],[Month]],1))</f>
        <v/>
      </c>
    </row>
    <row r="7829" spans="7:11" x14ac:dyDescent="0.25">
      <c r="G7829" s="1" t="str">
        <f>IF(Table2[[#This Row],[Description]]="","",VLOOKUP(Table2[[#This Row],[Description]],$Q$1:$S$101,2,FALSE))</f>
        <v/>
      </c>
      <c r="H7829" s="1" t="str">
        <f>IF(Table2[[#This Row],[Description]]="","",VLOOKUP(Table2[[#This Row],[Description]],$Q$1:$S$101,3,FALSE))</f>
        <v/>
      </c>
      <c r="I7829" s="1" t="str">
        <f>IF(Table2[[#This Row],[Description]]="","",IF(Table2[[#This Row],[Currency]]=$O$2,$P$2,HLOOKUP(Table2[[#This Row],[Date]],Funds!$C$10:$GV$11,2,FALSE)))</f>
        <v/>
      </c>
      <c r="J7829" s="215" t="str">
        <f>IF(Table2[[#This Row],[Description]]="","",Table2[[#This Row],[Value]]/Table2[[#This Row],[Conversion]])</f>
        <v/>
      </c>
      <c r="K7829" s="45" t="str">
        <f>IF(Table2[[#This Row],[Description]]="","",DATE(Table2[[#This Row],[Year]],Table2[[#This Row],[Month]],1))</f>
        <v/>
      </c>
    </row>
    <row r="7830" spans="7:11" x14ac:dyDescent="0.25">
      <c r="G7830" s="1" t="str">
        <f>IF(Table2[[#This Row],[Description]]="","",VLOOKUP(Table2[[#This Row],[Description]],$Q$1:$S$101,2,FALSE))</f>
        <v/>
      </c>
      <c r="H7830" s="1" t="str">
        <f>IF(Table2[[#This Row],[Description]]="","",VLOOKUP(Table2[[#This Row],[Description]],$Q$1:$S$101,3,FALSE))</f>
        <v/>
      </c>
      <c r="I7830" s="1" t="str">
        <f>IF(Table2[[#This Row],[Description]]="","",IF(Table2[[#This Row],[Currency]]=$O$2,$P$2,HLOOKUP(Table2[[#This Row],[Date]],Funds!$C$10:$GV$11,2,FALSE)))</f>
        <v/>
      </c>
      <c r="J7830" s="215" t="str">
        <f>IF(Table2[[#This Row],[Description]]="","",Table2[[#This Row],[Value]]/Table2[[#This Row],[Conversion]])</f>
        <v/>
      </c>
      <c r="K7830" s="45" t="str">
        <f>IF(Table2[[#This Row],[Description]]="","",DATE(Table2[[#This Row],[Year]],Table2[[#This Row],[Month]],1))</f>
        <v/>
      </c>
    </row>
    <row r="7831" spans="7:11" x14ac:dyDescent="0.25">
      <c r="G7831" s="1" t="str">
        <f>IF(Table2[[#This Row],[Description]]="","",VLOOKUP(Table2[[#This Row],[Description]],$Q$1:$S$101,2,FALSE))</f>
        <v/>
      </c>
      <c r="H7831" s="1" t="str">
        <f>IF(Table2[[#This Row],[Description]]="","",VLOOKUP(Table2[[#This Row],[Description]],$Q$1:$S$101,3,FALSE))</f>
        <v/>
      </c>
      <c r="I7831" s="1" t="str">
        <f>IF(Table2[[#This Row],[Description]]="","",IF(Table2[[#This Row],[Currency]]=$O$2,$P$2,HLOOKUP(Table2[[#This Row],[Date]],Funds!$C$10:$GV$11,2,FALSE)))</f>
        <v/>
      </c>
      <c r="J7831" s="215" t="str">
        <f>IF(Table2[[#This Row],[Description]]="","",Table2[[#This Row],[Value]]/Table2[[#This Row],[Conversion]])</f>
        <v/>
      </c>
      <c r="K7831" s="45" t="str">
        <f>IF(Table2[[#This Row],[Description]]="","",DATE(Table2[[#This Row],[Year]],Table2[[#This Row],[Month]],1))</f>
        <v/>
      </c>
    </row>
    <row r="7832" spans="7:11" x14ac:dyDescent="0.25">
      <c r="G7832" s="1" t="str">
        <f>IF(Table2[[#This Row],[Description]]="","",VLOOKUP(Table2[[#This Row],[Description]],$Q$1:$S$101,2,FALSE))</f>
        <v/>
      </c>
      <c r="H7832" s="1" t="str">
        <f>IF(Table2[[#This Row],[Description]]="","",VLOOKUP(Table2[[#This Row],[Description]],$Q$1:$S$101,3,FALSE))</f>
        <v/>
      </c>
      <c r="I7832" s="1" t="str">
        <f>IF(Table2[[#This Row],[Description]]="","",IF(Table2[[#This Row],[Currency]]=$O$2,$P$2,HLOOKUP(Table2[[#This Row],[Date]],Funds!$C$10:$GV$11,2,FALSE)))</f>
        <v/>
      </c>
      <c r="J7832" s="215" t="str">
        <f>IF(Table2[[#This Row],[Description]]="","",Table2[[#This Row],[Value]]/Table2[[#This Row],[Conversion]])</f>
        <v/>
      </c>
      <c r="K7832" s="45" t="str">
        <f>IF(Table2[[#This Row],[Description]]="","",DATE(Table2[[#This Row],[Year]],Table2[[#This Row],[Month]],1))</f>
        <v/>
      </c>
    </row>
    <row r="7833" spans="7:11" x14ac:dyDescent="0.25">
      <c r="G7833" s="1" t="str">
        <f>IF(Table2[[#This Row],[Description]]="","",VLOOKUP(Table2[[#This Row],[Description]],$Q$1:$S$101,2,FALSE))</f>
        <v/>
      </c>
      <c r="H7833" s="1" t="str">
        <f>IF(Table2[[#This Row],[Description]]="","",VLOOKUP(Table2[[#This Row],[Description]],$Q$1:$S$101,3,FALSE))</f>
        <v/>
      </c>
      <c r="I7833" s="1" t="str">
        <f>IF(Table2[[#This Row],[Description]]="","",IF(Table2[[#This Row],[Currency]]=$O$2,$P$2,HLOOKUP(Table2[[#This Row],[Date]],Funds!$C$10:$GV$11,2,FALSE)))</f>
        <v/>
      </c>
      <c r="J7833" s="215" t="str">
        <f>IF(Table2[[#This Row],[Description]]="","",Table2[[#This Row],[Value]]/Table2[[#This Row],[Conversion]])</f>
        <v/>
      </c>
      <c r="K7833" s="45" t="str">
        <f>IF(Table2[[#This Row],[Description]]="","",DATE(Table2[[#This Row],[Year]],Table2[[#This Row],[Month]],1))</f>
        <v/>
      </c>
    </row>
    <row r="7834" spans="7:11" x14ac:dyDescent="0.25">
      <c r="G7834" s="1" t="str">
        <f>IF(Table2[[#This Row],[Description]]="","",VLOOKUP(Table2[[#This Row],[Description]],$Q$1:$S$101,2,FALSE))</f>
        <v/>
      </c>
      <c r="H7834" s="1" t="str">
        <f>IF(Table2[[#This Row],[Description]]="","",VLOOKUP(Table2[[#This Row],[Description]],$Q$1:$S$101,3,FALSE))</f>
        <v/>
      </c>
      <c r="I7834" s="1" t="str">
        <f>IF(Table2[[#This Row],[Description]]="","",IF(Table2[[#This Row],[Currency]]=$O$2,$P$2,HLOOKUP(Table2[[#This Row],[Date]],Funds!$C$10:$GV$11,2,FALSE)))</f>
        <v/>
      </c>
      <c r="J7834" s="215" t="str">
        <f>IF(Table2[[#This Row],[Description]]="","",Table2[[#This Row],[Value]]/Table2[[#This Row],[Conversion]])</f>
        <v/>
      </c>
      <c r="K7834" s="45" t="str">
        <f>IF(Table2[[#This Row],[Description]]="","",DATE(Table2[[#This Row],[Year]],Table2[[#This Row],[Month]],1))</f>
        <v/>
      </c>
    </row>
    <row r="7835" spans="7:11" x14ac:dyDescent="0.25">
      <c r="G7835" s="1" t="str">
        <f>IF(Table2[[#This Row],[Description]]="","",VLOOKUP(Table2[[#This Row],[Description]],$Q$1:$S$101,2,FALSE))</f>
        <v/>
      </c>
      <c r="H7835" s="1" t="str">
        <f>IF(Table2[[#This Row],[Description]]="","",VLOOKUP(Table2[[#This Row],[Description]],$Q$1:$S$101,3,FALSE))</f>
        <v/>
      </c>
      <c r="I7835" s="1" t="str">
        <f>IF(Table2[[#This Row],[Description]]="","",IF(Table2[[#This Row],[Currency]]=$O$2,$P$2,HLOOKUP(Table2[[#This Row],[Date]],Funds!$C$10:$GV$11,2,FALSE)))</f>
        <v/>
      </c>
      <c r="J7835" s="215" t="str">
        <f>IF(Table2[[#This Row],[Description]]="","",Table2[[#This Row],[Value]]/Table2[[#This Row],[Conversion]])</f>
        <v/>
      </c>
      <c r="K7835" s="45" t="str">
        <f>IF(Table2[[#This Row],[Description]]="","",DATE(Table2[[#This Row],[Year]],Table2[[#This Row],[Month]],1))</f>
        <v/>
      </c>
    </row>
    <row r="7836" spans="7:11" x14ac:dyDescent="0.25">
      <c r="G7836" s="1" t="str">
        <f>IF(Table2[[#This Row],[Description]]="","",VLOOKUP(Table2[[#This Row],[Description]],$Q$1:$S$101,2,FALSE))</f>
        <v/>
      </c>
      <c r="H7836" s="1" t="str">
        <f>IF(Table2[[#This Row],[Description]]="","",VLOOKUP(Table2[[#This Row],[Description]],$Q$1:$S$101,3,FALSE))</f>
        <v/>
      </c>
      <c r="I7836" s="1" t="str">
        <f>IF(Table2[[#This Row],[Description]]="","",IF(Table2[[#This Row],[Currency]]=$O$2,$P$2,HLOOKUP(Table2[[#This Row],[Date]],Funds!$C$10:$GV$11,2,FALSE)))</f>
        <v/>
      </c>
      <c r="J7836" s="215" t="str">
        <f>IF(Table2[[#This Row],[Description]]="","",Table2[[#This Row],[Value]]/Table2[[#This Row],[Conversion]])</f>
        <v/>
      </c>
      <c r="K7836" s="45" t="str">
        <f>IF(Table2[[#This Row],[Description]]="","",DATE(Table2[[#This Row],[Year]],Table2[[#This Row],[Month]],1))</f>
        <v/>
      </c>
    </row>
    <row r="7837" spans="7:11" x14ac:dyDescent="0.25">
      <c r="G7837" s="1" t="str">
        <f>IF(Table2[[#This Row],[Description]]="","",VLOOKUP(Table2[[#This Row],[Description]],$Q$1:$S$101,2,FALSE))</f>
        <v/>
      </c>
      <c r="H7837" s="1" t="str">
        <f>IF(Table2[[#This Row],[Description]]="","",VLOOKUP(Table2[[#This Row],[Description]],$Q$1:$S$101,3,FALSE))</f>
        <v/>
      </c>
      <c r="I7837" s="1" t="str">
        <f>IF(Table2[[#This Row],[Description]]="","",IF(Table2[[#This Row],[Currency]]=$O$2,$P$2,HLOOKUP(Table2[[#This Row],[Date]],Funds!$C$10:$GV$11,2,FALSE)))</f>
        <v/>
      </c>
      <c r="J7837" s="215" t="str">
        <f>IF(Table2[[#This Row],[Description]]="","",Table2[[#This Row],[Value]]/Table2[[#This Row],[Conversion]])</f>
        <v/>
      </c>
      <c r="K7837" s="45" t="str">
        <f>IF(Table2[[#This Row],[Description]]="","",DATE(Table2[[#This Row],[Year]],Table2[[#This Row],[Month]],1))</f>
        <v/>
      </c>
    </row>
    <row r="7838" spans="7:11" x14ac:dyDescent="0.25">
      <c r="G7838" s="1" t="str">
        <f>IF(Table2[[#This Row],[Description]]="","",VLOOKUP(Table2[[#This Row],[Description]],$Q$1:$S$101,2,FALSE))</f>
        <v/>
      </c>
      <c r="H7838" s="1" t="str">
        <f>IF(Table2[[#This Row],[Description]]="","",VLOOKUP(Table2[[#This Row],[Description]],$Q$1:$S$101,3,FALSE))</f>
        <v/>
      </c>
      <c r="I7838" s="1" t="str">
        <f>IF(Table2[[#This Row],[Description]]="","",IF(Table2[[#This Row],[Currency]]=$O$2,$P$2,HLOOKUP(Table2[[#This Row],[Date]],Funds!$C$10:$GV$11,2,FALSE)))</f>
        <v/>
      </c>
      <c r="J7838" s="215" t="str">
        <f>IF(Table2[[#This Row],[Description]]="","",Table2[[#This Row],[Value]]/Table2[[#This Row],[Conversion]])</f>
        <v/>
      </c>
      <c r="K7838" s="45" t="str">
        <f>IF(Table2[[#This Row],[Description]]="","",DATE(Table2[[#This Row],[Year]],Table2[[#This Row],[Month]],1))</f>
        <v/>
      </c>
    </row>
    <row r="7839" spans="7:11" x14ac:dyDescent="0.25">
      <c r="G7839" s="1" t="str">
        <f>IF(Table2[[#This Row],[Description]]="","",VLOOKUP(Table2[[#This Row],[Description]],$Q$1:$S$101,2,FALSE))</f>
        <v/>
      </c>
      <c r="H7839" s="1" t="str">
        <f>IF(Table2[[#This Row],[Description]]="","",VLOOKUP(Table2[[#This Row],[Description]],$Q$1:$S$101,3,FALSE))</f>
        <v/>
      </c>
      <c r="I7839" s="1" t="str">
        <f>IF(Table2[[#This Row],[Description]]="","",IF(Table2[[#This Row],[Currency]]=$O$2,$P$2,HLOOKUP(Table2[[#This Row],[Date]],Funds!$C$10:$GV$11,2,FALSE)))</f>
        <v/>
      </c>
      <c r="J7839" s="215" t="str">
        <f>IF(Table2[[#This Row],[Description]]="","",Table2[[#This Row],[Value]]/Table2[[#This Row],[Conversion]])</f>
        <v/>
      </c>
      <c r="K7839" s="45" t="str">
        <f>IF(Table2[[#This Row],[Description]]="","",DATE(Table2[[#This Row],[Year]],Table2[[#This Row],[Month]],1))</f>
        <v/>
      </c>
    </row>
    <row r="7840" spans="7:11" x14ac:dyDescent="0.25">
      <c r="G7840" s="1" t="str">
        <f>IF(Table2[[#This Row],[Description]]="","",VLOOKUP(Table2[[#This Row],[Description]],$Q$1:$S$101,2,FALSE))</f>
        <v/>
      </c>
      <c r="H7840" s="1" t="str">
        <f>IF(Table2[[#This Row],[Description]]="","",VLOOKUP(Table2[[#This Row],[Description]],$Q$1:$S$101,3,FALSE))</f>
        <v/>
      </c>
      <c r="I7840" s="1" t="str">
        <f>IF(Table2[[#This Row],[Description]]="","",IF(Table2[[#This Row],[Currency]]=$O$2,$P$2,HLOOKUP(Table2[[#This Row],[Date]],Funds!$C$10:$GV$11,2,FALSE)))</f>
        <v/>
      </c>
      <c r="J7840" s="215" t="str">
        <f>IF(Table2[[#This Row],[Description]]="","",Table2[[#This Row],[Value]]/Table2[[#This Row],[Conversion]])</f>
        <v/>
      </c>
      <c r="K7840" s="45" t="str">
        <f>IF(Table2[[#This Row],[Description]]="","",DATE(Table2[[#This Row],[Year]],Table2[[#This Row],[Month]],1))</f>
        <v/>
      </c>
    </row>
    <row r="7841" spans="7:11" x14ac:dyDescent="0.25">
      <c r="G7841" s="1" t="str">
        <f>IF(Table2[[#This Row],[Description]]="","",VLOOKUP(Table2[[#This Row],[Description]],$Q$1:$S$101,2,FALSE))</f>
        <v/>
      </c>
      <c r="H7841" s="1" t="str">
        <f>IF(Table2[[#This Row],[Description]]="","",VLOOKUP(Table2[[#This Row],[Description]],$Q$1:$S$101,3,FALSE))</f>
        <v/>
      </c>
      <c r="I7841" s="1" t="str">
        <f>IF(Table2[[#This Row],[Description]]="","",IF(Table2[[#This Row],[Currency]]=$O$2,$P$2,HLOOKUP(Table2[[#This Row],[Date]],Funds!$C$10:$GV$11,2,FALSE)))</f>
        <v/>
      </c>
      <c r="J7841" s="215" t="str">
        <f>IF(Table2[[#This Row],[Description]]="","",Table2[[#This Row],[Value]]/Table2[[#This Row],[Conversion]])</f>
        <v/>
      </c>
      <c r="K7841" s="45" t="str">
        <f>IF(Table2[[#This Row],[Description]]="","",DATE(Table2[[#This Row],[Year]],Table2[[#This Row],[Month]],1))</f>
        <v/>
      </c>
    </row>
    <row r="7842" spans="7:11" x14ac:dyDescent="0.25">
      <c r="G7842" s="1" t="str">
        <f>IF(Table2[[#This Row],[Description]]="","",VLOOKUP(Table2[[#This Row],[Description]],$Q$1:$S$101,2,FALSE))</f>
        <v/>
      </c>
      <c r="H7842" s="1" t="str">
        <f>IF(Table2[[#This Row],[Description]]="","",VLOOKUP(Table2[[#This Row],[Description]],$Q$1:$S$101,3,FALSE))</f>
        <v/>
      </c>
      <c r="I7842" s="1" t="str">
        <f>IF(Table2[[#This Row],[Description]]="","",IF(Table2[[#This Row],[Currency]]=$O$2,$P$2,HLOOKUP(Table2[[#This Row],[Date]],Funds!$C$10:$GV$11,2,FALSE)))</f>
        <v/>
      </c>
      <c r="J7842" s="215" t="str">
        <f>IF(Table2[[#This Row],[Description]]="","",Table2[[#This Row],[Value]]/Table2[[#This Row],[Conversion]])</f>
        <v/>
      </c>
      <c r="K7842" s="45" t="str">
        <f>IF(Table2[[#This Row],[Description]]="","",DATE(Table2[[#This Row],[Year]],Table2[[#This Row],[Month]],1))</f>
        <v/>
      </c>
    </row>
    <row r="7843" spans="7:11" x14ac:dyDescent="0.25">
      <c r="G7843" s="1" t="str">
        <f>IF(Table2[[#This Row],[Description]]="","",VLOOKUP(Table2[[#This Row],[Description]],$Q$1:$S$101,2,FALSE))</f>
        <v/>
      </c>
      <c r="H7843" s="1" t="str">
        <f>IF(Table2[[#This Row],[Description]]="","",VLOOKUP(Table2[[#This Row],[Description]],$Q$1:$S$101,3,FALSE))</f>
        <v/>
      </c>
      <c r="I7843" s="1" t="str">
        <f>IF(Table2[[#This Row],[Description]]="","",IF(Table2[[#This Row],[Currency]]=$O$2,$P$2,HLOOKUP(Table2[[#This Row],[Date]],Funds!$C$10:$GV$11,2,FALSE)))</f>
        <v/>
      </c>
      <c r="J7843" s="215" t="str">
        <f>IF(Table2[[#This Row],[Description]]="","",Table2[[#This Row],[Value]]/Table2[[#This Row],[Conversion]])</f>
        <v/>
      </c>
      <c r="K7843" s="45" t="str">
        <f>IF(Table2[[#This Row],[Description]]="","",DATE(Table2[[#This Row],[Year]],Table2[[#This Row],[Month]],1))</f>
        <v/>
      </c>
    </row>
    <row r="7844" spans="7:11" x14ac:dyDescent="0.25">
      <c r="G7844" s="1" t="str">
        <f>IF(Table2[[#This Row],[Description]]="","",VLOOKUP(Table2[[#This Row],[Description]],$Q$1:$S$101,2,FALSE))</f>
        <v/>
      </c>
      <c r="H7844" s="1" t="str">
        <f>IF(Table2[[#This Row],[Description]]="","",VLOOKUP(Table2[[#This Row],[Description]],$Q$1:$S$101,3,FALSE))</f>
        <v/>
      </c>
      <c r="I7844" s="1" t="str">
        <f>IF(Table2[[#This Row],[Description]]="","",IF(Table2[[#This Row],[Currency]]=$O$2,$P$2,HLOOKUP(Table2[[#This Row],[Date]],Funds!$C$10:$GV$11,2,FALSE)))</f>
        <v/>
      </c>
      <c r="J7844" s="215" t="str">
        <f>IF(Table2[[#This Row],[Description]]="","",Table2[[#This Row],[Value]]/Table2[[#This Row],[Conversion]])</f>
        <v/>
      </c>
      <c r="K7844" s="45" t="str">
        <f>IF(Table2[[#This Row],[Description]]="","",DATE(Table2[[#This Row],[Year]],Table2[[#This Row],[Month]],1))</f>
        <v/>
      </c>
    </row>
    <row r="7845" spans="7:11" x14ac:dyDescent="0.25">
      <c r="G7845" s="1" t="str">
        <f>IF(Table2[[#This Row],[Description]]="","",VLOOKUP(Table2[[#This Row],[Description]],$Q$1:$S$101,2,FALSE))</f>
        <v/>
      </c>
      <c r="H7845" s="1" t="str">
        <f>IF(Table2[[#This Row],[Description]]="","",VLOOKUP(Table2[[#This Row],[Description]],$Q$1:$S$101,3,FALSE))</f>
        <v/>
      </c>
      <c r="I7845" s="1" t="str">
        <f>IF(Table2[[#This Row],[Description]]="","",IF(Table2[[#This Row],[Currency]]=$O$2,$P$2,HLOOKUP(Table2[[#This Row],[Date]],Funds!$C$10:$GV$11,2,FALSE)))</f>
        <v/>
      </c>
      <c r="J7845" s="215" t="str">
        <f>IF(Table2[[#This Row],[Description]]="","",Table2[[#This Row],[Value]]/Table2[[#This Row],[Conversion]])</f>
        <v/>
      </c>
      <c r="K7845" s="45" t="str">
        <f>IF(Table2[[#This Row],[Description]]="","",DATE(Table2[[#This Row],[Year]],Table2[[#This Row],[Month]],1))</f>
        <v/>
      </c>
    </row>
    <row r="7846" spans="7:11" x14ac:dyDescent="0.25">
      <c r="G7846" s="1" t="str">
        <f>IF(Table2[[#This Row],[Description]]="","",VLOOKUP(Table2[[#This Row],[Description]],$Q$1:$S$101,2,FALSE))</f>
        <v/>
      </c>
      <c r="H7846" s="1" t="str">
        <f>IF(Table2[[#This Row],[Description]]="","",VLOOKUP(Table2[[#This Row],[Description]],$Q$1:$S$101,3,FALSE))</f>
        <v/>
      </c>
      <c r="I7846" s="1" t="str">
        <f>IF(Table2[[#This Row],[Description]]="","",IF(Table2[[#This Row],[Currency]]=$O$2,$P$2,HLOOKUP(Table2[[#This Row],[Date]],Funds!$C$10:$GV$11,2,FALSE)))</f>
        <v/>
      </c>
      <c r="J7846" s="215" t="str">
        <f>IF(Table2[[#This Row],[Description]]="","",Table2[[#This Row],[Value]]/Table2[[#This Row],[Conversion]])</f>
        <v/>
      </c>
      <c r="K7846" s="45" t="str">
        <f>IF(Table2[[#This Row],[Description]]="","",DATE(Table2[[#This Row],[Year]],Table2[[#This Row],[Month]],1))</f>
        <v/>
      </c>
    </row>
    <row r="7847" spans="7:11" x14ac:dyDescent="0.25">
      <c r="G7847" s="1" t="str">
        <f>IF(Table2[[#This Row],[Description]]="","",VLOOKUP(Table2[[#This Row],[Description]],$Q$1:$S$101,2,FALSE))</f>
        <v/>
      </c>
      <c r="H7847" s="1" t="str">
        <f>IF(Table2[[#This Row],[Description]]="","",VLOOKUP(Table2[[#This Row],[Description]],$Q$1:$S$101,3,FALSE))</f>
        <v/>
      </c>
      <c r="I7847" s="1" t="str">
        <f>IF(Table2[[#This Row],[Description]]="","",IF(Table2[[#This Row],[Currency]]=$O$2,$P$2,HLOOKUP(Table2[[#This Row],[Date]],Funds!$C$10:$GV$11,2,FALSE)))</f>
        <v/>
      </c>
      <c r="J7847" s="215" t="str">
        <f>IF(Table2[[#This Row],[Description]]="","",Table2[[#This Row],[Value]]/Table2[[#This Row],[Conversion]])</f>
        <v/>
      </c>
      <c r="K7847" s="45" t="str">
        <f>IF(Table2[[#This Row],[Description]]="","",DATE(Table2[[#This Row],[Year]],Table2[[#This Row],[Month]],1))</f>
        <v/>
      </c>
    </row>
    <row r="7848" spans="7:11" x14ac:dyDescent="0.25">
      <c r="G7848" s="1" t="str">
        <f>IF(Table2[[#This Row],[Description]]="","",VLOOKUP(Table2[[#This Row],[Description]],$Q$1:$S$101,2,FALSE))</f>
        <v/>
      </c>
      <c r="H7848" s="1" t="str">
        <f>IF(Table2[[#This Row],[Description]]="","",VLOOKUP(Table2[[#This Row],[Description]],$Q$1:$S$101,3,FALSE))</f>
        <v/>
      </c>
      <c r="I7848" s="1" t="str">
        <f>IF(Table2[[#This Row],[Description]]="","",IF(Table2[[#This Row],[Currency]]=$O$2,$P$2,HLOOKUP(Table2[[#This Row],[Date]],Funds!$C$10:$GV$11,2,FALSE)))</f>
        <v/>
      </c>
      <c r="J7848" s="215" t="str">
        <f>IF(Table2[[#This Row],[Description]]="","",Table2[[#This Row],[Value]]/Table2[[#This Row],[Conversion]])</f>
        <v/>
      </c>
      <c r="K7848" s="45" t="str">
        <f>IF(Table2[[#This Row],[Description]]="","",DATE(Table2[[#This Row],[Year]],Table2[[#This Row],[Month]],1))</f>
        <v/>
      </c>
    </row>
    <row r="7849" spans="7:11" x14ac:dyDescent="0.25">
      <c r="G7849" s="1" t="str">
        <f>IF(Table2[[#This Row],[Description]]="","",VLOOKUP(Table2[[#This Row],[Description]],$Q$1:$S$101,2,FALSE))</f>
        <v/>
      </c>
      <c r="H7849" s="1" t="str">
        <f>IF(Table2[[#This Row],[Description]]="","",VLOOKUP(Table2[[#This Row],[Description]],$Q$1:$S$101,3,FALSE))</f>
        <v/>
      </c>
      <c r="I7849" s="1" t="str">
        <f>IF(Table2[[#This Row],[Description]]="","",IF(Table2[[#This Row],[Currency]]=$O$2,$P$2,HLOOKUP(Table2[[#This Row],[Date]],Funds!$C$10:$GV$11,2,FALSE)))</f>
        <v/>
      </c>
      <c r="J7849" s="215" t="str">
        <f>IF(Table2[[#This Row],[Description]]="","",Table2[[#This Row],[Value]]/Table2[[#This Row],[Conversion]])</f>
        <v/>
      </c>
      <c r="K7849" s="45" t="str">
        <f>IF(Table2[[#This Row],[Description]]="","",DATE(Table2[[#This Row],[Year]],Table2[[#This Row],[Month]],1))</f>
        <v/>
      </c>
    </row>
    <row r="7850" spans="7:11" x14ac:dyDescent="0.25">
      <c r="G7850" s="1" t="str">
        <f>IF(Table2[[#This Row],[Description]]="","",VLOOKUP(Table2[[#This Row],[Description]],$Q$1:$S$101,2,FALSE))</f>
        <v/>
      </c>
      <c r="H7850" s="1" t="str">
        <f>IF(Table2[[#This Row],[Description]]="","",VLOOKUP(Table2[[#This Row],[Description]],$Q$1:$S$101,3,FALSE))</f>
        <v/>
      </c>
      <c r="I7850" s="1" t="str">
        <f>IF(Table2[[#This Row],[Description]]="","",IF(Table2[[#This Row],[Currency]]=$O$2,$P$2,HLOOKUP(Table2[[#This Row],[Date]],Funds!$C$10:$GV$11,2,FALSE)))</f>
        <v/>
      </c>
      <c r="J7850" s="215" t="str">
        <f>IF(Table2[[#This Row],[Description]]="","",Table2[[#This Row],[Value]]/Table2[[#This Row],[Conversion]])</f>
        <v/>
      </c>
      <c r="K7850" s="45" t="str">
        <f>IF(Table2[[#This Row],[Description]]="","",DATE(Table2[[#This Row],[Year]],Table2[[#This Row],[Month]],1))</f>
        <v/>
      </c>
    </row>
    <row r="7851" spans="7:11" x14ac:dyDescent="0.25">
      <c r="G7851" s="1" t="str">
        <f>IF(Table2[[#This Row],[Description]]="","",VLOOKUP(Table2[[#This Row],[Description]],$Q$1:$S$101,2,FALSE))</f>
        <v/>
      </c>
      <c r="H7851" s="1" t="str">
        <f>IF(Table2[[#This Row],[Description]]="","",VLOOKUP(Table2[[#This Row],[Description]],$Q$1:$S$101,3,FALSE))</f>
        <v/>
      </c>
      <c r="I7851" s="1" t="str">
        <f>IF(Table2[[#This Row],[Description]]="","",IF(Table2[[#This Row],[Currency]]=$O$2,$P$2,HLOOKUP(Table2[[#This Row],[Date]],Funds!$C$10:$GV$11,2,FALSE)))</f>
        <v/>
      </c>
      <c r="J7851" s="215" t="str">
        <f>IF(Table2[[#This Row],[Description]]="","",Table2[[#This Row],[Value]]/Table2[[#This Row],[Conversion]])</f>
        <v/>
      </c>
      <c r="K7851" s="45" t="str">
        <f>IF(Table2[[#This Row],[Description]]="","",DATE(Table2[[#This Row],[Year]],Table2[[#This Row],[Month]],1))</f>
        <v/>
      </c>
    </row>
    <row r="7852" spans="7:11" x14ac:dyDescent="0.25">
      <c r="G7852" s="1" t="str">
        <f>IF(Table2[[#This Row],[Description]]="","",VLOOKUP(Table2[[#This Row],[Description]],$Q$1:$S$101,2,FALSE))</f>
        <v/>
      </c>
      <c r="H7852" s="1" t="str">
        <f>IF(Table2[[#This Row],[Description]]="","",VLOOKUP(Table2[[#This Row],[Description]],$Q$1:$S$101,3,FALSE))</f>
        <v/>
      </c>
      <c r="I7852" s="1" t="str">
        <f>IF(Table2[[#This Row],[Description]]="","",IF(Table2[[#This Row],[Currency]]=$O$2,$P$2,HLOOKUP(Table2[[#This Row],[Date]],Funds!$C$10:$GV$11,2,FALSE)))</f>
        <v/>
      </c>
      <c r="J7852" s="215" t="str">
        <f>IF(Table2[[#This Row],[Description]]="","",Table2[[#This Row],[Value]]/Table2[[#This Row],[Conversion]])</f>
        <v/>
      </c>
      <c r="K7852" s="45" t="str">
        <f>IF(Table2[[#This Row],[Description]]="","",DATE(Table2[[#This Row],[Year]],Table2[[#This Row],[Month]],1))</f>
        <v/>
      </c>
    </row>
    <row r="7853" spans="7:11" x14ac:dyDescent="0.25">
      <c r="G7853" s="1" t="str">
        <f>IF(Table2[[#This Row],[Description]]="","",VLOOKUP(Table2[[#This Row],[Description]],$Q$1:$S$101,2,FALSE))</f>
        <v/>
      </c>
      <c r="H7853" s="1" t="str">
        <f>IF(Table2[[#This Row],[Description]]="","",VLOOKUP(Table2[[#This Row],[Description]],$Q$1:$S$101,3,FALSE))</f>
        <v/>
      </c>
      <c r="I7853" s="1" t="str">
        <f>IF(Table2[[#This Row],[Description]]="","",IF(Table2[[#This Row],[Currency]]=$O$2,$P$2,HLOOKUP(Table2[[#This Row],[Date]],Funds!$C$10:$GV$11,2,FALSE)))</f>
        <v/>
      </c>
      <c r="J7853" s="215" t="str">
        <f>IF(Table2[[#This Row],[Description]]="","",Table2[[#This Row],[Value]]/Table2[[#This Row],[Conversion]])</f>
        <v/>
      </c>
      <c r="K7853" s="45" t="str">
        <f>IF(Table2[[#This Row],[Description]]="","",DATE(Table2[[#This Row],[Year]],Table2[[#This Row],[Month]],1))</f>
        <v/>
      </c>
    </row>
    <row r="7854" spans="7:11" x14ac:dyDescent="0.25">
      <c r="G7854" s="1" t="str">
        <f>IF(Table2[[#This Row],[Description]]="","",VLOOKUP(Table2[[#This Row],[Description]],$Q$1:$S$101,2,FALSE))</f>
        <v/>
      </c>
      <c r="H7854" s="1" t="str">
        <f>IF(Table2[[#This Row],[Description]]="","",VLOOKUP(Table2[[#This Row],[Description]],$Q$1:$S$101,3,FALSE))</f>
        <v/>
      </c>
      <c r="I7854" s="1" t="str">
        <f>IF(Table2[[#This Row],[Description]]="","",IF(Table2[[#This Row],[Currency]]=$O$2,$P$2,HLOOKUP(Table2[[#This Row],[Date]],Funds!$C$10:$GV$11,2,FALSE)))</f>
        <v/>
      </c>
      <c r="J7854" s="215" t="str">
        <f>IF(Table2[[#This Row],[Description]]="","",Table2[[#This Row],[Value]]/Table2[[#This Row],[Conversion]])</f>
        <v/>
      </c>
      <c r="K7854" s="45" t="str">
        <f>IF(Table2[[#This Row],[Description]]="","",DATE(Table2[[#This Row],[Year]],Table2[[#This Row],[Month]],1))</f>
        <v/>
      </c>
    </row>
    <row r="7855" spans="7:11" x14ac:dyDescent="0.25">
      <c r="G7855" s="1" t="str">
        <f>IF(Table2[[#This Row],[Description]]="","",VLOOKUP(Table2[[#This Row],[Description]],$Q$1:$S$101,2,FALSE))</f>
        <v/>
      </c>
      <c r="H7855" s="1" t="str">
        <f>IF(Table2[[#This Row],[Description]]="","",VLOOKUP(Table2[[#This Row],[Description]],$Q$1:$S$101,3,FALSE))</f>
        <v/>
      </c>
      <c r="I7855" s="1" t="str">
        <f>IF(Table2[[#This Row],[Description]]="","",IF(Table2[[#This Row],[Currency]]=$O$2,$P$2,HLOOKUP(Table2[[#This Row],[Date]],Funds!$C$10:$GV$11,2,FALSE)))</f>
        <v/>
      </c>
      <c r="J7855" s="215" t="str">
        <f>IF(Table2[[#This Row],[Description]]="","",Table2[[#This Row],[Value]]/Table2[[#This Row],[Conversion]])</f>
        <v/>
      </c>
      <c r="K7855" s="45" t="str">
        <f>IF(Table2[[#This Row],[Description]]="","",DATE(Table2[[#This Row],[Year]],Table2[[#This Row],[Month]],1))</f>
        <v/>
      </c>
    </row>
    <row r="7856" spans="7:11" x14ac:dyDescent="0.25">
      <c r="G7856" s="1" t="str">
        <f>IF(Table2[[#This Row],[Description]]="","",VLOOKUP(Table2[[#This Row],[Description]],$Q$1:$S$101,2,FALSE))</f>
        <v/>
      </c>
      <c r="H7856" s="1" t="str">
        <f>IF(Table2[[#This Row],[Description]]="","",VLOOKUP(Table2[[#This Row],[Description]],$Q$1:$S$101,3,FALSE))</f>
        <v/>
      </c>
      <c r="I7856" s="1" t="str">
        <f>IF(Table2[[#This Row],[Description]]="","",IF(Table2[[#This Row],[Currency]]=$O$2,$P$2,HLOOKUP(Table2[[#This Row],[Date]],Funds!$C$10:$GV$11,2,FALSE)))</f>
        <v/>
      </c>
      <c r="J7856" s="215" t="str">
        <f>IF(Table2[[#This Row],[Description]]="","",Table2[[#This Row],[Value]]/Table2[[#This Row],[Conversion]])</f>
        <v/>
      </c>
      <c r="K7856" s="45" t="str">
        <f>IF(Table2[[#This Row],[Description]]="","",DATE(Table2[[#This Row],[Year]],Table2[[#This Row],[Month]],1))</f>
        <v/>
      </c>
    </row>
    <row r="7857" spans="7:11" x14ac:dyDescent="0.25">
      <c r="G7857" s="1" t="str">
        <f>IF(Table2[[#This Row],[Description]]="","",VLOOKUP(Table2[[#This Row],[Description]],$Q$1:$S$101,2,FALSE))</f>
        <v/>
      </c>
      <c r="H7857" s="1" t="str">
        <f>IF(Table2[[#This Row],[Description]]="","",VLOOKUP(Table2[[#This Row],[Description]],$Q$1:$S$101,3,FALSE))</f>
        <v/>
      </c>
      <c r="I7857" s="1" t="str">
        <f>IF(Table2[[#This Row],[Description]]="","",IF(Table2[[#This Row],[Currency]]=$O$2,$P$2,HLOOKUP(Table2[[#This Row],[Date]],Funds!$C$10:$GV$11,2,FALSE)))</f>
        <v/>
      </c>
      <c r="J7857" s="215" t="str">
        <f>IF(Table2[[#This Row],[Description]]="","",Table2[[#This Row],[Value]]/Table2[[#This Row],[Conversion]])</f>
        <v/>
      </c>
      <c r="K7857" s="45" t="str">
        <f>IF(Table2[[#This Row],[Description]]="","",DATE(Table2[[#This Row],[Year]],Table2[[#This Row],[Month]],1))</f>
        <v/>
      </c>
    </row>
    <row r="7858" spans="7:11" x14ac:dyDescent="0.25">
      <c r="G7858" s="1" t="str">
        <f>IF(Table2[[#This Row],[Description]]="","",VLOOKUP(Table2[[#This Row],[Description]],$Q$1:$S$101,2,FALSE))</f>
        <v/>
      </c>
      <c r="H7858" s="1" t="str">
        <f>IF(Table2[[#This Row],[Description]]="","",VLOOKUP(Table2[[#This Row],[Description]],$Q$1:$S$101,3,FALSE))</f>
        <v/>
      </c>
      <c r="I7858" s="1" t="str">
        <f>IF(Table2[[#This Row],[Description]]="","",IF(Table2[[#This Row],[Currency]]=$O$2,$P$2,HLOOKUP(Table2[[#This Row],[Date]],Funds!$C$10:$GV$11,2,FALSE)))</f>
        <v/>
      </c>
      <c r="J7858" s="215" t="str">
        <f>IF(Table2[[#This Row],[Description]]="","",Table2[[#This Row],[Value]]/Table2[[#This Row],[Conversion]])</f>
        <v/>
      </c>
      <c r="K7858" s="45" t="str">
        <f>IF(Table2[[#This Row],[Description]]="","",DATE(Table2[[#This Row],[Year]],Table2[[#This Row],[Month]],1))</f>
        <v/>
      </c>
    </row>
    <row r="7859" spans="7:11" x14ac:dyDescent="0.25">
      <c r="G7859" s="1" t="str">
        <f>IF(Table2[[#This Row],[Description]]="","",VLOOKUP(Table2[[#This Row],[Description]],$Q$1:$S$101,2,FALSE))</f>
        <v/>
      </c>
      <c r="H7859" s="1" t="str">
        <f>IF(Table2[[#This Row],[Description]]="","",VLOOKUP(Table2[[#This Row],[Description]],$Q$1:$S$101,3,FALSE))</f>
        <v/>
      </c>
      <c r="I7859" s="1" t="str">
        <f>IF(Table2[[#This Row],[Description]]="","",IF(Table2[[#This Row],[Currency]]=$O$2,$P$2,HLOOKUP(Table2[[#This Row],[Date]],Funds!$C$10:$GV$11,2,FALSE)))</f>
        <v/>
      </c>
      <c r="J7859" s="215" t="str">
        <f>IF(Table2[[#This Row],[Description]]="","",Table2[[#This Row],[Value]]/Table2[[#This Row],[Conversion]])</f>
        <v/>
      </c>
      <c r="K7859" s="45" t="str">
        <f>IF(Table2[[#This Row],[Description]]="","",DATE(Table2[[#This Row],[Year]],Table2[[#This Row],[Month]],1))</f>
        <v/>
      </c>
    </row>
    <row r="7860" spans="7:11" x14ac:dyDescent="0.25">
      <c r="G7860" s="1" t="str">
        <f>IF(Table2[[#This Row],[Description]]="","",VLOOKUP(Table2[[#This Row],[Description]],$Q$1:$S$101,2,FALSE))</f>
        <v/>
      </c>
      <c r="H7860" s="1" t="str">
        <f>IF(Table2[[#This Row],[Description]]="","",VLOOKUP(Table2[[#This Row],[Description]],$Q$1:$S$101,3,FALSE))</f>
        <v/>
      </c>
      <c r="I7860" s="1" t="str">
        <f>IF(Table2[[#This Row],[Description]]="","",IF(Table2[[#This Row],[Currency]]=$O$2,$P$2,HLOOKUP(Table2[[#This Row],[Date]],Funds!$C$10:$GV$11,2,FALSE)))</f>
        <v/>
      </c>
      <c r="J7860" s="215" t="str">
        <f>IF(Table2[[#This Row],[Description]]="","",Table2[[#This Row],[Value]]/Table2[[#This Row],[Conversion]])</f>
        <v/>
      </c>
      <c r="K7860" s="45" t="str">
        <f>IF(Table2[[#This Row],[Description]]="","",DATE(Table2[[#This Row],[Year]],Table2[[#This Row],[Month]],1))</f>
        <v/>
      </c>
    </row>
    <row r="7861" spans="7:11" x14ac:dyDescent="0.25">
      <c r="G7861" s="1" t="str">
        <f>IF(Table2[[#This Row],[Description]]="","",VLOOKUP(Table2[[#This Row],[Description]],$Q$1:$S$101,2,FALSE))</f>
        <v/>
      </c>
      <c r="H7861" s="1" t="str">
        <f>IF(Table2[[#This Row],[Description]]="","",VLOOKUP(Table2[[#This Row],[Description]],$Q$1:$S$101,3,FALSE))</f>
        <v/>
      </c>
      <c r="I7861" s="1" t="str">
        <f>IF(Table2[[#This Row],[Description]]="","",IF(Table2[[#This Row],[Currency]]=$O$2,$P$2,HLOOKUP(Table2[[#This Row],[Date]],Funds!$C$10:$GV$11,2,FALSE)))</f>
        <v/>
      </c>
      <c r="J7861" s="215" t="str">
        <f>IF(Table2[[#This Row],[Description]]="","",Table2[[#This Row],[Value]]/Table2[[#This Row],[Conversion]])</f>
        <v/>
      </c>
      <c r="K7861" s="45" t="str">
        <f>IF(Table2[[#This Row],[Description]]="","",DATE(Table2[[#This Row],[Year]],Table2[[#This Row],[Month]],1))</f>
        <v/>
      </c>
    </row>
    <row r="7862" spans="7:11" x14ac:dyDescent="0.25">
      <c r="G7862" s="1" t="str">
        <f>IF(Table2[[#This Row],[Description]]="","",VLOOKUP(Table2[[#This Row],[Description]],$Q$1:$S$101,2,FALSE))</f>
        <v/>
      </c>
      <c r="H7862" s="1" t="str">
        <f>IF(Table2[[#This Row],[Description]]="","",VLOOKUP(Table2[[#This Row],[Description]],$Q$1:$S$101,3,FALSE))</f>
        <v/>
      </c>
      <c r="I7862" s="1" t="str">
        <f>IF(Table2[[#This Row],[Description]]="","",IF(Table2[[#This Row],[Currency]]=$O$2,$P$2,HLOOKUP(Table2[[#This Row],[Date]],Funds!$C$10:$GV$11,2,FALSE)))</f>
        <v/>
      </c>
      <c r="J7862" s="215" t="str">
        <f>IF(Table2[[#This Row],[Description]]="","",Table2[[#This Row],[Value]]/Table2[[#This Row],[Conversion]])</f>
        <v/>
      </c>
      <c r="K7862" s="45" t="str">
        <f>IF(Table2[[#This Row],[Description]]="","",DATE(Table2[[#This Row],[Year]],Table2[[#This Row],[Month]],1))</f>
        <v/>
      </c>
    </row>
    <row r="7863" spans="7:11" x14ac:dyDescent="0.25">
      <c r="G7863" s="1" t="str">
        <f>IF(Table2[[#This Row],[Description]]="","",VLOOKUP(Table2[[#This Row],[Description]],$Q$1:$S$101,2,FALSE))</f>
        <v/>
      </c>
      <c r="H7863" s="1" t="str">
        <f>IF(Table2[[#This Row],[Description]]="","",VLOOKUP(Table2[[#This Row],[Description]],$Q$1:$S$101,3,FALSE))</f>
        <v/>
      </c>
      <c r="I7863" s="1" t="str">
        <f>IF(Table2[[#This Row],[Description]]="","",IF(Table2[[#This Row],[Currency]]=$O$2,$P$2,HLOOKUP(Table2[[#This Row],[Date]],Funds!$C$10:$GV$11,2,FALSE)))</f>
        <v/>
      </c>
      <c r="J7863" s="215" t="str">
        <f>IF(Table2[[#This Row],[Description]]="","",Table2[[#This Row],[Value]]/Table2[[#This Row],[Conversion]])</f>
        <v/>
      </c>
      <c r="K7863" s="45" t="str">
        <f>IF(Table2[[#This Row],[Description]]="","",DATE(Table2[[#This Row],[Year]],Table2[[#This Row],[Month]],1))</f>
        <v/>
      </c>
    </row>
    <row r="7864" spans="7:11" x14ac:dyDescent="0.25">
      <c r="G7864" s="1" t="str">
        <f>IF(Table2[[#This Row],[Description]]="","",VLOOKUP(Table2[[#This Row],[Description]],$Q$1:$S$101,2,FALSE))</f>
        <v/>
      </c>
      <c r="H7864" s="1" t="str">
        <f>IF(Table2[[#This Row],[Description]]="","",VLOOKUP(Table2[[#This Row],[Description]],$Q$1:$S$101,3,FALSE))</f>
        <v/>
      </c>
      <c r="I7864" s="1" t="str">
        <f>IF(Table2[[#This Row],[Description]]="","",IF(Table2[[#This Row],[Currency]]=$O$2,$P$2,HLOOKUP(Table2[[#This Row],[Date]],Funds!$C$10:$GV$11,2,FALSE)))</f>
        <v/>
      </c>
      <c r="J7864" s="215" t="str">
        <f>IF(Table2[[#This Row],[Description]]="","",Table2[[#This Row],[Value]]/Table2[[#This Row],[Conversion]])</f>
        <v/>
      </c>
      <c r="K7864" s="45" t="str">
        <f>IF(Table2[[#This Row],[Description]]="","",DATE(Table2[[#This Row],[Year]],Table2[[#This Row],[Month]],1))</f>
        <v/>
      </c>
    </row>
    <row r="7865" spans="7:11" x14ac:dyDescent="0.25">
      <c r="G7865" s="1" t="str">
        <f>IF(Table2[[#This Row],[Description]]="","",VLOOKUP(Table2[[#This Row],[Description]],$Q$1:$S$101,2,FALSE))</f>
        <v/>
      </c>
      <c r="H7865" s="1" t="str">
        <f>IF(Table2[[#This Row],[Description]]="","",VLOOKUP(Table2[[#This Row],[Description]],$Q$1:$S$101,3,FALSE))</f>
        <v/>
      </c>
      <c r="I7865" s="1" t="str">
        <f>IF(Table2[[#This Row],[Description]]="","",IF(Table2[[#This Row],[Currency]]=$O$2,$P$2,HLOOKUP(Table2[[#This Row],[Date]],Funds!$C$10:$GV$11,2,FALSE)))</f>
        <v/>
      </c>
      <c r="J7865" s="215" t="str">
        <f>IF(Table2[[#This Row],[Description]]="","",Table2[[#This Row],[Value]]/Table2[[#This Row],[Conversion]])</f>
        <v/>
      </c>
      <c r="K7865" s="45" t="str">
        <f>IF(Table2[[#This Row],[Description]]="","",DATE(Table2[[#This Row],[Year]],Table2[[#This Row],[Month]],1))</f>
        <v/>
      </c>
    </row>
    <row r="7866" spans="7:11" x14ac:dyDescent="0.25">
      <c r="G7866" s="1" t="str">
        <f>IF(Table2[[#This Row],[Description]]="","",VLOOKUP(Table2[[#This Row],[Description]],$Q$1:$S$101,2,FALSE))</f>
        <v/>
      </c>
      <c r="H7866" s="1" t="str">
        <f>IF(Table2[[#This Row],[Description]]="","",VLOOKUP(Table2[[#This Row],[Description]],$Q$1:$S$101,3,FALSE))</f>
        <v/>
      </c>
      <c r="I7866" s="1" t="str">
        <f>IF(Table2[[#This Row],[Description]]="","",IF(Table2[[#This Row],[Currency]]=$O$2,$P$2,HLOOKUP(Table2[[#This Row],[Date]],Funds!$C$10:$GV$11,2,FALSE)))</f>
        <v/>
      </c>
      <c r="J7866" s="215" t="str">
        <f>IF(Table2[[#This Row],[Description]]="","",Table2[[#This Row],[Value]]/Table2[[#This Row],[Conversion]])</f>
        <v/>
      </c>
      <c r="K7866" s="45" t="str">
        <f>IF(Table2[[#This Row],[Description]]="","",DATE(Table2[[#This Row],[Year]],Table2[[#This Row],[Month]],1))</f>
        <v/>
      </c>
    </row>
    <row r="7867" spans="7:11" x14ac:dyDescent="0.25">
      <c r="G7867" s="1" t="str">
        <f>IF(Table2[[#This Row],[Description]]="","",VLOOKUP(Table2[[#This Row],[Description]],$Q$1:$S$101,2,FALSE))</f>
        <v/>
      </c>
      <c r="H7867" s="1" t="str">
        <f>IF(Table2[[#This Row],[Description]]="","",VLOOKUP(Table2[[#This Row],[Description]],$Q$1:$S$101,3,FALSE))</f>
        <v/>
      </c>
      <c r="I7867" s="1" t="str">
        <f>IF(Table2[[#This Row],[Description]]="","",IF(Table2[[#This Row],[Currency]]=$O$2,$P$2,HLOOKUP(Table2[[#This Row],[Date]],Funds!$C$10:$GV$11,2,FALSE)))</f>
        <v/>
      </c>
      <c r="J7867" s="215" t="str">
        <f>IF(Table2[[#This Row],[Description]]="","",Table2[[#This Row],[Value]]/Table2[[#This Row],[Conversion]])</f>
        <v/>
      </c>
      <c r="K7867" s="45" t="str">
        <f>IF(Table2[[#This Row],[Description]]="","",DATE(Table2[[#This Row],[Year]],Table2[[#This Row],[Month]],1))</f>
        <v/>
      </c>
    </row>
    <row r="7868" spans="7:11" x14ac:dyDescent="0.25">
      <c r="G7868" s="1" t="str">
        <f>IF(Table2[[#This Row],[Description]]="","",VLOOKUP(Table2[[#This Row],[Description]],$Q$1:$S$101,2,FALSE))</f>
        <v/>
      </c>
      <c r="H7868" s="1" t="str">
        <f>IF(Table2[[#This Row],[Description]]="","",VLOOKUP(Table2[[#This Row],[Description]],$Q$1:$S$101,3,FALSE))</f>
        <v/>
      </c>
      <c r="I7868" s="1" t="str">
        <f>IF(Table2[[#This Row],[Description]]="","",IF(Table2[[#This Row],[Currency]]=$O$2,$P$2,HLOOKUP(Table2[[#This Row],[Date]],Funds!$C$10:$GV$11,2,FALSE)))</f>
        <v/>
      </c>
      <c r="J7868" s="215" t="str">
        <f>IF(Table2[[#This Row],[Description]]="","",Table2[[#This Row],[Value]]/Table2[[#This Row],[Conversion]])</f>
        <v/>
      </c>
      <c r="K7868" s="45" t="str">
        <f>IF(Table2[[#This Row],[Description]]="","",DATE(Table2[[#This Row],[Year]],Table2[[#This Row],[Month]],1))</f>
        <v/>
      </c>
    </row>
    <row r="7869" spans="7:11" x14ac:dyDescent="0.25">
      <c r="G7869" s="1" t="str">
        <f>IF(Table2[[#This Row],[Description]]="","",VLOOKUP(Table2[[#This Row],[Description]],$Q$1:$S$101,2,FALSE))</f>
        <v/>
      </c>
      <c r="H7869" s="1" t="str">
        <f>IF(Table2[[#This Row],[Description]]="","",VLOOKUP(Table2[[#This Row],[Description]],$Q$1:$S$101,3,FALSE))</f>
        <v/>
      </c>
      <c r="I7869" s="1" t="str">
        <f>IF(Table2[[#This Row],[Description]]="","",IF(Table2[[#This Row],[Currency]]=$O$2,$P$2,HLOOKUP(Table2[[#This Row],[Date]],Funds!$C$10:$GV$11,2,FALSE)))</f>
        <v/>
      </c>
      <c r="J7869" s="215" t="str">
        <f>IF(Table2[[#This Row],[Description]]="","",Table2[[#This Row],[Value]]/Table2[[#This Row],[Conversion]])</f>
        <v/>
      </c>
      <c r="K7869" s="45" t="str">
        <f>IF(Table2[[#This Row],[Description]]="","",DATE(Table2[[#This Row],[Year]],Table2[[#This Row],[Month]],1))</f>
        <v/>
      </c>
    </row>
    <row r="7870" spans="7:11" x14ac:dyDescent="0.25">
      <c r="G7870" s="1" t="str">
        <f>IF(Table2[[#This Row],[Description]]="","",VLOOKUP(Table2[[#This Row],[Description]],$Q$1:$S$101,2,FALSE))</f>
        <v/>
      </c>
      <c r="H7870" s="1" t="str">
        <f>IF(Table2[[#This Row],[Description]]="","",VLOOKUP(Table2[[#This Row],[Description]],$Q$1:$S$101,3,FALSE))</f>
        <v/>
      </c>
      <c r="I7870" s="1" t="str">
        <f>IF(Table2[[#This Row],[Description]]="","",IF(Table2[[#This Row],[Currency]]=$O$2,$P$2,HLOOKUP(Table2[[#This Row],[Date]],Funds!$C$10:$GV$11,2,FALSE)))</f>
        <v/>
      </c>
      <c r="J7870" s="215" t="str">
        <f>IF(Table2[[#This Row],[Description]]="","",Table2[[#This Row],[Value]]/Table2[[#This Row],[Conversion]])</f>
        <v/>
      </c>
      <c r="K7870" s="45" t="str">
        <f>IF(Table2[[#This Row],[Description]]="","",DATE(Table2[[#This Row],[Year]],Table2[[#This Row],[Month]],1))</f>
        <v/>
      </c>
    </row>
    <row r="7871" spans="7:11" x14ac:dyDescent="0.25">
      <c r="G7871" s="1" t="str">
        <f>IF(Table2[[#This Row],[Description]]="","",VLOOKUP(Table2[[#This Row],[Description]],$Q$1:$S$101,2,FALSE))</f>
        <v/>
      </c>
      <c r="H7871" s="1" t="str">
        <f>IF(Table2[[#This Row],[Description]]="","",VLOOKUP(Table2[[#This Row],[Description]],$Q$1:$S$101,3,FALSE))</f>
        <v/>
      </c>
      <c r="I7871" s="1" t="str">
        <f>IF(Table2[[#This Row],[Description]]="","",IF(Table2[[#This Row],[Currency]]=$O$2,$P$2,HLOOKUP(Table2[[#This Row],[Date]],Funds!$C$10:$GV$11,2,FALSE)))</f>
        <v/>
      </c>
      <c r="J7871" s="215" t="str">
        <f>IF(Table2[[#This Row],[Description]]="","",Table2[[#This Row],[Value]]/Table2[[#This Row],[Conversion]])</f>
        <v/>
      </c>
      <c r="K7871" s="45" t="str">
        <f>IF(Table2[[#This Row],[Description]]="","",DATE(Table2[[#This Row],[Year]],Table2[[#This Row],[Month]],1))</f>
        <v/>
      </c>
    </row>
    <row r="7872" spans="7:11" x14ac:dyDescent="0.25">
      <c r="G7872" s="1" t="str">
        <f>IF(Table2[[#This Row],[Description]]="","",VLOOKUP(Table2[[#This Row],[Description]],$Q$1:$S$101,2,FALSE))</f>
        <v/>
      </c>
      <c r="H7872" s="1" t="str">
        <f>IF(Table2[[#This Row],[Description]]="","",VLOOKUP(Table2[[#This Row],[Description]],$Q$1:$S$101,3,FALSE))</f>
        <v/>
      </c>
      <c r="I7872" s="1" t="str">
        <f>IF(Table2[[#This Row],[Description]]="","",IF(Table2[[#This Row],[Currency]]=$O$2,$P$2,HLOOKUP(Table2[[#This Row],[Date]],Funds!$C$10:$GV$11,2,FALSE)))</f>
        <v/>
      </c>
      <c r="J7872" s="215" t="str">
        <f>IF(Table2[[#This Row],[Description]]="","",Table2[[#This Row],[Value]]/Table2[[#This Row],[Conversion]])</f>
        <v/>
      </c>
      <c r="K7872" s="45" t="str">
        <f>IF(Table2[[#This Row],[Description]]="","",DATE(Table2[[#This Row],[Year]],Table2[[#This Row],[Month]],1))</f>
        <v/>
      </c>
    </row>
    <row r="7873" spans="7:11" x14ac:dyDescent="0.25">
      <c r="G7873" s="1" t="str">
        <f>IF(Table2[[#This Row],[Description]]="","",VLOOKUP(Table2[[#This Row],[Description]],$Q$1:$S$101,2,FALSE))</f>
        <v/>
      </c>
      <c r="H7873" s="1" t="str">
        <f>IF(Table2[[#This Row],[Description]]="","",VLOOKUP(Table2[[#This Row],[Description]],$Q$1:$S$101,3,FALSE))</f>
        <v/>
      </c>
      <c r="I7873" s="1" t="str">
        <f>IF(Table2[[#This Row],[Description]]="","",IF(Table2[[#This Row],[Currency]]=$O$2,$P$2,HLOOKUP(Table2[[#This Row],[Date]],Funds!$C$10:$GV$11,2,FALSE)))</f>
        <v/>
      </c>
      <c r="J7873" s="215" t="str">
        <f>IF(Table2[[#This Row],[Description]]="","",Table2[[#This Row],[Value]]/Table2[[#This Row],[Conversion]])</f>
        <v/>
      </c>
      <c r="K7873" s="45" t="str">
        <f>IF(Table2[[#This Row],[Description]]="","",DATE(Table2[[#This Row],[Year]],Table2[[#This Row],[Month]],1))</f>
        <v/>
      </c>
    </row>
    <row r="7874" spans="7:11" x14ac:dyDescent="0.25">
      <c r="G7874" s="1" t="str">
        <f>IF(Table2[[#This Row],[Description]]="","",VLOOKUP(Table2[[#This Row],[Description]],$Q$1:$S$101,2,FALSE))</f>
        <v/>
      </c>
      <c r="H7874" s="1" t="str">
        <f>IF(Table2[[#This Row],[Description]]="","",VLOOKUP(Table2[[#This Row],[Description]],$Q$1:$S$101,3,FALSE))</f>
        <v/>
      </c>
      <c r="I7874" s="1" t="str">
        <f>IF(Table2[[#This Row],[Description]]="","",IF(Table2[[#This Row],[Currency]]=$O$2,$P$2,HLOOKUP(Table2[[#This Row],[Date]],Funds!$C$10:$GV$11,2,FALSE)))</f>
        <v/>
      </c>
      <c r="J7874" s="215" t="str">
        <f>IF(Table2[[#This Row],[Description]]="","",Table2[[#This Row],[Value]]/Table2[[#This Row],[Conversion]])</f>
        <v/>
      </c>
      <c r="K7874" s="45" t="str">
        <f>IF(Table2[[#This Row],[Description]]="","",DATE(Table2[[#This Row],[Year]],Table2[[#This Row],[Month]],1))</f>
        <v/>
      </c>
    </row>
    <row r="7875" spans="7:11" x14ac:dyDescent="0.25">
      <c r="G7875" s="1" t="str">
        <f>IF(Table2[[#This Row],[Description]]="","",VLOOKUP(Table2[[#This Row],[Description]],$Q$1:$S$101,2,FALSE))</f>
        <v/>
      </c>
      <c r="H7875" s="1" t="str">
        <f>IF(Table2[[#This Row],[Description]]="","",VLOOKUP(Table2[[#This Row],[Description]],$Q$1:$S$101,3,FALSE))</f>
        <v/>
      </c>
      <c r="I7875" s="1" t="str">
        <f>IF(Table2[[#This Row],[Description]]="","",IF(Table2[[#This Row],[Currency]]=$O$2,$P$2,HLOOKUP(Table2[[#This Row],[Date]],Funds!$C$10:$GV$11,2,FALSE)))</f>
        <v/>
      </c>
      <c r="J7875" s="215" t="str">
        <f>IF(Table2[[#This Row],[Description]]="","",Table2[[#This Row],[Value]]/Table2[[#This Row],[Conversion]])</f>
        <v/>
      </c>
      <c r="K7875" s="45" t="str">
        <f>IF(Table2[[#This Row],[Description]]="","",DATE(Table2[[#This Row],[Year]],Table2[[#This Row],[Month]],1))</f>
        <v/>
      </c>
    </row>
    <row r="7876" spans="7:11" x14ac:dyDescent="0.25">
      <c r="G7876" s="1" t="str">
        <f>IF(Table2[[#This Row],[Description]]="","",VLOOKUP(Table2[[#This Row],[Description]],$Q$1:$S$101,2,FALSE))</f>
        <v/>
      </c>
      <c r="H7876" s="1" t="str">
        <f>IF(Table2[[#This Row],[Description]]="","",VLOOKUP(Table2[[#This Row],[Description]],$Q$1:$S$101,3,FALSE))</f>
        <v/>
      </c>
      <c r="I7876" s="1" t="str">
        <f>IF(Table2[[#This Row],[Description]]="","",IF(Table2[[#This Row],[Currency]]=$O$2,$P$2,HLOOKUP(Table2[[#This Row],[Date]],Funds!$C$10:$GV$11,2,FALSE)))</f>
        <v/>
      </c>
      <c r="J7876" s="215" t="str">
        <f>IF(Table2[[#This Row],[Description]]="","",Table2[[#This Row],[Value]]/Table2[[#This Row],[Conversion]])</f>
        <v/>
      </c>
      <c r="K7876" s="45" t="str">
        <f>IF(Table2[[#This Row],[Description]]="","",DATE(Table2[[#This Row],[Year]],Table2[[#This Row],[Month]],1))</f>
        <v/>
      </c>
    </row>
    <row r="7877" spans="7:11" x14ac:dyDescent="0.25">
      <c r="G7877" s="1" t="str">
        <f>IF(Table2[[#This Row],[Description]]="","",VLOOKUP(Table2[[#This Row],[Description]],$Q$1:$S$101,2,FALSE))</f>
        <v/>
      </c>
      <c r="H7877" s="1" t="str">
        <f>IF(Table2[[#This Row],[Description]]="","",VLOOKUP(Table2[[#This Row],[Description]],$Q$1:$S$101,3,FALSE))</f>
        <v/>
      </c>
      <c r="I7877" s="1" t="str">
        <f>IF(Table2[[#This Row],[Description]]="","",IF(Table2[[#This Row],[Currency]]=$O$2,$P$2,HLOOKUP(Table2[[#This Row],[Date]],Funds!$C$10:$GV$11,2,FALSE)))</f>
        <v/>
      </c>
      <c r="J7877" s="215" t="str">
        <f>IF(Table2[[#This Row],[Description]]="","",Table2[[#This Row],[Value]]/Table2[[#This Row],[Conversion]])</f>
        <v/>
      </c>
      <c r="K7877" s="45" t="str">
        <f>IF(Table2[[#This Row],[Description]]="","",DATE(Table2[[#This Row],[Year]],Table2[[#This Row],[Month]],1))</f>
        <v/>
      </c>
    </row>
    <row r="7878" spans="7:11" x14ac:dyDescent="0.25">
      <c r="G7878" s="1" t="str">
        <f>IF(Table2[[#This Row],[Description]]="","",VLOOKUP(Table2[[#This Row],[Description]],$Q$1:$S$101,2,FALSE))</f>
        <v/>
      </c>
      <c r="H7878" s="1" t="str">
        <f>IF(Table2[[#This Row],[Description]]="","",VLOOKUP(Table2[[#This Row],[Description]],$Q$1:$S$101,3,FALSE))</f>
        <v/>
      </c>
      <c r="I7878" s="1" t="str">
        <f>IF(Table2[[#This Row],[Description]]="","",IF(Table2[[#This Row],[Currency]]=$O$2,$P$2,HLOOKUP(Table2[[#This Row],[Date]],Funds!$C$10:$GV$11,2,FALSE)))</f>
        <v/>
      </c>
      <c r="J7878" s="215" t="str">
        <f>IF(Table2[[#This Row],[Description]]="","",Table2[[#This Row],[Value]]/Table2[[#This Row],[Conversion]])</f>
        <v/>
      </c>
      <c r="K7878" s="45" t="str">
        <f>IF(Table2[[#This Row],[Description]]="","",DATE(Table2[[#This Row],[Year]],Table2[[#This Row],[Month]],1))</f>
        <v/>
      </c>
    </row>
    <row r="7879" spans="7:11" x14ac:dyDescent="0.25">
      <c r="G7879" s="1" t="str">
        <f>IF(Table2[[#This Row],[Description]]="","",VLOOKUP(Table2[[#This Row],[Description]],$Q$1:$S$101,2,FALSE))</f>
        <v/>
      </c>
      <c r="H7879" s="1" t="str">
        <f>IF(Table2[[#This Row],[Description]]="","",VLOOKUP(Table2[[#This Row],[Description]],$Q$1:$S$101,3,FALSE))</f>
        <v/>
      </c>
      <c r="I7879" s="1" t="str">
        <f>IF(Table2[[#This Row],[Description]]="","",IF(Table2[[#This Row],[Currency]]=$O$2,$P$2,HLOOKUP(Table2[[#This Row],[Date]],Funds!$C$10:$GV$11,2,FALSE)))</f>
        <v/>
      </c>
      <c r="J7879" s="215" t="str">
        <f>IF(Table2[[#This Row],[Description]]="","",Table2[[#This Row],[Value]]/Table2[[#This Row],[Conversion]])</f>
        <v/>
      </c>
      <c r="K7879" s="45" t="str">
        <f>IF(Table2[[#This Row],[Description]]="","",DATE(Table2[[#This Row],[Year]],Table2[[#This Row],[Month]],1))</f>
        <v/>
      </c>
    </row>
    <row r="7880" spans="7:11" x14ac:dyDescent="0.25">
      <c r="G7880" s="1" t="str">
        <f>IF(Table2[[#This Row],[Description]]="","",VLOOKUP(Table2[[#This Row],[Description]],$Q$1:$S$101,2,FALSE))</f>
        <v/>
      </c>
      <c r="H7880" s="1" t="str">
        <f>IF(Table2[[#This Row],[Description]]="","",VLOOKUP(Table2[[#This Row],[Description]],$Q$1:$S$101,3,FALSE))</f>
        <v/>
      </c>
      <c r="I7880" s="1" t="str">
        <f>IF(Table2[[#This Row],[Description]]="","",IF(Table2[[#This Row],[Currency]]=$O$2,$P$2,HLOOKUP(Table2[[#This Row],[Date]],Funds!$C$10:$GV$11,2,FALSE)))</f>
        <v/>
      </c>
      <c r="J7880" s="215" t="str">
        <f>IF(Table2[[#This Row],[Description]]="","",Table2[[#This Row],[Value]]/Table2[[#This Row],[Conversion]])</f>
        <v/>
      </c>
      <c r="K7880" s="45" t="str">
        <f>IF(Table2[[#This Row],[Description]]="","",DATE(Table2[[#This Row],[Year]],Table2[[#This Row],[Month]],1))</f>
        <v/>
      </c>
    </row>
    <row r="7881" spans="7:11" x14ac:dyDescent="0.25">
      <c r="G7881" s="1" t="str">
        <f>IF(Table2[[#This Row],[Description]]="","",VLOOKUP(Table2[[#This Row],[Description]],$Q$1:$S$101,2,FALSE))</f>
        <v/>
      </c>
      <c r="H7881" s="1" t="str">
        <f>IF(Table2[[#This Row],[Description]]="","",VLOOKUP(Table2[[#This Row],[Description]],$Q$1:$S$101,3,FALSE))</f>
        <v/>
      </c>
      <c r="I7881" s="1" t="str">
        <f>IF(Table2[[#This Row],[Description]]="","",IF(Table2[[#This Row],[Currency]]=$O$2,$P$2,HLOOKUP(Table2[[#This Row],[Date]],Funds!$C$10:$GV$11,2,FALSE)))</f>
        <v/>
      </c>
      <c r="J7881" s="215" t="str">
        <f>IF(Table2[[#This Row],[Description]]="","",Table2[[#This Row],[Value]]/Table2[[#This Row],[Conversion]])</f>
        <v/>
      </c>
      <c r="K7881" s="45" t="str">
        <f>IF(Table2[[#This Row],[Description]]="","",DATE(Table2[[#This Row],[Year]],Table2[[#This Row],[Month]],1))</f>
        <v/>
      </c>
    </row>
    <row r="7882" spans="7:11" x14ac:dyDescent="0.25">
      <c r="G7882" s="1" t="str">
        <f>IF(Table2[[#This Row],[Description]]="","",VLOOKUP(Table2[[#This Row],[Description]],$Q$1:$S$101,2,FALSE))</f>
        <v/>
      </c>
      <c r="H7882" s="1" t="str">
        <f>IF(Table2[[#This Row],[Description]]="","",VLOOKUP(Table2[[#This Row],[Description]],$Q$1:$S$101,3,FALSE))</f>
        <v/>
      </c>
      <c r="I7882" s="1" t="str">
        <f>IF(Table2[[#This Row],[Description]]="","",IF(Table2[[#This Row],[Currency]]=$O$2,$P$2,HLOOKUP(Table2[[#This Row],[Date]],Funds!$C$10:$GV$11,2,FALSE)))</f>
        <v/>
      </c>
      <c r="J7882" s="215" t="str">
        <f>IF(Table2[[#This Row],[Description]]="","",Table2[[#This Row],[Value]]/Table2[[#This Row],[Conversion]])</f>
        <v/>
      </c>
      <c r="K7882" s="45" t="str">
        <f>IF(Table2[[#This Row],[Description]]="","",DATE(Table2[[#This Row],[Year]],Table2[[#This Row],[Month]],1))</f>
        <v/>
      </c>
    </row>
    <row r="7883" spans="7:11" x14ac:dyDescent="0.25">
      <c r="G7883" s="1" t="str">
        <f>IF(Table2[[#This Row],[Description]]="","",VLOOKUP(Table2[[#This Row],[Description]],$Q$1:$S$101,2,FALSE))</f>
        <v/>
      </c>
      <c r="H7883" s="1" t="str">
        <f>IF(Table2[[#This Row],[Description]]="","",VLOOKUP(Table2[[#This Row],[Description]],$Q$1:$S$101,3,FALSE))</f>
        <v/>
      </c>
      <c r="I7883" s="1" t="str">
        <f>IF(Table2[[#This Row],[Description]]="","",IF(Table2[[#This Row],[Currency]]=$O$2,$P$2,HLOOKUP(Table2[[#This Row],[Date]],Funds!$C$10:$GV$11,2,FALSE)))</f>
        <v/>
      </c>
      <c r="J7883" s="215" t="str">
        <f>IF(Table2[[#This Row],[Description]]="","",Table2[[#This Row],[Value]]/Table2[[#This Row],[Conversion]])</f>
        <v/>
      </c>
      <c r="K7883" s="45" t="str">
        <f>IF(Table2[[#This Row],[Description]]="","",DATE(Table2[[#This Row],[Year]],Table2[[#This Row],[Month]],1))</f>
        <v/>
      </c>
    </row>
    <row r="7884" spans="7:11" x14ac:dyDescent="0.25">
      <c r="G7884" s="1" t="str">
        <f>IF(Table2[[#This Row],[Description]]="","",VLOOKUP(Table2[[#This Row],[Description]],$Q$1:$S$101,2,FALSE))</f>
        <v/>
      </c>
      <c r="H7884" s="1" t="str">
        <f>IF(Table2[[#This Row],[Description]]="","",VLOOKUP(Table2[[#This Row],[Description]],$Q$1:$S$101,3,FALSE))</f>
        <v/>
      </c>
      <c r="I7884" s="1" t="str">
        <f>IF(Table2[[#This Row],[Description]]="","",IF(Table2[[#This Row],[Currency]]=$O$2,$P$2,HLOOKUP(Table2[[#This Row],[Date]],Funds!$C$10:$GV$11,2,FALSE)))</f>
        <v/>
      </c>
      <c r="J7884" s="215" t="str">
        <f>IF(Table2[[#This Row],[Description]]="","",Table2[[#This Row],[Value]]/Table2[[#This Row],[Conversion]])</f>
        <v/>
      </c>
      <c r="K7884" s="45" t="str">
        <f>IF(Table2[[#This Row],[Description]]="","",DATE(Table2[[#This Row],[Year]],Table2[[#This Row],[Month]],1))</f>
        <v/>
      </c>
    </row>
    <row r="7885" spans="7:11" x14ac:dyDescent="0.25">
      <c r="G7885" s="1" t="str">
        <f>IF(Table2[[#This Row],[Description]]="","",VLOOKUP(Table2[[#This Row],[Description]],$Q$1:$S$101,2,FALSE))</f>
        <v/>
      </c>
      <c r="H7885" s="1" t="str">
        <f>IF(Table2[[#This Row],[Description]]="","",VLOOKUP(Table2[[#This Row],[Description]],$Q$1:$S$101,3,FALSE))</f>
        <v/>
      </c>
      <c r="I7885" s="1" t="str">
        <f>IF(Table2[[#This Row],[Description]]="","",IF(Table2[[#This Row],[Currency]]=$O$2,$P$2,HLOOKUP(Table2[[#This Row],[Date]],Funds!$C$10:$GV$11,2,FALSE)))</f>
        <v/>
      </c>
      <c r="J7885" s="215" t="str">
        <f>IF(Table2[[#This Row],[Description]]="","",Table2[[#This Row],[Value]]/Table2[[#This Row],[Conversion]])</f>
        <v/>
      </c>
      <c r="K7885" s="45" t="str">
        <f>IF(Table2[[#This Row],[Description]]="","",DATE(Table2[[#This Row],[Year]],Table2[[#This Row],[Month]],1))</f>
        <v/>
      </c>
    </row>
    <row r="7886" spans="7:11" x14ac:dyDescent="0.25">
      <c r="G7886" s="1" t="str">
        <f>IF(Table2[[#This Row],[Description]]="","",VLOOKUP(Table2[[#This Row],[Description]],$Q$1:$S$101,2,FALSE))</f>
        <v/>
      </c>
      <c r="H7886" s="1" t="str">
        <f>IF(Table2[[#This Row],[Description]]="","",VLOOKUP(Table2[[#This Row],[Description]],$Q$1:$S$101,3,FALSE))</f>
        <v/>
      </c>
      <c r="I7886" s="1" t="str">
        <f>IF(Table2[[#This Row],[Description]]="","",IF(Table2[[#This Row],[Currency]]=$O$2,$P$2,HLOOKUP(Table2[[#This Row],[Date]],Funds!$C$10:$GV$11,2,FALSE)))</f>
        <v/>
      </c>
      <c r="J7886" s="215" t="str">
        <f>IF(Table2[[#This Row],[Description]]="","",Table2[[#This Row],[Value]]/Table2[[#This Row],[Conversion]])</f>
        <v/>
      </c>
      <c r="K7886" s="45" t="str">
        <f>IF(Table2[[#This Row],[Description]]="","",DATE(Table2[[#This Row],[Year]],Table2[[#This Row],[Month]],1))</f>
        <v/>
      </c>
    </row>
    <row r="7887" spans="7:11" x14ac:dyDescent="0.25">
      <c r="G7887" s="1" t="str">
        <f>IF(Table2[[#This Row],[Description]]="","",VLOOKUP(Table2[[#This Row],[Description]],$Q$1:$S$101,2,FALSE))</f>
        <v/>
      </c>
      <c r="H7887" s="1" t="str">
        <f>IF(Table2[[#This Row],[Description]]="","",VLOOKUP(Table2[[#This Row],[Description]],$Q$1:$S$101,3,FALSE))</f>
        <v/>
      </c>
      <c r="I7887" s="1" t="str">
        <f>IF(Table2[[#This Row],[Description]]="","",IF(Table2[[#This Row],[Currency]]=$O$2,$P$2,HLOOKUP(Table2[[#This Row],[Date]],Funds!$C$10:$GV$11,2,FALSE)))</f>
        <v/>
      </c>
      <c r="J7887" s="215" t="str">
        <f>IF(Table2[[#This Row],[Description]]="","",Table2[[#This Row],[Value]]/Table2[[#This Row],[Conversion]])</f>
        <v/>
      </c>
      <c r="K7887" s="45" t="str">
        <f>IF(Table2[[#This Row],[Description]]="","",DATE(Table2[[#This Row],[Year]],Table2[[#This Row],[Month]],1))</f>
        <v/>
      </c>
    </row>
    <row r="7888" spans="7:11" x14ac:dyDescent="0.25">
      <c r="G7888" s="1" t="str">
        <f>IF(Table2[[#This Row],[Description]]="","",VLOOKUP(Table2[[#This Row],[Description]],$Q$1:$S$101,2,FALSE))</f>
        <v/>
      </c>
      <c r="H7888" s="1" t="str">
        <f>IF(Table2[[#This Row],[Description]]="","",VLOOKUP(Table2[[#This Row],[Description]],$Q$1:$S$101,3,FALSE))</f>
        <v/>
      </c>
      <c r="I7888" s="1" t="str">
        <f>IF(Table2[[#This Row],[Description]]="","",IF(Table2[[#This Row],[Currency]]=$O$2,$P$2,HLOOKUP(Table2[[#This Row],[Date]],Funds!$C$10:$GV$11,2,FALSE)))</f>
        <v/>
      </c>
      <c r="J7888" s="215" t="str">
        <f>IF(Table2[[#This Row],[Description]]="","",Table2[[#This Row],[Value]]/Table2[[#This Row],[Conversion]])</f>
        <v/>
      </c>
      <c r="K7888" s="45" t="str">
        <f>IF(Table2[[#This Row],[Description]]="","",DATE(Table2[[#This Row],[Year]],Table2[[#This Row],[Month]],1))</f>
        <v/>
      </c>
    </row>
    <row r="7889" spans="7:11" x14ac:dyDescent="0.25">
      <c r="G7889" s="1" t="str">
        <f>IF(Table2[[#This Row],[Description]]="","",VLOOKUP(Table2[[#This Row],[Description]],$Q$1:$S$101,2,FALSE))</f>
        <v/>
      </c>
      <c r="H7889" s="1" t="str">
        <f>IF(Table2[[#This Row],[Description]]="","",VLOOKUP(Table2[[#This Row],[Description]],$Q$1:$S$101,3,FALSE))</f>
        <v/>
      </c>
      <c r="I7889" s="1" t="str">
        <f>IF(Table2[[#This Row],[Description]]="","",IF(Table2[[#This Row],[Currency]]=$O$2,$P$2,HLOOKUP(Table2[[#This Row],[Date]],Funds!$C$10:$GV$11,2,FALSE)))</f>
        <v/>
      </c>
      <c r="J7889" s="215" t="str">
        <f>IF(Table2[[#This Row],[Description]]="","",Table2[[#This Row],[Value]]/Table2[[#This Row],[Conversion]])</f>
        <v/>
      </c>
      <c r="K7889" s="45" t="str">
        <f>IF(Table2[[#This Row],[Description]]="","",DATE(Table2[[#This Row],[Year]],Table2[[#This Row],[Month]],1))</f>
        <v/>
      </c>
    </row>
    <row r="7890" spans="7:11" x14ac:dyDescent="0.25">
      <c r="G7890" s="1" t="str">
        <f>IF(Table2[[#This Row],[Description]]="","",VLOOKUP(Table2[[#This Row],[Description]],$Q$1:$S$101,2,FALSE))</f>
        <v/>
      </c>
      <c r="H7890" s="1" t="str">
        <f>IF(Table2[[#This Row],[Description]]="","",VLOOKUP(Table2[[#This Row],[Description]],$Q$1:$S$101,3,FALSE))</f>
        <v/>
      </c>
      <c r="I7890" s="1" t="str">
        <f>IF(Table2[[#This Row],[Description]]="","",IF(Table2[[#This Row],[Currency]]=$O$2,$P$2,HLOOKUP(Table2[[#This Row],[Date]],Funds!$C$10:$GV$11,2,FALSE)))</f>
        <v/>
      </c>
      <c r="J7890" s="215" t="str">
        <f>IF(Table2[[#This Row],[Description]]="","",Table2[[#This Row],[Value]]/Table2[[#This Row],[Conversion]])</f>
        <v/>
      </c>
      <c r="K7890" s="45" t="str">
        <f>IF(Table2[[#This Row],[Description]]="","",DATE(Table2[[#This Row],[Year]],Table2[[#This Row],[Month]],1))</f>
        <v/>
      </c>
    </row>
    <row r="7891" spans="7:11" x14ac:dyDescent="0.25">
      <c r="G7891" s="1" t="str">
        <f>IF(Table2[[#This Row],[Description]]="","",VLOOKUP(Table2[[#This Row],[Description]],$Q$1:$S$101,2,FALSE))</f>
        <v/>
      </c>
      <c r="H7891" s="1" t="str">
        <f>IF(Table2[[#This Row],[Description]]="","",VLOOKUP(Table2[[#This Row],[Description]],$Q$1:$S$101,3,FALSE))</f>
        <v/>
      </c>
      <c r="I7891" s="1" t="str">
        <f>IF(Table2[[#This Row],[Description]]="","",IF(Table2[[#This Row],[Currency]]=$O$2,$P$2,HLOOKUP(Table2[[#This Row],[Date]],Funds!$C$10:$GV$11,2,FALSE)))</f>
        <v/>
      </c>
      <c r="J7891" s="215" t="str">
        <f>IF(Table2[[#This Row],[Description]]="","",Table2[[#This Row],[Value]]/Table2[[#This Row],[Conversion]])</f>
        <v/>
      </c>
      <c r="K7891" s="45" t="str">
        <f>IF(Table2[[#This Row],[Description]]="","",DATE(Table2[[#This Row],[Year]],Table2[[#This Row],[Month]],1))</f>
        <v/>
      </c>
    </row>
    <row r="7892" spans="7:11" x14ac:dyDescent="0.25">
      <c r="G7892" s="1" t="str">
        <f>IF(Table2[[#This Row],[Description]]="","",VLOOKUP(Table2[[#This Row],[Description]],$Q$1:$S$101,2,FALSE))</f>
        <v/>
      </c>
      <c r="H7892" s="1" t="str">
        <f>IF(Table2[[#This Row],[Description]]="","",VLOOKUP(Table2[[#This Row],[Description]],$Q$1:$S$101,3,FALSE))</f>
        <v/>
      </c>
      <c r="I7892" s="1" t="str">
        <f>IF(Table2[[#This Row],[Description]]="","",IF(Table2[[#This Row],[Currency]]=$O$2,$P$2,HLOOKUP(Table2[[#This Row],[Date]],Funds!$C$10:$GV$11,2,FALSE)))</f>
        <v/>
      </c>
      <c r="J7892" s="215" t="str">
        <f>IF(Table2[[#This Row],[Description]]="","",Table2[[#This Row],[Value]]/Table2[[#This Row],[Conversion]])</f>
        <v/>
      </c>
      <c r="K7892" s="45" t="str">
        <f>IF(Table2[[#This Row],[Description]]="","",DATE(Table2[[#This Row],[Year]],Table2[[#This Row],[Month]],1))</f>
        <v/>
      </c>
    </row>
    <row r="7893" spans="7:11" x14ac:dyDescent="0.25">
      <c r="G7893" s="1" t="str">
        <f>IF(Table2[[#This Row],[Description]]="","",VLOOKUP(Table2[[#This Row],[Description]],$Q$1:$S$101,2,FALSE))</f>
        <v/>
      </c>
      <c r="H7893" s="1" t="str">
        <f>IF(Table2[[#This Row],[Description]]="","",VLOOKUP(Table2[[#This Row],[Description]],$Q$1:$S$101,3,FALSE))</f>
        <v/>
      </c>
      <c r="I7893" s="1" t="str">
        <f>IF(Table2[[#This Row],[Description]]="","",IF(Table2[[#This Row],[Currency]]=$O$2,$P$2,HLOOKUP(Table2[[#This Row],[Date]],Funds!$C$10:$GV$11,2,FALSE)))</f>
        <v/>
      </c>
      <c r="J7893" s="215" t="str">
        <f>IF(Table2[[#This Row],[Description]]="","",Table2[[#This Row],[Value]]/Table2[[#This Row],[Conversion]])</f>
        <v/>
      </c>
      <c r="K7893" s="45" t="str">
        <f>IF(Table2[[#This Row],[Description]]="","",DATE(Table2[[#This Row],[Year]],Table2[[#This Row],[Month]],1))</f>
        <v/>
      </c>
    </row>
    <row r="7894" spans="7:11" x14ac:dyDescent="0.25">
      <c r="G7894" s="1" t="str">
        <f>IF(Table2[[#This Row],[Description]]="","",VLOOKUP(Table2[[#This Row],[Description]],$Q$1:$S$101,2,FALSE))</f>
        <v/>
      </c>
      <c r="H7894" s="1" t="str">
        <f>IF(Table2[[#This Row],[Description]]="","",VLOOKUP(Table2[[#This Row],[Description]],$Q$1:$S$101,3,FALSE))</f>
        <v/>
      </c>
      <c r="I7894" s="1" t="str">
        <f>IF(Table2[[#This Row],[Description]]="","",IF(Table2[[#This Row],[Currency]]=$O$2,$P$2,HLOOKUP(Table2[[#This Row],[Date]],Funds!$C$10:$GV$11,2,FALSE)))</f>
        <v/>
      </c>
      <c r="J7894" s="215" t="str">
        <f>IF(Table2[[#This Row],[Description]]="","",Table2[[#This Row],[Value]]/Table2[[#This Row],[Conversion]])</f>
        <v/>
      </c>
      <c r="K7894" s="45" t="str">
        <f>IF(Table2[[#This Row],[Description]]="","",DATE(Table2[[#This Row],[Year]],Table2[[#This Row],[Month]],1))</f>
        <v/>
      </c>
    </row>
    <row r="7895" spans="7:11" x14ac:dyDescent="0.25">
      <c r="G7895" s="1" t="str">
        <f>IF(Table2[[#This Row],[Description]]="","",VLOOKUP(Table2[[#This Row],[Description]],$Q$1:$S$101,2,FALSE))</f>
        <v/>
      </c>
      <c r="H7895" s="1" t="str">
        <f>IF(Table2[[#This Row],[Description]]="","",VLOOKUP(Table2[[#This Row],[Description]],$Q$1:$S$101,3,FALSE))</f>
        <v/>
      </c>
      <c r="I7895" s="1" t="str">
        <f>IF(Table2[[#This Row],[Description]]="","",IF(Table2[[#This Row],[Currency]]=$O$2,$P$2,HLOOKUP(Table2[[#This Row],[Date]],Funds!$C$10:$GV$11,2,FALSE)))</f>
        <v/>
      </c>
      <c r="J7895" s="215" t="str">
        <f>IF(Table2[[#This Row],[Description]]="","",Table2[[#This Row],[Value]]/Table2[[#This Row],[Conversion]])</f>
        <v/>
      </c>
      <c r="K7895" s="45" t="str">
        <f>IF(Table2[[#This Row],[Description]]="","",DATE(Table2[[#This Row],[Year]],Table2[[#This Row],[Month]],1))</f>
        <v/>
      </c>
    </row>
    <row r="7896" spans="7:11" x14ac:dyDescent="0.25">
      <c r="G7896" s="1" t="str">
        <f>IF(Table2[[#This Row],[Description]]="","",VLOOKUP(Table2[[#This Row],[Description]],$Q$1:$S$101,2,FALSE))</f>
        <v/>
      </c>
      <c r="H7896" s="1" t="str">
        <f>IF(Table2[[#This Row],[Description]]="","",VLOOKUP(Table2[[#This Row],[Description]],$Q$1:$S$101,3,FALSE))</f>
        <v/>
      </c>
      <c r="I7896" s="1" t="str">
        <f>IF(Table2[[#This Row],[Description]]="","",IF(Table2[[#This Row],[Currency]]=$O$2,$P$2,HLOOKUP(Table2[[#This Row],[Date]],Funds!$C$10:$GV$11,2,FALSE)))</f>
        <v/>
      </c>
      <c r="J7896" s="215" t="str">
        <f>IF(Table2[[#This Row],[Description]]="","",Table2[[#This Row],[Value]]/Table2[[#This Row],[Conversion]])</f>
        <v/>
      </c>
      <c r="K7896" s="45" t="str">
        <f>IF(Table2[[#This Row],[Description]]="","",DATE(Table2[[#This Row],[Year]],Table2[[#This Row],[Month]],1))</f>
        <v/>
      </c>
    </row>
    <row r="7897" spans="7:11" x14ac:dyDescent="0.25">
      <c r="G7897" s="1" t="str">
        <f>IF(Table2[[#This Row],[Description]]="","",VLOOKUP(Table2[[#This Row],[Description]],$Q$1:$S$101,2,FALSE))</f>
        <v/>
      </c>
      <c r="H7897" s="1" t="str">
        <f>IF(Table2[[#This Row],[Description]]="","",VLOOKUP(Table2[[#This Row],[Description]],$Q$1:$S$101,3,FALSE))</f>
        <v/>
      </c>
      <c r="I7897" s="1" t="str">
        <f>IF(Table2[[#This Row],[Description]]="","",IF(Table2[[#This Row],[Currency]]=$O$2,$P$2,HLOOKUP(Table2[[#This Row],[Date]],Funds!$C$10:$GV$11,2,FALSE)))</f>
        <v/>
      </c>
      <c r="J7897" s="215" t="str">
        <f>IF(Table2[[#This Row],[Description]]="","",Table2[[#This Row],[Value]]/Table2[[#This Row],[Conversion]])</f>
        <v/>
      </c>
      <c r="K7897" s="45" t="str">
        <f>IF(Table2[[#This Row],[Description]]="","",DATE(Table2[[#This Row],[Year]],Table2[[#This Row],[Month]],1))</f>
        <v/>
      </c>
    </row>
    <row r="7898" spans="7:11" x14ac:dyDescent="0.25">
      <c r="G7898" s="1" t="str">
        <f>IF(Table2[[#This Row],[Description]]="","",VLOOKUP(Table2[[#This Row],[Description]],$Q$1:$S$101,2,FALSE))</f>
        <v/>
      </c>
      <c r="H7898" s="1" t="str">
        <f>IF(Table2[[#This Row],[Description]]="","",VLOOKUP(Table2[[#This Row],[Description]],$Q$1:$S$101,3,FALSE))</f>
        <v/>
      </c>
      <c r="I7898" s="1" t="str">
        <f>IF(Table2[[#This Row],[Description]]="","",IF(Table2[[#This Row],[Currency]]=$O$2,$P$2,HLOOKUP(Table2[[#This Row],[Date]],Funds!$C$10:$GV$11,2,FALSE)))</f>
        <v/>
      </c>
      <c r="J7898" s="215" t="str">
        <f>IF(Table2[[#This Row],[Description]]="","",Table2[[#This Row],[Value]]/Table2[[#This Row],[Conversion]])</f>
        <v/>
      </c>
      <c r="K7898" s="45" t="str">
        <f>IF(Table2[[#This Row],[Description]]="","",DATE(Table2[[#This Row],[Year]],Table2[[#This Row],[Month]],1))</f>
        <v/>
      </c>
    </row>
    <row r="7899" spans="7:11" x14ac:dyDescent="0.25">
      <c r="G7899" s="1" t="str">
        <f>IF(Table2[[#This Row],[Description]]="","",VLOOKUP(Table2[[#This Row],[Description]],$Q$1:$S$101,2,FALSE))</f>
        <v/>
      </c>
      <c r="H7899" s="1" t="str">
        <f>IF(Table2[[#This Row],[Description]]="","",VLOOKUP(Table2[[#This Row],[Description]],$Q$1:$S$101,3,FALSE))</f>
        <v/>
      </c>
      <c r="I7899" s="1" t="str">
        <f>IF(Table2[[#This Row],[Description]]="","",IF(Table2[[#This Row],[Currency]]=$O$2,$P$2,HLOOKUP(Table2[[#This Row],[Date]],Funds!$C$10:$GV$11,2,FALSE)))</f>
        <v/>
      </c>
      <c r="J7899" s="215" t="str">
        <f>IF(Table2[[#This Row],[Description]]="","",Table2[[#This Row],[Value]]/Table2[[#This Row],[Conversion]])</f>
        <v/>
      </c>
      <c r="K7899" s="45" t="str">
        <f>IF(Table2[[#This Row],[Description]]="","",DATE(Table2[[#This Row],[Year]],Table2[[#This Row],[Month]],1))</f>
        <v/>
      </c>
    </row>
    <row r="7900" spans="7:11" x14ac:dyDescent="0.25">
      <c r="G7900" s="1" t="str">
        <f>IF(Table2[[#This Row],[Description]]="","",VLOOKUP(Table2[[#This Row],[Description]],$Q$1:$S$101,2,FALSE))</f>
        <v/>
      </c>
      <c r="H7900" s="1" t="str">
        <f>IF(Table2[[#This Row],[Description]]="","",VLOOKUP(Table2[[#This Row],[Description]],$Q$1:$S$101,3,FALSE))</f>
        <v/>
      </c>
      <c r="I7900" s="1" t="str">
        <f>IF(Table2[[#This Row],[Description]]="","",IF(Table2[[#This Row],[Currency]]=$O$2,$P$2,HLOOKUP(Table2[[#This Row],[Date]],Funds!$C$10:$GV$11,2,FALSE)))</f>
        <v/>
      </c>
      <c r="J7900" s="215" t="str">
        <f>IF(Table2[[#This Row],[Description]]="","",Table2[[#This Row],[Value]]/Table2[[#This Row],[Conversion]])</f>
        <v/>
      </c>
      <c r="K7900" s="45" t="str">
        <f>IF(Table2[[#This Row],[Description]]="","",DATE(Table2[[#This Row],[Year]],Table2[[#This Row],[Month]],1))</f>
        <v/>
      </c>
    </row>
    <row r="7901" spans="7:11" x14ac:dyDescent="0.25">
      <c r="G7901" s="1" t="str">
        <f>IF(Table2[[#This Row],[Description]]="","",VLOOKUP(Table2[[#This Row],[Description]],$Q$1:$S$101,2,FALSE))</f>
        <v/>
      </c>
      <c r="H7901" s="1" t="str">
        <f>IF(Table2[[#This Row],[Description]]="","",VLOOKUP(Table2[[#This Row],[Description]],$Q$1:$S$101,3,FALSE))</f>
        <v/>
      </c>
      <c r="I7901" s="1" t="str">
        <f>IF(Table2[[#This Row],[Description]]="","",IF(Table2[[#This Row],[Currency]]=$O$2,$P$2,HLOOKUP(Table2[[#This Row],[Date]],Funds!$C$10:$GV$11,2,FALSE)))</f>
        <v/>
      </c>
      <c r="J7901" s="215" t="str">
        <f>IF(Table2[[#This Row],[Description]]="","",Table2[[#This Row],[Value]]/Table2[[#This Row],[Conversion]])</f>
        <v/>
      </c>
      <c r="K7901" s="45" t="str">
        <f>IF(Table2[[#This Row],[Description]]="","",DATE(Table2[[#This Row],[Year]],Table2[[#This Row],[Month]],1))</f>
        <v/>
      </c>
    </row>
    <row r="7902" spans="7:11" x14ac:dyDescent="0.25">
      <c r="G7902" s="1" t="str">
        <f>IF(Table2[[#This Row],[Description]]="","",VLOOKUP(Table2[[#This Row],[Description]],$Q$1:$S$101,2,FALSE))</f>
        <v/>
      </c>
      <c r="H7902" s="1" t="str">
        <f>IF(Table2[[#This Row],[Description]]="","",VLOOKUP(Table2[[#This Row],[Description]],$Q$1:$S$101,3,FALSE))</f>
        <v/>
      </c>
      <c r="I7902" s="1" t="str">
        <f>IF(Table2[[#This Row],[Description]]="","",IF(Table2[[#This Row],[Currency]]=$O$2,$P$2,HLOOKUP(Table2[[#This Row],[Date]],Funds!$C$10:$GV$11,2,FALSE)))</f>
        <v/>
      </c>
      <c r="J7902" s="215" t="str">
        <f>IF(Table2[[#This Row],[Description]]="","",Table2[[#This Row],[Value]]/Table2[[#This Row],[Conversion]])</f>
        <v/>
      </c>
      <c r="K7902" s="45" t="str">
        <f>IF(Table2[[#This Row],[Description]]="","",DATE(Table2[[#This Row],[Year]],Table2[[#This Row],[Month]],1))</f>
        <v/>
      </c>
    </row>
    <row r="7903" spans="7:11" x14ac:dyDescent="0.25">
      <c r="G7903" s="1" t="str">
        <f>IF(Table2[[#This Row],[Description]]="","",VLOOKUP(Table2[[#This Row],[Description]],$Q$1:$S$101,2,FALSE))</f>
        <v/>
      </c>
      <c r="H7903" s="1" t="str">
        <f>IF(Table2[[#This Row],[Description]]="","",VLOOKUP(Table2[[#This Row],[Description]],$Q$1:$S$101,3,FALSE))</f>
        <v/>
      </c>
      <c r="I7903" s="1" t="str">
        <f>IF(Table2[[#This Row],[Description]]="","",IF(Table2[[#This Row],[Currency]]=$O$2,$P$2,HLOOKUP(Table2[[#This Row],[Date]],Funds!$C$10:$GV$11,2,FALSE)))</f>
        <v/>
      </c>
      <c r="J7903" s="215" t="str">
        <f>IF(Table2[[#This Row],[Description]]="","",Table2[[#This Row],[Value]]/Table2[[#This Row],[Conversion]])</f>
        <v/>
      </c>
      <c r="K7903" s="45" t="str">
        <f>IF(Table2[[#This Row],[Description]]="","",DATE(Table2[[#This Row],[Year]],Table2[[#This Row],[Month]],1))</f>
        <v/>
      </c>
    </row>
    <row r="7904" spans="7:11" x14ac:dyDescent="0.25">
      <c r="G7904" s="1" t="str">
        <f>IF(Table2[[#This Row],[Description]]="","",VLOOKUP(Table2[[#This Row],[Description]],$Q$1:$S$101,2,FALSE))</f>
        <v/>
      </c>
      <c r="H7904" s="1" t="str">
        <f>IF(Table2[[#This Row],[Description]]="","",VLOOKUP(Table2[[#This Row],[Description]],$Q$1:$S$101,3,FALSE))</f>
        <v/>
      </c>
      <c r="I7904" s="1" t="str">
        <f>IF(Table2[[#This Row],[Description]]="","",IF(Table2[[#This Row],[Currency]]=$O$2,$P$2,HLOOKUP(Table2[[#This Row],[Date]],Funds!$C$10:$GV$11,2,FALSE)))</f>
        <v/>
      </c>
      <c r="J7904" s="215" t="str">
        <f>IF(Table2[[#This Row],[Description]]="","",Table2[[#This Row],[Value]]/Table2[[#This Row],[Conversion]])</f>
        <v/>
      </c>
      <c r="K7904" s="45" t="str">
        <f>IF(Table2[[#This Row],[Description]]="","",DATE(Table2[[#This Row],[Year]],Table2[[#This Row],[Month]],1))</f>
        <v/>
      </c>
    </row>
    <row r="7905" spans="7:11" x14ac:dyDescent="0.25">
      <c r="G7905" s="1" t="str">
        <f>IF(Table2[[#This Row],[Description]]="","",VLOOKUP(Table2[[#This Row],[Description]],$Q$1:$S$101,2,FALSE))</f>
        <v/>
      </c>
      <c r="H7905" s="1" t="str">
        <f>IF(Table2[[#This Row],[Description]]="","",VLOOKUP(Table2[[#This Row],[Description]],$Q$1:$S$101,3,FALSE))</f>
        <v/>
      </c>
      <c r="I7905" s="1" t="str">
        <f>IF(Table2[[#This Row],[Description]]="","",IF(Table2[[#This Row],[Currency]]=$O$2,$P$2,HLOOKUP(Table2[[#This Row],[Date]],Funds!$C$10:$GV$11,2,FALSE)))</f>
        <v/>
      </c>
      <c r="J7905" s="215" t="str">
        <f>IF(Table2[[#This Row],[Description]]="","",Table2[[#This Row],[Value]]/Table2[[#This Row],[Conversion]])</f>
        <v/>
      </c>
      <c r="K7905" s="45" t="str">
        <f>IF(Table2[[#This Row],[Description]]="","",DATE(Table2[[#This Row],[Year]],Table2[[#This Row],[Month]],1))</f>
        <v/>
      </c>
    </row>
    <row r="7906" spans="7:11" x14ac:dyDescent="0.25">
      <c r="G7906" s="1" t="str">
        <f>IF(Table2[[#This Row],[Description]]="","",VLOOKUP(Table2[[#This Row],[Description]],$Q$1:$S$101,2,FALSE))</f>
        <v/>
      </c>
      <c r="H7906" s="1" t="str">
        <f>IF(Table2[[#This Row],[Description]]="","",VLOOKUP(Table2[[#This Row],[Description]],$Q$1:$S$101,3,FALSE))</f>
        <v/>
      </c>
      <c r="I7906" s="1" t="str">
        <f>IF(Table2[[#This Row],[Description]]="","",IF(Table2[[#This Row],[Currency]]=$O$2,$P$2,HLOOKUP(Table2[[#This Row],[Date]],Funds!$C$10:$GV$11,2,FALSE)))</f>
        <v/>
      </c>
      <c r="J7906" s="215" t="str">
        <f>IF(Table2[[#This Row],[Description]]="","",Table2[[#This Row],[Value]]/Table2[[#This Row],[Conversion]])</f>
        <v/>
      </c>
      <c r="K7906" s="45" t="str">
        <f>IF(Table2[[#This Row],[Description]]="","",DATE(Table2[[#This Row],[Year]],Table2[[#This Row],[Month]],1))</f>
        <v/>
      </c>
    </row>
    <row r="7907" spans="7:11" x14ac:dyDescent="0.25">
      <c r="G7907" s="1" t="str">
        <f>IF(Table2[[#This Row],[Description]]="","",VLOOKUP(Table2[[#This Row],[Description]],$Q$1:$S$101,2,FALSE))</f>
        <v/>
      </c>
      <c r="H7907" s="1" t="str">
        <f>IF(Table2[[#This Row],[Description]]="","",VLOOKUP(Table2[[#This Row],[Description]],$Q$1:$S$101,3,FALSE))</f>
        <v/>
      </c>
      <c r="I7907" s="1" t="str">
        <f>IF(Table2[[#This Row],[Description]]="","",IF(Table2[[#This Row],[Currency]]=$O$2,$P$2,HLOOKUP(Table2[[#This Row],[Date]],Funds!$C$10:$GV$11,2,FALSE)))</f>
        <v/>
      </c>
      <c r="J7907" s="215" t="str">
        <f>IF(Table2[[#This Row],[Description]]="","",Table2[[#This Row],[Value]]/Table2[[#This Row],[Conversion]])</f>
        <v/>
      </c>
      <c r="K7907" s="45" t="str">
        <f>IF(Table2[[#This Row],[Description]]="","",DATE(Table2[[#This Row],[Year]],Table2[[#This Row],[Month]],1))</f>
        <v/>
      </c>
    </row>
    <row r="7908" spans="7:11" x14ac:dyDescent="0.25">
      <c r="G7908" s="1" t="str">
        <f>IF(Table2[[#This Row],[Description]]="","",VLOOKUP(Table2[[#This Row],[Description]],$Q$1:$S$101,2,FALSE))</f>
        <v/>
      </c>
      <c r="H7908" s="1" t="str">
        <f>IF(Table2[[#This Row],[Description]]="","",VLOOKUP(Table2[[#This Row],[Description]],$Q$1:$S$101,3,FALSE))</f>
        <v/>
      </c>
      <c r="I7908" s="1" t="str">
        <f>IF(Table2[[#This Row],[Description]]="","",IF(Table2[[#This Row],[Currency]]=$O$2,$P$2,HLOOKUP(Table2[[#This Row],[Date]],Funds!$C$10:$GV$11,2,FALSE)))</f>
        <v/>
      </c>
      <c r="J7908" s="215" t="str">
        <f>IF(Table2[[#This Row],[Description]]="","",Table2[[#This Row],[Value]]/Table2[[#This Row],[Conversion]])</f>
        <v/>
      </c>
      <c r="K7908" s="45" t="str">
        <f>IF(Table2[[#This Row],[Description]]="","",DATE(Table2[[#This Row],[Year]],Table2[[#This Row],[Month]],1))</f>
        <v/>
      </c>
    </row>
    <row r="7909" spans="7:11" x14ac:dyDescent="0.25">
      <c r="G7909" s="1" t="str">
        <f>IF(Table2[[#This Row],[Description]]="","",VLOOKUP(Table2[[#This Row],[Description]],$Q$1:$S$101,2,FALSE))</f>
        <v/>
      </c>
      <c r="H7909" s="1" t="str">
        <f>IF(Table2[[#This Row],[Description]]="","",VLOOKUP(Table2[[#This Row],[Description]],$Q$1:$S$101,3,FALSE))</f>
        <v/>
      </c>
      <c r="I7909" s="1" t="str">
        <f>IF(Table2[[#This Row],[Description]]="","",IF(Table2[[#This Row],[Currency]]=$O$2,$P$2,HLOOKUP(Table2[[#This Row],[Date]],Funds!$C$10:$GV$11,2,FALSE)))</f>
        <v/>
      </c>
      <c r="J7909" s="215" t="str">
        <f>IF(Table2[[#This Row],[Description]]="","",Table2[[#This Row],[Value]]/Table2[[#This Row],[Conversion]])</f>
        <v/>
      </c>
      <c r="K7909" s="45" t="str">
        <f>IF(Table2[[#This Row],[Description]]="","",DATE(Table2[[#This Row],[Year]],Table2[[#This Row],[Month]],1))</f>
        <v/>
      </c>
    </row>
    <row r="7910" spans="7:11" x14ac:dyDescent="0.25">
      <c r="G7910" s="1" t="str">
        <f>IF(Table2[[#This Row],[Description]]="","",VLOOKUP(Table2[[#This Row],[Description]],$Q$1:$S$101,2,FALSE))</f>
        <v/>
      </c>
      <c r="H7910" s="1" t="str">
        <f>IF(Table2[[#This Row],[Description]]="","",VLOOKUP(Table2[[#This Row],[Description]],$Q$1:$S$101,3,FALSE))</f>
        <v/>
      </c>
      <c r="I7910" s="1" t="str">
        <f>IF(Table2[[#This Row],[Description]]="","",IF(Table2[[#This Row],[Currency]]=$O$2,$P$2,HLOOKUP(Table2[[#This Row],[Date]],Funds!$C$10:$GV$11,2,FALSE)))</f>
        <v/>
      </c>
      <c r="J7910" s="215" t="str">
        <f>IF(Table2[[#This Row],[Description]]="","",Table2[[#This Row],[Value]]/Table2[[#This Row],[Conversion]])</f>
        <v/>
      </c>
      <c r="K7910" s="45" t="str">
        <f>IF(Table2[[#This Row],[Description]]="","",DATE(Table2[[#This Row],[Year]],Table2[[#This Row],[Month]],1))</f>
        <v/>
      </c>
    </row>
    <row r="7911" spans="7:11" x14ac:dyDescent="0.25">
      <c r="G7911" s="1" t="str">
        <f>IF(Table2[[#This Row],[Description]]="","",VLOOKUP(Table2[[#This Row],[Description]],$Q$1:$S$101,2,FALSE))</f>
        <v/>
      </c>
      <c r="H7911" s="1" t="str">
        <f>IF(Table2[[#This Row],[Description]]="","",VLOOKUP(Table2[[#This Row],[Description]],$Q$1:$S$101,3,FALSE))</f>
        <v/>
      </c>
      <c r="I7911" s="1" t="str">
        <f>IF(Table2[[#This Row],[Description]]="","",IF(Table2[[#This Row],[Currency]]=$O$2,$P$2,HLOOKUP(Table2[[#This Row],[Date]],Funds!$C$10:$GV$11,2,FALSE)))</f>
        <v/>
      </c>
      <c r="J7911" s="215" t="str">
        <f>IF(Table2[[#This Row],[Description]]="","",Table2[[#This Row],[Value]]/Table2[[#This Row],[Conversion]])</f>
        <v/>
      </c>
      <c r="K7911" s="45" t="str">
        <f>IF(Table2[[#This Row],[Description]]="","",DATE(Table2[[#This Row],[Year]],Table2[[#This Row],[Month]],1))</f>
        <v/>
      </c>
    </row>
    <row r="7912" spans="7:11" x14ac:dyDescent="0.25">
      <c r="G7912" s="1" t="str">
        <f>IF(Table2[[#This Row],[Description]]="","",VLOOKUP(Table2[[#This Row],[Description]],$Q$1:$S$101,2,FALSE))</f>
        <v/>
      </c>
      <c r="H7912" s="1" t="str">
        <f>IF(Table2[[#This Row],[Description]]="","",VLOOKUP(Table2[[#This Row],[Description]],$Q$1:$S$101,3,FALSE))</f>
        <v/>
      </c>
      <c r="I7912" s="1" t="str">
        <f>IF(Table2[[#This Row],[Description]]="","",IF(Table2[[#This Row],[Currency]]=$O$2,$P$2,HLOOKUP(Table2[[#This Row],[Date]],Funds!$C$10:$GV$11,2,FALSE)))</f>
        <v/>
      </c>
      <c r="J7912" s="215" t="str">
        <f>IF(Table2[[#This Row],[Description]]="","",Table2[[#This Row],[Value]]/Table2[[#This Row],[Conversion]])</f>
        <v/>
      </c>
      <c r="K7912" s="45" t="str">
        <f>IF(Table2[[#This Row],[Description]]="","",DATE(Table2[[#This Row],[Year]],Table2[[#This Row],[Month]],1))</f>
        <v/>
      </c>
    </row>
    <row r="7913" spans="7:11" x14ac:dyDescent="0.25">
      <c r="G7913" s="1" t="str">
        <f>IF(Table2[[#This Row],[Description]]="","",VLOOKUP(Table2[[#This Row],[Description]],$Q$1:$S$101,2,FALSE))</f>
        <v/>
      </c>
      <c r="H7913" s="1" t="str">
        <f>IF(Table2[[#This Row],[Description]]="","",VLOOKUP(Table2[[#This Row],[Description]],$Q$1:$S$101,3,FALSE))</f>
        <v/>
      </c>
      <c r="I7913" s="1" t="str">
        <f>IF(Table2[[#This Row],[Description]]="","",IF(Table2[[#This Row],[Currency]]=$O$2,$P$2,HLOOKUP(Table2[[#This Row],[Date]],Funds!$C$10:$GV$11,2,FALSE)))</f>
        <v/>
      </c>
      <c r="J7913" s="215" t="str">
        <f>IF(Table2[[#This Row],[Description]]="","",Table2[[#This Row],[Value]]/Table2[[#This Row],[Conversion]])</f>
        <v/>
      </c>
      <c r="K7913" s="45" t="str">
        <f>IF(Table2[[#This Row],[Description]]="","",DATE(Table2[[#This Row],[Year]],Table2[[#This Row],[Month]],1))</f>
        <v/>
      </c>
    </row>
    <row r="7914" spans="7:11" x14ac:dyDescent="0.25">
      <c r="G7914" s="1" t="str">
        <f>IF(Table2[[#This Row],[Description]]="","",VLOOKUP(Table2[[#This Row],[Description]],$Q$1:$S$101,2,FALSE))</f>
        <v/>
      </c>
      <c r="H7914" s="1" t="str">
        <f>IF(Table2[[#This Row],[Description]]="","",VLOOKUP(Table2[[#This Row],[Description]],$Q$1:$S$101,3,FALSE))</f>
        <v/>
      </c>
      <c r="I7914" s="1" t="str">
        <f>IF(Table2[[#This Row],[Description]]="","",IF(Table2[[#This Row],[Currency]]=$O$2,$P$2,HLOOKUP(Table2[[#This Row],[Date]],Funds!$C$10:$GV$11,2,FALSE)))</f>
        <v/>
      </c>
      <c r="J7914" s="215" t="str">
        <f>IF(Table2[[#This Row],[Description]]="","",Table2[[#This Row],[Value]]/Table2[[#This Row],[Conversion]])</f>
        <v/>
      </c>
      <c r="K7914" s="45" t="str">
        <f>IF(Table2[[#This Row],[Description]]="","",DATE(Table2[[#This Row],[Year]],Table2[[#This Row],[Month]],1))</f>
        <v/>
      </c>
    </row>
    <row r="7915" spans="7:11" x14ac:dyDescent="0.25">
      <c r="G7915" s="1" t="str">
        <f>IF(Table2[[#This Row],[Description]]="","",VLOOKUP(Table2[[#This Row],[Description]],$Q$1:$S$101,2,FALSE))</f>
        <v/>
      </c>
      <c r="H7915" s="1" t="str">
        <f>IF(Table2[[#This Row],[Description]]="","",VLOOKUP(Table2[[#This Row],[Description]],$Q$1:$S$101,3,FALSE))</f>
        <v/>
      </c>
      <c r="I7915" s="1" t="str">
        <f>IF(Table2[[#This Row],[Description]]="","",IF(Table2[[#This Row],[Currency]]=$O$2,$P$2,HLOOKUP(Table2[[#This Row],[Date]],Funds!$C$10:$GV$11,2,FALSE)))</f>
        <v/>
      </c>
      <c r="J7915" s="215" t="str">
        <f>IF(Table2[[#This Row],[Description]]="","",Table2[[#This Row],[Value]]/Table2[[#This Row],[Conversion]])</f>
        <v/>
      </c>
      <c r="K7915" s="45" t="str">
        <f>IF(Table2[[#This Row],[Description]]="","",DATE(Table2[[#This Row],[Year]],Table2[[#This Row],[Month]],1))</f>
        <v/>
      </c>
    </row>
    <row r="7916" spans="7:11" x14ac:dyDescent="0.25">
      <c r="G7916" s="1" t="str">
        <f>IF(Table2[[#This Row],[Description]]="","",VLOOKUP(Table2[[#This Row],[Description]],$Q$1:$S$101,2,FALSE))</f>
        <v/>
      </c>
      <c r="H7916" s="1" t="str">
        <f>IF(Table2[[#This Row],[Description]]="","",VLOOKUP(Table2[[#This Row],[Description]],$Q$1:$S$101,3,FALSE))</f>
        <v/>
      </c>
      <c r="I7916" s="1" t="str">
        <f>IF(Table2[[#This Row],[Description]]="","",IF(Table2[[#This Row],[Currency]]=$O$2,$P$2,HLOOKUP(Table2[[#This Row],[Date]],Funds!$C$10:$GV$11,2,FALSE)))</f>
        <v/>
      </c>
      <c r="J7916" s="215" t="str">
        <f>IF(Table2[[#This Row],[Description]]="","",Table2[[#This Row],[Value]]/Table2[[#This Row],[Conversion]])</f>
        <v/>
      </c>
      <c r="K7916" s="45" t="str">
        <f>IF(Table2[[#This Row],[Description]]="","",DATE(Table2[[#This Row],[Year]],Table2[[#This Row],[Month]],1))</f>
        <v/>
      </c>
    </row>
    <row r="7917" spans="7:11" x14ac:dyDescent="0.25">
      <c r="G7917" s="1" t="str">
        <f>IF(Table2[[#This Row],[Description]]="","",VLOOKUP(Table2[[#This Row],[Description]],$Q$1:$S$101,2,FALSE))</f>
        <v/>
      </c>
      <c r="H7917" s="1" t="str">
        <f>IF(Table2[[#This Row],[Description]]="","",VLOOKUP(Table2[[#This Row],[Description]],$Q$1:$S$101,3,FALSE))</f>
        <v/>
      </c>
      <c r="I7917" s="1" t="str">
        <f>IF(Table2[[#This Row],[Description]]="","",IF(Table2[[#This Row],[Currency]]=$O$2,$P$2,HLOOKUP(Table2[[#This Row],[Date]],Funds!$C$10:$GV$11,2,FALSE)))</f>
        <v/>
      </c>
      <c r="J7917" s="215" t="str">
        <f>IF(Table2[[#This Row],[Description]]="","",Table2[[#This Row],[Value]]/Table2[[#This Row],[Conversion]])</f>
        <v/>
      </c>
      <c r="K7917" s="45" t="str">
        <f>IF(Table2[[#This Row],[Description]]="","",DATE(Table2[[#This Row],[Year]],Table2[[#This Row],[Month]],1))</f>
        <v/>
      </c>
    </row>
    <row r="7918" spans="7:11" x14ac:dyDescent="0.25">
      <c r="G7918" s="1" t="str">
        <f>IF(Table2[[#This Row],[Description]]="","",VLOOKUP(Table2[[#This Row],[Description]],$Q$1:$S$101,2,FALSE))</f>
        <v/>
      </c>
      <c r="H7918" s="1" t="str">
        <f>IF(Table2[[#This Row],[Description]]="","",VLOOKUP(Table2[[#This Row],[Description]],$Q$1:$S$101,3,FALSE))</f>
        <v/>
      </c>
      <c r="I7918" s="1" t="str">
        <f>IF(Table2[[#This Row],[Description]]="","",IF(Table2[[#This Row],[Currency]]=$O$2,$P$2,HLOOKUP(Table2[[#This Row],[Date]],Funds!$C$10:$GV$11,2,FALSE)))</f>
        <v/>
      </c>
      <c r="J7918" s="215" t="str">
        <f>IF(Table2[[#This Row],[Description]]="","",Table2[[#This Row],[Value]]/Table2[[#This Row],[Conversion]])</f>
        <v/>
      </c>
      <c r="K7918" s="45" t="str">
        <f>IF(Table2[[#This Row],[Description]]="","",DATE(Table2[[#This Row],[Year]],Table2[[#This Row],[Month]],1))</f>
        <v/>
      </c>
    </row>
    <row r="7919" spans="7:11" x14ac:dyDescent="0.25">
      <c r="G7919" s="1" t="str">
        <f>IF(Table2[[#This Row],[Description]]="","",VLOOKUP(Table2[[#This Row],[Description]],$Q$1:$S$101,2,FALSE))</f>
        <v/>
      </c>
      <c r="H7919" s="1" t="str">
        <f>IF(Table2[[#This Row],[Description]]="","",VLOOKUP(Table2[[#This Row],[Description]],$Q$1:$S$101,3,FALSE))</f>
        <v/>
      </c>
      <c r="I7919" s="1" t="str">
        <f>IF(Table2[[#This Row],[Description]]="","",IF(Table2[[#This Row],[Currency]]=$O$2,$P$2,HLOOKUP(Table2[[#This Row],[Date]],Funds!$C$10:$GV$11,2,FALSE)))</f>
        <v/>
      </c>
      <c r="J7919" s="215" t="str">
        <f>IF(Table2[[#This Row],[Description]]="","",Table2[[#This Row],[Value]]/Table2[[#This Row],[Conversion]])</f>
        <v/>
      </c>
      <c r="K7919" s="45" t="str">
        <f>IF(Table2[[#This Row],[Description]]="","",DATE(Table2[[#This Row],[Year]],Table2[[#This Row],[Month]],1))</f>
        <v/>
      </c>
    </row>
    <row r="7920" spans="7:11" x14ac:dyDescent="0.25">
      <c r="G7920" s="1" t="str">
        <f>IF(Table2[[#This Row],[Description]]="","",VLOOKUP(Table2[[#This Row],[Description]],$Q$1:$S$101,2,FALSE))</f>
        <v/>
      </c>
      <c r="H7920" s="1" t="str">
        <f>IF(Table2[[#This Row],[Description]]="","",VLOOKUP(Table2[[#This Row],[Description]],$Q$1:$S$101,3,FALSE))</f>
        <v/>
      </c>
      <c r="I7920" s="1" t="str">
        <f>IF(Table2[[#This Row],[Description]]="","",IF(Table2[[#This Row],[Currency]]=$O$2,$P$2,HLOOKUP(Table2[[#This Row],[Date]],Funds!$C$10:$GV$11,2,FALSE)))</f>
        <v/>
      </c>
      <c r="J7920" s="215" t="str">
        <f>IF(Table2[[#This Row],[Description]]="","",Table2[[#This Row],[Value]]/Table2[[#This Row],[Conversion]])</f>
        <v/>
      </c>
      <c r="K7920" s="45" t="str">
        <f>IF(Table2[[#This Row],[Description]]="","",DATE(Table2[[#This Row],[Year]],Table2[[#This Row],[Month]],1))</f>
        <v/>
      </c>
    </row>
    <row r="7921" spans="7:11" x14ac:dyDescent="0.25">
      <c r="G7921" s="1" t="str">
        <f>IF(Table2[[#This Row],[Description]]="","",VLOOKUP(Table2[[#This Row],[Description]],$Q$1:$S$101,2,FALSE))</f>
        <v/>
      </c>
      <c r="H7921" s="1" t="str">
        <f>IF(Table2[[#This Row],[Description]]="","",VLOOKUP(Table2[[#This Row],[Description]],$Q$1:$S$101,3,FALSE))</f>
        <v/>
      </c>
      <c r="I7921" s="1" t="str">
        <f>IF(Table2[[#This Row],[Description]]="","",IF(Table2[[#This Row],[Currency]]=$O$2,$P$2,HLOOKUP(Table2[[#This Row],[Date]],Funds!$C$10:$GV$11,2,FALSE)))</f>
        <v/>
      </c>
      <c r="J7921" s="215" t="str">
        <f>IF(Table2[[#This Row],[Description]]="","",Table2[[#This Row],[Value]]/Table2[[#This Row],[Conversion]])</f>
        <v/>
      </c>
      <c r="K7921" s="45" t="str">
        <f>IF(Table2[[#This Row],[Description]]="","",DATE(Table2[[#This Row],[Year]],Table2[[#This Row],[Month]],1))</f>
        <v/>
      </c>
    </row>
    <row r="7922" spans="7:11" x14ac:dyDescent="0.25">
      <c r="G7922" s="1" t="str">
        <f>IF(Table2[[#This Row],[Description]]="","",VLOOKUP(Table2[[#This Row],[Description]],$Q$1:$S$101,2,FALSE))</f>
        <v/>
      </c>
      <c r="H7922" s="1" t="str">
        <f>IF(Table2[[#This Row],[Description]]="","",VLOOKUP(Table2[[#This Row],[Description]],$Q$1:$S$101,3,FALSE))</f>
        <v/>
      </c>
      <c r="I7922" s="1" t="str">
        <f>IF(Table2[[#This Row],[Description]]="","",IF(Table2[[#This Row],[Currency]]=$O$2,$P$2,HLOOKUP(Table2[[#This Row],[Date]],Funds!$C$10:$GV$11,2,FALSE)))</f>
        <v/>
      </c>
      <c r="J7922" s="215" t="str">
        <f>IF(Table2[[#This Row],[Description]]="","",Table2[[#This Row],[Value]]/Table2[[#This Row],[Conversion]])</f>
        <v/>
      </c>
      <c r="K7922" s="45" t="str">
        <f>IF(Table2[[#This Row],[Description]]="","",DATE(Table2[[#This Row],[Year]],Table2[[#This Row],[Month]],1))</f>
        <v/>
      </c>
    </row>
    <row r="7923" spans="7:11" x14ac:dyDescent="0.25">
      <c r="G7923" s="1" t="str">
        <f>IF(Table2[[#This Row],[Description]]="","",VLOOKUP(Table2[[#This Row],[Description]],$Q$1:$S$101,2,FALSE))</f>
        <v/>
      </c>
      <c r="H7923" s="1" t="str">
        <f>IF(Table2[[#This Row],[Description]]="","",VLOOKUP(Table2[[#This Row],[Description]],$Q$1:$S$101,3,FALSE))</f>
        <v/>
      </c>
      <c r="I7923" s="1" t="str">
        <f>IF(Table2[[#This Row],[Description]]="","",IF(Table2[[#This Row],[Currency]]=$O$2,$P$2,HLOOKUP(Table2[[#This Row],[Date]],Funds!$C$10:$GV$11,2,FALSE)))</f>
        <v/>
      </c>
      <c r="J7923" s="215" t="str">
        <f>IF(Table2[[#This Row],[Description]]="","",Table2[[#This Row],[Value]]/Table2[[#This Row],[Conversion]])</f>
        <v/>
      </c>
      <c r="K7923" s="45" t="str">
        <f>IF(Table2[[#This Row],[Description]]="","",DATE(Table2[[#This Row],[Year]],Table2[[#This Row],[Month]],1))</f>
        <v/>
      </c>
    </row>
    <row r="7924" spans="7:11" x14ac:dyDescent="0.25">
      <c r="G7924" s="1" t="str">
        <f>IF(Table2[[#This Row],[Description]]="","",VLOOKUP(Table2[[#This Row],[Description]],$Q$1:$S$101,2,FALSE))</f>
        <v/>
      </c>
      <c r="H7924" s="1" t="str">
        <f>IF(Table2[[#This Row],[Description]]="","",VLOOKUP(Table2[[#This Row],[Description]],$Q$1:$S$101,3,FALSE))</f>
        <v/>
      </c>
      <c r="I7924" s="1" t="str">
        <f>IF(Table2[[#This Row],[Description]]="","",IF(Table2[[#This Row],[Currency]]=$O$2,$P$2,HLOOKUP(Table2[[#This Row],[Date]],Funds!$C$10:$GV$11,2,FALSE)))</f>
        <v/>
      </c>
      <c r="J7924" s="215" t="str">
        <f>IF(Table2[[#This Row],[Description]]="","",Table2[[#This Row],[Value]]/Table2[[#This Row],[Conversion]])</f>
        <v/>
      </c>
      <c r="K7924" s="45" t="str">
        <f>IF(Table2[[#This Row],[Description]]="","",DATE(Table2[[#This Row],[Year]],Table2[[#This Row],[Month]],1))</f>
        <v/>
      </c>
    </row>
    <row r="7925" spans="7:11" x14ac:dyDescent="0.25">
      <c r="G7925" s="1" t="str">
        <f>IF(Table2[[#This Row],[Description]]="","",VLOOKUP(Table2[[#This Row],[Description]],$Q$1:$S$101,2,FALSE))</f>
        <v/>
      </c>
      <c r="H7925" s="1" t="str">
        <f>IF(Table2[[#This Row],[Description]]="","",VLOOKUP(Table2[[#This Row],[Description]],$Q$1:$S$101,3,FALSE))</f>
        <v/>
      </c>
      <c r="I7925" s="1" t="str">
        <f>IF(Table2[[#This Row],[Description]]="","",IF(Table2[[#This Row],[Currency]]=$O$2,$P$2,HLOOKUP(Table2[[#This Row],[Date]],Funds!$C$10:$GV$11,2,FALSE)))</f>
        <v/>
      </c>
      <c r="J7925" s="215" t="str">
        <f>IF(Table2[[#This Row],[Description]]="","",Table2[[#This Row],[Value]]/Table2[[#This Row],[Conversion]])</f>
        <v/>
      </c>
      <c r="K7925" s="45" t="str">
        <f>IF(Table2[[#This Row],[Description]]="","",DATE(Table2[[#This Row],[Year]],Table2[[#This Row],[Month]],1))</f>
        <v/>
      </c>
    </row>
    <row r="7926" spans="7:11" x14ac:dyDescent="0.25">
      <c r="G7926" s="1" t="str">
        <f>IF(Table2[[#This Row],[Description]]="","",VLOOKUP(Table2[[#This Row],[Description]],$Q$1:$S$101,2,FALSE))</f>
        <v/>
      </c>
      <c r="H7926" s="1" t="str">
        <f>IF(Table2[[#This Row],[Description]]="","",VLOOKUP(Table2[[#This Row],[Description]],$Q$1:$S$101,3,FALSE))</f>
        <v/>
      </c>
      <c r="I7926" s="1" t="str">
        <f>IF(Table2[[#This Row],[Description]]="","",IF(Table2[[#This Row],[Currency]]=$O$2,$P$2,HLOOKUP(Table2[[#This Row],[Date]],Funds!$C$10:$GV$11,2,FALSE)))</f>
        <v/>
      </c>
      <c r="J7926" s="215" t="str">
        <f>IF(Table2[[#This Row],[Description]]="","",Table2[[#This Row],[Value]]/Table2[[#This Row],[Conversion]])</f>
        <v/>
      </c>
      <c r="K7926" s="45" t="str">
        <f>IF(Table2[[#This Row],[Description]]="","",DATE(Table2[[#This Row],[Year]],Table2[[#This Row],[Month]],1))</f>
        <v/>
      </c>
    </row>
    <row r="7927" spans="7:11" x14ac:dyDescent="0.25">
      <c r="G7927" s="1" t="str">
        <f>IF(Table2[[#This Row],[Description]]="","",VLOOKUP(Table2[[#This Row],[Description]],$Q$1:$S$101,2,FALSE))</f>
        <v/>
      </c>
      <c r="H7927" s="1" t="str">
        <f>IF(Table2[[#This Row],[Description]]="","",VLOOKUP(Table2[[#This Row],[Description]],$Q$1:$S$101,3,FALSE))</f>
        <v/>
      </c>
      <c r="I7927" s="1" t="str">
        <f>IF(Table2[[#This Row],[Description]]="","",IF(Table2[[#This Row],[Currency]]=$O$2,$P$2,HLOOKUP(Table2[[#This Row],[Date]],Funds!$C$10:$GV$11,2,FALSE)))</f>
        <v/>
      </c>
      <c r="J7927" s="215" t="str">
        <f>IF(Table2[[#This Row],[Description]]="","",Table2[[#This Row],[Value]]/Table2[[#This Row],[Conversion]])</f>
        <v/>
      </c>
      <c r="K7927" s="45" t="str">
        <f>IF(Table2[[#This Row],[Description]]="","",DATE(Table2[[#This Row],[Year]],Table2[[#This Row],[Month]],1))</f>
        <v/>
      </c>
    </row>
    <row r="7928" spans="7:11" x14ac:dyDescent="0.25">
      <c r="G7928" s="1" t="str">
        <f>IF(Table2[[#This Row],[Description]]="","",VLOOKUP(Table2[[#This Row],[Description]],$Q$1:$S$101,2,FALSE))</f>
        <v/>
      </c>
      <c r="H7928" s="1" t="str">
        <f>IF(Table2[[#This Row],[Description]]="","",VLOOKUP(Table2[[#This Row],[Description]],$Q$1:$S$101,3,FALSE))</f>
        <v/>
      </c>
      <c r="I7928" s="1" t="str">
        <f>IF(Table2[[#This Row],[Description]]="","",IF(Table2[[#This Row],[Currency]]=$O$2,$P$2,HLOOKUP(Table2[[#This Row],[Date]],Funds!$C$10:$GV$11,2,FALSE)))</f>
        <v/>
      </c>
      <c r="J7928" s="215" t="str">
        <f>IF(Table2[[#This Row],[Description]]="","",Table2[[#This Row],[Value]]/Table2[[#This Row],[Conversion]])</f>
        <v/>
      </c>
      <c r="K7928" s="45" t="str">
        <f>IF(Table2[[#This Row],[Description]]="","",DATE(Table2[[#This Row],[Year]],Table2[[#This Row],[Month]],1))</f>
        <v/>
      </c>
    </row>
    <row r="7929" spans="7:11" x14ac:dyDescent="0.25">
      <c r="G7929" s="1" t="str">
        <f>IF(Table2[[#This Row],[Description]]="","",VLOOKUP(Table2[[#This Row],[Description]],$Q$1:$S$101,2,FALSE))</f>
        <v/>
      </c>
      <c r="H7929" s="1" t="str">
        <f>IF(Table2[[#This Row],[Description]]="","",VLOOKUP(Table2[[#This Row],[Description]],$Q$1:$S$101,3,FALSE))</f>
        <v/>
      </c>
      <c r="I7929" s="1" t="str">
        <f>IF(Table2[[#This Row],[Description]]="","",IF(Table2[[#This Row],[Currency]]=$O$2,$P$2,HLOOKUP(Table2[[#This Row],[Date]],Funds!$C$10:$GV$11,2,FALSE)))</f>
        <v/>
      </c>
      <c r="J7929" s="215" t="str">
        <f>IF(Table2[[#This Row],[Description]]="","",Table2[[#This Row],[Value]]/Table2[[#This Row],[Conversion]])</f>
        <v/>
      </c>
      <c r="K7929" s="45" t="str">
        <f>IF(Table2[[#This Row],[Description]]="","",DATE(Table2[[#This Row],[Year]],Table2[[#This Row],[Month]],1))</f>
        <v/>
      </c>
    </row>
    <row r="7930" spans="7:11" x14ac:dyDescent="0.25">
      <c r="G7930" s="1" t="str">
        <f>IF(Table2[[#This Row],[Description]]="","",VLOOKUP(Table2[[#This Row],[Description]],$Q$1:$S$101,2,FALSE))</f>
        <v/>
      </c>
      <c r="H7930" s="1" t="str">
        <f>IF(Table2[[#This Row],[Description]]="","",VLOOKUP(Table2[[#This Row],[Description]],$Q$1:$S$101,3,FALSE))</f>
        <v/>
      </c>
      <c r="I7930" s="1" t="str">
        <f>IF(Table2[[#This Row],[Description]]="","",IF(Table2[[#This Row],[Currency]]=$O$2,$P$2,HLOOKUP(Table2[[#This Row],[Date]],Funds!$C$10:$GV$11,2,FALSE)))</f>
        <v/>
      </c>
      <c r="J7930" s="215" t="str">
        <f>IF(Table2[[#This Row],[Description]]="","",Table2[[#This Row],[Value]]/Table2[[#This Row],[Conversion]])</f>
        <v/>
      </c>
      <c r="K7930" s="45" t="str">
        <f>IF(Table2[[#This Row],[Description]]="","",DATE(Table2[[#This Row],[Year]],Table2[[#This Row],[Month]],1))</f>
        <v/>
      </c>
    </row>
    <row r="7931" spans="7:11" x14ac:dyDescent="0.25">
      <c r="G7931" s="1" t="str">
        <f>IF(Table2[[#This Row],[Description]]="","",VLOOKUP(Table2[[#This Row],[Description]],$Q$1:$S$101,2,FALSE))</f>
        <v/>
      </c>
      <c r="H7931" s="1" t="str">
        <f>IF(Table2[[#This Row],[Description]]="","",VLOOKUP(Table2[[#This Row],[Description]],$Q$1:$S$101,3,FALSE))</f>
        <v/>
      </c>
      <c r="I7931" s="1" t="str">
        <f>IF(Table2[[#This Row],[Description]]="","",IF(Table2[[#This Row],[Currency]]=$O$2,$P$2,HLOOKUP(Table2[[#This Row],[Date]],Funds!$C$10:$GV$11,2,FALSE)))</f>
        <v/>
      </c>
      <c r="J7931" s="215" t="str">
        <f>IF(Table2[[#This Row],[Description]]="","",Table2[[#This Row],[Value]]/Table2[[#This Row],[Conversion]])</f>
        <v/>
      </c>
      <c r="K7931" s="45" t="str">
        <f>IF(Table2[[#This Row],[Description]]="","",DATE(Table2[[#This Row],[Year]],Table2[[#This Row],[Month]],1))</f>
        <v/>
      </c>
    </row>
    <row r="7932" spans="7:11" x14ac:dyDescent="0.25">
      <c r="G7932" s="1" t="str">
        <f>IF(Table2[[#This Row],[Description]]="","",VLOOKUP(Table2[[#This Row],[Description]],$Q$1:$S$101,2,FALSE))</f>
        <v/>
      </c>
      <c r="H7932" s="1" t="str">
        <f>IF(Table2[[#This Row],[Description]]="","",VLOOKUP(Table2[[#This Row],[Description]],$Q$1:$S$101,3,FALSE))</f>
        <v/>
      </c>
      <c r="I7932" s="1" t="str">
        <f>IF(Table2[[#This Row],[Description]]="","",IF(Table2[[#This Row],[Currency]]=$O$2,$P$2,HLOOKUP(Table2[[#This Row],[Date]],Funds!$C$10:$GV$11,2,FALSE)))</f>
        <v/>
      </c>
      <c r="J7932" s="215" t="str">
        <f>IF(Table2[[#This Row],[Description]]="","",Table2[[#This Row],[Value]]/Table2[[#This Row],[Conversion]])</f>
        <v/>
      </c>
      <c r="K7932" s="45" t="str">
        <f>IF(Table2[[#This Row],[Description]]="","",DATE(Table2[[#This Row],[Year]],Table2[[#This Row],[Month]],1))</f>
        <v/>
      </c>
    </row>
    <row r="7933" spans="7:11" x14ac:dyDescent="0.25">
      <c r="G7933" s="1" t="str">
        <f>IF(Table2[[#This Row],[Description]]="","",VLOOKUP(Table2[[#This Row],[Description]],$Q$1:$S$101,2,FALSE))</f>
        <v/>
      </c>
      <c r="H7933" s="1" t="str">
        <f>IF(Table2[[#This Row],[Description]]="","",VLOOKUP(Table2[[#This Row],[Description]],$Q$1:$S$101,3,FALSE))</f>
        <v/>
      </c>
      <c r="I7933" s="1" t="str">
        <f>IF(Table2[[#This Row],[Description]]="","",IF(Table2[[#This Row],[Currency]]=$O$2,$P$2,HLOOKUP(Table2[[#This Row],[Date]],Funds!$C$10:$GV$11,2,FALSE)))</f>
        <v/>
      </c>
      <c r="J7933" s="215" t="str">
        <f>IF(Table2[[#This Row],[Description]]="","",Table2[[#This Row],[Value]]/Table2[[#This Row],[Conversion]])</f>
        <v/>
      </c>
      <c r="K7933" s="45" t="str">
        <f>IF(Table2[[#This Row],[Description]]="","",DATE(Table2[[#This Row],[Year]],Table2[[#This Row],[Month]],1))</f>
        <v/>
      </c>
    </row>
    <row r="7934" spans="7:11" x14ac:dyDescent="0.25">
      <c r="G7934" s="1" t="str">
        <f>IF(Table2[[#This Row],[Description]]="","",VLOOKUP(Table2[[#This Row],[Description]],$Q$1:$S$101,2,FALSE))</f>
        <v/>
      </c>
      <c r="H7934" s="1" t="str">
        <f>IF(Table2[[#This Row],[Description]]="","",VLOOKUP(Table2[[#This Row],[Description]],$Q$1:$S$101,3,FALSE))</f>
        <v/>
      </c>
      <c r="I7934" s="1" t="str">
        <f>IF(Table2[[#This Row],[Description]]="","",IF(Table2[[#This Row],[Currency]]=$O$2,$P$2,HLOOKUP(Table2[[#This Row],[Date]],Funds!$C$10:$GV$11,2,FALSE)))</f>
        <v/>
      </c>
      <c r="J7934" s="215" t="str">
        <f>IF(Table2[[#This Row],[Description]]="","",Table2[[#This Row],[Value]]/Table2[[#This Row],[Conversion]])</f>
        <v/>
      </c>
      <c r="K7934" s="45" t="str">
        <f>IF(Table2[[#This Row],[Description]]="","",DATE(Table2[[#This Row],[Year]],Table2[[#This Row],[Month]],1))</f>
        <v/>
      </c>
    </row>
    <row r="7935" spans="7:11" x14ac:dyDescent="0.25">
      <c r="G7935" s="1" t="str">
        <f>IF(Table2[[#This Row],[Description]]="","",VLOOKUP(Table2[[#This Row],[Description]],$Q$1:$S$101,2,FALSE))</f>
        <v/>
      </c>
      <c r="H7935" s="1" t="str">
        <f>IF(Table2[[#This Row],[Description]]="","",VLOOKUP(Table2[[#This Row],[Description]],$Q$1:$S$101,3,FALSE))</f>
        <v/>
      </c>
      <c r="I7935" s="1" t="str">
        <f>IF(Table2[[#This Row],[Description]]="","",IF(Table2[[#This Row],[Currency]]=$O$2,$P$2,HLOOKUP(Table2[[#This Row],[Date]],Funds!$C$10:$GV$11,2,FALSE)))</f>
        <v/>
      </c>
      <c r="J7935" s="215" t="str">
        <f>IF(Table2[[#This Row],[Description]]="","",Table2[[#This Row],[Value]]/Table2[[#This Row],[Conversion]])</f>
        <v/>
      </c>
      <c r="K7935" s="45" t="str">
        <f>IF(Table2[[#This Row],[Description]]="","",DATE(Table2[[#This Row],[Year]],Table2[[#This Row],[Month]],1))</f>
        <v/>
      </c>
    </row>
    <row r="7936" spans="7:11" x14ac:dyDescent="0.25">
      <c r="G7936" s="1" t="str">
        <f>IF(Table2[[#This Row],[Description]]="","",VLOOKUP(Table2[[#This Row],[Description]],$Q$1:$S$101,2,FALSE))</f>
        <v/>
      </c>
      <c r="H7936" s="1" t="str">
        <f>IF(Table2[[#This Row],[Description]]="","",VLOOKUP(Table2[[#This Row],[Description]],$Q$1:$S$101,3,FALSE))</f>
        <v/>
      </c>
      <c r="I7936" s="1" t="str">
        <f>IF(Table2[[#This Row],[Description]]="","",IF(Table2[[#This Row],[Currency]]=$O$2,$P$2,HLOOKUP(Table2[[#This Row],[Date]],Funds!$C$10:$GV$11,2,FALSE)))</f>
        <v/>
      </c>
      <c r="J7936" s="215" t="str">
        <f>IF(Table2[[#This Row],[Description]]="","",Table2[[#This Row],[Value]]/Table2[[#This Row],[Conversion]])</f>
        <v/>
      </c>
      <c r="K7936" s="45" t="str">
        <f>IF(Table2[[#This Row],[Description]]="","",DATE(Table2[[#This Row],[Year]],Table2[[#This Row],[Month]],1))</f>
        <v/>
      </c>
    </row>
    <row r="7937" spans="7:11" x14ac:dyDescent="0.25">
      <c r="G7937" s="1" t="str">
        <f>IF(Table2[[#This Row],[Description]]="","",VLOOKUP(Table2[[#This Row],[Description]],$Q$1:$S$101,2,FALSE))</f>
        <v/>
      </c>
      <c r="H7937" s="1" t="str">
        <f>IF(Table2[[#This Row],[Description]]="","",VLOOKUP(Table2[[#This Row],[Description]],$Q$1:$S$101,3,FALSE))</f>
        <v/>
      </c>
      <c r="I7937" s="1" t="str">
        <f>IF(Table2[[#This Row],[Description]]="","",IF(Table2[[#This Row],[Currency]]=$O$2,$P$2,HLOOKUP(Table2[[#This Row],[Date]],Funds!$C$10:$GV$11,2,FALSE)))</f>
        <v/>
      </c>
      <c r="J7937" s="215" t="str">
        <f>IF(Table2[[#This Row],[Description]]="","",Table2[[#This Row],[Value]]/Table2[[#This Row],[Conversion]])</f>
        <v/>
      </c>
      <c r="K7937" s="45" t="str">
        <f>IF(Table2[[#This Row],[Description]]="","",DATE(Table2[[#This Row],[Year]],Table2[[#This Row],[Month]],1))</f>
        <v/>
      </c>
    </row>
    <row r="7938" spans="7:11" x14ac:dyDescent="0.25">
      <c r="G7938" s="1" t="str">
        <f>IF(Table2[[#This Row],[Description]]="","",VLOOKUP(Table2[[#This Row],[Description]],$Q$1:$S$101,2,FALSE))</f>
        <v/>
      </c>
      <c r="H7938" s="1" t="str">
        <f>IF(Table2[[#This Row],[Description]]="","",VLOOKUP(Table2[[#This Row],[Description]],$Q$1:$S$101,3,FALSE))</f>
        <v/>
      </c>
      <c r="I7938" s="1" t="str">
        <f>IF(Table2[[#This Row],[Description]]="","",IF(Table2[[#This Row],[Currency]]=$O$2,$P$2,HLOOKUP(Table2[[#This Row],[Date]],Funds!$C$10:$GV$11,2,FALSE)))</f>
        <v/>
      </c>
      <c r="J7938" s="215" t="str">
        <f>IF(Table2[[#This Row],[Description]]="","",Table2[[#This Row],[Value]]/Table2[[#This Row],[Conversion]])</f>
        <v/>
      </c>
      <c r="K7938" s="45" t="str">
        <f>IF(Table2[[#This Row],[Description]]="","",DATE(Table2[[#This Row],[Year]],Table2[[#This Row],[Month]],1))</f>
        <v/>
      </c>
    </row>
    <row r="7939" spans="7:11" x14ac:dyDescent="0.25">
      <c r="G7939" s="1" t="str">
        <f>IF(Table2[[#This Row],[Description]]="","",VLOOKUP(Table2[[#This Row],[Description]],$Q$1:$S$101,2,FALSE))</f>
        <v/>
      </c>
      <c r="H7939" s="1" t="str">
        <f>IF(Table2[[#This Row],[Description]]="","",VLOOKUP(Table2[[#This Row],[Description]],$Q$1:$S$101,3,FALSE))</f>
        <v/>
      </c>
      <c r="I7939" s="1" t="str">
        <f>IF(Table2[[#This Row],[Description]]="","",IF(Table2[[#This Row],[Currency]]=$O$2,$P$2,HLOOKUP(Table2[[#This Row],[Date]],Funds!$C$10:$GV$11,2,FALSE)))</f>
        <v/>
      </c>
      <c r="J7939" s="215" t="str">
        <f>IF(Table2[[#This Row],[Description]]="","",Table2[[#This Row],[Value]]/Table2[[#This Row],[Conversion]])</f>
        <v/>
      </c>
      <c r="K7939" s="45" t="str">
        <f>IF(Table2[[#This Row],[Description]]="","",DATE(Table2[[#This Row],[Year]],Table2[[#This Row],[Month]],1))</f>
        <v/>
      </c>
    </row>
    <row r="7940" spans="7:11" x14ac:dyDescent="0.25">
      <c r="G7940" s="1" t="str">
        <f>IF(Table2[[#This Row],[Description]]="","",VLOOKUP(Table2[[#This Row],[Description]],$Q$1:$S$101,2,FALSE))</f>
        <v/>
      </c>
      <c r="H7940" s="1" t="str">
        <f>IF(Table2[[#This Row],[Description]]="","",VLOOKUP(Table2[[#This Row],[Description]],$Q$1:$S$101,3,FALSE))</f>
        <v/>
      </c>
      <c r="I7940" s="1" t="str">
        <f>IF(Table2[[#This Row],[Description]]="","",IF(Table2[[#This Row],[Currency]]=$O$2,$P$2,HLOOKUP(Table2[[#This Row],[Date]],Funds!$C$10:$GV$11,2,FALSE)))</f>
        <v/>
      </c>
      <c r="J7940" s="215" t="str">
        <f>IF(Table2[[#This Row],[Description]]="","",Table2[[#This Row],[Value]]/Table2[[#This Row],[Conversion]])</f>
        <v/>
      </c>
      <c r="K7940" s="45" t="str">
        <f>IF(Table2[[#This Row],[Description]]="","",DATE(Table2[[#This Row],[Year]],Table2[[#This Row],[Month]],1))</f>
        <v/>
      </c>
    </row>
    <row r="7941" spans="7:11" x14ac:dyDescent="0.25">
      <c r="G7941" s="1" t="str">
        <f>IF(Table2[[#This Row],[Description]]="","",VLOOKUP(Table2[[#This Row],[Description]],$Q$1:$S$101,2,FALSE))</f>
        <v/>
      </c>
      <c r="H7941" s="1" t="str">
        <f>IF(Table2[[#This Row],[Description]]="","",VLOOKUP(Table2[[#This Row],[Description]],$Q$1:$S$101,3,FALSE))</f>
        <v/>
      </c>
      <c r="I7941" s="1" t="str">
        <f>IF(Table2[[#This Row],[Description]]="","",IF(Table2[[#This Row],[Currency]]=$O$2,$P$2,HLOOKUP(Table2[[#This Row],[Date]],Funds!$C$10:$GV$11,2,FALSE)))</f>
        <v/>
      </c>
      <c r="J7941" s="215" t="str">
        <f>IF(Table2[[#This Row],[Description]]="","",Table2[[#This Row],[Value]]/Table2[[#This Row],[Conversion]])</f>
        <v/>
      </c>
      <c r="K7941" s="45" t="str">
        <f>IF(Table2[[#This Row],[Description]]="","",DATE(Table2[[#This Row],[Year]],Table2[[#This Row],[Month]],1))</f>
        <v/>
      </c>
    </row>
    <row r="7942" spans="7:11" x14ac:dyDescent="0.25">
      <c r="G7942" s="1" t="str">
        <f>IF(Table2[[#This Row],[Description]]="","",VLOOKUP(Table2[[#This Row],[Description]],$Q$1:$S$101,2,FALSE))</f>
        <v/>
      </c>
      <c r="H7942" s="1" t="str">
        <f>IF(Table2[[#This Row],[Description]]="","",VLOOKUP(Table2[[#This Row],[Description]],$Q$1:$S$101,3,FALSE))</f>
        <v/>
      </c>
      <c r="I7942" s="1" t="str">
        <f>IF(Table2[[#This Row],[Description]]="","",IF(Table2[[#This Row],[Currency]]=$O$2,$P$2,HLOOKUP(Table2[[#This Row],[Date]],Funds!$C$10:$GV$11,2,FALSE)))</f>
        <v/>
      </c>
      <c r="J7942" s="215" t="str">
        <f>IF(Table2[[#This Row],[Description]]="","",Table2[[#This Row],[Value]]/Table2[[#This Row],[Conversion]])</f>
        <v/>
      </c>
      <c r="K7942" s="45" t="str">
        <f>IF(Table2[[#This Row],[Description]]="","",DATE(Table2[[#This Row],[Year]],Table2[[#This Row],[Month]],1))</f>
        <v/>
      </c>
    </row>
    <row r="7943" spans="7:11" x14ac:dyDescent="0.25">
      <c r="G7943" s="1" t="str">
        <f>IF(Table2[[#This Row],[Description]]="","",VLOOKUP(Table2[[#This Row],[Description]],$Q$1:$S$101,2,FALSE))</f>
        <v/>
      </c>
      <c r="H7943" s="1" t="str">
        <f>IF(Table2[[#This Row],[Description]]="","",VLOOKUP(Table2[[#This Row],[Description]],$Q$1:$S$101,3,FALSE))</f>
        <v/>
      </c>
      <c r="I7943" s="1" t="str">
        <f>IF(Table2[[#This Row],[Description]]="","",IF(Table2[[#This Row],[Currency]]=$O$2,$P$2,HLOOKUP(Table2[[#This Row],[Date]],Funds!$C$10:$GV$11,2,FALSE)))</f>
        <v/>
      </c>
      <c r="J7943" s="215" t="str">
        <f>IF(Table2[[#This Row],[Description]]="","",Table2[[#This Row],[Value]]/Table2[[#This Row],[Conversion]])</f>
        <v/>
      </c>
      <c r="K7943" s="45" t="str">
        <f>IF(Table2[[#This Row],[Description]]="","",DATE(Table2[[#This Row],[Year]],Table2[[#This Row],[Month]],1))</f>
        <v/>
      </c>
    </row>
    <row r="7944" spans="7:11" x14ac:dyDescent="0.25">
      <c r="G7944" s="1" t="str">
        <f>IF(Table2[[#This Row],[Description]]="","",VLOOKUP(Table2[[#This Row],[Description]],$Q$1:$S$101,2,FALSE))</f>
        <v/>
      </c>
      <c r="H7944" s="1" t="str">
        <f>IF(Table2[[#This Row],[Description]]="","",VLOOKUP(Table2[[#This Row],[Description]],$Q$1:$S$101,3,FALSE))</f>
        <v/>
      </c>
      <c r="I7944" s="1" t="str">
        <f>IF(Table2[[#This Row],[Description]]="","",IF(Table2[[#This Row],[Currency]]=$O$2,$P$2,HLOOKUP(Table2[[#This Row],[Date]],Funds!$C$10:$GV$11,2,FALSE)))</f>
        <v/>
      </c>
      <c r="J7944" s="215" t="str">
        <f>IF(Table2[[#This Row],[Description]]="","",Table2[[#This Row],[Value]]/Table2[[#This Row],[Conversion]])</f>
        <v/>
      </c>
      <c r="K7944" s="45" t="str">
        <f>IF(Table2[[#This Row],[Description]]="","",DATE(Table2[[#This Row],[Year]],Table2[[#This Row],[Month]],1))</f>
        <v/>
      </c>
    </row>
    <row r="7945" spans="7:11" x14ac:dyDescent="0.25">
      <c r="G7945" s="1" t="str">
        <f>IF(Table2[[#This Row],[Description]]="","",VLOOKUP(Table2[[#This Row],[Description]],$Q$1:$S$101,2,FALSE))</f>
        <v/>
      </c>
      <c r="H7945" s="1" t="str">
        <f>IF(Table2[[#This Row],[Description]]="","",VLOOKUP(Table2[[#This Row],[Description]],$Q$1:$S$101,3,FALSE))</f>
        <v/>
      </c>
      <c r="I7945" s="1" t="str">
        <f>IF(Table2[[#This Row],[Description]]="","",IF(Table2[[#This Row],[Currency]]=$O$2,$P$2,HLOOKUP(Table2[[#This Row],[Date]],Funds!$C$10:$GV$11,2,FALSE)))</f>
        <v/>
      </c>
      <c r="J7945" s="215" t="str">
        <f>IF(Table2[[#This Row],[Description]]="","",Table2[[#This Row],[Value]]/Table2[[#This Row],[Conversion]])</f>
        <v/>
      </c>
      <c r="K7945" s="45" t="str">
        <f>IF(Table2[[#This Row],[Description]]="","",DATE(Table2[[#This Row],[Year]],Table2[[#This Row],[Month]],1))</f>
        <v/>
      </c>
    </row>
    <row r="7946" spans="7:11" x14ac:dyDescent="0.25">
      <c r="G7946" s="1" t="str">
        <f>IF(Table2[[#This Row],[Description]]="","",VLOOKUP(Table2[[#This Row],[Description]],$Q$1:$S$101,2,FALSE))</f>
        <v/>
      </c>
      <c r="H7946" s="1" t="str">
        <f>IF(Table2[[#This Row],[Description]]="","",VLOOKUP(Table2[[#This Row],[Description]],$Q$1:$S$101,3,FALSE))</f>
        <v/>
      </c>
      <c r="I7946" s="1" t="str">
        <f>IF(Table2[[#This Row],[Description]]="","",IF(Table2[[#This Row],[Currency]]=$O$2,$P$2,HLOOKUP(Table2[[#This Row],[Date]],Funds!$C$10:$GV$11,2,FALSE)))</f>
        <v/>
      </c>
      <c r="J7946" s="215" t="str">
        <f>IF(Table2[[#This Row],[Description]]="","",Table2[[#This Row],[Value]]/Table2[[#This Row],[Conversion]])</f>
        <v/>
      </c>
      <c r="K7946" s="45" t="str">
        <f>IF(Table2[[#This Row],[Description]]="","",DATE(Table2[[#This Row],[Year]],Table2[[#This Row],[Month]],1))</f>
        <v/>
      </c>
    </row>
    <row r="7947" spans="7:11" x14ac:dyDescent="0.25">
      <c r="G7947" s="1" t="str">
        <f>IF(Table2[[#This Row],[Description]]="","",VLOOKUP(Table2[[#This Row],[Description]],$Q$1:$S$101,2,FALSE))</f>
        <v/>
      </c>
      <c r="H7947" s="1" t="str">
        <f>IF(Table2[[#This Row],[Description]]="","",VLOOKUP(Table2[[#This Row],[Description]],$Q$1:$S$101,3,FALSE))</f>
        <v/>
      </c>
      <c r="I7947" s="1" t="str">
        <f>IF(Table2[[#This Row],[Description]]="","",IF(Table2[[#This Row],[Currency]]=$O$2,$P$2,HLOOKUP(Table2[[#This Row],[Date]],Funds!$C$10:$GV$11,2,FALSE)))</f>
        <v/>
      </c>
      <c r="J7947" s="215" t="str">
        <f>IF(Table2[[#This Row],[Description]]="","",Table2[[#This Row],[Value]]/Table2[[#This Row],[Conversion]])</f>
        <v/>
      </c>
      <c r="K7947" s="45" t="str">
        <f>IF(Table2[[#This Row],[Description]]="","",DATE(Table2[[#This Row],[Year]],Table2[[#This Row],[Month]],1))</f>
        <v/>
      </c>
    </row>
    <row r="7948" spans="7:11" x14ac:dyDescent="0.25">
      <c r="G7948" s="1" t="str">
        <f>IF(Table2[[#This Row],[Description]]="","",VLOOKUP(Table2[[#This Row],[Description]],$Q$1:$S$101,2,FALSE))</f>
        <v/>
      </c>
      <c r="H7948" s="1" t="str">
        <f>IF(Table2[[#This Row],[Description]]="","",VLOOKUP(Table2[[#This Row],[Description]],$Q$1:$S$101,3,FALSE))</f>
        <v/>
      </c>
      <c r="I7948" s="1" t="str">
        <f>IF(Table2[[#This Row],[Description]]="","",IF(Table2[[#This Row],[Currency]]=$O$2,$P$2,HLOOKUP(Table2[[#This Row],[Date]],Funds!$C$10:$GV$11,2,FALSE)))</f>
        <v/>
      </c>
      <c r="J7948" s="215" t="str">
        <f>IF(Table2[[#This Row],[Description]]="","",Table2[[#This Row],[Value]]/Table2[[#This Row],[Conversion]])</f>
        <v/>
      </c>
      <c r="K7948" s="45" t="str">
        <f>IF(Table2[[#This Row],[Description]]="","",DATE(Table2[[#This Row],[Year]],Table2[[#This Row],[Month]],1))</f>
        <v/>
      </c>
    </row>
    <row r="7949" spans="7:11" x14ac:dyDescent="0.25">
      <c r="G7949" s="1" t="str">
        <f>IF(Table2[[#This Row],[Description]]="","",VLOOKUP(Table2[[#This Row],[Description]],$Q$1:$S$101,2,FALSE))</f>
        <v/>
      </c>
      <c r="H7949" s="1" t="str">
        <f>IF(Table2[[#This Row],[Description]]="","",VLOOKUP(Table2[[#This Row],[Description]],$Q$1:$S$101,3,FALSE))</f>
        <v/>
      </c>
      <c r="I7949" s="1" t="str">
        <f>IF(Table2[[#This Row],[Description]]="","",IF(Table2[[#This Row],[Currency]]=$O$2,$P$2,HLOOKUP(Table2[[#This Row],[Date]],Funds!$C$10:$GV$11,2,FALSE)))</f>
        <v/>
      </c>
      <c r="J7949" s="215" t="str">
        <f>IF(Table2[[#This Row],[Description]]="","",Table2[[#This Row],[Value]]/Table2[[#This Row],[Conversion]])</f>
        <v/>
      </c>
      <c r="K7949" s="45" t="str">
        <f>IF(Table2[[#This Row],[Description]]="","",DATE(Table2[[#This Row],[Year]],Table2[[#This Row],[Month]],1))</f>
        <v/>
      </c>
    </row>
    <row r="7950" spans="7:11" x14ac:dyDescent="0.25">
      <c r="G7950" s="1" t="str">
        <f>IF(Table2[[#This Row],[Description]]="","",VLOOKUP(Table2[[#This Row],[Description]],$Q$1:$S$101,2,FALSE))</f>
        <v/>
      </c>
      <c r="H7950" s="1" t="str">
        <f>IF(Table2[[#This Row],[Description]]="","",VLOOKUP(Table2[[#This Row],[Description]],$Q$1:$S$101,3,FALSE))</f>
        <v/>
      </c>
      <c r="I7950" s="1" t="str">
        <f>IF(Table2[[#This Row],[Description]]="","",IF(Table2[[#This Row],[Currency]]=$O$2,$P$2,HLOOKUP(Table2[[#This Row],[Date]],Funds!$C$10:$GV$11,2,FALSE)))</f>
        <v/>
      </c>
      <c r="J7950" s="215" t="str">
        <f>IF(Table2[[#This Row],[Description]]="","",Table2[[#This Row],[Value]]/Table2[[#This Row],[Conversion]])</f>
        <v/>
      </c>
      <c r="K7950" s="45" t="str">
        <f>IF(Table2[[#This Row],[Description]]="","",DATE(Table2[[#This Row],[Year]],Table2[[#This Row],[Month]],1))</f>
        <v/>
      </c>
    </row>
    <row r="7951" spans="7:11" x14ac:dyDescent="0.25">
      <c r="G7951" s="1" t="str">
        <f>IF(Table2[[#This Row],[Description]]="","",VLOOKUP(Table2[[#This Row],[Description]],$Q$1:$S$101,2,FALSE))</f>
        <v/>
      </c>
      <c r="H7951" s="1" t="str">
        <f>IF(Table2[[#This Row],[Description]]="","",VLOOKUP(Table2[[#This Row],[Description]],$Q$1:$S$101,3,FALSE))</f>
        <v/>
      </c>
      <c r="I7951" s="1" t="str">
        <f>IF(Table2[[#This Row],[Description]]="","",IF(Table2[[#This Row],[Currency]]=$O$2,$P$2,HLOOKUP(Table2[[#This Row],[Date]],Funds!$C$10:$GV$11,2,FALSE)))</f>
        <v/>
      </c>
      <c r="J7951" s="215" t="str">
        <f>IF(Table2[[#This Row],[Description]]="","",Table2[[#This Row],[Value]]/Table2[[#This Row],[Conversion]])</f>
        <v/>
      </c>
      <c r="K7951" s="45" t="str">
        <f>IF(Table2[[#This Row],[Description]]="","",DATE(Table2[[#This Row],[Year]],Table2[[#This Row],[Month]],1))</f>
        <v/>
      </c>
    </row>
    <row r="7952" spans="7:11" x14ac:dyDescent="0.25">
      <c r="G7952" s="1" t="str">
        <f>IF(Table2[[#This Row],[Description]]="","",VLOOKUP(Table2[[#This Row],[Description]],$Q$1:$S$101,2,FALSE))</f>
        <v/>
      </c>
      <c r="H7952" s="1" t="str">
        <f>IF(Table2[[#This Row],[Description]]="","",VLOOKUP(Table2[[#This Row],[Description]],$Q$1:$S$101,3,FALSE))</f>
        <v/>
      </c>
      <c r="I7952" s="1" t="str">
        <f>IF(Table2[[#This Row],[Description]]="","",IF(Table2[[#This Row],[Currency]]=$O$2,$P$2,HLOOKUP(Table2[[#This Row],[Date]],Funds!$C$10:$GV$11,2,FALSE)))</f>
        <v/>
      </c>
      <c r="J7952" s="215" t="str">
        <f>IF(Table2[[#This Row],[Description]]="","",Table2[[#This Row],[Value]]/Table2[[#This Row],[Conversion]])</f>
        <v/>
      </c>
      <c r="K7952" s="45" t="str">
        <f>IF(Table2[[#This Row],[Description]]="","",DATE(Table2[[#This Row],[Year]],Table2[[#This Row],[Month]],1))</f>
        <v/>
      </c>
    </row>
    <row r="7953" spans="7:11" x14ac:dyDescent="0.25">
      <c r="G7953" s="1" t="str">
        <f>IF(Table2[[#This Row],[Description]]="","",VLOOKUP(Table2[[#This Row],[Description]],$Q$1:$S$101,2,FALSE))</f>
        <v/>
      </c>
      <c r="H7953" s="1" t="str">
        <f>IF(Table2[[#This Row],[Description]]="","",VLOOKUP(Table2[[#This Row],[Description]],$Q$1:$S$101,3,FALSE))</f>
        <v/>
      </c>
      <c r="I7953" s="1" t="str">
        <f>IF(Table2[[#This Row],[Description]]="","",IF(Table2[[#This Row],[Currency]]=$O$2,$P$2,HLOOKUP(Table2[[#This Row],[Date]],Funds!$C$10:$GV$11,2,FALSE)))</f>
        <v/>
      </c>
      <c r="J7953" s="215" t="str">
        <f>IF(Table2[[#This Row],[Description]]="","",Table2[[#This Row],[Value]]/Table2[[#This Row],[Conversion]])</f>
        <v/>
      </c>
      <c r="K7953" s="45" t="str">
        <f>IF(Table2[[#This Row],[Description]]="","",DATE(Table2[[#This Row],[Year]],Table2[[#This Row],[Month]],1))</f>
        <v/>
      </c>
    </row>
    <row r="7954" spans="7:11" x14ac:dyDescent="0.25">
      <c r="G7954" s="1" t="str">
        <f>IF(Table2[[#This Row],[Description]]="","",VLOOKUP(Table2[[#This Row],[Description]],$Q$1:$S$101,2,FALSE))</f>
        <v/>
      </c>
      <c r="H7954" s="1" t="str">
        <f>IF(Table2[[#This Row],[Description]]="","",VLOOKUP(Table2[[#This Row],[Description]],$Q$1:$S$101,3,FALSE))</f>
        <v/>
      </c>
      <c r="I7954" s="1" t="str">
        <f>IF(Table2[[#This Row],[Description]]="","",IF(Table2[[#This Row],[Currency]]=$O$2,$P$2,HLOOKUP(Table2[[#This Row],[Date]],Funds!$C$10:$GV$11,2,FALSE)))</f>
        <v/>
      </c>
      <c r="J7954" s="215" t="str">
        <f>IF(Table2[[#This Row],[Description]]="","",Table2[[#This Row],[Value]]/Table2[[#This Row],[Conversion]])</f>
        <v/>
      </c>
      <c r="K7954" s="45" t="str">
        <f>IF(Table2[[#This Row],[Description]]="","",DATE(Table2[[#This Row],[Year]],Table2[[#This Row],[Month]],1))</f>
        <v/>
      </c>
    </row>
    <row r="7955" spans="7:11" x14ac:dyDescent="0.25">
      <c r="G7955" s="1" t="str">
        <f>IF(Table2[[#This Row],[Description]]="","",VLOOKUP(Table2[[#This Row],[Description]],$Q$1:$S$101,2,FALSE))</f>
        <v/>
      </c>
      <c r="H7955" s="1" t="str">
        <f>IF(Table2[[#This Row],[Description]]="","",VLOOKUP(Table2[[#This Row],[Description]],$Q$1:$S$101,3,FALSE))</f>
        <v/>
      </c>
      <c r="I7955" s="1" t="str">
        <f>IF(Table2[[#This Row],[Description]]="","",IF(Table2[[#This Row],[Currency]]=$O$2,$P$2,HLOOKUP(Table2[[#This Row],[Date]],Funds!$C$10:$GV$11,2,FALSE)))</f>
        <v/>
      </c>
      <c r="J7955" s="215" t="str">
        <f>IF(Table2[[#This Row],[Description]]="","",Table2[[#This Row],[Value]]/Table2[[#This Row],[Conversion]])</f>
        <v/>
      </c>
      <c r="K7955" s="45" t="str">
        <f>IF(Table2[[#This Row],[Description]]="","",DATE(Table2[[#This Row],[Year]],Table2[[#This Row],[Month]],1))</f>
        <v/>
      </c>
    </row>
    <row r="7956" spans="7:11" x14ac:dyDescent="0.25">
      <c r="G7956" s="1" t="str">
        <f>IF(Table2[[#This Row],[Description]]="","",VLOOKUP(Table2[[#This Row],[Description]],$Q$1:$S$101,2,FALSE))</f>
        <v/>
      </c>
      <c r="H7956" s="1" t="str">
        <f>IF(Table2[[#This Row],[Description]]="","",VLOOKUP(Table2[[#This Row],[Description]],$Q$1:$S$101,3,FALSE))</f>
        <v/>
      </c>
      <c r="I7956" s="1" t="str">
        <f>IF(Table2[[#This Row],[Description]]="","",IF(Table2[[#This Row],[Currency]]=$O$2,$P$2,HLOOKUP(Table2[[#This Row],[Date]],Funds!$C$10:$GV$11,2,FALSE)))</f>
        <v/>
      </c>
      <c r="J7956" s="215" t="str">
        <f>IF(Table2[[#This Row],[Description]]="","",Table2[[#This Row],[Value]]/Table2[[#This Row],[Conversion]])</f>
        <v/>
      </c>
      <c r="K7956" s="45" t="str">
        <f>IF(Table2[[#This Row],[Description]]="","",DATE(Table2[[#This Row],[Year]],Table2[[#This Row],[Month]],1))</f>
        <v/>
      </c>
    </row>
    <row r="7957" spans="7:11" x14ac:dyDescent="0.25">
      <c r="G7957" s="1" t="str">
        <f>IF(Table2[[#This Row],[Description]]="","",VLOOKUP(Table2[[#This Row],[Description]],$Q$1:$S$101,2,FALSE))</f>
        <v/>
      </c>
      <c r="H7957" s="1" t="str">
        <f>IF(Table2[[#This Row],[Description]]="","",VLOOKUP(Table2[[#This Row],[Description]],$Q$1:$S$101,3,FALSE))</f>
        <v/>
      </c>
      <c r="I7957" s="1" t="str">
        <f>IF(Table2[[#This Row],[Description]]="","",IF(Table2[[#This Row],[Currency]]=$O$2,$P$2,HLOOKUP(Table2[[#This Row],[Date]],Funds!$C$10:$GV$11,2,FALSE)))</f>
        <v/>
      </c>
      <c r="J7957" s="215" t="str">
        <f>IF(Table2[[#This Row],[Description]]="","",Table2[[#This Row],[Value]]/Table2[[#This Row],[Conversion]])</f>
        <v/>
      </c>
      <c r="K7957" s="45" t="str">
        <f>IF(Table2[[#This Row],[Description]]="","",DATE(Table2[[#This Row],[Year]],Table2[[#This Row],[Month]],1))</f>
        <v/>
      </c>
    </row>
    <row r="7958" spans="7:11" x14ac:dyDescent="0.25">
      <c r="G7958" s="1" t="str">
        <f>IF(Table2[[#This Row],[Description]]="","",VLOOKUP(Table2[[#This Row],[Description]],$Q$1:$S$101,2,FALSE))</f>
        <v/>
      </c>
      <c r="H7958" s="1" t="str">
        <f>IF(Table2[[#This Row],[Description]]="","",VLOOKUP(Table2[[#This Row],[Description]],$Q$1:$S$101,3,FALSE))</f>
        <v/>
      </c>
      <c r="I7958" s="1" t="str">
        <f>IF(Table2[[#This Row],[Description]]="","",IF(Table2[[#This Row],[Currency]]=$O$2,$P$2,HLOOKUP(Table2[[#This Row],[Date]],Funds!$C$10:$GV$11,2,FALSE)))</f>
        <v/>
      </c>
      <c r="J7958" s="215" t="str">
        <f>IF(Table2[[#This Row],[Description]]="","",Table2[[#This Row],[Value]]/Table2[[#This Row],[Conversion]])</f>
        <v/>
      </c>
      <c r="K7958" s="45" t="str">
        <f>IF(Table2[[#This Row],[Description]]="","",DATE(Table2[[#This Row],[Year]],Table2[[#This Row],[Month]],1))</f>
        <v/>
      </c>
    </row>
    <row r="7959" spans="7:11" x14ac:dyDescent="0.25">
      <c r="G7959" s="1" t="str">
        <f>IF(Table2[[#This Row],[Description]]="","",VLOOKUP(Table2[[#This Row],[Description]],$Q$1:$S$101,2,FALSE))</f>
        <v/>
      </c>
      <c r="H7959" s="1" t="str">
        <f>IF(Table2[[#This Row],[Description]]="","",VLOOKUP(Table2[[#This Row],[Description]],$Q$1:$S$101,3,FALSE))</f>
        <v/>
      </c>
      <c r="I7959" s="1" t="str">
        <f>IF(Table2[[#This Row],[Description]]="","",IF(Table2[[#This Row],[Currency]]=$O$2,$P$2,HLOOKUP(Table2[[#This Row],[Date]],Funds!$C$10:$GV$11,2,FALSE)))</f>
        <v/>
      </c>
      <c r="J7959" s="215" t="str">
        <f>IF(Table2[[#This Row],[Description]]="","",Table2[[#This Row],[Value]]/Table2[[#This Row],[Conversion]])</f>
        <v/>
      </c>
      <c r="K7959" s="45" t="str">
        <f>IF(Table2[[#This Row],[Description]]="","",DATE(Table2[[#This Row],[Year]],Table2[[#This Row],[Month]],1))</f>
        <v/>
      </c>
    </row>
    <row r="7960" spans="7:11" x14ac:dyDescent="0.25">
      <c r="G7960" s="1" t="str">
        <f>IF(Table2[[#This Row],[Description]]="","",VLOOKUP(Table2[[#This Row],[Description]],$Q$1:$S$101,2,FALSE))</f>
        <v/>
      </c>
      <c r="H7960" s="1" t="str">
        <f>IF(Table2[[#This Row],[Description]]="","",VLOOKUP(Table2[[#This Row],[Description]],$Q$1:$S$101,3,FALSE))</f>
        <v/>
      </c>
      <c r="I7960" s="1" t="str">
        <f>IF(Table2[[#This Row],[Description]]="","",IF(Table2[[#This Row],[Currency]]=$O$2,$P$2,HLOOKUP(Table2[[#This Row],[Date]],Funds!$C$10:$GV$11,2,FALSE)))</f>
        <v/>
      </c>
      <c r="J7960" s="215" t="str">
        <f>IF(Table2[[#This Row],[Description]]="","",Table2[[#This Row],[Value]]/Table2[[#This Row],[Conversion]])</f>
        <v/>
      </c>
      <c r="K7960" s="45" t="str">
        <f>IF(Table2[[#This Row],[Description]]="","",DATE(Table2[[#This Row],[Year]],Table2[[#This Row],[Month]],1))</f>
        <v/>
      </c>
    </row>
    <row r="7961" spans="7:11" x14ac:dyDescent="0.25">
      <c r="G7961" s="1" t="str">
        <f>IF(Table2[[#This Row],[Description]]="","",VLOOKUP(Table2[[#This Row],[Description]],$Q$1:$S$101,2,FALSE))</f>
        <v/>
      </c>
      <c r="H7961" s="1" t="str">
        <f>IF(Table2[[#This Row],[Description]]="","",VLOOKUP(Table2[[#This Row],[Description]],$Q$1:$S$101,3,FALSE))</f>
        <v/>
      </c>
      <c r="I7961" s="1" t="str">
        <f>IF(Table2[[#This Row],[Description]]="","",IF(Table2[[#This Row],[Currency]]=$O$2,$P$2,HLOOKUP(Table2[[#This Row],[Date]],Funds!$C$10:$GV$11,2,FALSE)))</f>
        <v/>
      </c>
      <c r="J7961" s="215" t="str">
        <f>IF(Table2[[#This Row],[Description]]="","",Table2[[#This Row],[Value]]/Table2[[#This Row],[Conversion]])</f>
        <v/>
      </c>
      <c r="K7961" s="45" t="str">
        <f>IF(Table2[[#This Row],[Description]]="","",DATE(Table2[[#This Row],[Year]],Table2[[#This Row],[Month]],1))</f>
        <v/>
      </c>
    </row>
    <row r="7962" spans="7:11" x14ac:dyDescent="0.25">
      <c r="G7962" s="1" t="str">
        <f>IF(Table2[[#This Row],[Description]]="","",VLOOKUP(Table2[[#This Row],[Description]],$Q$1:$S$101,2,FALSE))</f>
        <v/>
      </c>
      <c r="H7962" s="1" t="str">
        <f>IF(Table2[[#This Row],[Description]]="","",VLOOKUP(Table2[[#This Row],[Description]],$Q$1:$S$101,3,FALSE))</f>
        <v/>
      </c>
      <c r="I7962" s="1" t="str">
        <f>IF(Table2[[#This Row],[Description]]="","",IF(Table2[[#This Row],[Currency]]=$O$2,$P$2,HLOOKUP(Table2[[#This Row],[Date]],Funds!$C$10:$GV$11,2,FALSE)))</f>
        <v/>
      </c>
      <c r="J7962" s="215" t="str">
        <f>IF(Table2[[#This Row],[Description]]="","",Table2[[#This Row],[Value]]/Table2[[#This Row],[Conversion]])</f>
        <v/>
      </c>
      <c r="K7962" s="45" t="str">
        <f>IF(Table2[[#This Row],[Description]]="","",DATE(Table2[[#This Row],[Year]],Table2[[#This Row],[Month]],1))</f>
        <v/>
      </c>
    </row>
    <row r="7963" spans="7:11" x14ac:dyDescent="0.25">
      <c r="G7963" s="1" t="str">
        <f>IF(Table2[[#This Row],[Description]]="","",VLOOKUP(Table2[[#This Row],[Description]],$Q$1:$S$101,2,FALSE))</f>
        <v/>
      </c>
      <c r="H7963" s="1" t="str">
        <f>IF(Table2[[#This Row],[Description]]="","",VLOOKUP(Table2[[#This Row],[Description]],$Q$1:$S$101,3,FALSE))</f>
        <v/>
      </c>
      <c r="I7963" s="1" t="str">
        <f>IF(Table2[[#This Row],[Description]]="","",IF(Table2[[#This Row],[Currency]]=$O$2,$P$2,HLOOKUP(Table2[[#This Row],[Date]],Funds!$C$10:$GV$11,2,FALSE)))</f>
        <v/>
      </c>
      <c r="J7963" s="215" t="str">
        <f>IF(Table2[[#This Row],[Description]]="","",Table2[[#This Row],[Value]]/Table2[[#This Row],[Conversion]])</f>
        <v/>
      </c>
      <c r="K7963" s="45" t="str">
        <f>IF(Table2[[#This Row],[Description]]="","",DATE(Table2[[#This Row],[Year]],Table2[[#This Row],[Month]],1))</f>
        <v/>
      </c>
    </row>
    <row r="7964" spans="7:11" x14ac:dyDescent="0.25">
      <c r="G7964" s="1" t="str">
        <f>IF(Table2[[#This Row],[Description]]="","",VLOOKUP(Table2[[#This Row],[Description]],$Q$1:$S$101,2,FALSE))</f>
        <v/>
      </c>
      <c r="H7964" s="1" t="str">
        <f>IF(Table2[[#This Row],[Description]]="","",VLOOKUP(Table2[[#This Row],[Description]],$Q$1:$S$101,3,FALSE))</f>
        <v/>
      </c>
      <c r="I7964" s="1" t="str">
        <f>IF(Table2[[#This Row],[Description]]="","",IF(Table2[[#This Row],[Currency]]=$O$2,$P$2,HLOOKUP(Table2[[#This Row],[Date]],Funds!$C$10:$GV$11,2,FALSE)))</f>
        <v/>
      </c>
      <c r="J7964" s="215" t="str">
        <f>IF(Table2[[#This Row],[Description]]="","",Table2[[#This Row],[Value]]/Table2[[#This Row],[Conversion]])</f>
        <v/>
      </c>
      <c r="K7964" s="45" t="str">
        <f>IF(Table2[[#This Row],[Description]]="","",DATE(Table2[[#This Row],[Year]],Table2[[#This Row],[Month]],1))</f>
        <v/>
      </c>
    </row>
    <row r="7965" spans="7:11" x14ac:dyDescent="0.25">
      <c r="G7965" s="1" t="str">
        <f>IF(Table2[[#This Row],[Description]]="","",VLOOKUP(Table2[[#This Row],[Description]],$Q$1:$S$101,2,FALSE))</f>
        <v/>
      </c>
      <c r="H7965" s="1" t="str">
        <f>IF(Table2[[#This Row],[Description]]="","",VLOOKUP(Table2[[#This Row],[Description]],$Q$1:$S$101,3,FALSE))</f>
        <v/>
      </c>
      <c r="I7965" s="1" t="str">
        <f>IF(Table2[[#This Row],[Description]]="","",IF(Table2[[#This Row],[Currency]]=$O$2,$P$2,HLOOKUP(Table2[[#This Row],[Date]],Funds!$C$10:$GV$11,2,FALSE)))</f>
        <v/>
      </c>
      <c r="J7965" s="215" t="str">
        <f>IF(Table2[[#This Row],[Description]]="","",Table2[[#This Row],[Value]]/Table2[[#This Row],[Conversion]])</f>
        <v/>
      </c>
      <c r="K7965" s="45" t="str">
        <f>IF(Table2[[#This Row],[Description]]="","",DATE(Table2[[#This Row],[Year]],Table2[[#This Row],[Month]],1))</f>
        <v/>
      </c>
    </row>
    <row r="7966" spans="7:11" x14ac:dyDescent="0.25">
      <c r="G7966" s="1" t="str">
        <f>IF(Table2[[#This Row],[Description]]="","",VLOOKUP(Table2[[#This Row],[Description]],$Q$1:$S$101,2,FALSE))</f>
        <v/>
      </c>
      <c r="H7966" s="1" t="str">
        <f>IF(Table2[[#This Row],[Description]]="","",VLOOKUP(Table2[[#This Row],[Description]],$Q$1:$S$101,3,FALSE))</f>
        <v/>
      </c>
      <c r="I7966" s="1" t="str">
        <f>IF(Table2[[#This Row],[Description]]="","",IF(Table2[[#This Row],[Currency]]=$O$2,$P$2,HLOOKUP(Table2[[#This Row],[Date]],Funds!$C$10:$GV$11,2,FALSE)))</f>
        <v/>
      </c>
      <c r="J7966" s="215" t="str">
        <f>IF(Table2[[#This Row],[Description]]="","",Table2[[#This Row],[Value]]/Table2[[#This Row],[Conversion]])</f>
        <v/>
      </c>
      <c r="K7966" s="45" t="str">
        <f>IF(Table2[[#This Row],[Description]]="","",DATE(Table2[[#This Row],[Year]],Table2[[#This Row],[Month]],1))</f>
        <v/>
      </c>
    </row>
    <row r="7967" spans="7:11" x14ac:dyDescent="0.25">
      <c r="G7967" s="1" t="str">
        <f>IF(Table2[[#This Row],[Description]]="","",VLOOKUP(Table2[[#This Row],[Description]],$Q$1:$S$101,2,FALSE))</f>
        <v/>
      </c>
      <c r="H7967" s="1" t="str">
        <f>IF(Table2[[#This Row],[Description]]="","",VLOOKUP(Table2[[#This Row],[Description]],$Q$1:$S$101,3,FALSE))</f>
        <v/>
      </c>
      <c r="I7967" s="1" t="str">
        <f>IF(Table2[[#This Row],[Description]]="","",IF(Table2[[#This Row],[Currency]]=$O$2,$P$2,HLOOKUP(Table2[[#This Row],[Date]],Funds!$C$10:$GV$11,2,FALSE)))</f>
        <v/>
      </c>
      <c r="J7967" s="215" t="str">
        <f>IF(Table2[[#This Row],[Description]]="","",Table2[[#This Row],[Value]]/Table2[[#This Row],[Conversion]])</f>
        <v/>
      </c>
      <c r="K7967" s="45" t="str">
        <f>IF(Table2[[#This Row],[Description]]="","",DATE(Table2[[#This Row],[Year]],Table2[[#This Row],[Month]],1))</f>
        <v/>
      </c>
    </row>
    <row r="7968" spans="7:11" x14ac:dyDescent="0.25">
      <c r="G7968" s="1" t="str">
        <f>IF(Table2[[#This Row],[Description]]="","",VLOOKUP(Table2[[#This Row],[Description]],$Q$1:$S$101,2,FALSE))</f>
        <v/>
      </c>
      <c r="H7968" s="1" t="str">
        <f>IF(Table2[[#This Row],[Description]]="","",VLOOKUP(Table2[[#This Row],[Description]],$Q$1:$S$101,3,FALSE))</f>
        <v/>
      </c>
      <c r="I7968" s="1" t="str">
        <f>IF(Table2[[#This Row],[Description]]="","",IF(Table2[[#This Row],[Currency]]=$O$2,$P$2,HLOOKUP(Table2[[#This Row],[Date]],Funds!$C$10:$GV$11,2,FALSE)))</f>
        <v/>
      </c>
      <c r="J7968" s="215" t="str">
        <f>IF(Table2[[#This Row],[Description]]="","",Table2[[#This Row],[Value]]/Table2[[#This Row],[Conversion]])</f>
        <v/>
      </c>
      <c r="K7968" s="45" t="str">
        <f>IF(Table2[[#This Row],[Description]]="","",DATE(Table2[[#This Row],[Year]],Table2[[#This Row],[Month]],1))</f>
        <v/>
      </c>
    </row>
    <row r="7969" spans="7:11" x14ac:dyDescent="0.25">
      <c r="G7969" s="1" t="str">
        <f>IF(Table2[[#This Row],[Description]]="","",VLOOKUP(Table2[[#This Row],[Description]],$Q$1:$S$101,2,FALSE))</f>
        <v/>
      </c>
      <c r="H7969" s="1" t="str">
        <f>IF(Table2[[#This Row],[Description]]="","",VLOOKUP(Table2[[#This Row],[Description]],$Q$1:$S$101,3,FALSE))</f>
        <v/>
      </c>
      <c r="I7969" s="1" t="str">
        <f>IF(Table2[[#This Row],[Description]]="","",IF(Table2[[#This Row],[Currency]]=$O$2,$P$2,HLOOKUP(Table2[[#This Row],[Date]],Funds!$C$10:$GV$11,2,FALSE)))</f>
        <v/>
      </c>
      <c r="J7969" s="215" t="str">
        <f>IF(Table2[[#This Row],[Description]]="","",Table2[[#This Row],[Value]]/Table2[[#This Row],[Conversion]])</f>
        <v/>
      </c>
      <c r="K7969" s="45" t="str">
        <f>IF(Table2[[#This Row],[Description]]="","",DATE(Table2[[#This Row],[Year]],Table2[[#This Row],[Month]],1))</f>
        <v/>
      </c>
    </row>
    <row r="7970" spans="7:11" x14ac:dyDescent="0.25">
      <c r="G7970" s="1" t="str">
        <f>IF(Table2[[#This Row],[Description]]="","",VLOOKUP(Table2[[#This Row],[Description]],$Q$1:$S$101,2,FALSE))</f>
        <v/>
      </c>
      <c r="H7970" s="1" t="str">
        <f>IF(Table2[[#This Row],[Description]]="","",VLOOKUP(Table2[[#This Row],[Description]],$Q$1:$S$101,3,FALSE))</f>
        <v/>
      </c>
      <c r="I7970" s="1" t="str">
        <f>IF(Table2[[#This Row],[Description]]="","",IF(Table2[[#This Row],[Currency]]=$O$2,$P$2,HLOOKUP(Table2[[#This Row],[Date]],Funds!$C$10:$GV$11,2,FALSE)))</f>
        <v/>
      </c>
      <c r="J7970" s="215" t="str">
        <f>IF(Table2[[#This Row],[Description]]="","",Table2[[#This Row],[Value]]/Table2[[#This Row],[Conversion]])</f>
        <v/>
      </c>
      <c r="K7970" s="45" t="str">
        <f>IF(Table2[[#This Row],[Description]]="","",DATE(Table2[[#This Row],[Year]],Table2[[#This Row],[Month]],1))</f>
        <v/>
      </c>
    </row>
    <row r="7971" spans="7:11" x14ac:dyDescent="0.25">
      <c r="G7971" s="1" t="str">
        <f>IF(Table2[[#This Row],[Description]]="","",VLOOKUP(Table2[[#This Row],[Description]],$Q$1:$S$101,2,FALSE))</f>
        <v/>
      </c>
      <c r="H7971" s="1" t="str">
        <f>IF(Table2[[#This Row],[Description]]="","",VLOOKUP(Table2[[#This Row],[Description]],$Q$1:$S$101,3,FALSE))</f>
        <v/>
      </c>
      <c r="I7971" s="1" t="str">
        <f>IF(Table2[[#This Row],[Description]]="","",IF(Table2[[#This Row],[Currency]]=$O$2,$P$2,HLOOKUP(Table2[[#This Row],[Date]],Funds!$C$10:$GV$11,2,FALSE)))</f>
        <v/>
      </c>
      <c r="J7971" s="215" t="str">
        <f>IF(Table2[[#This Row],[Description]]="","",Table2[[#This Row],[Value]]/Table2[[#This Row],[Conversion]])</f>
        <v/>
      </c>
      <c r="K7971" s="45" t="str">
        <f>IF(Table2[[#This Row],[Description]]="","",DATE(Table2[[#This Row],[Year]],Table2[[#This Row],[Month]],1))</f>
        <v/>
      </c>
    </row>
    <row r="7972" spans="7:11" x14ac:dyDescent="0.25">
      <c r="G7972" s="1" t="str">
        <f>IF(Table2[[#This Row],[Description]]="","",VLOOKUP(Table2[[#This Row],[Description]],$Q$1:$S$101,2,FALSE))</f>
        <v/>
      </c>
      <c r="H7972" s="1" t="str">
        <f>IF(Table2[[#This Row],[Description]]="","",VLOOKUP(Table2[[#This Row],[Description]],$Q$1:$S$101,3,FALSE))</f>
        <v/>
      </c>
      <c r="I7972" s="1" t="str">
        <f>IF(Table2[[#This Row],[Description]]="","",IF(Table2[[#This Row],[Currency]]=$O$2,$P$2,HLOOKUP(Table2[[#This Row],[Date]],Funds!$C$10:$GV$11,2,FALSE)))</f>
        <v/>
      </c>
      <c r="J7972" s="215" t="str">
        <f>IF(Table2[[#This Row],[Description]]="","",Table2[[#This Row],[Value]]/Table2[[#This Row],[Conversion]])</f>
        <v/>
      </c>
      <c r="K7972" s="45" t="str">
        <f>IF(Table2[[#This Row],[Description]]="","",DATE(Table2[[#This Row],[Year]],Table2[[#This Row],[Month]],1))</f>
        <v/>
      </c>
    </row>
    <row r="7973" spans="7:11" x14ac:dyDescent="0.25">
      <c r="G7973" s="1" t="str">
        <f>IF(Table2[[#This Row],[Description]]="","",VLOOKUP(Table2[[#This Row],[Description]],$Q$1:$S$101,2,FALSE))</f>
        <v/>
      </c>
      <c r="H7973" s="1" t="str">
        <f>IF(Table2[[#This Row],[Description]]="","",VLOOKUP(Table2[[#This Row],[Description]],$Q$1:$S$101,3,FALSE))</f>
        <v/>
      </c>
      <c r="I7973" s="1" t="str">
        <f>IF(Table2[[#This Row],[Description]]="","",IF(Table2[[#This Row],[Currency]]=$O$2,$P$2,HLOOKUP(Table2[[#This Row],[Date]],Funds!$C$10:$GV$11,2,FALSE)))</f>
        <v/>
      </c>
      <c r="J7973" s="215" t="str">
        <f>IF(Table2[[#This Row],[Description]]="","",Table2[[#This Row],[Value]]/Table2[[#This Row],[Conversion]])</f>
        <v/>
      </c>
      <c r="K7973" s="45" t="str">
        <f>IF(Table2[[#This Row],[Description]]="","",DATE(Table2[[#This Row],[Year]],Table2[[#This Row],[Month]],1))</f>
        <v/>
      </c>
    </row>
    <row r="7974" spans="7:11" x14ac:dyDescent="0.25">
      <c r="G7974" s="1" t="str">
        <f>IF(Table2[[#This Row],[Description]]="","",VLOOKUP(Table2[[#This Row],[Description]],$Q$1:$S$101,2,FALSE))</f>
        <v/>
      </c>
      <c r="H7974" s="1" t="str">
        <f>IF(Table2[[#This Row],[Description]]="","",VLOOKUP(Table2[[#This Row],[Description]],$Q$1:$S$101,3,FALSE))</f>
        <v/>
      </c>
      <c r="I7974" s="1" t="str">
        <f>IF(Table2[[#This Row],[Description]]="","",IF(Table2[[#This Row],[Currency]]=$O$2,$P$2,HLOOKUP(Table2[[#This Row],[Date]],Funds!$C$10:$GV$11,2,FALSE)))</f>
        <v/>
      </c>
      <c r="J7974" s="215" t="str">
        <f>IF(Table2[[#This Row],[Description]]="","",Table2[[#This Row],[Value]]/Table2[[#This Row],[Conversion]])</f>
        <v/>
      </c>
      <c r="K7974" s="45" t="str">
        <f>IF(Table2[[#This Row],[Description]]="","",DATE(Table2[[#This Row],[Year]],Table2[[#This Row],[Month]],1))</f>
        <v/>
      </c>
    </row>
    <row r="7975" spans="7:11" x14ac:dyDescent="0.25">
      <c r="G7975" s="1" t="str">
        <f>IF(Table2[[#This Row],[Description]]="","",VLOOKUP(Table2[[#This Row],[Description]],$Q$1:$S$101,2,FALSE))</f>
        <v/>
      </c>
      <c r="H7975" s="1" t="str">
        <f>IF(Table2[[#This Row],[Description]]="","",VLOOKUP(Table2[[#This Row],[Description]],$Q$1:$S$101,3,FALSE))</f>
        <v/>
      </c>
      <c r="I7975" s="1" t="str">
        <f>IF(Table2[[#This Row],[Description]]="","",IF(Table2[[#This Row],[Currency]]=$O$2,$P$2,HLOOKUP(Table2[[#This Row],[Date]],Funds!$C$10:$GV$11,2,FALSE)))</f>
        <v/>
      </c>
      <c r="J7975" s="215" t="str">
        <f>IF(Table2[[#This Row],[Description]]="","",Table2[[#This Row],[Value]]/Table2[[#This Row],[Conversion]])</f>
        <v/>
      </c>
      <c r="K7975" s="45" t="str">
        <f>IF(Table2[[#This Row],[Description]]="","",DATE(Table2[[#This Row],[Year]],Table2[[#This Row],[Month]],1))</f>
        <v/>
      </c>
    </row>
    <row r="7976" spans="7:11" x14ac:dyDescent="0.25">
      <c r="G7976" s="1" t="str">
        <f>IF(Table2[[#This Row],[Description]]="","",VLOOKUP(Table2[[#This Row],[Description]],$Q$1:$S$101,2,FALSE))</f>
        <v/>
      </c>
      <c r="H7976" s="1" t="str">
        <f>IF(Table2[[#This Row],[Description]]="","",VLOOKUP(Table2[[#This Row],[Description]],$Q$1:$S$101,3,FALSE))</f>
        <v/>
      </c>
      <c r="I7976" s="1" t="str">
        <f>IF(Table2[[#This Row],[Description]]="","",IF(Table2[[#This Row],[Currency]]=$O$2,$P$2,HLOOKUP(Table2[[#This Row],[Date]],Funds!$C$10:$GV$11,2,FALSE)))</f>
        <v/>
      </c>
      <c r="J7976" s="215" t="str">
        <f>IF(Table2[[#This Row],[Description]]="","",Table2[[#This Row],[Value]]/Table2[[#This Row],[Conversion]])</f>
        <v/>
      </c>
      <c r="K7976" s="45" t="str">
        <f>IF(Table2[[#This Row],[Description]]="","",DATE(Table2[[#This Row],[Year]],Table2[[#This Row],[Month]],1))</f>
        <v/>
      </c>
    </row>
    <row r="7977" spans="7:11" x14ac:dyDescent="0.25">
      <c r="G7977" s="1" t="str">
        <f>IF(Table2[[#This Row],[Description]]="","",VLOOKUP(Table2[[#This Row],[Description]],$Q$1:$S$101,2,FALSE))</f>
        <v/>
      </c>
      <c r="H7977" s="1" t="str">
        <f>IF(Table2[[#This Row],[Description]]="","",VLOOKUP(Table2[[#This Row],[Description]],$Q$1:$S$101,3,FALSE))</f>
        <v/>
      </c>
      <c r="I7977" s="1" t="str">
        <f>IF(Table2[[#This Row],[Description]]="","",IF(Table2[[#This Row],[Currency]]=$O$2,$P$2,HLOOKUP(Table2[[#This Row],[Date]],Funds!$C$10:$GV$11,2,FALSE)))</f>
        <v/>
      </c>
      <c r="J7977" s="215" t="str">
        <f>IF(Table2[[#This Row],[Description]]="","",Table2[[#This Row],[Value]]/Table2[[#This Row],[Conversion]])</f>
        <v/>
      </c>
      <c r="K7977" s="45" t="str">
        <f>IF(Table2[[#This Row],[Description]]="","",DATE(Table2[[#This Row],[Year]],Table2[[#This Row],[Month]],1))</f>
        <v/>
      </c>
    </row>
    <row r="7978" spans="7:11" x14ac:dyDescent="0.25">
      <c r="G7978" s="1" t="str">
        <f>IF(Table2[[#This Row],[Description]]="","",VLOOKUP(Table2[[#This Row],[Description]],$Q$1:$S$101,2,FALSE))</f>
        <v/>
      </c>
      <c r="H7978" s="1" t="str">
        <f>IF(Table2[[#This Row],[Description]]="","",VLOOKUP(Table2[[#This Row],[Description]],$Q$1:$S$101,3,FALSE))</f>
        <v/>
      </c>
      <c r="I7978" s="1" t="str">
        <f>IF(Table2[[#This Row],[Description]]="","",IF(Table2[[#This Row],[Currency]]=$O$2,$P$2,HLOOKUP(Table2[[#This Row],[Date]],Funds!$C$10:$GV$11,2,FALSE)))</f>
        <v/>
      </c>
      <c r="J7978" s="215" t="str">
        <f>IF(Table2[[#This Row],[Description]]="","",Table2[[#This Row],[Value]]/Table2[[#This Row],[Conversion]])</f>
        <v/>
      </c>
      <c r="K7978" s="45" t="str">
        <f>IF(Table2[[#This Row],[Description]]="","",DATE(Table2[[#This Row],[Year]],Table2[[#This Row],[Month]],1))</f>
        <v/>
      </c>
    </row>
    <row r="7979" spans="7:11" x14ac:dyDescent="0.25">
      <c r="G7979" s="1" t="str">
        <f>IF(Table2[[#This Row],[Description]]="","",VLOOKUP(Table2[[#This Row],[Description]],$Q$1:$S$101,2,FALSE))</f>
        <v/>
      </c>
      <c r="H7979" s="1" t="str">
        <f>IF(Table2[[#This Row],[Description]]="","",VLOOKUP(Table2[[#This Row],[Description]],$Q$1:$S$101,3,FALSE))</f>
        <v/>
      </c>
      <c r="I7979" s="1" t="str">
        <f>IF(Table2[[#This Row],[Description]]="","",IF(Table2[[#This Row],[Currency]]=$O$2,$P$2,HLOOKUP(Table2[[#This Row],[Date]],Funds!$C$10:$GV$11,2,FALSE)))</f>
        <v/>
      </c>
      <c r="J7979" s="215" t="str">
        <f>IF(Table2[[#This Row],[Description]]="","",Table2[[#This Row],[Value]]/Table2[[#This Row],[Conversion]])</f>
        <v/>
      </c>
      <c r="K7979" s="45" t="str">
        <f>IF(Table2[[#This Row],[Description]]="","",DATE(Table2[[#This Row],[Year]],Table2[[#This Row],[Month]],1))</f>
        <v/>
      </c>
    </row>
    <row r="7980" spans="7:11" x14ac:dyDescent="0.25">
      <c r="G7980" s="1" t="str">
        <f>IF(Table2[[#This Row],[Description]]="","",VLOOKUP(Table2[[#This Row],[Description]],$Q$1:$S$101,2,FALSE))</f>
        <v/>
      </c>
      <c r="H7980" s="1" t="str">
        <f>IF(Table2[[#This Row],[Description]]="","",VLOOKUP(Table2[[#This Row],[Description]],$Q$1:$S$101,3,FALSE))</f>
        <v/>
      </c>
      <c r="I7980" s="1" t="str">
        <f>IF(Table2[[#This Row],[Description]]="","",IF(Table2[[#This Row],[Currency]]=$O$2,$P$2,HLOOKUP(Table2[[#This Row],[Date]],Funds!$C$10:$GV$11,2,FALSE)))</f>
        <v/>
      </c>
      <c r="J7980" s="215" t="str">
        <f>IF(Table2[[#This Row],[Description]]="","",Table2[[#This Row],[Value]]/Table2[[#This Row],[Conversion]])</f>
        <v/>
      </c>
      <c r="K7980" s="45" t="str">
        <f>IF(Table2[[#This Row],[Description]]="","",DATE(Table2[[#This Row],[Year]],Table2[[#This Row],[Month]],1))</f>
        <v/>
      </c>
    </row>
    <row r="7981" spans="7:11" x14ac:dyDescent="0.25">
      <c r="G7981" s="1" t="str">
        <f>IF(Table2[[#This Row],[Description]]="","",VLOOKUP(Table2[[#This Row],[Description]],$Q$1:$S$101,2,FALSE))</f>
        <v/>
      </c>
      <c r="H7981" s="1" t="str">
        <f>IF(Table2[[#This Row],[Description]]="","",VLOOKUP(Table2[[#This Row],[Description]],$Q$1:$S$101,3,FALSE))</f>
        <v/>
      </c>
      <c r="I7981" s="1" t="str">
        <f>IF(Table2[[#This Row],[Description]]="","",IF(Table2[[#This Row],[Currency]]=$O$2,$P$2,HLOOKUP(Table2[[#This Row],[Date]],Funds!$C$10:$GV$11,2,FALSE)))</f>
        <v/>
      </c>
      <c r="J7981" s="215" t="str">
        <f>IF(Table2[[#This Row],[Description]]="","",Table2[[#This Row],[Value]]/Table2[[#This Row],[Conversion]])</f>
        <v/>
      </c>
      <c r="K7981" s="45" t="str">
        <f>IF(Table2[[#This Row],[Description]]="","",DATE(Table2[[#This Row],[Year]],Table2[[#This Row],[Month]],1))</f>
        <v/>
      </c>
    </row>
    <row r="7982" spans="7:11" x14ac:dyDescent="0.25">
      <c r="G7982" s="1" t="str">
        <f>IF(Table2[[#This Row],[Description]]="","",VLOOKUP(Table2[[#This Row],[Description]],$Q$1:$S$101,2,FALSE))</f>
        <v/>
      </c>
      <c r="H7982" s="1" t="str">
        <f>IF(Table2[[#This Row],[Description]]="","",VLOOKUP(Table2[[#This Row],[Description]],$Q$1:$S$101,3,FALSE))</f>
        <v/>
      </c>
      <c r="I7982" s="1" t="str">
        <f>IF(Table2[[#This Row],[Description]]="","",IF(Table2[[#This Row],[Currency]]=$O$2,$P$2,HLOOKUP(Table2[[#This Row],[Date]],Funds!$C$10:$GV$11,2,FALSE)))</f>
        <v/>
      </c>
      <c r="J7982" s="215" t="str">
        <f>IF(Table2[[#This Row],[Description]]="","",Table2[[#This Row],[Value]]/Table2[[#This Row],[Conversion]])</f>
        <v/>
      </c>
      <c r="K7982" s="45" t="str">
        <f>IF(Table2[[#This Row],[Description]]="","",DATE(Table2[[#This Row],[Year]],Table2[[#This Row],[Month]],1))</f>
        <v/>
      </c>
    </row>
    <row r="7983" spans="7:11" x14ac:dyDescent="0.25">
      <c r="G7983" s="1" t="str">
        <f>IF(Table2[[#This Row],[Description]]="","",VLOOKUP(Table2[[#This Row],[Description]],$Q$1:$S$101,2,FALSE))</f>
        <v/>
      </c>
      <c r="H7983" s="1" t="str">
        <f>IF(Table2[[#This Row],[Description]]="","",VLOOKUP(Table2[[#This Row],[Description]],$Q$1:$S$101,3,FALSE))</f>
        <v/>
      </c>
      <c r="I7983" s="1" t="str">
        <f>IF(Table2[[#This Row],[Description]]="","",IF(Table2[[#This Row],[Currency]]=$O$2,$P$2,HLOOKUP(Table2[[#This Row],[Date]],Funds!$C$10:$GV$11,2,FALSE)))</f>
        <v/>
      </c>
      <c r="J7983" s="215" t="str">
        <f>IF(Table2[[#This Row],[Description]]="","",Table2[[#This Row],[Value]]/Table2[[#This Row],[Conversion]])</f>
        <v/>
      </c>
      <c r="K7983" s="45" t="str">
        <f>IF(Table2[[#This Row],[Description]]="","",DATE(Table2[[#This Row],[Year]],Table2[[#This Row],[Month]],1))</f>
        <v/>
      </c>
    </row>
    <row r="7984" spans="7:11" x14ac:dyDescent="0.25">
      <c r="G7984" s="1" t="str">
        <f>IF(Table2[[#This Row],[Description]]="","",VLOOKUP(Table2[[#This Row],[Description]],$Q$1:$S$101,2,FALSE))</f>
        <v/>
      </c>
      <c r="H7984" s="1" t="str">
        <f>IF(Table2[[#This Row],[Description]]="","",VLOOKUP(Table2[[#This Row],[Description]],$Q$1:$S$101,3,FALSE))</f>
        <v/>
      </c>
      <c r="I7984" s="1" t="str">
        <f>IF(Table2[[#This Row],[Description]]="","",IF(Table2[[#This Row],[Currency]]=$O$2,$P$2,HLOOKUP(Table2[[#This Row],[Date]],Funds!$C$10:$GV$11,2,FALSE)))</f>
        <v/>
      </c>
      <c r="J7984" s="215" t="str">
        <f>IF(Table2[[#This Row],[Description]]="","",Table2[[#This Row],[Value]]/Table2[[#This Row],[Conversion]])</f>
        <v/>
      </c>
      <c r="K7984" s="45" t="str">
        <f>IF(Table2[[#This Row],[Description]]="","",DATE(Table2[[#This Row],[Year]],Table2[[#This Row],[Month]],1))</f>
        <v/>
      </c>
    </row>
    <row r="7985" spans="7:11" x14ac:dyDescent="0.25">
      <c r="G7985" s="1" t="str">
        <f>IF(Table2[[#This Row],[Description]]="","",VLOOKUP(Table2[[#This Row],[Description]],$Q$1:$S$101,2,FALSE))</f>
        <v/>
      </c>
      <c r="H7985" s="1" t="str">
        <f>IF(Table2[[#This Row],[Description]]="","",VLOOKUP(Table2[[#This Row],[Description]],$Q$1:$S$101,3,FALSE))</f>
        <v/>
      </c>
      <c r="I7985" s="1" t="str">
        <f>IF(Table2[[#This Row],[Description]]="","",IF(Table2[[#This Row],[Currency]]=$O$2,$P$2,HLOOKUP(Table2[[#This Row],[Date]],Funds!$C$10:$GV$11,2,FALSE)))</f>
        <v/>
      </c>
      <c r="J7985" s="215" t="str">
        <f>IF(Table2[[#This Row],[Description]]="","",Table2[[#This Row],[Value]]/Table2[[#This Row],[Conversion]])</f>
        <v/>
      </c>
      <c r="K7985" s="45" t="str">
        <f>IF(Table2[[#This Row],[Description]]="","",DATE(Table2[[#This Row],[Year]],Table2[[#This Row],[Month]],1))</f>
        <v/>
      </c>
    </row>
    <row r="7986" spans="7:11" x14ac:dyDescent="0.25">
      <c r="G7986" s="1" t="str">
        <f>IF(Table2[[#This Row],[Description]]="","",VLOOKUP(Table2[[#This Row],[Description]],$Q$1:$S$101,2,FALSE))</f>
        <v/>
      </c>
      <c r="H7986" s="1" t="str">
        <f>IF(Table2[[#This Row],[Description]]="","",VLOOKUP(Table2[[#This Row],[Description]],$Q$1:$S$101,3,FALSE))</f>
        <v/>
      </c>
      <c r="I7986" s="1" t="str">
        <f>IF(Table2[[#This Row],[Description]]="","",IF(Table2[[#This Row],[Currency]]=$O$2,$P$2,HLOOKUP(Table2[[#This Row],[Date]],Funds!$C$10:$GV$11,2,FALSE)))</f>
        <v/>
      </c>
      <c r="J7986" s="215" t="str">
        <f>IF(Table2[[#This Row],[Description]]="","",Table2[[#This Row],[Value]]/Table2[[#This Row],[Conversion]])</f>
        <v/>
      </c>
      <c r="K7986" s="45" t="str">
        <f>IF(Table2[[#This Row],[Description]]="","",DATE(Table2[[#This Row],[Year]],Table2[[#This Row],[Month]],1))</f>
        <v/>
      </c>
    </row>
    <row r="7987" spans="7:11" x14ac:dyDescent="0.25">
      <c r="G7987" s="1" t="str">
        <f>IF(Table2[[#This Row],[Description]]="","",VLOOKUP(Table2[[#This Row],[Description]],$Q$1:$S$101,2,FALSE))</f>
        <v/>
      </c>
      <c r="H7987" s="1" t="str">
        <f>IF(Table2[[#This Row],[Description]]="","",VLOOKUP(Table2[[#This Row],[Description]],$Q$1:$S$101,3,FALSE))</f>
        <v/>
      </c>
      <c r="I7987" s="1" t="str">
        <f>IF(Table2[[#This Row],[Description]]="","",IF(Table2[[#This Row],[Currency]]=$O$2,$P$2,HLOOKUP(Table2[[#This Row],[Date]],Funds!$C$10:$GV$11,2,FALSE)))</f>
        <v/>
      </c>
      <c r="J7987" s="215" t="str">
        <f>IF(Table2[[#This Row],[Description]]="","",Table2[[#This Row],[Value]]/Table2[[#This Row],[Conversion]])</f>
        <v/>
      </c>
      <c r="K7987" s="45" t="str">
        <f>IF(Table2[[#This Row],[Description]]="","",DATE(Table2[[#This Row],[Year]],Table2[[#This Row],[Month]],1))</f>
        <v/>
      </c>
    </row>
    <row r="7988" spans="7:11" x14ac:dyDescent="0.25">
      <c r="G7988" s="1" t="str">
        <f>IF(Table2[[#This Row],[Description]]="","",VLOOKUP(Table2[[#This Row],[Description]],$Q$1:$S$101,2,FALSE))</f>
        <v/>
      </c>
      <c r="H7988" s="1" t="str">
        <f>IF(Table2[[#This Row],[Description]]="","",VLOOKUP(Table2[[#This Row],[Description]],$Q$1:$S$101,3,FALSE))</f>
        <v/>
      </c>
      <c r="I7988" s="1" t="str">
        <f>IF(Table2[[#This Row],[Description]]="","",IF(Table2[[#This Row],[Currency]]=$O$2,$P$2,HLOOKUP(Table2[[#This Row],[Date]],Funds!$C$10:$GV$11,2,FALSE)))</f>
        <v/>
      </c>
      <c r="J7988" s="215" t="str">
        <f>IF(Table2[[#This Row],[Description]]="","",Table2[[#This Row],[Value]]/Table2[[#This Row],[Conversion]])</f>
        <v/>
      </c>
      <c r="K7988" s="45" t="str">
        <f>IF(Table2[[#This Row],[Description]]="","",DATE(Table2[[#This Row],[Year]],Table2[[#This Row],[Month]],1))</f>
        <v/>
      </c>
    </row>
    <row r="7989" spans="7:11" x14ac:dyDescent="0.25">
      <c r="G7989" s="1" t="str">
        <f>IF(Table2[[#This Row],[Description]]="","",VLOOKUP(Table2[[#This Row],[Description]],$Q$1:$S$101,2,FALSE))</f>
        <v/>
      </c>
      <c r="H7989" s="1" t="str">
        <f>IF(Table2[[#This Row],[Description]]="","",VLOOKUP(Table2[[#This Row],[Description]],$Q$1:$S$101,3,FALSE))</f>
        <v/>
      </c>
      <c r="I7989" s="1" t="str">
        <f>IF(Table2[[#This Row],[Description]]="","",IF(Table2[[#This Row],[Currency]]=$O$2,$P$2,HLOOKUP(Table2[[#This Row],[Date]],Funds!$C$10:$GV$11,2,FALSE)))</f>
        <v/>
      </c>
      <c r="J7989" s="215" t="str">
        <f>IF(Table2[[#This Row],[Description]]="","",Table2[[#This Row],[Value]]/Table2[[#This Row],[Conversion]])</f>
        <v/>
      </c>
      <c r="K7989" s="45" t="str">
        <f>IF(Table2[[#This Row],[Description]]="","",DATE(Table2[[#This Row],[Year]],Table2[[#This Row],[Month]],1))</f>
        <v/>
      </c>
    </row>
    <row r="7990" spans="7:11" x14ac:dyDescent="0.25">
      <c r="G7990" s="1" t="str">
        <f>IF(Table2[[#This Row],[Description]]="","",VLOOKUP(Table2[[#This Row],[Description]],$Q$1:$S$101,2,FALSE))</f>
        <v/>
      </c>
      <c r="H7990" s="1" t="str">
        <f>IF(Table2[[#This Row],[Description]]="","",VLOOKUP(Table2[[#This Row],[Description]],$Q$1:$S$101,3,FALSE))</f>
        <v/>
      </c>
      <c r="I7990" s="1" t="str">
        <f>IF(Table2[[#This Row],[Description]]="","",IF(Table2[[#This Row],[Currency]]=$O$2,$P$2,HLOOKUP(Table2[[#This Row],[Date]],Funds!$C$10:$GV$11,2,FALSE)))</f>
        <v/>
      </c>
      <c r="J7990" s="215" t="str">
        <f>IF(Table2[[#This Row],[Description]]="","",Table2[[#This Row],[Value]]/Table2[[#This Row],[Conversion]])</f>
        <v/>
      </c>
      <c r="K7990" s="45" t="str">
        <f>IF(Table2[[#This Row],[Description]]="","",DATE(Table2[[#This Row],[Year]],Table2[[#This Row],[Month]],1))</f>
        <v/>
      </c>
    </row>
    <row r="7991" spans="7:11" x14ac:dyDescent="0.25">
      <c r="G7991" s="1" t="str">
        <f>IF(Table2[[#This Row],[Description]]="","",VLOOKUP(Table2[[#This Row],[Description]],$Q$1:$S$101,2,FALSE))</f>
        <v/>
      </c>
      <c r="H7991" s="1" t="str">
        <f>IF(Table2[[#This Row],[Description]]="","",VLOOKUP(Table2[[#This Row],[Description]],$Q$1:$S$101,3,FALSE))</f>
        <v/>
      </c>
      <c r="I7991" s="1" t="str">
        <f>IF(Table2[[#This Row],[Description]]="","",IF(Table2[[#This Row],[Currency]]=$O$2,$P$2,HLOOKUP(Table2[[#This Row],[Date]],Funds!$C$10:$GV$11,2,FALSE)))</f>
        <v/>
      </c>
      <c r="J7991" s="215" t="str">
        <f>IF(Table2[[#This Row],[Description]]="","",Table2[[#This Row],[Value]]/Table2[[#This Row],[Conversion]])</f>
        <v/>
      </c>
      <c r="K7991" s="45" t="str">
        <f>IF(Table2[[#This Row],[Description]]="","",DATE(Table2[[#This Row],[Year]],Table2[[#This Row],[Month]],1))</f>
        <v/>
      </c>
    </row>
    <row r="7992" spans="7:11" x14ac:dyDescent="0.25">
      <c r="G7992" s="1" t="str">
        <f>IF(Table2[[#This Row],[Description]]="","",VLOOKUP(Table2[[#This Row],[Description]],$Q$1:$S$101,2,FALSE))</f>
        <v/>
      </c>
      <c r="H7992" s="1" t="str">
        <f>IF(Table2[[#This Row],[Description]]="","",VLOOKUP(Table2[[#This Row],[Description]],$Q$1:$S$101,3,FALSE))</f>
        <v/>
      </c>
      <c r="I7992" s="1" t="str">
        <f>IF(Table2[[#This Row],[Description]]="","",IF(Table2[[#This Row],[Currency]]=$O$2,$P$2,HLOOKUP(Table2[[#This Row],[Date]],Funds!$C$10:$GV$11,2,FALSE)))</f>
        <v/>
      </c>
      <c r="J7992" s="215" t="str">
        <f>IF(Table2[[#This Row],[Description]]="","",Table2[[#This Row],[Value]]/Table2[[#This Row],[Conversion]])</f>
        <v/>
      </c>
      <c r="K7992" s="45" t="str">
        <f>IF(Table2[[#This Row],[Description]]="","",DATE(Table2[[#This Row],[Year]],Table2[[#This Row],[Month]],1))</f>
        <v/>
      </c>
    </row>
    <row r="7993" spans="7:11" x14ac:dyDescent="0.25">
      <c r="G7993" s="1" t="str">
        <f>IF(Table2[[#This Row],[Description]]="","",VLOOKUP(Table2[[#This Row],[Description]],$Q$1:$S$101,2,FALSE))</f>
        <v/>
      </c>
      <c r="H7993" s="1" t="str">
        <f>IF(Table2[[#This Row],[Description]]="","",VLOOKUP(Table2[[#This Row],[Description]],$Q$1:$S$101,3,FALSE))</f>
        <v/>
      </c>
      <c r="I7993" s="1" t="str">
        <f>IF(Table2[[#This Row],[Description]]="","",IF(Table2[[#This Row],[Currency]]=$O$2,$P$2,HLOOKUP(Table2[[#This Row],[Date]],Funds!$C$10:$GV$11,2,FALSE)))</f>
        <v/>
      </c>
      <c r="J7993" s="215" t="str">
        <f>IF(Table2[[#This Row],[Description]]="","",Table2[[#This Row],[Value]]/Table2[[#This Row],[Conversion]])</f>
        <v/>
      </c>
      <c r="K7993" s="45" t="str">
        <f>IF(Table2[[#This Row],[Description]]="","",DATE(Table2[[#This Row],[Year]],Table2[[#This Row],[Month]],1))</f>
        <v/>
      </c>
    </row>
    <row r="7994" spans="7:11" x14ac:dyDescent="0.25">
      <c r="G7994" s="1" t="str">
        <f>IF(Table2[[#This Row],[Description]]="","",VLOOKUP(Table2[[#This Row],[Description]],$Q$1:$S$101,2,FALSE))</f>
        <v/>
      </c>
      <c r="H7994" s="1" t="str">
        <f>IF(Table2[[#This Row],[Description]]="","",VLOOKUP(Table2[[#This Row],[Description]],$Q$1:$S$101,3,FALSE))</f>
        <v/>
      </c>
      <c r="I7994" s="1" t="str">
        <f>IF(Table2[[#This Row],[Description]]="","",IF(Table2[[#This Row],[Currency]]=$O$2,$P$2,HLOOKUP(Table2[[#This Row],[Date]],Funds!$C$10:$GV$11,2,FALSE)))</f>
        <v/>
      </c>
      <c r="J7994" s="215" t="str">
        <f>IF(Table2[[#This Row],[Description]]="","",Table2[[#This Row],[Value]]/Table2[[#This Row],[Conversion]])</f>
        <v/>
      </c>
      <c r="K7994" s="45" t="str">
        <f>IF(Table2[[#This Row],[Description]]="","",DATE(Table2[[#This Row],[Year]],Table2[[#This Row],[Month]],1))</f>
        <v/>
      </c>
    </row>
    <row r="7995" spans="7:11" x14ac:dyDescent="0.25">
      <c r="G7995" s="1" t="str">
        <f>IF(Table2[[#This Row],[Description]]="","",VLOOKUP(Table2[[#This Row],[Description]],$Q$1:$S$101,2,FALSE))</f>
        <v/>
      </c>
      <c r="H7995" s="1" t="str">
        <f>IF(Table2[[#This Row],[Description]]="","",VLOOKUP(Table2[[#This Row],[Description]],$Q$1:$S$101,3,FALSE))</f>
        <v/>
      </c>
      <c r="I7995" s="1" t="str">
        <f>IF(Table2[[#This Row],[Description]]="","",IF(Table2[[#This Row],[Currency]]=$O$2,$P$2,HLOOKUP(Table2[[#This Row],[Date]],Funds!$C$10:$GV$11,2,FALSE)))</f>
        <v/>
      </c>
      <c r="J7995" s="215" t="str">
        <f>IF(Table2[[#This Row],[Description]]="","",Table2[[#This Row],[Value]]/Table2[[#This Row],[Conversion]])</f>
        <v/>
      </c>
      <c r="K7995" s="45" t="str">
        <f>IF(Table2[[#This Row],[Description]]="","",DATE(Table2[[#This Row],[Year]],Table2[[#This Row],[Month]],1))</f>
        <v/>
      </c>
    </row>
    <row r="7996" spans="7:11" x14ac:dyDescent="0.25">
      <c r="G7996" s="1" t="str">
        <f>IF(Table2[[#This Row],[Description]]="","",VLOOKUP(Table2[[#This Row],[Description]],$Q$1:$S$101,2,FALSE))</f>
        <v/>
      </c>
      <c r="H7996" s="1" t="str">
        <f>IF(Table2[[#This Row],[Description]]="","",VLOOKUP(Table2[[#This Row],[Description]],$Q$1:$S$101,3,FALSE))</f>
        <v/>
      </c>
      <c r="I7996" s="1" t="str">
        <f>IF(Table2[[#This Row],[Description]]="","",IF(Table2[[#This Row],[Currency]]=$O$2,$P$2,HLOOKUP(Table2[[#This Row],[Date]],Funds!$C$10:$GV$11,2,FALSE)))</f>
        <v/>
      </c>
      <c r="J7996" s="215" t="str">
        <f>IF(Table2[[#This Row],[Description]]="","",Table2[[#This Row],[Value]]/Table2[[#This Row],[Conversion]])</f>
        <v/>
      </c>
      <c r="K7996" s="45" t="str">
        <f>IF(Table2[[#This Row],[Description]]="","",DATE(Table2[[#This Row],[Year]],Table2[[#This Row],[Month]],1))</f>
        <v/>
      </c>
    </row>
    <row r="7997" spans="7:11" x14ac:dyDescent="0.25">
      <c r="G7997" s="1" t="str">
        <f>IF(Table2[[#This Row],[Description]]="","",VLOOKUP(Table2[[#This Row],[Description]],$Q$1:$S$101,2,FALSE))</f>
        <v/>
      </c>
      <c r="H7997" s="1" t="str">
        <f>IF(Table2[[#This Row],[Description]]="","",VLOOKUP(Table2[[#This Row],[Description]],$Q$1:$S$101,3,FALSE))</f>
        <v/>
      </c>
      <c r="I7997" s="1" t="str">
        <f>IF(Table2[[#This Row],[Description]]="","",IF(Table2[[#This Row],[Currency]]=$O$2,$P$2,HLOOKUP(Table2[[#This Row],[Date]],Funds!$C$10:$GV$11,2,FALSE)))</f>
        <v/>
      </c>
      <c r="J7997" s="215" t="str">
        <f>IF(Table2[[#This Row],[Description]]="","",Table2[[#This Row],[Value]]/Table2[[#This Row],[Conversion]])</f>
        <v/>
      </c>
      <c r="K7997" s="45" t="str">
        <f>IF(Table2[[#This Row],[Description]]="","",DATE(Table2[[#This Row],[Year]],Table2[[#This Row],[Month]],1))</f>
        <v/>
      </c>
    </row>
    <row r="7998" spans="7:11" x14ac:dyDescent="0.25">
      <c r="G7998" s="1" t="str">
        <f>IF(Table2[[#This Row],[Description]]="","",VLOOKUP(Table2[[#This Row],[Description]],$Q$1:$S$101,2,FALSE))</f>
        <v/>
      </c>
      <c r="H7998" s="1" t="str">
        <f>IF(Table2[[#This Row],[Description]]="","",VLOOKUP(Table2[[#This Row],[Description]],$Q$1:$S$101,3,FALSE))</f>
        <v/>
      </c>
      <c r="I7998" s="1" t="str">
        <f>IF(Table2[[#This Row],[Description]]="","",IF(Table2[[#This Row],[Currency]]=$O$2,$P$2,HLOOKUP(Table2[[#This Row],[Date]],Funds!$C$10:$GV$11,2,FALSE)))</f>
        <v/>
      </c>
      <c r="J7998" s="215" t="str">
        <f>IF(Table2[[#This Row],[Description]]="","",Table2[[#This Row],[Value]]/Table2[[#This Row],[Conversion]])</f>
        <v/>
      </c>
      <c r="K7998" s="45" t="str">
        <f>IF(Table2[[#This Row],[Description]]="","",DATE(Table2[[#This Row],[Year]],Table2[[#This Row],[Month]],1))</f>
        <v/>
      </c>
    </row>
    <row r="7999" spans="7:11" x14ac:dyDescent="0.25">
      <c r="G7999" s="1" t="str">
        <f>IF(Table2[[#This Row],[Description]]="","",VLOOKUP(Table2[[#This Row],[Description]],$Q$1:$S$101,2,FALSE))</f>
        <v/>
      </c>
      <c r="H7999" s="1" t="str">
        <f>IF(Table2[[#This Row],[Description]]="","",VLOOKUP(Table2[[#This Row],[Description]],$Q$1:$S$101,3,FALSE))</f>
        <v/>
      </c>
      <c r="I7999" s="1" t="str">
        <f>IF(Table2[[#This Row],[Description]]="","",IF(Table2[[#This Row],[Currency]]=$O$2,$P$2,HLOOKUP(Table2[[#This Row],[Date]],Funds!$C$10:$GV$11,2,FALSE)))</f>
        <v/>
      </c>
      <c r="J7999" s="215" t="str">
        <f>IF(Table2[[#This Row],[Description]]="","",Table2[[#This Row],[Value]]/Table2[[#This Row],[Conversion]])</f>
        <v/>
      </c>
      <c r="K7999" s="45" t="str">
        <f>IF(Table2[[#This Row],[Description]]="","",DATE(Table2[[#This Row],[Year]],Table2[[#This Row],[Month]],1))</f>
        <v/>
      </c>
    </row>
    <row r="8000" spans="7:11" x14ac:dyDescent="0.25">
      <c r="G8000" s="1" t="str">
        <f>IF(Table2[[#This Row],[Description]]="","",VLOOKUP(Table2[[#This Row],[Description]],$Q$1:$S$101,2,FALSE))</f>
        <v/>
      </c>
      <c r="H8000" s="1" t="str">
        <f>IF(Table2[[#This Row],[Description]]="","",VLOOKUP(Table2[[#This Row],[Description]],$Q$1:$S$101,3,FALSE))</f>
        <v/>
      </c>
      <c r="I8000" s="1" t="str">
        <f>IF(Table2[[#This Row],[Description]]="","",IF(Table2[[#This Row],[Currency]]=$O$2,$P$2,HLOOKUP(Table2[[#This Row],[Date]],Funds!$C$10:$GV$11,2,FALSE)))</f>
        <v/>
      </c>
      <c r="J8000" s="215" t="str">
        <f>IF(Table2[[#This Row],[Description]]="","",Table2[[#This Row],[Value]]/Table2[[#This Row],[Conversion]])</f>
        <v/>
      </c>
      <c r="K8000" s="45" t="str">
        <f>IF(Table2[[#This Row],[Description]]="","",DATE(Table2[[#This Row],[Year]],Table2[[#This Row],[Month]],1))</f>
        <v/>
      </c>
    </row>
    <row r="8001" spans="7:11" x14ac:dyDescent="0.25">
      <c r="G8001" s="1" t="str">
        <f>IF(Table2[[#This Row],[Description]]="","",VLOOKUP(Table2[[#This Row],[Description]],$Q$1:$S$101,2,FALSE))</f>
        <v/>
      </c>
      <c r="H8001" s="1" t="str">
        <f>IF(Table2[[#This Row],[Description]]="","",VLOOKUP(Table2[[#This Row],[Description]],$Q$1:$S$101,3,FALSE))</f>
        <v/>
      </c>
      <c r="I8001" s="1" t="str">
        <f>IF(Table2[[#This Row],[Description]]="","",IF(Table2[[#This Row],[Currency]]=$O$2,$P$2,HLOOKUP(Table2[[#This Row],[Date]],Funds!$C$10:$GV$11,2,FALSE)))</f>
        <v/>
      </c>
      <c r="J8001" s="215" t="str">
        <f>IF(Table2[[#This Row],[Description]]="","",Table2[[#This Row],[Value]]/Table2[[#This Row],[Conversion]])</f>
        <v/>
      </c>
      <c r="K8001" s="45" t="str">
        <f>IF(Table2[[#This Row],[Description]]="","",DATE(Table2[[#This Row],[Year]],Table2[[#This Row],[Month]],1))</f>
        <v/>
      </c>
    </row>
    <row r="8002" spans="7:11" x14ac:dyDescent="0.25">
      <c r="G8002" s="1" t="str">
        <f>IF(Table2[[#This Row],[Description]]="","",VLOOKUP(Table2[[#This Row],[Description]],$Q$1:$S$101,2,FALSE))</f>
        <v/>
      </c>
      <c r="H8002" s="1" t="str">
        <f>IF(Table2[[#This Row],[Description]]="","",VLOOKUP(Table2[[#This Row],[Description]],$Q$1:$S$101,3,FALSE))</f>
        <v/>
      </c>
      <c r="I8002" s="1" t="str">
        <f>IF(Table2[[#This Row],[Description]]="","",IF(Table2[[#This Row],[Currency]]=$O$2,$P$2,HLOOKUP(Table2[[#This Row],[Date]],Funds!$C$10:$GV$11,2,FALSE)))</f>
        <v/>
      </c>
      <c r="J8002" s="215" t="str">
        <f>IF(Table2[[#This Row],[Description]]="","",Table2[[#This Row],[Value]]/Table2[[#This Row],[Conversion]])</f>
        <v/>
      </c>
      <c r="K8002" s="45" t="str">
        <f>IF(Table2[[#This Row],[Description]]="","",DATE(Table2[[#This Row],[Year]],Table2[[#This Row],[Month]],1))</f>
        <v/>
      </c>
    </row>
    <row r="8003" spans="7:11" x14ac:dyDescent="0.25">
      <c r="G8003" s="1" t="str">
        <f>IF(Table2[[#This Row],[Description]]="","",VLOOKUP(Table2[[#This Row],[Description]],$Q$1:$S$101,2,FALSE))</f>
        <v/>
      </c>
      <c r="H8003" s="1" t="str">
        <f>IF(Table2[[#This Row],[Description]]="","",VLOOKUP(Table2[[#This Row],[Description]],$Q$1:$S$101,3,FALSE))</f>
        <v/>
      </c>
      <c r="I8003" s="1" t="str">
        <f>IF(Table2[[#This Row],[Description]]="","",IF(Table2[[#This Row],[Currency]]=$O$2,$P$2,HLOOKUP(Table2[[#This Row],[Date]],Funds!$C$10:$GV$11,2,FALSE)))</f>
        <v/>
      </c>
      <c r="J8003" s="215" t="str">
        <f>IF(Table2[[#This Row],[Description]]="","",Table2[[#This Row],[Value]]/Table2[[#This Row],[Conversion]])</f>
        <v/>
      </c>
      <c r="K8003" s="45" t="str">
        <f>IF(Table2[[#This Row],[Description]]="","",DATE(Table2[[#This Row],[Year]],Table2[[#This Row],[Month]],1))</f>
        <v/>
      </c>
    </row>
    <row r="8004" spans="7:11" x14ac:dyDescent="0.25">
      <c r="G8004" s="1" t="str">
        <f>IF(Table2[[#This Row],[Description]]="","",VLOOKUP(Table2[[#This Row],[Description]],$Q$1:$S$101,2,FALSE))</f>
        <v/>
      </c>
      <c r="H8004" s="1" t="str">
        <f>IF(Table2[[#This Row],[Description]]="","",VLOOKUP(Table2[[#This Row],[Description]],$Q$1:$S$101,3,FALSE))</f>
        <v/>
      </c>
      <c r="I8004" s="1" t="str">
        <f>IF(Table2[[#This Row],[Description]]="","",IF(Table2[[#This Row],[Currency]]=$O$2,$P$2,HLOOKUP(Table2[[#This Row],[Date]],Funds!$C$10:$GV$11,2,FALSE)))</f>
        <v/>
      </c>
      <c r="J8004" s="215" t="str">
        <f>IF(Table2[[#This Row],[Description]]="","",Table2[[#This Row],[Value]]/Table2[[#This Row],[Conversion]])</f>
        <v/>
      </c>
      <c r="K8004" s="45" t="str">
        <f>IF(Table2[[#This Row],[Description]]="","",DATE(Table2[[#This Row],[Year]],Table2[[#This Row],[Month]],1))</f>
        <v/>
      </c>
    </row>
    <row r="8005" spans="7:11" x14ac:dyDescent="0.25">
      <c r="G8005" s="1" t="str">
        <f>IF(Table2[[#This Row],[Description]]="","",VLOOKUP(Table2[[#This Row],[Description]],$Q$1:$S$101,2,FALSE))</f>
        <v/>
      </c>
      <c r="H8005" s="1" t="str">
        <f>IF(Table2[[#This Row],[Description]]="","",VLOOKUP(Table2[[#This Row],[Description]],$Q$1:$S$101,3,FALSE))</f>
        <v/>
      </c>
      <c r="I8005" s="1" t="str">
        <f>IF(Table2[[#This Row],[Description]]="","",IF(Table2[[#This Row],[Currency]]=$O$2,$P$2,HLOOKUP(Table2[[#This Row],[Date]],Funds!$C$10:$GV$11,2,FALSE)))</f>
        <v/>
      </c>
      <c r="J8005" s="215" t="str">
        <f>IF(Table2[[#This Row],[Description]]="","",Table2[[#This Row],[Value]]/Table2[[#This Row],[Conversion]])</f>
        <v/>
      </c>
      <c r="K8005" s="45" t="str">
        <f>IF(Table2[[#This Row],[Description]]="","",DATE(Table2[[#This Row],[Year]],Table2[[#This Row],[Month]],1))</f>
        <v/>
      </c>
    </row>
    <row r="8006" spans="7:11" x14ac:dyDescent="0.25">
      <c r="G8006" s="1" t="str">
        <f>IF(Table2[[#This Row],[Description]]="","",VLOOKUP(Table2[[#This Row],[Description]],$Q$1:$S$101,2,FALSE))</f>
        <v/>
      </c>
      <c r="H8006" s="1" t="str">
        <f>IF(Table2[[#This Row],[Description]]="","",VLOOKUP(Table2[[#This Row],[Description]],$Q$1:$S$101,3,FALSE))</f>
        <v/>
      </c>
      <c r="I8006" s="1" t="str">
        <f>IF(Table2[[#This Row],[Description]]="","",IF(Table2[[#This Row],[Currency]]=$O$2,$P$2,HLOOKUP(Table2[[#This Row],[Date]],Funds!$C$10:$GV$11,2,FALSE)))</f>
        <v/>
      </c>
      <c r="J8006" s="215" t="str">
        <f>IF(Table2[[#This Row],[Description]]="","",Table2[[#This Row],[Value]]/Table2[[#This Row],[Conversion]])</f>
        <v/>
      </c>
      <c r="K8006" s="45" t="str">
        <f>IF(Table2[[#This Row],[Description]]="","",DATE(Table2[[#This Row],[Year]],Table2[[#This Row],[Month]],1))</f>
        <v/>
      </c>
    </row>
    <row r="8007" spans="7:11" x14ac:dyDescent="0.25">
      <c r="G8007" s="1" t="str">
        <f>IF(Table2[[#This Row],[Description]]="","",VLOOKUP(Table2[[#This Row],[Description]],$Q$1:$S$101,2,FALSE))</f>
        <v/>
      </c>
      <c r="H8007" s="1" t="str">
        <f>IF(Table2[[#This Row],[Description]]="","",VLOOKUP(Table2[[#This Row],[Description]],$Q$1:$S$101,3,FALSE))</f>
        <v/>
      </c>
      <c r="I8007" s="1" t="str">
        <f>IF(Table2[[#This Row],[Description]]="","",IF(Table2[[#This Row],[Currency]]=$O$2,$P$2,HLOOKUP(Table2[[#This Row],[Date]],Funds!$C$10:$GV$11,2,FALSE)))</f>
        <v/>
      </c>
      <c r="J8007" s="215" t="str">
        <f>IF(Table2[[#This Row],[Description]]="","",Table2[[#This Row],[Value]]/Table2[[#This Row],[Conversion]])</f>
        <v/>
      </c>
      <c r="K8007" s="45" t="str">
        <f>IF(Table2[[#This Row],[Description]]="","",DATE(Table2[[#This Row],[Year]],Table2[[#This Row],[Month]],1))</f>
        <v/>
      </c>
    </row>
    <row r="8008" spans="7:11" x14ac:dyDescent="0.25">
      <c r="G8008" s="1" t="str">
        <f>IF(Table2[[#This Row],[Description]]="","",VLOOKUP(Table2[[#This Row],[Description]],$Q$1:$S$101,2,FALSE))</f>
        <v/>
      </c>
      <c r="H8008" s="1" t="str">
        <f>IF(Table2[[#This Row],[Description]]="","",VLOOKUP(Table2[[#This Row],[Description]],$Q$1:$S$101,3,FALSE))</f>
        <v/>
      </c>
      <c r="I8008" s="1" t="str">
        <f>IF(Table2[[#This Row],[Description]]="","",IF(Table2[[#This Row],[Currency]]=$O$2,$P$2,HLOOKUP(Table2[[#This Row],[Date]],Funds!$C$10:$GV$11,2,FALSE)))</f>
        <v/>
      </c>
      <c r="J8008" s="215" t="str">
        <f>IF(Table2[[#This Row],[Description]]="","",Table2[[#This Row],[Value]]/Table2[[#This Row],[Conversion]])</f>
        <v/>
      </c>
      <c r="K8008" s="45" t="str">
        <f>IF(Table2[[#This Row],[Description]]="","",DATE(Table2[[#This Row],[Year]],Table2[[#This Row],[Month]],1))</f>
        <v/>
      </c>
    </row>
    <row r="8009" spans="7:11" x14ac:dyDescent="0.25">
      <c r="G8009" s="1" t="str">
        <f>IF(Table2[[#This Row],[Description]]="","",VLOOKUP(Table2[[#This Row],[Description]],$Q$1:$S$101,2,FALSE))</f>
        <v/>
      </c>
      <c r="H8009" s="1" t="str">
        <f>IF(Table2[[#This Row],[Description]]="","",VLOOKUP(Table2[[#This Row],[Description]],$Q$1:$S$101,3,FALSE))</f>
        <v/>
      </c>
      <c r="I8009" s="1" t="str">
        <f>IF(Table2[[#This Row],[Description]]="","",IF(Table2[[#This Row],[Currency]]=$O$2,$P$2,HLOOKUP(Table2[[#This Row],[Date]],Funds!$C$10:$GV$11,2,FALSE)))</f>
        <v/>
      </c>
      <c r="J8009" s="215" t="str">
        <f>IF(Table2[[#This Row],[Description]]="","",Table2[[#This Row],[Value]]/Table2[[#This Row],[Conversion]])</f>
        <v/>
      </c>
      <c r="K8009" s="45" t="str">
        <f>IF(Table2[[#This Row],[Description]]="","",DATE(Table2[[#This Row],[Year]],Table2[[#This Row],[Month]],1))</f>
        <v/>
      </c>
    </row>
    <row r="8010" spans="7:11" x14ac:dyDescent="0.25">
      <c r="G8010" s="1" t="str">
        <f>IF(Table2[[#This Row],[Description]]="","",VLOOKUP(Table2[[#This Row],[Description]],$Q$1:$S$101,2,FALSE))</f>
        <v/>
      </c>
      <c r="H8010" s="1" t="str">
        <f>IF(Table2[[#This Row],[Description]]="","",VLOOKUP(Table2[[#This Row],[Description]],$Q$1:$S$101,3,FALSE))</f>
        <v/>
      </c>
      <c r="I8010" s="1" t="str">
        <f>IF(Table2[[#This Row],[Description]]="","",IF(Table2[[#This Row],[Currency]]=$O$2,$P$2,HLOOKUP(Table2[[#This Row],[Date]],Funds!$C$10:$GV$11,2,FALSE)))</f>
        <v/>
      </c>
      <c r="J8010" s="215" t="str">
        <f>IF(Table2[[#This Row],[Description]]="","",Table2[[#This Row],[Value]]/Table2[[#This Row],[Conversion]])</f>
        <v/>
      </c>
      <c r="K8010" s="45" t="str">
        <f>IF(Table2[[#This Row],[Description]]="","",DATE(Table2[[#This Row],[Year]],Table2[[#This Row],[Month]],1))</f>
        <v/>
      </c>
    </row>
    <row r="8011" spans="7:11" x14ac:dyDescent="0.25">
      <c r="G8011" s="1" t="str">
        <f>IF(Table2[[#This Row],[Description]]="","",VLOOKUP(Table2[[#This Row],[Description]],$Q$1:$S$101,2,FALSE))</f>
        <v/>
      </c>
      <c r="H8011" s="1" t="str">
        <f>IF(Table2[[#This Row],[Description]]="","",VLOOKUP(Table2[[#This Row],[Description]],$Q$1:$S$101,3,FALSE))</f>
        <v/>
      </c>
      <c r="I8011" s="1" t="str">
        <f>IF(Table2[[#This Row],[Description]]="","",IF(Table2[[#This Row],[Currency]]=$O$2,$P$2,HLOOKUP(Table2[[#This Row],[Date]],Funds!$C$10:$GV$11,2,FALSE)))</f>
        <v/>
      </c>
      <c r="J8011" s="215" t="str">
        <f>IF(Table2[[#This Row],[Description]]="","",Table2[[#This Row],[Value]]/Table2[[#This Row],[Conversion]])</f>
        <v/>
      </c>
      <c r="K8011" s="45" t="str">
        <f>IF(Table2[[#This Row],[Description]]="","",DATE(Table2[[#This Row],[Year]],Table2[[#This Row],[Month]],1))</f>
        <v/>
      </c>
    </row>
    <row r="8012" spans="7:11" x14ac:dyDescent="0.25">
      <c r="G8012" s="1" t="str">
        <f>IF(Table2[[#This Row],[Description]]="","",VLOOKUP(Table2[[#This Row],[Description]],$Q$1:$S$101,2,FALSE))</f>
        <v/>
      </c>
      <c r="H8012" s="1" t="str">
        <f>IF(Table2[[#This Row],[Description]]="","",VLOOKUP(Table2[[#This Row],[Description]],$Q$1:$S$101,3,FALSE))</f>
        <v/>
      </c>
      <c r="I8012" s="1" t="str">
        <f>IF(Table2[[#This Row],[Description]]="","",IF(Table2[[#This Row],[Currency]]=$O$2,$P$2,HLOOKUP(Table2[[#This Row],[Date]],Funds!$C$10:$GV$11,2,FALSE)))</f>
        <v/>
      </c>
      <c r="J8012" s="215" t="str">
        <f>IF(Table2[[#This Row],[Description]]="","",Table2[[#This Row],[Value]]/Table2[[#This Row],[Conversion]])</f>
        <v/>
      </c>
      <c r="K8012" s="45" t="str">
        <f>IF(Table2[[#This Row],[Description]]="","",DATE(Table2[[#This Row],[Year]],Table2[[#This Row],[Month]],1))</f>
        <v/>
      </c>
    </row>
    <row r="8013" spans="7:11" x14ac:dyDescent="0.25">
      <c r="G8013" s="1" t="str">
        <f>IF(Table2[[#This Row],[Description]]="","",VLOOKUP(Table2[[#This Row],[Description]],$Q$1:$S$101,2,FALSE))</f>
        <v/>
      </c>
      <c r="H8013" s="1" t="str">
        <f>IF(Table2[[#This Row],[Description]]="","",VLOOKUP(Table2[[#This Row],[Description]],$Q$1:$S$101,3,FALSE))</f>
        <v/>
      </c>
      <c r="I8013" s="1" t="str">
        <f>IF(Table2[[#This Row],[Description]]="","",IF(Table2[[#This Row],[Currency]]=$O$2,$P$2,HLOOKUP(Table2[[#This Row],[Date]],Funds!$C$10:$GV$11,2,FALSE)))</f>
        <v/>
      </c>
      <c r="J8013" s="215" t="str">
        <f>IF(Table2[[#This Row],[Description]]="","",Table2[[#This Row],[Value]]/Table2[[#This Row],[Conversion]])</f>
        <v/>
      </c>
      <c r="K8013" s="45" t="str">
        <f>IF(Table2[[#This Row],[Description]]="","",DATE(Table2[[#This Row],[Year]],Table2[[#This Row],[Month]],1))</f>
        <v/>
      </c>
    </row>
    <row r="8014" spans="7:11" x14ac:dyDescent="0.25">
      <c r="G8014" s="1" t="str">
        <f>IF(Table2[[#This Row],[Description]]="","",VLOOKUP(Table2[[#This Row],[Description]],$Q$1:$S$101,2,FALSE))</f>
        <v/>
      </c>
      <c r="H8014" s="1" t="str">
        <f>IF(Table2[[#This Row],[Description]]="","",VLOOKUP(Table2[[#This Row],[Description]],$Q$1:$S$101,3,FALSE))</f>
        <v/>
      </c>
      <c r="I8014" s="1" t="str">
        <f>IF(Table2[[#This Row],[Description]]="","",IF(Table2[[#This Row],[Currency]]=$O$2,$P$2,HLOOKUP(Table2[[#This Row],[Date]],Funds!$C$10:$GV$11,2,FALSE)))</f>
        <v/>
      </c>
      <c r="J8014" s="215" t="str">
        <f>IF(Table2[[#This Row],[Description]]="","",Table2[[#This Row],[Value]]/Table2[[#This Row],[Conversion]])</f>
        <v/>
      </c>
      <c r="K8014" s="45" t="str">
        <f>IF(Table2[[#This Row],[Description]]="","",DATE(Table2[[#This Row],[Year]],Table2[[#This Row],[Month]],1))</f>
        <v/>
      </c>
    </row>
    <row r="8015" spans="7:11" x14ac:dyDescent="0.25">
      <c r="G8015" s="1" t="str">
        <f>IF(Table2[[#This Row],[Description]]="","",VLOOKUP(Table2[[#This Row],[Description]],$Q$1:$S$101,2,FALSE))</f>
        <v/>
      </c>
      <c r="H8015" s="1" t="str">
        <f>IF(Table2[[#This Row],[Description]]="","",VLOOKUP(Table2[[#This Row],[Description]],$Q$1:$S$101,3,FALSE))</f>
        <v/>
      </c>
      <c r="I8015" s="1" t="str">
        <f>IF(Table2[[#This Row],[Description]]="","",IF(Table2[[#This Row],[Currency]]=$O$2,$P$2,HLOOKUP(Table2[[#This Row],[Date]],Funds!$C$10:$GV$11,2,FALSE)))</f>
        <v/>
      </c>
      <c r="J8015" s="215" t="str">
        <f>IF(Table2[[#This Row],[Description]]="","",Table2[[#This Row],[Value]]/Table2[[#This Row],[Conversion]])</f>
        <v/>
      </c>
      <c r="K8015" s="45" t="str">
        <f>IF(Table2[[#This Row],[Description]]="","",DATE(Table2[[#This Row],[Year]],Table2[[#This Row],[Month]],1))</f>
        <v/>
      </c>
    </row>
    <row r="8016" spans="7:11" x14ac:dyDescent="0.25">
      <c r="G8016" s="1" t="str">
        <f>IF(Table2[[#This Row],[Description]]="","",VLOOKUP(Table2[[#This Row],[Description]],$Q$1:$S$101,2,FALSE))</f>
        <v/>
      </c>
      <c r="H8016" s="1" t="str">
        <f>IF(Table2[[#This Row],[Description]]="","",VLOOKUP(Table2[[#This Row],[Description]],$Q$1:$S$101,3,FALSE))</f>
        <v/>
      </c>
      <c r="I8016" s="1" t="str">
        <f>IF(Table2[[#This Row],[Description]]="","",IF(Table2[[#This Row],[Currency]]=$O$2,$P$2,HLOOKUP(Table2[[#This Row],[Date]],Funds!$C$10:$GV$11,2,FALSE)))</f>
        <v/>
      </c>
      <c r="J8016" s="215" t="str">
        <f>IF(Table2[[#This Row],[Description]]="","",Table2[[#This Row],[Value]]/Table2[[#This Row],[Conversion]])</f>
        <v/>
      </c>
      <c r="K8016" s="45" t="str">
        <f>IF(Table2[[#This Row],[Description]]="","",DATE(Table2[[#This Row],[Year]],Table2[[#This Row],[Month]],1))</f>
        <v/>
      </c>
    </row>
    <row r="8017" spans="7:11" x14ac:dyDescent="0.25">
      <c r="G8017" s="1" t="str">
        <f>IF(Table2[[#This Row],[Description]]="","",VLOOKUP(Table2[[#This Row],[Description]],$Q$1:$S$101,2,FALSE))</f>
        <v/>
      </c>
      <c r="H8017" s="1" t="str">
        <f>IF(Table2[[#This Row],[Description]]="","",VLOOKUP(Table2[[#This Row],[Description]],$Q$1:$S$101,3,FALSE))</f>
        <v/>
      </c>
      <c r="I8017" s="1" t="str">
        <f>IF(Table2[[#This Row],[Description]]="","",IF(Table2[[#This Row],[Currency]]=$O$2,$P$2,HLOOKUP(Table2[[#This Row],[Date]],Funds!$C$10:$GV$11,2,FALSE)))</f>
        <v/>
      </c>
      <c r="J8017" s="215" t="str">
        <f>IF(Table2[[#This Row],[Description]]="","",Table2[[#This Row],[Value]]/Table2[[#This Row],[Conversion]])</f>
        <v/>
      </c>
      <c r="K8017" s="45" t="str">
        <f>IF(Table2[[#This Row],[Description]]="","",DATE(Table2[[#This Row],[Year]],Table2[[#This Row],[Month]],1))</f>
        <v/>
      </c>
    </row>
    <row r="8018" spans="7:11" x14ac:dyDescent="0.25">
      <c r="G8018" s="1" t="str">
        <f>IF(Table2[[#This Row],[Description]]="","",VLOOKUP(Table2[[#This Row],[Description]],$Q$1:$S$101,2,FALSE))</f>
        <v/>
      </c>
      <c r="H8018" s="1" t="str">
        <f>IF(Table2[[#This Row],[Description]]="","",VLOOKUP(Table2[[#This Row],[Description]],$Q$1:$S$101,3,FALSE))</f>
        <v/>
      </c>
      <c r="I8018" s="1" t="str">
        <f>IF(Table2[[#This Row],[Description]]="","",IF(Table2[[#This Row],[Currency]]=$O$2,$P$2,HLOOKUP(Table2[[#This Row],[Date]],Funds!$C$10:$GV$11,2,FALSE)))</f>
        <v/>
      </c>
      <c r="J8018" s="215" t="str">
        <f>IF(Table2[[#This Row],[Description]]="","",Table2[[#This Row],[Value]]/Table2[[#This Row],[Conversion]])</f>
        <v/>
      </c>
      <c r="K8018" s="45" t="str">
        <f>IF(Table2[[#This Row],[Description]]="","",DATE(Table2[[#This Row],[Year]],Table2[[#This Row],[Month]],1))</f>
        <v/>
      </c>
    </row>
    <row r="8019" spans="7:11" x14ac:dyDescent="0.25">
      <c r="G8019" s="1" t="str">
        <f>IF(Table2[[#This Row],[Description]]="","",VLOOKUP(Table2[[#This Row],[Description]],$Q$1:$S$101,2,FALSE))</f>
        <v/>
      </c>
      <c r="H8019" s="1" t="str">
        <f>IF(Table2[[#This Row],[Description]]="","",VLOOKUP(Table2[[#This Row],[Description]],$Q$1:$S$101,3,FALSE))</f>
        <v/>
      </c>
      <c r="I8019" s="1" t="str">
        <f>IF(Table2[[#This Row],[Description]]="","",IF(Table2[[#This Row],[Currency]]=$O$2,$P$2,HLOOKUP(Table2[[#This Row],[Date]],Funds!$C$10:$GV$11,2,FALSE)))</f>
        <v/>
      </c>
      <c r="J8019" s="215" t="str">
        <f>IF(Table2[[#This Row],[Description]]="","",Table2[[#This Row],[Value]]/Table2[[#This Row],[Conversion]])</f>
        <v/>
      </c>
      <c r="K8019" s="45" t="str">
        <f>IF(Table2[[#This Row],[Description]]="","",DATE(Table2[[#This Row],[Year]],Table2[[#This Row],[Month]],1))</f>
        <v/>
      </c>
    </row>
    <row r="8020" spans="7:11" x14ac:dyDescent="0.25">
      <c r="G8020" s="1" t="str">
        <f>IF(Table2[[#This Row],[Description]]="","",VLOOKUP(Table2[[#This Row],[Description]],$Q$1:$S$101,2,FALSE))</f>
        <v/>
      </c>
      <c r="H8020" s="1" t="str">
        <f>IF(Table2[[#This Row],[Description]]="","",VLOOKUP(Table2[[#This Row],[Description]],$Q$1:$S$101,3,FALSE))</f>
        <v/>
      </c>
      <c r="I8020" s="1" t="str">
        <f>IF(Table2[[#This Row],[Description]]="","",IF(Table2[[#This Row],[Currency]]=$O$2,$P$2,HLOOKUP(Table2[[#This Row],[Date]],Funds!$C$10:$GV$11,2,FALSE)))</f>
        <v/>
      </c>
      <c r="J8020" s="215" t="str">
        <f>IF(Table2[[#This Row],[Description]]="","",Table2[[#This Row],[Value]]/Table2[[#This Row],[Conversion]])</f>
        <v/>
      </c>
      <c r="K8020" s="45" t="str">
        <f>IF(Table2[[#This Row],[Description]]="","",DATE(Table2[[#This Row],[Year]],Table2[[#This Row],[Month]],1))</f>
        <v/>
      </c>
    </row>
    <row r="8021" spans="7:11" x14ac:dyDescent="0.25">
      <c r="G8021" s="1" t="str">
        <f>IF(Table2[[#This Row],[Description]]="","",VLOOKUP(Table2[[#This Row],[Description]],$Q$1:$S$101,2,FALSE))</f>
        <v/>
      </c>
      <c r="H8021" s="1" t="str">
        <f>IF(Table2[[#This Row],[Description]]="","",VLOOKUP(Table2[[#This Row],[Description]],$Q$1:$S$101,3,FALSE))</f>
        <v/>
      </c>
      <c r="I8021" s="1" t="str">
        <f>IF(Table2[[#This Row],[Description]]="","",IF(Table2[[#This Row],[Currency]]=$O$2,$P$2,HLOOKUP(Table2[[#This Row],[Date]],Funds!$C$10:$GV$11,2,FALSE)))</f>
        <v/>
      </c>
      <c r="J8021" s="215" t="str">
        <f>IF(Table2[[#This Row],[Description]]="","",Table2[[#This Row],[Value]]/Table2[[#This Row],[Conversion]])</f>
        <v/>
      </c>
      <c r="K8021" s="45" t="str">
        <f>IF(Table2[[#This Row],[Description]]="","",DATE(Table2[[#This Row],[Year]],Table2[[#This Row],[Month]],1))</f>
        <v/>
      </c>
    </row>
    <row r="8022" spans="7:11" x14ac:dyDescent="0.25">
      <c r="G8022" s="1" t="str">
        <f>IF(Table2[[#This Row],[Description]]="","",VLOOKUP(Table2[[#This Row],[Description]],$Q$1:$S$101,2,FALSE))</f>
        <v/>
      </c>
      <c r="H8022" s="1" t="str">
        <f>IF(Table2[[#This Row],[Description]]="","",VLOOKUP(Table2[[#This Row],[Description]],$Q$1:$S$101,3,FALSE))</f>
        <v/>
      </c>
      <c r="I8022" s="1" t="str">
        <f>IF(Table2[[#This Row],[Description]]="","",IF(Table2[[#This Row],[Currency]]=$O$2,$P$2,HLOOKUP(Table2[[#This Row],[Date]],Funds!$C$10:$GV$11,2,FALSE)))</f>
        <v/>
      </c>
      <c r="J8022" s="215" t="str">
        <f>IF(Table2[[#This Row],[Description]]="","",Table2[[#This Row],[Value]]/Table2[[#This Row],[Conversion]])</f>
        <v/>
      </c>
      <c r="K8022" s="45" t="str">
        <f>IF(Table2[[#This Row],[Description]]="","",DATE(Table2[[#This Row],[Year]],Table2[[#This Row],[Month]],1))</f>
        <v/>
      </c>
    </row>
    <row r="8023" spans="7:11" x14ac:dyDescent="0.25">
      <c r="G8023" s="1" t="str">
        <f>IF(Table2[[#This Row],[Description]]="","",VLOOKUP(Table2[[#This Row],[Description]],$Q$1:$S$101,2,FALSE))</f>
        <v/>
      </c>
      <c r="H8023" s="1" t="str">
        <f>IF(Table2[[#This Row],[Description]]="","",VLOOKUP(Table2[[#This Row],[Description]],$Q$1:$S$101,3,FALSE))</f>
        <v/>
      </c>
      <c r="I8023" s="1" t="str">
        <f>IF(Table2[[#This Row],[Description]]="","",IF(Table2[[#This Row],[Currency]]=$O$2,$P$2,HLOOKUP(Table2[[#This Row],[Date]],Funds!$C$10:$GV$11,2,FALSE)))</f>
        <v/>
      </c>
      <c r="J8023" s="215" t="str">
        <f>IF(Table2[[#This Row],[Description]]="","",Table2[[#This Row],[Value]]/Table2[[#This Row],[Conversion]])</f>
        <v/>
      </c>
      <c r="K8023" s="45" t="str">
        <f>IF(Table2[[#This Row],[Description]]="","",DATE(Table2[[#This Row],[Year]],Table2[[#This Row],[Month]],1))</f>
        <v/>
      </c>
    </row>
    <row r="8024" spans="7:11" x14ac:dyDescent="0.25">
      <c r="G8024" s="1" t="str">
        <f>IF(Table2[[#This Row],[Description]]="","",VLOOKUP(Table2[[#This Row],[Description]],$Q$1:$S$101,2,FALSE))</f>
        <v/>
      </c>
      <c r="H8024" s="1" t="str">
        <f>IF(Table2[[#This Row],[Description]]="","",VLOOKUP(Table2[[#This Row],[Description]],$Q$1:$S$101,3,FALSE))</f>
        <v/>
      </c>
      <c r="I8024" s="1" t="str">
        <f>IF(Table2[[#This Row],[Description]]="","",IF(Table2[[#This Row],[Currency]]=$O$2,$P$2,HLOOKUP(Table2[[#This Row],[Date]],Funds!$C$10:$GV$11,2,FALSE)))</f>
        <v/>
      </c>
      <c r="J8024" s="215" t="str">
        <f>IF(Table2[[#This Row],[Description]]="","",Table2[[#This Row],[Value]]/Table2[[#This Row],[Conversion]])</f>
        <v/>
      </c>
      <c r="K8024" s="45" t="str">
        <f>IF(Table2[[#This Row],[Description]]="","",DATE(Table2[[#This Row],[Year]],Table2[[#This Row],[Month]],1))</f>
        <v/>
      </c>
    </row>
    <row r="8025" spans="7:11" x14ac:dyDescent="0.25">
      <c r="G8025" s="1" t="str">
        <f>IF(Table2[[#This Row],[Description]]="","",VLOOKUP(Table2[[#This Row],[Description]],$Q$1:$S$101,2,FALSE))</f>
        <v/>
      </c>
      <c r="H8025" s="1" t="str">
        <f>IF(Table2[[#This Row],[Description]]="","",VLOOKUP(Table2[[#This Row],[Description]],$Q$1:$S$101,3,FALSE))</f>
        <v/>
      </c>
      <c r="I8025" s="1" t="str">
        <f>IF(Table2[[#This Row],[Description]]="","",IF(Table2[[#This Row],[Currency]]=$O$2,$P$2,HLOOKUP(Table2[[#This Row],[Date]],Funds!$C$10:$GV$11,2,FALSE)))</f>
        <v/>
      </c>
      <c r="J8025" s="215" t="str">
        <f>IF(Table2[[#This Row],[Description]]="","",Table2[[#This Row],[Value]]/Table2[[#This Row],[Conversion]])</f>
        <v/>
      </c>
      <c r="K8025" s="45" t="str">
        <f>IF(Table2[[#This Row],[Description]]="","",DATE(Table2[[#This Row],[Year]],Table2[[#This Row],[Month]],1))</f>
        <v/>
      </c>
    </row>
    <row r="8026" spans="7:11" x14ac:dyDescent="0.25">
      <c r="G8026" s="1" t="str">
        <f>IF(Table2[[#This Row],[Description]]="","",VLOOKUP(Table2[[#This Row],[Description]],$Q$1:$S$101,2,FALSE))</f>
        <v/>
      </c>
      <c r="H8026" s="1" t="str">
        <f>IF(Table2[[#This Row],[Description]]="","",VLOOKUP(Table2[[#This Row],[Description]],$Q$1:$S$101,3,FALSE))</f>
        <v/>
      </c>
      <c r="I8026" s="1" t="str">
        <f>IF(Table2[[#This Row],[Description]]="","",IF(Table2[[#This Row],[Currency]]=$O$2,$P$2,HLOOKUP(Table2[[#This Row],[Date]],Funds!$C$10:$GV$11,2,FALSE)))</f>
        <v/>
      </c>
      <c r="J8026" s="215" t="str">
        <f>IF(Table2[[#This Row],[Description]]="","",Table2[[#This Row],[Value]]/Table2[[#This Row],[Conversion]])</f>
        <v/>
      </c>
      <c r="K8026" s="45" t="str">
        <f>IF(Table2[[#This Row],[Description]]="","",DATE(Table2[[#This Row],[Year]],Table2[[#This Row],[Month]],1))</f>
        <v/>
      </c>
    </row>
    <row r="8027" spans="7:11" x14ac:dyDescent="0.25">
      <c r="G8027" s="1" t="str">
        <f>IF(Table2[[#This Row],[Description]]="","",VLOOKUP(Table2[[#This Row],[Description]],$Q$1:$S$101,2,FALSE))</f>
        <v/>
      </c>
      <c r="H8027" s="1" t="str">
        <f>IF(Table2[[#This Row],[Description]]="","",VLOOKUP(Table2[[#This Row],[Description]],$Q$1:$S$101,3,FALSE))</f>
        <v/>
      </c>
      <c r="I8027" s="1" t="str">
        <f>IF(Table2[[#This Row],[Description]]="","",IF(Table2[[#This Row],[Currency]]=$O$2,$P$2,HLOOKUP(Table2[[#This Row],[Date]],Funds!$C$10:$GV$11,2,FALSE)))</f>
        <v/>
      </c>
      <c r="J8027" s="215" t="str">
        <f>IF(Table2[[#This Row],[Description]]="","",Table2[[#This Row],[Value]]/Table2[[#This Row],[Conversion]])</f>
        <v/>
      </c>
      <c r="K8027" s="45" t="str">
        <f>IF(Table2[[#This Row],[Description]]="","",DATE(Table2[[#This Row],[Year]],Table2[[#This Row],[Month]],1))</f>
        <v/>
      </c>
    </row>
    <row r="8028" spans="7:11" x14ac:dyDescent="0.25">
      <c r="G8028" s="1" t="str">
        <f>IF(Table2[[#This Row],[Description]]="","",VLOOKUP(Table2[[#This Row],[Description]],$Q$1:$S$101,2,FALSE))</f>
        <v/>
      </c>
      <c r="H8028" s="1" t="str">
        <f>IF(Table2[[#This Row],[Description]]="","",VLOOKUP(Table2[[#This Row],[Description]],$Q$1:$S$101,3,FALSE))</f>
        <v/>
      </c>
      <c r="I8028" s="1" t="str">
        <f>IF(Table2[[#This Row],[Description]]="","",IF(Table2[[#This Row],[Currency]]=$O$2,$P$2,HLOOKUP(Table2[[#This Row],[Date]],Funds!$C$10:$GV$11,2,FALSE)))</f>
        <v/>
      </c>
      <c r="J8028" s="215" t="str">
        <f>IF(Table2[[#This Row],[Description]]="","",Table2[[#This Row],[Value]]/Table2[[#This Row],[Conversion]])</f>
        <v/>
      </c>
      <c r="K8028" s="45" t="str">
        <f>IF(Table2[[#This Row],[Description]]="","",DATE(Table2[[#This Row],[Year]],Table2[[#This Row],[Month]],1))</f>
        <v/>
      </c>
    </row>
    <row r="8029" spans="7:11" x14ac:dyDescent="0.25">
      <c r="G8029" s="1" t="str">
        <f>IF(Table2[[#This Row],[Description]]="","",VLOOKUP(Table2[[#This Row],[Description]],$Q$1:$S$101,2,FALSE))</f>
        <v/>
      </c>
      <c r="H8029" s="1" t="str">
        <f>IF(Table2[[#This Row],[Description]]="","",VLOOKUP(Table2[[#This Row],[Description]],$Q$1:$S$101,3,FALSE))</f>
        <v/>
      </c>
      <c r="I8029" s="1" t="str">
        <f>IF(Table2[[#This Row],[Description]]="","",IF(Table2[[#This Row],[Currency]]=$O$2,$P$2,HLOOKUP(Table2[[#This Row],[Date]],Funds!$C$10:$GV$11,2,FALSE)))</f>
        <v/>
      </c>
      <c r="J8029" s="215" t="str">
        <f>IF(Table2[[#This Row],[Description]]="","",Table2[[#This Row],[Value]]/Table2[[#This Row],[Conversion]])</f>
        <v/>
      </c>
      <c r="K8029" s="45" t="str">
        <f>IF(Table2[[#This Row],[Description]]="","",DATE(Table2[[#This Row],[Year]],Table2[[#This Row],[Month]],1))</f>
        <v/>
      </c>
    </row>
    <row r="8030" spans="7:11" x14ac:dyDescent="0.25">
      <c r="G8030" s="1" t="str">
        <f>IF(Table2[[#This Row],[Description]]="","",VLOOKUP(Table2[[#This Row],[Description]],$Q$1:$S$101,2,FALSE))</f>
        <v/>
      </c>
      <c r="H8030" s="1" t="str">
        <f>IF(Table2[[#This Row],[Description]]="","",VLOOKUP(Table2[[#This Row],[Description]],$Q$1:$S$101,3,FALSE))</f>
        <v/>
      </c>
      <c r="I8030" s="1" t="str">
        <f>IF(Table2[[#This Row],[Description]]="","",IF(Table2[[#This Row],[Currency]]=$O$2,$P$2,HLOOKUP(Table2[[#This Row],[Date]],Funds!$C$10:$GV$11,2,FALSE)))</f>
        <v/>
      </c>
      <c r="J8030" s="215" t="str">
        <f>IF(Table2[[#This Row],[Description]]="","",Table2[[#This Row],[Value]]/Table2[[#This Row],[Conversion]])</f>
        <v/>
      </c>
      <c r="K8030" s="45" t="str">
        <f>IF(Table2[[#This Row],[Description]]="","",DATE(Table2[[#This Row],[Year]],Table2[[#This Row],[Month]],1))</f>
        <v/>
      </c>
    </row>
    <row r="8031" spans="7:11" x14ac:dyDescent="0.25">
      <c r="G8031" s="1" t="str">
        <f>IF(Table2[[#This Row],[Description]]="","",VLOOKUP(Table2[[#This Row],[Description]],$Q$1:$S$101,2,FALSE))</f>
        <v/>
      </c>
      <c r="H8031" s="1" t="str">
        <f>IF(Table2[[#This Row],[Description]]="","",VLOOKUP(Table2[[#This Row],[Description]],$Q$1:$S$101,3,FALSE))</f>
        <v/>
      </c>
      <c r="I8031" s="1" t="str">
        <f>IF(Table2[[#This Row],[Description]]="","",IF(Table2[[#This Row],[Currency]]=$O$2,$P$2,HLOOKUP(Table2[[#This Row],[Date]],Funds!$C$10:$GV$11,2,FALSE)))</f>
        <v/>
      </c>
      <c r="J8031" s="215" t="str">
        <f>IF(Table2[[#This Row],[Description]]="","",Table2[[#This Row],[Value]]/Table2[[#This Row],[Conversion]])</f>
        <v/>
      </c>
      <c r="K8031" s="45" t="str">
        <f>IF(Table2[[#This Row],[Description]]="","",DATE(Table2[[#This Row],[Year]],Table2[[#This Row],[Month]],1))</f>
        <v/>
      </c>
    </row>
    <row r="8032" spans="7:11" x14ac:dyDescent="0.25">
      <c r="G8032" s="1" t="str">
        <f>IF(Table2[[#This Row],[Description]]="","",VLOOKUP(Table2[[#This Row],[Description]],$Q$1:$S$101,2,FALSE))</f>
        <v/>
      </c>
      <c r="H8032" s="1" t="str">
        <f>IF(Table2[[#This Row],[Description]]="","",VLOOKUP(Table2[[#This Row],[Description]],$Q$1:$S$101,3,FALSE))</f>
        <v/>
      </c>
      <c r="I8032" s="1" t="str">
        <f>IF(Table2[[#This Row],[Description]]="","",IF(Table2[[#This Row],[Currency]]=$O$2,$P$2,HLOOKUP(Table2[[#This Row],[Date]],Funds!$C$10:$GV$11,2,FALSE)))</f>
        <v/>
      </c>
      <c r="J8032" s="215" t="str">
        <f>IF(Table2[[#This Row],[Description]]="","",Table2[[#This Row],[Value]]/Table2[[#This Row],[Conversion]])</f>
        <v/>
      </c>
      <c r="K8032" s="45" t="str">
        <f>IF(Table2[[#This Row],[Description]]="","",DATE(Table2[[#This Row],[Year]],Table2[[#This Row],[Month]],1))</f>
        <v/>
      </c>
    </row>
    <row r="8033" spans="7:11" x14ac:dyDescent="0.25">
      <c r="G8033" s="1" t="str">
        <f>IF(Table2[[#This Row],[Description]]="","",VLOOKUP(Table2[[#This Row],[Description]],$Q$1:$S$101,2,FALSE))</f>
        <v/>
      </c>
      <c r="H8033" s="1" t="str">
        <f>IF(Table2[[#This Row],[Description]]="","",VLOOKUP(Table2[[#This Row],[Description]],$Q$1:$S$101,3,FALSE))</f>
        <v/>
      </c>
      <c r="I8033" s="1" t="str">
        <f>IF(Table2[[#This Row],[Description]]="","",IF(Table2[[#This Row],[Currency]]=$O$2,$P$2,HLOOKUP(Table2[[#This Row],[Date]],Funds!$C$10:$GV$11,2,FALSE)))</f>
        <v/>
      </c>
      <c r="J8033" s="215" t="str">
        <f>IF(Table2[[#This Row],[Description]]="","",Table2[[#This Row],[Value]]/Table2[[#This Row],[Conversion]])</f>
        <v/>
      </c>
      <c r="K8033" s="45" t="str">
        <f>IF(Table2[[#This Row],[Description]]="","",DATE(Table2[[#This Row],[Year]],Table2[[#This Row],[Month]],1))</f>
        <v/>
      </c>
    </row>
    <row r="8034" spans="7:11" x14ac:dyDescent="0.25">
      <c r="G8034" s="1" t="str">
        <f>IF(Table2[[#This Row],[Description]]="","",VLOOKUP(Table2[[#This Row],[Description]],$Q$1:$S$101,2,FALSE))</f>
        <v/>
      </c>
      <c r="H8034" s="1" t="str">
        <f>IF(Table2[[#This Row],[Description]]="","",VLOOKUP(Table2[[#This Row],[Description]],$Q$1:$S$101,3,FALSE))</f>
        <v/>
      </c>
      <c r="I8034" s="1" t="str">
        <f>IF(Table2[[#This Row],[Description]]="","",IF(Table2[[#This Row],[Currency]]=$O$2,$P$2,HLOOKUP(Table2[[#This Row],[Date]],Funds!$C$10:$GV$11,2,FALSE)))</f>
        <v/>
      </c>
      <c r="J8034" s="215" t="str">
        <f>IF(Table2[[#This Row],[Description]]="","",Table2[[#This Row],[Value]]/Table2[[#This Row],[Conversion]])</f>
        <v/>
      </c>
      <c r="K8034" s="45" t="str">
        <f>IF(Table2[[#This Row],[Description]]="","",DATE(Table2[[#This Row],[Year]],Table2[[#This Row],[Month]],1))</f>
        <v/>
      </c>
    </row>
    <row r="8035" spans="7:11" x14ac:dyDescent="0.25">
      <c r="G8035" s="1" t="str">
        <f>IF(Table2[[#This Row],[Description]]="","",VLOOKUP(Table2[[#This Row],[Description]],$Q$1:$S$101,2,FALSE))</f>
        <v/>
      </c>
      <c r="H8035" s="1" t="str">
        <f>IF(Table2[[#This Row],[Description]]="","",VLOOKUP(Table2[[#This Row],[Description]],$Q$1:$S$101,3,FALSE))</f>
        <v/>
      </c>
      <c r="I8035" s="1" t="str">
        <f>IF(Table2[[#This Row],[Description]]="","",IF(Table2[[#This Row],[Currency]]=$O$2,$P$2,HLOOKUP(Table2[[#This Row],[Date]],Funds!$C$10:$GV$11,2,FALSE)))</f>
        <v/>
      </c>
      <c r="J8035" s="215" t="str">
        <f>IF(Table2[[#This Row],[Description]]="","",Table2[[#This Row],[Value]]/Table2[[#This Row],[Conversion]])</f>
        <v/>
      </c>
      <c r="K8035" s="45" t="str">
        <f>IF(Table2[[#This Row],[Description]]="","",DATE(Table2[[#This Row],[Year]],Table2[[#This Row],[Month]],1))</f>
        <v/>
      </c>
    </row>
    <row r="8036" spans="7:11" x14ac:dyDescent="0.25">
      <c r="G8036" s="1" t="str">
        <f>IF(Table2[[#This Row],[Description]]="","",VLOOKUP(Table2[[#This Row],[Description]],$Q$1:$S$101,2,FALSE))</f>
        <v/>
      </c>
      <c r="H8036" s="1" t="str">
        <f>IF(Table2[[#This Row],[Description]]="","",VLOOKUP(Table2[[#This Row],[Description]],$Q$1:$S$101,3,FALSE))</f>
        <v/>
      </c>
      <c r="I8036" s="1" t="str">
        <f>IF(Table2[[#This Row],[Description]]="","",IF(Table2[[#This Row],[Currency]]=$O$2,$P$2,HLOOKUP(Table2[[#This Row],[Date]],Funds!$C$10:$GV$11,2,FALSE)))</f>
        <v/>
      </c>
      <c r="J8036" s="215" t="str">
        <f>IF(Table2[[#This Row],[Description]]="","",Table2[[#This Row],[Value]]/Table2[[#This Row],[Conversion]])</f>
        <v/>
      </c>
      <c r="K8036" s="45" t="str">
        <f>IF(Table2[[#This Row],[Description]]="","",DATE(Table2[[#This Row],[Year]],Table2[[#This Row],[Month]],1))</f>
        <v/>
      </c>
    </row>
    <row r="8037" spans="7:11" x14ac:dyDescent="0.25">
      <c r="G8037" s="1" t="str">
        <f>IF(Table2[[#This Row],[Description]]="","",VLOOKUP(Table2[[#This Row],[Description]],$Q$1:$S$101,2,FALSE))</f>
        <v/>
      </c>
      <c r="H8037" s="1" t="str">
        <f>IF(Table2[[#This Row],[Description]]="","",VLOOKUP(Table2[[#This Row],[Description]],$Q$1:$S$101,3,FALSE))</f>
        <v/>
      </c>
      <c r="I8037" s="1" t="str">
        <f>IF(Table2[[#This Row],[Description]]="","",IF(Table2[[#This Row],[Currency]]=$O$2,$P$2,HLOOKUP(Table2[[#This Row],[Date]],Funds!$C$10:$GV$11,2,FALSE)))</f>
        <v/>
      </c>
      <c r="J8037" s="215" t="str">
        <f>IF(Table2[[#This Row],[Description]]="","",Table2[[#This Row],[Value]]/Table2[[#This Row],[Conversion]])</f>
        <v/>
      </c>
      <c r="K8037" s="45" t="str">
        <f>IF(Table2[[#This Row],[Description]]="","",DATE(Table2[[#This Row],[Year]],Table2[[#This Row],[Month]],1))</f>
        <v/>
      </c>
    </row>
    <row r="8038" spans="7:11" x14ac:dyDescent="0.25">
      <c r="G8038" s="1" t="str">
        <f>IF(Table2[[#This Row],[Description]]="","",VLOOKUP(Table2[[#This Row],[Description]],$Q$1:$S$101,2,FALSE))</f>
        <v/>
      </c>
      <c r="H8038" s="1" t="str">
        <f>IF(Table2[[#This Row],[Description]]="","",VLOOKUP(Table2[[#This Row],[Description]],$Q$1:$S$101,3,FALSE))</f>
        <v/>
      </c>
      <c r="I8038" s="1" t="str">
        <f>IF(Table2[[#This Row],[Description]]="","",IF(Table2[[#This Row],[Currency]]=$O$2,$P$2,HLOOKUP(Table2[[#This Row],[Date]],Funds!$C$10:$GV$11,2,FALSE)))</f>
        <v/>
      </c>
      <c r="J8038" s="215" t="str">
        <f>IF(Table2[[#This Row],[Description]]="","",Table2[[#This Row],[Value]]/Table2[[#This Row],[Conversion]])</f>
        <v/>
      </c>
      <c r="K8038" s="45" t="str">
        <f>IF(Table2[[#This Row],[Description]]="","",DATE(Table2[[#This Row],[Year]],Table2[[#This Row],[Month]],1))</f>
        <v/>
      </c>
    </row>
    <row r="8039" spans="7:11" x14ac:dyDescent="0.25">
      <c r="G8039" s="1" t="str">
        <f>IF(Table2[[#This Row],[Description]]="","",VLOOKUP(Table2[[#This Row],[Description]],$Q$1:$S$101,2,FALSE))</f>
        <v/>
      </c>
      <c r="H8039" s="1" t="str">
        <f>IF(Table2[[#This Row],[Description]]="","",VLOOKUP(Table2[[#This Row],[Description]],$Q$1:$S$101,3,FALSE))</f>
        <v/>
      </c>
      <c r="I8039" s="1" t="str">
        <f>IF(Table2[[#This Row],[Description]]="","",IF(Table2[[#This Row],[Currency]]=$O$2,$P$2,HLOOKUP(Table2[[#This Row],[Date]],Funds!$C$10:$GV$11,2,FALSE)))</f>
        <v/>
      </c>
      <c r="J8039" s="215" t="str">
        <f>IF(Table2[[#This Row],[Description]]="","",Table2[[#This Row],[Value]]/Table2[[#This Row],[Conversion]])</f>
        <v/>
      </c>
      <c r="K8039" s="45" t="str">
        <f>IF(Table2[[#This Row],[Description]]="","",DATE(Table2[[#This Row],[Year]],Table2[[#This Row],[Month]],1))</f>
        <v/>
      </c>
    </row>
    <row r="8040" spans="7:11" x14ac:dyDescent="0.25">
      <c r="G8040" s="1" t="str">
        <f>IF(Table2[[#This Row],[Description]]="","",VLOOKUP(Table2[[#This Row],[Description]],$Q$1:$S$101,2,FALSE))</f>
        <v/>
      </c>
      <c r="H8040" s="1" t="str">
        <f>IF(Table2[[#This Row],[Description]]="","",VLOOKUP(Table2[[#This Row],[Description]],$Q$1:$S$101,3,FALSE))</f>
        <v/>
      </c>
      <c r="I8040" s="1" t="str">
        <f>IF(Table2[[#This Row],[Description]]="","",IF(Table2[[#This Row],[Currency]]=$O$2,$P$2,HLOOKUP(Table2[[#This Row],[Date]],Funds!$C$10:$GV$11,2,FALSE)))</f>
        <v/>
      </c>
      <c r="J8040" s="215" t="str">
        <f>IF(Table2[[#This Row],[Description]]="","",Table2[[#This Row],[Value]]/Table2[[#This Row],[Conversion]])</f>
        <v/>
      </c>
      <c r="K8040" s="45" t="str">
        <f>IF(Table2[[#This Row],[Description]]="","",DATE(Table2[[#This Row],[Year]],Table2[[#This Row],[Month]],1))</f>
        <v/>
      </c>
    </row>
    <row r="8041" spans="7:11" x14ac:dyDescent="0.25">
      <c r="G8041" s="1" t="str">
        <f>IF(Table2[[#This Row],[Description]]="","",VLOOKUP(Table2[[#This Row],[Description]],$Q$1:$S$101,2,FALSE))</f>
        <v/>
      </c>
      <c r="H8041" s="1" t="str">
        <f>IF(Table2[[#This Row],[Description]]="","",VLOOKUP(Table2[[#This Row],[Description]],$Q$1:$S$101,3,FALSE))</f>
        <v/>
      </c>
      <c r="I8041" s="1" t="str">
        <f>IF(Table2[[#This Row],[Description]]="","",IF(Table2[[#This Row],[Currency]]=$O$2,$P$2,HLOOKUP(Table2[[#This Row],[Date]],Funds!$C$10:$GV$11,2,FALSE)))</f>
        <v/>
      </c>
      <c r="J8041" s="215" t="str">
        <f>IF(Table2[[#This Row],[Description]]="","",Table2[[#This Row],[Value]]/Table2[[#This Row],[Conversion]])</f>
        <v/>
      </c>
      <c r="K8041" s="45" t="str">
        <f>IF(Table2[[#This Row],[Description]]="","",DATE(Table2[[#This Row],[Year]],Table2[[#This Row],[Month]],1))</f>
        <v/>
      </c>
    </row>
    <row r="8042" spans="7:11" x14ac:dyDescent="0.25">
      <c r="G8042" s="1" t="str">
        <f>IF(Table2[[#This Row],[Description]]="","",VLOOKUP(Table2[[#This Row],[Description]],$Q$1:$S$101,2,FALSE))</f>
        <v/>
      </c>
      <c r="H8042" s="1" t="str">
        <f>IF(Table2[[#This Row],[Description]]="","",VLOOKUP(Table2[[#This Row],[Description]],$Q$1:$S$101,3,FALSE))</f>
        <v/>
      </c>
      <c r="I8042" s="1" t="str">
        <f>IF(Table2[[#This Row],[Description]]="","",IF(Table2[[#This Row],[Currency]]=$O$2,$P$2,HLOOKUP(Table2[[#This Row],[Date]],Funds!$C$10:$GV$11,2,FALSE)))</f>
        <v/>
      </c>
      <c r="J8042" s="215" t="str">
        <f>IF(Table2[[#This Row],[Description]]="","",Table2[[#This Row],[Value]]/Table2[[#This Row],[Conversion]])</f>
        <v/>
      </c>
      <c r="K8042" s="45" t="str">
        <f>IF(Table2[[#This Row],[Description]]="","",DATE(Table2[[#This Row],[Year]],Table2[[#This Row],[Month]],1))</f>
        <v/>
      </c>
    </row>
    <row r="8043" spans="7:11" x14ac:dyDescent="0.25">
      <c r="G8043" s="1" t="str">
        <f>IF(Table2[[#This Row],[Description]]="","",VLOOKUP(Table2[[#This Row],[Description]],$Q$1:$S$101,2,FALSE))</f>
        <v/>
      </c>
      <c r="H8043" s="1" t="str">
        <f>IF(Table2[[#This Row],[Description]]="","",VLOOKUP(Table2[[#This Row],[Description]],$Q$1:$S$101,3,FALSE))</f>
        <v/>
      </c>
      <c r="I8043" s="1" t="str">
        <f>IF(Table2[[#This Row],[Description]]="","",IF(Table2[[#This Row],[Currency]]=$O$2,$P$2,HLOOKUP(Table2[[#This Row],[Date]],Funds!$C$10:$GV$11,2,FALSE)))</f>
        <v/>
      </c>
      <c r="J8043" s="215" t="str">
        <f>IF(Table2[[#This Row],[Description]]="","",Table2[[#This Row],[Value]]/Table2[[#This Row],[Conversion]])</f>
        <v/>
      </c>
      <c r="K8043" s="45" t="str">
        <f>IF(Table2[[#This Row],[Description]]="","",DATE(Table2[[#This Row],[Year]],Table2[[#This Row],[Month]],1))</f>
        <v/>
      </c>
    </row>
    <row r="8044" spans="7:11" x14ac:dyDescent="0.25">
      <c r="G8044" s="1" t="str">
        <f>IF(Table2[[#This Row],[Description]]="","",VLOOKUP(Table2[[#This Row],[Description]],$Q$1:$S$101,2,FALSE))</f>
        <v/>
      </c>
      <c r="H8044" s="1" t="str">
        <f>IF(Table2[[#This Row],[Description]]="","",VLOOKUP(Table2[[#This Row],[Description]],$Q$1:$S$101,3,FALSE))</f>
        <v/>
      </c>
      <c r="I8044" s="1" t="str">
        <f>IF(Table2[[#This Row],[Description]]="","",IF(Table2[[#This Row],[Currency]]=$O$2,$P$2,HLOOKUP(Table2[[#This Row],[Date]],Funds!$C$10:$GV$11,2,FALSE)))</f>
        <v/>
      </c>
      <c r="J8044" s="215" t="str">
        <f>IF(Table2[[#This Row],[Description]]="","",Table2[[#This Row],[Value]]/Table2[[#This Row],[Conversion]])</f>
        <v/>
      </c>
      <c r="K8044" s="45" t="str">
        <f>IF(Table2[[#This Row],[Description]]="","",DATE(Table2[[#This Row],[Year]],Table2[[#This Row],[Month]],1))</f>
        <v/>
      </c>
    </row>
    <row r="8045" spans="7:11" x14ac:dyDescent="0.25">
      <c r="G8045" s="1" t="str">
        <f>IF(Table2[[#This Row],[Description]]="","",VLOOKUP(Table2[[#This Row],[Description]],$Q$1:$S$101,2,FALSE))</f>
        <v/>
      </c>
      <c r="H8045" s="1" t="str">
        <f>IF(Table2[[#This Row],[Description]]="","",VLOOKUP(Table2[[#This Row],[Description]],$Q$1:$S$101,3,FALSE))</f>
        <v/>
      </c>
      <c r="I8045" s="1" t="str">
        <f>IF(Table2[[#This Row],[Description]]="","",IF(Table2[[#This Row],[Currency]]=$O$2,$P$2,HLOOKUP(Table2[[#This Row],[Date]],Funds!$C$10:$GV$11,2,FALSE)))</f>
        <v/>
      </c>
      <c r="J8045" s="215" t="str">
        <f>IF(Table2[[#This Row],[Description]]="","",Table2[[#This Row],[Value]]/Table2[[#This Row],[Conversion]])</f>
        <v/>
      </c>
      <c r="K8045" s="45" t="str">
        <f>IF(Table2[[#This Row],[Description]]="","",DATE(Table2[[#This Row],[Year]],Table2[[#This Row],[Month]],1))</f>
        <v/>
      </c>
    </row>
    <row r="8046" spans="7:11" x14ac:dyDescent="0.25">
      <c r="G8046" s="1" t="str">
        <f>IF(Table2[[#This Row],[Description]]="","",VLOOKUP(Table2[[#This Row],[Description]],$Q$1:$S$101,2,FALSE))</f>
        <v/>
      </c>
      <c r="H8046" s="1" t="str">
        <f>IF(Table2[[#This Row],[Description]]="","",VLOOKUP(Table2[[#This Row],[Description]],$Q$1:$S$101,3,FALSE))</f>
        <v/>
      </c>
      <c r="I8046" s="1" t="str">
        <f>IF(Table2[[#This Row],[Description]]="","",IF(Table2[[#This Row],[Currency]]=$O$2,$P$2,HLOOKUP(Table2[[#This Row],[Date]],Funds!$C$10:$GV$11,2,FALSE)))</f>
        <v/>
      </c>
      <c r="J8046" s="215" t="str">
        <f>IF(Table2[[#This Row],[Description]]="","",Table2[[#This Row],[Value]]/Table2[[#This Row],[Conversion]])</f>
        <v/>
      </c>
      <c r="K8046" s="45" t="str">
        <f>IF(Table2[[#This Row],[Description]]="","",DATE(Table2[[#This Row],[Year]],Table2[[#This Row],[Month]],1))</f>
        <v/>
      </c>
    </row>
    <row r="8047" spans="7:11" x14ac:dyDescent="0.25">
      <c r="G8047" s="1" t="str">
        <f>IF(Table2[[#This Row],[Description]]="","",VLOOKUP(Table2[[#This Row],[Description]],$Q$1:$S$101,2,FALSE))</f>
        <v/>
      </c>
      <c r="H8047" s="1" t="str">
        <f>IF(Table2[[#This Row],[Description]]="","",VLOOKUP(Table2[[#This Row],[Description]],$Q$1:$S$101,3,FALSE))</f>
        <v/>
      </c>
      <c r="I8047" s="1" t="str">
        <f>IF(Table2[[#This Row],[Description]]="","",IF(Table2[[#This Row],[Currency]]=$O$2,$P$2,HLOOKUP(Table2[[#This Row],[Date]],Funds!$C$10:$GV$11,2,FALSE)))</f>
        <v/>
      </c>
      <c r="J8047" s="215" t="str">
        <f>IF(Table2[[#This Row],[Description]]="","",Table2[[#This Row],[Value]]/Table2[[#This Row],[Conversion]])</f>
        <v/>
      </c>
      <c r="K8047" s="45" t="str">
        <f>IF(Table2[[#This Row],[Description]]="","",DATE(Table2[[#This Row],[Year]],Table2[[#This Row],[Month]],1))</f>
        <v/>
      </c>
    </row>
    <row r="8048" spans="7:11" x14ac:dyDescent="0.25">
      <c r="G8048" s="1" t="str">
        <f>IF(Table2[[#This Row],[Description]]="","",VLOOKUP(Table2[[#This Row],[Description]],$Q$1:$S$101,2,FALSE))</f>
        <v/>
      </c>
      <c r="H8048" s="1" t="str">
        <f>IF(Table2[[#This Row],[Description]]="","",VLOOKUP(Table2[[#This Row],[Description]],$Q$1:$S$101,3,FALSE))</f>
        <v/>
      </c>
      <c r="I8048" s="1" t="str">
        <f>IF(Table2[[#This Row],[Description]]="","",IF(Table2[[#This Row],[Currency]]=$O$2,$P$2,HLOOKUP(Table2[[#This Row],[Date]],Funds!$C$10:$GV$11,2,FALSE)))</f>
        <v/>
      </c>
      <c r="J8048" s="215" t="str">
        <f>IF(Table2[[#This Row],[Description]]="","",Table2[[#This Row],[Value]]/Table2[[#This Row],[Conversion]])</f>
        <v/>
      </c>
      <c r="K8048" s="45" t="str">
        <f>IF(Table2[[#This Row],[Description]]="","",DATE(Table2[[#This Row],[Year]],Table2[[#This Row],[Month]],1))</f>
        <v/>
      </c>
    </row>
    <row r="8049" spans="7:11" x14ac:dyDescent="0.25">
      <c r="G8049" s="1" t="str">
        <f>IF(Table2[[#This Row],[Description]]="","",VLOOKUP(Table2[[#This Row],[Description]],$Q$1:$S$101,2,FALSE))</f>
        <v/>
      </c>
      <c r="H8049" s="1" t="str">
        <f>IF(Table2[[#This Row],[Description]]="","",VLOOKUP(Table2[[#This Row],[Description]],$Q$1:$S$101,3,FALSE))</f>
        <v/>
      </c>
      <c r="I8049" s="1" t="str">
        <f>IF(Table2[[#This Row],[Description]]="","",IF(Table2[[#This Row],[Currency]]=$O$2,$P$2,HLOOKUP(Table2[[#This Row],[Date]],Funds!$C$10:$GV$11,2,FALSE)))</f>
        <v/>
      </c>
      <c r="J8049" s="215" t="str">
        <f>IF(Table2[[#This Row],[Description]]="","",Table2[[#This Row],[Value]]/Table2[[#This Row],[Conversion]])</f>
        <v/>
      </c>
      <c r="K8049" s="45" t="str">
        <f>IF(Table2[[#This Row],[Description]]="","",DATE(Table2[[#This Row],[Year]],Table2[[#This Row],[Month]],1))</f>
        <v/>
      </c>
    </row>
    <row r="8050" spans="7:11" x14ac:dyDescent="0.25">
      <c r="G8050" s="1" t="str">
        <f>IF(Table2[[#This Row],[Description]]="","",VLOOKUP(Table2[[#This Row],[Description]],$Q$1:$S$101,2,FALSE))</f>
        <v/>
      </c>
      <c r="H8050" s="1" t="str">
        <f>IF(Table2[[#This Row],[Description]]="","",VLOOKUP(Table2[[#This Row],[Description]],$Q$1:$S$101,3,FALSE))</f>
        <v/>
      </c>
      <c r="I8050" s="1" t="str">
        <f>IF(Table2[[#This Row],[Description]]="","",IF(Table2[[#This Row],[Currency]]=$O$2,$P$2,HLOOKUP(Table2[[#This Row],[Date]],Funds!$C$10:$GV$11,2,FALSE)))</f>
        <v/>
      </c>
      <c r="J8050" s="215" t="str">
        <f>IF(Table2[[#This Row],[Description]]="","",Table2[[#This Row],[Value]]/Table2[[#This Row],[Conversion]])</f>
        <v/>
      </c>
      <c r="K8050" s="45" t="str">
        <f>IF(Table2[[#This Row],[Description]]="","",DATE(Table2[[#This Row],[Year]],Table2[[#This Row],[Month]],1))</f>
        <v/>
      </c>
    </row>
    <row r="8051" spans="7:11" x14ac:dyDescent="0.25">
      <c r="G8051" s="1" t="str">
        <f>IF(Table2[[#This Row],[Description]]="","",VLOOKUP(Table2[[#This Row],[Description]],$Q$1:$S$101,2,FALSE))</f>
        <v/>
      </c>
      <c r="H8051" s="1" t="str">
        <f>IF(Table2[[#This Row],[Description]]="","",VLOOKUP(Table2[[#This Row],[Description]],$Q$1:$S$101,3,FALSE))</f>
        <v/>
      </c>
      <c r="I8051" s="1" t="str">
        <f>IF(Table2[[#This Row],[Description]]="","",IF(Table2[[#This Row],[Currency]]=$O$2,$P$2,HLOOKUP(Table2[[#This Row],[Date]],Funds!$C$10:$GV$11,2,FALSE)))</f>
        <v/>
      </c>
      <c r="J8051" s="215" t="str">
        <f>IF(Table2[[#This Row],[Description]]="","",Table2[[#This Row],[Value]]/Table2[[#This Row],[Conversion]])</f>
        <v/>
      </c>
      <c r="K8051" s="45" t="str">
        <f>IF(Table2[[#This Row],[Description]]="","",DATE(Table2[[#This Row],[Year]],Table2[[#This Row],[Month]],1))</f>
        <v/>
      </c>
    </row>
    <row r="8052" spans="7:11" x14ac:dyDescent="0.25">
      <c r="G8052" s="1" t="str">
        <f>IF(Table2[[#This Row],[Description]]="","",VLOOKUP(Table2[[#This Row],[Description]],$Q$1:$S$101,2,FALSE))</f>
        <v/>
      </c>
      <c r="H8052" s="1" t="str">
        <f>IF(Table2[[#This Row],[Description]]="","",VLOOKUP(Table2[[#This Row],[Description]],$Q$1:$S$101,3,FALSE))</f>
        <v/>
      </c>
      <c r="I8052" s="1" t="str">
        <f>IF(Table2[[#This Row],[Description]]="","",IF(Table2[[#This Row],[Currency]]=$O$2,$P$2,HLOOKUP(Table2[[#This Row],[Date]],Funds!$C$10:$GV$11,2,FALSE)))</f>
        <v/>
      </c>
      <c r="J8052" s="215" t="str">
        <f>IF(Table2[[#This Row],[Description]]="","",Table2[[#This Row],[Value]]/Table2[[#This Row],[Conversion]])</f>
        <v/>
      </c>
      <c r="K8052" s="45" t="str">
        <f>IF(Table2[[#This Row],[Description]]="","",DATE(Table2[[#This Row],[Year]],Table2[[#This Row],[Month]],1))</f>
        <v/>
      </c>
    </row>
    <row r="8053" spans="7:11" x14ac:dyDescent="0.25">
      <c r="G8053" s="1" t="str">
        <f>IF(Table2[[#This Row],[Description]]="","",VLOOKUP(Table2[[#This Row],[Description]],$Q$1:$S$101,2,FALSE))</f>
        <v/>
      </c>
      <c r="H8053" s="1" t="str">
        <f>IF(Table2[[#This Row],[Description]]="","",VLOOKUP(Table2[[#This Row],[Description]],$Q$1:$S$101,3,FALSE))</f>
        <v/>
      </c>
      <c r="I8053" s="1" t="str">
        <f>IF(Table2[[#This Row],[Description]]="","",IF(Table2[[#This Row],[Currency]]=$O$2,$P$2,HLOOKUP(Table2[[#This Row],[Date]],Funds!$C$10:$GV$11,2,FALSE)))</f>
        <v/>
      </c>
      <c r="J8053" s="215" t="str">
        <f>IF(Table2[[#This Row],[Description]]="","",Table2[[#This Row],[Value]]/Table2[[#This Row],[Conversion]])</f>
        <v/>
      </c>
      <c r="K8053" s="45" t="str">
        <f>IF(Table2[[#This Row],[Description]]="","",DATE(Table2[[#This Row],[Year]],Table2[[#This Row],[Month]],1))</f>
        <v/>
      </c>
    </row>
    <row r="8054" spans="7:11" x14ac:dyDescent="0.25">
      <c r="G8054" s="1" t="str">
        <f>IF(Table2[[#This Row],[Description]]="","",VLOOKUP(Table2[[#This Row],[Description]],$Q$1:$S$101,2,FALSE))</f>
        <v/>
      </c>
      <c r="H8054" s="1" t="str">
        <f>IF(Table2[[#This Row],[Description]]="","",VLOOKUP(Table2[[#This Row],[Description]],$Q$1:$S$101,3,FALSE))</f>
        <v/>
      </c>
      <c r="I8054" s="1" t="str">
        <f>IF(Table2[[#This Row],[Description]]="","",IF(Table2[[#This Row],[Currency]]=$O$2,$P$2,HLOOKUP(Table2[[#This Row],[Date]],Funds!$C$10:$GV$11,2,FALSE)))</f>
        <v/>
      </c>
      <c r="J8054" s="215" t="str">
        <f>IF(Table2[[#This Row],[Description]]="","",Table2[[#This Row],[Value]]/Table2[[#This Row],[Conversion]])</f>
        <v/>
      </c>
      <c r="K8054" s="45" t="str">
        <f>IF(Table2[[#This Row],[Description]]="","",DATE(Table2[[#This Row],[Year]],Table2[[#This Row],[Month]],1))</f>
        <v/>
      </c>
    </row>
    <row r="8055" spans="7:11" x14ac:dyDescent="0.25">
      <c r="G8055" s="1" t="str">
        <f>IF(Table2[[#This Row],[Description]]="","",VLOOKUP(Table2[[#This Row],[Description]],$Q$1:$S$101,2,FALSE))</f>
        <v/>
      </c>
      <c r="H8055" s="1" t="str">
        <f>IF(Table2[[#This Row],[Description]]="","",VLOOKUP(Table2[[#This Row],[Description]],$Q$1:$S$101,3,FALSE))</f>
        <v/>
      </c>
      <c r="I8055" s="1" t="str">
        <f>IF(Table2[[#This Row],[Description]]="","",IF(Table2[[#This Row],[Currency]]=$O$2,$P$2,HLOOKUP(Table2[[#This Row],[Date]],Funds!$C$10:$GV$11,2,FALSE)))</f>
        <v/>
      </c>
      <c r="J8055" s="215" t="str">
        <f>IF(Table2[[#This Row],[Description]]="","",Table2[[#This Row],[Value]]/Table2[[#This Row],[Conversion]])</f>
        <v/>
      </c>
      <c r="K8055" s="45" t="str">
        <f>IF(Table2[[#This Row],[Description]]="","",DATE(Table2[[#This Row],[Year]],Table2[[#This Row],[Month]],1))</f>
        <v/>
      </c>
    </row>
    <row r="8056" spans="7:11" x14ac:dyDescent="0.25">
      <c r="G8056" s="1" t="str">
        <f>IF(Table2[[#This Row],[Description]]="","",VLOOKUP(Table2[[#This Row],[Description]],$Q$1:$S$101,2,FALSE))</f>
        <v/>
      </c>
      <c r="H8056" s="1" t="str">
        <f>IF(Table2[[#This Row],[Description]]="","",VLOOKUP(Table2[[#This Row],[Description]],$Q$1:$S$101,3,FALSE))</f>
        <v/>
      </c>
      <c r="I8056" s="1" t="str">
        <f>IF(Table2[[#This Row],[Description]]="","",IF(Table2[[#This Row],[Currency]]=$O$2,$P$2,HLOOKUP(Table2[[#This Row],[Date]],Funds!$C$10:$GV$11,2,FALSE)))</f>
        <v/>
      </c>
      <c r="J8056" s="215" t="str">
        <f>IF(Table2[[#This Row],[Description]]="","",Table2[[#This Row],[Value]]/Table2[[#This Row],[Conversion]])</f>
        <v/>
      </c>
      <c r="K8056" s="45" t="str">
        <f>IF(Table2[[#This Row],[Description]]="","",DATE(Table2[[#This Row],[Year]],Table2[[#This Row],[Month]],1))</f>
        <v/>
      </c>
    </row>
    <row r="8057" spans="7:11" x14ac:dyDescent="0.25">
      <c r="G8057" s="1" t="str">
        <f>IF(Table2[[#This Row],[Description]]="","",VLOOKUP(Table2[[#This Row],[Description]],$Q$1:$S$101,2,FALSE))</f>
        <v/>
      </c>
      <c r="H8057" s="1" t="str">
        <f>IF(Table2[[#This Row],[Description]]="","",VLOOKUP(Table2[[#This Row],[Description]],$Q$1:$S$101,3,FALSE))</f>
        <v/>
      </c>
      <c r="I8057" s="1" t="str">
        <f>IF(Table2[[#This Row],[Description]]="","",IF(Table2[[#This Row],[Currency]]=$O$2,$P$2,HLOOKUP(Table2[[#This Row],[Date]],Funds!$C$10:$GV$11,2,FALSE)))</f>
        <v/>
      </c>
      <c r="J8057" s="215" t="str">
        <f>IF(Table2[[#This Row],[Description]]="","",Table2[[#This Row],[Value]]/Table2[[#This Row],[Conversion]])</f>
        <v/>
      </c>
      <c r="K8057" s="45" t="str">
        <f>IF(Table2[[#This Row],[Description]]="","",DATE(Table2[[#This Row],[Year]],Table2[[#This Row],[Month]],1))</f>
        <v/>
      </c>
    </row>
    <row r="8058" spans="7:11" x14ac:dyDescent="0.25">
      <c r="G8058" s="1" t="str">
        <f>IF(Table2[[#This Row],[Description]]="","",VLOOKUP(Table2[[#This Row],[Description]],$Q$1:$S$101,2,FALSE))</f>
        <v/>
      </c>
      <c r="H8058" s="1" t="str">
        <f>IF(Table2[[#This Row],[Description]]="","",VLOOKUP(Table2[[#This Row],[Description]],$Q$1:$S$101,3,FALSE))</f>
        <v/>
      </c>
      <c r="I8058" s="1" t="str">
        <f>IF(Table2[[#This Row],[Description]]="","",IF(Table2[[#This Row],[Currency]]=$O$2,$P$2,HLOOKUP(Table2[[#This Row],[Date]],Funds!$C$10:$GV$11,2,FALSE)))</f>
        <v/>
      </c>
      <c r="J8058" s="215" t="str">
        <f>IF(Table2[[#This Row],[Description]]="","",Table2[[#This Row],[Value]]/Table2[[#This Row],[Conversion]])</f>
        <v/>
      </c>
      <c r="K8058" s="45" t="str">
        <f>IF(Table2[[#This Row],[Description]]="","",DATE(Table2[[#This Row],[Year]],Table2[[#This Row],[Month]],1))</f>
        <v/>
      </c>
    </row>
    <row r="8059" spans="7:11" x14ac:dyDescent="0.25">
      <c r="G8059" s="1" t="str">
        <f>IF(Table2[[#This Row],[Description]]="","",VLOOKUP(Table2[[#This Row],[Description]],$Q$1:$S$101,2,FALSE))</f>
        <v/>
      </c>
      <c r="H8059" s="1" t="str">
        <f>IF(Table2[[#This Row],[Description]]="","",VLOOKUP(Table2[[#This Row],[Description]],$Q$1:$S$101,3,FALSE))</f>
        <v/>
      </c>
      <c r="I8059" s="1" t="str">
        <f>IF(Table2[[#This Row],[Description]]="","",IF(Table2[[#This Row],[Currency]]=$O$2,$P$2,HLOOKUP(Table2[[#This Row],[Date]],Funds!$C$10:$GV$11,2,FALSE)))</f>
        <v/>
      </c>
      <c r="J8059" s="215" t="str">
        <f>IF(Table2[[#This Row],[Description]]="","",Table2[[#This Row],[Value]]/Table2[[#This Row],[Conversion]])</f>
        <v/>
      </c>
      <c r="K8059" s="45" t="str">
        <f>IF(Table2[[#This Row],[Description]]="","",DATE(Table2[[#This Row],[Year]],Table2[[#This Row],[Month]],1))</f>
        <v/>
      </c>
    </row>
    <row r="8060" spans="7:11" x14ac:dyDescent="0.25">
      <c r="G8060" s="1" t="str">
        <f>IF(Table2[[#This Row],[Description]]="","",VLOOKUP(Table2[[#This Row],[Description]],$Q$1:$S$101,2,FALSE))</f>
        <v/>
      </c>
      <c r="H8060" s="1" t="str">
        <f>IF(Table2[[#This Row],[Description]]="","",VLOOKUP(Table2[[#This Row],[Description]],$Q$1:$S$101,3,FALSE))</f>
        <v/>
      </c>
      <c r="I8060" s="1" t="str">
        <f>IF(Table2[[#This Row],[Description]]="","",IF(Table2[[#This Row],[Currency]]=$O$2,$P$2,HLOOKUP(Table2[[#This Row],[Date]],Funds!$C$10:$GV$11,2,FALSE)))</f>
        <v/>
      </c>
      <c r="J8060" s="215" t="str">
        <f>IF(Table2[[#This Row],[Description]]="","",Table2[[#This Row],[Value]]/Table2[[#This Row],[Conversion]])</f>
        <v/>
      </c>
      <c r="K8060" s="45" t="str">
        <f>IF(Table2[[#This Row],[Description]]="","",DATE(Table2[[#This Row],[Year]],Table2[[#This Row],[Month]],1))</f>
        <v/>
      </c>
    </row>
    <row r="8061" spans="7:11" x14ac:dyDescent="0.25">
      <c r="G8061" s="1" t="str">
        <f>IF(Table2[[#This Row],[Description]]="","",VLOOKUP(Table2[[#This Row],[Description]],$Q$1:$S$101,2,FALSE))</f>
        <v/>
      </c>
      <c r="H8061" s="1" t="str">
        <f>IF(Table2[[#This Row],[Description]]="","",VLOOKUP(Table2[[#This Row],[Description]],$Q$1:$S$101,3,FALSE))</f>
        <v/>
      </c>
      <c r="I8061" s="1" t="str">
        <f>IF(Table2[[#This Row],[Description]]="","",IF(Table2[[#This Row],[Currency]]=$O$2,$P$2,HLOOKUP(Table2[[#This Row],[Date]],Funds!$C$10:$GV$11,2,FALSE)))</f>
        <v/>
      </c>
      <c r="J8061" s="215" t="str">
        <f>IF(Table2[[#This Row],[Description]]="","",Table2[[#This Row],[Value]]/Table2[[#This Row],[Conversion]])</f>
        <v/>
      </c>
      <c r="K8061" s="45" t="str">
        <f>IF(Table2[[#This Row],[Description]]="","",DATE(Table2[[#This Row],[Year]],Table2[[#This Row],[Month]],1))</f>
        <v/>
      </c>
    </row>
    <row r="8062" spans="7:11" x14ac:dyDescent="0.25">
      <c r="G8062" s="1" t="str">
        <f>IF(Table2[[#This Row],[Description]]="","",VLOOKUP(Table2[[#This Row],[Description]],$Q$1:$S$101,2,FALSE))</f>
        <v/>
      </c>
      <c r="H8062" s="1" t="str">
        <f>IF(Table2[[#This Row],[Description]]="","",VLOOKUP(Table2[[#This Row],[Description]],$Q$1:$S$101,3,FALSE))</f>
        <v/>
      </c>
      <c r="I8062" s="1" t="str">
        <f>IF(Table2[[#This Row],[Description]]="","",IF(Table2[[#This Row],[Currency]]=$O$2,$P$2,HLOOKUP(Table2[[#This Row],[Date]],Funds!$C$10:$GV$11,2,FALSE)))</f>
        <v/>
      </c>
      <c r="J8062" s="215" t="str">
        <f>IF(Table2[[#This Row],[Description]]="","",Table2[[#This Row],[Value]]/Table2[[#This Row],[Conversion]])</f>
        <v/>
      </c>
      <c r="K8062" s="45" t="str">
        <f>IF(Table2[[#This Row],[Description]]="","",DATE(Table2[[#This Row],[Year]],Table2[[#This Row],[Month]],1))</f>
        <v/>
      </c>
    </row>
    <row r="8063" spans="7:11" x14ac:dyDescent="0.25">
      <c r="G8063" s="1" t="str">
        <f>IF(Table2[[#This Row],[Description]]="","",VLOOKUP(Table2[[#This Row],[Description]],$Q$1:$S$101,2,FALSE))</f>
        <v/>
      </c>
      <c r="H8063" s="1" t="str">
        <f>IF(Table2[[#This Row],[Description]]="","",VLOOKUP(Table2[[#This Row],[Description]],$Q$1:$S$101,3,FALSE))</f>
        <v/>
      </c>
      <c r="I8063" s="1" t="str">
        <f>IF(Table2[[#This Row],[Description]]="","",IF(Table2[[#This Row],[Currency]]=$O$2,$P$2,HLOOKUP(Table2[[#This Row],[Date]],Funds!$C$10:$GV$11,2,FALSE)))</f>
        <v/>
      </c>
      <c r="J8063" s="215" t="str">
        <f>IF(Table2[[#This Row],[Description]]="","",Table2[[#This Row],[Value]]/Table2[[#This Row],[Conversion]])</f>
        <v/>
      </c>
      <c r="K8063" s="45" t="str">
        <f>IF(Table2[[#This Row],[Description]]="","",DATE(Table2[[#This Row],[Year]],Table2[[#This Row],[Month]],1))</f>
        <v/>
      </c>
    </row>
    <row r="8064" spans="7:11" x14ac:dyDescent="0.25">
      <c r="G8064" s="1" t="str">
        <f>IF(Table2[[#This Row],[Description]]="","",VLOOKUP(Table2[[#This Row],[Description]],$Q$1:$S$101,2,FALSE))</f>
        <v/>
      </c>
      <c r="H8064" s="1" t="str">
        <f>IF(Table2[[#This Row],[Description]]="","",VLOOKUP(Table2[[#This Row],[Description]],$Q$1:$S$101,3,FALSE))</f>
        <v/>
      </c>
      <c r="I8064" s="1" t="str">
        <f>IF(Table2[[#This Row],[Description]]="","",IF(Table2[[#This Row],[Currency]]=$O$2,$P$2,HLOOKUP(Table2[[#This Row],[Date]],Funds!$C$10:$GV$11,2,FALSE)))</f>
        <v/>
      </c>
      <c r="J8064" s="215" t="str">
        <f>IF(Table2[[#This Row],[Description]]="","",Table2[[#This Row],[Value]]/Table2[[#This Row],[Conversion]])</f>
        <v/>
      </c>
      <c r="K8064" s="45" t="str">
        <f>IF(Table2[[#This Row],[Description]]="","",DATE(Table2[[#This Row],[Year]],Table2[[#This Row],[Month]],1))</f>
        <v/>
      </c>
    </row>
    <row r="8065" spans="7:11" x14ac:dyDescent="0.25">
      <c r="G8065" s="1" t="str">
        <f>IF(Table2[[#This Row],[Description]]="","",VLOOKUP(Table2[[#This Row],[Description]],$Q$1:$S$101,2,FALSE))</f>
        <v/>
      </c>
      <c r="H8065" s="1" t="str">
        <f>IF(Table2[[#This Row],[Description]]="","",VLOOKUP(Table2[[#This Row],[Description]],$Q$1:$S$101,3,FALSE))</f>
        <v/>
      </c>
      <c r="I8065" s="1" t="str">
        <f>IF(Table2[[#This Row],[Description]]="","",IF(Table2[[#This Row],[Currency]]=$O$2,$P$2,HLOOKUP(Table2[[#This Row],[Date]],Funds!$C$10:$GV$11,2,FALSE)))</f>
        <v/>
      </c>
      <c r="J8065" s="215" t="str">
        <f>IF(Table2[[#This Row],[Description]]="","",Table2[[#This Row],[Value]]/Table2[[#This Row],[Conversion]])</f>
        <v/>
      </c>
      <c r="K8065" s="45" t="str">
        <f>IF(Table2[[#This Row],[Description]]="","",DATE(Table2[[#This Row],[Year]],Table2[[#This Row],[Month]],1))</f>
        <v/>
      </c>
    </row>
    <row r="8066" spans="7:11" x14ac:dyDescent="0.25">
      <c r="G8066" s="1" t="str">
        <f>IF(Table2[[#This Row],[Description]]="","",VLOOKUP(Table2[[#This Row],[Description]],$Q$1:$S$101,2,FALSE))</f>
        <v/>
      </c>
      <c r="H8066" s="1" t="str">
        <f>IF(Table2[[#This Row],[Description]]="","",VLOOKUP(Table2[[#This Row],[Description]],$Q$1:$S$101,3,FALSE))</f>
        <v/>
      </c>
      <c r="I8066" s="1" t="str">
        <f>IF(Table2[[#This Row],[Description]]="","",IF(Table2[[#This Row],[Currency]]=$O$2,$P$2,HLOOKUP(Table2[[#This Row],[Date]],Funds!$C$10:$GV$11,2,FALSE)))</f>
        <v/>
      </c>
      <c r="J8066" s="215" t="str">
        <f>IF(Table2[[#This Row],[Description]]="","",Table2[[#This Row],[Value]]/Table2[[#This Row],[Conversion]])</f>
        <v/>
      </c>
      <c r="K8066" s="45" t="str">
        <f>IF(Table2[[#This Row],[Description]]="","",DATE(Table2[[#This Row],[Year]],Table2[[#This Row],[Month]],1))</f>
        <v/>
      </c>
    </row>
    <row r="8067" spans="7:11" x14ac:dyDescent="0.25">
      <c r="G8067" s="1" t="str">
        <f>IF(Table2[[#This Row],[Description]]="","",VLOOKUP(Table2[[#This Row],[Description]],$Q$1:$S$101,2,FALSE))</f>
        <v/>
      </c>
      <c r="H8067" s="1" t="str">
        <f>IF(Table2[[#This Row],[Description]]="","",VLOOKUP(Table2[[#This Row],[Description]],$Q$1:$S$101,3,FALSE))</f>
        <v/>
      </c>
      <c r="I8067" s="1" t="str">
        <f>IF(Table2[[#This Row],[Description]]="","",IF(Table2[[#This Row],[Currency]]=$O$2,$P$2,HLOOKUP(Table2[[#This Row],[Date]],Funds!$C$10:$GV$11,2,FALSE)))</f>
        <v/>
      </c>
      <c r="J8067" s="215" t="str">
        <f>IF(Table2[[#This Row],[Description]]="","",Table2[[#This Row],[Value]]/Table2[[#This Row],[Conversion]])</f>
        <v/>
      </c>
      <c r="K8067" s="45" t="str">
        <f>IF(Table2[[#This Row],[Description]]="","",DATE(Table2[[#This Row],[Year]],Table2[[#This Row],[Month]],1))</f>
        <v/>
      </c>
    </row>
    <row r="8068" spans="7:11" x14ac:dyDescent="0.25">
      <c r="G8068" s="1" t="str">
        <f>IF(Table2[[#This Row],[Description]]="","",VLOOKUP(Table2[[#This Row],[Description]],$Q$1:$S$101,2,FALSE))</f>
        <v/>
      </c>
      <c r="H8068" s="1" t="str">
        <f>IF(Table2[[#This Row],[Description]]="","",VLOOKUP(Table2[[#This Row],[Description]],$Q$1:$S$101,3,FALSE))</f>
        <v/>
      </c>
      <c r="I8068" s="1" t="str">
        <f>IF(Table2[[#This Row],[Description]]="","",IF(Table2[[#This Row],[Currency]]=$O$2,$P$2,HLOOKUP(Table2[[#This Row],[Date]],Funds!$C$10:$GV$11,2,FALSE)))</f>
        <v/>
      </c>
      <c r="J8068" s="215" t="str">
        <f>IF(Table2[[#This Row],[Description]]="","",Table2[[#This Row],[Value]]/Table2[[#This Row],[Conversion]])</f>
        <v/>
      </c>
      <c r="K8068" s="45" t="str">
        <f>IF(Table2[[#This Row],[Description]]="","",DATE(Table2[[#This Row],[Year]],Table2[[#This Row],[Month]],1))</f>
        <v/>
      </c>
    </row>
    <row r="8069" spans="7:11" x14ac:dyDescent="0.25">
      <c r="G8069" s="1" t="str">
        <f>IF(Table2[[#This Row],[Description]]="","",VLOOKUP(Table2[[#This Row],[Description]],$Q$1:$S$101,2,FALSE))</f>
        <v/>
      </c>
      <c r="H8069" s="1" t="str">
        <f>IF(Table2[[#This Row],[Description]]="","",VLOOKUP(Table2[[#This Row],[Description]],$Q$1:$S$101,3,FALSE))</f>
        <v/>
      </c>
      <c r="I8069" s="1" t="str">
        <f>IF(Table2[[#This Row],[Description]]="","",IF(Table2[[#This Row],[Currency]]=$O$2,$P$2,HLOOKUP(Table2[[#This Row],[Date]],Funds!$C$10:$GV$11,2,FALSE)))</f>
        <v/>
      </c>
      <c r="J8069" s="215" t="str">
        <f>IF(Table2[[#This Row],[Description]]="","",Table2[[#This Row],[Value]]/Table2[[#This Row],[Conversion]])</f>
        <v/>
      </c>
      <c r="K8069" s="45" t="str">
        <f>IF(Table2[[#This Row],[Description]]="","",DATE(Table2[[#This Row],[Year]],Table2[[#This Row],[Month]],1))</f>
        <v/>
      </c>
    </row>
    <row r="8070" spans="7:11" x14ac:dyDescent="0.25">
      <c r="G8070" s="1" t="str">
        <f>IF(Table2[[#This Row],[Description]]="","",VLOOKUP(Table2[[#This Row],[Description]],$Q$1:$S$101,2,FALSE))</f>
        <v/>
      </c>
      <c r="H8070" s="1" t="str">
        <f>IF(Table2[[#This Row],[Description]]="","",VLOOKUP(Table2[[#This Row],[Description]],$Q$1:$S$101,3,FALSE))</f>
        <v/>
      </c>
      <c r="I8070" s="1" t="str">
        <f>IF(Table2[[#This Row],[Description]]="","",IF(Table2[[#This Row],[Currency]]=$O$2,$P$2,HLOOKUP(Table2[[#This Row],[Date]],Funds!$C$10:$GV$11,2,FALSE)))</f>
        <v/>
      </c>
      <c r="J8070" s="215" t="str">
        <f>IF(Table2[[#This Row],[Description]]="","",Table2[[#This Row],[Value]]/Table2[[#This Row],[Conversion]])</f>
        <v/>
      </c>
      <c r="K8070" s="45" t="str">
        <f>IF(Table2[[#This Row],[Description]]="","",DATE(Table2[[#This Row],[Year]],Table2[[#This Row],[Month]],1))</f>
        <v/>
      </c>
    </row>
    <row r="8071" spans="7:11" x14ac:dyDescent="0.25">
      <c r="G8071" s="1" t="str">
        <f>IF(Table2[[#This Row],[Description]]="","",VLOOKUP(Table2[[#This Row],[Description]],$Q$1:$S$101,2,FALSE))</f>
        <v/>
      </c>
      <c r="H8071" s="1" t="str">
        <f>IF(Table2[[#This Row],[Description]]="","",VLOOKUP(Table2[[#This Row],[Description]],$Q$1:$S$101,3,FALSE))</f>
        <v/>
      </c>
      <c r="I8071" s="1" t="str">
        <f>IF(Table2[[#This Row],[Description]]="","",IF(Table2[[#This Row],[Currency]]=$O$2,$P$2,HLOOKUP(Table2[[#This Row],[Date]],Funds!$C$10:$GV$11,2,FALSE)))</f>
        <v/>
      </c>
      <c r="J8071" s="215" t="str">
        <f>IF(Table2[[#This Row],[Description]]="","",Table2[[#This Row],[Value]]/Table2[[#This Row],[Conversion]])</f>
        <v/>
      </c>
      <c r="K8071" s="45" t="str">
        <f>IF(Table2[[#This Row],[Description]]="","",DATE(Table2[[#This Row],[Year]],Table2[[#This Row],[Month]],1))</f>
        <v/>
      </c>
    </row>
    <row r="8072" spans="7:11" x14ac:dyDescent="0.25">
      <c r="G8072" s="1" t="str">
        <f>IF(Table2[[#This Row],[Description]]="","",VLOOKUP(Table2[[#This Row],[Description]],$Q$1:$S$101,2,FALSE))</f>
        <v/>
      </c>
      <c r="H8072" s="1" t="str">
        <f>IF(Table2[[#This Row],[Description]]="","",VLOOKUP(Table2[[#This Row],[Description]],$Q$1:$S$101,3,FALSE))</f>
        <v/>
      </c>
      <c r="I8072" s="1" t="str">
        <f>IF(Table2[[#This Row],[Description]]="","",IF(Table2[[#This Row],[Currency]]=$O$2,$P$2,HLOOKUP(Table2[[#This Row],[Date]],Funds!$C$10:$GV$11,2,FALSE)))</f>
        <v/>
      </c>
      <c r="J8072" s="215" t="str">
        <f>IF(Table2[[#This Row],[Description]]="","",Table2[[#This Row],[Value]]/Table2[[#This Row],[Conversion]])</f>
        <v/>
      </c>
      <c r="K8072" s="45" t="str">
        <f>IF(Table2[[#This Row],[Description]]="","",DATE(Table2[[#This Row],[Year]],Table2[[#This Row],[Month]],1))</f>
        <v/>
      </c>
    </row>
    <row r="8073" spans="7:11" x14ac:dyDescent="0.25">
      <c r="G8073" s="1" t="str">
        <f>IF(Table2[[#This Row],[Description]]="","",VLOOKUP(Table2[[#This Row],[Description]],$Q$1:$S$101,2,FALSE))</f>
        <v/>
      </c>
      <c r="H8073" s="1" t="str">
        <f>IF(Table2[[#This Row],[Description]]="","",VLOOKUP(Table2[[#This Row],[Description]],$Q$1:$S$101,3,FALSE))</f>
        <v/>
      </c>
      <c r="I8073" s="1" t="str">
        <f>IF(Table2[[#This Row],[Description]]="","",IF(Table2[[#This Row],[Currency]]=$O$2,$P$2,HLOOKUP(Table2[[#This Row],[Date]],Funds!$C$10:$GV$11,2,FALSE)))</f>
        <v/>
      </c>
      <c r="J8073" s="215" t="str">
        <f>IF(Table2[[#This Row],[Description]]="","",Table2[[#This Row],[Value]]/Table2[[#This Row],[Conversion]])</f>
        <v/>
      </c>
      <c r="K8073" s="45" t="str">
        <f>IF(Table2[[#This Row],[Description]]="","",DATE(Table2[[#This Row],[Year]],Table2[[#This Row],[Month]],1))</f>
        <v/>
      </c>
    </row>
    <row r="8074" spans="7:11" x14ac:dyDescent="0.25">
      <c r="G8074" s="1" t="str">
        <f>IF(Table2[[#This Row],[Description]]="","",VLOOKUP(Table2[[#This Row],[Description]],$Q$1:$S$101,2,FALSE))</f>
        <v/>
      </c>
      <c r="H8074" s="1" t="str">
        <f>IF(Table2[[#This Row],[Description]]="","",VLOOKUP(Table2[[#This Row],[Description]],$Q$1:$S$101,3,FALSE))</f>
        <v/>
      </c>
      <c r="I8074" s="1" t="str">
        <f>IF(Table2[[#This Row],[Description]]="","",IF(Table2[[#This Row],[Currency]]=$O$2,$P$2,HLOOKUP(Table2[[#This Row],[Date]],Funds!$C$10:$GV$11,2,FALSE)))</f>
        <v/>
      </c>
      <c r="J8074" s="215" t="str">
        <f>IF(Table2[[#This Row],[Description]]="","",Table2[[#This Row],[Value]]/Table2[[#This Row],[Conversion]])</f>
        <v/>
      </c>
      <c r="K8074" s="45" t="str">
        <f>IF(Table2[[#This Row],[Description]]="","",DATE(Table2[[#This Row],[Year]],Table2[[#This Row],[Month]],1))</f>
        <v/>
      </c>
    </row>
    <row r="8075" spans="7:11" x14ac:dyDescent="0.25">
      <c r="G8075" s="1" t="str">
        <f>IF(Table2[[#This Row],[Description]]="","",VLOOKUP(Table2[[#This Row],[Description]],$Q$1:$S$101,2,FALSE))</f>
        <v/>
      </c>
      <c r="H8075" s="1" t="str">
        <f>IF(Table2[[#This Row],[Description]]="","",VLOOKUP(Table2[[#This Row],[Description]],$Q$1:$S$101,3,FALSE))</f>
        <v/>
      </c>
      <c r="I8075" s="1" t="str">
        <f>IF(Table2[[#This Row],[Description]]="","",IF(Table2[[#This Row],[Currency]]=$O$2,$P$2,HLOOKUP(Table2[[#This Row],[Date]],Funds!$C$10:$GV$11,2,FALSE)))</f>
        <v/>
      </c>
      <c r="J8075" s="215" t="str">
        <f>IF(Table2[[#This Row],[Description]]="","",Table2[[#This Row],[Value]]/Table2[[#This Row],[Conversion]])</f>
        <v/>
      </c>
      <c r="K8075" s="45" t="str">
        <f>IF(Table2[[#This Row],[Description]]="","",DATE(Table2[[#This Row],[Year]],Table2[[#This Row],[Month]],1))</f>
        <v/>
      </c>
    </row>
    <row r="8076" spans="7:11" x14ac:dyDescent="0.25">
      <c r="G8076" s="1" t="str">
        <f>IF(Table2[[#This Row],[Description]]="","",VLOOKUP(Table2[[#This Row],[Description]],$Q$1:$S$101,2,FALSE))</f>
        <v/>
      </c>
      <c r="H8076" s="1" t="str">
        <f>IF(Table2[[#This Row],[Description]]="","",VLOOKUP(Table2[[#This Row],[Description]],$Q$1:$S$101,3,FALSE))</f>
        <v/>
      </c>
      <c r="I8076" s="1" t="str">
        <f>IF(Table2[[#This Row],[Description]]="","",IF(Table2[[#This Row],[Currency]]=$O$2,$P$2,HLOOKUP(Table2[[#This Row],[Date]],Funds!$C$10:$GV$11,2,FALSE)))</f>
        <v/>
      </c>
      <c r="J8076" s="215" t="str">
        <f>IF(Table2[[#This Row],[Description]]="","",Table2[[#This Row],[Value]]/Table2[[#This Row],[Conversion]])</f>
        <v/>
      </c>
      <c r="K8076" s="45" t="str">
        <f>IF(Table2[[#This Row],[Description]]="","",DATE(Table2[[#This Row],[Year]],Table2[[#This Row],[Month]],1))</f>
        <v/>
      </c>
    </row>
    <row r="8077" spans="7:11" x14ac:dyDescent="0.25">
      <c r="G8077" s="1" t="str">
        <f>IF(Table2[[#This Row],[Description]]="","",VLOOKUP(Table2[[#This Row],[Description]],$Q$1:$S$101,2,FALSE))</f>
        <v/>
      </c>
      <c r="H8077" s="1" t="str">
        <f>IF(Table2[[#This Row],[Description]]="","",VLOOKUP(Table2[[#This Row],[Description]],$Q$1:$S$101,3,FALSE))</f>
        <v/>
      </c>
      <c r="I8077" s="1" t="str">
        <f>IF(Table2[[#This Row],[Description]]="","",IF(Table2[[#This Row],[Currency]]=$O$2,$P$2,HLOOKUP(Table2[[#This Row],[Date]],Funds!$C$10:$GV$11,2,FALSE)))</f>
        <v/>
      </c>
      <c r="J8077" s="215" t="str">
        <f>IF(Table2[[#This Row],[Description]]="","",Table2[[#This Row],[Value]]/Table2[[#This Row],[Conversion]])</f>
        <v/>
      </c>
      <c r="K8077" s="45" t="str">
        <f>IF(Table2[[#This Row],[Description]]="","",DATE(Table2[[#This Row],[Year]],Table2[[#This Row],[Month]],1))</f>
        <v/>
      </c>
    </row>
    <row r="8078" spans="7:11" x14ac:dyDescent="0.25">
      <c r="G8078" s="1" t="str">
        <f>IF(Table2[[#This Row],[Description]]="","",VLOOKUP(Table2[[#This Row],[Description]],$Q$1:$S$101,2,FALSE))</f>
        <v/>
      </c>
      <c r="H8078" s="1" t="str">
        <f>IF(Table2[[#This Row],[Description]]="","",VLOOKUP(Table2[[#This Row],[Description]],$Q$1:$S$101,3,FALSE))</f>
        <v/>
      </c>
      <c r="I8078" s="1" t="str">
        <f>IF(Table2[[#This Row],[Description]]="","",IF(Table2[[#This Row],[Currency]]=$O$2,$P$2,HLOOKUP(Table2[[#This Row],[Date]],Funds!$C$10:$GV$11,2,FALSE)))</f>
        <v/>
      </c>
      <c r="J8078" s="215" t="str">
        <f>IF(Table2[[#This Row],[Description]]="","",Table2[[#This Row],[Value]]/Table2[[#This Row],[Conversion]])</f>
        <v/>
      </c>
      <c r="K8078" s="45" t="str">
        <f>IF(Table2[[#This Row],[Description]]="","",DATE(Table2[[#This Row],[Year]],Table2[[#This Row],[Month]],1))</f>
        <v/>
      </c>
    </row>
    <row r="8079" spans="7:11" x14ac:dyDescent="0.25">
      <c r="G8079" s="1" t="str">
        <f>IF(Table2[[#This Row],[Description]]="","",VLOOKUP(Table2[[#This Row],[Description]],$Q$1:$S$101,2,FALSE))</f>
        <v/>
      </c>
      <c r="H8079" s="1" t="str">
        <f>IF(Table2[[#This Row],[Description]]="","",VLOOKUP(Table2[[#This Row],[Description]],$Q$1:$S$101,3,FALSE))</f>
        <v/>
      </c>
      <c r="I8079" s="1" t="str">
        <f>IF(Table2[[#This Row],[Description]]="","",IF(Table2[[#This Row],[Currency]]=$O$2,$P$2,HLOOKUP(Table2[[#This Row],[Date]],Funds!$C$10:$GV$11,2,FALSE)))</f>
        <v/>
      </c>
      <c r="J8079" s="215" t="str">
        <f>IF(Table2[[#This Row],[Description]]="","",Table2[[#This Row],[Value]]/Table2[[#This Row],[Conversion]])</f>
        <v/>
      </c>
      <c r="K8079" s="45" t="str">
        <f>IF(Table2[[#This Row],[Description]]="","",DATE(Table2[[#This Row],[Year]],Table2[[#This Row],[Month]],1))</f>
        <v/>
      </c>
    </row>
    <row r="8080" spans="7:11" x14ac:dyDescent="0.25">
      <c r="G8080" s="1" t="str">
        <f>IF(Table2[[#This Row],[Description]]="","",VLOOKUP(Table2[[#This Row],[Description]],$Q$1:$S$101,2,FALSE))</f>
        <v/>
      </c>
      <c r="H8080" s="1" t="str">
        <f>IF(Table2[[#This Row],[Description]]="","",VLOOKUP(Table2[[#This Row],[Description]],$Q$1:$S$101,3,FALSE))</f>
        <v/>
      </c>
      <c r="I8080" s="1" t="str">
        <f>IF(Table2[[#This Row],[Description]]="","",IF(Table2[[#This Row],[Currency]]=$O$2,$P$2,HLOOKUP(Table2[[#This Row],[Date]],Funds!$C$10:$GV$11,2,FALSE)))</f>
        <v/>
      </c>
      <c r="J8080" s="215" t="str">
        <f>IF(Table2[[#This Row],[Description]]="","",Table2[[#This Row],[Value]]/Table2[[#This Row],[Conversion]])</f>
        <v/>
      </c>
      <c r="K8080" s="45" t="str">
        <f>IF(Table2[[#This Row],[Description]]="","",DATE(Table2[[#This Row],[Year]],Table2[[#This Row],[Month]],1))</f>
        <v/>
      </c>
    </row>
    <row r="8081" spans="7:11" x14ac:dyDescent="0.25">
      <c r="G8081" s="1" t="str">
        <f>IF(Table2[[#This Row],[Description]]="","",VLOOKUP(Table2[[#This Row],[Description]],$Q$1:$S$101,2,FALSE))</f>
        <v/>
      </c>
      <c r="H8081" s="1" t="str">
        <f>IF(Table2[[#This Row],[Description]]="","",VLOOKUP(Table2[[#This Row],[Description]],$Q$1:$S$101,3,FALSE))</f>
        <v/>
      </c>
      <c r="I8081" s="1" t="str">
        <f>IF(Table2[[#This Row],[Description]]="","",IF(Table2[[#This Row],[Currency]]=$O$2,$P$2,HLOOKUP(Table2[[#This Row],[Date]],Funds!$C$10:$GV$11,2,FALSE)))</f>
        <v/>
      </c>
      <c r="J8081" s="215" t="str">
        <f>IF(Table2[[#This Row],[Description]]="","",Table2[[#This Row],[Value]]/Table2[[#This Row],[Conversion]])</f>
        <v/>
      </c>
      <c r="K8081" s="45" t="str">
        <f>IF(Table2[[#This Row],[Description]]="","",DATE(Table2[[#This Row],[Year]],Table2[[#This Row],[Month]],1))</f>
        <v/>
      </c>
    </row>
    <row r="8082" spans="7:11" x14ac:dyDescent="0.25">
      <c r="G8082" s="1" t="str">
        <f>IF(Table2[[#This Row],[Description]]="","",VLOOKUP(Table2[[#This Row],[Description]],$Q$1:$S$101,2,FALSE))</f>
        <v/>
      </c>
      <c r="H8082" s="1" t="str">
        <f>IF(Table2[[#This Row],[Description]]="","",VLOOKUP(Table2[[#This Row],[Description]],$Q$1:$S$101,3,FALSE))</f>
        <v/>
      </c>
      <c r="I8082" s="1" t="str">
        <f>IF(Table2[[#This Row],[Description]]="","",IF(Table2[[#This Row],[Currency]]=$O$2,$P$2,HLOOKUP(Table2[[#This Row],[Date]],Funds!$C$10:$GV$11,2,FALSE)))</f>
        <v/>
      </c>
      <c r="J8082" s="215" t="str">
        <f>IF(Table2[[#This Row],[Description]]="","",Table2[[#This Row],[Value]]/Table2[[#This Row],[Conversion]])</f>
        <v/>
      </c>
      <c r="K8082" s="45" t="str">
        <f>IF(Table2[[#This Row],[Description]]="","",DATE(Table2[[#This Row],[Year]],Table2[[#This Row],[Month]],1))</f>
        <v/>
      </c>
    </row>
    <row r="8083" spans="7:11" x14ac:dyDescent="0.25">
      <c r="G8083" s="1" t="str">
        <f>IF(Table2[[#This Row],[Description]]="","",VLOOKUP(Table2[[#This Row],[Description]],$Q$1:$S$101,2,FALSE))</f>
        <v/>
      </c>
      <c r="H8083" s="1" t="str">
        <f>IF(Table2[[#This Row],[Description]]="","",VLOOKUP(Table2[[#This Row],[Description]],$Q$1:$S$101,3,FALSE))</f>
        <v/>
      </c>
      <c r="I8083" s="1" t="str">
        <f>IF(Table2[[#This Row],[Description]]="","",IF(Table2[[#This Row],[Currency]]=$O$2,$P$2,HLOOKUP(Table2[[#This Row],[Date]],Funds!$C$10:$GV$11,2,FALSE)))</f>
        <v/>
      </c>
      <c r="J8083" s="215" t="str">
        <f>IF(Table2[[#This Row],[Description]]="","",Table2[[#This Row],[Value]]/Table2[[#This Row],[Conversion]])</f>
        <v/>
      </c>
      <c r="K8083" s="45" t="str">
        <f>IF(Table2[[#This Row],[Description]]="","",DATE(Table2[[#This Row],[Year]],Table2[[#This Row],[Month]],1))</f>
        <v/>
      </c>
    </row>
    <row r="8084" spans="7:11" x14ac:dyDescent="0.25">
      <c r="G8084" s="1" t="str">
        <f>IF(Table2[[#This Row],[Description]]="","",VLOOKUP(Table2[[#This Row],[Description]],$Q$1:$S$101,2,FALSE))</f>
        <v/>
      </c>
      <c r="H8084" s="1" t="str">
        <f>IF(Table2[[#This Row],[Description]]="","",VLOOKUP(Table2[[#This Row],[Description]],$Q$1:$S$101,3,FALSE))</f>
        <v/>
      </c>
      <c r="I8084" s="1" t="str">
        <f>IF(Table2[[#This Row],[Description]]="","",IF(Table2[[#This Row],[Currency]]=$O$2,$P$2,HLOOKUP(Table2[[#This Row],[Date]],Funds!$C$10:$GV$11,2,FALSE)))</f>
        <v/>
      </c>
      <c r="J8084" s="215" t="str">
        <f>IF(Table2[[#This Row],[Description]]="","",Table2[[#This Row],[Value]]/Table2[[#This Row],[Conversion]])</f>
        <v/>
      </c>
      <c r="K8084" s="45" t="str">
        <f>IF(Table2[[#This Row],[Description]]="","",DATE(Table2[[#This Row],[Year]],Table2[[#This Row],[Month]],1))</f>
        <v/>
      </c>
    </row>
    <row r="8085" spans="7:11" x14ac:dyDescent="0.25">
      <c r="G8085" s="1" t="str">
        <f>IF(Table2[[#This Row],[Description]]="","",VLOOKUP(Table2[[#This Row],[Description]],$Q$1:$S$101,2,FALSE))</f>
        <v/>
      </c>
      <c r="H8085" s="1" t="str">
        <f>IF(Table2[[#This Row],[Description]]="","",VLOOKUP(Table2[[#This Row],[Description]],$Q$1:$S$101,3,FALSE))</f>
        <v/>
      </c>
      <c r="I8085" s="1" t="str">
        <f>IF(Table2[[#This Row],[Description]]="","",IF(Table2[[#This Row],[Currency]]=$O$2,$P$2,HLOOKUP(Table2[[#This Row],[Date]],Funds!$C$10:$GV$11,2,FALSE)))</f>
        <v/>
      </c>
      <c r="J8085" s="215" t="str">
        <f>IF(Table2[[#This Row],[Description]]="","",Table2[[#This Row],[Value]]/Table2[[#This Row],[Conversion]])</f>
        <v/>
      </c>
      <c r="K8085" s="45" t="str">
        <f>IF(Table2[[#This Row],[Description]]="","",DATE(Table2[[#This Row],[Year]],Table2[[#This Row],[Month]],1))</f>
        <v/>
      </c>
    </row>
    <row r="8086" spans="7:11" x14ac:dyDescent="0.25">
      <c r="G8086" s="1" t="str">
        <f>IF(Table2[[#This Row],[Description]]="","",VLOOKUP(Table2[[#This Row],[Description]],$Q$1:$S$101,2,FALSE))</f>
        <v/>
      </c>
      <c r="H8086" s="1" t="str">
        <f>IF(Table2[[#This Row],[Description]]="","",VLOOKUP(Table2[[#This Row],[Description]],$Q$1:$S$101,3,FALSE))</f>
        <v/>
      </c>
      <c r="I8086" s="1" t="str">
        <f>IF(Table2[[#This Row],[Description]]="","",IF(Table2[[#This Row],[Currency]]=$O$2,$P$2,HLOOKUP(Table2[[#This Row],[Date]],Funds!$C$10:$GV$11,2,FALSE)))</f>
        <v/>
      </c>
      <c r="J8086" s="215" t="str">
        <f>IF(Table2[[#This Row],[Description]]="","",Table2[[#This Row],[Value]]/Table2[[#This Row],[Conversion]])</f>
        <v/>
      </c>
      <c r="K8086" s="45" t="str">
        <f>IF(Table2[[#This Row],[Description]]="","",DATE(Table2[[#This Row],[Year]],Table2[[#This Row],[Month]],1))</f>
        <v/>
      </c>
    </row>
    <row r="8087" spans="7:11" x14ac:dyDescent="0.25">
      <c r="G8087" s="1" t="str">
        <f>IF(Table2[[#This Row],[Description]]="","",VLOOKUP(Table2[[#This Row],[Description]],$Q$1:$S$101,2,FALSE))</f>
        <v/>
      </c>
      <c r="H8087" s="1" t="str">
        <f>IF(Table2[[#This Row],[Description]]="","",VLOOKUP(Table2[[#This Row],[Description]],$Q$1:$S$101,3,FALSE))</f>
        <v/>
      </c>
      <c r="I8087" s="1" t="str">
        <f>IF(Table2[[#This Row],[Description]]="","",IF(Table2[[#This Row],[Currency]]=$O$2,$P$2,HLOOKUP(Table2[[#This Row],[Date]],Funds!$C$10:$GV$11,2,FALSE)))</f>
        <v/>
      </c>
      <c r="J8087" s="215" t="str">
        <f>IF(Table2[[#This Row],[Description]]="","",Table2[[#This Row],[Value]]/Table2[[#This Row],[Conversion]])</f>
        <v/>
      </c>
      <c r="K8087" s="45" t="str">
        <f>IF(Table2[[#This Row],[Description]]="","",DATE(Table2[[#This Row],[Year]],Table2[[#This Row],[Month]],1))</f>
        <v/>
      </c>
    </row>
    <row r="8088" spans="7:11" x14ac:dyDescent="0.25">
      <c r="G8088" s="1" t="str">
        <f>IF(Table2[[#This Row],[Description]]="","",VLOOKUP(Table2[[#This Row],[Description]],$Q$1:$S$101,2,FALSE))</f>
        <v/>
      </c>
      <c r="H8088" s="1" t="str">
        <f>IF(Table2[[#This Row],[Description]]="","",VLOOKUP(Table2[[#This Row],[Description]],$Q$1:$S$101,3,FALSE))</f>
        <v/>
      </c>
      <c r="I8088" s="1" t="str">
        <f>IF(Table2[[#This Row],[Description]]="","",IF(Table2[[#This Row],[Currency]]=$O$2,$P$2,HLOOKUP(Table2[[#This Row],[Date]],Funds!$C$10:$GV$11,2,FALSE)))</f>
        <v/>
      </c>
      <c r="J8088" s="215" t="str">
        <f>IF(Table2[[#This Row],[Description]]="","",Table2[[#This Row],[Value]]/Table2[[#This Row],[Conversion]])</f>
        <v/>
      </c>
      <c r="K8088" s="45" t="str">
        <f>IF(Table2[[#This Row],[Description]]="","",DATE(Table2[[#This Row],[Year]],Table2[[#This Row],[Month]],1))</f>
        <v/>
      </c>
    </row>
    <row r="8089" spans="7:11" x14ac:dyDescent="0.25">
      <c r="G8089" s="1" t="str">
        <f>IF(Table2[[#This Row],[Description]]="","",VLOOKUP(Table2[[#This Row],[Description]],$Q$1:$S$101,2,FALSE))</f>
        <v/>
      </c>
      <c r="H8089" s="1" t="str">
        <f>IF(Table2[[#This Row],[Description]]="","",VLOOKUP(Table2[[#This Row],[Description]],$Q$1:$S$101,3,FALSE))</f>
        <v/>
      </c>
      <c r="I8089" s="1" t="str">
        <f>IF(Table2[[#This Row],[Description]]="","",IF(Table2[[#This Row],[Currency]]=$O$2,$P$2,HLOOKUP(Table2[[#This Row],[Date]],Funds!$C$10:$GV$11,2,FALSE)))</f>
        <v/>
      </c>
      <c r="J8089" s="215" t="str">
        <f>IF(Table2[[#This Row],[Description]]="","",Table2[[#This Row],[Value]]/Table2[[#This Row],[Conversion]])</f>
        <v/>
      </c>
      <c r="K8089" s="45" t="str">
        <f>IF(Table2[[#This Row],[Description]]="","",DATE(Table2[[#This Row],[Year]],Table2[[#This Row],[Month]],1))</f>
        <v/>
      </c>
    </row>
    <row r="8090" spans="7:11" x14ac:dyDescent="0.25">
      <c r="G8090" s="1" t="str">
        <f>IF(Table2[[#This Row],[Description]]="","",VLOOKUP(Table2[[#This Row],[Description]],$Q$1:$S$101,2,FALSE))</f>
        <v/>
      </c>
      <c r="H8090" s="1" t="str">
        <f>IF(Table2[[#This Row],[Description]]="","",VLOOKUP(Table2[[#This Row],[Description]],$Q$1:$S$101,3,FALSE))</f>
        <v/>
      </c>
      <c r="I8090" s="1" t="str">
        <f>IF(Table2[[#This Row],[Description]]="","",IF(Table2[[#This Row],[Currency]]=$O$2,$P$2,HLOOKUP(Table2[[#This Row],[Date]],Funds!$C$10:$GV$11,2,FALSE)))</f>
        <v/>
      </c>
      <c r="J8090" s="215" t="str">
        <f>IF(Table2[[#This Row],[Description]]="","",Table2[[#This Row],[Value]]/Table2[[#This Row],[Conversion]])</f>
        <v/>
      </c>
      <c r="K8090" s="45" t="str">
        <f>IF(Table2[[#This Row],[Description]]="","",DATE(Table2[[#This Row],[Year]],Table2[[#This Row],[Month]],1))</f>
        <v/>
      </c>
    </row>
    <row r="8091" spans="7:11" x14ac:dyDescent="0.25">
      <c r="G8091" s="1" t="str">
        <f>IF(Table2[[#This Row],[Description]]="","",VLOOKUP(Table2[[#This Row],[Description]],$Q$1:$S$101,2,FALSE))</f>
        <v/>
      </c>
      <c r="H8091" s="1" t="str">
        <f>IF(Table2[[#This Row],[Description]]="","",VLOOKUP(Table2[[#This Row],[Description]],$Q$1:$S$101,3,FALSE))</f>
        <v/>
      </c>
      <c r="I8091" s="1" t="str">
        <f>IF(Table2[[#This Row],[Description]]="","",IF(Table2[[#This Row],[Currency]]=$O$2,$P$2,HLOOKUP(Table2[[#This Row],[Date]],Funds!$C$10:$GV$11,2,FALSE)))</f>
        <v/>
      </c>
      <c r="J8091" s="215" t="str">
        <f>IF(Table2[[#This Row],[Description]]="","",Table2[[#This Row],[Value]]/Table2[[#This Row],[Conversion]])</f>
        <v/>
      </c>
      <c r="K8091" s="45" t="str">
        <f>IF(Table2[[#This Row],[Description]]="","",DATE(Table2[[#This Row],[Year]],Table2[[#This Row],[Month]],1))</f>
        <v/>
      </c>
    </row>
    <row r="8092" spans="7:11" x14ac:dyDescent="0.25">
      <c r="G8092" s="1" t="str">
        <f>IF(Table2[[#This Row],[Description]]="","",VLOOKUP(Table2[[#This Row],[Description]],$Q$1:$S$101,2,FALSE))</f>
        <v/>
      </c>
      <c r="H8092" s="1" t="str">
        <f>IF(Table2[[#This Row],[Description]]="","",VLOOKUP(Table2[[#This Row],[Description]],$Q$1:$S$101,3,FALSE))</f>
        <v/>
      </c>
      <c r="I8092" s="1" t="str">
        <f>IF(Table2[[#This Row],[Description]]="","",IF(Table2[[#This Row],[Currency]]=$O$2,$P$2,HLOOKUP(Table2[[#This Row],[Date]],Funds!$C$10:$GV$11,2,FALSE)))</f>
        <v/>
      </c>
      <c r="J8092" s="215" t="str">
        <f>IF(Table2[[#This Row],[Description]]="","",Table2[[#This Row],[Value]]/Table2[[#This Row],[Conversion]])</f>
        <v/>
      </c>
      <c r="K8092" s="45" t="str">
        <f>IF(Table2[[#This Row],[Description]]="","",DATE(Table2[[#This Row],[Year]],Table2[[#This Row],[Month]],1))</f>
        <v/>
      </c>
    </row>
    <row r="8093" spans="7:11" x14ac:dyDescent="0.25">
      <c r="G8093" s="1" t="str">
        <f>IF(Table2[[#This Row],[Description]]="","",VLOOKUP(Table2[[#This Row],[Description]],$Q$1:$S$101,2,FALSE))</f>
        <v/>
      </c>
      <c r="H8093" s="1" t="str">
        <f>IF(Table2[[#This Row],[Description]]="","",VLOOKUP(Table2[[#This Row],[Description]],$Q$1:$S$101,3,FALSE))</f>
        <v/>
      </c>
      <c r="I8093" s="1" t="str">
        <f>IF(Table2[[#This Row],[Description]]="","",IF(Table2[[#This Row],[Currency]]=$O$2,$P$2,HLOOKUP(Table2[[#This Row],[Date]],Funds!$C$10:$GV$11,2,FALSE)))</f>
        <v/>
      </c>
      <c r="J8093" s="215" t="str">
        <f>IF(Table2[[#This Row],[Description]]="","",Table2[[#This Row],[Value]]/Table2[[#This Row],[Conversion]])</f>
        <v/>
      </c>
      <c r="K8093" s="45" t="str">
        <f>IF(Table2[[#This Row],[Description]]="","",DATE(Table2[[#This Row],[Year]],Table2[[#This Row],[Month]],1))</f>
        <v/>
      </c>
    </row>
    <row r="8094" spans="7:11" x14ac:dyDescent="0.25">
      <c r="G8094" s="1" t="str">
        <f>IF(Table2[[#This Row],[Description]]="","",VLOOKUP(Table2[[#This Row],[Description]],$Q$1:$S$101,2,FALSE))</f>
        <v/>
      </c>
      <c r="H8094" s="1" t="str">
        <f>IF(Table2[[#This Row],[Description]]="","",VLOOKUP(Table2[[#This Row],[Description]],$Q$1:$S$101,3,FALSE))</f>
        <v/>
      </c>
      <c r="I8094" s="1" t="str">
        <f>IF(Table2[[#This Row],[Description]]="","",IF(Table2[[#This Row],[Currency]]=$O$2,$P$2,HLOOKUP(Table2[[#This Row],[Date]],Funds!$C$10:$GV$11,2,FALSE)))</f>
        <v/>
      </c>
      <c r="J8094" s="215" t="str">
        <f>IF(Table2[[#This Row],[Description]]="","",Table2[[#This Row],[Value]]/Table2[[#This Row],[Conversion]])</f>
        <v/>
      </c>
      <c r="K8094" s="45" t="str">
        <f>IF(Table2[[#This Row],[Description]]="","",DATE(Table2[[#This Row],[Year]],Table2[[#This Row],[Month]],1))</f>
        <v/>
      </c>
    </row>
    <row r="8095" spans="7:11" x14ac:dyDescent="0.25">
      <c r="G8095" s="1" t="str">
        <f>IF(Table2[[#This Row],[Description]]="","",VLOOKUP(Table2[[#This Row],[Description]],$Q$1:$S$101,2,FALSE))</f>
        <v/>
      </c>
      <c r="H8095" s="1" t="str">
        <f>IF(Table2[[#This Row],[Description]]="","",VLOOKUP(Table2[[#This Row],[Description]],$Q$1:$S$101,3,FALSE))</f>
        <v/>
      </c>
      <c r="I8095" s="1" t="str">
        <f>IF(Table2[[#This Row],[Description]]="","",IF(Table2[[#This Row],[Currency]]=$O$2,$P$2,HLOOKUP(Table2[[#This Row],[Date]],Funds!$C$10:$GV$11,2,FALSE)))</f>
        <v/>
      </c>
      <c r="J8095" s="215" t="str">
        <f>IF(Table2[[#This Row],[Description]]="","",Table2[[#This Row],[Value]]/Table2[[#This Row],[Conversion]])</f>
        <v/>
      </c>
      <c r="K8095" s="45" t="str">
        <f>IF(Table2[[#This Row],[Description]]="","",DATE(Table2[[#This Row],[Year]],Table2[[#This Row],[Month]],1))</f>
        <v/>
      </c>
    </row>
    <row r="8096" spans="7:11" x14ac:dyDescent="0.25">
      <c r="G8096" s="1" t="str">
        <f>IF(Table2[[#This Row],[Description]]="","",VLOOKUP(Table2[[#This Row],[Description]],$Q$1:$S$101,2,FALSE))</f>
        <v/>
      </c>
      <c r="H8096" s="1" t="str">
        <f>IF(Table2[[#This Row],[Description]]="","",VLOOKUP(Table2[[#This Row],[Description]],$Q$1:$S$101,3,FALSE))</f>
        <v/>
      </c>
      <c r="I8096" s="1" t="str">
        <f>IF(Table2[[#This Row],[Description]]="","",IF(Table2[[#This Row],[Currency]]=$O$2,$P$2,HLOOKUP(Table2[[#This Row],[Date]],Funds!$C$10:$GV$11,2,FALSE)))</f>
        <v/>
      </c>
      <c r="J8096" s="215" t="str">
        <f>IF(Table2[[#This Row],[Description]]="","",Table2[[#This Row],[Value]]/Table2[[#This Row],[Conversion]])</f>
        <v/>
      </c>
      <c r="K8096" s="45" t="str">
        <f>IF(Table2[[#This Row],[Description]]="","",DATE(Table2[[#This Row],[Year]],Table2[[#This Row],[Month]],1))</f>
        <v/>
      </c>
    </row>
    <row r="8097" spans="7:11" x14ac:dyDescent="0.25">
      <c r="G8097" s="1" t="str">
        <f>IF(Table2[[#This Row],[Description]]="","",VLOOKUP(Table2[[#This Row],[Description]],$Q$1:$S$101,2,FALSE))</f>
        <v/>
      </c>
      <c r="H8097" s="1" t="str">
        <f>IF(Table2[[#This Row],[Description]]="","",VLOOKUP(Table2[[#This Row],[Description]],$Q$1:$S$101,3,FALSE))</f>
        <v/>
      </c>
      <c r="I8097" s="1" t="str">
        <f>IF(Table2[[#This Row],[Description]]="","",IF(Table2[[#This Row],[Currency]]=$O$2,$P$2,HLOOKUP(Table2[[#This Row],[Date]],Funds!$C$10:$GV$11,2,FALSE)))</f>
        <v/>
      </c>
      <c r="J8097" s="215" t="str">
        <f>IF(Table2[[#This Row],[Description]]="","",Table2[[#This Row],[Value]]/Table2[[#This Row],[Conversion]])</f>
        <v/>
      </c>
      <c r="K8097" s="45" t="str">
        <f>IF(Table2[[#This Row],[Description]]="","",DATE(Table2[[#This Row],[Year]],Table2[[#This Row],[Month]],1))</f>
        <v/>
      </c>
    </row>
    <row r="8098" spans="7:11" x14ac:dyDescent="0.25">
      <c r="G8098" s="1" t="str">
        <f>IF(Table2[[#This Row],[Description]]="","",VLOOKUP(Table2[[#This Row],[Description]],$Q$1:$S$101,2,FALSE))</f>
        <v/>
      </c>
      <c r="H8098" s="1" t="str">
        <f>IF(Table2[[#This Row],[Description]]="","",VLOOKUP(Table2[[#This Row],[Description]],$Q$1:$S$101,3,FALSE))</f>
        <v/>
      </c>
      <c r="I8098" s="1" t="str">
        <f>IF(Table2[[#This Row],[Description]]="","",IF(Table2[[#This Row],[Currency]]=$O$2,$P$2,HLOOKUP(Table2[[#This Row],[Date]],Funds!$C$10:$GV$11,2,FALSE)))</f>
        <v/>
      </c>
      <c r="J8098" s="215" t="str">
        <f>IF(Table2[[#This Row],[Description]]="","",Table2[[#This Row],[Value]]/Table2[[#This Row],[Conversion]])</f>
        <v/>
      </c>
      <c r="K8098" s="45" t="str">
        <f>IF(Table2[[#This Row],[Description]]="","",DATE(Table2[[#This Row],[Year]],Table2[[#This Row],[Month]],1))</f>
        <v/>
      </c>
    </row>
    <row r="8099" spans="7:11" x14ac:dyDescent="0.25">
      <c r="G8099" s="1" t="str">
        <f>IF(Table2[[#This Row],[Description]]="","",VLOOKUP(Table2[[#This Row],[Description]],$Q$1:$S$101,2,FALSE))</f>
        <v/>
      </c>
      <c r="H8099" s="1" t="str">
        <f>IF(Table2[[#This Row],[Description]]="","",VLOOKUP(Table2[[#This Row],[Description]],$Q$1:$S$101,3,FALSE))</f>
        <v/>
      </c>
      <c r="I8099" s="1" t="str">
        <f>IF(Table2[[#This Row],[Description]]="","",IF(Table2[[#This Row],[Currency]]=$O$2,$P$2,HLOOKUP(Table2[[#This Row],[Date]],Funds!$C$10:$GV$11,2,FALSE)))</f>
        <v/>
      </c>
      <c r="J8099" s="215" t="str">
        <f>IF(Table2[[#This Row],[Description]]="","",Table2[[#This Row],[Value]]/Table2[[#This Row],[Conversion]])</f>
        <v/>
      </c>
      <c r="K8099" s="45" t="str">
        <f>IF(Table2[[#This Row],[Description]]="","",DATE(Table2[[#This Row],[Year]],Table2[[#This Row],[Month]],1))</f>
        <v/>
      </c>
    </row>
    <row r="8100" spans="7:11" x14ac:dyDescent="0.25">
      <c r="G8100" s="1" t="str">
        <f>IF(Table2[[#This Row],[Description]]="","",VLOOKUP(Table2[[#This Row],[Description]],$Q$1:$S$101,2,FALSE))</f>
        <v/>
      </c>
      <c r="H8100" s="1" t="str">
        <f>IF(Table2[[#This Row],[Description]]="","",VLOOKUP(Table2[[#This Row],[Description]],$Q$1:$S$101,3,FALSE))</f>
        <v/>
      </c>
      <c r="I8100" s="1" t="str">
        <f>IF(Table2[[#This Row],[Description]]="","",IF(Table2[[#This Row],[Currency]]=$O$2,$P$2,HLOOKUP(Table2[[#This Row],[Date]],Funds!$C$10:$GV$11,2,FALSE)))</f>
        <v/>
      </c>
      <c r="J8100" s="215" t="str">
        <f>IF(Table2[[#This Row],[Description]]="","",Table2[[#This Row],[Value]]/Table2[[#This Row],[Conversion]])</f>
        <v/>
      </c>
      <c r="K8100" s="45" t="str">
        <f>IF(Table2[[#This Row],[Description]]="","",DATE(Table2[[#This Row],[Year]],Table2[[#This Row],[Month]],1))</f>
        <v/>
      </c>
    </row>
    <row r="8101" spans="7:11" x14ac:dyDescent="0.25">
      <c r="G8101" s="1" t="str">
        <f>IF(Table2[[#This Row],[Description]]="","",VLOOKUP(Table2[[#This Row],[Description]],$Q$1:$S$101,2,FALSE))</f>
        <v/>
      </c>
      <c r="H8101" s="1" t="str">
        <f>IF(Table2[[#This Row],[Description]]="","",VLOOKUP(Table2[[#This Row],[Description]],$Q$1:$S$101,3,FALSE))</f>
        <v/>
      </c>
      <c r="I8101" s="1" t="str">
        <f>IF(Table2[[#This Row],[Description]]="","",IF(Table2[[#This Row],[Currency]]=$O$2,$P$2,HLOOKUP(Table2[[#This Row],[Date]],Funds!$C$10:$GV$11,2,FALSE)))</f>
        <v/>
      </c>
      <c r="J8101" s="215" t="str">
        <f>IF(Table2[[#This Row],[Description]]="","",Table2[[#This Row],[Value]]/Table2[[#This Row],[Conversion]])</f>
        <v/>
      </c>
      <c r="K8101" s="45" t="str">
        <f>IF(Table2[[#This Row],[Description]]="","",DATE(Table2[[#This Row],[Year]],Table2[[#This Row],[Month]],1))</f>
        <v/>
      </c>
    </row>
    <row r="8102" spans="7:11" x14ac:dyDescent="0.25">
      <c r="G8102" s="1" t="str">
        <f>IF(Table2[[#This Row],[Description]]="","",VLOOKUP(Table2[[#This Row],[Description]],$Q$1:$S$101,2,FALSE))</f>
        <v/>
      </c>
      <c r="H8102" s="1" t="str">
        <f>IF(Table2[[#This Row],[Description]]="","",VLOOKUP(Table2[[#This Row],[Description]],$Q$1:$S$101,3,FALSE))</f>
        <v/>
      </c>
      <c r="I8102" s="1" t="str">
        <f>IF(Table2[[#This Row],[Description]]="","",IF(Table2[[#This Row],[Currency]]=$O$2,$P$2,HLOOKUP(Table2[[#This Row],[Date]],Funds!$C$10:$GV$11,2,FALSE)))</f>
        <v/>
      </c>
      <c r="J8102" s="215" t="str">
        <f>IF(Table2[[#This Row],[Description]]="","",Table2[[#This Row],[Value]]/Table2[[#This Row],[Conversion]])</f>
        <v/>
      </c>
      <c r="K8102" s="45" t="str">
        <f>IF(Table2[[#This Row],[Description]]="","",DATE(Table2[[#This Row],[Year]],Table2[[#This Row],[Month]],1))</f>
        <v/>
      </c>
    </row>
    <row r="8103" spans="7:11" x14ac:dyDescent="0.25">
      <c r="G8103" s="1" t="str">
        <f>IF(Table2[[#This Row],[Description]]="","",VLOOKUP(Table2[[#This Row],[Description]],$Q$1:$S$101,2,FALSE))</f>
        <v/>
      </c>
      <c r="H8103" s="1" t="str">
        <f>IF(Table2[[#This Row],[Description]]="","",VLOOKUP(Table2[[#This Row],[Description]],$Q$1:$S$101,3,FALSE))</f>
        <v/>
      </c>
      <c r="I8103" s="1" t="str">
        <f>IF(Table2[[#This Row],[Description]]="","",IF(Table2[[#This Row],[Currency]]=$O$2,$P$2,HLOOKUP(Table2[[#This Row],[Date]],Funds!$C$10:$GV$11,2,FALSE)))</f>
        <v/>
      </c>
      <c r="J8103" s="215" t="str">
        <f>IF(Table2[[#This Row],[Description]]="","",Table2[[#This Row],[Value]]/Table2[[#This Row],[Conversion]])</f>
        <v/>
      </c>
      <c r="K8103" s="45" t="str">
        <f>IF(Table2[[#This Row],[Description]]="","",DATE(Table2[[#This Row],[Year]],Table2[[#This Row],[Month]],1))</f>
        <v/>
      </c>
    </row>
    <row r="8104" spans="7:11" x14ac:dyDescent="0.25">
      <c r="G8104" s="1" t="str">
        <f>IF(Table2[[#This Row],[Description]]="","",VLOOKUP(Table2[[#This Row],[Description]],$Q$1:$S$101,2,FALSE))</f>
        <v/>
      </c>
      <c r="H8104" s="1" t="str">
        <f>IF(Table2[[#This Row],[Description]]="","",VLOOKUP(Table2[[#This Row],[Description]],$Q$1:$S$101,3,FALSE))</f>
        <v/>
      </c>
      <c r="I8104" s="1" t="str">
        <f>IF(Table2[[#This Row],[Description]]="","",IF(Table2[[#This Row],[Currency]]=$O$2,$P$2,HLOOKUP(Table2[[#This Row],[Date]],Funds!$C$10:$GV$11,2,FALSE)))</f>
        <v/>
      </c>
      <c r="J8104" s="215" t="str">
        <f>IF(Table2[[#This Row],[Description]]="","",Table2[[#This Row],[Value]]/Table2[[#This Row],[Conversion]])</f>
        <v/>
      </c>
      <c r="K8104" s="45" t="str">
        <f>IF(Table2[[#This Row],[Description]]="","",DATE(Table2[[#This Row],[Year]],Table2[[#This Row],[Month]],1))</f>
        <v/>
      </c>
    </row>
    <row r="8105" spans="7:11" x14ac:dyDescent="0.25">
      <c r="G8105" s="1" t="str">
        <f>IF(Table2[[#This Row],[Description]]="","",VLOOKUP(Table2[[#This Row],[Description]],$Q$1:$S$101,2,FALSE))</f>
        <v/>
      </c>
      <c r="H8105" s="1" t="str">
        <f>IF(Table2[[#This Row],[Description]]="","",VLOOKUP(Table2[[#This Row],[Description]],$Q$1:$S$101,3,FALSE))</f>
        <v/>
      </c>
      <c r="I8105" s="1" t="str">
        <f>IF(Table2[[#This Row],[Description]]="","",IF(Table2[[#This Row],[Currency]]=$O$2,$P$2,HLOOKUP(Table2[[#This Row],[Date]],Funds!$C$10:$GV$11,2,FALSE)))</f>
        <v/>
      </c>
      <c r="J8105" s="215" t="str">
        <f>IF(Table2[[#This Row],[Description]]="","",Table2[[#This Row],[Value]]/Table2[[#This Row],[Conversion]])</f>
        <v/>
      </c>
      <c r="K8105" s="45" t="str">
        <f>IF(Table2[[#This Row],[Description]]="","",DATE(Table2[[#This Row],[Year]],Table2[[#This Row],[Month]],1))</f>
        <v/>
      </c>
    </row>
    <row r="8106" spans="7:11" x14ac:dyDescent="0.25">
      <c r="G8106" s="1" t="str">
        <f>IF(Table2[[#This Row],[Description]]="","",VLOOKUP(Table2[[#This Row],[Description]],$Q$1:$S$101,2,FALSE))</f>
        <v/>
      </c>
      <c r="H8106" s="1" t="str">
        <f>IF(Table2[[#This Row],[Description]]="","",VLOOKUP(Table2[[#This Row],[Description]],$Q$1:$S$101,3,FALSE))</f>
        <v/>
      </c>
      <c r="I8106" s="1" t="str">
        <f>IF(Table2[[#This Row],[Description]]="","",IF(Table2[[#This Row],[Currency]]=$O$2,$P$2,HLOOKUP(Table2[[#This Row],[Date]],Funds!$C$10:$GV$11,2,FALSE)))</f>
        <v/>
      </c>
      <c r="J8106" s="215" t="str">
        <f>IF(Table2[[#This Row],[Description]]="","",Table2[[#This Row],[Value]]/Table2[[#This Row],[Conversion]])</f>
        <v/>
      </c>
      <c r="K8106" s="45" t="str">
        <f>IF(Table2[[#This Row],[Description]]="","",DATE(Table2[[#This Row],[Year]],Table2[[#This Row],[Month]],1))</f>
        <v/>
      </c>
    </row>
    <row r="8107" spans="7:11" x14ac:dyDescent="0.25">
      <c r="G8107" s="1" t="str">
        <f>IF(Table2[[#This Row],[Description]]="","",VLOOKUP(Table2[[#This Row],[Description]],$Q$1:$S$101,2,FALSE))</f>
        <v/>
      </c>
      <c r="H8107" s="1" t="str">
        <f>IF(Table2[[#This Row],[Description]]="","",VLOOKUP(Table2[[#This Row],[Description]],$Q$1:$S$101,3,FALSE))</f>
        <v/>
      </c>
      <c r="I8107" s="1" t="str">
        <f>IF(Table2[[#This Row],[Description]]="","",IF(Table2[[#This Row],[Currency]]=$O$2,$P$2,HLOOKUP(Table2[[#This Row],[Date]],Funds!$C$10:$GV$11,2,FALSE)))</f>
        <v/>
      </c>
      <c r="J8107" s="215" t="str">
        <f>IF(Table2[[#This Row],[Description]]="","",Table2[[#This Row],[Value]]/Table2[[#This Row],[Conversion]])</f>
        <v/>
      </c>
      <c r="K8107" s="45" t="str">
        <f>IF(Table2[[#This Row],[Description]]="","",DATE(Table2[[#This Row],[Year]],Table2[[#This Row],[Month]],1))</f>
        <v/>
      </c>
    </row>
    <row r="8108" spans="7:11" x14ac:dyDescent="0.25">
      <c r="G8108" s="1" t="str">
        <f>IF(Table2[[#This Row],[Description]]="","",VLOOKUP(Table2[[#This Row],[Description]],$Q$1:$S$101,2,FALSE))</f>
        <v/>
      </c>
      <c r="H8108" s="1" t="str">
        <f>IF(Table2[[#This Row],[Description]]="","",VLOOKUP(Table2[[#This Row],[Description]],$Q$1:$S$101,3,FALSE))</f>
        <v/>
      </c>
      <c r="I8108" s="1" t="str">
        <f>IF(Table2[[#This Row],[Description]]="","",IF(Table2[[#This Row],[Currency]]=$O$2,$P$2,HLOOKUP(Table2[[#This Row],[Date]],Funds!$C$10:$GV$11,2,FALSE)))</f>
        <v/>
      </c>
      <c r="J8108" s="215" t="str">
        <f>IF(Table2[[#This Row],[Description]]="","",Table2[[#This Row],[Value]]/Table2[[#This Row],[Conversion]])</f>
        <v/>
      </c>
      <c r="K8108" s="45" t="str">
        <f>IF(Table2[[#This Row],[Description]]="","",DATE(Table2[[#This Row],[Year]],Table2[[#This Row],[Month]],1))</f>
        <v/>
      </c>
    </row>
    <row r="8109" spans="7:11" x14ac:dyDescent="0.25">
      <c r="G8109" s="1" t="str">
        <f>IF(Table2[[#This Row],[Description]]="","",VLOOKUP(Table2[[#This Row],[Description]],$Q$1:$S$101,2,FALSE))</f>
        <v/>
      </c>
      <c r="H8109" s="1" t="str">
        <f>IF(Table2[[#This Row],[Description]]="","",VLOOKUP(Table2[[#This Row],[Description]],$Q$1:$S$101,3,FALSE))</f>
        <v/>
      </c>
      <c r="I8109" s="1" t="str">
        <f>IF(Table2[[#This Row],[Description]]="","",IF(Table2[[#This Row],[Currency]]=$O$2,$P$2,HLOOKUP(Table2[[#This Row],[Date]],Funds!$C$10:$GV$11,2,FALSE)))</f>
        <v/>
      </c>
      <c r="J8109" s="215" t="str">
        <f>IF(Table2[[#This Row],[Description]]="","",Table2[[#This Row],[Value]]/Table2[[#This Row],[Conversion]])</f>
        <v/>
      </c>
      <c r="K8109" s="45" t="str">
        <f>IF(Table2[[#This Row],[Description]]="","",DATE(Table2[[#This Row],[Year]],Table2[[#This Row],[Month]],1))</f>
        <v/>
      </c>
    </row>
    <row r="8110" spans="7:11" x14ac:dyDescent="0.25">
      <c r="G8110" s="1" t="str">
        <f>IF(Table2[[#This Row],[Description]]="","",VLOOKUP(Table2[[#This Row],[Description]],$Q$1:$S$101,2,FALSE))</f>
        <v/>
      </c>
      <c r="H8110" s="1" t="str">
        <f>IF(Table2[[#This Row],[Description]]="","",VLOOKUP(Table2[[#This Row],[Description]],$Q$1:$S$101,3,FALSE))</f>
        <v/>
      </c>
      <c r="I8110" s="1" t="str">
        <f>IF(Table2[[#This Row],[Description]]="","",IF(Table2[[#This Row],[Currency]]=$O$2,$P$2,HLOOKUP(Table2[[#This Row],[Date]],Funds!$C$10:$GV$11,2,FALSE)))</f>
        <v/>
      </c>
      <c r="J8110" s="215" t="str">
        <f>IF(Table2[[#This Row],[Description]]="","",Table2[[#This Row],[Value]]/Table2[[#This Row],[Conversion]])</f>
        <v/>
      </c>
      <c r="K8110" s="45" t="str">
        <f>IF(Table2[[#This Row],[Description]]="","",DATE(Table2[[#This Row],[Year]],Table2[[#This Row],[Month]],1))</f>
        <v/>
      </c>
    </row>
    <row r="8111" spans="7:11" x14ac:dyDescent="0.25">
      <c r="G8111" s="1" t="str">
        <f>IF(Table2[[#This Row],[Description]]="","",VLOOKUP(Table2[[#This Row],[Description]],$Q$1:$S$101,2,FALSE))</f>
        <v/>
      </c>
      <c r="H8111" s="1" t="str">
        <f>IF(Table2[[#This Row],[Description]]="","",VLOOKUP(Table2[[#This Row],[Description]],$Q$1:$S$101,3,FALSE))</f>
        <v/>
      </c>
      <c r="I8111" s="1" t="str">
        <f>IF(Table2[[#This Row],[Description]]="","",IF(Table2[[#This Row],[Currency]]=$O$2,$P$2,HLOOKUP(Table2[[#This Row],[Date]],Funds!$C$10:$GV$11,2,FALSE)))</f>
        <v/>
      </c>
      <c r="J8111" s="215" t="str">
        <f>IF(Table2[[#This Row],[Description]]="","",Table2[[#This Row],[Value]]/Table2[[#This Row],[Conversion]])</f>
        <v/>
      </c>
      <c r="K8111" s="45" t="str">
        <f>IF(Table2[[#This Row],[Description]]="","",DATE(Table2[[#This Row],[Year]],Table2[[#This Row],[Month]],1))</f>
        <v/>
      </c>
    </row>
    <row r="8112" spans="7:11" x14ac:dyDescent="0.25">
      <c r="G8112" s="1" t="str">
        <f>IF(Table2[[#This Row],[Description]]="","",VLOOKUP(Table2[[#This Row],[Description]],$Q$1:$S$101,2,FALSE))</f>
        <v/>
      </c>
      <c r="H8112" s="1" t="str">
        <f>IF(Table2[[#This Row],[Description]]="","",VLOOKUP(Table2[[#This Row],[Description]],$Q$1:$S$101,3,FALSE))</f>
        <v/>
      </c>
      <c r="I8112" s="1" t="str">
        <f>IF(Table2[[#This Row],[Description]]="","",IF(Table2[[#This Row],[Currency]]=$O$2,$P$2,HLOOKUP(Table2[[#This Row],[Date]],Funds!$C$10:$GV$11,2,FALSE)))</f>
        <v/>
      </c>
      <c r="J8112" s="215" t="str">
        <f>IF(Table2[[#This Row],[Description]]="","",Table2[[#This Row],[Value]]/Table2[[#This Row],[Conversion]])</f>
        <v/>
      </c>
      <c r="K8112" s="45" t="str">
        <f>IF(Table2[[#This Row],[Description]]="","",DATE(Table2[[#This Row],[Year]],Table2[[#This Row],[Month]],1))</f>
        <v/>
      </c>
    </row>
    <row r="8113" spans="7:11" x14ac:dyDescent="0.25">
      <c r="G8113" s="1" t="str">
        <f>IF(Table2[[#This Row],[Description]]="","",VLOOKUP(Table2[[#This Row],[Description]],$Q$1:$S$101,2,FALSE))</f>
        <v/>
      </c>
      <c r="H8113" s="1" t="str">
        <f>IF(Table2[[#This Row],[Description]]="","",VLOOKUP(Table2[[#This Row],[Description]],$Q$1:$S$101,3,FALSE))</f>
        <v/>
      </c>
      <c r="I8113" s="1" t="str">
        <f>IF(Table2[[#This Row],[Description]]="","",IF(Table2[[#This Row],[Currency]]=$O$2,$P$2,HLOOKUP(Table2[[#This Row],[Date]],Funds!$C$10:$GV$11,2,FALSE)))</f>
        <v/>
      </c>
      <c r="J8113" s="215" t="str">
        <f>IF(Table2[[#This Row],[Description]]="","",Table2[[#This Row],[Value]]/Table2[[#This Row],[Conversion]])</f>
        <v/>
      </c>
      <c r="K8113" s="45" t="str">
        <f>IF(Table2[[#This Row],[Description]]="","",DATE(Table2[[#This Row],[Year]],Table2[[#This Row],[Month]],1))</f>
        <v/>
      </c>
    </row>
    <row r="8114" spans="7:11" x14ac:dyDescent="0.25">
      <c r="G8114" s="1" t="str">
        <f>IF(Table2[[#This Row],[Description]]="","",VLOOKUP(Table2[[#This Row],[Description]],$Q$1:$S$101,2,FALSE))</f>
        <v/>
      </c>
      <c r="H8114" s="1" t="str">
        <f>IF(Table2[[#This Row],[Description]]="","",VLOOKUP(Table2[[#This Row],[Description]],$Q$1:$S$101,3,FALSE))</f>
        <v/>
      </c>
      <c r="I8114" s="1" t="str">
        <f>IF(Table2[[#This Row],[Description]]="","",IF(Table2[[#This Row],[Currency]]=$O$2,$P$2,HLOOKUP(Table2[[#This Row],[Date]],Funds!$C$10:$GV$11,2,FALSE)))</f>
        <v/>
      </c>
      <c r="J8114" s="215" t="str">
        <f>IF(Table2[[#This Row],[Description]]="","",Table2[[#This Row],[Value]]/Table2[[#This Row],[Conversion]])</f>
        <v/>
      </c>
      <c r="K8114" s="45" t="str">
        <f>IF(Table2[[#This Row],[Description]]="","",DATE(Table2[[#This Row],[Year]],Table2[[#This Row],[Month]],1))</f>
        <v/>
      </c>
    </row>
    <row r="8115" spans="7:11" x14ac:dyDescent="0.25">
      <c r="G8115" s="1" t="str">
        <f>IF(Table2[[#This Row],[Description]]="","",VLOOKUP(Table2[[#This Row],[Description]],$Q$1:$S$101,2,FALSE))</f>
        <v/>
      </c>
      <c r="H8115" s="1" t="str">
        <f>IF(Table2[[#This Row],[Description]]="","",VLOOKUP(Table2[[#This Row],[Description]],$Q$1:$S$101,3,FALSE))</f>
        <v/>
      </c>
      <c r="I8115" s="1" t="str">
        <f>IF(Table2[[#This Row],[Description]]="","",IF(Table2[[#This Row],[Currency]]=$O$2,$P$2,HLOOKUP(Table2[[#This Row],[Date]],Funds!$C$10:$GV$11,2,FALSE)))</f>
        <v/>
      </c>
      <c r="J8115" s="215" t="str">
        <f>IF(Table2[[#This Row],[Description]]="","",Table2[[#This Row],[Value]]/Table2[[#This Row],[Conversion]])</f>
        <v/>
      </c>
      <c r="K8115" s="45" t="str">
        <f>IF(Table2[[#This Row],[Description]]="","",DATE(Table2[[#This Row],[Year]],Table2[[#This Row],[Month]],1))</f>
        <v/>
      </c>
    </row>
    <row r="8116" spans="7:11" x14ac:dyDescent="0.25">
      <c r="G8116" s="1" t="str">
        <f>IF(Table2[[#This Row],[Description]]="","",VLOOKUP(Table2[[#This Row],[Description]],$Q$1:$S$101,2,FALSE))</f>
        <v/>
      </c>
      <c r="H8116" s="1" t="str">
        <f>IF(Table2[[#This Row],[Description]]="","",VLOOKUP(Table2[[#This Row],[Description]],$Q$1:$S$101,3,FALSE))</f>
        <v/>
      </c>
      <c r="I8116" s="1" t="str">
        <f>IF(Table2[[#This Row],[Description]]="","",IF(Table2[[#This Row],[Currency]]=$O$2,$P$2,HLOOKUP(Table2[[#This Row],[Date]],Funds!$C$10:$GV$11,2,FALSE)))</f>
        <v/>
      </c>
      <c r="J8116" s="215" t="str">
        <f>IF(Table2[[#This Row],[Description]]="","",Table2[[#This Row],[Value]]/Table2[[#This Row],[Conversion]])</f>
        <v/>
      </c>
      <c r="K8116" s="45" t="str">
        <f>IF(Table2[[#This Row],[Description]]="","",DATE(Table2[[#This Row],[Year]],Table2[[#This Row],[Month]],1))</f>
        <v/>
      </c>
    </row>
    <row r="8117" spans="7:11" x14ac:dyDescent="0.25">
      <c r="G8117" s="1" t="str">
        <f>IF(Table2[[#This Row],[Description]]="","",VLOOKUP(Table2[[#This Row],[Description]],$Q$1:$S$101,2,FALSE))</f>
        <v/>
      </c>
      <c r="H8117" s="1" t="str">
        <f>IF(Table2[[#This Row],[Description]]="","",VLOOKUP(Table2[[#This Row],[Description]],$Q$1:$S$101,3,FALSE))</f>
        <v/>
      </c>
      <c r="I8117" s="1" t="str">
        <f>IF(Table2[[#This Row],[Description]]="","",IF(Table2[[#This Row],[Currency]]=$O$2,$P$2,HLOOKUP(Table2[[#This Row],[Date]],Funds!$C$10:$GV$11,2,FALSE)))</f>
        <v/>
      </c>
      <c r="J8117" s="215" t="str">
        <f>IF(Table2[[#This Row],[Description]]="","",Table2[[#This Row],[Value]]/Table2[[#This Row],[Conversion]])</f>
        <v/>
      </c>
      <c r="K8117" s="45" t="str">
        <f>IF(Table2[[#This Row],[Description]]="","",DATE(Table2[[#This Row],[Year]],Table2[[#This Row],[Month]],1))</f>
        <v/>
      </c>
    </row>
    <row r="8118" spans="7:11" x14ac:dyDescent="0.25">
      <c r="G8118" s="1" t="str">
        <f>IF(Table2[[#This Row],[Description]]="","",VLOOKUP(Table2[[#This Row],[Description]],$Q$1:$S$101,2,FALSE))</f>
        <v/>
      </c>
      <c r="H8118" s="1" t="str">
        <f>IF(Table2[[#This Row],[Description]]="","",VLOOKUP(Table2[[#This Row],[Description]],$Q$1:$S$101,3,FALSE))</f>
        <v/>
      </c>
      <c r="I8118" s="1" t="str">
        <f>IF(Table2[[#This Row],[Description]]="","",IF(Table2[[#This Row],[Currency]]=$O$2,$P$2,HLOOKUP(Table2[[#This Row],[Date]],Funds!$C$10:$GV$11,2,FALSE)))</f>
        <v/>
      </c>
      <c r="J8118" s="215" t="str">
        <f>IF(Table2[[#This Row],[Description]]="","",Table2[[#This Row],[Value]]/Table2[[#This Row],[Conversion]])</f>
        <v/>
      </c>
      <c r="K8118" s="45" t="str">
        <f>IF(Table2[[#This Row],[Description]]="","",DATE(Table2[[#This Row],[Year]],Table2[[#This Row],[Month]],1))</f>
        <v/>
      </c>
    </row>
    <row r="8119" spans="7:11" x14ac:dyDescent="0.25">
      <c r="G8119" s="1" t="str">
        <f>IF(Table2[[#This Row],[Description]]="","",VLOOKUP(Table2[[#This Row],[Description]],$Q$1:$S$101,2,FALSE))</f>
        <v/>
      </c>
      <c r="H8119" s="1" t="str">
        <f>IF(Table2[[#This Row],[Description]]="","",VLOOKUP(Table2[[#This Row],[Description]],$Q$1:$S$101,3,FALSE))</f>
        <v/>
      </c>
      <c r="I8119" s="1" t="str">
        <f>IF(Table2[[#This Row],[Description]]="","",IF(Table2[[#This Row],[Currency]]=$O$2,$P$2,HLOOKUP(Table2[[#This Row],[Date]],Funds!$C$10:$GV$11,2,FALSE)))</f>
        <v/>
      </c>
      <c r="J8119" s="215" t="str">
        <f>IF(Table2[[#This Row],[Description]]="","",Table2[[#This Row],[Value]]/Table2[[#This Row],[Conversion]])</f>
        <v/>
      </c>
      <c r="K8119" s="45" t="str">
        <f>IF(Table2[[#This Row],[Description]]="","",DATE(Table2[[#This Row],[Year]],Table2[[#This Row],[Month]],1))</f>
        <v/>
      </c>
    </row>
    <row r="8120" spans="7:11" x14ac:dyDescent="0.25">
      <c r="G8120" s="1" t="str">
        <f>IF(Table2[[#This Row],[Description]]="","",VLOOKUP(Table2[[#This Row],[Description]],$Q$1:$S$101,2,FALSE))</f>
        <v/>
      </c>
      <c r="H8120" s="1" t="str">
        <f>IF(Table2[[#This Row],[Description]]="","",VLOOKUP(Table2[[#This Row],[Description]],$Q$1:$S$101,3,FALSE))</f>
        <v/>
      </c>
      <c r="I8120" s="1" t="str">
        <f>IF(Table2[[#This Row],[Description]]="","",IF(Table2[[#This Row],[Currency]]=$O$2,$P$2,HLOOKUP(Table2[[#This Row],[Date]],Funds!$C$10:$GV$11,2,FALSE)))</f>
        <v/>
      </c>
      <c r="J8120" s="215" t="str">
        <f>IF(Table2[[#This Row],[Description]]="","",Table2[[#This Row],[Value]]/Table2[[#This Row],[Conversion]])</f>
        <v/>
      </c>
      <c r="K8120" s="45" t="str">
        <f>IF(Table2[[#This Row],[Description]]="","",DATE(Table2[[#This Row],[Year]],Table2[[#This Row],[Month]],1))</f>
        <v/>
      </c>
    </row>
    <row r="8121" spans="7:11" x14ac:dyDescent="0.25">
      <c r="G8121" s="1" t="str">
        <f>IF(Table2[[#This Row],[Description]]="","",VLOOKUP(Table2[[#This Row],[Description]],$Q$1:$S$101,2,FALSE))</f>
        <v/>
      </c>
      <c r="H8121" s="1" t="str">
        <f>IF(Table2[[#This Row],[Description]]="","",VLOOKUP(Table2[[#This Row],[Description]],$Q$1:$S$101,3,FALSE))</f>
        <v/>
      </c>
      <c r="I8121" s="1" t="str">
        <f>IF(Table2[[#This Row],[Description]]="","",IF(Table2[[#This Row],[Currency]]=$O$2,$P$2,HLOOKUP(Table2[[#This Row],[Date]],Funds!$C$10:$GV$11,2,FALSE)))</f>
        <v/>
      </c>
      <c r="J8121" s="215" t="str">
        <f>IF(Table2[[#This Row],[Description]]="","",Table2[[#This Row],[Value]]/Table2[[#This Row],[Conversion]])</f>
        <v/>
      </c>
      <c r="K8121" s="45" t="str">
        <f>IF(Table2[[#This Row],[Description]]="","",DATE(Table2[[#This Row],[Year]],Table2[[#This Row],[Month]],1))</f>
        <v/>
      </c>
    </row>
    <row r="8122" spans="7:11" x14ac:dyDescent="0.25">
      <c r="G8122" s="1" t="str">
        <f>IF(Table2[[#This Row],[Description]]="","",VLOOKUP(Table2[[#This Row],[Description]],$Q$1:$S$101,2,FALSE))</f>
        <v/>
      </c>
      <c r="H8122" s="1" t="str">
        <f>IF(Table2[[#This Row],[Description]]="","",VLOOKUP(Table2[[#This Row],[Description]],$Q$1:$S$101,3,FALSE))</f>
        <v/>
      </c>
      <c r="I8122" s="1" t="str">
        <f>IF(Table2[[#This Row],[Description]]="","",IF(Table2[[#This Row],[Currency]]=$O$2,$P$2,HLOOKUP(Table2[[#This Row],[Date]],Funds!$C$10:$GV$11,2,FALSE)))</f>
        <v/>
      </c>
      <c r="J8122" s="215" t="str">
        <f>IF(Table2[[#This Row],[Description]]="","",Table2[[#This Row],[Value]]/Table2[[#This Row],[Conversion]])</f>
        <v/>
      </c>
      <c r="K8122" s="45" t="str">
        <f>IF(Table2[[#This Row],[Description]]="","",DATE(Table2[[#This Row],[Year]],Table2[[#This Row],[Month]],1))</f>
        <v/>
      </c>
    </row>
    <row r="8123" spans="7:11" x14ac:dyDescent="0.25">
      <c r="G8123" s="1" t="str">
        <f>IF(Table2[[#This Row],[Description]]="","",VLOOKUP(Table2[[#This Row],[Description]],$Q$1:$S$101,2,FALSE))</f>
        <v/>
      </c>
      <c r="H8123" s="1" t="str">
        <f>IF(Table2[[#This Row],[Description]]="","",VLOOKUP(Table2[[#This Row],[Description]],$Q$1:$S$101,3,FALSE))</f>
        <v/>
      </c>
      <c r="I8123" s="1" t="str">
        <f>IF(Table2[[#This Row],[Description]]="","",IF(Table2[[#This Row],[Currency]]=$O$2,$P$2,HLOOKUP(Table2[[#This Row],[Date]],Funds!$C$10:$GV$11,2,FALSE)))</f>
        <v/>
      </c>
      <c r="J8123" s="215" t="str">
        <f>IF(Table2[[#This Row],[Description]]="","",Table2[[#This Row],[Value]]/Table2[[#This Row],[Conversion]])</f>
        <v/>
      </c>
      <c r="K8123" s="45" t="str">
        <f>IF(Table2[[#This Row],[Description]]="","",DATE(Table2[[#This Row],[Year]],Table2[[#This Row],[Month]],1))</f>
        <v/>
      </c>
    </row>
    <row r="8124" spans="7:11" x14ac:dyDescent="0.25">
      <c r="G8124" s="1" t="str">
        <f>IF(Table2[[#This Row],[Description]]="","",VLOOKUP(Table2[[#This Row],[Description]],$Q$1:$S$101,2,FALSE))</f>
        <v/>
      </c>
      <c r="H8124" s="1" t="str">
        <f>IF(Table2[[#This Row],[Description]]="","",VLOOKUP(Table2[[#This Row],[Description]],$Q$1:$S$101,3,FALSE))</f>
        <v/>
      </c>
      <c r="I8124" s="1" t="str">
        <f>IF(Table2[[#This Row],[Description]]="","",IF(Table2[[#This Row],[Currency]]=$O$2,$P$2,HLOOKUP(Table2[[#This Row],[Date]],Funds!$C$10:$GV$11,2,FALSE)))</f>
        <v/>
      </c>
      <c r="J8124" s="215" t="str">
        <f>IF(Table2[[#This Row],[Description]]="","",Table2[[#This Row],[Value]]/Table2[[#This Row],[Conversion]])</f>
        <v/>
      </c>
      <c r="K8124" s="45" t="str">
        <f>IF(Table2[[#This Row],[Description]]="","",DATE(Table2[[#This Row],[Year]],Table2[[#This Row],[Month]],1))</f>
        <v/>
      </c>
    </row>
    <row r="8125" spans="7:11" x14ac:dyDescent="0.25">
      <c r="G8125" s="1" t="str">
        <f>IF(Table2[[#This Row],[Description]]="","",VLOOKUP(Table2[[#This Row],[Description]],$Q$1:$S$101,2,FALSE))</f>
        <v/>
      </c>
      <c r="H8125" s="1" t="str">
        <f>IF(Table2[[#This Row],[Description]]="","",VLOOKUP(Table2[[#This Row],[Description]],$Q$1:$S$101,3,FALSE))</f>
        <v/>
      </c>
      <c r="I8125" s="1" t="str">
        <f>IF(Table2[[#This Row],[Description]]="","",IF(Table2[[#This Row],[Currency]]=$O$2,$P$2,HLOOKUP(Table2[[#This Row],[Date]],Funds!$C$10:$GV$11,2,FALSE)))</f>
        <v/>
      </c>
      <c r="J8125" s="215" t="str">
        <f>IF(Table2[[#This Row],[Description]]="","",Table2[[#This Row],[Value]]/Table2[[#This Row],[Conversion]])</f>
        <v/>
      </c>
      <c r="K8125" s="45" t="str">
        <f>IF(Table2[[#This Row],[Description]]="","",DATE(Table2[[#This Row],[Year]],Table2[[#This Row],[Month]],1))</f>
        <v/>
      </c>
    </row>
    <row r="8126" spans="7:11" x14ac:dyDescent="0.25">
      <c r="G8126" s="1" t="str">
        <f>IF(Table2[[#This Row],[Description]]="","",VLOOKUP(Table2[[#This Row],[Description]],$Q$1:$S$101,2,FALSE))</f>
        <v/>
      </c>
      <c r="H8126" s="1" t="str">
        <f>IF(Table2[[#This Row],[Description]]="","",VLOOKUP(Table2[[#This Row],[Description]],$Q$1:$S$101,3,FALSE))</f>
        <v/>
      </c>
      <c r="I8126" s="1" t="str">
        <f>IF(Table2[[#This Row],[Description]]="","",IF(Table2[[#This Row],[Currency]]=$O$2,$P$2,HLOOKUP(Table2[[#This Row],[Date]],Funds!$C$10:$GV$11,2,FALSE)))</f>
        <v/>
      </c>
      <c r="J8126" s="215" t="str">
        <f>IF(Table2[[#This Row],[Description]]="","",Table2[[#This Row],[Value]]/Table2[[#This Row],[Conversion]])</f>
        <v/>
      </c>
      <c r="K8126" s="45" t="str">
        <f>IF(Table2[[#This Row],[Description]]="","",DATE(Table2[[#This Row],[Year]],Table2[[#This Row],[Month]],1))</f>
        <v/>
      </c>
    </row>
    <row r="8127" spans="7:11" x14ac:dyDescent="0.25">
      <c r="G8127" s="1" t="str">
        <f>IF(Table2[[#This Row],[Description]]="","",VLOOKUP(Table2[[#This Row],[Description]],$Q$1:$S$101,2,FALSE))</f>
        <v/>
      </c>
      <c r="H8127" s="1" t="str">
        <f>IF(Table2[[#This Row],[Description]]="","",VLOOKUP(Table2[[#This Row],[Description]],$Q$1:$S$101,3,FALSE))</f>
        <v/>
      </c>
      <c r="I8127" s="1" t="str">
        <f>IF(Table2[[#This Row],[Description]]="","",IF(Table2[[#This Row],[Currency]]=$O$2,$P$2,HLOOKUP(Table2[[#This Row],[Date]],Funds!$C$10:$GV$11,2,FALSE)))</f>
        <v/>
      </c>
      <c r="J8127" s="215" t="str">
        <f>IF(Table2[[#This Row],[Description]]="","",Table2[[#This Row],[Value]]/Table2[[#This Row],[Conversion]])</f>
        <v/>
      </c>
      <c r="K8127" s="45" t="str">
        <f>IF(Table2[[#This Row],[Description]]="","",DATE(Table2[[#This Row],[Year]],Table2[[#This Row],[Month]],1))</f>
        <v/>
      </c>
    </row>
    <row r="8128" spans="7:11" x14ac:dyDescent="0.25">
      <c r="G8128" s="1" t="str">
        <f>IF(Table2[[#This Row],[Description]]="","",VLOOKUP(Table2[[#This Row],[Description]],$Q$1:$S$101,2,FALSE))</f>
        <v/>
      </c>
      <c r="H8128" s="1" t="str">
        <f>IF(Table2[[#This Row],[Description]]="","",VLOOKUP(Table2[[#This Row],[Description]],$Q$1:$S$101,3,FALSE))</f>
        <v/>
      </c>
      <c r="I8128" s="1" t="str">
        <f>IF(Table2[[#This Row],[Description]]="","",IF(Table2[[#This Row],[Currency]]=$O$2,$P$2,HLOOKUP(Table2[[#This Row],[Date]],Funds!$C$10:$GV$11,2,FALSE)))</f>
        <v/>
      </c>
      <c r="J8128" s="215" t="str">
        <f>IF(Table2[[#This Row],[Description]]="","",Table2[[#This Row],[Value]]/Table2[[#This Row],[Conversion]])</f>
        <v/>
      </c>
      <c r="K8128" s="45" t="str">
        <f>IF(Table2[[#This Row],[Description]]="","",DATE(Table2[[#This Row],[Year]],Table2[[#This Row],[Month]],1))</f>
        <v/>
      </c>
    </row>
    <row r="8129" spans="7:11" x14ac:dyDescent="0.25">
      <c r="G8129" s="1" t="str">
        <f>IF(Table2[[#This Row],[Description]]="","",VLOOKUP(Table2[[#This Row],[Description]],$Q$1:$S$101,2,FALSE))</f>
        <v/>
      </c>
      <c r="H8129" s="1" t="str">
        <f>IF(Table2[[#This Row],[Description]]="","",VLOOKUP(Table2[[#This Row],[Description]],$Q$1:$S$101,3,FALSE))</f>
        <v/>
      </c>
      <c r="I8129" s="1" t="str">
        <f>IF(Table2[[#This Row],[Description]]="","",IF(Table2[[#This Row],[Currency]]=$O$2,$P$2,HLOOKUP(Table2[[#This Row],[Date]],Funds!$C$10:$GV$11,2,FALSE)))</f>
        <v/>
      </c>
      <c r="J8129" s="215" t="str">
        <f>IF(Table2[[#This Row],[Description]]="","",Table2[[#This Row],[Value]]/Table2[[#This Row],[Conversion]])</f>
        <v/>
      </c>
      <c r="K8129" s="45" t="str">
        <f>IF(Table2[[#This Row],[Description]]="","",DATE(Table2[[#This Row],[Year]],Table2[[#This Row],[Month]],1))</f>
        <v/>
      </c>
    </row>
    <row r="8130" spans="7:11" x14ac:dyDescent="0.25">
      <c r="G8130" s="1" t="str">
        <f>IF(Table2[[#This Row],[Description]]="","",VLOOKUP(Table2[[#This Row],[Description]],$Q$1:$S$101,2,FALSE))</f>
        <v/>
      </c>
      <c r="H8130" s="1" t="str">
        <f>IF(Table2[[#This Row],[Description]]="","",VLOOKUP(Table2[[#This Row],[Description]],$Q$1:$S$101,3,FALSE))</f>
        <v/>
      </c>
      <c r="I8130" s="1" t="str">
        <f>IF(Table2[[#This Row],[Description]]="","",IF(Table2[[#This Row],[Currency]]=$O$2,$P$2,HLOOKUP(Table2[[#This Row],[Date]],Funds!$C$10:$GV$11,2,FALSE)))</f>
        <v/>
      </c>
      <c r="J8130" s="215" t="str">
        <f>IF(Table2[[#This Row],[Description]]="","",Table2[[#This Row],[Value]]/Table2[[#This Row],[Conversion]])</f>
        <v/>
      </c>
      <c r="K8130" s="45" t="str">
        <f>IF(Table2[[#This Row],[Description]]="","",DATE(Table2[[#This Row],[Year]],Table2[[#This Row],[Month]],1))</f>
        <v/>
      </c>
    </row>
    <row r="8131" spans="7:11" x14ac:dyDescent="0.25">
      <c r="G8131" s="1" t="str">
        <f>IF(Table2[[#This Row],[Description]]="","",VLOOKUP(Table2[[#This Row],[Description]],$Q$1:$S$101,2,FALSE))</f>
        <v/>
      </c>
      <c r="H8131" s="1" t="str">
        <f>IF(Table2[[#This Row],[Description]]="","",VLOOKUP(Table2[[#This Row],[Description]],$Q$1:$S$101,3,FALSE))</f>
        <v/>
      </c>
      <c r="I8131" s="1" t="str">
        <f>IF(Table2[[#This Row],[Description]]="","",IF(Table2[[#This Row],[Currency]]=$O$2,$P$2,HLOOKUP(Table2[[#This Row],[Date]],Funds!$C$10:$GV$11,2,FALSE)))</f>
        <v/>
      </c>
      <c r="J8131" s="215" t="str">
        <f>IF(Table2[[#This Row],[Description]]="","",Table2[[#This Row],[Value]]/Table2[[#This Row],[Conversion]])</f>
        <v/>
      </c>
      <c r="K8131" s="45" t="str">
        <f>IF(Table2[[#This Row],[Description]]="","",DATE(Table2[[#This Row],[Year]],Table2[[#This Row],[Month]],1))</f>
        <v/>
      </c>
    </row>
    <row r="8132" spans="7:11" x14ac:dyDescent="0.25">
      <c r="G8132" s="1" t="str">
        <f>IF(Table2[[#This Row],[Description]]="","",VLOOKUP(Table2[[#This Row],[Description]],$Q$1:$S$101,2,FALSE))</f>
        <v/>
      </c>
      <c r="H8132" s="1" t="str">
        <f>IF(Table2[[#This Row],[Description]]="","",VLOOKUP(Table2[[#This Row],[Description]],$Q$1:$S$101,3,FALSE))</f>
        <v/>
      </c>
      <c r="I8132" s="1" t="str">
        <f>IF(Table2[[#This Row],[Description]]="","",IF(Table2[[#This Row],[Currency]]=$O$2,$P$2,HLOOKUP(Table2[[#This Row],[Date]],Funds!$C$10:$GV$11,2,FALSE)))</f>
        <v/>
      </c>
      <c r="J8132" s="215" t="str">
        <f>IF(Table2[[#This Row],[Description]]="","",Table2[[#This Row],[Value]]/Table2[[#This Row],[Conversion]])</f>
        <v/>
      </c>
      <c r="K8132" s="45" t="str">
        <f>IF(Table2[[#This Row],[Description]]="","",DATE(Table2[[#This Row],[Year]],Table2[[#This Row],[Month]],1))</f>
        <v/>
      </c>
    </row>
    <row r="8133" spans="7:11" x14ac:dyDescent="0.25">
      <c r="G8133" s="1" t="str">
        <f>IF(Table2[[#This Row],[Description]]="","",VLOOKUP(Table2[[#This Row],[Description]],$Q$1:$S$101,2,FALSE))</f>
        <v/>
      </c>
      <c r="H8133" s="1" t="str">
        <f>IF(Table2[[#This Row],[Description]]="","",VLOOKUP(Table2[[#This Row],[Description]],$Q$1:$S$101,3,FALSE))</f>
        <v/>
      </c>
      <c r="I8133" s="1" t="str">
        <f>IF(Table2[[#This Row],[Description]]="","",IF(Table2[[#This Row],[Currency]]=$O$2,$P$2,HLOOKUP(Table2[[#This Row],[Date]],Funds!$C$10:$GV$11,2,FALSE)))</f>
        <v/>
      </c>
      <c r="J8133" s="215" t="str">
        <f>IF(Table2[[#This Row],[Description]]="","",Table2[[#This Row],[Value]]/Table2[[#This Row],[Conversion]])</f>
        <v/>
      </c>
      <c r="K8133" s="45" t="str">
        <f>IF(Table2[[#This Row],[Description]]="","",DATE(Table2[[#This Row],[Year]],Table2[[#This Row],[Month]],1))</f>
        <v/>
      </c>
    </row>
    <row r="8134" spans="7:11" x14ac:dyDescent="0.25">
      <c r="G8134" s="1" t="str">
        <f>IF(Table2[[#This Row],[Description]]="","",VLOOKUP(Table2[[#This Row],[Description]],$Q$1:$S$101,2,FALSE))</f>
        <v/>
      </c>
      <c r="H8134" s="1" t="str">
        <f>IF(Table2[[#This Row],[Description]]="","",VLOOKUP(Table2[[#This Row],[Description]],$Q$1:$S$101,3,FALSE))</f>
        <v/>
      </c>
      <c r="I8134" s="1" t="str">
        <f>IF(Table2[[#This Row],[Description]]="","",IF(Table2[[#This Row],[Currency]]=$O$2,$P$2,HLOOKUP(Table2[[#This Row],[Date]],Funds!$C$10:$GV$11,2,FALSE)))</f>
        <v/>
      </c>
      <c r="J8134" s="215" t="str">
        <f>IF(Table2[[#This Row],[Description]]="","",Table2[[#This Row],[Value]]/Table2[[#This Row],[Conversion]])</f>
        <v/>
      </c>
      <c r="K8134" s="45" t="str">
        <f>IF(Table2[[#This Row],[Description]]="","",DATE(Table2[[#This Row],[Year]],Table2[[#This Row],[Month]],1))</f>
        <v/>
      </c>
    </row>
    <row r="8135" spans="7:11" x14ac:dyDescent="0.25">
      <c r="G8135" s="1" t="str">
        <f>IF(Table2[[#This Row],[Description]]="","",VLOOKUP(Table2[[#This Row],[Description]],$Q$1:$S$101,2,FALSE))</f>
        <v/>
      </c>
      <c r="H8135" s="1" t="str">
        <f>IF(Table2[[#This Row],[Description]]="","",VLOOKUP(Table2[[#This Row],[Description]],$Q$1:$S$101,3,FALSE))</f>
        <v/>
      </c>
      <c r="I8135" s="1" t="str">
        <f>IF(Table2[[#This Row],[Description]]="","",IF(Table2[[#This Row],[Currency]]=$O$2,$P$2,HLOOKUP(Table2[[#This Row],[Date]],Funds!$C$10:$GV$11,2,FALSE)))</f>
        <v/>
      </c>
      <c r="J8135" s="215" t="str">
        <f>IF(Table2[[#This Row],[Description]]="","",Table2[[#This Row],[Value]]/Table2[[#This Row],[Conversion]])</f>
        <v/>
      </c>
      <c r="K8135" s="45" t="str">
        <f>IF(Table2[[#This Row],[Description]]="","",DATE(Table2[[#This Row],[Year]],Table2[[#This Row],[Month]],1))</f>
        <v/>
      </c>
    </row>
    <row r="8136" spans="7:11" x14ac:dyDescent="0.25">
      <c r="G8136" s="1" t="str">
        <f>IF(Table2[[#This Row],[Description]]="","",VLOOKUP(Table2[[#This Row],[Description]],$Q$1:$S$101,2,FALSE))</f>
        <v/>
      </c>
      <c r="H8136" s="1" t="str">
        <f>IF(Table2[[#This Row],[Description]]="","",VLOOKUP(Table2[[#This Row],[Description]],$Q$1:$S$101,3,FALSE))</f>
        <v/>
      </c>
      <c r="I8136" s="1" t="str">
        <f>IF(Table2[[#This Row],[Description]]="","",IF(Table2[[#This Row],[Currency]]=$O$2,$P$2,HLOOKUP(Table2[[#This Row],[Date]],Funds!$C$10:$GV$11,2,FALSE)))</f>
        <v/>
      </c>
      <c r="J8136" s="215" t="str">
        <f>IF(Table2[[#This Row],[Description]]="","",Table2[[#This Row],[Value]]/Table2[[#This Row],[Conversion]])</f>
        <v/>
      </c>
      <c r="K8136" s="45" t="str">
        <f>IF(Table2[[#This Row],[Description]]="","",DATE(Table2[[#This Row],[Year]],Table2[[#This Row],[Month]],1))</f>
        <v/>
      </c>
    </row>
    <row r="8137" spans="7:11" x14ac:dyDescent="0.25">
      <c r="G8137" s="1" t="str">
        <f>IF(Table2[[#This Row],[Description]]="","",VLOOKUP(Table2[[#This Row],[Description]],$Q$1:$S$101,2,FALSE))</f>
        <v/>
      </c>
      <c r="H8137" s="1" t="str">
        <f>IF(Table2[[#This Row],[Description]]="","",VLOOKUP(Table2[[#This Row],[Description]],$Q$1:$S$101,3,FALSE))</f>
        <v/>
      </c>
      <c r="I8137" s="1" t="str">
        <f>IF(Table2[[#This Row],[Description]]="","",IF(Table2[[#This Row],[Currency]]=$O$2,$P$2,HLOOKUP(Table2[[#This Row],[Date]],Funds!$C$10:$GV$11,2,FALSE)))</f>
        <v/>
      </c>
      <c r="J8137" s="215" t="str">
        <f>IF(Table2[[#This Row],[Description]]="","",Table2[[#This Row],[Value]]/Table2[[#This Row],[Conversion]])</f>
        <v/>
      </c>
      <c r="K8137" s="45" t="str">
        <f>IF(Table2[[#This Row],[Description]]="","",DATE(Table2[[#This Row],[Year]],Table2[[#This Row],[Month]],1))</f>
        <v/>
      </c>
    </row>
    <row r="8138" spans="7:11" x14ac:dyDescent="0.25">
      <c r="G8138" s="1" t="str">
        <f>IF(Table2[[#This Row],[Description]]="","",VLOOKUP(Table2[[#This Row],[Description]],$Q$1:$S$101,2,FALSE))</f>
        <v/>
      </c>
      <c r="H8138" s="1" t="str">
        <f>IF(Table2[[#This Row],[Description]]="","",VLOOKUP(Table2[[#This Row],[Description]],$Q$1:$S$101,3,FALSE))</f>
        <v/>
      </c>
      <c r="I8138" s="1" t="str">
        <f>IF(Table2[[#This Row],[Description]]="","",IF(Table2[[#This Row],[Currency]]=$O$2,$P$2,HLOOKUP(Table2[[#This Row],[Date]],Funds!$C$10:$GV$11,2,FALSE)))</f>
        <v/>
      </c>
      <c r="J8138" s="215" t="str">
        <f>IF(Table2[[#This Row],[Description]]="","",Table2[[#This Row],[Value]]/Table2[[#This Row],[Conversion]])</f>
        <v/>
      </c>
      <c r="K8138" s="45" t="str">
        <f>IF(Table2[[#This Row],[Description]]="","",DATE(Table2[[#This Row],[Year]],Table2[[#This Row],[Month]],1))</f>
        <v/>
      </c>
    </row>
    <row r="8139" spans="7:11" x14ac:dyDescent="0.25">
      <c r="G8139" s="1" t="str">
        <f>IF(Table2[[#This Row],[Description]]="","",VLOOKUP(Table2[[#This Row],[Description]],$Q$1:$S$101,2,FALSE))</f>
        <v/>
      </c>
      <c r="H8139" s="1" t="str">
        <f>IF(Table2[[#This Row],[Description]]="","",VLOOKUP(Table2[[#This Row],[Description]],$Q$1:$S$101,3,FALSE))</f>
        <v/>
      </c>
      <c r="I8139" s="1" t="str">
        <f>IF(Table2[[#This Row],[Description]]="","",IF(Table2[[#This Row],[Currency]]=$O$2,$P$2,HLOOKUP(Table2[[#This Row],[Date]],Funds!$C$10:$GV$11,2,FALSE)))</f>
        <v/>
      </c>
      <c r="J8139" s="215" t="str">
        <f>IF(Table2[[#This Row],[Description]]="","",Table2[[#This Row],[Value]]/Table2[[#This Row],[Conversion]])</f>
        <v/>
      </c>
      <c r="K8139" s="45" t="str">
        <f>IF(Table2[[#This Row],[Description]]="","",DATE(Table2[[#This Row],[Year]],Table2[[#This Row],[Month]],1))</f>
        <v/>
      </c>
    </row>
    <row r="8140" spans="7:11" x14ac:dyDescent="0.25">
      <c r="G8140" s="1" t="str">
        <f>IF(Table2[[#This Row],[Description]]="","",VLOOKUP(Table2[[#This Row],[Description]],$Q$1:$S$101,2,FALSE))</f>
        <v/>
      </c>
      <c r="H8140" s="1" t="str">
        <f>IF(Table2[[#This Row],[Description]]="","",VLOOKUP(Table2[[#This Row],[Description]],$Q$1:$S$101,3,FALSE))</f>
        <v/>
      </c>
      <c r="I8140" s="1" t="str">
        <f>IF(Table2[[#This Row],[Description]]="","",IF(Table2[[#This Row],[Currency]]=$O$2,$P$2,HLOOKUP(Table2[[#This Row],[Date]],Funds!$C$10:$GV$11,2,FALSE)))</f>
        <v/>
      </c>
      <c r="J8140" s="215" t="str">
        <f>IF(Table2[[#This Row],[Description]]="","",Table2[[#This Row],[Value]]/Table2[[#This Row],[Conversion]])</f>
        <v/>
      </c>
      <c r="K8140" s="45" t="str">
        <f>IF(Table2[[#This Row],[Description]]="","",DATE(Table2[[#This Row],[Year]],Table2[[#This Row],[Month]],1))</f>
        <v/>
      </c>
    </row>
    <row r="8141" spans="7:11" x14ac:dyDescent="0.25">
      <c r="G8141" s="1" t="str">
        <f>IF(Table2[[#This Row],[Description]]="","",VLOOKUP(Table2[[#This Row],[Description]],$Q$1:$S$101,2,FALSE))</f>
        <v/>
      </c>
      <c r="H8141" s="1" t="str">
        <f>IF(Table2[[#This Row],[Description]]="","",VLOOKUP(Table2[[#This Row],[Description]],$Q$1:$S$101,3,FALSE))</f>
        <v/>
      </c>
      <c r="I8141" s="1" t="str">
        <f>IF(Table2[[#This Row],[Description]]="","",IF(Table2[[#This Row],[Currency]]=$O$2,$P$2,HLOOKUP(Table2[[#This Row],[Date]],Funds!$C$10:$GV$11,2,FALSE)))</f>
        <v/>
      </c>
      <c r="J8141" s="215" t="str">
        <f>IF(Table2[[#This Row],[Description]]="","",Table2[[#This Row],[Value]]/Table2[[#This Row],[Conversion]])</f>
        <v/>
      </c>
      <c r="K8141" s="45" t="str">
        <f>IF(Table2[[#This Row],[Description]]="","",DATE(Table2[[#This Row],[Year]],Table2[[#This Row],[Month]],1))</f>
        <v/>
      </c>
    </row>
    <row r="8142" spans="7:11" x14ac:dyDescent="0.25">
      <c r="G8142" s="1" t="str">
        <f>IF(Table2[[#This Row],[Description]]="","",VLOOKUP(Table2[[#This Row],[Description]],$Q$1:$S$101,2,FALSE))</f>
        <v/>
      </c>
      <c r="H8142" s="1" t="str">
        <f>IF(Table2[[#This Row],[Description]]="","",VLOOKUP(Table2[[#This Row],[Description]],$Q$1:$S$101,3,FALSE))</f>
        <v/>
      </c>
      <c r="I8142" s="1" t="str">
        <f>IF(Table2[[#This Row],[Description]]="","",IF(Table2[[#This Row],[Currency]]=$O$2,$P$2,HLOOKUP(Table2[[#This Row],[Date]],Funds!$C$10:$GV$11,2,FALSE)))</f>
        <v/>
      </c>
      <c r="J8142" s="215" t="str">
        <f>IF(Table2[[#This Row],[Description]]="","",Table2[[#This Row],[Value]]/Table2[[#This Row],[Conversion]])</f>
        <v/>
      </c>
      <c r="K8142" s="45" t="str">
        <f>IF(Table2[[#This Row],[Description]]="","",DATE(Table2[[#This Row],[Year]],Table2[[#This Row],[Month]],1))</f>
        <v/>
      </c>
    </row>
    <row r="8143" spans="7:11" x14ac:dyDescent="0.25">
      <c r="G8143" s="1" t="str">
        <f>IF(Table2[[#This Row],[Description]]="","",VLOOKUP(Table2[[#This Row],[Description]],$Q$1:$S$101,2,FALSE))</f>
        <v/>
      </c>
      <c r="H8143" s="1" t="str">
        <f>IF(Table2[[#This Row],[Description]]="","",VLOOKUP(Table2[[#This Row],[Description]],$Q$1:$S$101,3,FALSE))</f>
        <v/>
      </c>
      <c r="I8143" s="1" t="str">
        <f>IF(Table2[[#This Row],[Description]]="","",IF(Table2[[#This Row],[Currency]]=$O$2,$P$2,HLOOKUP(Table2[[#This Row],[Date]],Funds!$C$10:$GV$11,2,FALSE)))</f>
        <v/>
      </c>
      <c r="J8143" s="215" t="str">
        <f>IF(Table2[[#This Row],[Description]]="","",Table2[[#This Row],[Value]]/Table2[[#This Row],[Conversion]])</f>
        <v/>
      </c>
      <c r="K8143" s="45" t="str">
        <f>IF(Table2[[#This Row],[Description]]="","",DATE(Table2[[#This Row],[Year]],Table2[[#This Row],[Month]],1))</f>
        <v/>
      </c>
    </row>
    <row r="8144" spans="7:11" x14ac:dyDescent="0.25">
      <c r="G8144" s="1" t="str">
        <f>IF(Table2[[#This Row],[Description]]="","",VLOOKUP(Table2[[#This Row],[Description]],$Q$1:$S$101,2,FALSE))</f>
        <v/>
      </c>
      <c r="H8144" s="1" t="str">
        <f>IF(Table2[[#This Row],[Description]]="","",VLOOKUP(Table2[[#This Row],[Description]],$Q$1:$S$101,3,FALSE))</f>
        <v/>
      </c>
      <c r="I8144" s="1" t="str">
        <f>IF(Table2[[#This Row],[Description]]="","",IF(Table2[[#This Row],[Currency]]=$O$2,$P$2,HLOOKUP(Table2[[#This Row],[Date]],Funds!$C$10:$GV$11,2,FALSE)))</f>
        <v/>
      </c>
      <c r="J8144" s="215" t="str">
        <f>IF(Table2[[#This Row],[Description]]="","",Table2[[#This Row],[Value]]/Table2[[#This Row],[Conversion]])</f>
        <v/>
      </c>
      <c r="K8144" s="45" t="str">
        <f>IF(Table2[[#This Row],[Description]]="","",DATE(Table2[[#This Row],[Year]],Table2[[#This Row],[Month]],1))</f>
        <v/>
      </c>
    </row>
    <row r="8145" spans="7:11" x14ac:dyDescent="0.25">
      <c r="G8145" s="1" t="str">
        <f>IF(Table2[[#This Row],[Description]]="","",VLOOKUP(Table2[[#This Row],[Description]],$Q$1:$S$101,2,FALSE))</f>
        <v/>
      </c>
      <c r="H8145" s="1" t="str">
        <f>IF(Table2[[#This Row],[Description]]="","",VLOOKUP(Table2[[#This Row],[Description]],$Q$1:$S$101,3,FALSE))</f>
        <v/>
      </c>
      <c r="I8145" s="1" t="str">
        <f>IF(Table2[[#This Row],[Description]]="","",IF(Table2[[#This Row],[Currency]]=$O$2,$P$2,HLOOKUP(Table2[[#This Row],[Date]],Funds!$C$10:$GV$11,2,FALSE)))</f>
        <v/>
      </c>
      <c r="J8145" s="215" t="str">
        <f>IF(Table2[[#This Row],[Description]]="","",Table2[[#This Row],[Value]]/Table2[[#This Row],[Conversion]])</f>
        <v/>
      </c>
      <c r="K8145" s="45" t="str">
        <f>IF(Table2[[#This Row],[Description]]="","",DATE(Table2[[#This Row],[Year]],Table2[[#This Row],[Month]],1))</f>
        <v/>
      </c>
    </row>
    <row r="8146" spans="7:11" x14ac:dyDescent="0.25">
      <c r="G8146" s="1" t="str">
        <f>IF(Table2[[#This Row],[Description]]="","",VLOOKUP(Table2[[#This Row],[Description]],$Q$1:$S$101,2,FALSE))</f>
        <v/>
      </c>
      <c r="H8146" s="1" t="str">
        <f>IF(Table2[[#This Row],[Description]]="","",VLOOKUP(Table2[[#This Row],[Description]],$Q$1:$S$101,3,FALSE))</f>
        <v/>
      </c>
      <c r="I8146" s="1" t="str">
        <f>IF(Table2[[#This Row],[Description]]="","",IF(Table2[[#This Row],[Currency]]=$O$2,$P$2,HLOOKUP(Table2[[#This Row],[Date]],Funds!$C$10:$GV$11,2,FALSE)))</f>
        <v/>
      </c>
      <c r="J8146" s="215" t="str">
        <f>IF(Table2[[#This Row],[Description]]="","",Table2[[#This Row],[Value]]/Table2[[#This Row],[Conversion]])</f>
        <v/>
      </c>
      <c r="K8146" s="45" t="str">
        <f>IF(Table2[[#This Row],[Description]]="","",DATE(Table2[[#This Row],[Year]],Table2[[#This Row],[Month]],1))</f>
        <v/>
      </c>
    </row>
    <row r="8147" spans="7:11" x14ac:dyDescent="0.25">
      <c r="G8147" s="1" t="str">
        <f>IF(Table2[[#This Row],[Description]]="","",VLOOKUP(Table2[[#This Row],[Description]],$Q$1:$S$101,2,FALSE))</f>
        <v/>
      </c>
      <c r="H8147" s="1" t="str">
        <f>IF(Table2[[#This Row],[Description]]="","",VLOOKUP(Table2[[#This Row],[Description]],$Q$1:$S$101,3,FALSE))</f>
        <v/>
      </c>
      <c r="I8147" s="1" t="str">
        <f>IF(Table2[[#This Row],[Description]]="","",IF(Table2[[#This Row],[Currency]]=$O$2,$P$2,HLOOKUP(Table2[[#This Row],[Date]],Funds!$C$10:$GV$11,2,FALSE)))</f>
        <v/>
      </c>
      <c r="J8147" s="215" t="str">
        <f>IF(Table2[[#This Row],[Description]]="","",Table2[[#This Row],[Value]]/Table2[[#This Row],[Conversion]])</f>
        <v/>
      </c>
      <c r="K8147" s="45" t="str">
        <f>IF(Table2[[#This Row],[Description]]="","",DATE(Table2[[#This Row],[Year]],Table2[[#This Row],[Month]],1))</f>
        <v/>
      </c>
    </row>
    <row r="8148" spans="7:11" x14ac:dyDescent="0.25">
      <c r="G8148" s="1" t="str">
        <f>IF(Table2[[#This Row],[Description]]="","",VLOOKUP(Table2[[#This Row],[Description]],$Q$1:$S$101,2,FALSE))</f>
        <v/>
      </c>
      <c r="H8148" s="1" t="str">
        <f>IF(Table2[[#This Row],[Description]]="","",VLOOKUP(Table2[[#This Row],[Description]],$Q$1:$S$101,3,FALSE))</f>
        <v/>
      </c>
      <c r="I8148" s="1" t="str">
        <f>IF(Table2[[#This Row],[Description]]="","",IF(Table2[[#This Row],[Currency]]=$O$2,$P$2,HLOOKUP(Table2[[#This Row],[Date]],Funds!$C$10:$GV$11,2,FALSE)))</f>
        <v/>
      </c>
      <c r="J8148" s="215" t="str">
        <f>IF(Table2[[#This Row],[Description]]="","",Table2[[#This Row],[Value]]/Table2[[#This Row],[Conversion]])</f>
        <v/>
      </c>
      <c r="K8148" s="45" t="str">
        <f>IF(Table2[[#This Row],[Description]]="","",DATE(Table2[[#This Row],[Year]],Table2[[#This Row],[Month]],1))</f>
        <v/>
      </c>
    </row>
    <row r="8149" spans="7:11" x14ac:dyDescent="0.25">
      <c r="G8149" s="1" t="str">
        <f>IF(Table2[[#This Row],[Description]]="","",VLOOKUP(Table2[[#This Row],[Description]],$Q$1:$S$101,2,FALSE))</f>
        <v/>
      </c>
      <c r="H8149" s="1" t="str">
        <f>IF(Table2[[#This Row],[Description]]="","",VLOOKUP(Table2[[#This Row],[Description]],$Q$1:$S$101,3,FALSE))</f>
        <v/>
      </c>
      <c r="I8149" s="1" t="str">
        <f>IF(Table2[[#This Row],[Description]]="","",IF(Table2[[#This Row],[Currency]]=$O$2,$P$2,HLOOKUP(Table2[[#This Row],[Date]],Funds!$C$10:$GV$11,2,FALSE)))</f>
        <v/>
      </c>
      <c r="J8149" s="215" t="str">
        <f>IF(Table2[[#This Row],[Description]]="","",Table2[[#This Row],[Value]]/Table2[[#This Row],[Conversion]])</f>
        <v/>
      </c>
      <c r="K8149" s="45" t="str">
        <f>IF(Table2[[#This Row],[Description]]="","",DATE(Table2[[#This Row],[Year]],Table2[[#This Row],[Month]],1))</f>
        <v/>
      </c>
    </row>
    <row r="8150" spans="7:11" x14ac:dyDescent="0.25">
      <c r="G8150" s="1" t="str">
        <f>IF(Table2[[#This Row],[Description]]="","",VLOOKUP(Table2[[#This Row],[Description]],$Q$1:$S$101,2,FALSE))</f>
        <v/>
      </c>
      <c r="H8150" s="1" t="str">
        <f>IF(Table2[[#This Row],[Description]]="","",VLOOKUP(Table2[[#This Row],[Description]],$Q$1:$S$101,3,FALSE))</f>
        <v/>
      </c>
      <c r="I8150" s="1" t="str">
        <f>IF(Table2[[#This Row],[Description]]="","",IF(Table2[[#This Row],[Currency]]=$O$2,$P$2,HLOOKUP(Table2[[#This Row],[Date]],Funds!$C$10:$GV$11,2,FALSE)))</f>
        <v/>
      </c>
      <c r="J8150" s="215" t="str">
        <f>IF(Table2[[#This Row],[Description]]="","",Table2[[#This Row],[Value]]/Table2[[#This Row],[Conversion]])</f>
        <v/>
      </c>
      <c r="K8150" s="45" t="str">
        <f>IF(Table2[[#This Row],[Description]]="","",DATE(Table2[[#This Row],[Year]],Table2[[#This Row],[Month]],1))</f>
        <v/>
      </c>
    </row>
    <row r="8151" spans="7:11" x14ac:dyDescent="0.25">
      <c r="G8151" s="1" t="str">
        <f>IF(Table2[[#This Row],[Description]]="","",VLOOKUP(Table2[[#This Row],[Description]],$Q$1:$S$101,2,FALSE))</f>
        <v/>
      </c>
      <c r="H8151" s="1" t="str">
        <f>IF(Table2[[#This Row],[Description]]="","",VLOOKUP(Table2[[#This Row],[Description]],$Q$1:$S$101,3,FALSE))</f>
        <v/>
      </c>
      <c r="I8151" s="1" t="str">
        <f>IF(Table2[[#This Row],[Description]]="","",IF(Table2[[#This Row],[Currency]]=$O$2,$P$2,HLOOKUP(Table2[[#This Row],[Date]],Funds!$C$10:$GV$11,2,FALSE)))</f>
        <v/>
      </c>
      <c r="J8151" s="215" t="str">
        <f>IF(Table2[[#This Row],[Description]]="","",Table2[[#This Row],[Value]]/Table2[[#This Row],[Conversion]])</f>
        <v/>
      </c>
      <c r="K8151" s="45" t="str">
        <f>IF(Table2[[#This Row],[Description]]="","",DATE(Table2[[#This Row],[Year]],Table2[[#This Row],[Month]],1))</f>
        <v/>
      </c>
    </row>
    <row r="8152" spans="7:11" x14ac:dyDescent="0.25">
      <c r="G8152" s="1" t="str">
        <f>IF(Table2[[#This Row],[Description]]="","",VLOOKUP(Table2[[#This Row],[Description]],$Q$1:$S$101,2,FALSE))</f>
        <v/>
      </c>
      <c r="H8152" s="1" t="str">
        <f>IF(Table2[[#This Row],[Description]]="","",VLOOKUP(Table2[[#This Row],[Description]],$Q$1:$S$101,3,FALSE))</f>
        <v/>
      </c>
      <c r="I8152" s="1" t="str">
        <f>IF(Table2[[#This Row],[Description]]="","",IF(Table2[[#This Row],[Currency]]=$O$2,$P$2,HLOOKUP(Table2[[#This Row],[Date]],Funds!$C$10:$GV$11,2,FALSE)))</f>
        <v/>
      </c>
      <c r="J8152" s="215" t="str">
        <f>IF(Table2[[#This Row],[Description]]="","",Table2[[#This Row],[Value]]/Table2[[#This Row],[Conversion]])</f>
        <v/>
      </c>
      <c r="K8152" s="45" t="str">
        <f>IF(Table2[[#This Row],[Description]]="","",DATE(Table2[[#This Row],[Year]],Table2[[#This Row],[Month]],1))</f>
        <v/>
      </c>
    </row>
    <row r="8153" spans="7:11" x14ac:dyDescent="0.25">
      <c r="G8153" s="1" t="str">
        <f>IF(Table2[[#This Row],[Description]]="","",VLOOKUP(Table2[[#This Row],[Description]],$Q$1:$S$101,2,FALSE))</f>
        <v/>
      </c>
      <c r="H8153" s="1" t="str">
        <f>IF(Table2[[#This Row],[Description]]="","",VLOOKUP(Table2[[#This Row],[Description]],$Q$1:$S$101,3,FALSE))</f>
        <v/>
      </c>
      <c r="I8153" s="1" t="str">
        <f>IF(Table2[[#This Row],[Description]]="","",IF(Table2[[#This Row],[Currency]]=$O$2,$P$2,HLOOKUP(Table2[[#This Row],[Date]],Funds!$C$10:$GV$11,2,FALSE)))</f>
        <v/>
      </c>
      <c r="J8153" s="215" t="str">
        <f>IF(Table2[[#This Row],[Description]]="","",Table2[[#This Row],[Value]]/Table2[[#This Row],[Conversion]])</f>
        <v/>
      </c>
      <c r="K8153" s="45" t="str">
        <f>IF(Table2[[#This Row],[Description]]="","",DATE(Table2[[#This Row],[Year]],Table2[[#This Row],[Month]],1))</f>
        <v/>
      </c>
    </row>
    <row r="8154" spans="7:11" x14ac:dyDescent="0.25">
      <c r="G8154" s="1" t="str">
        <f>IF(Table2[[#This Row],[Description]]="","",VLOOKUP(Table2[[#This Row],[Description]],$Q$1:$S$101,2,FALSE))</f>
        <v/>
      </c>
      <c r="H8154" s="1" t="str">
        <f>IF(Table2[[#This Row],[Description]]="","",VLOOKUP(Table2[[#This Row],[Description]],$Q$1:$S$101,3,FALSE))</f>
        <v/>
      </c>
      <c r="I8154" s="1" t="str">
        <f>IF(Table2[[#This Row],[Description]]="","",IF(Table2[[#This Row],[Currency]]=$O$2,$P$2,HLOOKUP(Table2[[#This Row],[Date]],Funds!$C$10:$GV$11,2,FALSE)))</f>
        <v/>
      </c>
      <c r="J8154" s="215" t="str">
        <f>IF(Table2[[#This Row],[Description]]="","",Table2[[#This Row],[Value]]/Table2[[#This Row],[Conversion]])</f>
        <v/>
      </c>
      <c r="K8154" s="45" t="str">
        <f>IF(Table2[[#This Row],[Description]]="","",DATE(Table2[[#This Row],[Year]],Table2[[#This Row],[Month]],1))</f>
        <v/>
      </c>
    </row>
    <row r="8155" spans="7:11" x14ac:dyDescent="0.25">
      <c r="G8155" s="1" t="str">
        <f>IF(Table2[[#This Row],[Description]]="","",VLOOKUP(Table2[[#This Row],[Description]],$Q$1:$S$101,2,FALSE))</f>
        <v/>
      </c>
      <c r="H8155" s="1" t="str">
        <f>IF(Table2[[#This Row],[Description]]="","",VLOOKUP(Table2[[#This Row],[Description]],$Q$1:$S$101,3,FALSE))</f>
        <v/>
      </c>
      <c r="I8155" s="1" t="str">
        <f>IF(Table2[[#This Row],[Description]]="","",IF(Table2[[#This Row],[Currency]]=$O$2,$P$2,HLOOKUP(Table2[[#This Row],[Date]],Funds!$C$10:$GV$11,2,FALSE)))</f>
        <v/>
      </c>
      <c r="J8155" s="215" t="str">
        <f>IF(Table2[[#This Row],[Description]]="","",Table2[[#This Row],[Value]]/Table2[[#This Row],[Conversion]])</f>
        <v/>
      </c>
      <c r="K8155" s="45" t="str">
        <f>IF(Table2[[#This Row],[Description]]="","",DATE(Table2[[#This Row],[Year]],Table2[[#This Row],[Month]],1))</f>
        <v/>
      </c>
    </row>
    <row r="8156" spans="7:11" x14ac:dyDescent="0.25">
      <c r="G8156" s="1" t="str">
        <f>IF(Table2[[#This Row],[Description]]="","",VLOOKUP(Table2[[#This Row],[Description]],$Q$1:$S$101,2,FALSE))</f>
        <v/>
      </c>
      <c r="H8156" s="1" t="str">
        <f>IF(Table2[[#This Row],[Description]]="","",VLOOKUP(Table2[[#This Row],[Description]],$Q$1:$S$101,3,FALSE))</f>
        <v/>
      </c>
      <c r="I8156" s="1" t="str">
        <f>IF(Table2[[#This Row],[Description]]="","",IF(Table2[[#This Row],[Currency]]=$O$2,$P$2,HLOOKUP(Table2[[#This Row],[Date]],Funds!$C$10:$GV$11,2,FALSE)))</f>
        <v/>
      </c>
      <c r="J8156" s="215" t="str">
        <f>IF(Table2[[#This Row],[Description]]="","",Table2[[#This Row],[Value]]/Table2[[#This Row],[Conversion]])</f>
        <v/>
      </c>
      <c r="K8156" s="45" t="str">
        <f>IF(Table2[[#This Row],[Description]]="","",DATE(Table2[[#This Row],[Year]],Table2[[#This Row],[Month]],1))</f>
        <v/>
      </c>
    </row>
    <row r="8157" spans="7:11" x14ac:dyDescent="0.25">
      <c r="G8157" s="1" t="str">
        <f>IF(Table2[[#This Row],[Description]]="","",VLOOKUP(Table2[[#This Row],[Description]],$Q$1:$S$101,2,FALSE))</f>
        <v/>
      </c>
      <c r="H8157" s="1" t="str">
        <f>IF(Table2[[#This Row],[Description]]="","",VLOOKUP(Table2[[#This Row],[Description]],$Q$1:$S$101,3,FALSE))</f>
        <v/>
      </c>
      <c r="I8157" s="1" t="str">
        <f>IF(Table2[[#This Row],[Description]]="","",IF(Table2[[#This Row],[Currency]]=$O$2,$P$2,HLOOKUP(Table2[[#This Row],[Date]],Funds!$C$10:$GV$11,2,FALSE)))</f>
        <v/>
      </c>
      <c r="J8157" s="215" t="str">
        <f>IF(Table2[[#This Row],[Description]]="","",Table2[[#This Row],[Value]]/Table2[[#This Row],[Conversion]])</f>
        <v/>
      </c>
      <c r="K8157" s="45" t="str">
        <f>IF(Table2[[#This Row],[Description]]="","",DATE(Table2[[#This Row],[Year]],Table2[[#This Row],[Month]],1))</f>
        <v/>
      </c>
    </row>
    <row r="8158" spans="7:11" x14ac:dyDescent="0.25">
      <c r="G8158" s="1" t="str">
        <f>IF(Table2[[#This Row],[Description]]="","",VLOOKUP(Table2[[#This Row],[Description]],$Q$1:$S$101,2,FALSE))</f>
        <v/>
      </c>
      <c r="H8158" s="1" t="str">
        <f>IF(Table2[[#This Row],[Description]]="","",VLOOKUP(Table2[[#This Row],[Description]],$Q$1:$S$101,3,FALSE))</f>
        <v/>
      </c>
      <c r="I8158" s="1" t="str">
        <f>IF(Table2[[#This Row],[Description]]="","",IF(Table2[[#This Row],[Currency]]=$O$2,$P$2,HLOOKUP(Table2[[#This Row],[Date]],Funds!$C$10:$GV$11,2,FALSE)))</f>
        <v/>
      </c>
      <c r="J8158" s="215" t="str">
        <f>IF(Table2[[#This Row],[Description]]="","",Table2[[#This Row],[Value]]/Table2[[#This Row],[Conversion]])</f>
        <v/>
      </c>
      <c r="K8158" s="45" t="str">
        <f>IF(Table2[[#This Row],[Description]]="","",DATE(Table2[[#This Row],[Year]],Table2[[#This Row],[Month]],1))</f>
        <v/>
      </c>
    </row>
    <row r="8159" spans="7:11" x14ac:dyDescent="0.25">
      <c r="G8159" s="1" t="str">
        <f>IF(Table2[[#This Row],[Description]]="","",VLOOKUP(Table2[[#This Row],[Description]],$Q$1:$S$101,2,FALSE))</f>
        <v/>
      </c>
      <c r="H8159" s="1" t="str">
        <f>IF(Table2[[#This Row],[Description]]="","",VLOOKUP(Table2[[#This Row],[Description]],$Q$1:$S$101,3,FALSE))</f>
        <v/>
      </c>
      <c r="I8159" s="1" t="str">
        <f>IF(Table2[[#This Row],[Description]]="","",IF(Table2[[#This Row],[Currency]]=$O$2,$P$2,HLOOKUP(Table2[[#This Row],[Date]],Funds!$C$10:$GV$11,2,FALSE)))</f>
        <v/>
      </c>
      <c r="J8159" s="215" t="str">
        <f>IF(Table2[[#This Row],[Description]]="","",Table2[[#This Row],[Value]]/Table2[[#This Row],[Conversion]])</f>
        <v/>
      </c>
      <c r="K8159" s="45" t="str">
        <f>IF(Table2[[#This Row],[Description]]="","",DATE(Table2[[#This Row],[Year]],Table2[[#This Row],[Month]],1))</f>
        <v/>
      </c>
    </row>
    <row r="8160" spans="7:11" x14ac:dyDescent="0.25">
      <c r="G8160" s="1" t="str">
        <f>IF(Table2[[#This Row],[Description]]="","",VLOOKUP(Table2[[#This Row],[Description]],$Q$1:$S$101,2,FALSE))</f>
        <v/>
      </c>
      <c r="H8160" s="1" t="str">
        <f>IF(Table2[[#This Row],[Description]]="","",VLOOKUP(Table2[[#This Row],[Description]],$Q$1:$S$101,3,FALSE))</f>
        <v/>
      </c>
      <c r="I8160" s="1" t="str">
        <f>IF(Table2[[#This Row],[Description]]="","",IF(Table2[[#This Row],[Currency]]=$O$2,$P$2,HLOOKUP(Table2[[#This Row],[Date]],Funds!$C$10:$GV$11,2,FALSE)))</f>
        <v/>
      </c>
      <c r="J8160" s="215" t="str">
        <f>IF(Table2[[#This Row],[Description]]="","",Table2[[#This Row],[Value]]/Table2[[#This Row],[Conversion]])</f>
        <v/>
      </c>
      <c r="K8160" s="45" t="str">
        <f>IF(Table2[[#This Row],[Description]]="","",DATE(Table2[[#This Row],[Year]],Table2[[#This Row],[Month]],1))</f>
        <v/>
      </c>
    </row>
    <row r="8161" spans="7:11" x14ac:dyDescent="0.25">
      <c r="G8161" s="1" t="str">
        <f>IF(Table2[[#This Row],[Description]]="","",VLOOKUP(Table2[[#This Row],[Description]],$Q$1:$S$101,2,FALSE))</f>
        <v/>
      </c>
      <c r="H8161" s="1" t="str">
        <f>IF(Table2[[#This Row],[Description]]="","",VLOOKUP(Table2[[#This Row],[Description]],$Q$1:$S$101,3,FALSE))</f>
        <v/>
      </c>
      <c r="I8161" s="1" t="str">
        <f>IF(Table2[[#This Row],[Description]]="","",IF(Table2[[#This Row],[Currency]]=$O$2,$P$2,HLOOKUP(Table2[[#This Row],[Date]],Funds!$C$10:$GV$11,2,FALSE)))</f>
        <v/>
      </c>
      <c r="J8161" s="215" t="str">
        <f>IF(Table2[[#This Row],[Description]]="","",Table2[[#This Row],[Value]]/Table2[[#This Row],[Conversion]])</f>
        <v/>
      </c>
      <c r="K8161" s="45" t="str">
        <f>IF(Table2[[#This Row],[Description]]="","",DATE(Table2[[#This Row],[Year]],Table2[[#This Row],[Month]],1))</f>
        <v/>
      </c>
    </row>
    <row r="8162" spans="7:11" x14ac:dyDescent="0.25">
      <c r="G8162" s="1" t="str">
        <f>IF(Table2[[#This Row],[Description]]="","",VLOOKUP(Table2[[#This Row],[Description]],$Q$1:$S$101,2,FALSE))</f>
        <v/>
      </c>
      <c r="H8162" s="1" t="str">
        <f>IF(Table2[[#This Row],[Description]]="","",VLOOKUP(Table2[[#This Row],[Description]],$Q$1:$S$101,3,FALSE))</f>
        <v/>
      </c>
      <c r="I8162" s="1" t="str">
        <f>IF(Table2[[#This Row],[Description]]="","",IF(Table2[[#This Row],[Currency]]=$O$2,$P$2,HLOOKUP(Table2[[#This Row],[Date]],Funds!$C$10:$GV$11,2,FALSE)))</f>
        <v/>
      </c>
      <c r="J8162" s="215" t="str">
        <f>IF(Table2[[#This Row],[Description]]="","",Table2[[#This Row],[Value]]/Table2[[#This Row],[Conversion]])</f>
        <v/>
      </c>
      <c r="K8162" s="45" t="str">
        <f>IF(Table2[[#This Row],[Description]]="","",DATE(Table2[[#This Row],[Year]],Table2[[#This Row],[Month]],1))</f>
        <v/>
      </c>
    </row>
    <row r="8163" spans="7:11" x14ac:dyDescent="0.25">
      <c r="G8163" s="1" t="str">
        <f>IF(Table2[[#This Row],[Description]]="","",VLOOKUP(Table2[[#This Row],[Description]],$Q$1:$S$101,2,FALSE))</f>
        <v/>
      </c>
      <c r="H8163" s="1" t="str">
        <f>IF(Table2[[#This Row],[Description]]="","",VLOOKUP(Table2[[#This Row],[Description]],$Q$1:$S$101,3,FALSE))</f>
        <v/>
      </c>
      <c r="I8163" s="1" t="str">
        <f>IF(Table2[[#This Row],[Description]]="","",IF(Table2[[#This Row],[Currency]]=$O$2,$P$2,HLOOKUP(Table2[[#This Row],[Date]],Funds!$C$10:$GV$11,2,FALSE)))</f>
        <v/>
      </c>
      <c r="J8163" s="215" t="str">
        <f>IF(Table2[[#This Row],[Description]]="","",Table2[[#This Row],[Value]]/Table2[[#This Row],[Conversion]])</f>
        <v/>
      </c>
      <c r="K8163" s="45" t="str">
        <f>IF(Table2[[#This Row],[Description]]="","",DATE(Table2[[#This Row],[Year]],Table2[[#This Row],[Month]],1))</f>
        <v/>
      </c>
    </row>
    <row r="8164" spans="7:11" x14ac:dyDescent="0.25">
      <c r="G8164" s="1" t="str">
        <f>IF(Table2[[#This Row],[Description]]="","",VLOOKUP(Table2[[#This Row],[Description]],$Q$1:$S$101,2,FALSE))</f>
        <v/>
      </c>
      <c r="H8164" s="1" t="str">
        <f>IF(Table2[[#This Row],[Description]]="","",VLOOKUP(Table2[[#This Row],[Description]],$Q$1:$S$101,3,FALSE))</f>
        <v/>
      </c>
      <c r="I8164" s="1" t="str">
        <f>IF(Table2[[#This Row],[Description]]="","",IF(Table2[[#This Row],[Currency]]=$O$2,$P$2,HLOOKUP(Table2[[#This Row],[Date]],Funds!$C$10:$GV$11,2,FALSE)))</f>
        <v/>
      </c>
      <c r="J8164" s="215" t="str">
        <f>IF(Table2[[#This Row],[Description]]="","",Table2[[#This Row],[Value]]/Table2[[#This Row],[Conversion]])</f>
        <v/>
      </c>
      <c r="K8164" s="45" t="str">
        <f>IF(Table2[[#This Row],[Description]]="","",DATE(Table2[[#This Row],[Year]],Table2[[#This Row],[Month]],1))</f>
        <v/>
      </c>
    </row>
    <row r="8165" spans="7:11" x14ac:dyDescent="0.25">
      <c r="G8165" s="1" t="str">
        <f>IF(Table2[[#This Row],[Description]]="","",VLOOKUP(Table2[[#This Row],[Description]],$Q$1:$S$101,2,FALSE))</f>
        <v/>
      </c>
      <c r="H8165" s="1" t="str">
        <f>IF(Table2[[#This Row],[Description]]="","",VLOOKUP(Table2[[#This Row],[Description]],$Q$1:$S$101,3,FALSE))</f>
        <v/>
      </c>
      <c r="I8165" s="1" t="str">
        <f>IF(Table2[[#This Row],[Description]]="","",IF(Table2[[#This Row],[Currency]]=$O$2,$P$2,HLOOKUP(Table2[[#This Row],[Date]],Funds!$C$10:$GV$11,2,FALSE)))</f>
        <v/>
      </c>
      <c r="J8165" s="215" t="str">
        <f>IF(Table2[[#This Row],[Description]]="","",Table2[[#This Row],[Value]]/Table2[[#This Row],[Conversion]])</f>
        <v/>
      </c>
      <c r="K8165" s="45" t="str">
        <f>IF(Table2[[#This Row],[Description]]="","",DATE(Table2[[#This Row],[Year]],Table2[[#This Row],[Month]],1))</f>
        <v/>
      </c>
    </row>
    <row r="8166" spans="7:11" x14ac:dyDescent="0.25">
      <c r="G8166" s="1" t="str">
        <f>IF(Table2[[#This Row],[Description]]="","",VLOOKUP(Table2[[#This Row],[Description]],$Q$1:$S$101,2,FALSE))</f>
        <v/>
      </c>
      <c r="H8166" s="1" t="str">
        <f>IF(Table2[[#This Row],[Description]]="","",VLOOKUP(Table2[[#This Row],[Description]],$Q$1:$S$101,3,FALSE))</f>
        <v/>
      </c>
      <c r="I8166" s="1" t="str">
        <f>IF(Table2[[#This Row],[Description]]="","",IF(Table2[[#This Row],[Currency]]=$O$2,$P$2,HLOOKUP(Table2[[#This Row],[Date]],Funds!$C$10:$GV$11,2,FALSE)))</f>
        <v/>
      </c>
      <c r="J8166" s="215" t="str">
        <f>IF(Table2[[#This Row],[Description]]="","",Table2[[#This Row],[Value]]/Table2[[#This Row],[Conversion]])</f>
        <v/>
      </c>
      <c r="K8166" s="45" t="str">
        <f>IF(Table2[[#This Row],[Description]]="","",DATE(Table2[[#This Row],[Year]],Table2[[#This Row],[Month]],1))</f>
        <v/>
      </c>
    </row>
    <row r="8167" spans="7:11" x14ac:dyDescent="0.25">
      <c r="G8167" s="1" t="str">
        <f>IF(Table2[[#This Row],[Description]]="","",VLOOKUP(Table2[[#This Row],[Description]],$Q$1:$S$101,2,FALSE))</f>
        <v/>
      </c>
      <c r="H8167" s="1" t="str">
        <f>IF(Table2[[#This Row],[Description]]="","",VLOOKUP(Table2[[#This Row],[Description]],$Q$1:$S$101,3,FALSE))</f>
        <v/>
      </c>
      <c r="I8167" s="1" t="str">
        <f>IF(Table2[[#This Row],[Description]]="","",IF(Table2[[#This Row],[Currency]]=$O$2,$P$2,HLOOKUP(Table2[[#This Row],[Date]],Funds!$C$10:$GV$11,2,FALSE)))</f>
        <v/>
      </c>
      <c r="J8167" s="215" t="str">
        <f>IF(Table2[[#This Row],[Description]]="","",Table2[[#This Row],[Value]]/Table2[[#This Row],[Conversion]])</f>
        <v/>
      </c>
      <c r="K8167" s="45" t="str">
        <f>IF(Table2[[#This Row],[Description]]="","",DATE(Table2[[#This Row],[Year]],Table2[[#This Row],[Month]],1))</f>
        <v/>
      </c>
    </row>
    <row r="8168" spans="7:11" x14ac:dyDescent="0.25">
      <c r="G8168" s="1" t="str">
        <f>IF(Table2[[#This Row],[Description]]="","",VLOOKUP(Table2[[#This Row],[Description]],$Q$1:$S$101,2,FALSE))</f>
        <v/>
      </c>
      <c r="H8168" s="1" t="str">
        <f>IF(Table2[[#This Row],[Description]]="","",VLOOKUP(Table2[[#This Row],[Description]],$Q$1:$S$101,3,FALSE))</f>
        <v/>
      </c>
      <c r="I8168" s="1" t="str">
        <f>IF(Table2[[#This Row],[Description]]="","",IF(Table2[[#This Row],[Currency]]=$O$2,$P$2,HLOOKUP(Table2[[#This Row],[Date]],Funds!$C$10:$GV$11,2,FALSE)))</f>
        <v/>
      </c>
      <c r="J8168" s="215" t="str">
        <f>IF(Table2[[#This Row],[Description]]="","",Table2[[#This Row],[Value]]/Table2[[#This Row],[Conversion]])</f>
        <v/>
      </c>
      <c r="K8168" s="45" t="str">
        <f>IF(Table2[[#This Row],[Description]]="","",DATE(Table2[[#This Row],[Year]],Table2[[#This Row],[Month]],1))</f>
        <v/>
      </c>
    </row>
    <row r="8169" spans="7:11" x14ac:dyDescent="0.25">
      <c r="G8169" s="1" t="str">
        <f>IF(Table2[[#This Row],[Description]]="","",VLOOKUP(Table2[[#This Row],[Description]],$Q$1:$S$101,2,FALSE))</f>
        <v/>
      </c>
      <c r="H8169" s="1" t="str">
        <f>IF(Table2[[#This Row],[Description]]="","",VLOOKUP(Table2[[#This Row],[Description]],$Q$1:$S$101,3,FALSE))</f>
        <v/>
      </c>
      <c r="I8169" s="1" t="str">
        <f>IF(Table2[[#This Row],[Description]]="","",IF(Table2[[#This Row],[Currency]]=$O$2,$P$2,HLOOKUP(Table2[[#This Row],[Date]],Funds!$C$10:$GV$11,2,FALSE)))</f>
        <v/>
      </c>
      <c r="J8169" s="215" t="str">
        <f>IF(Table2[[#This Row],[Description]]="","",Table2[[#This Row],[Value]]/Table2[[#This Row],[Conversion]])</f>
        <v/>
      </c>
      <c r="K8169" s="45" t="str">
        <f>IF(Table2[[#This Row],[Description]]="","",DATE(Table2[[#This Row],[Year]],Table2[[#This Row],[Month]],1))</f>
        <v/>
      </c>
    </row>
    <row r="8170" spans="7:11" x14ac:dyDescent="0.25">
      <c r="G8170" s="1" t="str">
        <f>IF(Table2[[#This Row],[Description]]="","",VLOOKUP(Table2[[#This Row],[Description]],$Q$1:$S$101,2,FALSE))</f>
        <v/>
      </c>
      <c r="H8170" s="1" t="str">
        <f>IF(Table2[[#This Row],[Description]]="","",VLOOKUP(Table2[[#This Row],[Description]],$Q$1:$S$101,3,FALSE))</f>
        <v/>
      </c>
      <c r="I8170" s="1" t="str">
        <f>IF(Table2[[#This Row],[Description]]="","",IF(Table2[[#This Row],[Currency]]=$O$2,$P$2,HLOOKUP(Table2[[#This Row],[Date]],Funds!$C$10:$GV$11,2,FALSE)))</f>
        <v/>
      </c>
      <c r="J8170" s="215" t="str">
        <f>IF(Table2[[#This Row],[Description]]="","",Table2[[#This Row],[Value]]/Table2[[#This Row],[Conversion]])</f>
        <v/>
      </c>
      <c r="K8170" s="45" t="str">
        <f>IF(Table2[[#This Row],[Description]]="","",DATE(Table2[[#This Row],[Year]],Table2[[#This Row],[Month]],1))</f>
        <v/>
      </c>
    </row>
    <row r="8171" spans="7:11" x14ac:dyDescent="0.25">
      <c r="G8171" s="1" t="str">
        <f>IF(Table2[[#This Row],[Description]]="","",VLOOKUP(Table2[[#This Row],[Description]],$Q$1:$S$101,2,FALSE))</f>
        <v/>
      </c>
      <c r="H8171" s="1" t="str">
        <f>IF(Table2[[#This Row],[Description]]="","",VLOOKUP(Table2[[#This Row],[Description]],$Q$1:$S$101,3,FALSE))</f>
        <v/>
      </c>
      <c r="I8171" s="1" t="str">
        <f>IF(Table2[[#This Row],[Description]]="","",IF(Table2[[#This Row],[Currency]]=$O$2,$P$2,HLOOKUP(Table2[[#This Row],[Date]],Funds!$C$10:$GV$11,2,FALSE)))</f>
        <v/>
      </c>
      <c r="J8171" s="215" t="str">
        <f>IF(Table2[[#This Row],[Description]]="","",Table2[[#This Row],[Value]]/Table2[[#This Row],[Conversion]])</f>
        <v/>
      </c>
      <c r="K8171" s="45" t="str">
        <f>IF(Table2[[#This Row],[Description]]="","",DATE(Table2[[#This Row],[Year]],Table2[[#This Row],[Month]],1))</f>
        <v/>
      </c>
    </row>
    <row r="8172" spans="7:11" x14ac:dyDescent="0.25">
      <c r="G8172" s="1" t="str">
        <f>IF(Table2[[#This Row],[Description]]="","",VLOOKUP(Table2[[#This Row],[Description]],$Q$1:$S$101,2,FALSE))</f>
        <v/>
      </c>
      <c r="H8172" s="1" t="str">
        <f>IF(Table2[[#This Row],[Description]]="","",VLOOKUP(Table2[[#This Row],[Description]],$Q$1:$S$101,3,FALSE))</f>
        <v/>
      </c>
      <c r="I8172" s="1" t="str">
        <f>IF(Table2[[#This Row],[Description]]="","",IF(Table2[[#This Row],[Currency]]=$O$2,$P$2,HLOOKUP(Table2[[#This Row],[Date]],Funds!$C$10:$GV$11,2,FALSE)))</f>
        <v/>
      </c>
      <c r="J8172" s="215" t="str">
        <f>IF(Table2[[#This Row],[Description]]="","",Table2[[#This Row],[Value]]/Table2[[#This Row],[Conversion]])</f>
        <v/>
      </c>
      <c r="K8172" s="45" t="str">
        <f>IF(Table2[[#This Row],[Description]]="","",DATE(Table2[[#This Row],[Year]],Table2[[#This Row],[Month]],1))</f>
        <v/>
      </c>
    </row>
    <row r="8173" spans="7:11" x14ac:dyDescent="0.25">
      <c r="G8173" s="1" t="str">
        <f>IF(Table2[[#This Row],[Description]]="","",VLOOKUP(Table2[[#This Row],[Description]],$Q$1:$S$101,2,FALSE))</f>
        <v/>
      </c>
      <c r="H8173" s="1" t="str">
        <f>IF(Table2[[#This Row],[Description]]="","",VLOOKUP(Table2[[#This Row],[Description]],$Q$1:$S$101,3,FALSE))</f>
        <v/>
      </c>
      <c r="I8173" s="1" t="str">
        <f>IF(Table2[[#This Row],[Description]]="","",IF(Table2[[#This Row],[Currency]]=$O$2,$P$2,HLOOKUP(Table2[[#This Row],[Date]],Funds!$C$10:$GV$11,2,FALSE)))</f>
        <v/>
      </c>
      <c r="J8173" s="215" t="str">
        <f>IF(Table2[[#This Row],[Description]]="","",Table2[[#This Row],[Value]]/Table2[[#This Row],[Conversion]])</f>
        <v/>
      </c>
      <c r="K8173" s="45" t="str">
        <f>IF(Table2[[#This Row],[Description]]="","",DATE(Table2[[#This Row],[Year]],Table2[[#This Row],[Month]],1))</f>
        <v/>
      </c>
    </row>
    <row r="8174" spans="7:11" x14ac:dyDescent="0.25">
      <c r="G8174" s="1" t="str">
        <f>IF(Table2[[#This Row],[Description]]="","",VLOOKUP(Table2[[#This Row],[Description]],$Q$1:$S$101,2,FALSE))</f>
        <v/>
      </c>
      <c r="H8174" s="1" t="str">
        <f>IF(Table2[[#This Row],[Description]]="","",VLOOKUP(Table2[[#This Row],[Description]],$Q$1:$S$101,3,FALSE))</f>
        <v/>
      </c>
      <c r="I8174" s="1" t="str">
        <f>IF(Table2[[#This Row],[Description]]="","",IF(Table2[[#This Row],[Currency]]=$O$2,$P$2,HLOOKUP(Table2[[#This Row],[Date]],Funds!$C$10:$GV$11,2,FALSE)))</f>
        <v/>
      </c>
      <c r="J8174" s="215" t="str">
        <f>IF(Table2[[#This Row],[Description]]="","",Table2[[#This Row],[Value]]/Table2[[#This Row],[Conversion]])</f>
        <v/>
      </c>
      <c r="K8174" s="45" t="str">
        <f>IF(Table2[[#This Row],[Description]]="","",DATE(Table2[[#This Row],[Year]],Table2[[#This Row],[Month]],1))</f>
        <v/>
      </c>
    </row>
    <row r="8175" spans="7:11" x14ac:dyDescent="0.25">
      <c r="G8175" s="1" t="str">
        <f>IF(Table2[[#This Row],[Description]]="","",VLOOKUP(Table2[[#This Row],[Description]],$Q$1:$S$101,2,FALSE))</f>
        <v/>
      </c>
      <c r="H8175" s="1" t="str">
        <f>IF(Table2[[#This Row],[Description]]="","",VLOOKUP(Table2[[#This Row],[Description]],$Q$1:$S$101,3,FALSE))</f>
        <v/>
      </c>
      <c r="I8175" s="1" t="str">
        <f>IF(Table2[[#This Row],[Description]]="","",IF(Table2[[#This Row],[Currency]]=$O$2,$P$2,HLOOKUP(Table2[[#This Row],[Date]],Funds!$C$10:$GV$11,2,FALSE)))</f>
        <v/>
      </c>
      <c r="J8175" s="215" t="str">
        <f>IF(Table2[[#This Row],[Description]]="","",Table2[[#This Row],[Value]]/Table2[[#This Row],[Conversion]])</f>
        <v/>
      </c>
      <c r="K8175" s="45" t="str">
        <f>IF(Table2[[#This Row],[Description]]="","",DATE(Table2[[#This Row],[Year]],Table2[[#This Row],[Month]],1))</f>
        <v/>
      </c>
    </row>
    <row r="8176" spans="7:11" x14ac:dyDescent="0.25">
      <c r="G8176" s="1" t="str">
        <f>IF(Table2[[#This Row],[Description]]="","",VLOOKUP(Table2[[#This Row],[Description]],$Q$1:$S$101,2,FALSE))</f>
        <v/>
      </c>
      <c r="H8176" s="1" t="str">
        <f>IF(Table2[[#This Row],[Description]]="","",VLOOKUP(Table2[[#This Row],[Description]],$Q$1:$S$101,3,FALSE))</f>
        <v/>
      </c>
      <c r="I8176" s="1" t="str">
        <f>IF(Table2[[#This Row],[Description]]="","",IF(Table2[[#This Row],[Currency]]=$O$2,$P$2,HLOOKUP(Table2[[#This Row],[Date]],Funds!$C$10:$GV$11,2,FALSE)))</f>
        <v/>
      </c>
      <c r="J8176" s="215" t="str">
        <f>IF(Table2[[#This Row],[Description]]="","",Table2[[#This Row],[Value]]/Table2[[#This Row],[Conversion]])</f>
        <v/>
      </c>
      <c r="K8176" s="45" t="str">
        <f>IF(Table2[[#This Row],[Description]]="","",DATE(Table2[[#This Row],[Year]],Table2[[#This Row],[Month]],1))</f>
        <v/>
      </c>
    </row>
    <row r="8177" spans="7:11" x14ac:dyDescent="0.25">
      <c r="G8177" s="1" t="str">
        <f>IF(Table2[[#This Row],[Description]]="","",VLOOKUP(Table2[[#This Row],[Description]],$Q$1:$S$101,2,FALSE))</f>
        <v/>
      </c>
      <c r="H8177" s="1" t="str">
        <f>IF(Table2[[#This Row],[Description]]="","",VLOOKUP(Table2[[#This Row],[Description]],$Q$1:$S$101,3,FALSE))</f>
        <v/>
      </c>
      <c r="I8177" s="1" t="str">
        <f>IF(Table2[[#This Row],[Description]]="","",IF(Table2[[#This Row],[Currency]]=$O$2,$P$2,HLOOKUP(Table2[[#This Row],[Date]],Funds!$C$10:$GV$11,2,FALSE)))</f>
        <v/>
      </c>
      <c r="J8177" s="215" t="str">
        <f>IF(Table2[[#This Row],[Description]]="","",Table2[[#This Row],[Value]]/Table2[[#This Row],[Conversion]])</f>
        <v/>
      </c>
      <c r="K8177" s="45" t="str">
        <f>IF(Table2[[#This Row],[Description]]="","",DATE(Table2[[#This Row],[Year]],Table2[[#This Row],[Month]],1))</f>
        <v/>
      </c>
    </row>
    <row r="8178" spans="7:11" x14ac:dyDescent="0.25">
      <c r="G8178" s="1" t="str">
        <f>IF(Table2[[#This Row],[Description]]="","",VLOOKUP(Table2[[#This Row],[Description]],$Q$1:$S$101,2,FALSE))</f>
        <v/>
      </c>
      <c r="H8178" s="1" t="str">
        <f>IF(Table2[[#This Row],[Description]]="","",VLOOKUP(Table2[[#This Row],[Description]],$Q$1:$S$101,3,FALSE))</f>
        <v/>
      </c>
      <c r="I8178" s="1" t="str">
        <f>IF(Table2[[#This Row],[Description]]="","",IF(Table2[[#This Row],[Currency]]=$O$2,$P$2,HLOOKUP(Table2[[#This Row],[Date]],Funds!$C$10:$GV$11,2,FALSE)))</f>
        <v/>
      </c>
      <c r="J8178" s="215" t="str">
        <f>IF(Table2[[#This Row],[Description]]="","",Table2[[#This Row],[Value]]/Table2[[#This Row],[Conversion]])</f>
        <v/>
      </c>
      <c r="K8178" s="45" t="str">
        <f>IF(Table2[[#This Row],[Description]]="","",DATE(Table2[[#This Row],[Year]],Table2[[#This Row],[Month]],1))</f>
        <v/>
      </c>
    </row>
    <row r="8179" spans="7:11" x14ac:dyDescent="0.25">
      <c r="G8179" s="1" t="str">
        <f>IF(Table2[[#This Row],[Description]]="","",VLOOKUP(Table2[[#This Row],[Description]],$Q$1:$S$101,2,FALSE))</f>
        <v/>
      </c>
      <c r="H8179" s="1" t="str">
        <f>IF(Table2[[#This Row],[Description]]="","",VLOOKUP(Table2[[#This Row],[Description]],$Q$1:$S$101,3,FALSE))</f>
        <v/>
      </c>
      <c r="I8179" s="1" t="str">
        <f>IF(Table2[[#This Row],[Description]]="","",IF(Table2[[#This Row],[Currency]]=$O$2,$P$2,HLOOKUP(Table2[[#This Row],[Date]],Funds!$C$10:$GV$11,2,FALSE)))</f>
        <v/>
      </c>
      <c r="J8179" s="215" t="str">
        <f>IF(Table2[[#This Row],[Description]]="","",Table2[[#This Row],[Value]]/Table2[[#This Row],[Conversion]])</f>
        <v/>
      </c>
      <c r="K8179" s="45" t="str">
        <f>IF(Table2[[#This Row],[Description]]="","",DATE(Table2[[#This Row],[Year]],Table2[[#This Row],[Month]],1))</f>
        <v/>
      </c>
    </row>
    <row r="8180" spans="7:11" x14ac:dyDescent="0.25">
      <c r="G8180" s="1" t="str">
        <f>IF(Table2[[#This Row],[Description]]="","",VLOOKUP(Table2[[#This Row],[Description]],$Q$1:$S$101,2,FALSE))</f>
        <v/>
      </c>
      <c r="H8180" s="1" t="str">
        <f>IF(Table2[[#This Row],[Description]]="","",VLOOKUP(Table2[[#This Row],[Description]],$Q$1:$S$101,3,FALSE))</f>
        <v/>
      </c>
      <c r="I8180" s="1" t="str">
        <f>IF(Table2[[#This Row],[Description]]="","",IF(Table2[[#This Row],[Currency]]=$O$2,$P$2,HLOOKUP(Table2[[#This Row],[Date]],Funds!$C$10:$GV$11,2,FALSE)))</f>
        <v/>
      </c>
      <c r="J8180" s="215" t="str">
        <f>IF(Table2[[#This Row],[Description]]="","",Table2[[#This Row],[Value]]/Table2[[#This Row],[Conversion]])</f>
        <v/>
      </c>
      <c r="K8180" s="45" t="str">
        <f>IF(Table2[[#This Row],[Description]]="","",DATE(Table2[[#This Row],[Year]],Table2[[#This Row],[Month]],1))</f>
        <v/>
      </c>
    </row>
    <row r="8181" spans="7:11" x14ac:dyDescent="0.25">
      <c r="G8181" s="1" t="str">
        <f>IF(Table2[[#This Row],[Description]]="","",VLOOKUP(Table2[[#This Row],[Description]],$Q$1:$S$101,2,FALSE))</f>
        <v/>
      </c>
      <c r="H8181" s="1" t="str">
        <f>IF(Table2[[#This Row],[Description]]="","",VLOOKUP(Table2[[#This Row],[Description]],$Q$1:$S$101,3,FALSE))</f>
        <v/>
      </c>
      <c r="I8181" s="1" t="str">
        <f>IF(Table2[[#This Row],[Description]]="","",IF(Table2[[#This Row],[Currency]]=$O$2,$P$2,HLOOKUP(Table2[[#This Row],[Date]],Funds!$C$10:$GV$11,2,FALSE)))</f>
        <v/>
      </c>
      <c r="J8181" s="215" t="str">
        <f>IF(Table2[[#This Row],[Description]]="","",Table2[[#This Row],[Value]]/Table2[[#This Row],[Conversion]])</f>
        <v/>
      </c>
      <c r="K8181" s="45" t="str">
        <f>IF(Table2[[#This Row],[Description]]="","",DATE(Table2[[#This Row],[Year]],Table2[[#This Row],[Month]],1))</f>
        <v/>
      </c>
    </row>
    <row r="8182" spans="7:11" x14ac:dyDescent="0.25">
      <c r="G8182" s="1" t="str">
        <f>IF(Table2[[#This Row],[Description]]="","",VLOOKUP(Table2[[#This Row],[Description]],$Q$1:$S$101,2,FALSE))</f>
        <v/>
      </c>
      <c r="H8182" s="1" t="str">
        <f>IF(Table2[[#This Row],[Description]]="","",VLOOKUP(Table2[[#This Row],[Description]],$Q$1:$S$101,3,FALSE))</f>
        <v/>
      </c>
      <c r="I8182" s="1" t="str">
        <f>IF(Table2[[#This Row],[Description]]="","",IF(Table2[[#This Row],[Currency]]=$O$2,$P$2,HLOOKUP(Table2[[#This Row],[Date]],Funds!$C$10:$GV$11,2,FALSE)))</f>
        <v/>
      </c>
      <c r="J8182" s="215" t="str">
        <f>IF(Table2[[#This Row],[Description]]="","",Table2[[#This Row],[Value]]/Table2[[#This Row],[Conversion]])</f>
        <v/>
      </c>
      <c r="K8182" s="45" t="str">
        <f>IF(Table2[[#This Row],[Description]]="","",DATE(Table2[[#This Row],[Year]],Table2[[#This Row],[Month]],1))</f>
        <v/>
      </c>
    </row>
    <row r="8183" spans="7:11" x14ac:dyDescent="0.25">
      <c r="G8183" s="1" t="str">
        <f>IF(Table2[[#This Row],[Description]]="","",VLOOKUP(Table2[[#This Row],[Description]],$Q$1:$S$101,2,FALSE))</f>
        <v/>
      </c>
      <c r="H8183" s="1" t="str">
        <f>IF(Table2[[#This Row],[Description]]="","",VLOOKUP(Table2[[#This Row],[Description]],$Q$1:$S$101,3,FALSE))</f>
        <v/>
      </c>
      <c r="I8183" s="1" t="str">
        <f>IF(Table2[[#This Row],[Description]]="","",IF(Table2[[#This Row],[Currency]]=$O$2,$P$2,HLOOKUP(Table2[[#This Row],[Date]],Funds!$C$10:$GV$11,2,FALSE)))</f>
        <v/>
      </c>
      <c r="J8183" s="215" t="str">
        <f>IF(Table2[[#This Row],[Description]]="","",Table2[[#This Row],[Value]]/Table2[[#This Row],[Conversion]])</f>
        <v/>
      </c>
      <c r="K8183" s="45" t="str">
        <f>IF(Table2[[#This Row],[Description]]="","",DATE(Table2[[#This Row],[Year]],Table2[[#This Row],[Month]],1))</f>
        <v/>
      </c>
    </row>
    <row r="8184" spans="7:11" x14ac:dyDescent="0.25">
      <c r="G8184" s="1" t="str">
        <f>IF(Table2[[#This Row],[Description]]="","",VLOOKUP(Table2[[#This Row],[Description]],$Q$1:$S$101,2,FALSE))</f>
        <v/>
      </c>
      <c r="H8184" s="1" t="str">
        <f>IF(Table2[[#This Row],[Description]]="","",VLOOKUP(Table2[[#This Row],[Description]],$Q$1:$S$101,3,FALSE))</f>
        <v/>
      </c>
      <c r="I8184" s="1" t="str">
        <f>IF(Table2[[#This Row],[Description]]="","",IF(Table2[[#This Row],[Currency]]=$O$2,$P$2,HLOOKUP(Table2[[#This Row],[Date]],Funds!$C$10:$GV$11,2,FALSE)))</f>
        <v/>
      </c>
      <c r="J8184" s="215" t="str">
        <f>IF(Table2[[#This Row],[Description]]="","",Table2[[#This Row],[Value]]/Table2[[#This Row],[Conversion]])</f>
        <v/>
      </c>
      <c r="K8184" s="45" t="str">
        <f>IF(Table2[[#This Row],[Description]]="","",DATE(Table2[[#This Row],[Year]],Table2[[#This Row],[Month]],1))</f>
        <v/>
      </c>
    </row>
    <row r="8185" spans="7:11" x14ac:dyDescent="0.25">
      <c r="G8185" s="1" t="str">
        <f>IF(Table2[[#This Row],[Description]]="","",VLOOKUP(Table2[[#This Row],[Description]],$Q$1:$S$101,2,FALSE))</f>
        <v/>
      </c>
      <c r="H8185" s="1" t="str">
        <f>IF(Table2[[#This Row],[Description]]="","",VLOOKUP(Table2[[#This Row],[Description]],$Q$1:$S$101,3,FALSE))</f>
        <v/>
      </c>
      <c r="I8185" s="1" t="str">
        <f>IF(Table2[[#This Row],[Description]]="","",IF(Table2[[#This Row],[Currency]]=$O$2,$P$2,HLOOKUP(Table2[[#This Row],[Date]],Funds!$C$10:$GV$11,2,FALSE)))</f>
        <v/>
      </c>
      <c r="J8185" s="215" t="str">
        <f>IF(Table2[[#This Row],[Description]]="","",Table2[[#This Row],[Value]]/Table2[[#This Row],[Conversion]])</f>
        <v/>
      </c>
      <c r="K8185" s="45" t="str">
        <f>IF(Table2[[#This Row],[Description]]="","",DATE(Table2[[#This Row],[Year]],Table2[[#This Row],[Month]],1))</f>
        <v/>
      </c>
    </row>
    <row r="8186" spans="7:11" x14ac:dyDescent="0.25">
      <c r="G8186" s="1" t="str">
        <f>IF(Table2[[#This Row],[Description]]="","",VLOOKUP(Table2[[#This Row],[Description]],$Q$1:$S$101,2,FALSE))</f>
        <v/>
      </c>
      <c r="H8186" s="1" t="str">
        <f>IF(Table2[[#This Row],[Description]]="","",VLOOKUP(Table2[[#This Row],[Description]],$Q$1:$S$101,3,FALSE))</f>
        <v/>
      </c>
      <c r="I8186" s="1" t="str">
        <f>IF(Table2[[#This Row],[Description]]="","",IF(Table2[[#This Row],[Currency]]=$O$2,$P$2,HLOOKUP(Table2[[#This Row],[Date]],Funds!$C$10:$GV$11,2,FALSE)))</f>
        <v/>
      </c>
      <c r="J8186" s="215" t="str">
        <f>IF(Table2[[#This Row],[Description]]="","",Table2[[#This Row],[Value]]/Table2[[#This Row],[Conversion]])</f>
        <v/>
      </c>
      <c r="K8186" s="45" t="str">
        <f>IF(Table2[[#This Row],[Description]]="","",DATE(Table2[[#This Row],[Year]],Table2[[#This Row],[Month]],1))</f>
        <v/>
      </c>
    </row>
    <row r="8187" spans="7:11" x14ac:dyDescent="0.25">
      <c r="G8187" s="1" t="str">
        <f>IF(Table2[[#This Row],[Description]]="","",VLOOKUP(Table2[[#This Row],[Description]],$Q$1:$S$101,2,FALSE))</f>
        <v/>
      </c>
      <c r="H8187" s="1" t="str">
        <f>IF(Table2[[#This Row],[Description]]="","",VLOOKUP(Table2[[#This Row],[Description]],$Q$1:$S$101,3,FALSE))</f>
        <v/>
      </c>
      <c r="I8187" s="1" t="str">
        <f>IF(Table2[[#This Row],[Description]]="","",IF(Table2[[#This Row],[Currency]]=$O$2,$P$2,HLOOKUP(Table2[[#This Row],[Date]],Funds!$C$10:$GV$11,2,FALSE)))</f>
        <v/>
      </c>
      <c r="J8187" s="215" t="str">
        <f>IF(Table2[[#This Row],[Description]]="","",Table2[[#This Row],[Value]]/Table2[[#This Row],[Conversion]])</f>
        <v/>
      </c>
      <c r="K8187" s="45" t="str">
        <f>IF(Table2[[#This Row],[Description]]="","",DATE(Table2[[#This Row],[Year]],Table2[[#This Row],[Month]],1))</f>
        <v/>
      </c>
    </row>
    <row r="8188" spans="7:11" x14ac:dyDescent="0.25">
      <c r="G8188" s="1" t="str">
        <f>IF(Table2[[#This Row],[Description]]="","",VLOOKUP(Table2[[#This Row],[Description]],$Q$1:$S$101,2,FALSE))</f>
        <v/>
      </c>
      <c r="H8188" s="1" t="str">
        <f>IF(Table2[[#This Row],[Description]]="","",VLOOKUP(Table2[[#This Row],[Description]],$Q$1:$S$101,3,FALSE))</f>
        <v/>
      </c>
      <c r="I8188" s="1" t="str">
        <f>IF(Table2[[#This Row],[Description]]="","",IF(Table2[[#This Row],[Currency]]=$O$2,$P$2,HLOOKUP(Table2[[#This Row],[Date]],Funds!$C$10:$GV$11,2,FALSE)))</f>
        <v/>
      </c>
      <c r="J8188" s="215" t="str">
        <f>IF(Table2[[#This Row],[Description]]="","",Table2[[#This Row],[Value]]/Table2[[#This Row],[Conversion]])</f>
        <v/>
      </c>
      <c r="K8188" s="45" t="str">
        <f>IF(Table2[[#This Row],[Description]]="","",DATE(Table2[[#This Row],[Year]],Table2[[#This Row],[Month]],1))</f>
        <v/>
      </c>
    </row>
    <row r="8189" spans="7:11" x14ac:dyDescent="0.25">
      <c r="G8189" s="1" t="str">
        <f>IF(Table2[[#This Row],[Description]]="","",VLOOKUP(Table2[[#This Row],[Description]],$Q$1:$S$101,2,FALSE))</f>
        <v/>
      </c>
      <c r="H8189" s="1" t="str">
        <f>IF(Table2[[#This Row],[Description]]="","",VLOOKUP(Table2[[#This Row],[Description]],$Q$1:$S$101,3,FALSE))</f>
        <v/>
      </c>
      <c r="I8189" s="1" t="str">
        <f>IF(Table2[[#This Row],[Description]]="","",IF(Table2[[#This Row],[Currency]]=$O$2,$P$2,HLOOKUP(Table2[[#This Row],[Date]],Funds!$C$10:$GV$11,2,FALSE)))</f>
        <v/>
      </c>
      <c r="J8189" s="215" t="str">
        <f>IF(Table2[[#This Row],[Description]]="","",Table2[[#This Row],[Value]]/Table2[[#This Row],[Conversion]])</f>
        <v/>
      </c>
      <c r="K8189" s="45" t="str">
        <f>IF(Table2[[#This Row],[Description]]="","",DATE(Table2[[#This Row],[Year]],Table2[[#This Row],[Month]],1))</f>
        <v/>
      </c>
    </row>
    <row r="8190" spans="7:11" x14ac:dyDescent="0.25">
      <c r="G8190" s="1" t="str">
        <f>IF(Table2[[#This Row],[Description]]="","",VLOOKUP(Table2[[#This Row],[Description]],$Q$1:$S$101,2,FALSE))</f>
        <v/>
      </c>
      <c r="H8190" s="1" t="str">
        <f>IF(Table2[[#This Row],[Description]]="","",VLOOKUP(Table2[[#This Row],[Description]],$Q$1:$S$101,3,FALSE))</f>
        <v/>
      </c>
      <c r="I8190" s="1" t="str">
        <f>IF(Table2[[#This Row],[Description]]="","",IF(Table2[[#This Row],[Currency]]=$O$2,$P$2,HLOOKUP(Table2[[#This Row],[Date]],Funds!$C$10:$GV$11,2,FALSE)))</f>
        <v/>
      </c>
      <c r="J8190" s="215" t="str">
        <f>IF(Table2[[#This Row],[Description]]="","",Table2[[#This Row],[Value]]/Table2[[#This Row],[Conversion]])</f>
        <v/>
      </c>
      <c r="K8190" s="45" t="str">
        <f>IF(Table2[[#This Row],[Description]]="","",DATE(Table2[[#This Row],[Year]],Table2[[#This Row],[Month]],1))</f>
        <v/>
      </c>
    </row>
    <row r="8191" spans="7:11" x14ac:dyDescent="0.25">
      <c r="G8191" s="1" t="str">
        <f>IF(Table2[[#This Row],[Description]]="","",VLOOKUP(Table2[[#This Row],[Description]],$Q$1:$S$101,2,FALSE))</f>
        <v/>
      </c>
      <c r="H8191" s="1" t="str">
        <f>IF(Table2[[#This Row],[Description]]="","",VLOOKUP(Table2[[#This Row],[Description]],$Q$1:$S$101,3,FALSE))</f>
        <v/>
      </c>
      <c r="I8191" s="1" t="str">
        <f>IF(Table2[[#This Row],[Description]]="","",IF(Table2[[#This Row],[Currency]]=$O$2,$P$2,HLOOKUP(Table2[[#This Row],[Date]],Funds!$C$10:$GV$11,2,FALSE)))</f>
        <v/>
      </c>
      <c r="J8191" s="215" t="str">
        <f>IF(Table2[[#This Row],[Description]]="","",Table2[[#This Row],[Value]]/Table2[[#This Row],[Conversion]])</f>
        <v/>
      </c>
      <c r="K8191" s="45" t="str">
        <f>IF(Table2[[#This Row],[Description]]="","",DATE(Table2[[#This Row],[Year]],Table2[[#This Row],[Month]],1))</f>
        <v/>
      </c>
    </row>
    <row r="8192" spans="7:11" x14ac:dyDescent="0.25">
      <c r="G8192" s="1" t="str">
        <f>IF(Table2[[#This Row],[Description]]="","",VLOOKUP(Table2[[#This Row],[Description]],$Q$1:$S$101,2,FALSE))</f>
        <v/>
      </c>
      <c r="H8192" s="1" t="str">
        <f>IF(Table2[[#This Row],[Description]]="","",VLOOKUP(Table2[[#This Row],[Description]],$Q$1:$S$101,3,FALSE))</f>
        <v/>
      </c>
      <c r="I8192" s="1" t="str">
        <f>IF(Table2[[#This Row],[Description]]="","",IF(Table2[[#This Row],[Currency]]=$O$2,$P$2,HLOOKUP(Table2[[#This Row],[Date]],Funds!$C$10:$GV$11,2,FALSE)))</f>
        <v/>
      </c>
      <c r="J8192" s="215" t="str">
        <f>IF(Table2[[#This Row],[Description]]="","",Table2[[#This Row],[Value]]/Table2[[#This Row],[Conversion]])</f>
        <v/>
      </c>
      <c r="K8192" s="45" t="str">
        <f>IF(Table2[[#This Row],[Description]]="","",DATE(Table2[[#This Row],[Year]],Table2[[#This Row],[Month]],1))</f>
        <v/>
      </c>
    </row>
    <row r="8193" spans="7:11" x14ac:dyDescent="0.25">
      <c r="G8193" s="1" t="str">
        <f>IF(Table2[[#This Row],[Description]]="","",VLOOKUP(Table2[[#This Row],[Description]],$Q$1:$S$101,2,FALSE))</f>
        <v/>
      </c>
      <c r="H8193" s="1" t="str">
        <f>IF(Table2[[#This Row],[Description]]="","",VLOOKUP(Table2[[#This Row],[Description]],$Q$1:$S$101,3,FALSE))</f>
        <v/>
      </c>
      <c r="I8193" s="1" t="str">
        <f>IF(Table2[[#This Row],[Description]]="","",IF(Table2[[#This Row],[Currency]]=$O$2,$P$2,HLOOKUP(Table2[[#This Row],[Date]],Funds!$C$10:$GV$11,2,FALSE)))</f>
        <v/>
      </c>
      <c r="J8193" s="215" t="str">
        <f>IF(Table2[[#This Row],[Description]]="","",Table2[[#This Row],[Value]]/Table2[[#This Row],[Conversion]])</f>
        <v/>
      </c>
      <c r="K8193" s="45" t="str">
        <f>IF(Table2[[#This Row],[Description]]="","",DATE(Table2[[#This Row],[Year]],Table2[[#This Row],[Month]],1))</f>
        <v/>
      </c>
    </row>
    <row r="8194" spans="7:11" x14ac:dyDescent="0.25">
      <c r="G8194" s="1" t="str">
        <f>IF(Table2[[#This Row],[Description]]="","",VLOOKUP(Table2[[#This Row],[Description]],$Q$1:$S$101,2,FALSE))</f>
        <v/>
      </c>
      <c r="H8194" s="1" t="str">
        <f>IF(Table2[[#This Row],[Description]]="","",VLOOKUP(Table2[[#This Row],[Description]],$Q$1:$S$101,3,FALSE))</f>
        <v/>
      </c>
      <c r="I8194" s="1" t="str">
        <f>IF(Table2[[#This Row],[Description]]="","",IF(Table2[[#This Row],[Currency]]=$O$2,$P$2,HLOOKUP(Table2[[#This Row],[Date]],Funds!$C$10:$GV$11,2,FALSE)))</f>
        <v/>
      </c>
      <c r="J8194" s="215" t="str">
        <f>IF(Table2[[#This Row],[Description]]="","",Table2[[#This Row],[Value]]/Table2[[#This Row],[Conversion]])</f>
        <v/>
      </c>
      <c r="K8194" s="45" t="str">
        <f>IF(Table2[[#This Row],[Description]]="","",DATE(Table2[[#This Row],[Year]],Table2[[#This Row],[Month]],1))</f>
        <v/>
      </c>
    </row>
    <row r="8195" spans="7:11" x14ac:dyDescent="0.25">
      <c r="G8195" s="1" t="str">
        <f>IF(Table2[[#This Row],[Description]]="","",VLOOKUP(Table2[[#This Row],[Description]],$Q$1:$S$101,2,FALSE))</f>
        <v/>
      </c>
      <c r="H8195" s="1" t="str">
        <f>IF(Table2[[#This Row],[Description]]="","",VLOOKUP(Table2[[#This Row],[Description]],$Q$1:$S$101,3,FALSE))</f>
        <v/>
      </c>
      <c r="I8195" s="1" t="str">
        <f>IF(Table2[[#This Row],[Description]]="","",IF(Table2[[#This Row],[Currency]]=$O$2,$P$2,HLOOKUP(Table2[[#This Row],[Date]],Funds!$C$10:$GV$11,2,FALSE)))</f>
        <v/>
      </c>
      <c r="J8195" s="215" t="str">
        <f>IF(Table2[[#This Row],[Description]]="","",Table2[[#This Row],[Value]]/Table2[[#This Row],[Conversion]])</f>
        <v/>
      </c>
      <c r="K8195" s="45" t="str">
        <f>IF(Table2[[#This Row],[Description]]="","",DATE(Table2[[#This Row],[Year]],Table2[[#This Row],[Month]],1))</f>
        <v/>
      </c>
    </row>
    <row r="8196" spans="7:11" x14ac:dyDescent="0.25">
      <c r="G8196" s="1" t="str">
        <f>IF(Table2[[#This Row],[Description]]="","",VLOOKUP(Table2[[#This Row],[Description]],$Q$1:$S$101,2,FALSE))</f>
        <v/>
      </c>
      <c r="H8196" s="1" t="str">
        <f>IF(Table2[[#This Row],[Description]]="","",VLOOKUP(Table2[[#This Row],[Description]],$Q$1:$S$101,3,FALSE))</f>
        <v/>
      </c>
      <c r="I8196" s="1" t="str">
        <f>IF(Table2[[#This Row],[Description]]="","",IF(Table2[[#This Row],[Currency]]=$O$2,$P$2,HLOOKUP(Table2[[#This Row],[Date]],Funds!$C$10:$GV$11,2,FALSE)))</f>
        <v/>
      </c>
      <c r="J8196" s="215" t="str">
        <f>IF(Table2[[#This Row],[Description]]="","",Table2[[#This Row],[Value]]/Table2[[#This Row],[Conversion]])</f>
        <v/>
      </c>
      <c r="K8196" s="45" t="str">
        <f>IF(Table2[[#This Row],[Description]]="","",DATE(Table2[[#This Row],[Year]],Table2[[#This Row],[Month]],1))</f>
        <v/>
      </c>
    </row>
    <row r="8197" spans="7:11" x14ac:dyDescent="0.25">
      <c r="G8197" s="1" t="str">
        <f>IF(Table2[[#This Row],[Description]]="","",VLOOKUP(Table2[[#This Row],[Description]],$Q$1:$S$101,2,FALSE))</f>
        <v/>
      </c>
      <c r="H8197" s="1" t="str">
        <f>IF(Table2[[#This Row],[Description]]="","",VLOOKUP(Table2[[#This Row],[Description]],$Q$1:$S$101,3,FALSE))</f>
        <v/>
      </c>
      <c r="I8197" s="1" t="str">
        <f>IF(Table2[[#This Row],[Description]]="","",IF(Table2[[#This Row],[Currency]]=$O$2,$P$2,HLOOKUP(Table2[[#This Row],[Date]],Funds!$C$10:$GV$11,2,FALSE)))</f>
        <v/>
      </c>
      <c r="J8197" s="215" t="str">
        <f>IF(Table2[[#This Row],[Description]]="","",Table2[[#This Row],[Value]]/Table2[[#This Row],[Conversion]])</f>
        <v/>
      </c>
      <c r="K8197" s="45" t="str">
        <f>IF(Table2[[#This Row],[Description]]="","",DATE(Table2[[#This Row],[Year]],Table2[[#This Row],[Month]],1))</f>
        <v/>
      </c>
    </row>
    <row r="8198" spans="7:11" x14ac:dyDescent="0.25">
      <c r="G8198" s="1" t="str">
        <f>IF(Table2[[#This Row],[Description]]="","",VLOOKUP(Table2[[#This Row],[Description]],$Q$1:$S$101,2,FALSE))</f>
        <v/>
      </c>
      <c r="H8198" s="1" t="str">
        <f>IF(Table2[[#This Row],[Description]]="","",VLOOKUP(Table2[[#This Row],[Description]],$Q$1:$S$101,3,FALSE))</f>
        <v/>
      </c>
      <c r="I8198" s="1" t="str">
        <f>IF(Table2[[#This Row],[Description]]="","",IF(Table2[[#This Row],[Currency]]=$O$2,$P$2,HLOOKUP(Table2[[#This Row],[Date]],Funds!$C$10:$GV$11,2,FALSE)))</f>
        <v/>
      </c>
      <c r="J8198" s="215" t="str">
        <f>IF(Table2[[#This Row],[Description]]="","",Table2[[#This Row],[Value]]/Table2[[#This Row],[Conversion]])</f>
        <v/>
      </c>
      <c r="K8198" s="45" t="str">
        <f>IF(Table2[[#This Row],[Description]]="","",DATE(Table2[[#This Row],[Year]],Table2[[#This Row],[Month]],1))</f>
        <v/>
      </c>
    </row>
    <row r="8199" spans="7:11" x14ac:dyDescent="0.25">
      <c r="G8199" s="1" t="str">
        <f>IF(Table2[[#This Row],[Description]]="","",VLOOKUP(Table2[[#This Row],[Description]],$Q$1:$S$101,2,FALSE))</f>
        <v/>
      </c>
      <c r="H8199" s="1" t="str">
        <f>IF(Table2[[#This Row],[Description]]="","",VLOOKUP(Table2[[#This Row],[Description]],$Q$1:$S$101,3,FALSE))</f>
        <v/>
      </c>
      <c r="I8199" s="1" t="str">
        <f>IF(Table2[[#This Row],[Description]]="","",IF(Table2[[#This Row],[Currency]]=$O$2,$P$2,HLOOKUP(Table2[[#This Row],[Date]],Funds!$C$10:$GV$11,2,FALSE)))</f>
        <v/>
      </c>
      <c r="J8199" s="215" t="str">
        <f>IF(Table2[[#This Row],[Description]]="","",Table2[[#This Row],[Value]]/Table2[[#This Row],[Conversion]])</f>
        <v/>
      </c>
      <c r="K8199" s="45" t="str">
        <f>IF(Table2[[#This Row],[Description]]="","",DATE(Table2[[#This Row],[Year]],Table2[[#This Row],[Month]],1))</f>
        <v/>
      </c>
    </row>
    <row r="8200" spans="7:11" x14ac:dyDescent="0.25">
      <c r="G8200" s="1" t="str">
        <f>IF(Table2[[#This Row],[Description]]="","",VLOOKUP(Table2[[#This Row],[Description]],$Q$1:$S$101,2,FALSE))</f>
        <v/>
      </c>
      <c r="H8200" s="1" t="str">
        <f>IF(Table2[[#This Row],[Description]]="","",VLOOKUP(Table2[[#This Row],[Description]],$Q$1:$S$101,3,FALSE))</f>
        <v/>
      </c>
      <c r="I8200" s="1" t="str">
        <f>IF(Table2[[#This Row],[Description]]="","",IF(Table2[[#This Row],[Currency]]=$O$2,$P$2,HLOOKUP(Table2[[#This Row],[Date]],Funds!$C$10:$GV$11,2,FALSE)))</f>
        <v/>
      </c>
      <c r="J8200" s="215" t="str">
        <f>IF(Table2[[#This Row],[Description]]="","",Table2[[#This Row],[Value]]/Table2[[#This Row],[Conversion]])</f>
        <v/>
      </c>
      <c r="K8200" s="45" t="str">
        <f>IF(Table2[[#This Row],[Description]]="","",DATE(Table2[[#This Row],[Year]],Table2[[#This Row],[Month]],1))</f>
        <v/>
      </c>
    </row>
    <row r="8201" spans="7:11" x14ac:dyDescent="0.25">
      <c r="G8201" s="1" t="str">
        <f>IF(Table2[[#This Row],[Description]]="","",VLOOKUP(Table2[[#This Row],[Description]],$Q$1:$S$101,2,FALSE))</f>
        <v/>
      </c>
      <c r="H8201" s="1" t="str">
        <f>IF(Table2[[#This Row],[Description]]="","",VLOOKUP(Table2[[#This Row],[Description]],$Q$1:$S$101,3,FALSE))</f>
        <v/>
      </c>
      <c r="I8201" s="1" t="str">
        <f>IF(Table2[[#This Row],[Description]]="","",IF(Table2[[#This Row],[Currency]]=$O$2,$P$2,HLOOKUP(Table2[[#This Row],[Date]],Funds!$C$10:$GV$11,2,FALSE)))</f>
        <v/>
      </c>
      <c r="J8201" s="215" t="str">
        <f>IF(Table2[[#This Row],[Description]]="","",Table2[[#This Row],[Value]]/Table2[[#This Row],[Conversion]])</f>
        <v/>
      </c>
      <c r="K8201" s="45" t="str">
        <f>IF(Table2[[#This Row],[Description]]="","",DATE(Table2[[#This Row],[Year]],Table2[[#This Row],[Month]],1))</f>
        <v/>
      </c>
    </row>
    <row r="8202" spans="7:11" x14ac:dyDescent="0.25">
      <c r="G8202" s="1" t="str">
        <f>IF(Table2[[#This Row],[Description]]="","",VLOOKUP(Table2[[#This Row],[Description]],$Q$1:$S$101,2,FALSE))</f>
        <v/>
      </c>
      <c r="H8202" s="1" t="str">
        <f>IF(Table2[[#This Row],[Description]]="","",VLOOKUP(Table2[[#This Row],[Description]],$Q$1:$S$101,3,FALSE))</f>
        <v/>
      </c>
      <c r="I8202" s="1" t="str">
        <f>IF(Table2[[#This Row],[Description]]="","",IF(Table2[[#This Row],[Currency]]=$O$2,$P$2,HLOOKUP(Table2[[#This Row],[Date]],Funds!$C$10:$GV$11,2,FALSE)))</f>
        <v/>
      </c>
      <c r="J8202" s="215" t="str">
        <f>IF(Table2[[#This Row],[Description]]="","",Table2[[#This Row],[Value]]/Table2[[#This Row],[Conversion]])</f>
        <v/>
      </c>
      <c r="K8202" s="45" t="str">
        <f>IF(Table2[[#This Row],[Description]]="","",DATE(Table2[[#This Row],[Year]],Table2[[#This Row],[Month]],1))</f>
        <v/>
      </c>
    </row>
    <row r="8203" spans="7:11" x14ac:dyDescent="0.25">
      <c r="G8203" s="1" t="str">
        <f>IF(Table2[[#This Row],[Description]]="","",VLOOKUP(Table2[[#This Row],[Description]],$Q$1:$S$101,2,FALSE))</f>
        <v/>
      </c>
      <c r="H8203" s="1" t="str">
        <f>IF(Table2[[#This Row],[Description]]="","",VLOOKUP(Table2[[#This Row],[Description]],$Q$1:$S$101,3,FALSE))</f>
        <v/>
      </c>
      <c r="I8203" s="1" t="str">
        <f>IF(Table2[[#This Row],[Description]]="","",IF(Table2[[#This Row],[Currency]]=$O$2,$P$2,HLOOKUP(Table2[[#This Row],[Date]],Funds!$C$10:$GV$11,2,FALSE)))</f>
        <v/>
      </c>
      <c r="J8203" s="215" t="str">
        <f>IF(Table2[[#This Row],[Description]]="","",Table2[[#This Row],[Value]]/Table2[[#This Row],[Conversion]])</f>
        <v/>
      </c>
      <c r="K8203" s="45" t="str">
        <f>IF(Table2[[#This Row],[Description]]="","",DATE(Table2[[#This Row],[Year]],Table2[[#This Row],[Month]],1))</f>
        <v/>
      </c>
    </row>
    <row r="8204" spans="7:11" x14ac:dyDescent="0.25">
      <c r="G8204" s="1" t="str">
        <f>IF(Table2[[#This Row],[Description]]="","",VLOOKUP(Table2[[#This Row],[Description]],$Q$1:$S$101,2,FALSE))</f>
        <v/>
      </c>
      <c r="H8204" s="1" t="str">
        <f>IF(Table2[[#This Row],[Description]]="","",VLOOKUP(Table2[[#This Row],[Description]],$Q$1:$S$101,3,FALSE))</f>
        <v/>
      </c>
      <c r="I8204" s="1" t="str">
        <f>IF(Table2[[#This Row],[Description]]="","",IF(Table2[[#This Row],[Currency]]=$O$2,$P$2,HLOOKUP(Table2[[#This Row],[Date]],Funds!$C$10:$GV$11,2,FALSE)))</f>
        <v/>
      </c>
      <c r="J8204" s="215" t="str">
        <f>IF(Table2[[#This Row],[Description]]="","",Table2[[#This Row],[Value]]/Table2[[#This Row],[Conversion]])</f>
        <v/>
      </c>
      <c r="K8204" s="45" t="str">
        <f>IF(Table2[[#This Row],[Description]]="","",DATE(Table2[[#This Row],[Year]],Table2[[#This Row],[Month]],1))</f>
        <v/>
      </c>
    </row>
    <row r="8205" spans="7:11" x14ac:dyDescent="0.25">
      <c r="G8205" s="1" t="str">
        <f>IF(Table2[[#This Row],[Description]]="","",VLOOKUP(Table2[[#This Row],[Description]],$Q$1:$S$101,2,FALSE))</f>
        <v/>
      </c>
      <c r="H8205" s="1" t="str">
        <f>IF(Table2[[#This Row],[Description]]="","",VLOOKUP(Table2[[#This Row],[Description]],$Q$1:$S$101,3,FALSE))</f>
        <v/>
      </c>
      <c r="I8205" s="1" t="str">
        <f>IF(Table2[[#This Row],[Description]]="","",IF(Table2[[#This Row],[Currency]]=$O$2,$P$2,HLOOKUP(Table2[[#This Row],[Date]],Funds!$C$10:$GV$11,2,FALSE)))</f>
        <v/>
      </c>
      <c r="J8205" s="215" t="str">
        <f>IF(Table2[[#This Row],[Description]]="","",Table2[[#This Row],[Value]]/Table2[[#This Row],[Conversion]])</f>
        <v/>
      </c>
      <c r="K8205" s="45" t="str">
        <f>IF(Table2[[#This Row],[Description]]="","",DATE(Table2[[#This Row],[Year]],Table2[[#This Row],[Month]],1))</f>
        <v/>
      </c>
    </row>
    <row r="8206" spans="7:11" x14ac:dyDescent="0.25">
      <c r="G8206" s="1" t="str">
        <f>IF(Table2[[#This Row],[Description]]="","",VLOOKUP(Table2[[#This Row],[Description]],$Q$1:$S$101,2,FALSE))</f>
        <v/>
      </c>
      <c r="H8206" s="1" t="str">
        <f>IF(Table2[[#This Row],[Description]]="","",VLOOKUP(Table2[[#This Row],[Description]],$Q$1:$S$101,3,FALSE))</f>
        <v/>
      </c>
      <c r="I8206" s="1" t="str">
        <f>IF(Table2[[#This Row],[Description]]="","",IF(Table2[[#This Row],[Currency]]=$O$2,$P$2,HLOOKUP(Table2[[#This Row],[Date]],Funds!$C$10:$GV$11,2,FALSE)))</f>
        <v/>
      </c>
      <c r="J8206" s="215" t="str">
        <f>IF(Table2[[#This Row],[Description]]="","",Table2[[#This Row],[Value]]/Table2[[#This Row],[Conversion]])</f>
        <v/>
      </c>
      <c r="K8206" s="45" t="str">
        <f>IF(Table2[[#This Row],[Description]]="","",DATE(Table2[[#This Row],[Year]],Table2[[#This Row],[Month]],1))</f>
        <v/>
      </c>
    </row>
    <row r="8207" spans="7:11" x14ac:dyDescent="0.25">
      <c r="G8207" s="1" t="str">
        <f>IF(Table2[[#This Row],[Description]]="","",VLOOKUP(Table2[[#This Row],[Description]],$Q$1:$S$101,2,FALSE))</f>
        <v/>
      </c>
      <c r="H8207" s="1" t="str">
        <f>IF(Table2[[#This Row],[Description]]="","",VLOOKUP(Table2[[#This Row],[Description]],$Q$1:$S$101,3,FALSE))</f>
        <v/>
      </c>
      <c r="I8207" s="1" t="str">
        <f>IF(Table2[[#This Row],[Description]]="","",IF(Table2[[#This Row],[Currency]]=$O$2,$P$2,HLOOKUP(Table2[[#This Row],[Date]],Funds!$C$10:$GV$11,2,FALSE)))</f>
        <v/>
      </c>
      <c r="J8207" s="215" t="str">
        <f>IF(Table2[[#This Row],[Description]]="","",Table2[[#This Row],[Value]]/Table2[[#This Row],[Conversion]])</f>
        <v/>
      </c>
      <c r="K8207" s="45" t="str">
        <f>IF(Table2[[#This Row],[Description]]="","",DATE(Table2[[#This Row],[Year]],Table2[[#This Row],[Month]],1))</f>
        <v/>
      </c>
    </row>
    <row r="8208" spans="7:11" x14ac:dyDescent="0.25">
      <c r="G8208" s="1" t="str">
        <f>IF(Table2[[#This Row],[Description]]="","",VLOOKUP(Table2[[#This Row],[Description]],$Q$1:$S$101,2,FALSE))</f>
        <v/>
      </c>
      <c r="H8208" s="1" t="str">
        <f>IF(Table2[[#This Row],[Description]]="","",VLOOKUP(Table2[[#This Row],[Description]],$Q$1:$S$101,3,FALSE))</f>
        <v/>
      </c>
      <c r="I8208" s="1" t="str">
        <f>IF(Table2[[#This Row],[Description]]="","",IF(Table2[[#This Row],[Currency]]=$O$2,$P$2,HLOOKUP(Table2[[#This Row],[Date]],Funds!$C$10:$GV$11,2,FALSE)))</f>
        <v/>
      </c>
      <c r="J8208" s="215" t="str">
        <f>IF(Table2[[#This Row],[Description]]="","",Table2[[#This Row],[Value]]/Table2[[#This Row],[Conversion]])</f>
        <v/>
      </c>
      <c r="K8208" s="45" t="str">
        <f>IF(Table2[[#This Row],[Description]]="","",DATE(Table2[[#This Row],[Year]],Table2[[#This Row],[Month]],1))</f>
        <v/>
      </c>
    </row>
    <row r="8209" spans="7:11" x14ac:dyDescent="0.25">
      <c r="G8209" s="1" t="str">
        <f>IF(Table2[[#This Row],[Description]]="","",VLOOKUP(Table2[[#This Row],[Description]],$Q$1:$S$101,2,FALSE))</f>
        <v/>
      </c>
      <c r="H8209" s="1" t="str">
        <f>IF(Table2[[#This Row],[Description]]="","",VLOOKUP(Table2[[#This Row],[Description]],$Q$1:$S$101,3,FALSE))</f>
        <v/>
      </c>
      <c r="I8209" s="1" t="str">
        <f>IF(Table2[[#This Row],[Description]]="","",IF(Table2[[#This Row],[Currency]]=$O$2,$P$2,HLOOKUP(Table2[[#This Row],[Date]],Funds!$C$10:$GV$11,2,FALSE)))</f>
        <v/>
      </c>
      <c r="J8209" s="215" t="str">
        <f>IF(Table2[[#This Row],[Description]]="","",Table2[[#This Row],[Value]]/Table2[[#This Row],[Conversion]])</f>
        <v/>
      </c>
      <c r="K8209" s="45" t="str">
        <f>IF(Table2[[#This Row],[Description]]="","",DATE(Table2[[#This Row],[Year]],Table2[[#This Row],[Month]],1))</f>
        <v/>
      </c>
    </row>
    <row r="8210" spans="7:11" x14ac:dyDescent="0.25">
      <c r="G8210" s="1" t="str">
        <f>IF(Table2[[#This Row],[Description]]="","",VLOOKUP(Table2[[#This Row],[Description]],$Q$1:$S$101,2,FALSE))</f>
        <v/>
      </c>
      <c r="H8210" s="1" t="str">
        <f>IF(Table2[[#This Row],[Description]]="","",VLOOKUP(Table2[[#This Row],[Description]],$Q$1:$S$101,3,FALSE))</f>
        <v/>
      </c>
      <c r="I8210" s="1" t="str">
        <f>IF(Table2[[#This Row],[Description]]="","",IF(Table2[[#This Row],[Currency]]=$O$2,$P$2,HLOOKUP(Table2[[#This Row],[Date]],Funds!$C$10:$GV$11,2,FALSE)))</f>
        <v/>
      </c>
      <c r="J8210" s="215" t="str">
        <f>IF(Table2[[#This Row],[Description]]="","",Table2[[#This Row],[Value]]/Table2[[#This Row],[Conversion]])</f>
        <v/>
      </c>
      <c r="K8210" s="45" t="str">
        <f>IF(Table2[[#This Row],[Description]]="","",DATE(Table2[[#This Row],[Year]],Table2[[#This Row],[Month]],1))</f>
        <v/>
      </c>
    </row>
    <row r="8211" spans="7:11" x14ac:dyDescent="0.25">
      <c r="G8211" s="1" t="str">
        <f>IF(Table2[[#This Row],[Description]]="","",VLOOKUP(Table2[[#This Row],[Description]],$Q$1:$S$101,2,FALSE))</f>
        <v/>
      </c>
      <c r="H8211" s="1" t="str">
        <f>IF(Table2[[#This Row],[Description]]="","",VLOOKUP(Table2[[#This Row],[Description]],$Q$1:$S$101,3,FALSE))</f>
        <v/>
      </c>
      <c r="I8211" s="1" t="str">
        <f>IF(Table2[[#This Row],[Description]]="","",IF(Table2[[#This Row],[Currency]]=$O$2,$P$2,HLOOKUP(Table2[[#This Row],[Date]],Funds!$C$10:$GV$11,2,FALSE)))</f>
        <v/>
      </c>
      <c r="J8211" s="215" t="str">
        <f>IF(Table2[[#This Row],[Description]]="","",Table2[[#This Row],[Value]]/Table2[[#This Row],[Conversion]])</f>
        <v/>
      </c>
      <c r="K8211" s="45" t="str">
        <f>IF(Table2[[#This Row],[Description]]="","",DATE(Table2[[#This Row],[Year]],Table2[[#This Row],[Month]],1))</f>
        <v/>
      </c>
    </row>
    <row r="8212" spans="7:11" x14ac:dyDescent="0.25">
      <c r="G8212" s="1" t="str">
        <f>IF(Table2[[#This Row],[Description]]="","",VLOOKUP(Table2[[#This Row],[Description]],$Q$1:$S$101,2,FALSE))</f>
        <v/>
      </c>
      <c r="H8212" s="1" t="str">
        <f>IF(Table2[[#This Row],[Description]]="","",VLOOKUP(Table2[[#This Row],[Description]],$Q$1:$S$101,3,FALSE))</f>
        <v/>
      </c>
      <c r="I8212" s="1" t="str">
        <f>IF(Table2[[#This Row],[Description]]="","",IF(Table2[[#This Row],[Currency]]=$O$2,$P$2,HLOOKUP(Table2[[#This Row],[Date]],Funds!$C$10:$GV$11,2,FALSE)))</f>
        <v/>
      </c>
      <c r="J8212" s="215" t="str">
        <f>IF(Table2[[#This Row],[Description]]="","",Table2[[#This Row],[Value]]/Table2[[#This Row],[Conversion]])</f>
        <v/>
      </c>
      <c r="K8212" s="45" t="str">
        <f>IF(Table2[[#This Row],[Description]]="","",DATE(Table2[[#This Row],[Year]],Table2[[#This Row],[Month]],1))</f>
        <v/>
      </c>
    </row>
    <row r="8213" spans="7:11" x14ac:dyDescent="0.25">
      <c r="G8213" s="1" t="str">
        <f>IF(Table2[[#This Row],[Description]]="","",VLOOKUP(Table2[[#This Row],[Description]],$Q$1:$S$101,2,FALSE))</f>
        <v/>
      </c>
      <c r="H8213" s="1" t="str">
        <f>IF(Table2[[#This Row],[Description]]="","",VLOOKUP(Table2[[#This Row],[Description]],$Q$1:$S$101,3,FALSE))</f>
        <v/>
      </c>
      <c r="I8213" s="1" t="str">
        <f>IF(Table2[[#This Row],[Description]]="","",IF(Table2[[#This Row],[Currency]]=$O$2,$P$2,HLOOKUP(Table2[[#This Row],[Date]],Funds!$C$10:$GV$11,2,FALSE)))</f>
        <v/>
      </c>
      <c r="J8213" s="215" t="str">
        <f>IF(Table2[[#This Row],[Description]]="","",Table2[[#This Row],[Value]]/Table2[[#This Row],[Conversion]])</f>
        <v/>
      </c>
      <c r="K8213" s="45" t="str">
        <f>IF(Table2[[#This Row],[Description]]="","",DATE(Table2[[#This Row],[Year]],Table2[[#This Row],[Month]],1))</f>
        <v/>
      </c>
    </row>
    <row r="8214" spans="7:11" x14ac:dyDescent="0.25">
      <c r="G8214" s="1" t="str">
        <f>IF(Table2[[#This Row],[Description]]="","",VLOOKUP(Table2[[#This Row],[Description]],$Q$1:$S$101,2,FALSE))</f>
        <v/>
      </c>
      <c r="H8214" s="1" t="str">
        <f>IF(Table2[[#This Row],[Description]]="","",VLOOKUP(Table2[[#This Row],[Description]],$Q$1:$S$101,3,FALSE))</f>
        <v/>
      </c>
      <c r="I8214" s="1" t="str">
        <f>IF(Table2[[#This Row],[Description]]="","",IF(Table2[[#This Row],[Currency]]=$O$2,$P$2,HLOOKUP(Table2[[#This Row],[Date]],Funds!$C$10:$GV$11,2,FALSE)))</f>
        <v/>
      </c>
      <c r="J8214" s="215" t="str">
        <f>IF(Table2[[#This Row],[Description]]="","",Table2[[#This Row],[Value]]/Table2[[#This Row],[Conversion]])</f>
        <v/>
      </c>
      <c r="K8214" s="45" t="str">
        <f>IF(Table2[[#This Row],[Description]]="","",DATE(Table2[[#This Row],[Year]],Table2[[#This Row],[Month]],1))</f>
        <v/>
      </c>
    </row>
    <row r="8215" spans="7:11" x14ac:dyDescent="0.25">
      <c r="G8215" s="1" t="str">
        <f>IF(Table2[[#This Row],[Description]]="","",VLOOKUP(Table2[[#This Row],[Description]],$Q$1:$S$101,2,FALSE))</f>
        <v/>
      </c>
      <c r="H8215" s="1" t="str">
        <f>IF(Table2[[#This Row],[Description]]="","",VLOOKUP(Table2[[#This Row],[Description]],$Q$1:$S$101,3,FALSE))</f>
        <v/>
      </c>
      <c r="I8215" s="1" t="str">
        <f>IF(Table2[[#This Row],[Description]]="","",IF(Table2[[#This Row],[Currency]]=$O$2,$P$2,HLOOKUP(Table2[[#This Row],[Date]],Funds!$C$10:$GV$11,2,FALSE)))</f>
        <v/>
      </c>
      <c r="J8215" s="215" t="str">
        <f>IF(Table2[[#This Row],[Description]]="","",Table2[[#This Row],[Value]]/Table2[[#This Row],[Conversion]])</f>
        <v/>
      </c>
      <c r="K8215" s="45" t="str">
        <f>IF(Table2[[#This Row],[Description]]="","",DATE(Table2[[#This Row],[Year]],Table2[[#This Row],[Month]],1))</f>
        <v/>
      </c>
    </row>
    <row r="8216" spans="7:11" x14ac:dyDescent="0.25">
      <c r="G8216" s="1" t="str">
        <f>IF(Table2[[#This Row],[Description]]="","",VLOOKUP(Table2[[#This Row],[Description]],$Q$1:$S$101,2,FALSE))</f>
        <v/>
      </c>
      <c r="H8216" s="1" t="str">
        <f>IF(Table2[[#This Row],[Description]]="","",VLOOKUP(Table2[[#This Row],[Description]],$Q$1:$S$101,3,FALSE))</f>
        <v/>
      </c>
      <c r="I8216" s="1" t="str">
        <f>IF(Table2[[#This Row],[Description]]="","",IF(Table2[[#This Row],[Currency]]=$O$2,$P$2,HLOOKUP(Table2[[#This Row],[Date]],Funds!$C$10:$GV$11,2,FALSE)))</f>
        <v/>
      </c>
      <c r="J8216" s="215" t="str">
        <f>IF(Table2[[#This Row],[Description]]="","",Table2[[#This Row],[Value]]/Table2[[#This Row],[Conversion]])</f>
        <v/>
      </c>
      <c r="K8216" s="45" t="str">
        <f>IF(Table2[[#This Row],[Description]]="","",DATE(Table2[[#This Row],[Year]],Table2[[#This Row],[Month]],1))</f>
        <v/>
      </c>
    </row>
    <row r="8217" spans="7:11" x14ac:dyDescent="0.25">
      <c r="G8217" s="1" t="str">
        <f>IF(Table2[[#This Row],[Description]]="","",VLOOKUP(Table2[[#This Row],[Description]],$Q$1:$S$101,2,FALSE))</f>
        <v/>
      </c>
      <c r="H8217" s="1" t="str">
        <f>IF(Table2[[#This Row],[Description]]="","",VLOOKUP(Table2[[#This Row],[Description]],$Q$1:$S$101,3,FALSE))</f>
        <v/>
      </c>
      <c r="I8217" s="1" t="str">
        <f>IF(Table2[[#This Row],[Description]]="","",IF(Table2[[#This Row],[Currency]]=$O$2,$P$2,HLOOKUP(Table2[[#This Row],[Date]],Funds!$C$10:$GV$11,2,FALSE)))</f>
        <v/>
      </c>
      <c r="J8217" s="215" t="str">
        <f>IF(Table2[[#This Row],[Description]]="","",Table2[[#This Row],[Value]]/Table2[[#This Row],[Conversion]])</f>
        <v/>
      </c>
      <c r="K8217" s="45" t="str">
        <f>IF(Table2[[#This Row],[Description]]="","",DATE(Table2[[#This Row],[Year]],Table2[[#This Row],[Month]],1))</f>
        <v/>
      </c>
    </row>
    <row r="8218" spans="7:11" x14ac:dyDescent="0.25">
      <c r="G8218" s="1" t="str">
        <f>IF(Table2[[#This Row],[Description]]="","",VLOOKUP(Table2[[#This Row],[Description]],$Q$1:$S$101,2,FALSE))</f>
        <v/>
      </c>
      <c r="H8218" s="1" t="str">
        <f>IF(Table2[[#This Row],[Description]]="","",VLOOKUP(Table2[[#This Row],[Description]],$Q$1:$S$101,3,FALSE))</f>
        <v/>
      </c>
      <c r="I8218" s="1" t="str">
        <f>IF(Table2[[#This Row],[Description]]="","",IF(Table2[[#This Row],[Currency]]=$O$2,$P$2,HLOOKUP(Table2[[#This Row],[Date]],Funds!$C$10:$GV$11,2,FALSE)))</f>
        <v/>
      </c>
      <c r="J8218" s="215" t="str">
        <f>IF(Table2[[#This Row],[Description]]="","",Table2[[#This Row],[Value]]/Table2[[#This Row],[Conversion]])</f>
        <v/>
      </c>
      <c r="K8218" s="45" t="str">
        <f>IF(Table2[[#This Row],[Description]]="","",DATE(Table2[[#This Row],[Year]],Table2[[#This Row],[Month]],1))</f>
        <v/>
      </c>
    </row>
    <row r="8219" spans="7:11" x14ac:dyDescent="0.25">
      <c r="G8219" s="1" t="str">
        <f>IF(Table2[[#This Row],[Description]]="","",VLOOKUP(Table2[[#This Row],[Description]],$Q$1:$S$101,2,FALSE))</f>
        <v/>
      </c>
      <c r="H8219" s="1" t="str">
        <f>IF(Table2[[#This Row],[Description]]="","",VLOOKUP(Table2[[#This Row],[Description]],$Q$1:$S$101,3,FALSE))</f>
        <v/>
      </c>
      <c r="I8219" s="1" t="str">
        <f>IF(Table2[[#This Row],[Description]]="","",IF(Table2[[#This Row],[Currency]]=$O$2,$P$2,HLOOKUP(Table2[[#This Row],[Date]],Funds!$C$10:$GV$11,2,FALSE)))</f>
        <v/>
      </c>
      <c r="J8219" s="215" t="str">
        <f>IF(Table2[[#This Row],[Description]]="","",Table2[[#This Row],[Value]]/Table2[[#This Row],[Conversion]])</f>
        <v/>
      </c>
      <c r="K8219" s="45" t="str">
        <f>IF(Table2[[#This Row],[Description]]="","",DATE(Table2[[#This Row],[Year]],Table2[[#This Row],[Month]],1))</f>
        <v/>
      </c>
    </row>
    <row r="8220" spans="7:11" x14ac:dyDescent="0.25">
      <c r="G8220" s="1" t="str">
        <f>IF(Table2[[#This Row],[Description]]="","",VLOOKUP(Table2[[#This Row],[Description]],$Q$1:$S$101,2,FALSE))</f>
        <v/>
      </c>
      <c r="H8220" s="1" t="str">
        <f>IF(Table2[[#This Row],[Description]]="","",VLOOKUP(Table2[[#This Row],[Description]],$Q$1:$S$101,3,FALSE))</f>
        <v/>
      </c>
      <c r="I8220" s="1" t="str">
        <f>IF(Table2[[#This Row],[Description]]="","",IF(Table2[[#This Row],[Currency]]=$O$2,$P$2,HLOOKUP(Table2[[#This Row],[Date]],Funds!$C$10:$GV$11,2,FALSE)))</f>
        <v/>
      </c>
      <c r="J8220" s="215" t="str">
        <f>IF(Table2[[#This Row],[Description]]="","",Table2[[#This Row],[Value]]/Table2[[#This Row],[Conversion]])</f>
        <v/>
      </c>
      <c r="K8220" s="45" t="str">
        <f>IF(Table2[[#This Row],[Description]]="","",DATE(Table2[[#This Row],[Year]],Table2[[#This Row],[Month]],1))</f>
        <v/>
      </c>
    </row>
    <row r="8221" spans="7:11" x14ac:dyDescent="0.25">
      <c r="G8221" s="1" t="str">
        <f>IF(Table2[[#This Row],[Description]]="","",VLOOKUP(Table2[[#This Row],[Description]],$Q$1:$S$101,2,FALSE))</f>
        <v/>
      </c>
      <c r="H8221" s="1" t="str">
        <f>IF(Table2[[#This Row],[Description]]="","",VLOOKUP(Table2[[#This Row],[Description]],$Q$1:$S$101,3,FALSE))</f>
        <v/>
      </c>
      <c r="I8221" s="1" t="str">
        <f>IF(Table2[[#This Row],[Description]]="","",IF(Table2[[#This Row],[Currency]]=$O$2,$P$2,HLOOKUP(Table2[[#This Row],[Date]],Funds!$C$10:$GV$11,2,FALSE)))</f>
        <v/>
      </c>
      <c r="J8221" s="215" t="str">
        <f>IF(Table2[[#This Row],[Description]]="","",Table2[[#This Row],[Value]]/Table2[[#This Row],[Conversion]])</f>
        <v/>
      </c>
      <c r="K8221" s="45" t="str">
        <f>IF(Table2[[#This Row],[Description]]="","",DATE(Table2[[#This Row],[Year]],Table2[[#This Row],[Month]],1))</f>
        <v/>
      </c>
    </row>
    <row r="8222" spans="7:11" x14ac:dyDescent="0.25">
      <c r="G8222" s="1" t="str">
        <f>IF(Table2[[#This Row],[Description]]="","",VLOOKUP(Table2[[#This Row],[Description]],$Q$1:$S$101,2,FALSE))</f>
        <v/>
      </c>
      <c r="H8222" s="1" t="str">
        <f>IF(Table2[[#This Row],[Description]]="","",VLOOKUP(Table2[[#This Row],[Description]],$Q$1:$S$101,3,FALSE))</f>
        <v/>
      </c>
      <c r="I8222" s="1" t="str">
        <f>IF(Table2[[#This Row],[Description]]="","",IF(Table2[[#This Row],[Currency]]=$O$2,$P$2,HLOOKUP(Table2[[#This Row],[Date]],Funds!$C$10:$GV$11,2,FALSE)))</f>
        <v/>
      </c>
      <c r="J8222" s="215" t="str">
        <f>IF(Table2[[#This Row],[Description]]="","",Table2[[#This Row],[Value]]/Table2[[#This Row],[Conversion]])</f>
        <v/>
      </c>
      <c r="K8222" s="45" t="str">
        <f>IF(Table2[[#This Row],[Description]]="","",DATE(Table2[[#This Row],[Year]],Table2[[#This Row],[Month]],1))</f>
        <v/>
      </c>
    </row>
    <row r="8223" spans="7:11" x14ac:dyDescent="0.25">
      <c r="G8223" s="1" t="str">
        <f>IF(Table2[[#This Row],[Description]]="","",VLOOKUP(Table2[[#This Row],[Description]],$Q$1:$S$101,2,FALSE))</f>
        <v/>
      </c>
      <c r="H8223" s="1" t="str">
        <f>IF(Table2[[#This Row],[Description]]="","",VLOOKUP(Table2[[#This Row],[Description]],$Q$1:$S$101,3,FALSE))</f>
        <v/>
      </c>
      <c r="I8223" s="1" t="str">
        <f>IF(Table2[[#This Row],[Description]]="","",IF(Table2[[#This Row],[Currency]]=$O$2,$P$2,HLOOKUP(Table2[[#This Row],[Date]],Funds!$C$10:$GV$11,2,FALSE)))</f>
        <v/>
      </c>
      <c r="J8223" s="215" t="str">
        <f>IF(Table2[[#This Row],[Description]]="","",Table2[[#This Row],[Value]]/Table2[[#This Row],[Conversion]])</f>
        <v/>
      </c>
      <c r="K8223" s="45" t="str">
        <f>IF(Table2[[#This Row],[Description]]="","",DATE(Table2[[#This Row],[Year]],Table2[[#This Row],[Month]],1))</f>
        <v/>
      </c>
    </row>
    <row r="8224" spans="7:11" x14ac:dyDescent="0.25">
      <c r="G8224" s="1" t="str">
        <f>IF(Table2[[#This Row],[Description]]="","",VLOOKUP(Table2[[#This Row],[Description]],$Q$1:$S$101,2,FALSE))</f>
        <v/>
      </c>
      <c r="H8224" s="1" t="str">
        <f>IF(Table2[[#This Row],[Description]]="","",VLOOKUP(Table2[[#This Row],[Description]],$Q$1:$S$101,3,FALSE))</f>
        <v/>
      </c>
      <c r="I8224" s="1" t="str">
        <f>IF(Table2[[#This Row],[Description]]="","",IF(Table2[[#This Row],[Currency]]=$O$2,$P$2,HLOOKUP(Table2[[#This Row],[Date]],Funds!$C$10:$GV$11,2,FALSE)))</f>
        <v/>
      </c>
      <c r="J8224" s="215" t="str">
        <f>IF(Table2[[#This Row],[Description]]="","",Table2[[#This Row],[Value]]/Table2[[#This Row],[Conversion]])</f>
        <v/>
      </c>
      <c r="K8224" s="45" t="str">
        <f>IF(Table2[[#This Row],[Description]]="","",DATE(Table2[[#This Row],[Year]],Table2[[#This Row],[Month]],1))</f>
        <v/>
      </c>
    </row>
    <row r="8225" spans="7:11" x14ac:dyDescent="0.25">
      <c r="G8225" s="1" t="str">
        <f>IF(Table2[[#This Row],[Description]]="","",VLOOKUP(Table2[[#This Row],[Description]],$Q$1:$S$101,2,FALSE))</f>
        <v/>
      </c>
      <c r="H8225" s="1" t="str">
        <f>IF(Table2[[#This Row],[Description]]="","",VLOOKUP(Table2[[#This Row],[Description]],$Q$1:$S$101,3,FALSE))</f>
        <v/>
      </c>
      <c r="I8225" s="1" t="str">
        <f>IF(Table2[[#This Row],[Description]]="","",IF(Table2[[#This Row],[Currency]]=$O$2,$P$2,HLOOKUP(Table2[[#This Row],[Date]],Funds!$C$10:$GV$11,2,FALSE)))</f>
        <v/>
      </c>
      <c r="J8225" s="215" t="str">
        <f>IF(Table2[[#This Row],[Description]]="","",Table2[[#This Row],[Value]]/Table2[[#This Row],[Conversion]])</f>
        <v/>
      </c>
      <c r="K8225" s="45" t="str">
        <f>IF(Table2[[#This Row],[Description]]="","",DATE(Table2[[#This Row],[Year]],Table2[[#This Row],[Month]],1))</f>
        <v/>
      </c>
    </row>
    <row r="8226" spans="7:11" x14ac:dyDescent="0.25">
      <c r="G8226" s="1" t="str">
        <f>IF(Table2[[#This Row],[Description]]="","",VLOOKUP(Table2[[#This Row],[Description]],$Q$1:$S$101,2,FALSE))</f>
        <v/>
      </c>
      <c r="H8226" s="1" t="str">
        <f>IF(Table2[[#This Row],[Description]]="","",VLOOKUP(Table2[[#This Row],[Description]],$Q$1:$S$101,3,FALSE))</f>
        <v/>
      </c>
      <c r="I8226" s="1" t="str">
        <f>IF(Table2[[#This Row],[Description]]="","",IF(Table2[[#This Row],[Currency]]=$O$2,$P$2,HLOOKUP(Table2[[#This Row],[Date]],Funds!$C$10:$GV$11,2,FALSE)))</f>
        <v/>
      </c>
      <c r="J8226" s="215" t="str">
        <f>IF(Table2[[#This Row],[Description]]="","",Table2[[#This Row],[Value]]/Table2[[#This Row],[Conversion]])</f>
        <v/>
      </c>
      <c r="K8226" s="45" t="str">
        <f>IF(Table2[[#This Row],[Description]]="","",DATE(Table2[[#This Row],[Year]],Table2[[#This Row],[Month]],1))</f>
        <v/>
      </c>
    </row>
    <row r="8227" spans="7:11" x14ac:dyDescent="0.25">
      <c r="G8227" s="1" t="str">
        <f>IF(Table2[[#This Row],[Description]]="","",VLOOKUP(Table2[[#This Row],[Description]],$Q$1:$S$101,2,FALSE))</f>
        <v/>
      </c>
      <c r="H8227" s="1" t="str">
        <f>IF(Table2[[#This Row],[Description]]="","",VLOOKUP(Table2[[#This Row],[Description]],$Q$1:$S$101,3,FALSE))</f>
        <v/>
      </c>
      <c r="I8227" s="1" t="str">
        <f>IF(Table2[[#This Row],[Description]]="","",IF(Table2[[#This Row],[Currency]]=$O$2,$P$2,HLOOKUP(Table2[[#This Row],[Date]],Funds!$C$10:$GV$11,2,FALSE)))</f>
        <v/>
      </c>
      <c r="J8227" s="215" t="str">
        <f>IF(Table2[[#This Row],[Description]]="","",Table2[[#This Row],[Value]]/Table2[[#This Row],[Conversion]])</f>
        <v/>
      </c>
      <c r="K8227" s="45" t="str">
        <f>IF(Table2[[#This Row],[Description]]="","",DATE(Table2[[#This Row],[Year]],Table2[[#This Row],[Month]],1))</f>
        <v/>
      </c>
    </row>
    <row r="8228" spans="7:11" x14ac:dyDescent="0.25">
      <c r="G8228" s="1" t="str">
        <f>IF(Table2[[#This Row],[Description]]="","",VLOOKUP(Table2[[#This Row],[Description]],$Q$1:$S$101,2,FALSE))</f>
        <v/>
      </c>
      <c r="H8228" s="1" t="str">
        <f>IF(Table2[[#This Row],[Description]]="","",VLOOKUP(Table2[[#This Row],[Description]],$Q$1:$S$101,3,FALSE))</f>
        <v/>
      </c>
      <c r="I8228" s="1" t="str">
        <f>IF(Table2[[#This Row],[Description]]="","",IF(Table2[[#This Row],[Currency]]=$O$2,$P$2,HLOOKUP(Table2[[#This Row],[Date]],Funds!$C$10:$GV$11,2,FALSE)))</f>
        <v/>
      </c>
      <c r="J8228" s="215" t="str">
        <f>IF(Table2[[#This Row],[Description]]="","",Table2[[#This Row],[Value]]/Table2[[#This Row],[Conversion]])</f>
        <v/>
      </c>
      <c r="K8228" s="45" t="str">
        <f>IF(Table2[[#This Row],[Description]]="","",DATE(Table2[[#This Row],[Year]],Table2[[#This Row],[Month]],1))</f>
        <v/>
      </c>
    </row>
    <row r="8229" spans="7:11" x14ac:dyDescent="0.25">
      <c r="G8229" s="1" t="str">
        <f>IF(Table2[[#This Row],[Description]]="","",VLOOKUP(Table2[[#This Row],[Description]],$Q$1:$S$101,2,FALSE))</f>
        <v/>
      </c>
      <c r="H8229" s="1" t="str">
        <f>IF(Table2[[#This Row],[Description]]="","",VLOOKUP(Table2[[#This Row],[Description]],$Q$1:$S$101,3,FALSE))</f>
        <v/>
      </c>
      <c r="I8229" s="1" t="str">
        <f>IF(Table2[[#This Row],[Description]]="","",IF(Table2[[#This Row],[Currency]]=$O$2,$P$2,HLOOKUP(Table2[[#This Row],[Date]],Funds!$C$10:$GV$11,2,FALSE)))</f>
        <v/>
      </c>
      <c r="J8229" s="215" t="str">
        <f>IF(Table2[[#This Row],[Description]]="","",Table2[[#This Row],[Value]]/Table2[[#This Row],[Conversion]])</f>
        <v/>
      </c>
      <c r="K8229" s="45" t="str">
        <f>IF(Table2[[#This Row],[Description]]="","",DATE(Table2[[#This Row],[Year]],Table2[[#This Row],[Month]],1))</f>
        <v/>
      </c>
    </row>
    <row r="8230" spans="7:11" x14ac:dyDescent="0.25">
      <c r="G8230" s="1" t="str">
        <f>IF(Table2[[#This Row],[Description]]="","",VLOOKUP(Table2[[#This Row],[Description]],$Q$1:$S$101,2,FALSE))</f>
        <v/>
      </c>
      <c r="H8230" s="1" t="str">
        <f>IF(Table2[[#This Row],[Description]]="","",VLOOKUP(Table2[[#This Row],[Description]],$Q$1:$S$101,3,FALSE))</f>
        <v/>
      </c>
      <c r="I8230" s="1" t="str">
        <f>IF(Table2[[#This Row],[Description]]="","",IF(Table2[[#This Row],[Currency]]=$O$2,$P$2,HLOOKUP(Table2[[#This Row],[Date]],Funds!$C$10:$GV$11,2,FALSE)))</f>
        <v/>
      </c>
      <c r="J8230" s="215" t="str">
        <f>IF(Table2[[#This Row],[Description]]="","",Table2[[#This Row],[Value]]/Table2[[#This Row],[Conversion]])</f>
        <v/>
      </c>
      <c r="K8230" s="45" t="str">
        <f>IF(Table2[[#This Row],[Description]]="","",DATE(Table2[[#This Row],[Year]],Table2[[#This Row],[Month]],1))</f>
        <v/>
      </c>
    </row>
    <row r="8231" spans="7:11" x14ac:dyDescent="0.25">
      <c r="G8231" s="1" t="str">
        <f>IF(Table2[[#This Row],[Description]]="","",VLOOKUP(Table2[[#This Row],[Description]],$Q$1:$S$101,2,FALSE))</f>
        <v/>
      </c>
      <c r="H8231" s="1" t="str">
        <f>IF(Table2[[#This Row],[Description]]="","",VLOOKUP(Table2[[#This Row],[Description]],$Q$1:$S$101,3,FALSE))</f>
        <v/>
      </c>
      <c r="I8231" s="1" t="str">
        <f>IF(Table2[[#This Row],[Description]]="","",IF(Table2[[#This Row],[Currency]]=$O$2,$P$2,HLOOKUP(Table2[[#This Row],[Date]],Funds!$C$10:$GV$11,2,FALSE)))</f>
        <v/>
      </c>
      <c r="J8231" s="215" t="str">
        <f>IF(Table2[[#This Row],[Description]]="","",Table2[[#This Row],[Value]]/Table2[[#This Row],[Conversion]])</f>
        <v/>
      </c>
      <c r="K8231" s="45" t="str">
        <f>IF(Table2[[#This Row],[Description]]="","",DATE(Table2[[#This Row],[Year]],Table2[[#This Row],[Month]],1))</f>
        <v/>
      </c>
    </row>
    <row r="8232" spans="7:11" x14ac:dyDescent="0.25">
      <c r="G8232" s="1" t="str">
        <f>IF(Table2[[#This Row],[Description]]="","",VLOOKUP(Table2[[#This Row],[Description]],$Q$1:$S$101,2,FALSE))</f>
        <v/>
      </c>
      <c r="H8232" s="1" t="str">
        <f>IF(Table2[[#This Row],[Description]]="","",VLOOKUP(Table2[[#This Row],[Description]],$Q$1:$S$101,3,FALSE))</f>
        <v/>
      </c>
      <c r="I8232" s="1" t="str">
        <f>IF(Table2[[#This Row],[Description]]="","",IF(Table2[[#This Row],[Currency]]=$O$2,$P$2,HLOOKUP(Table2[[#This Row],[Date]],Funds!$C$10:$GV$11,2,FALSE)))</f>
        <v/>
      </c>
      <c r="J8232" s="215" t="str">
        <f>IF(Table2[[#This Row],[Description]]="","",Table2[[#This Row],[Value]]/Table2[[#This Row],[Conversion]])</f>
        <v/>
      </c>
      <c r="K8232" s="45" t="str">
        <f>IF(Table2[[#This Row],[Description]]="","",DATE(Table2[[#This Row],[Year]],Table2[[#This Row],[Month]],1))</f>
        <v/>
      </c>
    </row>
    <row r="8233" spans="7:11" x14ac:dyDescent="0.25">
      <c r="G8233" s="1" t="str">
        <f>IF(Table2[[#This Row],[Description]]="","",VLOOKUP(Table2[[#This Row],[Description]],$Q$1:$S$101,2,FALSE))</f>
        <v/>
      </c>
      <c r="H8233" s="1" t="str">
        <f>IF(Table2[[#This Row],[Description]]="","",VLOOKUP(Table2[[#This Row],[Description]],$Q$1:$S$101,3,FALSE))</f>
        <v/>
      </c>
      <c r="I8233" s="1" t="str">
        <f>IF(Table2[[#This Row],[Description]]="","",IF(Table2[[#This Row],[Currency]]=$O$2,$P$2,HLOOKUP(Table2[[#This Row],[Date]],Funds!$C$10:$GV$11,2,FALSE)))</f>
        <v/>
      </c>
      <c r="J8233" s="215" t="str">
        <f>IF(Table2[[#This Row],[Description]]="","",Table2[[#This Row],[Value]]/Table2[[#This Row],[Conversion]])</f>
        <v/>
      </c>
      <c r="K8233" s="45" t="str">
        <f>IF(Table2[[#This Row],[Description]]="","",DATE(Table2[[#This Row],[Year]],Table2[[#This Row],[Month]],1))</f>
        <v/>
      </c>
    </row>
    <row r="8234" spans="7:11" x14ac:dyDescent="0.25">
      <c r="G8234" s="1" t="str">
        <f>IF(Table2[[#This Row],[Description]]="","",VLOOKUP(Table2[[#This Row],[Description]],$Q$1:$S$101,2,FALSE))</f>
        <v/>
      </c>
      <c r="H8234" s="1" t="str">
        <f>IF(Table2[[#This Row],[Description]]="","",VLOOKUP(Table2[[#This Row],[Description]],$Q$1:$S$101,3,FALSE))</f>
        <v/>
      </c>
      <c r="I8234" s="1" t="str">
        <f>IF(Table2[[#This Row],[Description]]="","",IF(Table2[[#This Row],[Currency]]=$O$2,$P$2,HLOOKUP(Table2[[#This Row],[Date]],Funds!$C$10:$GV$11,2,FALSE)))</f>
        <v/>
      </c>
      <c r="J8234" s="215" t="str">
        <f>IF(Table2[[#This Row],[Description]]="","",Table2[[#This Row],[Value]]/Table2[[#This Row],[Conversion]])</f>
        <v/>
      </c>
      <c r="K8234" s="45" t="str">
        <f>IF(Table2[[#This Row],[Description]]="","",DATE(Table2[[#This Row],[Year]],Table2[[#This Row],[Month]],1))</f>
        <v/>
      </c>
    </row>
    <row r="8235" spans="7:11" x14ac:dyDescent="0.25">
      <c r="G8235" s="1" t="str">
        <f>IF(Table2[[#This Row],[Description]]="","",VLOOKUP(Table2[[#This Row],[Description]],$Q$1:$S$101,2,FALSE))</f>
        <v/>
      </c>
      <c r="H8235" s="1" t="str">
        <f>IF(Table2[[#This Row],[Description]]="","",VLOOKUP(Table2[[#This Row],[Description]],$Q$1:$S$101,3,FALSE))</f>
        <v/>
      </c>
      <c r="I8235" s="1" t="str">
        <f>IF(Table2[[#This Row],[Description]]="","",IF(Table2[[#This Row],[Currency]]=$O$2,$P$2,HLOOKUP(Table2[[#This Row],[Date]],Funds!$C$10:$GV$11,2,FALSE)))</f>
        <v/>
      </c>
      <c r="J8235" s="215" t="str">
        <f>IF(Table2[[#This Row],[Description]]="","",Table2[[#This Row],[Value]]/Table2[[#This Row],[Conversion]])</f>
        <v/>
      </c>
      <c r="K8235" s="45" t="str">
        <f>IF(Table2[[#This Row],[Description]]="","",DATE(Table2[[#This Row],[Year]],Table2[[#This Row],[Month]],1))</f>
        <v/>
      </c>
    </row>
    <row r="8236" spans="7:11" x14ac:dyDescent="0.25">
      <c r="G8236" s="1" t="str">
        <f>IF(Table2[[#This Row],[Description]]="","",VLOOKUP(Table2[[#This Row],[Description]],$Q$1:$S$101,2,FALSE))</f>
        <v/>
      </c>
      <c r="H8236" s="1" t="str">
        <f>IF(Table2[[#This Row],[Description]]="","",VLOOKUP(Table2[[#This Row],[Description]],$Q$1:$S$101,3,FALSE))</f>
        <v/>
      </c>
      <c r="I8236" s="1" t="str">
        <f>IF(Table2[[#This Row],[Description]]="","",IF(Table2[[#This Row],[Currency]]=$O$2,$P$2,HLOOKUP(Table2[[#This Row],[Date]],Funds!$C$10:$GV$11,2,FALSE)))</f>
        <v/>
      </c>
      <c r="J8236" s="215" t="str">
        <f>IF(Table2[[#This Row],[Description]]="","",Table2[[#This Row],[Value]]/Table2[[#This Row],[Conversion]])</f>
        <v/>
      </c>
      <c r="K8236" s="45" t="str">
        <f>IF(Table2[[#This Row],[Description]]="","",DATE(Table2[[#This Row],[Year]],Table2[[#This Row],[Month]],1))</f>
        <v/>
      </c>
    </row>
    <row r="8237" spans="7:11" x14ac:dyDescent="0.25">
      <c r="G8237" s="1" t="str">
        <f>IF(Table2[[#This Row],[Description]]="","",VLOOKUP(Table2[[#This Row],[Description]],$Q$1:$S$101,2,FALSE))</f>
        <v/>
      </c>
      <c r="H8237" s="1" t="str">
        <f>IF(Table2[[#This Row],[Description]]="","",VLOOKUP(Table2[[#This Row],[Description]],$Q$1:$S$101,3,FALSE))</f>
        <v/>
      </c>
      <c r="I8237" s="1" t="str">
        <f>IF(Table2[[#This Row],[Description]]="","",IF(Table2[[#This Row],[Currency]]=$O$2,$P$2,HLOOKUP(Table2[[#This Row],[Date]],Funds!$C$10:$GV$11,2,FALSE)))</f>
        <v/>
      </c>
      <c r="J8237" s="215" t="str">
        <f>IF(Table2[[#This Row],[Description]]="","",Table2[[#This Row],[Value]]/Table2[[#This Row],[Conversion]])</f>
        <v/>
      </c>
      <c r="K8237" s="45" t="str">
        <f>IF(Table2[[#This Row],[Description]]="","",DATE(Table2[[#This Row],[Year]],Table2[[#This Row],[Month]],1))</f>
        <v/>
      </c>
    </row>
    <row r="8238" spans="7:11" x14ac:dyDescent="0.25">
      <c r="G8238" s="1" t="str">
        <f>IF(Table2[[#This Row],[Description]]="","",VLOOKUP(Table2[[#This Row],[Description]],$Q$1:$S$101,2,FALSE))</f>
        <v/>
      </c>
      <c r="H8238" s="1" t="str">
        <f>IF(Table2[[#This Row],[Description]]="","",VLOOKUP(Table2[[#This Row],[Description]],$Q$1:$S$101,3,FALSE))</f>
        <v/>
      </c>
      <c r="I8238" s="1" t="str">
        <f>IF(Table2[[#This Row],[Description]]="","",IF(Table2[[#This Row],[Currency]]=$O$2,$P$2,HLOOKUP(Table2[[#This Row],[Date]],Funds!$C$10:$GV$11,2,FALSE)))</f>
        <v/>
      </c>
      <c r="J8238" s="215" t="str">
        <f>IF(Table2[[#This Row],[Description]]="","",Table2[[#This Row],[Value]]/Table2[[#This Row],[Conversion]])</f>
        <v/>
      </c>
      <c r="K8238" s="45" t="str">
        <f>IF(Table2[[#This Row],[Description]]="","",DATE(Table2[[#This Row],[Year]],Table2[[#This Row],[Month]],1))</f>
        <v/>
      </c>
    </row>
    <row r="8239" spans="7:11" x14ac:dyDescent="0.25">
      <c r="G8239" s="1" t="str">
        <f>IF(Table2[[#This Row],[Description]]="","",VLOOKUP(Table2[[#This Row],[Description]],$Q$1:$S$101,2,FALSE))</f>
        <v/>
      </c>
      <c r="H8239" s="1" t="str">
        <f>IF(Table2[[#This Row],[Description]]="","",VLOOKUP(Table2[[#This Row],[Description]],$Q$1:$S$101,3,FALSE))</f>
        <v/>
      </c>
      <c r="I8239" s="1" t="str">
        <f>IF(Table2[[#This Row],[Description]]="","",IF(Table2[[#This Row],[Currency]]=$O$2,$P$2,HLOOKUP(Table2[[#This Row],[Date]],Funds!$C$10:$GV$11,2,FALSE)))</f>
        <v/>
      </c>
      <c r="J8239" s="215" t="str">
        <f>IF(Table2[[#This Row],[Description]]="","",Table2[[#This Row],[Value]]/Table2[[#This Row],[Conversion]])</f>
        <v/>
      </c>
      <c r="K8239" s="45" t="str">
        <f>IF(Table2[[#This Row],[Description]]="","",DATE(Table2[[#This Row],[Year]],Table2[[#This Row],[Month]],1))</f>
        <v/>
      </c>
    </row>
    <row r="8240" spans="7:11" x14ac:dyDescent="0.25">
      <c r="G8240" s="1" t="str">
        <f>IF(Table2[[#This Row],[Description]]="","",VLOOKUP(Table2[[#This Row],[Description]],$Q$1:$S$101,2,FALSE))</f>
        <v/>
      </c>
      <c r="H8240" s="1" t="str">
        <f>IF(Table2[[#This Row],[Description]]="","",VLOOKUP(Table2[[#This Row],[Description]],$Q$1:$S$101,3,FALSE))</f>
        <v/>
      </c>
      <c r="I8240" s="1" t="str">
        <f>IF(Table2[[#This Row],[Description]]="","",IF(Table2[[#This Row],[Currency]]=$O$2,$P$2,HLOOKUP(Table2[[#This Row],[Date]],Funds!$C$10:$GV$11,2,FALSE)))</f>
        <v/>
      </c>
      <c r="J8240" s="215" t="str">
        <f>IF(Table2[[#This Row],[Description]]="","",Table2[[#This Row],[Value]]/Table2[[#This Row],[Conversion]])</f>
        <v/>
      </c>
      <c r="K8240" s="45" t="str">
        <f>IF(Table2[[#This Row],[Description]]="","",DATE(Table2[[#This Row],[Year]],Table2[[#This Row],[Month]],1))</f>
        <v/>
      </c>
    </row>
    <row r="8241" spans="7:11" x14ac:dyDescent="0.25">
      <c r="G8241" s="1" t="str">
        <f>IF(Table2[[#This Row],[Description]]="","",VLOOKUP(Table2[[#This Row],[Description]],$Q$1:$S$101,2,FALSE))</f>
        <v/>
      </c>
      <c r="H8241" s="1" t="str">
        <f>IF(Table2[[#This Row],[Description]]="","",VLOOKUP(Table2[[#This Row],[Description]],$Q$1:$S$101,3,FALSE))</f>
        <v/>
      </c>
      <c r="I8241" s="1" t="str">
        <f>IF(Table2[[#This Row],[Description]]="","",IF(Table2[[#This Row],[Currency]]=$O$2,$P$2,HLOOKUP(Table2[[#This Row],[Date]],Funds!$C$10:$GV$11,2,FALSE)))</f>
        <v/>
      </c>
      <c r="J8241" s="215" t="str">
        <f>IF(Table2[[#This Row],[Description]]="","",Table2[[#This Row],[Value]]/Table2[[#This Row],[Conversion]])</f>
        <v/>
      </c>
      <c r="K8241" s="45" t="str">
        <f>IF(Table2[[#This Row],[Description]]="","",DATE(Table2[[#This Row],[Year]],Table2[[#This Row],[Month]],1))</f>
        <v/>
      </c>
    </row>
    <row r="8242" spans="7:11" x14ac:dyDescent="0.25">
      <c r="G8242" s="1" t="str">
        <f>IF(Table2[[#This Row],[Description]]="","",VLOOKUP(Table2[[#This Row],[Description]],$Q$1:$S$101,2,FALSE))</f>
        <v/>
      </c>
      <c r="H8242" s="1" t="str">
        <f>IF(Table2[[#This Row],[Description]]="","",VLOOKUP(Table2[[#This Row],[Description]],$Q$1:$S$101,3,FALSE))</f>
        <v/>
      </c>
      <c r="I8242" s="1" t="str">
        <f>IF(Table2[[#This Row],[Description]]="","",IF(Table2[[#This Row],[Currency]]=$O$2,$P$2,HLOOKUP(Table2[[#This Row],[Date]],Funds!$C$10:$GV$11,2,FALSE)))</f>
        <v/>
      </c>
      <c r="J8242" s="215" t="str">
        <f>IF(Table2[[#This Row],[Description]]="","",Table2[[#This Row],[Value]]/Table2[[#This Row],[Conversion]])</f>
        <v/>
      </c>
      <c r="K8242" s="45" t="str">
        <f>IF(Table2[[#This Row],[Description]]="","",DATE(Table2[[#This Row],[Year]],Table2[[#This Row],[Month]],1))</f>
        <v/>
      </c>
    </row>
    <row r="8243" spans="7:11" x14ac:dyDescent="0.25">
      <c r="G8243" s="1" t="str">
        <f>IF(Table2[[#This Row],[Description]]="","",VLOOKUP(Table2[[#This Row],[Description]],$Q$1:$S$101,2,FALSE))</f>
        <v/>
      </c>
      <c r="H8243" s="1" t="str">
        <f>IF(Table2[[#This Row],[Description]]="","",VLOOKUP(Table2[[#This Row],[Description]],$Q$1:$S$101,3,FALSE))</f>
        <v/>
      </c>
      <c r="I8243" s="1" t="str">
        <f>IF(Table2[[#This Row],[Description]]="","",IF(Table2[[#This Row],[Currency]]=$O$2,$P$2,HLOOKUP(Table2[[#This Row],[Date]],Funds!$C$10:$GV$11,2,FALSE)))</f>
        <v/>
      </c>
      <c r="J8243" s="215" t="str">
        <f>IF(Table2[[#This Row],[Description]]="","",Table2[[#This Row],[Value]]/Table2[[#This Row],[Conversion]])</f>
        <v/>
      </c>
      <c r="K8243" s="45" t="str">
        <f>IF(Table2[[#This Row],[Description]]="","",DATE(Table2[[#This Row],[Year]],Table2[[#This Row],[Month]],1))</f>
        <v/>
      </c>
    </row>
    <row r="8244" spans="7:11" x14ac:dyDescent="0.25">
      <c r="G8244" s="1" t="str">
        <f>IF(Table2[[#This Row],[Description]]="","",VLOOKUP(Table2[[#This Row],[Description]],$Q$1:$S$101,2,FALSE))</f>
        <v/>
      </c>
      <c r="H8244" s="1" t="str">
        <f>IF(Table2[[#This Row],[Description]]="","",VLOOKUP(Table2[[#This Row],[Description]],$Q$1:$S$101,3,FALSE))</f>
        <v/>
      </c>
      <c r="I8244" s="1" t="str">
        <f>IF(Table2[[#This Row],[Description]]="","",IF(Table2[[#This Row],[Currency]]=$O$2,$P$2,HLOOKUP(Table2[[#This Row],[Date]],Funds!$C$10:$GV$11,2,FALSE)))</f>
        <v/>
      </c>
      <c r="J8244" s="215" t="str">
        <f>IF(Table2[[#This Row],[Description]]="","",Table2[[#This Row],[Value]]/Table2[[#This Row],[Conversion]])</f>
        <v/>
      </c>
      <c r="K8244" s="45" t="str">
        <f>IF(Table2[[#This Row],[Description]]="","",DATE(Table2[[#This Row],[Year]],Table2[[#This Row],[Month]],1))</f>
        <v/>
      </c>
    </row>
    <row r="8245" spans="7:11" x14ac:dyDescent="0.25">
      <c r="G8245" s="1" t="str">
        <f>IF(Table2[[#This Row],[Description]]="","",VLOOKUP(Table2[[#This Row],[Description]],$Q$1:$S$101,2,FALSE))</f>
        <v/>
      </c>
      <c r="H8245" s="1" t="str">
        <f>IF(Table2[[#This Row],[Description]]="","",VLOOKUP(Table2[[#This Row],[Description]],$Q$1:$S$101,3,FALSE))</f>
        <v/>
      </c>
      <c r="I8245" s="1" t="str">
        <f>IF(Table2[[#This Row],[Description]]="","",IF(Table2[[#This Row],[Currency]]=$O$2,$P$2,HLOOKUP(Table2[[#This Row],[Date]],Funds!$C$10:$GV$11,2,FALSE)))</f>
        <v/>
      </c>
      <c r="J8245" s="215" t="str">
        <f>IF(Table2[[#This Row],[Description]]="","",Table2[[#This Row],[Value]]/Table2[[#This Row],[Conversion]])</f>
        <v/>
      </c>
      <c r="K8245" s="45" t="str">
        <f>IF(Table2[[#This Row],[Description]]="","",DATE(Table2[[#This Row],[Year]],Table2[[#This Row],[Month]],1))</f>
        <v/>
      </c>
    </row>
    <row r="8246" spans="7:11" x14ac:dyDescent="0.25">
      <c r="G8246" s="1" t="str">
        <f>IF(Table2[[#This Row],[Description]]="","",VLOOKUP(Table2[[#This Row],[Description]],$Q$1:$S$101,2,FALSE))</f>
        <v/>
      </c>
      <c r="H8246" s="1" t="str">
        <f>IF(Table2[[#This Row],[Description]]="","",VLOOKUP(Table2[[#This Row],[Description]],$Q$1:$S$101,3,FALSE))</f>
        <v/>
      </c>
      <c r="I8246" s="1" t="str">
        <f>IF(Table2[[#This Row],[Description]]="","",IF(Table2[[#This Row],[Currency]]=$O$2,$P$2,HLOOKUP(Table2[[#This Row],[Date]],Funds!$C$10:$GV$11,2,FALSE)))</f>
        <v/>
      </c>
      <c r="J8246" s="215" t="str">
        <f>IF(Table2[[#This Row],[Description]]="","",Table2[[#This Row],[Value]]/Table2[[#This Row],[Conversion]])</f>
        <v/>
      </c>
      <c r="K8246" s="45" t="str">
        <f>IF(Table2[[#This Row],[Description]]="","",DATE(Table2[[#This Row],[Year]],Table2[[#This Row],[Month]],1))</f>
        <v/>
      </c>
    </row>
    <row r="8247" spans="7:11" x14ac:dyDescent="0.25">
      <c r="G8247" s="1" t="str">
        <f>IF(Table2[[#This Row],[Description]]="","",VLOOKUP(Table2[[#This Row],[Description]],$Q$1:$S$101,2,FALSE))</f>
        <v/>
      </c>
      <c r="H8247" s="1" t="str">
        <f>IF(Table2[[#This Row],[Description]]="","",VLOOKUP(Table2[[#This Row],[Description]],$Q$1:$S$101,3,FALSE))</f>
        <v/>
      </c>
      <c r="I8247" s="1" t="str">
        <f>IF(Table2[[#This Row],[Description]]="","",IF(Table2[[#This Row],[Currency]]=$O$2,$P$2,HLOOKUP(Table2[[#This Row],[Date]],Funds!$C$10:$GV$11,2,FALSE)))</f>
        <v/>
      </c>
      <c r="J8247" s="215" t="str">
        <f>IF(Table2[[#This Row],[Description]]="","",Table2[[#This Row],[Value]]/Table2[[#This Row],[Conversion]])</f>
        <v/>
      </c>
      <c r="K8247" s="45" t="str">
        <f>IF(Table2[[#This Row],[Description]]="","",DATE(Table2[[#This Row],[Year]],Table2[[#This Row],[Month]],1))</f>
        <v/>
      </c>
    </row>
    <row r="8248" spans="7:11" x14ac:dyDescent="0.25">
      <c r="G8248" s="1" t="str">
        <f>IF(Table2[[#This Row],[Description]]="","",VLOOKUP(Table2[[#This Row],[Description]],$Q$1:$S$101,2,FALSE))</f>
        <v/>
      </c>
      <c r="H8248" s="1" t="str">
        <f>IF(Table2[[#This Row],[Description]]="","",VLOOKUP(Table2[[#This Row],[Description]],$Q$1:$S$101,3,FALSE))</f>
        <v/>
      </c>
      <c r="I8248" s="1" t="str">
        <f>IF(Table2[[#This Row],[Description]]="","",IF(Table2[[#This Row],[Currency]]=$O$2,$P$2,HLOOKUP(Table2[[#This Row],[Date]],Funds!$C$10:$GV$11,2,FALSE)))</f>
        <v/>
      </c>
      <c r="J8248" s="215" t="str">
        <f>IF(Table2[[#This Row],[Description]]="","",Table2[[#This Row],[Value]]/Table2[[#This Row],[Conversion]])</f>
        <v/>
      </c>
      <c r="K8248" s="45" t="str">
        <f>IF(Table2[[#This Row],[Description]]="","",DATE(Table2[[#This Row],[Year]],Table2[[#This Row],[Month]],1))</f>
        <v/>
      </c>
    </row>
    <row r="8249" spans="7:11" x14ac:dyDescent="0.25">
      <c r="G8249" s="1" t="str">
        <f>IF(Table2[[#This Row],[Description]]="","",VLOOKUP(Table2[[#This Row],[Description]],$Q$1:$S$101,2,FALSE))</f>
        <v/>
      </c>
      <c r="H8249" s="1" t="str">
        <f>IF(Table2[[#This Row],[Description]]="","",VLOOKUP(Table2[[#This Row],[Description]],$Q$1:$S$101,3,FALSE))</f>
        <v/>
      </c>
      <c r="I8249" s="1" t="str">
        <f>IF(Table2[[#This Row],[Description]]="","",IF(Table2[[#This Row],[Currency]]=$O$2,$P$2,HLOOKUP(Table2[[#This Row],[Date]],Funds!$C$10:$GV$11,2,FALSE)))</f>
        <v/>
      </c>
      <c r="J8249" s="215" t="str">
        <f>IF(Table2[[#This Row],[Description]]="","",Table2[[#This Row],[Value]]/Table2[[#This Row],[Conversion]])</f>
        <v/>
      </c>
      <c r="K8249" s="45" t="str">
        <f>IF(Table2[[#This Row],[Description]]="","",DATE(Table2[[#This Row],[Year]],Table2[[#This Row],[Month]],1))</f>
        <v/>
      </c>
    </row>
    <row r="8250" spans="7:11" x14ac:dyDescent="0.25">
      <c r="G8250" s="1" t="str">
        <f>IF(Table2[[#This Row],[Description]]="","",VLOOKUP(Table2[[#This Row],[Description]],$Q$1:$S$101,2,FALSE))</f>
        <v/>
      </c>
      <c r="H8250" s="1" t="str">
        <f>IF(Table2[[#This Row],[Description]]="","",VLOOKUP(Table2[[#This Row],[Description]],$Q$1:$S$101,3,FALSE))</f>
        <v/>
      </c>
      <c r="I8250" s="1" t="str">
        <f>IF(Table2[[#This Row],[Description]]="","",IF(Table2[[#This Row],[Currency]]=$O$2,$P$2,HLOOKUP(Table2[[#This Row],[Date]],Funds!$C$10:$GV$11,2,FALSE)))</f>
        <v/>
      </c>
      <c r="J8250" s="215" t="str">
        <f>IF(Table2[[#This Row],[Description]]="","",Table2[[#This Row],[Value]]/Table2[[#This Row],[Conversion]])</f>
        <v/>
      </c>
      <c r="K8250" s="45" t="str">
        <f>IF(Table2[[#This Row],[Description]]="","",DATE(Table2[[#This Row],[Year]],Table2[[#This Row],[Month]],1))</f>
        <v/>
      </c>
    </row>
    <row r="8251" spans="7:11" x14ac:dyDescent="0.25">
      <c r="G8251" s="1" t="str">
        <f>IF(Table2[[#This Row],[Description]]="","",VLOOKUP(Table2[[#This Row],[Description]],$Q$1:$S$101,2,FALSE))</f>
        <v/>
      </c>
      <c r="H8251" s="1" t="str">
        <f>IF(Table2[[#This Row],[Description]]="","",VLOOKUP(Table2[[#This Row],[Description]],$Q$1:$S$101,3,FALSE))</f>
        <v/>
      </c>
      <c r="I8251" s="1" t="str">
        <f>IF(Table2[[#This Row],[Description]]="","",IF(Table2[[#This Row],[Currency]]=$O$2,$P$2,HLOOKUP(Table2[[#This Row],[Date]],Funds!$C$10:$GV$11,2,FALSE)))</f>
        <v/>
      </c>
      <c r="J8251" s="215" t="str">
        <f>IF(Table2[[#This Row],[Description]]="","",Table2[[#This Row],[Value]]/Table2[[#This Row],[Conversion]])</f>
        <v/>
      </c>
      <c r="K8251" s="45" t="str">
        <f>IF(Table2[[#This Row],[Description]]="","",DATE(Table2[[#This Row],[Year]],Table2[[#This Row],[Month]],1))</f>
        <v/>
      </c>
    </row>
    <row r="8252" spans="7:11" x14ac:dyDescent="0.25">
      <c r="G8252" s="1" t="str">
        <f>IF(Table2[[#This Row],[Description]]="","",VLOOKUP(Table2[[#This Row],[Description]],$Q$1:$S$101,2,FALSE))</f>
        <v/>
      </c>
      <c r="H8252" s="1" t="str">
        <f>IF(Table2[[#This Row],[Description]]="","",VLOOKUP(Table2[[#This Row],[Description]],$Q$1:$S$101,3,FALSE))</f>
        <v/>
      </c>
      <c r="I8252" s="1" t="str">
        <f>IF(Table2[[#This Row],[Description]]="","",IF(Table2[[#This Row],[Currency]]=$O$2,$P$2,HLOOKUP(Table2[[#This Row],[Date]],Funds!$C$10:$GV$11,2,FALSE)))</f>
        <v/>
      </c>
      <c r="J8252" s="215" t="str">
        <f>IF(Table2[[#This Row],[Description]]="","",Table2[[#This Row],[Value]]/Table2[[#This Row],[Conversion]])</f>
        <v/>
      </c>
      <c r="K8252" s="45" t="str">
        <f>IF(Table2[[#This Row],[Description]]="","",DATE(Table2[[#This Row],[Year]],Table2[[#This Row],[Month]],1))</f>
        <v/>
      </c>
    </row>
    <row r="8253" spans="7:11" x14ac:dyDescent="0.25">
      <c r="G8253" s="1" t="str">
        <f>IF(Table2[[#This Row],[Description]]="","",VLOOKUP(Table2[[#This Row],[Description]],$Q$1:$S$101,2,FALSE))</f>
        <v/>
      </c>
      <c r="H8253" s="1" t="str">
        <f>IF(Table2[[#This Row],[Description]]="","",VLOOKUP(Table2[[#This Row],[Description]],$Q$1:$S$101,3,FALSE))</f>
        <v/>
      </c>
      <c r="I8253" s="1" t="str">
        <f>IF(Table2[[#This Row],[Description]]="","",IF(Table2[[#This Row],[Currency]]=$O$2,$P$2,HLOOKUP(Table2[[#This Row],[Date]],Funds!$C$10:$GV$11,2,FALSE)))</f>
        <v/>
      </c>
      <c r="J8253" s="215" t="str">
        <f>IF(Table2[[#This Row],[Description]]="","",Table2[[#This Row],[Value]]/Table2[[#This Row],[Conversion]])</f>
        <v/>
      </c>
      <c r="K8253" s="45" t="str">
        <f>IF(Table2[[#This Row],[Description]]="","",DATE(Table2[[#This Row],[Year]],Table2[[#This Row],[Month]],1))</f>
        <v/>
      </c>
    </row>
    <row r="8254" spans="7:11" x14ac:dyDescent="0.25">
      <c r="G8254" s="1" t="str">
        <f>IF(Table2[[#This Row],[Description]]="","",VLOOKUP(Table2[[#This Row],[Description]],$Q$1:$S$101,2,FALSE))</f>
        <v/>
      </c>
      <c r="H8254" s="1" t="str">
        <f>IF(Table2[[#This Row],[Description]]="","",VLOOKUP(Table2[[#This Row],[Description]],$Q$1:$S$101,3,FALSE))</f>
        <v/>
      </c>
      <c r="I8254" s="1" t="str">
        <f>IF(Table2[[#This Row],[Description]]="","",IF(Table2[[#This Row],[Currency]]=$O$2,$P$2,HLOOKUP(Table2[[#This Row],[Date]],Funds!$C$10:$GV$11,2,FALSE)))</f>
        <v/>
      </c>
      <c r="J8254" s="215" t="str">
        <f>IF(Table2[[#This Row],[Description]]="","",Table2[[#This Row],[Value]]/Table2[[#This Row],[Conversion]])</f>
        <v/>
      </c>
      <c r="K8254" s="45" t="str">
        <f>IF(Table2[[#This Row],[Description]]="","",DATE(Table2[[#This Row],[Year]],Table2[[#This Row],[Month]],1))</f>
        <v/>
      </c>
    </row>
    <row r="8255" spans="7:11" x14ac:dyDescent="0.25">
      <c r="G8255" s="1" t="str">
        <f>IF(Table2[[#This Row],[Description]]="","",VLOOKUP(Table2[[#This Row],[Description]],$Q$1:$S$101,2,FALSE))</f>
        <v/>
      </c>
      <c r="H8255" s="1" t="str">
        <f>IF(Table2[[#This Row],[Description]]="","",VLOOKUP(Table2[[#This Row],[Description]],$Q$1:$S$101,3,FALSE))</f>
        <v/>
      </c>
      <c r="I8255" s="1" t="str">
        <f>IF(Table2[[#This Row],[Description]]="","",IF(Table2[[#This Row],[Currency]]=$O$2,$P$2,HLOOKUP(Table2[[#This Row],[Date]],Funds!$C$10:$GV$11,2,FALSE)))</f>
        <v/>
      </c>
      <c r="J8255" s="215" t="str">
        <f>IF(Table2[[#This Row],[Description]]="","",Table2[[#This Row],[Value]]/Table2[[#This Row],[Conversion]])</f>
        <v/>
      </c>
      <c r="K8255" s="45" t="str">
        <f>IF(Table2[[#This Row],[Description]]="","",DATE(Table2[[#This Row],[Year]],Table2[[#This Row],[Month]],1))</f>
        <v/>
      </c>
    </row>
    <row r="8256" spans="7:11" x14ac:dyDescent="0.25">
      <c r="G8256" s="1" t="str">
        <f>IF(Table2[[#This Row],[Description]]="","",VLOOKUP(Table2[[#This Row],[Description]],$Q$1:$S$101,2,FALSE))</f>
        <v/>
      </c>
      <c r="H8256" s="1" t="str">
        <f>IF(Table2[[#This Row],[Description]]="","",VLOOKUP(Table2[[#This Row],[Description]],$Q$1:$S$101,3,FALSE))</f>
        <v/>
      </c>
      <c r="I8256" s="1" t="str">
        <f>IF(Table2[[#This Row],[Description]]="","",IF(Table2[[#This Row],[Currency]]=$O$2,$P$2,HLOOKUP(Table2[[#This Row],[Date]],Funds!$C$10:$GV$11,2,FALSE)))</f>
        <v/>
      </c>
      <c r="J8256" s="215" t="str">
        <f>IF(Table2[[#This Row],[Description]]="","",Table2[[#This Row],[Value]]/Table2[[#This Row],[Conversion]])</f>
        <v/>
      </c>
      <c r="K8256" s="45" t="str">
        <f>IF(Table2[[#This Row],[Description]]="","",DATE(Table2[[#This Row],[Year]],Table2[[#This Row],[Month]],1))</f>
        <v/>
      </c>
    </row>
    <row r="8257" spans="7:11" x14ac:dyDescent="0.25">
      <c r="G8257" s="1" t="str">
        <f>IF(Table2[[#This Row],[Description]]="","",VLOOKUP(Table2[[#This Row],[Description]],$Q$1:$S$101,2,FALSE))</f>
        <v/>
      </c>
      <c r="H8257" s="1" t="str">
        <f>IF(Table2[[#This Row],[Description]]="","",VLOOKUP(Table2[[#This Row],[Description]],$Q$1:$S$101,3,FALSE))</f>
        <v/>
      </c>
      <c r="I8257" s="1" t="str">
        <f>IF(Table2[[#This Row],[Description]]="","",IF(Table2[[#This Row],[Currency]]=$O$2,$P$2,HLOOKUP(Table2[[#This Row],[Date]],Funds!$C$10:$GV$11,2,FALSE)))</f>
        <v/>
      </c>
      <c r="J8257" s="215" t="str">
        <f>IF(Table2[[#This Row],[Description]]="","",Table2[[#This Row],[Value]]/Table2[[#This Row],[Conversion]])</f>
        <v/>
      </c>
      <c r="K8257" s="45" t="str">
        <f>IF(Table2[[#This Row],[Description]]="","",DATE(Table2[[#This Row],[Year]],Table2[[#This Row],[Month]],1))</f>
        <v/>
      </c>
    </row>
    <row r="8258" spans="7:11" x14ac:dyDescent="0.25">
      <c r="G8258" s="1" t="str">
        <f>IF(Table2[[#This Row],[Description]]="","",VLOOKUP(Table2[[#This Row],[Description]],$Q$1:$S$101,2,FALSE))</f>
        <v/>
      </c>
      <c r="H8258" s="1" t="str">
        <f>IF(Table2[[#This Row],[Description]]="","",VLOOKUP(Table2[[#This Row],[Description]],$Q$1:$S$101,3,FALSE))</f>
        <v/>
      </c>
      <c r="I8258" s="1" t="str">
        <f>IF(Table2[[#This Row],[Description]]="","",IF(Table2[[#This Row],[Currency]]=$O$2,$P$2,HLOOKUP(Table2[[#This Row],[Date]],Funds!$C$10:$GV$11,2,FALSE)))</f>
        <v/>
      </c>
      <c r="J8258" s="215" t="str">
        <f>IF(Table2[[#This Row],[Description]]="","",Table2[[#This Row],[Value]]/Table2[[#This Row],[Conversion]])</f>
        <v/>
      </c>
      <c r="K8258" s="45" t="str">
        <f>IF(Table2[[#This Row],[Description]]="","",DATE(Table2[[#This Row],[Year]],Table2[[#This Row],[Month]],1))</f>
        <v/>
      </c>
    </row>
    <row r="8259" spans="7:11" x14ac:dyDescent="0.25">
      <c r="G8259" s="1" t="str">
        <f>IF(Table2[[#This Row],[Description]]="","",VLOOKUP(Table2[[#This Row],[Description]],$Q$1:$S$101,2,FALSE))</f>
        <v/>
      </c>
      <c r="H8259" s="1" t="str">
        <f>IF(Table2[[#This Row],[Description]]="","",VLOOKUP(Table2[[#This Row],[Description]],$Q$1:$S$101,3,FALSE))</f>
        <v/>
      </c>
      <c r="I8259" s="1" t="str">
        <f>IF(Table2[[#This Row],[Description]]="","",IF(Table2[[#This Row],[Currency]]=$O$2,$P$2,HLOOKUP(Table2[[#This Row],[Date]],Funds!$C$10:$GV$11,2,FALSE)))</f>
        <v/>
      </c>
      <c r="J8259" s="215" t="str">
        <f>IF(Table2[[#This Row],[Description]]="","",Table2[[#This Row],[Value]]/Table2[[#This Row],[Conversion]])</f>
        <v/>
      </c>
      <c r="K8259" s="45" t="str">
        <f>IF(Table2[[#This Row],[Description]]="","",DATE(Table2[[#This Row],[Year]],Table2[[#This Row],[Month]],1))</f>
        <v/>
      </c>
    </row>
    <row r="8260" spans="7:11" x14ac:dyDescent="0.25">
      <c r="G8260" s="1" t="str">
        <f>IF(Table2[[#This Row],[Description]]="","",VLOOKUP(Table2[[#This Row],[Description]],$Q$1:$S$101,2,FALSE))</f>
        <v/>
      </c>
      <c r="H8260" s="1" t="str">
        <f>IF(Table2[[#This Row],[Description]]="","",VLOOKUP(Table2[[#This Row],[Description]],$Q$1:$S$101,3,FALSE))</f>
        <v/>
      </c>
      <c r="I8260" s="1" t="str">
        <f>IF(Table2[[#This Row],[Description]]="","",IF(Table2[[#This Row],[Currency]]=$O$2,$P$2,HLOOKUP(Table2[[#This Row],[Date]],Funds!$C$10:$GV$11,2,FALSE)))</f>
        <v/>
      </c>
      <c r="J8260" s="215" t="str">
        <f>IF(Table2[[#This Row],[Description]]="","",Table2[[#This Row],[Value]]/Table2[[#This Row],[Conversion]])</f>
        <v/>
      </c>
      <c r="K8260" s="45" t="str">
        <f>IF(Table2[[#This Row],[Description]]="","",DATE(Table2[[#This Row],[Year]],Table2[[#This Row],[Month]],1))</f>
        <v/>
      </c>
    </row>
    <row r="8261" spans="7:11" x14ac:dyDescent="0.25">
      <c r="G8261" s="1" t="str">
        <f>IF(Table2[[#This Row],[Description]]="","",VLOOKUP(Table2[[#This Row],[Description]],$Q$1:$S$101,2,FALSE))</f>
        <v/>
      </c>
      <c r="H8261" s="1" t="str">
        <f>IF(Table2[[#This Row],[Description]]="","",VLOOKUP(Table2[[#This Row],[Description]],$Q$1:$S$101,3,FALSE))</f>
        <v/>
      </c>
      <c r="I8261" s="1" t="str">
        <f>IF(Table2[[#This Row],[Description]]="","",IF(Table2[[#This Row],[Currency]]=$O$2,$P$2,HLOOKUP(Table2[[#This Row],[Date]],Funds!$C$10:$GV$11,2,FALSE)))</f>
        <v/>
      </c>
      <c r="J8261" s="215" t="str">
        <f>IF(Table2[[#This Row],[Description]]="","",Table2[[#This Row],[Value]]/Table2[[#This Row],[Conversion]])</f>
        <v/>
      </c>
      <c r="K8261" s="45" t="str">
        <f>IF(Table2[[#This Row],[Description]]="","",DATE(Table2[[#This Row],[Year]],Table2[[#This Row],[Month]],1))</f>
        <v/>
      </c>
    </row>
    <row r="8262" spans="7:11" x14ac:dyDescent="0.25">
      <c r="G8262" s="1" t="str">
        <f>IF(Table2[[#This Row],[Description]]="","",VLOOKUP(Table2[[#This Row],[Description]],$Q$1:$S$101,2,FALSE))</f>
        <v/>
      </c>
      <c r="H8262" s="1" t="str">
        <f>IF(Table2[[#This Row],[Description]]="","",VLOOKUP(Table2[[#This Row],[Description]],$Q$1:$S$101,3,FALSE))</f>
        <v/>
      </c>
      <c r="I8262" s="1" t="str">
        <f>IF(Table2[[#This Row],[Description]]="","",IF(Table2[[#This Row],[Currency]]=$O$2,$P$2,HLOOKUP(Table2[[#This Row],[Date]],Funds!$C$10:$GV$11,2,FALSE)))</f>
        <v/>
      </c>
      <c r="J8262" s="215" t="str">
        <f>IF(Table2[[#This Row],[Description]]="","",Table2[[#This Row],[Value]]/Table2[[#This Row],[Conversion]])</f>
        <v/>
      </c>
      <c r="K8262" s="45" t="str">
        <f>IF(Table2[[#This Row],[Description]]="","",DATE(Table2[[#This Row],[Year]],Table2[[#This Row],[Month]],1))</f>
        <v/>
      </c>
    </row>
    <row r="8263" spans="7:11" x14ac:dyDescent="0.25">
      <c r="G8263" s="1" t="str">
        <f>IF(Table2[[#This Row],[Description]]="","",VLOOKUP(Table2[[#This Row],[Description]],$Q$1:$S$101,2,FALSE))</f>
        <v/>
      </c>
      <c r="H8263" s="1" t="str">
        <f>IF(Table2[[#This Row],[Description]]="","",VLOOKUP(Table2[[#This Row],[Description]],$Q$1:$S$101,3,FALSE))</f>
        <v/>
      </c>
      <c r="I8263" s="1" t="str">
        <f>IF(Table2[[#This Row],[Description]]="","",IF(Table2[[#This Row],[Currency]]=$O$2,$P$2,HLOOKUP(Table2[[#This Row],[Date]],Funds!$C$10:$GV$11,2,FALSE)))</f>
        <v/>
      </c>
      <c r="J8263" s="215" t="str">
        <f>IF(Table2[[#This Row],[Description]]="","",Table2[[#This Row],[Value]]/Table2[[#This Row],[Conversion]])</f>
        <v/>
      </c>
      <c r="K8263" s="45" t="str">
        <f>IF(Table2[[#This Row],[Description]]="","",DATE(Table2[[#This Row],[Year]],Table2[[#This Row],[Month]],1))</f>
        <v/>
      </c>
    </row>
    <row r="8264" spans="7:11" x14ac:dyDescent="0.25">
      <c r="G8264" s="1" t="str">
        <f>IF(Table2[[#This Row],[Description]]="","",VLOOKUP(Table2[[#This Row],[Description]],$Q$1:$S$101,2,FALSE))</f>
        <v/>
      </c>
      <c r="H8264" s="1" t="str">
        <f>IF(Table2[[#This Row],[Description]]="","",VLOOKUP(Table2[[#This Row],[Description]],$Q$1:$S$101,3,FALSE))</f>
        <v/>
      </c>
      <c r="I8264" s="1" t="str">
        <f>IF(Table2[[#This Row],[Description]]="","",IF(Table2[[#This Row],[Currency]]=$O$2,$P$2,HLOOKUP(Table2[[#This Row],[Date]],Funds!$C$10:$GV$11,2,FALSE)))</f>
        <v/>
      </c>
      <c r="J8264" s="215" t="str">
        <f>IF(Table2[[#This Row],[Description]]="","",Table2[[#This Row],[Value]]/Table2[[#This Row],[Conversion]])</f>
        <v/>
      </c>
      <c r="K8264" s="45" t="str">
        <f>IF(Table2[[#This Row],[Description]]="","",DATE(Table2[[#This Row],[Year]],Table2[[#This Row],[Month]],1))</f>
        <v/>
      </c>
    </row>
    <row r="8265" spans="7:11" x14ac:dyDescent="0.25">
      <c r="G8265" s="1" t="str">
        <f>IF(Table2[[#This Row],[Description]]="","",VLOOKUP(Table2[[#This Row],[Description]],$Q$1:$S$101,2,FALSE))</f>
        <v/>
      </c>
      <c r="H8265" s="1" t="str">
        <f>IF(Table2[[#This Row],[Description]]="","",VLOOKUP(Table2[[#This Row],[Description]],$Q$1:$S$101,3,FALSE))</f>
        <v/>
      </c>
      <c r="I8265" s="1" t="str">
        <f>IF(Table2[[#This Row],[Description]]="","",IF(Table2[[#This Row],[Currency]]=$O$2,$P$2,HLOOKUP(Table2[[#This Row],[Date]],Funds!$C$10:$GV$11,2,FALSE)))</f>
        <v/>
      </c>
      <c r="J8265" s="215" t="str">
        <f>IF(Table2[[#This Row],[Description]]="","",Table2[[#This Row],[Value]]/Table2[[#This Row],[Conversion]])</f>
        <v/>
      </c>
      <c r="K8265" s="45" t="str">
        <f>IF(Table2[[#This Row],[Description]]="","",DATE(Table2[[#This Row],[Year]],Table2[[#This Row],[Month]],1))</f>
        <v/>
      </c>
    </row>
    <row r="8266" spans="7:11" x14ac:dyDescent="0.25">
      <c r="G8266" s="1" t="str">
        <f>IF(Table2[[#This Row],[Description]]="","",VLOOKUP(Table2[[#This Row],[Description]],$Q$1:$S$101,2,FALSE))</f>
        <v/>
      </c>
      <c r="H8266" s="1" t="str">
        <f>IF(Table2[[#This Row],[Description]]="","",VLOOKUP(Table2[[#This Row],[Description]],$Q$1:$S$101,3,FALSE))</f>
        <v/>
      </c>
      <c r="I8266" s="1" t="str">
        <f>IF(Table2[[#This Row],[Description]]="","",IF(Table2[[#This Row],[Currency]]=$O$2,$P$2,HLOOKUP(Table2[[#This Row],[Date]],Funds!$C$10:$GV$11,2,FALSE)))</f>
        <v/>
      </c>
      <c r="J8266" s="215" t="str">
        <f>IF(Table2[[#This Row],[Description]]="","",Table2[[#This Row],[Value]]/Table2[[#This Row],[Conversion]])</f>
        <v/>
      </c>
      <c r="K8266" s="45" t="str">
        <f>IF(Table2[[#This Row],[Description]]="","",DATE(Table2[[#This Row],[Year]],Table2[[#This Row],[Month]],1))</f>
        <v/>
      </c>
    </row>
    <row r="8267" spans="7:11" x14ac:dyDescent="0.25">
      <c r="G8267" s="1" t="str">
        <f>IF(Table2[[#This Row],[Description]]="","",VLOOKUP(Table2[[#This Row],[Description]],$Q$1:$S$101,2,FALSE))</f>
        <v/>
      </c>
      <c r="H8267" s="1" t="str">
        <f>IF(Table2[[#This Row],[Description]]="","",VLOOKUP(Table2[[#This Row],[Description]],$Q$1:$S$101,3,FALSE))</f>
        <v/>
      </c>
      <c r="I8267" s="1" t="str">
        <f>IF(Table2[[#This Row],[Description]]="","",IF(Table2[[#This Row],[Currency]]=$O$2,$P$2,HLOOKUP(Table2[[#This Row],[Date]],Funds!$C$10:$GV$11,2,FALSE)))</f>
        <v/>
      </c>
      <c r="J8267" s="215" t="str">
        <f>IF(Table2[[#This Row],[Description]]="","",Table2[[#This Row],[Value]]/Table2[[#This Row],[Conversion]])</f>
        <v/>
      </c>
      <c r="K8267" s="45" t="str">
        <f>IF(Table2[[#This Row],[Description]]="","",DATE(Table2[[#This Row],[Year]],Table2[[#This Row],[Month]],1))</f>
        <v/>
      </c>
    </row>
    <row r="8268" spans="7:11" x14ac:dyDescent="0.25">
      <c r="G8268" s="1" t="str">
        <f>IF(Table2[[#This Row],[Description]]="","",VLOOKUP(Table2[[#This Row],[Description]],$Q$1:$S$101,2,FALSE))</f>
        <v/>
      </c>
      <c r="H8268" s="1" t="str">
        <f>IF(Table2[[#This Row],[Description]]="","",VLOOKUP(Table2[[#This Row],[Description]],$Q$1:$S$101,3,FALSE))</f>
        <v/>
      </c>
      <c r="I8268" s="1" t="str">
        <f>IF(Table2[[#This Row],[Description]]="","",IF(Table2[[#This Row],[Currency]]=$O$2,$P$2,HLOOKUP(Table2[[#This Row],[Date]],Funds!$C$10:$GV$11,2,FALSE)))</f>
        <v/>
      </c>
      <c r="J8268" s="215" t="str">
        <f>IF(Table2[[#This Row],[Description]]="","",Table2[[#This Row],[Value]]/Table2[[#This Row],[Conversion]])</f>
        <v/>
      </c>
      <c r="K8268" s="45" t="str">
        <f>IF(Table2[[#This Row],[Description]]="","",DATE(Table2[[#This Row],[Year]],Table2[[#This Row],[Month]],1))</f>
        <v/>
      </c>
    </row>
    <row r="8269" spans="7:11" x14ac:dyDescent="0.25">
      <c r="G8269" s="1" t="str">
        <f>IF(Table2[[#This Row],[Description]]="","",VLOOKUP(Table2[[#This Row],[Description]],$Q$1:$S$101,2,FALSE))</f>
        <v/>
      </c>
      <c r="H8269" s="1" t="str">
        <f>IF(Table2[[#This Row],[Description]]="","",VLOOKUP(Table2[[#This Row],[Description]],$Q$1:$S$101,3,FALSE))</f>
        <v/>
      </c>
      <c r="I8269" s="1" t="str">
        <f>IF(Table2[[#This Row],[Description]]="","",IF(Table2[[#This Row],[Currency]]=$O$2,$P$2,HLOOKUP(Table2[[#This Row],[Date]],Funds!$C$10:$GV$11,2,FALSE)))</f>
        <v/>
      </c>
      <c r="J8269" s="215" t="str">
        <f>IF(Table2[[#This Row],[Description]]="","",Table2[[#This Row],[Value]]/Table2[[#This Row],[Conversion]])</f>
        <v/>
      </c>
      <c r="K8269" s="45" t="str">
        <f>IF(Table2[[#This Row],[Description]]="","",DATE(Table2[[#This Row],[Year]],Table2[[#This Row],[Month]],1))</f>
        <v/>
      </c>
    </row>
    <row r="8270" spans="7:11" x14ac:dyDescent="0.25">
      <c r="G8270" s="1" t="str">
        <f>IF(Table2[[#This Row],[Description]]="","",VLOOKUP(Table2[[#This Row],[Description]],$Q$1:$S$101,2,FALSE))</f>
        <v/>
      </c>
      <c r="H8270" s="1" t="str">
        <f>IF(Table2[[#This Row],[Description]]="","",VLOOKUP(Table2[[#This Row],[Description]],$Q$1:$S$101,3,FALSE))</f>
        <v/>
      </c>
      <c r="I8270" s="1" t="str">
        <f>IF(Table2[[#This Row],[Description]]="","",IF(Table2[[#This Row],[Currency]]=$O$2,$P$2,HLOOKUP(Table2[[#This Row],[Date]],Funds!$C$10:$GV$11,2,FALSE)))</f>
        <v/>
      </c>
      <c r="J8270" s="215" t="str">
        <f>IF(Table2[[#This Row],[Description]]="","",Table2[[#This Row],[Value]]/Table2[[#This Row],[Conversion]])</f>
        <v/>
      </c>
      <c r="K8270" s="45" t="str">
        <f>IF(Table2[[#This Row],[Description]]="","",DATE(Table2[[#This Row],[Year]],Table2[[#This Row],[Month]],1))</f>
        <v/>
      </c>
    </row>
    <row r="8271" spans="7:11" x14ac:dyDescent="0.25">
      <c r="G8271" s="1" t="str">
        <f>IF(Table2[[#This Row],[Description]]="","",VLOOKUP(Table2[[#This Row],[Description]],$Q$1:$S$101,2,FALSE))</f>
        <v/>
      </c>
      <c r="H8271" s="1" t="str">
        <f>IF(Table2[[#This Row],[Description]]="","",VLOOKUP(Table2[[#This Row],[Description]],$Q$1:$S$101,3,FALSE))</f>
        <v/>
      </c>
      <c r="I8271" s="1" t="str">
        <f>IF(Table2[[#This Row],[Description]]="","",IF(Table2[[#This Row],[Currency]]=$O$2,$P$2,HLOOKUP(Table2[[#This Row],[Date]],Funds!$C$10:$GV$11,2,FALSE)))</f>
        <v/>
      </c>
      <c r="J8271" s="215" t="str">
        <f>IF(Table2[[#This Row],[Description]]="","",Table2[[#This Row],[Value]]/Table2[[#This Row],[Conversion]])</f>
        <v/>
      </c>
      <c r="K8271" s="45" t="str">
        <f>IF(Table2[[#This Row],[Description]]="","",DATE(Table2[[#This Row],[Year]],Table2[[#This Row],[Month]],1))</f>
        <v/>
      </c>
    </row>
    <row r="8272" spans="7:11" x14ac:dyDescent="0.25">
      <c r="G8272" s="1" t="str">
        <f>IF(Table2[[#This Row],[Description]]="","",VLOOKUP(Table2[[#This Row],[Description]],$Q$1:$S$101,2,FALSE))</f>
        <v/>
      </c>
      <c r="H8272" s="1" t="str">
        <f>IF(Table2[[#This Row],[Description]]="","",VLOOKUP(Table2[[#This Row],[Description]],$Q$1:$S$101,3,FALSE))</f>
        <v/>
      </c>
      <c r="I8272" s="1" t="str">
        <f>IF(Table2[[#This Row],[Description]]="","",IF(Table2[[#This Row],[Currency]]=$O$2,$P$2,HLOOKUP(Table2[[#This Row],[Date]],Funds!$C$10:$GV$11,2,FALSE)))</f>
        <v/>
      </c>
      <c r="J8272" s="215" t="str">
        <f>IF(Table2[[#This Row],[Description]]="","",Table2[[#This Row],[Value]]/Table2[[#This Row],[Conversion]])</f>
        <v/>
      </c>
      <c r="K8272" s="45" t="str">
        <f>IF(Table2[[#This Row],[Description]]="","",DATE(Table2[[#This Row],[Year]],Table2[[#This Row],[Month]],1))</f>
        <v/>
      </c>
    </row>
    <row r="8273" spans="7:11" x14ac:dyDescent="0.25">
      <c r="G8273" s="1" t="str">
        <f>IF(Table2[[#This Row],[Description]]="","",VLOOKUP(Table2[[#This Row],[Description]],$Q$1:$S$101,2,FALSE))</f>
        <v/>
      </c>
      <c r="H8273" s="1" t="str">
        <f>IF(Table2[[#This Row],[Description]]="","",VLOOKUP(Table2[[#This Row],[Description]],$Q$1:$S$101,3,FALSE))</f>
        <v/>
      </c>
      <c r="I8273" s="1" t="str">
        <f>IF(Table2[[#This Row],[Description]]="","",IF(Table2[[#This Row],[Currency]]=$O$2,$P$2,HLOOKUP(Table2[[#This Row],[Date]],Funds!$C$10:$GV$11,2,FALSE)))</f>
        <v/>
      </c>
      <c r="J8273" s="215" t="str">
        <f>IF(Table2[[#This Row],[Description]]="","",Table2[[#This Row],[Value]]/Table2[[#This Row],[Conversion]])</f>
        <v/>
      </c>
      <c r="K8273" s="45" t="str">
        <f>IF(Table2[[#This Row],[Description]]="","",DATE(Table2[[#This Row],[Year]],Table2[[#This Row],[Month]],1))</f>
        <v/>
      </c>
    </row>
    <row r="8274" spans="7:11" x14ac:dyDescent="0.25">
      <c r="G8274" s="1" t="str">
        <f>IF(Table2[[#This Row],[Description]]="","",VLOOKUP(Table2[[#This Row],[Description]],$Q$1:$S$101,2,FALSE))</f>
        <v/>
      </c>
      <c r="H8274" s="1" t="str">
        <f>IF(Table2[[#This Row],[Description]]="","",VLOOKUP(Table2[[#This Row],[Description]],$Q$1:$S$101,3,FALSE))</f>
        <v/>
      </c>
      <c r="I8274" s="1" t="str">
        <f>IF(Table2[[#This Row],[Description]]="","",IF(Table2[[#This Row],[Currency]]=$O$2,$P$2,HLOOKUP(Table2[[#This Row],[Date]],Funds!$C$10:$GV$11,2,FALSE)))</f>
        <v/>
      </c>
      <c r="J8274" s="215" t="str">
        <f>IF(Table2[[#This Row],[Description]]="","",Table2[[#This Row],[Value]]/Table2[[#This Row],[Conversion]])</f>
        <v/>
      </c>
      <c r="K8274" s="45" t="str">
        <f>IF(Table2[[#This Row],[Description]]="","",DATE(Table2[[#This Row],[Year]],Table2[[#This Row],[Month]],1))</f>
        <v/>
      </c>
    </row>
    <row r="8275" spans="7:11" x14ac:dyDescent="0.25">
      <c r="G8275" s="1" t="str">
        <f>IF(Table2[[#This Row],[Description]]="","",VLOOKUP(Table2[[#This Row],[Description]],$Q$1:$S$101,2,FALSE))</f>
        <v/>
      </c>
      <c r="H8275" s="1" t="str">
        <f>IF(Table2[[#This Row],[Description]]="","",VLOOKUP(Table2[[#This Row],[Description]],$Q$1:$S$101,3,FALSE))</f>
        <v/>
      </c>
      <c r="I8275" s="1" t="str">
        <f>IF(Table2[[#This Row],[Description]]="","",IF(Table2[[#This Row],[Currency]]=$O$2,$P$2,HLOOKUP(Table2[[#This Row],[Date]],Funds!$C$10:$GV$11,2,FALSE)))</f>
        <v/>
      </c>
      <c r="J8275" s="215" t="str">
        <f>IF(Table2[[#This Row],[Description]]="","",Table2[[#This Row],[Value]]/Table2[[#This Row],[Conversion]])</f>
        <v/>
      </c>
      <c r="K8275" s="45" t="str">
        <f>IF(Table2[[#This Row],[Description]]="","",DATE(Table2[[#This Row],[Year]],Table2[[#This Row],[Month]],1))</f>
        <v/>
      </c>
    </row>
    <row r="8276" spans="7:11" x14ac:dyDescent="0.25">
      <c r="G8276" s="1" t="str">
        <f>IF(Table2[[#This Row],[Description]]="","",VLOOKUP(Table2[[#This Row],[Description]],$Q$1:$S$101,2,FALSE))</f>
        <v/>
      </c>
      <c r="H8276" s="1" t="str">
        <f>IF(Table2[[#This Row],[Description]]="","",VLOOKUP(Table2[[#This Row],[Description]],$Q$1:$S$101,3,FALSE))</f>
        <v/>
      </c>
      <c r="I8276" s="1" t="str">
        <f>IF(Table2[[#This Row],[Description]]="","",IF(Table2[[#This Row],[Currency]]=$O$2,$P$2,HLOOKUP(Table2[[#This Row],[Date]],Funds!$C$10:$GV$11,2,FALSE)))</f>
        <v/>
      </c>
      <c r="J8276" s="215" t="str">
        <f>IF(Table2[[#This Row],[Description]]="","",Table2[[#This Row],[Value]]/Table2[[#This Row],[Conversion]])</f>
        <v/>
      </c>
      <c r="K8276" s="45" t="str">
        <f>IF(Table2[[#This Row],[Description]]="","",DATE(Table2[[#This Row],[Year]],Table2[[#This Row],[Month]],1))</f>
        <v/>
      </c>
    </row>
    <row r="8277" spans="7:11" x14ac:dyDescent="0.25">
      <c r="G8277" s="1" t="str">
        <f>IF(Table2[[#This Row],[Description]]="","",VLOOKUP(Table2[[#This Row],[Description]],$Q$1:$S$101,2,FALSE))</f>
        <v/>
      </c>
      <c r="H8277" s="1" t="str">
        <f>IF(Table2[[#This Row],[Description]]="","",VLOOKUP(Table2[[#This Row],[Description]],$Q$1:$S$101,3,FALSE))</f>
        <v/>
      </c>
      <c r="I8277" s="1" t="str">
        <f>IF(Table2[[#This Row],[Description]]="","",IF(Table2[[#This Row],[Currency]]=$O$2,$P$2,HLOOKUP(Table2[[#This Row],[Date]],Funds!$C$10:$GV$11,2,FALSE)))</f>
        <v/>
      </c>
      <c r="J8277" s="215" t="str">
        <f>IF(Table2[[#This Row],[Description]]="","",Table2[[#This Row],[Value]]/Table2[[#This Row],[Conversion]])</f>
        <v/>
      </c>
      <c r="K8277" s="45" t="str">
        <f>IF(Table2[[#This Row],[Description]]="","",DATE(Table2[[#This Row],[Year]],Table2[[#This Row],[Month]],1))</f>
        <v/>
      </c>
    </row>
    <row r="8278" spans="7:11" x14ac:dyDescent="0.25">
      <c r="G8278" s="1" t="str">
        <f>IF(Table2[[#This Row],[Description]]="","",VLOOKUP(Table2[[#This Row],[Description]],$Q$1:$S$101,2,FALSE))</f>
        <v/>
      </c>
      <c r="H8278" s="1" t="str">
        <f>IF(Table2[[#This Row],[Description]]="","",VLOOKUP(Table2[[#This Row],[Description]],$Q$1:$S$101,3,FALSE))</f>
        <v/>
      </c>
      <c r="I8278" s="1" t="str">
        <f>IF(Table2[[#This Row],[Description]]="","",IF(Table2[[#This Row],[Currency]]=$O$2,$P$2,HLOOKUP(Table2[[#This Row],[Date]],Funds!$C$10:$GV$11,2,FALSE)))</f>
        <v/>
      </c>
      <c r="J8278" s="215" t="str">
        <f>IF(Table2[[#This Row],[Description]]="","",Table2[[#This Row],[Value]]/Table2[[#This Row],[Conversion]])</f>
        <v/>
      </c>
      <c r="K8278" s="45" t="str">
        <f>IF(Table2[[#This Row],[Description]]="","",DATE(Table2[[#This Row],[Year]],Table2[[#This Row],[Month]],1))</f>
        <v/>
      </c>
    </row>
    <row r="8279" spans="7:11" x14ac:dyDescent="0.25">
      <c r="G8279" s="1" t="str">
        <f>IF(Table2[[#This Row],[Description]]="","",VLOOKUP(Table2[[#This Row],[Description]],$Q$1:$S$101,2,FALSE))</f>
        <v/>
      </c>
      <c r="H8279" s="1" t="str">
        <f>IF(Table2[[#This Row],[Description]]="","",VLOOKUP(Table2[[#This Row],[Description]],$Q$1:$S$101,3,FALSE))</f>
        <v/>
      </c>
      <c r="I8279" s="1" t="str">
        <f>IF(Table2[[#This Row],[Description]]="","",IF(Table2[[#This Row],[Currency]]=$O$2,$P$2,HLOOKUP(Table2[[#This Row],[Date]],Funds!$C$10:$GV$11,2,FALSE)))</f>
        <v/>
      </c>
      <c r="J8279" s="215" t="str">
        <f>IF(Table2[[#This Row],[Description]]="","",Table2[[#This Row],[Value]]/Table2[[#This Row],[Conversion]])</f>
        <v/>
      </c>
      <c r="K8279" s="45" t="str">
        <f>IF(Table2[[#This Row],[Description]]="","",DATE(Table2[[#This Row],[Year]],Table2[[#This Row],[Month]],1))</f>
        <v/>
      </c>
    </row>
    <row r="8280" spans="7:11" x14ac:dyDescent="0.25">
      <c r="G8280" s="1" t="str">
        <f>IF(Table2[[#This Row],[Description]]="","",VLOOKUP(Table2[[#This Row],[Description]],$Q$1:$S$101,2,FALSE))</f>
        <v/>
      </c>
      <c r="H8280" s="1" t="str">
        <f>IF(Table2[[#This Row],[Description]]="","",VLOOKUP(Table2[[#This Row],[Description]],$Q$1:$S$101,3,FALSE))</f>
        <v/>
      </c>
      <c r="I8280" s="1" t="str">
        <f>IF(Table2[[#This Row],[Description]]="","",IF(Table2[[#This Row],[Currency]]=$O$2,$P$2,HLOOKUP(Table2[[#This Row],[Date]],Funds!$C$10:$GV$11,2,FALSE)))</f>
        <v/>
      </c>
      <c r="J8280" s="215" t="str">
        <f>IF(Table2[[#This Row],[Description]]="","",Table2[[#This Row],[Value]]/Table2[[#This Row],[Conversion]])</f>
        <v/>
      </c>
      <c r="K8280" s="45" t="str">
        <f>IF(Table2[[#This Row],[Description]]="","",DATE(Table2[[#This Row],[Year]],Table2[[#This Row],[Month]],1))</f>
        <v/>
      </c>
    </row>
    <row r="8281" spans="7:11" x14ac:dyDescent="0.25">
      <c r="G8281" s="1" t="str">
        <f>IF(Table2[[#This Row],[Description]]="","",VLOOKUP(Table2[[#This Row],[Description]],$Q$1:$S$101,2,FALSE))</f>
        <v/>
      </c>
      <c r="H8281" s="1" t="str">
        <f>IF(Table2[[#This Row],[Description]]="","",VLOOKUP(Table2[[#This Row],[Description]],$Q$1:$S$101,3,FALSE))</f>
        <v/>
      </c>
      <c r="I8281" s="1" t="str">
        <f>IF(Table2[[#This Row],[Description]]="","",IF(Table2[[#This Row],[Currency]]=$O$2,$P$2,HLOOKUP(Table2[[#This Row],[Date]],Funds!$C$10:$GV$11,2,FALSE)))</f>
        <v/>
      </c>
      <c r="J8281" s="215" t="str">
        <f>IF(Table2[[#This Row],[Description]]="","",Table2[[#This Row],[Value]]/Table2[[#This Row],[Conversion]])</f>
        <v/>
      </c>
      <c r="K8281" s="45" t="str">
        <f>IF(Table2[[#This Row],[Description]]="","",DATE(Table2[[#This Row],[Year]],Table2[[#This Row],[Month]],1))</f>
        <v/>
      </c>
    </row>
    <row r="8282" spans="7:11" x14ac:dyDescent="0.25">
      <c r="G8282" s="1" t="str">
        <f>IF(Table2[[#This Row],[Description]]="","",VLOOKUP(Table2[[#This Row],[Description]],$Q$1:$S$101,2,FALSE))</f>
        <v/>
      </c>
      <c r="H8282" s="1" t="str">
        <f>IF(Table2[[#This Row],[Description]]="","",VLOOKUP(Table2[[#This Row],[Description]],$Q$1:$S$101,3,FALSE))</f>
        <v/>
      </c>
      <c r="I8282" s="1" t="str">
        <f>IF(Table2[[#This Row],[Description]]="","",IF(Table2[[#This Row],[Currency]]=$O$2,$P$2,HLOOKUP(Table2[[#This Row],[Date]],Funds!$C$10:$GV$11,2,FALSE)))</f>
        <v/>
      </c>
      <c r="J8282" s="215" t="str">
        <f>IF(Table2[[#This Row],[Description]]="","",Table2[[#This Row],[Value]]/Table2[[#This Row],[Conversion]])</f>
        <v/>
      </c>
      <c r="K8282" s="45" t="str">
        <f>IF(Table2[[#This Row],[Description]]="","",DATE(Table2[[#This Row],[Year]],Table2[[#This Row],[Month]],1))</f>
        <v/>
      </c>
    </row>
    <row r="8283" spans="7:11" x14ac:dyDescent="0.25">
      <c r="G8283" s="1" t="str">
        <f>IF(Table2[[#This Row],[Description]]="","",VLOOKUP(Table2[[#This Row],[Description]],$Q$1:$S$101,2,FALSE))</f>
        <v/>
      </c>
      <c r="H8283" s="1" t="str">
        <f>IF(Table2[[#This Row],[Description]]="","",VLOOKUP(Table2[[#This Row],[Description]],$Q$1:$S$101,3,FALSE))</f>
        <v/>
      </c>
      <c r="I8283" s="1" t="str">
        <f>IF(Table2[[#This Row],[Description]]="","",IF(Table2[[#This Row],[Currency]]=$O$2,$P$2,HLOOKUP(Table2[[#This Row],[Date]],Funds!$C$10:$GV$11,2,FALSE)))</f>
        <v/>
      </c>
      <c r="J8283" s="215" t="str">
        <f>IF(Table2[[#This Row],[Description]]="","",Table2[[#This Row],[Value]]/Table2[[#This Row],[Conversion]])</f>
        <v/>
      </c>
      <c r="K8283" s="45" t="str">
        <f>IF(Table2[[#This Row],[Description]]="","",DATE(Table2[[#This Row],[Year]],Table2[[#This Row],[Month]],1))</f>
        <v/>
      </c>
    </row>
    <row r="8284" spans="7:11" x14ac:dyDescent="0.25">
      <c r="G8284" s="1" t="str">
        <f>IF(Table2[[#This Row],[Description]]="","",VLOOKUP(Table2[[#This Row],[Description]],$Q$1:$S$101,2,FALSE))</f>
        <v/>
      </c>
      <c r="H8284" s="1" t="str">
        <f>IF(Table2[[#This Row],[Description]]="","",VLOOKUP(Table2[[#This Row],[Description]],$Q$1:$S$101,3,FALSE))</f>
        <v/>
      </c>
      <c r="I8284" s="1" t="str">
        <f>IF(Table2[[#This Row],[Description]]="","",IF(Table2[[#This Row],[Currency]]=$O$2,$P$2,HLOOKUP(Table2[[#This Row],[Date]],Funds!$C$10:$GV$11,2,FALSE)))</f>
        <v/>
      </c>
      <c r="J8284" s="215" t="str">
        <f>IF(Table2[[#This Row],[Description]]="","",Table2[[#This Row],[Value]]/Table2[[#This Row],[Conversion]])</f>
        <v/>
      </c>
      <c r="K8284" s="45" t="str">
        <f>IF(Table2[[#This Row],[Description]]="","",DATE(Table2[[#This Row],[Year]],Table2[[#This Row],[Month]],1))</f>
        <v/>
      </c>
    </row>
    <row r="8285" spans="7:11" x14ac:dyDescent="0.25">
      <c r="G8285" s="1" t="str">
        <f>IF(Table2[[#This Row],[Description]]="","",VLOOKUP(Table2[[#This Row],[Description]],$Q$1:$S$101,2,FALSE))</f>
        <v/>
      </c>
      <c r="H8285" s="1" t="str">
        <f>IF(Table2[[#This Row],[Description]]="","",VLOOKUP(Table2[[#This Row],[Description]],$Q$1:$S$101,3,FALSE))</f>
        <v/>
      </c>
      <c r="I8285" s="1" t="str">
        <f>IF(Table2[[#This Row],[Description]]="","",IF(Table2[[#This Row],[Currency]]=$O$2,$P$2,HLOOKUP(Table2[[#This Row],[Date]],Funds!$C$10:$GV$11,2,FALSE)))</f>
        <v/>
      </c>
      <c r="J8285" s="215" t="str">
        <f>IF(Table2[[#This Row],[Description]]="","",Table2[[#This Row],[Value]]/Table2[[#This Row],[Conversion]])</f>
        <v/>
      </c>
      <c r="K8285" s="45" t="str">
        <f>IF(Table2[[#This Row],[Description]]="","",DATE(Table2[[#This Row],[Year]],Table2[[#This Row],[Month]],1))</f>
        <v/>
      </c>
    </row>
    <row r="8286" spans="7:11" x14ac:dyDescent="0.25">
      <c r="G8286" s="1" t="str">
        <f>IF(Table2[[#This Row],[Description]]="","",VLOOKUP(Table2[[#This Row],[Description]],$Q$1:$S$101,2,FALSE))</f>
        <v/>
      </c>
      <c r="H8286" s="1" t="str">
        <f>IF(Table2[[#This Row],[Description]]="","",VLOOKUP(Table2[[#This Row],[Description]],$Q$1:$S$101,3,FALSE))</f>
        <v/>
      </c>
      <c r="I8286" s="1" t="str">
        <f>IF(Table2[[#This Row],[Description]]="","",IF(Table2[[#This Row],[Currency]]=$O$2,$P$2,HLOOKUP(Table2[[#This Row],[Date]],Funds!$C$10:$GV$11,2,FALSE)))</f>
        <v/>
      </c>
      <c r="J8286" s="215" t="str">
        <f>IF(Table2[[#This Row],[Description]]="","",Table2[[#This Row],[Value]]/Table2[[#This Row],[Conversion]])</f>
        <v/>
      </c>
      <c r="K8286" s="45" t="str">
        <f>IF(Table2[[#This Row],[Description]]="","",DATE(Table2[[#This Row],[Year]],Table2[[#This Row],[Month]],1))</f>
        <v/>
      </c>
    </row>
    <row r="8287" spans="7:11" x14ac:dyDescent="0.25">
      <c r="G8287" s="1" t="str">
        <f>IF(Table2[[#This Row],[Description]]="","",VLOOKUP(Table2[[#This Row],[Description]],$Q$1:$S$101,2,FALSE))</f>
        <v/>
      </c>
      <c r="H8287" s="1" t="str">
        <f>IF(Table2[[#This Row],[Description]]="","",VLOOKUP(Table2[[#This Row],[Description]],$Q$1:$S$101,3,FALSE))</f>
        <v/>
      </c>
      <c r="I8287" s="1" t="str">
        <f>IF(Table2[[#This Row],[Description]]="","",IF(Table2[[#This Row],[Currency]]=$O$2,$P$2,HLOOKUP(Table2[[#This Row],[Date]],Funds!$C$10:$GV$11,2,FALSE)))</f>
        <v/>
      </c>
      <c r="J8287" s="215" t="str">
        <f>IF(Table2[[#This Row],[Description]]="","",Table2[[#This Row],[Value]]/Table2[[#This Row],[Conversion]])</f>
        <v/>
      </c>
      <c r="K8287" s="45" t="str">
        <f>IF(Table2[[#This Row],[Description]]="","",DATE(Table2[[#This Row],[Year]],Table2[[#This Row],[Month]],1))</f>
        <v/>
      </c>
    </row>
    <row r="8288" spans="7:11" x14ac:dyDescent="0.25">
      <c r="G8288" s="1" t="str">
        <f>IF(Table2[[#This Row],[Description]]="","",VLOOKUP(Table2[[#This Row],[Description]],$Q$1:$S$101,2,FALSE))</f>
        <v/>
      </c>
      <c r="H8288" s="1" t="str">
        <f>IF(Table2[[#This Row],[Description]]="","",VLOOKUP(Table2[[#This Row],[Description]],$Q$1:$S$101,3,FALSE))</f>
        <v/>
      </c>
      <c r="I8288" s="1" t="str">
        <f>IF(Table2[[#This Row],[Description]]="","",IF(Table2[[#This Row],[Currency]]=$O$2,$P$2,HLOOKUP(Table2[[#This Row],[Date]],Funds!$C$10:$GV$11,2,FALSE)))</f>
        <v/>
      </c>
      <c r="J8288" s="215" t="str">
        <f>IF(Table2[[#This Row],[Description]]="","",Table2[[#This Row],[Value]]/Table2[[#This Row],[Conversion]])</f>
        <v/>
      </c>
      <c r="K8288" s="45" t="str">
        <f>IF(Table2[[#This Row],[Description]]="","",DATE(Table2[[#This Row],[Year]],Table2[[#This Row],[Month]],1))</f>
        <v/>
      </c>
    </row>
    <row r="8289" spans="7:11" x14ac:dyDescent="0.25">
      <c r="G8289" s="1" t="str">
        <f>IF(Table2[[#This Row],[Description]]="","",VLOOKUP(Table2[[#This Row],[Description]],$Q$1:$S$101,2,FALSE))</f>
        <v/>
      </c>
      <c r="H8289" s="1" t="str">
        <f>IF(Table2[[#This Row],[Description]]="","",VLOOKUP(Table2[[#This Row],[Description]],$Q$1:$S$101,3,FALSE))</f>
        <v/>
      </c>
      <c r="I8289" s="1" t="str">
        <f>IF(Table2[[#This Row],[Description]]="","",IF(Table2[[#This Row],[Currency]]=$O$2,$P$2,HLOOKUP(Table2[[#This Row],[Date]],Funds!$C$10:$GV$11,2,FALSE)))</f>
        <v/>
      </c>
      <c r="J8289" s="215" t="str">
        <f>IF(Table2[[#This Row],[Description]]="","",Table2[[#This Row],[Value]]/Table2[[#This Row],[Conversion]])</f>
        <v/>
      </c>
      <c r="K8289" s="45" t="str">
        <f>IF(Table2[[#This Row],[Description]]="","",DATE(Table2[[#This Row],[Year]],Table2[[#This Row],[Month]],1))</f>
        <v/>
      </c>
    </row>
    <row r="8290" spans="7:11" x14ac:dyDescent="0.25">
      <c r="G8290" s="1" t="str">
        <f>IF(Table2[[#This Row],[Description]]="","",VLOOKUP(Table2[[#This Row],[Description]],$Q$1:$S$101,2,FALSE))</f>
        <v/>
      </c>
      <c r="H8290" s="1" t="str">
        <f>IF(Table2[[#This Row],[Description]]="","",VLOOKUP(Table2[[#This Row],[Description]],$Q$1:$S$101,3,FALSE))</f>
        <v/>
      </c>
      <c r="I8290" s="1" t="str">
        <f>IF(Table2[[#This Row],[Description]]="","",IF(Table2[[#This Row],[Currency]]=$O$2,$P$2,HLOOKUP(Table2[[#This Row],[Date]],Funds!$C$10:$GV$11,2,FALSE)))</f>
        <v/>
      </c>
      <c r="J8290" s="215" t="str">
        <f>IF(Table2[[#This Row],[Description]]="","",Table2[[#This Row],[Value]]/Table2[[#This Row],[Conversion]])</f>
        <v/>
      </c>
      <c r="K8290" s="45" t="str">
        <f>IF(Table2[[#This Row],[Description]]="","",DATE(Table2[[#This Row],[Year]],Table2[[#This Row],[Month]],1))</f>
        <v/>
      </c>
    </row>
    <row r="8291" spans="7:11" x14ac:dyDescent="0.25">
      <c r="G8291" s="1" t="str">
        <f>IF(Table2[[#This Row],[Description]]="","",VLOOKUP(Table2[[#This Row],[Description]],$Q$1:$S$101,2,FALSE))</f>
        <v/>
      </c>
      <c r="H8291" s="1" t="str">
        <f>IF(Table2[[#This Row],[Description]]="","",VLOOKUP(Table2[[#This Row],[Description]],$Q$1:$S$101,3,FALSE))</f>
        <v/>
      </c>
      <c r="I8291" s="1" t="str">
        <f>IF(Table2[[#This Row],[Description]]="","",IF(Table2[[#This Row],[Currency]]=$O$2,$P$2,HLOOKUP(Table2[[#This Row],[Date]],Funds!$C$10:$GV$11,2,FALSE)))</f>
        <v/>
      </c>
      <c r="J8291" s="215" t="str">
        <f>IF(Table2[[#This Row],[Description]]="","",Table2[[#This Row],[Value]]/Table2[[#This Row],[Conversion]])</f>
        <v/>
      </c>
      <c r="K8291" s="45" t="str">
        <f>IF(Table2[[#This Row],[Description]]="","",DATE(Table2[[#This Row],[Year]],Table2[[#This Row],[Month]],1))</f>
        <v/>
      </c>
    </row>
    <row r="8292" spans="7:11" x14ac:dyDescent="0.25">
      <c r="G8292" s="1" t="str">
        <f>IF(Table2[[#This Row],[Description]]="","",VLOOKUP(Table2[[#This Row],[Description]],$Q$1:$S$101,2,FALSE))</f>
        <v/>
      </c>
      <c r="H8292" s="1" t="str">
        <f>IF(Table2[[#This Row],[Description]]="","",VLOOKUP(Table2[[#This Row],[Description]],$Q$1:$S$101,3,FALSE))</f>
        <v/>
      </c>
      <c r="I8292" s="1" t="str">
        <f>IF(Table2[[#This Row],[Description]]="","",IF(Table2[[#This Row],[Currency]]=$O$2,$P$2,HLOOKUP(Table2[[#This Row],[Date]],Funds!$C$10:$GV$11,2,FALSE)))</f>
        <v/>
      </c>
      <c r="J8292" s="215" t="str">
        <f>IF(Table2[[#This Row],[Description]]="","",Table2[[#This Row],[Value]]/Table2[[#This Row],[Conversion]])</f>
        <v/>
      </c>
      <c r="K8292" s="45" t="str">
        <f>IF(Table2[[#This Row],[Description]]="","",DATE(Table2[[#This Row],[Year]],Table2[[#This Row],[Month]],1))</f>
        <v/>
      </c>
    </row>
    <row r="8293" spans="7:11" x14ac:dyDescent="0.25">
      <c r="G8293" s="1" t="str">
        <f>IF(Table2[[#This Row],[Description]]="","",VLOOKUP(Table2[[#This Row],[Description]],$Q$1:$S$101,2,FALSE))</f>
        <v/>
      </c>
      <c r="H8293" s="1" t="str">
        <f>IF(Table2[[#This Row],[Description]]="","",VLOOKUP(Table2[[#This Row],[Description]],$Q$1:$S$101,3,FALSE))</f>
        <v/>
      </c>
      <c r="I8293" s="1" t="str">
        <f>IF(Table2[[#This Row],[Description]]="","",IF(Table2[[#This Row],[Currency]]=$O$2,$P$2,HLOOKUP(Table2[[#This Row],[Date]],Funds!$C$10:$GV$11,2,FALSE)))</f>
        <v/>
      </c>
      <c r="J8293" s="215" t="str">
        <f>IF(Table2[[#This Row],[Description]]="","",Table2[[#This Row],[Value]]/Table2[[#This Row],[Conversion]])</f>
        <v/>
      </c>
      <c r="K8293" s="45" t="str">
        <f>IF(Table2[[#This Row],[Description]]="","",DATE(Table2[[#This Row],[Year]],Table2[[#This Row],[Month]],1))</f>
        <v/>
      </c>
    </row>
    <row r="8294" spans="7:11" x14ac:dyDescent="0.25">
      <c r="G8294" s="1" t="str">
        <f>IF(Table2[[#This Row],[Description]]="","",VLOOKUP(Table2[[#This Row],[Description]],$Q$1:$S$101,2,FALSE))</f>
        <v/>
      </c>
      <c r="H8294" s="1" t="str">
        <f>IF(Table2[[#This Row],[Description]]="","",VLOOKUP(Table2[[#This Row],[Description]],$Q$1:$S$101,3,FALSE))</f>
        <v/>
      </c>
      <c r="I8294" s="1" t="str">
        <f>IF(Table2[[#This Row],[Description]]="","",IF(Table2[[#This Row],[Currency]]=$O$2,$P$2,HLOOKUP(Table2[[#This Row],[Date]],Funds!$C$10:$GV$11,2,FALSE)))</f>
        <v/>
      </c>
      <c r="J8294" s="215" t="str">
        <f>IF(Table2[[#This Row],[Description]]="","",Table2[[#This Row],[Value]]/Table2[[#This Row],[Conversion]])</f>
        <v/>
      </c>
      <c r="K8294" s="45" t="str">
        <f>IF(Table2[[#This Row],[Description]]="","",DATE(Table2[[#This Row],[Year]],Table2[[#This Row],[Month]],1))</f>
        <v/>
      </c>
    </row>
    <row r="8295" spans="7:11" x14ac:dyDescent="0.25">
      <c r="G8295" s="1" t="str">
        <f>IF(Table2[[#This Row],[Description]]="","",VLOOKUP(Table2[[#This Row],[Description]],$Q$1:$S$101,2,FALSE))</f>
        <v/>
      </c>
      <c r="H8295" s="1" t="str">
        <f>IF(Table2[[#This Row],[Description]]="","",VLOOKUP(Table2[[#This Row],[Description]],$Q$1:$S$101,3,FALSE))</f>
        <v/>
      </c>
      <c r="I8295" s="1" t="str">
        <f>IF(Table2[[#This Row],[Description]]="","",IF(Table2[[#This Row],[Currency]]=$O$2,$P$2,HLOOKUP(Table2[[#This Row],[Date]],Funds!$C$10:$GV$11,2,FALSE)))</f>
        <v/>
      </c>
      <c r="J8295" s="215" t="str">
        <f>IF(Table2[[#This Row],[Description]]="","",Table2[[#This Row],[Value]]/Table2[[#This Row],[Conversion]])</f>
        <v/>
      </c>
      <c r="K8295" s="45" t="str">
        <f>IF(Table2[[#This Row],[Description]]="","",DATE(Table2[[#This Row],[Year]],Table2[[#This Row],[Month]],1))</f>
        <v/>
      </c>
    </row>
    <row r="8296" spans="7:11" x14ac:dyDescent="0.25">
      <c r="G8296" s="1" t="str">
        <f>IF(Table2[[#This Row],[Description]]="","",VLOOKUP(Table2[[#This Row],[Description]],$Q$1:$S$101,2,FALSE))</f>
        <v/>
      </c>
      <c r="H8296" s="1" t="str">
        <f>IF(Table2[[#This Row],[Description]]="","",VLOOKUP(Table2[[#This Row],[Description]],$Q$1:$S$101,3,FALSE))</f>
        <v/>
      </c>
      <c r="I8296" s="1" t="str">
        <f>IF(Table2[[#This Row],[Description]]="","",IF(Table2[[#This Row],[Currency]]=$O$2,$P$2,HLOOKUP(Table2[[#This Row],[Date]],Funds!$C$10:$GV$11,2,FALSE)))</f>
        <v/>
      </c>
      <c r="J8296" s="215" t="str">
        <f>IF(Table2[[#This Row],[Description]]="","",Table2[[#This Row],[Value]]/Table2[[#This Row],[Conversion]])</f>
        <v/>
      </c>
      <c r="K8296" s="45" t="str">
        <f>IF(Table2[[#This Row],[Description]]="","",DATE(Table2[[#This Row],[Year]],Table2[[#This Row],[Month]],1))</f>
        <v/>
      </c>
    </row>
    <row r="8297" spans="7:11" x14ac:dyDescent="0.25">
      <c r="G8297" s="1" t="str">
        <f>IF(Table2[[#This Row],[Description]]="","",VLOOKUP(Table2[[#This Row],[Description]],$Q$1:$S$101,2,FALSE))</f>
        <v/>
      </c>
      <c r="H8297" s="1" t="str">
        <f>IF(Table2[[#This Row],[Description]]="","",VLOOKUP(Table2[[#This Row],[Description]],$Q$1:$S$101,3,FALSE))</f>
        <v/>
      </c>
      <c r="I8297" s="1" t="str">
        <f>IF(Table2[[#This Row],[Description]]="","",IF(Table2[[#This Row],[Currency]]=$O$2,$P$2,HLOOKUP(Table2[[#This Row],[Date]],Funds!$C$10:$GV$11,2,FALSE)))</f>
        <v/>
      </c>
      <c r="J8297" s="215" t="str">
        <f>IF(Table2[[#This Row],[Description]]="","",Table2[[#This Row],[Value]]/Table2[[#This Row],[Conversion]])</f>
        <v/>
      </c>
      <c r="K8297" s="45" t="str">
        <f>IF(Table2[[#This Row],[Description]]="","",DATE(Table2[[#This Row],[Year]],Table2[[#This Row],[Month]],1))</f>
        <v/>
      </c>
    </row>
    <row r="8298" spans="7:11" x14ac:dyDescent="0.25">
      <c r="G8298" s="1" t="str">
        <f>IF(Table2[[#This Row],[Description]]="","",VLOOKUP(Table2[[#This Row],[Description]],$Q$1:$S$101,2,FALSE))</f>
        <v/>
      </c>
      <c r="H8298" s="1" t="str">
        <f>IF(Table2[[#This Row],[Description]]="","",VLOOKUP(Table2[[#This Row],[Description]],$Q$1:$S$101,3,FALSE))</f>
        <v/>
      </c>
      <c r="I8298" s="1" t="str">
        <f>IF(Table2[[#This Row],[Description]]="","",IF(Table2[[#This Row],[Currency]]=$O$2,$P$2,HLOOKUP(Table2[[#This Row],[Date]],Funds!$C$10:$GV$11,2,FALSE)))</f>
        <v/>
      </c>
      <c r="J8298" s="215" t="str">
        <f>IF(Table2[[#This Row],[Description]]="","",Table2[[#This Row],[Value]]/Table2[[#This Row],[Conversion]])</f>
        <v/>
      </c>
      <c r="K8298" s="45" t="str">
        <f>IF(Table2[[#This Row],[Description]]="","",DATE(Table2[[#This Row],[Year]],Table2[[#This Row],[Month]],1))</f>
        <v/>
      </c>
    </row>
    <row r="8299" spans="7:11" x14ac:dyDescent="0.25">
      <c r="G8299" s="1" t="str">
        <f>IF(Table2[[#This Row],[Description]]="","",VLOOKUP(Table2[[#This Row],[Description]],$Q$1:$S$101,2,FALSE))</f>
        <v/>
      </c>
      <c r="H8299" s="1" t="str">
        <f>IF(Table2[[#This Row],[Description]]="","",VLOOKUP(Table2[[#This Row],[Description]],$Q$1:$S$101,3,FALSE))</f>
        <v/>
      </c>
      <c r="I8299" s="1" t="str">
        <f>IF(Table2[[#This Row],[Description]]="","",IF(Table2[[#This Row],[Currency]]=$O$2,$P$2,HLOOKUP(Table2[[#This Row],[Date]],Funds!$C$10:$GV$11,2,FALSE)))</f>
        <v/>
      </c>
      <c r="J8299" s="215" t="str">
        <f>IF(Table2[[#This Row],[Description]]="","",Table2[[#This Row],[Value]]/Table2[[#This Row],[Conversion]])</f>
        <v/>
      </c>
      <c r="K8299" s="45" t="str">
        <f>IF(Table2[[#This Row],[Description]]="","",DATE(Table2[[#This Row],[Year]],Table2[[#This Row],[Month]],1))</f>
        <v/>
      </c>
    </row>
    <row r="8300" spans="7:11" x14ac:dyDescent="0.25">
      <c r="G8300" s="1" t="str">
        <f>IF(Table2[[#This Row],[Description]]="","",VLOOKUP(Table2[[#This Row],[Description]],$Q$1:$S$101,2,FALSE))</f>
        <v/>
      </c>
      <c r="H8300" s="1" t="str">
        <f>IF(Table2[[#This Row],[Description]]="","",VLOOKUP(Table2[[#This Row],[Description]],$Q$1:$S$101,3,FALSE))</f>
        <v/>
      </c>
      <c r="I8300" s="1" t="str">
        <f>IF(Table2[[#This Row],[Description]]="","",IF(Table2[[#This Row],[Currency]]=$O$2,$P$2,HLOOKUP(Table2[[#This Row],[Date]],Funds!$C$10:$GV$11,2,FALSE)))</f>
        <v/>
      </c>
      <c r="J8300" s="215" t="str">
        <f>IF(Table2[[#This Row],[Description]]="","",Table2[[#This Row],[Value]]/Table2[[#This Row],[Conversion]])</f>
        <v/>
      </c>
      <c r="K8300" s="45" t="str">
        <f>IF(Table2[[#This Row],[Description]]="","",DATE(Table2[[#This Row],[Year]],Table2[[#This Row],[Month]],1))</f>
        <v/>
      </c>
    </row>
    <row r="8301" spans="7:11" x14ac:dyDescent="0.25">
      <c r="G8301" s="1" t="str">
        <f>IF(Table2[[#This Row],[Description]]="","",VLOOKUP(Table2[[#This Row],[Description]],$Q$1:$S$101,2,FALSE))</f>
        <v/>
      </c>
      <c r="H8301" s="1" t="str">
        <f>IF(Table2[[#This Row],[Description]]="","",VLOOKUP(Table2[[#This Row],[Description]],$Q$1:$S$101,3,FALSE))</f>
        <v/>
      </c>
      <c r="I8301" s="1" t="str">
        <f>IF(Table2[[#This Row],[Description]]="","",IF(Table2[[#This Row],[Currency]]=$O$2,$P$2,HLOOKUP(Table2[[#This Row],[Date]],Funds!$C$10:$GV$11,2,FALSE)))</f>
        <v/>
      </c>
      <c r="J8301" s="215" t="str">
        <f>IF(Table2[[#This Row],[Description]]="","",Table2[[#This Row],[Value]]/Table2[[#This Row],[Conversion]])</f>
        <v/>
      </c>
      <c r="K8301" s="45" t="str">
        <f>IF(Table2[[#This Row],[Description]]="","",DATE(Table2[[#This Row],[Year]],Table2[[#This Row],[Month]],1))</f>
        <v/>
      </c>
    </row>
    <row r="8302" spans="7:11" x14ac:dyDescent="0.25">
      <c r="G8302" s="1" t="str">
        <f>IF(Table2[[#This Row],[Description]]="","",VLOOKUP(Table2[[#This Row],[Description]],$Q$1:$S$101,2,FALSE))</f>
        <v/>
      </c>
      <c r="H8302" s="1" t="str">
        <f>IF(Table2[[#This Row],[Description]]="","",VLOOKUP(Table2[[#This Row],[Description]],$Q$1:$S$101,3,FALSE))</f>
        <v/>
      </c>
      <c r="I8302" s="1" t="str">
        <f>IF(Table2[[#This Row],[Description]]="","",IF(Table2[[#This Row],[Currency]]=$O$2,$P$2,HLOOKUP(Table2[[#This Row],[Date]],Funds!$C$10:$GV$11,2,FALSE)))</f>
        <v/>
      </c>
      <c r="J8302" s="215" t="str">
        <f>IF(Table2[[#This Row],[Description]]="","",Table2[[#This Row],[Value]]/Table2[[#This Row],[Conversion]])</f>
        <v/>
      </c>
      <c r="K8302" s="45" t="str">
        <f>IF(Table2[[#This Row],[Description]]="","",DATE(Table2[[#This Row],[Year]],Table2[[#This Row],[Month]],1))</f>
        <v/>
      </c>
    </row>
    <row r="8303" spans="7:11" x14ac:dyDescent="0.25">
      <c r="G8303" s="1" t="str">
        <f>IF(Table2[[#This Row],[Description]]="","",VLOOKUP(Table2[[#This Row],[Description]],$Q$1:$S$101,2,FALSE))</f>
        <v/>
      </c>
      <c r="H8303" s="1" t="str">
        <f>IF(Table2[[#This Row],[Description]]="","",VLOOKUP(Table2[[#This Row],[Description]],$Q$1:$S$101,3,FALSE))</f>
        <v/>
      </c>
      <c r="I8303" s="1" t="str">
        <f>IF(Table2[[#This Row],[Description]]="","",IF(Table2[[#This Row],[Currency]]=$O$2,$P$2,HLOOKUP(Table2[[#This Row],[Date]],Funds!$C$10:$GV$11,2,FALSE)))</f>
        <v/>
      </c>
      <c r="J8303" s="215" t="str">
        <f>IF(Table2[[#This Row],[Description]]="","",Table2[[#This Row],[Value]]/Table2[[#This Row],[Conversion]])</f>
        <v/>
      </c>
      <c r="K8303" s="45" t="str">
        <f>IF(Table2[[#This Row],[Description]]="","",DATE(Table2[[#This Row],[Year]],Table2[[#This Row],[Month]],1))</f>
        <v/>
      </c>
    </row>
    <row r="8304" spans="7:11" x14ac:dyDescent="0.25">
      <c r="G8304" s="1" t="str">
        <f>IF(Table2[[#This Row],[Description]]="","",VLOOKUP(Table2[[#This Row],[Description]],$Q$1:$S$101,2,FALSE))</f>
        <v/>
      </c>
      <c r="H8304" s="1" t="str">
        <f>IF(Table2[[#This Row],[Description]]="","",VLOOKUP(Table2[[#This Row],[Description]],$Q$1:$S$101,3,FALSE))</f>
        <v/>
      </c>
      <c r="I8304" s="1" t="str">
        <f>IF(Table2[[#This Row],[Description]]="","",IF(Table2[[#This Row],[Currency]]=$O$2,$P$2,HLOOKUP(Table2[[#This Row],[Date]],Funds!$C$10:$GV$11,2,FALSE)))</f>
        <v/>
      </c>
      <c r="J8304" s="215" t="str">
        <f>IF(Table2[[#This Row],[Description]]="","",Table2[[#This Row],[Value]]/Table2[[#This Row],[Conversion]])</f>
        <v/>
      </c>
      <c r="K8304" s="45" t="str">
        <f>IF(Table2[[#This Row],[Description]]="","",DATE(Table2[[#This Row],[Year]],Table2[[#This Row],[Month]],1))</f>
        <v/>
      </c>
    </row>
    <row r="8305" spans="7:11" x14ac:dyDescent="0.25">
      <c r="G8305" s="1" t="str">
        <f>IF(Table2[[#This Row],[Description]]="","",VLOOKUP(Table2[[#This Row],[Description]],$Q$1:$S$101,2,FALSE))</f>
        <v/>
      </c>
      <c r="H8305" s="1" t="str">
        <f>IF(Table2[[#This Row],[Description]]="","",VLOOKUP(Table2[[#This Row],[Description]],$Q$1:$S$101,3,FALSE))</f>
        <v/>
      </c>
      <c r="I8305" s="1" t="str">
        <f>IF(Table2[[#This Row],[Description]]="","",IF(Table2[[#This Row],[Currency]]=$O$2,$P$2,HLOOKUP(Table2[[#This Row],[Date]],Funds!$C$10:$GV$11,2,FALSE)))</f>
        <v/>
      </c>
      <c r="J8305" s="215" t="str">
        <f>IF(Table2[[#This Row],[Description]]="","",Table2[[#This Row],[Value]]/Table2[[#This Row],[Conversion]])</f>
        <v/>
      </c>
      <c r="K8305" s="45" t="str">
        <f>IF(Table2[[#This Row],[Description]]="","",DATE(Table2[[#This Row],[Year]],Table2[[#This Row],[Month]],1))</f>
        <v/>
      </c>
    </row>
    <row r="8306" spans="7:11" x14ac:dyDescent="0.25">
      <c r="G8306" s="1" t="str">
        <f>IF(Table2[[#This Row],[Description]]="","",VLOOKUP(Table2[[#This Row],[Description]],$Q$1:$S$101,2,FALSE))</f>
        <v/>
      </c>
      <c r="H8306" s="1" t="str">
        <f>IF(Table2[[#This Row],[Description]]="","",VLOOKUP(Table2[[#This Row],[Description]],$Q$1:$S$101,3,FALSE))</f>
        <v/>
      </c>
      <c r="I8306" s="1" t="str">
        <f>IF(Table2[[#This Row],[Description]]="","",IF(Table2[[#This Row],[Currency]]=$O$2,$P$2,HLOOKUP(Table2[[#This Row],[Date]],Funds!$C$10:$GV$11,2,FALSE)))</f>
        <v/>
      </c>
      <c r="J8306" s="215" t="str">
        <f>IF(Table2[[#This Row],[Description]]="","",Table2[[#This Row],[Value]]/Table2[[#This Row],[Conversion]])</f>
        <v/>
      </c>
      <c r="K8306" s="45" t="str">
        <f>IF(Table2[[#This Row],[Description]]="","",DATE(Table2[[#This Row],[Year]],Table2[[#This Row],[Month]],1))</f>
        <v/>
      </c>
    </row>
    <row r="8307" spans="7:11" x14ac:dyDescent="0.25">
      <c r="G8307" s="1" t="str">
        <f>IF(Table2[[#This Row],[Description]]="","",VLOOKUP(Table2[[#This Row],[Description]],$Q$1:$S$101,2,FALSE))</f>
        <v/>
      </c>
      <c r="H8307" s="1" t="str">
        <f>IF(Table2[[#This Row],[Description]]="","",VLOOKUP(Table2[[#This Row],[Description]],$Q$1:$S$101,3,FALSE))</f>
        <v/>
      </c>
      <c r="I8307" s="1" t="str">
        <f>IF(Table2[[#This Row],[Description]]="","",IF(Table2[[#This Row],[Currency]]=$O$2,$P$2,HLOOKUP(Table2[[#This Row],[Date]],Funds!$C$10:$GV$11,2,FALSE)))</f>
        <v/>
      </c>
      <c r="J8307" s="215" t="str">
        <f>IF(Table2[[#This Row],[Description]]="","",Table2[[#This Row],[Value]]/Table2[[#This Row],[Conversion]])</f>
        <v/>
      </c>
      <c r="K8307" s="45" t="str">
        <f>IF(Table2[[#This Row],[Description]]="","",DATE(Table2[[#This Row],[Year]],Table2[[#This Row],[Month]],1))</f>
        <v/>
      </c>
    </row>
    <row r="8308" spans="7:11" x14ac:dyDescent="0.25">
      <c r="G8308" s="1" t="str">
        <f>IF(Table2[[#This Row],[Description]]="","",VLOOKUP(Table2[[#This Row],[Description]],$Q$1:$S$101,2,FALSE))</f>
        <v/>
      </c>
      <c r="H8308" s="1" t="str">
        <f>IF(Table2[[#This Row],[Description]]="","",VLOOKUP(Table2[[#This Row],[Description]],$Q$1:$S$101,3,FALSE))</f>
        <v/>
      </c>
      <c r="I8308" s="1" t="str">
        <f>IF(Table2[[#This Row],[Description]]="","",IF(Table2[[#This Row],[Currency]]=$O$2,$P$2,HLOOKUP(Table2[[#This Row],[Date]],Funds!$C$10:$GV$11,2,FALSE)))</f>
        <v/>
      </c>
      <c r="J8308" s="215" t="str">
        <f>IF(Table2[[#This Row],[Description]]="","",Table2[[#This Row],[Value]]/Table2[[#This Row],[Conversion]])</f>
        <v/>
      </c>
      <c r="K8308" s="45" t="str">
        <f>IF(Table2[[#This Row],[Description]]="","",DATE(Table2[[#This Row],[Year]],Table2[[#This Row],[Month]],1))</f>
        <v/>
      </c>
    </row>
    <row r="8309" spans="7:11" x14ac:dyDescent="0.25">
      <c r="G8309" s="1" t="str">
        <f>IF(Table2[[#This Row],[Description]]="","",VLOOKUP(Table2[[#This Row],[Description]],$Q$1:$S$101,2,FALSE))</f>
        <v/>
      </c>
      <c r="H8309" s="1" t="str">
        <f>IF(Table2[[#This Row],[Description]]="","",VLOOKUP(Table2[[#This Row],[Description]],$Q$1:$S$101,3,FALSE))</f>
        <v/>
      </c>
      <c r="I8309" s="1" t="str">
        <f>IF(Table2[[#This Row],[Description]]="","",IF(Table2[[#This Row],[Currency]]=$O$2,$P$2,HLOOKUP(Table2[[#This Row],[Date]],Funds!$C$10:$GV$11,2,FALSE)))</f>
        <v/>
      </c>
      <c r="J8309" s="215" t="str">
        <f>IF(Table2[[#This Row],[Description]]="","",Table2[[#This Row],[Value]]/Table2[[#This Row],[Conversion]])</f>
        <v/>
      </c>
      <c r="K8309" s="45" t="str">
        <f>IF(Table2[[#This Row],[Description]]="","",DATE(Table2[[#This Row],[Year]],Table2[[#This Row],[Month]],1))</f>
        <v/>
      </c>
    </row>
    <row r="8310" spans="7:11" x14ac:dyDescent="0.25">
      <c r="G8310" s="1" t="str">
        <f>IF(Table2[[#This Row],[Description]]="","",VLOOKUP(Table2[[#This Row],[Description]],$Q$1:$S$101,2,FALSE))</f>
        <v/>
      </c>
      <c r="H8310" s="1" t="str">
        <f>IF(Table2[[#This Row],[Description]]="","",VLOOKUP(Table2[[#This Row],[Description]],$Q$1:$S$101,3,FALSE))</f>
        <v/>
      </c>
      <c r="I8310" s="1" t="str">
        <f>IF(Table2[[#This Row],[Description]]="","",IF(Table2[[#This Row],[Currency]]=$O$2,$P$2,HLOOKUP(Table2[[#This Row],[Date]],Funds!$C$10:$GV$11,2,FALSE)))</f>
        <v/>
      </c>
      <c r="J8310" s="215" t="str">
        <f>IF(Table2[[#This Row],[Description]]="","",Table2[[#This Row],[Value]]/Table2[[#This Row],[Conversion]])</f>
        <v/>
      </c>
      <c r="K8310" s="45" t="str">
        <f>IF(Table2[[#This Row],[Description]]="","",DATE(Table2[[#This Row],[Year]],Table2[[#This Row],[Month]],1))</f>
        <v/>
      </c>
    </row>
    <row r="8311" spans="7:11" x14ac:dyDescent="0.25">
      <c r="G8311" s="1" t="str">
        <f>IF(Table2[[#This Row],[Description]]="","",VLOOKUP(Table2[[#This Row],[Description]],$Q$1:$S$101,2,FALSE))</f>
        <v/>
      </c>
      <c r="H8311" s="1" t="str">
        <f>IF(Table2[[#This Row],[Description]]="","",VLOOKUP(Table2[[#This Row],[Description]],$Q$1:$S$101,3,FALSE))</f>
        <v/>
      </c>
      <c r="I8311" s="1" t="str">
        <f>IF(Table2[[#This Row],[Description]]="","",IF(Table2[[#This Row],[Currency]]=$O$2,$P$2,HLOOKUP(Table2[[#This Row],[Date]],Funds!$C$10:$GV$11,2,FALSE)))</f>
        <v/>
      </c>
      <c r="J8311" s="215" t="str">
        <f>IF(Table2[[#This Row],[Description]]="","",Table2[[#This Row],[Value]]/Table2[[#This Row],[Conversion]])</f>
        <v/>
      </c>
      <c r="K8311" s="45" t="str">
        <f>IF(Table2[[#This Row],[Description]]="","",DATE(Table2[[#This Row],[Year]],Table2[[#This Row],[Month]],1))</f>
        <v/>
      </c>
    </row>
    <row r="8312" spans="7:11" x14ac:dyDescent="0.25">
      <c r="G8312" s="1" t="str">
        <f>IF(Table2[[#This Row],[Description]]="","",VLOOKUP(Table2[[#This Row],[Description]],$Q$1:$S$101,2,FALSE))</f>
        <v/>
      </c>
      <c r="H8312" s="1" t="str">
        <f>IF(Table2[[#This Row],[Description]]="","",VLOOKUP(Table2[[#This Row],[Description]],$Q$1:$S$101,3,FALSE))</f>
        <v/>
      </c>
      <c r="I8312" s="1" t="str">
        <f>IF(Table2[[#This Row],[Description]]="","",IF(Table2[[#This Row],[Currency]]=$O$2,$P$2,HLOOKUP(Table2[[#This Row],[Date]],Funds!$C$10:$GV$11,2,FALSE)))</f>
        <v/>
      </c>
      <c r="J8312" s="215" t="str">
        <f>IF(Table2[[#This Row],[Description]]="","",Table2[[#This Row],[Value]]/Table2[[#This Row],[Conversion]])</f>
        <v/>
      </c>
      <c r="K8312" s="45" t="str">
        <f>IF(Table2[[#This Row],[Description]]="","",DATE(Table2[[#This Row],[Year]],Table2[[#This Row],[Month]],1))</f>
        <v/>
      </c>
    </row>
    <row r="8313" spans="7:11" x14ac:dyDescent="0.25">
      <c r="G8313" s="1" t="str">
        <f>IF(Table2[[#This Row],[Description]]="","",VLOOKUP(Table2[[#This Row],[Description]],$Q$1:$S$101,2,FALSE))</f>
        <v/>
      </c>
      <c r="H8313" s="1" t="str">
        <f>IF(Table2[[#This Row],[Description]]="","",VLOOKUP(Table2[[#This Row],[Description]],$Q$1:$S$101,3,FALSE))</f>
        <v/>
      </c>
      <c r="I8313" s="1" t="str">
        <f>IF(Table2[[#This Row],[Description]]="","",IF(Table2[[#This Row],[Currency]]=$O$2,$P$2,HLOOKUP(Table2[[#This Row],[Date]],Funds!$C$10:$GV$11,2,FALSE)))</f>
        <v/>
      </c>
      <c r="J8313" s="215" t="str">
        <f>IF(Table2[[#This Row],[Description]]="","",Table2[[#This Row],[Value]]/Table2[[#This Row],[Conversion]])</f>
        <v/>
      </c>
      <c r="K8313" s="45" t="str">
        <f>IF(Table2[[#This Row],[Description]]="","",DATE(Table2[[#This Row],[Year]],Table2[[#This Row],[Month]],1))</f>
        <v/>
      </c>
    </row>
    <row r="8314" spans="7:11" x14ac:dyDescent="0.25">
      <c r="G8314" s="1" t="str">
        <f>IF(Table2[[#This Row],[Description]]="","",VLOOKUP(Table2[[#This Row],[Description]],$Q$1:$S$101,2,FALSE))</f>
        <v/>
      </c>
      <c r="H8314" s="1" t="str">
        <f>IF(Table2[[#This Row],[Description]]="","",VLOOKUP(Table2[[#This Row],[Description]],$Q$1:$S$101,3,FALSE))</f>
        <v/>
      </c>
      <c r="I8314" s="1" t="str">
        <f>IF(Table2[[#This Row],[Description]]="","",IF(Table2[[#This Row],[Currency]]=$O$2,$P$2,HLOOKUP(Table2[[#This Row],[Date]],Funds!$C$10:$GV$11,2,FALSE)))</f>
        <v/>
      </c>
      <c r="J8314" s="215" t="str">
        <f>IF(Table2[[#This Row],[Description]]="","",Table2[[#This Row],[Value]]/Table2[[#This Row],[Conversion]])</f>
        <v/>
      </c>
      <c r="K8314" s="45" t="str">
        <f>IF(Table2[[#This Row],[Description]]="","",DATE(Table2[[#This Row],[Year]],Table2[[#This Row],[Month]],1))</f>
        <v/>
      </c>
    </row>
    <row r="8315" spans="7:11" x14ac:dyDescent="0.25">
      <c r="G8315" s="1" t="str">
        <f>IF(Table2[[#This Row],[Description]]="","",VLOOKUP(Table2[[#This Row],[Description]],$Q$1:$S$101,2,FALSE))</f>
        <v/>
      </c>
      <c r="H8315" s="1" t="str">
        <f>IF(Table2[[#This Row],[Description]]="","",VLOOKUP(Table2[[#This Row],[Description]],$Q$1:$S$101,3,FALSE))</f>
        <v/>
      </c>
      <c r="I8315" s="1" t="str">
        <f>IF(Table2[[#This Row],[Description]]="","",IF(Table2[[#This Row],[Currency]]=$O$2,$P$2,HLOOKUP(Table2[[#This Row],[Date]],Funds!$C$10:$GV$11,2,FALSE)))</f>
        <v/>
      </c>
      <c r="J8315" s="215" t="str">
        <f>IF(Table2[[#This Row],[Description]]="","",Table2[[#This Row],[Value]]/Table2[[#This Row],[Conversion]])</f>
        <v/>
      </c>
      <c r="K8315" s="45" t="str">
        <f>IF(Table2[[#This Row],[Description]]="","",DATE(Table2[[#This Row],[Year]],Table2[[#This Row],[Month]],1))</f>
        <v/>
      </c>
    </row>
    <row r="8316" spans="7:11" x14ac:dyDescent="0.25">
      <c r="G8316" s="1" t="str">
        <f>IF(Table2[[#This Row],[Description]]="","",VLOOKUP(Table2[[#This Row],[Description]],$Q$1:$S$101,2,FALSE))</f>
        <v/>
      </c>
      <c r="H8316" s="1" t="str">
        <f>IF(Table2[[#This Row],[Description]]="","",VLOOKUP(Table2[[#This Row],[Description]],$Q$1:$S$101,3,FALSE))</f>
        <v/>
      </c>
      <c r="I8316" s="1" t="str">
        <f>IF(Table2[[#This Row],[Description]]="","",IF(Table2[[#This Row],[Currency]]=$O$2,$P$2,HLOOKUP(Table2[[#This Row],[Date]],Funds!$C$10:$GV$11,2,FALSE)))</f>
        <v/>
      </c>
      <c r="J8316" s="215" t="str">
        <f>IF(Table2[[#This Row],[Description]]="","",Table2[[#This Row],[Value]]/Table2[[#This Row],[Conversion]])</f>
        <v/>
      </c>
      <c r="K8316" s="45" t="str">
        <f>IF(Table2[[#This Row],[Description]]="","",DATE(Table2[[#This Row],[Year]],Table2[[#This Row],[Month]],1))</f>
        <v/>
      </c>
    </row>
    <row r="8317" spans="7:11" x14ac:dyDescent="0.25">
      <c r="G8317" s="1" t="str">
        <f>IF(Table2[[#This Row],[Description]]="","",VLOOKUP(Table2[[#This Row],[Description]],$Q$1:$S$101,2,FALSE))</f>
        <v/>
      </c>
      <c r="H8317" s="1" t="str">
        <f>IF(Table2[[#This Row],[Description]]="","",VLOOKUP(Table2[[#This Row],[Description]],$Q$1:$S$101,3,FALSE))</f>
        <v/>
      </c>
      <c r="I8317" s="1" t="str">
        <f>IF(Table2[[#This Row],[Description]]="","",IF(Table2[[#This Row],[Currency]]=$O$2,$P$2,HLOOKUP(Table2[[#This Row],[Date]],Funds!$C$10:$GV$11,2,FALSE)))</f>
        <v/>
      </c>
      <c r="J8317" s="215" t="str">
        <f>IF(Table2[[#This Row],[Description]]="","",Table2[[#This Row],[Value]]/Table2[[#This Row],[Conversion]])</f>
        <v/>
      </c>
      <c r="K8317" s="45" t="str">
        <f>IF(Table2[[#This Row],[Description]]="","",DATE(Table2[[#This Row],[Year]],Table2[[#This Row],[Month]],1))</f>
        <v/>
      </c>
    </row>
    <row r="8318" spans="7:11" x14ac:dyDescent="0.25">
      <c r="G8318" s="1" t="str">
        <f>IF(Table2[[#This Row],[Description]]="","",VLOOKUP(Table2[[#This Row],[Description]],$Q$1:$S$101,2,FALSE))</f>
        <v/>
      </c>
      <c r="H8318" s="1" t="str">
        <f>IF(Table2[[#This Row],[Description]]="","",VLOOKUP(Table2[[#This Row],[Description]],$Q$1:$S$101,3,FALSE))</f>
        <v/>
      </c>
      <c r="I8318" s="1" t="str">
        <f>IF(Table2[[#This Row],[Description]]="","",IF(Table2[[#This Row],[Currency]]=$O$2,$P$2,HLOOKUP(Table2[[#This Row],[Date]],Funds!$C$10:$GV$11,2,FALSE)))</f>
        <v/>
      </c>
      <c r="J8318" s="215" t="str">
        <f>IF(Table2[[#This Row],[Description]]="","",Table2[[#This Row],[Value]]/Table2[[#This Row],[Conversion]])</f>
        <v/>
      </c>
      <c r="K8318" s="45" t="str">
        <f>IF(Table2[[#This Row],[Description]]="","",DATE(Table2[[#This Row],[Year]],Table2[[#This Row],[Month]],1))</f>
        <v/>
      </c>
    </row>
    <row r="8319" spans="7:11" x14ac:dyDescent="0.25">
      <c r="G8319" s="1" t="str">
        <f>IF(Table2[[#This Row],[Description]]="","",VLOOKUP(Table2[[#This Row],[Description]],$Q$1:$S$101,2,FALSE))</f>
        <v/>
      </c>
      <c r="H8319" s="1" t="str">
        <f>IF(Table2[[#This Row],[Description]]="","",VLOOKUP(Table2[[#This Row],[Description]],$Q$1:$S$101,3,FALSE))</f>
        <v/>
      </c>
      <c r="I8319" s="1" t="str">
        <f>IF(Table2[[#This Row],[Description]]="","",IF(Table2[[#This Row],[Currency]]=$O$2,$P$2,HLOOKUP(Table2[[#This Row],[Date]],Funds!$C$10:$GV$11,2,FALSE)))</f>
        <v/>
      </c>
      <c r="J8319" s="215" t="str">
        <f>IF(Table2[[#This Row],[Description]]="","",Table2[[#This Row],[Value]]/Table2[[#This Row],[Conversion]])</f>
        <v/>
      </c>
      <c r="K8319" s="45" t="str">
        <f>IF(Table2[[#This Row],[Description]]="","",DATE(Table2[[#This Row],[Year]],Table2[[#This Row],[Month]],1))</f>
        <v/>
      </c>
    </row>
    <row r="8320" spans="7:11" x14ac:dyDescent="0.25">
      <c r="G8320" s="1" t="str">
        <f>IF(Table2[[#This Row],[Description]]="","",VLOOKUP(Table2[[#This Row],[Description]],$Q$1:$S$101,2,FALSE))</f>
        <v/>
      </c>
      <c r="H8320" s="1" t="str">
        <f>IF(Table2[[#This Row],[Description]]="","",VLOOKUP(Table2[[#This Row],[Description]],$Q$1:$S$101,3,FALSE))</f>
        <v/>
      </c>
      <c r="I8320" s="1" t="str">
        <f>IF(Table2[[#This Row],[Description]]="","",IF(Table2[[#This Row],[Currency]]=$O$2,$P$2,HLOOKUP(Table2[[#This Row],[Date]],Funds!$C$10:$GV$11,2,FALSE)))</f>
        <v/>
      </c>
      <c r="J8320" s="215" t="str">
        <f>IF(Table2[[#This Row],[Description]]="","",Table2[[#This Row],[Value]]/Table2[[#This Row],[Conversion]])</f>
        <v/>
      </c>
      <c r="K8320" s="45" t="str">
        <f>IF(Table2[[#This Row],[Description]]="","",DATE(Table2[[#This Row],[Year]],Table2[[#This Row],[Month]],1))</f>
        <v/>
      </c>
    </row>
    <row r="8321" spans="7:11" x14ac:dyDescent="0.25">
      <c r="G8321" s="1" t="str">
        <f>IF(Table2[[#This Row],[Description]]="","",VLOOKUP(Table2[[#This Row],[Description]],$Q$1:$S$101,2,FALSE))</f>
        <v/>
      </c>
      <c r="H8321" s="1" t="str">
        <f>IF(Table2[[#This Row],[Description]]="","",VLOOKUP(Table2[[#This Row],[Description]],$Q$1:$S$101,3,FALSE))</f>
        <v/>
      </c>
      <c r="I8321" s="1" t="str">
        <f>IF(Table2[[#This Row],[Description]]="","",IF(Table2[[#This Row],[Currency]]=$O$2,$P$2,HLOOKUP(Table2[[#This Row],[Date]],Funds!$C$10:$GV$11,2,FALSE)))</f>
        <v/>
      </c>
      <c r="J8321" s="215" t="str">
        <f>IF(Table2[[#This Row],[Description]]="","",Table2[[#This Row],[Value]]/Table2[[#This Row],[Conversion]])</f>
        <v/>
      </c>
      <c r="K8321" s="45" t="str">
        <f>IF(Table2[[#This Row],[Description]]="","",DATE(Table2[[#This Row],[Year]],Table2[[#This Row],[Month]],1))</f>
        <v/>
      </c>
    </row>
    <row r="8322" spans="7:11" x14ac:dyDescent="0.25">
      <c r="G8322" s="1" t="str">
        <f>IF(Table2[[#This Row],[Description]]="","",VLOOKUP(Table2[[#This Row],[Description]],$Q$1:$S$101,2,FALSE))</f>
        <v/>
      </c>
      <c r="H8322" s="1" t="str">
        <f>IF(Table2[[#This Row],[Description]]="","",VLOOKUP(Table2[[#This Row],[Description]],$Q$1:$S$101,3,FALSE))</f>
        <v/>
      </c>
      <c r="I8322" s="1" t="str">
        <f>IF(Table2[[#This Row],[Description]]="","",IF(Table2[[#This Row],[Currency]]=$O$2,$P$2,HLOOKUP(Table2[[#This Row],[Date]],Funds!$C$10:$GV$11,2,FALSE)))</f>
        <v/>
      </c>
      <c r="J8322" s="215" t="str">
        <f>IF(Table2[[#This Row],[Description]]="","",Table2[[#This Row],[Value]]/Table2[[#This Row],[Conversion]])</f>
        <v/>
      </c>
      <c r="K8322" s="45" t="str">
        <f>IF(Table2[[#This Row],[Description]]="","",DATE(Table2[[#This Row],[Year]],Table2[[#This Row],[Month]],1))</f>
        <v/>
      </c>
    </row>
    <row r="8323" spans="7:11" x14ac:dyDescent="0.25">
      <c r="G8323" s="1" t="str">
        <f>IF(Table2[[#This Row],[Description]]="","",VLOOKUP(Table2[[#This Row],[Description]],$Q$1:$S$101,2,FALSE))</f>
        <v/>
      </c>
      <c r="H8323" s="1" t="str">
        <f>IF(Table2[[#This Row],[Description]]="","",VLOOKUP(Table2[[#This Row],[Description]],$Q$1:$S$101,3,FALSE))</f>
        <v/>
      </c>
      <c r="I8323" s="1" t="str">
        <f>IF(Table2[[#This Row],[Description]]="","",IF(Table2[[#This Row],[Currency]]=$O$2,$P$2,HLOOKUP(Table2[[#This Row],[Date]],Funds!$C$10:$GV$11,2,FALSE)))</f>
        <v/>
      </c>
      <c r="J8323" s="215" t="str">
        <f>IF(Table2[[#This Row],[Description]]="","",Table2[[#This Row],[Value]]/Table2[[#This Row],[Conversion]])</f>
        <v/>
      </c>
      <c r="K8323" s="45" t="str">
        <f>IF(Table2[[#This Row],[Description]]="","",DATE(Table2[[#This Row],[Year]],Table2[[#This Row],[Month]],1))</f>
        <v/>
      </c>
    </row>
    <row r="8324" spans="7:11" x14ac:dyDescent="0.25">
      <c r="G8324" s="1" t="str">
        <f>IF(Table2[[#This Row],[Description]]="","",VLOOKUP(Table2[[#This Row],[Description]],$Q$1:$S$101,2,FALSE))</f>
        <v/>
      </c>
      <c r="H8324" s="1" t="str">
        <f>IF(Table2[[#This Row],[Description]]="","",VLOOKUP(Table2[[#This Row],[Description]],$Q$1:$S$101,3,FALSE))</f>
        <v/>
      </c>
      <c r="I8324" s="1" t="str">
        <f>IF(Table2[[#This Row],[Description]]="","",IF(Table2[[#This Row],[Currency]]=$O$2,$P$2,HLOOKUP(Table2[[#This Row],[Date]],Funds!$C$10:$GV$11,2,FALSE)))</f>
        <v/>
      </c>
      <c r="J8324" s="215" t="str">
        <f>IF(Table2[[#This Row],[Description]]="","",Table2[[#This Row],[Value]]/Table2[[#This Row],[Conversion]])</f>
        <v/>
      </c>
      <c r="K8324" s="45" t="str">
        <f>IF(Table2[[#This Row],[Description]]="","",DATE(Table2[[#This Row],[Year]],Table2[[#This Row],[Month]],1))</f>
        <v/>
      </c>
    </row>
    <row r="8325" spans="7:11" x14ac:dyDescent="0.25">
      <c r="G8325" s="1" t="str">
        <f>IF(Table2[[#This Row],[Description]]="","",VLOOKUP(Table2[[#This Row],[Description]],$Q$1:$S$101,2,FALSE))</f>
        <v/>
      </c>
      <c r="H8325" s="1" t="str">
        <f>IF(Table2[[#This Row],[Description]]="","",VLOOKUP(Table2[[#This Row],[Description]],$Q$1:$S$101,3,FALSE))</f>
        <v/>
      </c>
      <c r="I8325" s="1" t="str">
        <f>IF(Table2[[#This Row],[Description]]="","",IF(Table2[[#This Row],[Currency]]=$O$2,$P$2,HLOOKUP(Table2[[#This Row],[Date]],Funds!$C$10:$GV$11,2,FALSE)))</f>
        <v/>
      </c>
      <c r="J8325" s="215" t="str">
        <f>IF(Table2[[#This Row],[Description]]="","",Table2[[#This Row],[Value]]/Table2[[#This Row],[Conversion]])</f>
        <v/>
      </c>
      <c r="K8325" s="45" t="str">
        <f>IF(Table2[[#This Row],[Description]]="","",DATE(Table2[[#This Row],[Year]],Table2[[#This Row],[Month]],1))</f>
        <v/>
      </c>
    </row>
    <row r="8326" spans="7:11" x14ac:dyDescent="0.25">
      <c r="G8326" s="1" t="str">
        <f>IF(Table2[[#This Row],[Description]]="","",VLOOKUP(Table2[[#This Row],[Description]],$Q$1:$S$101,2,FALSE))</f>
        <v/>
      </c>
      <c r="H8326" s="1" t="str">
        <f>IF(Table2[[#This Row],[Description]]="","",VLOOKUP(Table2[[#This Row],[Description]],$Q$1:$S$101,3,FALSE))</f>
        <v/>
      </c>
      <c r="I8326" s="1" t="str">
        <f>IF(Table2[[#This Row],[Description]]="","",IF(Table2[[#This Row],[Currency]]=$O$2,$P$2,HLOOKUP(Table2[[#This Row],[Date]],Funds!$C$10:$GV$11,2,FALSE)))</f>
        <v/>
      </c>
      <c r="J8326" s="215" t="str">
        <f>IF(Table2[[#This Row],[Description]]="","",Table2[[#This Row],[Value]]/Table2[[#This Row],[Conversion]])</f>
        <v/>
      </c>
      <c r="K8326" s="45" t="str">
        <f>IF(Table2[[#This Row],[Description]]="","",DATE(Table2[[#This Row],[Year]],Table2[[#This Row],[Month]],1))</f>
        <v/>
      </c>
    </row>
    <row r="8327" spans="7:11" x14ac:dyDescent="0.25">
      <c r="G8327" s="1" t="str">
        <f>IF(Table2[[#This Row],[Description]]="","",VLOOKUP(Table2[[#This Row],[Description]],$Q$1:$S$101,2,FALSE))</f>
        <v/>
      </c>
      <c r="H8327" s="1" t="str">
        <f>IF(Table2[[#This Row],[Description]]="","",VLOOKUP(Table2[[#This Row],[Description]],$Q$1:$S$101,3,FALSE))</f>
        <v/>
      </c>
      <c r="I8327" s="1" t="str">
        <f>IF(Table2[[#This Row],[Description]]="","",IF(Table2[[#This Row],[Currency]]=$O$2,$P$2,HLOOKUP(Table2[[#This Row],[Date]],Funds!$C$10:$GV$11,2,FALSE)))</f>
        <v/>
      </c>
      <c r="J8327" s="215" t="str">
        <f>IF(Table2[[#This Row],[Description]]="","",Table2[[#This Row],[Value]]/Table2[[#This Row],[Conversion]])</f>
        <v/>
      </c>
      <c r="K8327" s="45" t="str">
        <f>IF(Table2[[#This Row],[Description]]="","",DATE(Table2[[#This Row],[Year]],Table2[[#This Row],[Month]],1))</f>
        <v/>
      </c>
    </row>
    <row r="8328" spans="7:11" x14ac:dyDescent="0.25">
      <c r="G8328" s="1" t="str">
        <f>IF(Table2[[#This Row],[Description]]="","",VLOOKUP(Table2[[#This Row],[Description]],$Q$1:$S$101,2,FALSE))</f>
        <v/>
      </c>
      <c r="H8328" s="1" t="str">
        <f>IF(Table2[[#This Row],[Description]]="","",VLOOKUP(Table2[[#This Row],[Description]],$Q$1:$S$101,3,FALSE))</f>
        <v/>
      </c>
      <c r="I8328" s="1" t="str">
        <f>IF(Table2[[#This Row],[Description]]="","",IF(Table2[[#This Row],[Currency]]=$O$2,$P$2,HLOOKUP(Table2[[#This Row],[Date]],Funds!$C$10:$GV$11,2,FALSE)))</f>
        <v/>
      </c>
      <c r="J8328" s="215" t="str">
        <f>IF(Table2[[#This Row],[Description]]="","",Table2[[#This Row],[Value]]/Table2[[#This Row],[Conversion]])</f>
        <v/>
      </c>
      <c r="K8328" s="45" t="str">
        <f>IF(Table2[[#This Row],[Description]]="","",DATE(Table2[[#This Row],[Year]],Table2[[#This Row],[Month]],1))</f>
        <v/>
      </c>
    </row>
    <row r="8329" spans="7:11" x14ac:dyDescent="0.25">
      <c r="G8329" s="1" t="str">
        <f>IF(Table2[[#This Row],[Description]]="","",VLOOKUP(Table2[[#This Row],[Description]],$Q$1:$S$101,2,FALSE))</f>
        <v/>
      </c>
      <c r="H8329" s="1" t="str">
        <f>IF(Table2[[#This Row],[Description]]="","",VLOOKUP(Table2[[#This Row],[Description]],$Q$1:$S$101,3,FALSE))</f>
        <v/>
      </c>
      <c r="I8329" s="1" t="str">
        <f>IF(Table2[[#This Row],[Description]]="","",IF(Table2[[#This Row],[Currency]]=$O$2,$P$2,HLOOKUP(Table2[[#This Row],[Date]],Funds!$C$10:$GV$11,2,FALSE)))</f>
        <v/>
      </c>
      <c r="J8329" s="215" t="str">
        <f>IF(Table2[[#This Row],[Description]]="","",Table2[[#This Row],[Value]]/Table2[[#This Row],[Conversion]])</f>
        <v/>
      </c>
      <c r="K8329" s="45" t="str">
        <f>IF(Table2[[#This Row],[Description]]="","",DATE(Table2[[#This Row],[Year]],Table2[[#This Row],[Month]],1))</f>
        <v/>
      </c>
    </row>
    <row r="8330" spans="7:11" x14ac:dyDescent="0.25">
      <c r="G8330" s="1" t="str">
        <f>IF(Table2[[#This Row],[Description]]="","",VLOOKUP(Table2[[#This Row],[Description]],$Q$1:$S$101,2,FALSE))</f>
        <v/>
      </c>
      <c r="H8330" s="1" t="str">
        <f>IF(Table2[[#This Row],[Description]]="","",VLOOKUP(Table2[[#This Row],[Description]],$Q$1:$S$101,3,FALSE))</f>
        <v/>
      </c>
      <c r="I8330" s="1" t="str">
        <f>IF(Table2[[#This Row],[Description]]="","",IF(Table2[[#This Row],[Currency]]=$O$2,$P$2,HLOOKUP(Table2[[#This Row],[Date]],Funds!$C$10:$GV$11,2,FALSE)))</f>
        <v/>
      </c>
      <c r="J8330" s="215" t="str">
        <f>IF(Table2[[#This Row],[Description]]="","",Table2[[#This Row],[Value]]/Table2[[#This Row],[Conversion]])</f>
        <v/>
      </c>
      <c r="K8330" s="45" t="str">
        <f>IF(Table2[[#This Row],[Description]]="","",DATE(Table2[[#This Row],[Year]],Table2[[#This Row],[Month]],1))</f>
        <v/>
      </c>
    </row>
    <row r="8331" spans="7:11" x14ac:dyDescent="0.25">
      <c r="G8331" s="1" t="str">
        <f>IF(Table2[[#This Row],[Description]]="","",VLOOKUP(Table2[[#This Row],[Description]],$Q$1:$S$101,2,FALSE))</f>
        <v/>
      </c>
      <c r="H8331" s="1" t="str">
        <f>IF(Table2[[#This Row],[Description]]="","",VLOOKUP(Table2[[#This Row],[Description]],$Q$1:$S$101,3,FALSE))</f>
        <v/>
      </c>
      <c r="I8331" s="1" t="str">
        <f>IF(Table2[[#This Row],[Description]]="","",IF(Table2[[#This Row],[Currency]]=$O$2,$P$2,HLOOKUP(Table2[[#This Row],[Date]],Funds!$C$10:$GV$11,2,FALSE)))</f>
        <v/>
      </c>
      <c r="J8331" s="215" t="str">
        <f>IF(Table2[[#This Row],[Description]]="","",Table2[[#This Row],[Value]]/Table2[[#This Row],[Conversion]])</f>
        <v/>
      </c>
      <c r="K8331" s="45" t="str">
        <f>IF(Table2[[#This Row],[Description]]="","",DATE(Table2[[#This Row],[Year]],Table2[[#This Row],[Month]],1))</f>
        <v/>
      </c>
    </row>
    <row r="8332" spans="7:11" x14ac:dyDescent="0.25">
      <c r="G8332" s="1" t="str">
        <f>IF(Table2[[#This Row],[Description]]="","",VLOOKUP(Table2[[#This Row],[Description]],$Q$1:$S$101,2,FALSE))</f>
        <v/>
      </c>
      <c r="H8332" s="1" t="str">
        <f>IF(Table2[[#This Row],[Description]]="","",VLOOKUP(Table2[[#This Row],[Description]],$Q$1:$S$101,3,FALSE))</f>
        <v/>
      </c>
      <c r="I8332" s="1" t="str">
        <f>IF(Table2[[#This Row],[Description]]="","",IF(Table2[[#This Row],[Currency]]=$O$2,$P$2,HLOOKUP(Table2[[#This Row],[Date]],Funds!$C$10:$GV$11,2,FALSE)))</f>
        <v/>
      </c>
      <c r="J8332" s="215" t="str">
        <f>IF(Table2[[#This Row],[Description]]="","",Table2[[#This Row],[Value]]/Table2[[#This Row],[Conversion]])</f>
        <v/>
      </c>
      <c r="K8332" s="45" t="str">
        <f>IF(Table2[[#This Row],[Description]]="","",DATE(Table2[[#This Row],[Year]],Table2[[#This Row],[Month]],1))</f>
        <v/>
      </c>
    </row>
    <row r="8333" spans="7:11" x14ac:dyDescent="0.25">
      <c r="G8333" s="1" t="str">
        <f>IF(Table2[[#This Row],[Description]]="","",VLOOKUP(Table2[[#This Row],[Description]],$Q$1:$S$101,2,FALSE))</f>
        <v/>
      </c>
      <c r="H8333" s="1" t="str">
        <f>IF(Table2[[#This Row],[Description]]="","",VLOOKUP(Table2[[#This Row],[Description]],$Q$1:$S$101,3,FALSE))</f>
        <v/>
      </c>
      <c r="I8333" s="1" t="str">
        <f>IF(Table2[[#This Row],[Description]]="","",IF(Table2[[#This Row],[Currency]]=$O$2,$P$2,HLOOKUP(Table2[[#This Row],[Date]],Funds!$C$10:$GV$11,2,FALSE)))</f>
        <v/>
      </c>
      <c r="J8333" s="215" t="str">
        <f>IF(Table2[[#This Row],[Description]]="","",Table2[[#This Row],[Value]]/Table2[[#This Row],[Conversion]])</f>
        <v/>
      </c>
      <c r="K8333" s="45" t="str">
        <f>IF(Table2[[#This Row],[Description]]="","",DATE(Table2[[#This Row],[Year]],Table2[[#This Row],[Month]],1))</f>
        <v/>
      </c>
    </row>
    <row r="8334" spans="7:11" x14ac:dyDescent="0.25">
      <c r="G8334" s="1" t="str">
        <f>IF(Table2[[#This Row],[Description]]="","",VLOOKUP(Table2[[#This Row],[Description]],$Q$1:$S$101,2,FALSE))</f>
        <v/>
      </c>
      <c r="H8334" s="1" t="str">
        <f>IF(Table2[[#This Row],[Description]]="","",VLOOKUP(Table2[[#This Row],[Description]],$Q$1:$S$101,3,FALSE))</f>
        <v/>
      </c>
      <c r="I8334" s="1" t="str">
        <f>IF(Table2[[#This Row],[Description]]="","",IF(Table2[[#This Row],[Currency]]=$O$2,$P$2,HLOOKUP(Table2[[#This Row],[Date]],Funds!$C$10:$GV$11,2,FALSE)))</f>
        <v/>
      </c>
      <c r="J8334" s="215" t="str">
        <f>IF(Table2[[#This Row],[Description]]="","",Table2[[#This Row],[Value]]/Table2[[#This Row],[Conversion]])</f>
        <v/>
      </c>
      <c r="K8334" s="45" t="str">
        <f>IF(Table2[[#This Row],[Description]]="","",DATE(Table2[[#This Row],[Year]],Table2[[#This Row],[Month]],1))</f>
        <v/>
      </c>
    </row>
    <row r="8335" spans="7:11" x14ac:dyDescent="0.25">
      <c r="G8335" s="1" t="str">
        <f>IF(Table2[[#This Row],[Description]]="","",VLOOKUP(Table2[[#This Row],[Description]],$Q$1:$S$101,2,FALSE))</f>
        <v/>
      </c>
      <c r="H8335" s="1" t="str">
        <f>IF(Table2[[#This Row],[Description]]="","",VLOOKUP(Table2[[#This Row],[Description]],$Q$1:$S$101,3,FALSE))</f>
        <v/>
      </c>
      <c r="I8335" s="1" t="str">
        <f>IF(Table2[[#This Row],[Description]]="","",IF(Table2[[#This Row],[Currency]]=$O$2,$P$2,HLOOKUP(Table2[[#This Row],[Date]],Funds!$C$10:$GV$11,2,FALSE)))</f>
        <v/>
      </c>
      <c r="J8335" s="215" t="str">
        <f>IF(Table2[[#This Row],[Description]]="","",Table2[[#This Row],[Value]]/Table2[[#This Row],[Conversion]])</f>
        <v/>
      </c>
      <c r="K8335" s="45" t="str">
        <f>IF(Table2[[#This Row],[Description]]="","",DATE(Table2[[#This Row],[Year]],Table2[[#This Row],[Month]],1))</f>
        <v/>
      </c>
    </row>
    <row r="8336" spans="7:11" x14ac:dyDescent="0.25">
      <c r="G8336" s="1" t="str">
        <f>IF(Table2[[#This Row],[Description]]="","",VLOOKUP(Table2[[#This Row],[Description]],$Q$1:$S$101,2,FALSE))</f>
        <v/>
      </c>
      <c r="H8336" s="1" t="str">
        <f>IF(Table2[[#This Row],[Description]]="","",VLOOKUP(Table2[[#This Row],[Description]],$Q$1:$S$101,3,FALSE))</f>
        <v/>
      </c>
      <c r="I8336" s="1" t="str">
        <f>IF(Table2[[#This Row],[Description]]="","",IF(Table2[[#This Row],[Currency]]=$O$2,$P$2,HLOOKUP(Table2[[#This Row],[Date]],Funds!$C$10:$GV$11,2,FALSE)))</f>
        <v/>
      </c>
      <c r="J8336" s="215" t="str">
        <f>IF(Table2[[#This Row],[Description]]="","",Table2[[#This Row],[Value]]/Table2[[#This Row],[Conversion]])</f>
        <v/>
      </c>
      <c r="K8336" s="45" t="str">
        <f>IF(Table2[[#This Row],[Description]]="","",DATE(Table2[[#This Row],[Year]],Table2[[#This Row],[Month]],1))</f>
        <v/>
      </c>
    </row>
    <row r="8337" spans="7:11" x14ac:dyDescent="0.25">
      <c r="G8337" s="1" t="str">
        <f>IF(Table2[[#This Row],[Description]]="","",VLOOKUP(Table2[[#This Row],[Description]],$Q$1:$S$101,2,FALSE))</f>
        <v/>
      </c>
      <c r="H8337" s="1" t="str">
        <f>IF(Table2[[#This Row],[Description]]="","",VLOOKUP(Table2[[#This Row],[Description]],$Q$1:$S$101,3,FALSE))</f>
        <v/>
      </c>
      <c r="I8337" s="1" t="str">
        <f>IF(Table2[[#This Row],[Description]]="","",IF(Table2[[#This Row],[Currency]]=$O$2,$P$2,HLOOKUP(Table2[[#This Row],[Date]],Funds!$C$10:$GV$11,2,FALSE)))</f>
        <v/>
      </c>
      <c r="J8337" s="215" t="str">
        <f>IF(Table2[[#This Row],[Description]]="","",Table2[[#This Row],[Value]]/Table2[[#This Row],[Conversion]])</f>
        <v/>
      </c>
      <c r="K8337" s="45" t="str">
        <f>IF(Table2[[#This Row],[Description]]="","",DATE(Table2[[#This Row],[Year]],Table2[[#This Row],[Month]],1))</f>
        <v/>
      </c>
    </row>
    <row r="8338" spans="7:11" x14ac:dyDescent="0.25">
      <c r="G8338" s="1" t="str">
        <f>IF(Table2[[#This Row],[Description]]="","",VLOOKUP(Table2[[#This Row],[Description]],$Q$1:$S$101,2,FALSE))</f>
        <v/>
      </c>
      <c r="H8338" s="1" t="str">
        <f>IF(Table2[[#This Row],[Description]]="","",VLOOKUP(Table2[[#This Row],[Description]],$Q$1:$S$101,3,FALSE))</f>
        <v/>
      </c>
      <c r="I8338" s="1" t="str">
        <f>IF(Table2[[#This Row],[Description]]="","",IF(Table2[[#This Row],[Currency]]=$O$2,$P$2,HLOOKUP(Table2[[#This Row],[Date]],Funds!$C$10:$GV$11,2,FALSE)))</f>
        <v/>
      </c>
      <c r="J8338" s="215" t="str">
        <f>IF(Table2[[#This Row],[Description]]="","",Table2[[#This Row],[Value]]/Table2[[#This Row],[Conversion]])</f>
        <v/>
      </c>
      <c r="K8338" s="45" t="str">
        <f>IF(Table2[[#This Row],[Description]]="","",DATE(Table2[[#This Row],[Year]],Table2[[#This Row],[Month]],1))</f>
        <v/>
      </c>
    </row>
    <row r="8339" spans="7:11" x14ac:dyDescent="0.25">
      <c r="G8339" s="1" t="str">
        <f>IF(Table2[[#This Row],[Description]]="","",VLOOKUP(Table2[[#This Row],[Description]],$Q$1:$S$101,2,FALSE))</f>
        <v/>
      </c>
      <c r="H8339" s="1" t="str">
        <f>IF(Table2[[#This Row],[Description]]="","",VLOOKUP(Table2[[#This Row],[Description]],$Q$1:$S$101,3,FALSE))</f>
        <v/>
      </c>
      <c r="I8339" s="1" t="str">
        <f>IF(Table2[[#This Row],[Description]]="","",IF(Table2[[#This Row],[Currency]]=$O$2,$P$2,HLOOKUP(Table2[[#This Row],[Date]],Funds!$C$10:$GV$11,2,FALSE)))</f>
        <v/>
      </c>
      <c r="J8339" s="215" t="str">
        <f>IF(Table2[[#This Row],[Description]]="","",Table2[[#This Row],[Value]]/Table2[[#This Row],[Conversion]])</f>
        <v/>
      </c>
      <c r="K8339" s="45" t="str">
        <f>IF(Table2[[#This Row],[Description]]="","",DATE(Table2[[#This Row],[Year]],Table2[[#This Row],[Month]],1))</f>
        <v/>
      </c>
    </row>
    <row r="8340" spans="7:11" x14ac:dyDescent="0.25">
      <c r="G8340" s="1" t="str">
        <f>IF(Table2[[#This Row],[Description]]="","",VLOOKUP(Table2[[#This Row],[Description]],$Q$1:$S$101,2,FALSE))</f>
        <v/>
      </c>
      <c r="H8340" s="1" t="str">
        <f>IF(Table2[[#This Row],[Description]]="","",VLOOKUP(Table2[[#This Row],[Description]],$Q$1:$S$101,3,FALSE))</f>
        <v/>
      </c>
      <c r="I8340" s="1" t="str">
        <f>IF(Table2[[#This Row],[Description]]="","",IF(Table2[[#This Row],[Currency]]=$O$2,$P$2,HLOOKUP(Table2[[#This Row],[Date]],Funds!$C$10:$GV$11,2,FALSE)))</f>
        <v/>
      </c>
      <c r="J8340" s="215" t="str">
        <f>IF(Table2[[#This Row],[Description]]="","",Table2[[#This Row],[Value]]/Table2[[#This Row],[Conversion]])</f>
        <v/>
      </c>
      <c r="K8340" s="45" t="str">
        <f>IF(Table2[[#This Row],[Description]]="","",DATE(Table2[[#This Row],[Year]],Table2[[#This Row],[Month]],1))</f>
        <v/>
      </c>
    </row>
    <row r="8341" spans="7:11" x14ac:dyDescent="0.25">
      <c r="G8341" s="1" t="str">
        <f>IF(Table2[[#This Row],[Description]]="","",VLOOKUP(Table2[[#This Row],[Description]],$Q$1:$S$101,2,FALSE))</f>
        <v/>
      </c>
      <c r="H8341" s="1" t="str">
        <f>IF(Table2[[#This Row],[Description]]="","",VLOOKUP(Table2[[#This Row],[Description]],$Q$1:$S$101,3,FALSE))</f>
        <v/>
      </c>
      <c r="I8341" s="1" t="str">
        <f>IF(Table2[[#This Row],[Description]]="","",IF(Table2[[#This Row],[Currency]]=$O$2,$P$2,HLOOKUP(Table2[[#This Row],[Date]],Funds!$C$10:$GV$11,2,FALSE)))</f>
        <v/>
      </c>
      <c r="J8341" s="215" t="str">
        <f>IF(Table2[[#This Row],[Description]]="","",Table2[[#This Row],[Value]]/Table2[[#This Row],[Conversion]])</f>
        <v/>
      </c>
      <c r="K8341" s="45" t="str">
        <f>IF(Table2[[#This Row],[Description]]="","",DATE(Table2[[#This Row],[Year]],Table2[[#This Row],[Month]],1))</f>
        <v/>
      </c>
    </row>
    <row r="8342" spans="7:11" x14ac:dyDescent="0.25">
      <c r="G8342" s="1" t="str">
        <f>IF(Table2[[#This Row],[Description]]="","",VLOOKUP(Table2[[#This Row],[Description]],$Q$1:$S$101,2,FALSE))</f>
        <v/>
      </c>
      <c r="H8342" s="1" t="str">
        <f>IF(Table2[[#This Row],[Description]]="","",VLOOKUP(Table2[[#This Row],[Description]],$Q$1:$S$101,3,FALSE))</f>
        <v/>
      </c>
      <c r="I8342" s="1" t="str">
        <f>IF(Table2[[#This Row],[Description]]="","",IF(Table2[[#This Row],[Currency]]=$O$2,$P$2,HLOOKUP(Table2[[#This Row],[Date]],Funds!$C$10:$GV$11,2,FALSE)))</f>
        <v/>
      </c>
      <c r="J8342" s="215" t="str">
        <f>IF(Table2[[#This Row],[Description]]="","",Table2[[#This Row],[Value]]/Table2[[#This Row],[Conversion]])</f>
        <v/>
      </c>
      <c r="K8342" s="45" t="str">
        <f>IF(Table2[[#This Row],[Description]]="","",DATE(Table2[[#This Row],[Year]],Table2[[#This Row],[Month]],1))</f>
        <v/>
      </c>
    </row>
    <row r="8343" spans="7:11" x14ac:dyDescent="0.25">
      <c r="G8343" s="1" t="str">
        <f>IF(Table2[[#This Row],[Description]]="","",VLOOKUP(Table2[[#This Row],[Description]],$Q$1:$S$101,2,FALSE))</f>
        <v/>
      </c>
      <c r="H8343" s="1" t="str">
        <f>IF(Table2[[#This Row],[Description]]="","",VLOOKUP(Table2[[#This Row],[Description]],$Q$1:$S$101,3,FALSE))</f>
        <v/>
      </c>
      <c r="I8343" s="1" t="str">
        <f>IF(Table2[[#This Row],[Description]]="","",IF(Table2[[#This Row],[Currency]]=$O$2,$P$2,HLOOKUP(Table2[[#This Row],[Date]],Funds!$C$10:$GV$11,2,FALSE)))</f>
        <v/>
      </c>
      <c r="J8343" s="215" t="str">
        <f>IF(Table2[[#This Row],[Description]]="","",Table2[[#This Row],[Value]]/Table2[[#This Row],[Conversion]])</f>
        <v/>
      </c>
      <c r="K8343" s="45" t="str">
        <f>IF(Table2[[#This Row],[Description]]="","",DATE(Table2[[#This Row],[Year]],Table2[[#This Row],[Month]],1))</f>
        <v/>
      </c>
    </row>
    <row r="8344" spans="7:11" x14ac:dyDescent="0.25">
      <c r="G8344" s="1" t="str">
        <f>IF(Table2[[#This Row],[Description]]="","",VLOOKUP(Table2[[#This Row],[Description]],$Q$1:$S$101,2,FALSE))</f>
        <v/>
      </c>
      <c r="H8344" s="1" t="str">
        <f>IF(Table2[[#This Row],[Description]]="","",VLOOKUP(Table2[[#This Row],[Description]],$Q$1:$S$101,3,FALSE))</f>
        <v/>
      </c>
      <c r="I8344" s="1" t="str">
        <f>IF(Table2[[#This Row],[Description]]="","",IF(Table2[[#This Row],[Currency]]=$O$2,$P$2,HLOOKUP(Table2[[#This Row],[Date]],Funds!$C$10:$GV$11,2,FALSE)))</f>
        <v/>
      </c>
      <c r="J8344" s="215" t="str">
        <f>IF(Table2[[#This Row],[Description]]="","",Table2[[#This Row],[Value]]/Table2[[#This Row],[Conversion]])</f>
        <v/>
      </c>
      <c r="K8344" s="45" t="str">
        <f>IF(Table2[[#This Row],[Description]]="","",DATE(Table2[[#This Row],[Year]],Table2[[#This Row],[Month]],1))</f>
        <v/>
      </c>
    </row>
    <row r="8345" spans="7:11" x14ac:dyDescent="0.25">
      <c r="G8345" s="1" t="str">
        <f>IF(Table2[[#This Row],[Description]]="","",VLOOKUP(Table2[[#This Row],[Description]],$Q$1:$S$101,2,FALSE))</f>
        <v/>
      </c>
      <c r="H8345" s="1" t="str">
        <f>IF(Table2[[#This Row],[Description]]="","",VLOOKUP(Table2[[#This Row],[Description]],$Q$1:$S$101,3,FALSE))</f>
        <v/>
      </c>
      <c r="I8345" s="1" t="str">
        <f>IF(Table2[[#This Row],[Description]]="","",IF(Table2[[#This Row],[Currency]]=$O$2,$P$2,HLOOKUP(Table2[[#This Row],[Date]],Funds!$C$10:$GV$11,2,FALSE)))</f>
        <v/>
      </c>
      <c r="J8345" s="215" t="str">
        <f>IF(Table2[[#This Row],[Description]]="","",Table2[[#This Row],[Value]]/Table2[[#This Row],[Conversion]])</f>
        <v/>
      </c>
      <c r="K8345" s="45" t="str">
        <f>IF(Table2[[#This Row],[Description]]="","",DATE(Table2[[#This Row],[Year]],Table2[[#This Row],[Month]],1))</f>
        <v/>
      </c>
    </row>
    <row r="8346" spans="7:11" x14ac:dyDescent="0.25">
      <c r="G8346" s="1" t="str">
        <f>IF(Table2[[#This Row],[Description]]="","",VLOOKUP(Table2[[#This Row],[Description]],$Q$1:$S$101,2,FALSE))</f>
        <v/>
      </c>
      <c r="H8346" s="1" t="str">
        <f>IF(Table2[[#This Row],[Description]]="","",VLOOKUP(Table2[[#This Row],[Description]],$Q$1:$S$101,3,FALSE))</f>
        <v/>
      </c>
      <c r="I8346" s="1" t="str">
        <f>IF(Table2[[#This Row],[Description]]="","",IF(Table2[[#This Row],[Currency]]=$O$2,$P$2,HLOOKUP(Table2[[#This Row],[Date]],Funds!$C$10:$GV$11,2,FALSE)))</f>
        <v/>
      </c>
      <c r="J8346" s="215" t="str">
        <f>IF(Table2[[#This Row],[Description]]="","",Table2[[#This Row],[Value]]/Table2[[#This Row],[Conversion]])</f>
        <v/>
      </c>
      <c r="K8346" s="45" t="str">
        <f>IF(Table2[[#This Row],[Description]]="","",DATE(Table2[[#This Row],[Year]],Table2[[#This Row],[Month]],1))</f>
        <v/>
      </c>
    </row>
    <row r="8347" spans="7:11" x14ac:dyDescent="0.25">
      <c r="G8347" s="1" t="str">
        <f>IF(Table2[[#This Row],[Description]]="","",VLOOKUP(Table2[[#This Row],[Description]],$Q$1:$S$101,2,FALSE))</f>
        <v/>
      </c>
      <c r="H8347" s="1" t="str">
        <f>IF(Table2[[#This Row],[Description]]="","",VLOOKUP(Table2[[#This Row],[Description]],$Q$1:$S$101,3,FALSE))</f>
        <v/>
      </c>
      <c r="I8347" s="1" t="str">
        <f>IF(Table2[[#This Row],[Description]]="","",IF(Table2[[#This Row],[Currency]]=$O$2,$P$2,HLOOKUP(Table2[[#This Row],[Date]],Funds!$C$10:$GV$11,2,FALSE)))</f>
        <v/>
      </c>
      <c r="J8347" s="215" t="str">
        <f>IF(Table2[[#This Row],[Description]]="","",Table2[[#This Row],[Value]]/Table2[[#This Row],[Conversion]])</f>
        <v/>
      </c>
      <c r="K8347" s="45" t="str">
        <f>IF(Table2[[#This Row],[Description]]="","",DATE(Table2[[#This Row],[Year]],Table2[[#This Row],[Month]],1))</f>
        <v/>
      </c>
    </row>
    <row r="8348" spans="7:11" x14ac:dyDescent="0.25">
      <c r="G8348" s="1" t="str">
        <f>IF(Table2[[#This Row],[Description]]="","",VLOOKUP(Table2[[#This Row],[Description]],$Q$1:$S$101,2,FALSE))</f>
        <v/>
      </c>
      <c r="H8348" s="1" t="str">
        <f>IF(Table2[[#This Row],[Description]]="","",VLOOKUP(Table2[[#This Row],[Description]],$Q$1:$S$101,3,FALSE))</f>
        <v/>
      </c>
      <c r="I8348" s="1" t="str">
        <f>IF(Table2[[#This Row],[Description]]="","",IF(Table2[[#This Row],[Currency]]=$O$2,$P$2,HLOOKUP(Table2[[#This Row],[Date]],Funds!$C$10:$GV$11,2,FALSE)))</f>
        <v/>
      </c>
      <c r="J8348" s="215" t="str">
        <f>IF(Table2[[#This Row],[Description]]="","",Table2[[#This Row],[Value]]/Table2[[#This Row],[Conversion]])</f>
        <v/>
      </c>
      <c r="K8348" s="45" t="str">
        <f>IF(Table2[[#This Row],[Description]]="","",DATE(Table2[[#This Row],[Year]],Table2[[#This Row],[Month]],1))</f>
        <v/>
      </c>
    </row>
    <row r="8349" spans="7:11" x14ac:dyDescent="0.25">
      <c r="G8349" s="1" t="str">
        <f>IF(Table2[[#This Row],[Description]]="","",VLOOKUP(Table2[[#This Row],[Description]],$Q$1:$S$101,2,FALSE))</f>
        <v/>
      </c>
      <c r="H8349" s="1" t="str">
        <f>IF(Table2[[#This Row],[Description]]="","",VLOOKUP(Table2[[#This Row],[Description]],$Q$1:$S$101,3,FALSE))</f>
        <v/>
      </c>
      <c r="I8349" s="1" t="str">
        <f>IF(Table2[[#This Row],[Description]]="","",IF(Table2[[#This Row],[Currency]]=$O$2,$P$2,HLOOKUP(Table2[[#This Row],[Date]],Funds!$C$10:$GV$11,2,FALSE)))</f>
        <v/>
      </c>
      <c r="J8349" s="215" t="str">
        <f>IF(Table2[[#This Row],[Description]]="","",Table2[[#This Row],[Value]]/Table2[[#This Row],[Conversion]])</f>
        <v/>
      </c>
      <c r="K8349" s="45" t="str">
        <f>IF(Table2[[#This Row],[Description]]="","",DATE(Table2[[#This Row],[Year]],Table2[[#This Row],[Month]],1))</f>
        <v/>
      </c>
    </row>
    <row r="8350" spans="7:11" x14ac:dyDescent="0.25">
      <c r="G8350" s="1" t="str">
        <f>IF(Table2[[#This Row],[Description]]="","",VLOOKUP(Table2[[#This Row],[Description]],$Q$1:$S$101,2,FALSE))</f>
        <v/>
      </c>
      <c r="H8350" s="1" t="str">
        <f>IF(Table2[[#This Row],[Description]]="","",VLOOKUP(Table2[[#This Row],[Description]],$Q$1:$S$101,3,FALSE))</f>
        <v/>
      </c>
      <c r="I8350" s="1" t="str">
        <f>IF(Table2[[#This Row],[Description]]="","",IF(Table2[[#This Row],[Currency]]=$O$2,$P$2,HLOOKUP(Table2[[#This Row],[Date]],Funds!$C$10:$GV$11,2,FALSE)))</f>
        <v/>
      </c>
      <c r="J8350" s="215" t="str">
        <f>IF(Table2[[#This Row],[Description]]="","",Table2[[#This Row],[Value]]/Table2[[#This Row],[Conversion]])</f>
        <v/>
      </c>
      <c r="K8350" s="45" t="str">
        <f>IF(Table2[[#This Row],[Description]]="","",DATE(Table2[[#This Row],[Year]],Table2[[#This Row],[Month]],1))</f>
        <v/>
      </c>
    </row>
    <row r="8351" spans="7:11" x14ac:dyDescent="0.25">
      <c r="G8351" s="1" t="str">
        <f>IF(Table2[[#This Row],[Description]]="","",VLOOKUP(Table2[[#This Row],[Description]],$Q$1:$S$101,2,FALSE))</f>
        <v/>
      </c>
      <c r="H8351" s="1" t="str">
        <f>IF(Table2[[#This Row],[Description]]="","",VLOOKUP(Table2[[#This Row],[Description]],$Q$1:$S$101,3,FALSE))</f>
        <v/>
      </c>
      <c r="I8351" s="1" t="str">
        <f>IF(Table2[[#This Row],[Description]]="","",IF(Table2[[#This Row],[Currency]]=$O$2,$P$2,HLOOKUP(Table2[[#This Row],[Date]],Funds!$C$10:$GV$11,2,FALSE)))</f>
        <v/>
      </c>
      <c r="J8351" s="215" t="str">
        <f>IF(Table2[[#This Row],[Description]]="","",Table2[[#This Row],[Value]]/Table2[[#This Row],[Conversion]])</f>
        <v/>
      </c>
      <c r="K8351" s="45" t="str">
        <f>IF(Table2[[#This Row],[Description]]="","",DATE(Table2[[#This Row],[Year]],Table2[[#This Row],[Month]],1))</f>
        <v/>
      </c>
    </row>
    <row r="8352" spans="7:11" x14ac:dyDescent="0.25">
      <c r="G8352" s="1" t="str">
        <f>IF(Table2[[#This Row],[Description]]="","",VLOOKUP(Table2[[#This Row],[Description]],$Q$1:$S$101,2,FALSE))</f>
        <v/>
      </c>
      <c r="H8352" s="1" t="str">
        <f>IF(Table2[[#This Row],[Description]]="","",VLOOKUP(Table2[[#This Row],[Description]],$Q$1:$S$101,3,FALSE))</f>
        <v/>
      </c>
      <c r="I8352" s="1" t="str">
        <f>IF(Table2[[#This Row],[Description]]="","",IF(Table2[[#This Row],[Currency]]=$O$2,$P$2,HLOOKUP(Table2[[#This Row],[Date]],Funds!$C$10:$GV$11,2,FALSE)))</f>
        <v/>
      </c>
      <c r="J8352" s="215" t="str">
        <f>IF(Table2[[#This Row],[Description]]="","",Table2[[#This Row],[Value]]/Table2[[#This Row],[Conversion]])</f>
        <v/>
      </c>
      <c r="K8352" s="45" t="str">
        <f>IF(Table2[[#This Row],[Description]]="","",DATE(Table2[[#This Row],[Year]],Table2[[#This Row],[Month]],1))</f>
        <v/>
      </c>
    </row>
    <row r="8353" spans="7:11" x14ac:dyDescent="0.25">
      <c r="G8353" s="1" t="str">
        <f>IF(Table2[[#This Row],[Description]]="","",VLOOKUP(Table2[[#This Row],[Description]],$Q$1:$S$101,2,FALSE))</f>
        <v/>
      </c>
      <c r="H8353" s="1" t="str">
        <f>IF(Table2[[#This Row],[Description]]="","",VLOOKUP(Table2[[#This Row],[Description]],$Q$1:$S$101,3,FALSE))</f>
        <v/>
      </c>
      <c r="I8353" s="1" t="str">
        <f>IF(Table2[[#This Row],[Description]]="","",IF(Table2[[#This Row],[Currency]]=$O$2,$P$2,HLOOKUP(Table2[[#This Row],[Date]],Funds!$C$10:$GV$11,2,FALSE)))</f>
        <v/>
      </c>
      <c r="J8353" s="215" t="str">
        <f>IF(Table2[[#This Row],[Description]]="","",Table2[[#This Row],[Value]]/Table2[[#This Row],[Conversion]])</f>
        <v/>
      </c>
      <c r="K8353" s="45" t="str">
        <f>IF(Table2[[#This Row],[Description]]="","",DATE(Table2[[#This Row],[Year]],Table2[[#This Row],[Month]],1))</f>
        <v/>
      </c>
    </row>
    <row r="8354" spans="7:11" x14ac:dyDescent="0.25">
      <c r="G8354" s="1" t="str">
        <f>IF(Table2[[#This Row],[Description]]="","",VLOOKUP(Table2[[#This Row],[Description]],$Q$1:$S$101,2,FALSE))</f>
        <v/>
      </c>
      <c r="H8354" s="1" t="str">
        <f>IF(Table2[[#This Row],[Description]]="","",VLOOKUP(Table2[[#This Row],[Description]],$Q$1:$S$101,3,FALSE))</f>
        <v/>
      </c>
      <c r="I8354" s="1" t="str">
        <f>IF(Table2[[#This Row],[Description]]="","",IF(Table2[[#This Row],[Currency]]=$O$2,$P$2,HLOOKUP(Table2[[#This Row],[Date]],Funds!$C$10:$GV$11,2,FALSE)))</f>
        <v/>
      </c>
      <c r="J8354" s="215" t="str">
        <f>IF(Table2[[#This Row],[Description]]="","",Table2[[#This Row],[Value]]/Table2[[#This Row],[Conversion]])</f>
        <v/>
      </c>
      <c r="K8354" s="45" t="str">
        <f>IF(Table2[[#This Row],[Description]]="","",DATE(Table2[[#This Row],[Year]],Table2[[#This Row],[Month]],1))</f>
        <v/>
      </c>
    </row>
    <row r="8355" spans="7:11" x14ac:dyDescent="0.25">
      <c r="G8355" s="1" t="str">
        <f>IF(Table2[[#This Row],[Description]]="","",VLOOKUP(Table2[[#This Row],[Description]],$Q$1:$S$101,2,FALSE))</f>
        <v/>
      </c>
      <c r="H8355" s="1" t="str">
        <f>IF(Table2[[#This Row],[Description]]="","",VLOOKUP(Table2[[#This Row],[Description]],$Q$1:$S$101,3,FALSE))</f>
        <v/>
      </c>
      <c r="I8355" s="1" t="str">
        <f>IF(Table2[[#This Row],[Description]]="","",IF(Table2[[#This Row],[Currency]]=$O$2,$P$2,HLOOKUP(Table2[[#This Row],[Date]],Funds!$C$10:$GV$11,2,FALSE)))</f>
        <v/>
      </c>
      <c r="J8355" s="215" t="str">
        <f>IF(Table2[[#This Row],[Description]]="","",Table2[[#This Row],[Value]]/Table2[[#This Row],[Conversion]])</f>
        <v/>
      </c>
      <c r="K8355" s="45" t="str">
        <f>IF(Table2[[#This Row],[Description]]="","",DATE(Table2[[#This Row],[Year]],Table2[[#This Row],[Month]],1))</f>
        <v/>
      </c>
    </row>
    <row r="8356" spans="7:11" x14ac:dyDescent="0.25">
      <c r="G8356" s="1" t="str">
        <f>IF(Table2[[#This Row],[Description]]="","",VLOOKUP(Table2[[#This Row],[Description]],$Q$1:$S$101,2,FALSE))</f>
        <v/>
      </c>
      <c r="H8356" s="1" t="str">
        <f>IF(Table2[[#This Row],[Description]]="","",VLOOKUP(Table2[[#This Row],[Description]],$Q$1:$S$101,3,FALSE))</f>
        <v/>
      </c>
      <c r="I8356" s="1" t="str">
        <f>IF(Table2[[#This Row],[Description]]="","",IF(Table2[[#This Row],[Currency]]=$O$2,$P$2,HLOOKUP(Table2[[#This Row],[Date]],Funds!$C$10:$GV$11,2,FALSE)))</f>
        <v/>
      </c>
      <c r="J8356" s="215" t="str">
        <f>IF(Table2[[#This Row],[Description]]="","",Table2[[#This Row],[Value]]/Table2[[#This Row],[Conversion]])</f>
        <v/>
      </c>
      <c r="K8356" s="45" t="str">
        <f>IF(Table2[[#This Row],[Description]]="","",DATE(Table2[[#This Row],[Year]],Table2[[#This Row],[Month]],1))</f>
        <v/>
      </c>
    </row>
    <row r="8357" spans="7:11" x14ac:dyDescent="0.25">
      <c r="G8357" s="1" t="str">
        <f>IF(Table2[[#This Row],[Description]]="","",VLOOKUP(Table2[[#This Row],[Description]],$Q$1:$S$101,2,FALSE))</f>
        <v/>
      </c>
      <c r="H8357" s="1" t="str">
        <f>IF(Table2[[#This Row],[Description]]="","",VLOOKUP(Table2[[#This Row],[Description]],$Q$1:$S$101,3,FALSE))</f>
        <v/>
      </c>
      <c r="I8357" s="1" t="str">
        <f>IF(Table2[[#This Row],[Description]]="","",IF(Table2[[#This Row],[Currency]]=$O$2,$P$2,HLOOKUP(Table2[[#This Row],[Date]],Funds!$C$10:$GV$11,2,FALSE)))</f>
        <v/>
      </c>
      <c r="J8357" s="215" t="str">
        <f>IF(Table2[[#This Row],[Description]]="","",Table2[[#This Row],[Value]]/Table2[[#This Row],[Conversion]])</f>
        <v/>
      </c>
      <c r="K8357" s="45" t="str">
        <f>IF(Table2[[#This Row],[Description]]="","",DATE(Table2[[#This Row],[Year]],Table2[[#This Row],[Month]],1))</f>
        <v/>
      </c>
    </row>
    <row r="8358" spans="7:11" x14ac:dyDescent="0.25">
      <c r="G8358" s="1" t="str">
        <f>IF(Table2[[#This Row],[Description]]="","",VLOOKUP(Table2[[#This Row],[Description]],$Q$1:$S$101,2,FALSE))</f>
        <v/>
      </c>
      <c r="H8358" s="1" t="str">
        <f>IF(Table2[[#This Row],[Description]]="","",VLOOKUP(Table2[[#This Row],[Description]],$Q$1:$S$101,3,FALSE))</f>
        <v/>
      </c>
      <c r="I8358" s="1" t="str">
        <f>IF(Table2[[#This Row],[Description]]="","",IF(Table2[[#This Row],[Currency]]=$O$2,$P$2,HLOOKUP(Table2[[#This Row],[Date]],Funds!$C$10:$GV$11,2,FALSE)))</f>
        <v/>
      </c>
      <c r="J8358" s="215" t="str">
        <f>IF(Table2[[#This Row],[Description]]="","",Table2[[#This Row],[Value]]/Table2[[#This Row],[Conversion]])</f>
        <v/>
      </c>
      <c r="K8358" s="45" t="str">
        <f>IF(Table2[[#This Row],[Description]]="","",DATE(Table2[[#This Row],[Year]],Table2[[#This Row],[Month]],1))</f>
        <v/>
      </c>
    </row>
    <row r="8359" spans="7:11" x14ac:dyDescent="0.25">
      <c r="G8359" s="1" t="str">
        <f>IF(Table2[[#This Row],[Description]]="","",VLOOKUP(Table2[[#This Row],[Description]],$Q$1:$S$101,2,FALSE))</f>
        <v/>
      </c>
      <c r="H8359" s="1" t="str">
        <f>IF(Table2[[#This Row],[Description]]="","",VLOOKUP(Table2[[#This Row],[Description]],$Q$1:$S$101,3,FALSE))</f>
        <v/>
      </c>
      <c r="I8359" s="1" t="str">
        <f>IF(Table2[[#This Row],[Description]]="","",IF(Table2[[#This Row],[Currency]]=$O$2,$P$2,HLOOKUP(Table2[[#This Row],[Date]],Funds!$C$10:$GV$11,2,FALSE)))</f>
        <v/>
      </c>
      <c r="J8359" s="215" t="str">
        <f>IF(Table2[[#This Row],[Description]]="","",Table2[[#This Row],[Value]]/Table2[[#This Row],[Conversion]])</f>
        <v/>
      </c>
      <c r="K8359" s="45" t="str">
        <f>IF(Table2[[#This Row],[Description]]="","",DATE(Table2[[#This Row],[Year]],Table2[[#This Row],[Month]],1))</f>
        <v/>
      </c>
    </row>
    <row r="8360" spans="7:11" x14ac:dyDescent="0.25">
      <c r="G8360" s="1" t="str">
        <f>IF(Table2[[#This Row],[Description]]="","",VLOOKUP(Table2[[#This Row],[Description]],$Q$1:$S$101,2,FALSE))</f>
        <v/>
      </c>
      <c r="H8360" s="1" t="str">
        <f>IF(Table2[[#This Row],[Description]]="","",VLOOKUP(Table2[[#This Row],[Description]],$Q$1:$S$101,3,FALSE))</f>
        <v/>
      </c>
      <c r="I8360" s="1" t="str">
        <f>IF(Table2[[#This Row],[Description]]="","",IF(Table2[[#This Row],[Currency]]=$O$2,$P$2,HLOOKUP(Table2[[#This Row],[Date]],Funds!$C$10:$GV$11,2,FALSE)))</f>
        <v/>
      </c>
      <c r="J8360" s="215" t="str">
        <f>IF(Table2[[#This Row],[Description]]="","",Table2[[#This Row],[Value]]/Table2[[#This Row],[Conversion]])</f>
        <v/>
      </c>
      <c r="K8360" s="45" t="str">
        <f>IF(Table2[[#This Row],[Description]]="","",DATE(Table2[[#This Row],[Year]],Table2[[#This Row],[Month]],1))</f>
        <v/>
      </c>
    </row>
    <row r="8361" spans="7:11" x14ac:dyDescent="0.25">
      <c r="G8361" s="1" t="str">
        <f>IF(Table2[[#This Row],[Description]]="","",VLOOKUP(Table2[[#This Row],[Description]],$Q$1:$S$101,2,FALSE))</f>
        <v/>
      </c>
      <c r="H8361" s="1" t="str">
        <f>IF(Table2[[#This Row],[Description]]="","",VLOOKUP(Table2[[#This Row],[Description]],$Q$1:$S$101,3,FALSE))</f>
        <v/>
      </c>
      <c r="I8361" s="1" t="str">
        <f>IF(Table2[[#This Row],[Description]]="","",IF(Table2[[#This Row],[Currency]]=$O$2,$P$2,HLOOKUP(Table2[[#This Row],[Date]],Funds!$C$10:$GV$11,2,FALSE)))</f>
        <v/>
      </c>
      <c r="J8361" s="215" t="str">
        <f>IF(Table2[[#This Row],[Description]]="","",Table2[[#This Row],[Value]]/Table2[[#This Row],[Conversion]])</f>
        <v/>
      </c>
      <c r="K8361" s="45" t="str">
        <f>IF(Table2[[#This Row],[Description]]="","",DATE(Table2[[#This Row],[Year]],Table2[[#This Row],[Month]],1))</f>
        <v/>
      </c>
    </row>
    <row r="8362" spans="7:11" x14ac:dyDescent="0.25">
      <c r="G8362" s="1" t="str">
        <f>IF(Table2[[#This Row],[Description]]="","",VLOOKUP(Table2[[#This Row],[Description]],$Q$1:$S$101,2,FALSE))</f>
        <v/>
      </c>
      <c r="H8362" s="1" t="str">
        <f>IF(Table2[[#This Row],[Description]]="","",VLOOKUP(Table2[[#This Row],[Description]],$Q$1:$S$101,3,FALSE))</f>
        <v/>
      </c>
      <c r="I8362" s="1" t="str">
        <f>IF(Table2[[#This Row],[Description]]="","",IF(Table2[[#This Row],[Currency]]=$O$2,$P$2,HLOOKUP(Table2[[#This Row],[Date]],Funds!$C$10:$GV$11,2,FALSE)))</f>
        <v/>
      </c>
      <c r="J8362" s="215" t="str">
        <f>IF(Table2[[#This Row],[Description]]="","",Table2[[#This Row],[Value]]/Table2[[#This Row],[Conversion]])</f>
        <v/>
      </c>
      <c r="K8362" s="45" t="str">
        <f>IF(Table2[[#This Row],[Description]]="","",DATE(Table2[[#This Row],[Year]],Table2[[#This Row],[Month]],1))</f>
        <v/>
      </c>
    </row>
    <row r="8363" spans="7:11" x14ac:dyDescent="0.25">
      <c r="G8363" s="1" t="str">
        <f>IF(Table2[[#This Row],[Description]]="","",VLOOKUP(Table2[[#This Row],[Description]],$Q$1:$S$101,2,FALSE))</f>
        <v/>
      </c>
      <c r="H8363" s="1" t="str">
        <f>IF(Table2[[#This Row],[Description]]="","",VLOOKUP(Table2[[#This Row],[Description]],$Q$1:$S$101,3,FALSE))</f>
        <v/>
      </c>
      <c r="I8363" s="1" t="str">
        <f>IF(Table2[[#This Row],[Description]]="","",IF(Table2[[#This Row],[Currency]]=$O$2,$P$2,HLOOKUP(Table2[[#This Row],[Date]],Funds!$C$10:$GV$11,2,FALSE)))</f>
        <v/>
      </c>
      <c r="J8363" s="215" t="str">
        <f>IF(Table2[[#This Row],[Description]]="","",Table2[[#This Row],[Value]]/Table2[[#This Row],[Conversion]])</f>
        <v/>
      </c>
      <c r="K8363" s="45" t="str">
        <f>IF(Table2[[#This Row],[Description]]="","",DATE(Table2[[#This Row],[Year]],Table2[[#This Row],[Month]],1))</f>
        <v/>
      </c>
    </row>
    <row r="8364" spans="7:11" x14ac:dyDescent="0.25">
      <c r="G8364" s="1" t="str">
        <f>IF(Table2[[#This Row],[Description]]="","",VLOOKUP(Table2[[#This Row],[Description]],$Q$1:$S$101,2,FALSE))</f>
        <v/>
      </c>
      <c r="H8364" s="1" t="str">
        <f>IF(Table2[[#This Row],[Description]]="","",VLOOKUP(Table2[[#This Row],[Description]],$Q$1:$S$101,3,FALSE))</f>
        <v/>
      </c>
      <c r="I8364" s="1" t="str">
        <f>IF(Table2[[#This Row],[Description]]="","",IF(Table2[[#This Row],[Currency]]=$O$2,$P$2,HLOOKUP(Table2[[#This Row],[Date]],Funds!$C$10:$GV$11,2,FALSE)))</f>
        <v/>
      </c>
      <c r="J8364" s="215" t="str">
        <f>IF(Table2[[#This Row],[Description]]="","",Table2[[#This Row],[Value]]/Table2[[#This Row],[Conversion]])</f>
        <v/>
      </c>
      <c r="K8364" s="45" t="str">
        <f>IF(Table2[[#This Row],[Description]]="","",DATE(Table2[[#This Row],[Year]],Table2[[#This Row],[Month]],1))</f>
        <v/>
      </c>
    </row>
    <row r="8365" spans="7:11" x14ac:dyDescent="0.25">
      <c r="G8365" s="1" t="str">
        <f>IF(Table2[[#This Row],[Description]]="","",VLOOKUP(Table2[[#This Row],[Description]],$Q$1:$S$101,2,FALSE))</f>
        <v/>
      </c>
      <c r="H8365" s="1" t="str">
        <f>IF(Table2[[#This Row],[Description]]="","",VLOOKUP(Table2[[#This Row],[Description]],$Q$1:$S$101,3,FALSE))</f>
        <v/>
      </c>
      <c r="I8365" s="1" t="str">
        <f>IF(Table2[[#This Row],[Description]]="","",IF(Table2[[#This Row],[Currency]]=$O$2,$P$2,HLOOKUP(Table2[[#This Row],[Date]],Funds!$C$10:$GV$11,2,FALSE)))</f>
        <v/>
      </c>
      <c r="J8365" s="215" t="str">
        <f>IF(Table2[[#This Row],[Description]]="","",Table2[[#This Row],[Value]]/Table2[[#This Row],[Conversion]])</f>
        <v/>
      </c>
      <c r="K8365" s="45" t="str">
        <f>IF(Table2[[#This Row],[Description]]="","",DATE(Table2[[#This Row],[Year]],Table2[[#This Row],[Month]],1))</f>
        <v/>
      </c>
    </row>
    <row r="8366" spans="7:11" x14ac:dyDescent="0.25">
      <c r="G8366" s="1" t="str">
        <f>IF(Table2[[#This Row],[Description]]="","",VLOOKUP(Table2[[#This Row],[Description]],$Q$1:$S$101,2,FALSE))</f>
        <v/>
      </c>
      <c r="H8366" s="1" t="str">
        <f>IF(Table2[[#This Row],[Description]]="","",VLOOKUP(Table2[[#This Row],[Description]],$Q$1:$S$101,3,FALSE))</f>
        <v/>
      </c>
      <c r="I8366" s="1" t="str">
        <f>IF(Table2[[#This Row],[Description]]="","",IF(Table2[[#This Row],[Currency]]=$O$2,$P$2,HLOOKUP(Table2[[#This Row],[Date]],Funds!$C$10:$GV$11,2,FALSE)))</f>
        <v/>
      </c>
      <c r="J8366" s="215" t="str">
        <f>IF(Table2[[#This Row],[Description]]="","",Table2[[#This Row],[Value]]/Table2[[#This Row],[Conversion]])</f>
        <v/>
      </c>
      <c r="K8366" s="45" t="str">
        <f>IF(Table2[[#This Row],[Description]]="","",DATE(Table2[[#This Row],[Year]],Table2[[#This Row],[Month]],1))</f>
        <v/>
      </c>
    </row>
    <row r="8367" spans="7:11" x14ac:dyDescent="0.25">
      <c r="G8367" s="1" t="str">
        <f>IF(Table2[[#This Row],[Description]]="","",VLOOKUP(Table2[[#This Row],[Description]],$Q$1:$S$101,2,FALSE))</f>
        <v/>
      </c>
      <c r="H8367" s="1" t="str">
        <f>IF(Table2[[#This Row],[Description]]="","",VLOOKUP(Table2[[#This Row],[Description]],$Q$1:$S$101,3,FALSE))</f>
        <v/>
      </c>
      <c r="I8367" s="1" t="str">
        <f>IF(Table2[[#This Row],[Description]]="","",IF(Table2[[#This Row],[Currency]]=$O$2,$P$2,HLOOKUP(Table2[[#This Row],[Date]],Funds!$C$10:$GV$11,2,FALSE)))</f>
        <v/>
      </c>
      <c r="J8367" s="215" t="str">
        <f>IF(Table2[[#This Row],[Description]]="","",Table2[[#This Row],[Value]]/Table2[[#This Row],[Conversion]])</f>
        <v/>
      </c>
      <c r="K8367" s="45" t="str">
        <f>IF(Table2[[#This Row],[Description]]="","",DATE(Table2[[#This Row],[Year]],Table2[[#This Row],[Month]],1))</f>
        <v/>
      </c>
    </row>
    <row r="8368" spans="7:11" x14ac:dyDescent="0.25">
      <c r="G8368" s="1" t="str">
        <f>IF(Table2[[#This Row],[Description]]="","",VLOOKUP(Table2[[#This Row],[Description]],$Q$1:$S$101,2,FALSE))</f>
        <v/>
      </c>
      <c r="H8368" s="1" t="str">
        <f>IF(Table2[[#This Row],[Description]]="","",VLOOKUP(Table2[[#This Row],[Description]],$Q$1:$S$101,3,FALSE))</f>
        <v/>
      </c>
      <c r="I8368" s="1" t="str">
        <f>IF(Table2[[#This Row],[Description]]="","",IF(Table2[[#This Row],[Currency]]=$O$2,$P$2,HLOOKUP(Table2[[#This Row],[Date]],Funds!$C$10:$GV$11,2,FALSE)))</f>
        <v/>
      </c>
      <c r="J8368" s="215" t="str">
        <f>IF(Table2[[#This Row],[Description]]="","",Table2[[#This Row],[Value]]/Table2[[#This Row],[Conversion]])</f>
        <v/>
      </c>
      <c r="K8368" s="45" t="str">
        <f>IF(Table2[[#This Row],[Description]]="","",DATE(Table2[[#This Row],[Year]],Table2[[#This Row],[Month]],1))</f>
        <v/>
      </c>
    </row>
    <row r="8369" spans="7:11" x14ac:dyDescent="0.25">
      <c r="G8369" s="1" t="str">
        <f>IF(Table2[[#This Row],[Description]]="","",VLOOKUP(Table2[[#This Row],[Description]],$Q$1:$S$101,2,FALSE))</f>
        <v/>
      </c>
      <c r="H8369" s="1" t="str">
        <f>IF(Table2[[#This Row],[Description]]="","",VLOOKUP(Table2[[#This Row],[Description]],$Q$1:$S$101,3,FALSE))</f>
        <v/>
      </c>
      <c r="I8369" s="1" t="str">
        <f>IF(Table2[[#This Row],[Description]]="","",IF(Table2[[#This Row],[Currency]]=$O$2,$P$2,HLOOKUP(Table2[[#This Row],[Date]],Funds!$C$10:$GV$11,2,FALSE)))</f>
        <v/>
      </c>
      <c r="J8369" s="215" t="str">
        <f>IF(Table2[[#This Row],[Description]]="","",Table2[[#This Row],[Value]]/Table2[[#This Row],[Conversion]])</f>
        <v/>
      </c>
      <c r="K8369" s="45" t="str">
        <f>IF(Table2[[#This Row],[Description]]="","",DATE(Table2[[#This Row],[Year]],Table2[[#This Row],[Month]],1))</f>
        <v/>
      </c>
    </row>
    <row r="8370" spans="7:11" x14ac:dyDescent="0.25">
      <c r="G8370" s="1" t="str">
        <f>IF(Table2[[#This Row],[Description]]="","",VLOOKUP(Table2[[#This Row],[Description]],$Q$1:$S$101,2,FALSE))</f>
        <v/>
      </c>
      <c r="H8370" s="1" t="str">
        <f>IF(Table2[[#This Row],[Description]]="","",VLOOKUP(Table2[[#This Row],[Description]],$Q$1:$S$101,3,FALSE))</f>
        <v/>
      </c>
      <c r="I8370" s="1" t="str">
        <f>IF(Table2[[#This Row],[Description]]="","",IF(Table2[[#This Row],[Currency]]=$O$2,$P$2,HLOOKUP(Table2[[#This Row],[Date]],Funds!$C$10:$GV$11,2,FALSE)))</f>
        <v/>
      </c>
      <c r="J8370" s="215" t="str">
        <f>IF(Table2[[#This Row],[Description]]="","",Table2[[#This Row],[Value]]/Table2[[#This Row],[Conversion]])</f>
        <v/>
      </c>
      <c r="K8370" s="45" t="str">
        <f>IF(Table2[[#This Row],[Description]]="","",DATE(Table2[[#This Row],[Year]],Table2[[#This Row],[Month]],1))</f>
        <v/>
      </c>
    </row>
    <row r="8371" spans="7:11" x14ac:dyDescent="0.25">
      <c r="G8371" s="1" t="str">
        <f>IF(Table2[[#This Row],[Description]]="","",VLOOKUP(Table2[[#This Row],[Description]],$Q$1:$S$101,2,FALSE))</f>
        <v/>
      </c>
      <c r="H8371" s="1" t="str">
        <f>IF(Table2[[#This Row],[Description]]="","",VLOOKUP(Table2[[#This Row],[Description]],$Q$1:$S$101,3,FALSE))</f>
        <v/>
      </c>
      <c r="I8371" s="1" t="str">
        <f>IF(Table2[[#This Row],[Description]]="","",IF(Table2[[#This Row],[Currency]]=$O$2,$P$2,HLOOKUP(Table2[[#This Row],[Date]],Funds!$C$10:$GV$11,2,FALSE)))</f>
        <v/>
      </c>
      <c r="J8371" s="215" t="str">
        <f>IF(Table2[[#This Row],[Description]]="","",Table2[[#This Row],[Value]]/Table2[[#This Row],[Conversion]])</f>
        <v/>
      </c>
      <c r="K8371" s="45" t="str">
        <f>IF(Table2[[#This Row],[Description]]="","",DATE(Table2[[#This Row],[Year]],Table2[[#This Row],[Month]],1))</f>
        <v/>
      </c>
    </row>
    <row r="8372" spans="7:11" x14ac:dyDescent="0.25">
      <c r="G8372" s="1" t="str">
        <f>IF(Table2[[#This Row],[Description]]="","",VLOOKUP(Table2[[#This Row],[Description]],$Q$1:$S$101,2,FALSE))</f>
        <v/>
      </c>
      <c r="H8372" s="1" t="str">
        <f>IF(Table2[[#This Row],[Description]]="","",VLOOKUP(Table2[[#This Row],[Description]],$Q$1:$S$101,3,FALSE))</f>
        <v/>
      </c>
      <c r="I8372" s="1" t="str">
        <f>IF(Table2[[#This Row],[Description]]="","",IF(Table2[[#This Row],[Currency]]=$O$2,$P$2,HLOOKUP(Table2[[#This Row],[Date]],Funds!$C$10:$GV$11,2,FALSE)))</f>
        <v/>
      </c>
      <c r="J8372" s="215" t="str">
        <f>IF(Table2[[#This Row],[Description]]="","",Table2[[#This Row],[Value]]/Table2[[#This Row],[Conversion]])</f>
        <v/>
      </c>
      <c r="K8372" s="45" t="str">
        <f>IF(Table2[[#This Row],[Description]]="","",DATE(Table2[[#This Row],[Year]],Table2[[#This Row],[Month]],1))</f>
        <v/>
      </c>
    </row>
    <row r="8373" spans="7:11" x14ac:dyDescent="0.25">
      <c r="G8373" s="1" t="str">
        <f>IF(Table2[[#This Row],[Description]]="","",VLOOKUP(Table2[[#This Row],[Description]],$Q$1:$S$101,2,FALSE))</f>
        <v/>
      </c>
      <c r="H8373" s="1" t="str">
        <f>IF(Table2[[#This Row],[Description]]="","",VLOOKUP(Table2[[#This Row],[Description]],$Q$1:$S$101,3,FALSE))</f>
        <v/>
      </c>
      <c r="I8373" s="1" t="str">
        <f>IF(Table2[[#This Row],[Description]]="","",IF(Table2[[#This Row],[Currency]]=$O$2,$P$2,HLOOKUP(Table2[[#This Row],[Date]],Funds!$C$10:$GV$11,2,FALSE)))</f>
        <v/>
      </c>
      <c r="J8373" s="215" t="str">
        <f>IF(Table2[[#This Row],[Description]]="","",Table2[[#This Row],[Value]]/Table2[[#This Row],[Conversion]])</f>
        <v/>
      </c>
      <c r="K8373" s="45" t="str">
        <f>IF(Table2[[#This Row],[Description]]="","",DATE(Table2[[#This Row],[Year]],Table2[[#This Row],[Month]],1))</f>
        <v/>
      </c>
    </row>
    <row r="8374" spans="7:11" x14ac:dyDescent="0.25">
      <c r="G8374" s="1" t="str">
        <f>IF(Table2[[#This Row],[Description]]="","",VLOOKUP(Table2[[#This Row],[Description]],$Q$1:$S$101,2,FALSE))</f>
        <v/>
      </c>
      <c r="H8374" s="1" t="str">
        <f>IF(Table2[[#This Row],[Description]]="","",VLOOKUP(Table2[[#This Row],[Description]],$Q$1:$S$101,3,FALSE))</f>
        <v/>
      </c>
      <c r="I8374" s="1" t="str">
        <f>IF(Table2[[#This Row],[Description]]="","",IF(Table2[[#This Row],[Currency]]=$O$2,$P$2,HLOOKUP(Table2[[#This Row],[Date]],Funds!$C$10:$GV$11,2,FALSE)))</f>
        <v/>
      </c>
      <c r="J8374" s="215" t="str">
        <f>IF(Table2[[#This Row],[Description]]="","",Table2[[#This Row],[Value]]/Table2[[#This Row],[Conversion]])</f>
        <v/>
      </c>
      <c r="K8374" s="45" t="str">
        <f>IF(Table2[[#This Row],[Description]]="","",DATE(Table2[[#This Row],[Year]],Table2[[#This Row],[Month]],1))</f>
        <v/>
      </c>
    </row>
    <row r="8375" spans="7:11" x14ac:dyDescent="0.25">
      <c r="G8375" s="1" t="str">
        <f>IF(Table2[[#This Row],[Description]]="","",VLOOKUP(Table2[[#This Row],[Description]],$Q$1:$S$101,2,FALSE))</f>
        <v/>
      </c>
      <c r="H8375" s="1" t="str">
        <f>IF(Table2[[#This Row],[Description]]="","",VLOOKUP(Table2[[#This Row],[Description]],$Q$1:$S$101,3,FALSE))</f>
        <v/>
      </c>
      <c r="I8375" s="1" t="str">
        <f>IF(Table2[[#This Row],[Description]]="","",IF(Table2[[#This Row],[Currency]]=$O$2,$P$2,HLOOKUP(Table2[[#This Row],[Date]],Funds!$C$10:$GV$11,2,FALSE)))</f>
        <v/>
      </c>
      <c r="J8375" s="215" t="str">
        <f>IF(Table2[[#This Row],[Description]]="","",Table2[[#This Row],[Value]]/Table2[[#This Row],[Conversion]])</f>
        <v/>
      </c>
      <c r="K8375" s="45" t="str">
        <f>IF(Table2[[#This Row],[Description]]="","",DATE(Table2[[#This Row],[Year]],Table2[[#This Row],[Month]],1))</f>
        <v/>
      </c>
    </row>
    <row r="8376" spans="7:11" x14ac:dyDescent="0.25">
      <c r="G8376" s="1" t="str">
        <f>IF(Table2[[#This Row],[Description]]="","",VLOOKUP(Table2[[#This Row],[Description]],$Q$1:$S$101,2,FALSE))</f>
        <v/>
      </c>
      <c r="H8376" s="1" t="str">
        <f>IF(Table2[[#This Row],[Description]]="","",VLOOKUP(Table2[[#This Row],[Description]],$Q$1:$S$101,3,FALSE))</f>
        <v/>
      </c>
      <c r="I8376" s="1" t="str">
        <f>IF(Table2[[#This Row],[Description]]="","",IF(Table2[[#This Row],[Currency]]=$O$2,$P$2,HLOOKUP(Table2[[#This Row],[Date]],Funds!$C$10:$GV$11,2,FALSE)))</f>
        <v/>
      </c>
      <c r="J8376" s="215" t="str">
        <f>IF(Table2[[#This Row],[Description]]="","",Table2[[#This Row],[Value]]/Table2[[#This Row],[Conversion]])</f>
        <v/>
      </c>
      <c r="K8376" s="45" t="str">
        <f>IF(Table2[[#This Row],[Description]]="","",DATE(Table2[[#This Row],[Year]],Table2[[#This Row],[Month]],1))</f>
        <v/>
      </c>
    </row>
    <row r="8377" spans="7:11" x14ac:dyDescent="0.25">
      <c r="G8377" s="1" t="str">
        <f>IF(Table2[[#This Row],[Description]]="","",VLOOKUP(Table2[[#This Row],[Description]],$Q$1:$S$101,2,FALSE))</f>
        <v/>
      </c>
      <c r="H8377" s="1" t="str">
        <f>IF(Table2[[#This Row],[Description]]="","",VLOOKUP(Table2[[#This Row],[Description]],$Q$1:$S$101,3,FALSE))</f>
        <v/>
      </c>
      <c r="I8377" s="1" t="str">
        <f>IF(Table2[[#This Row],[Description]]="","",IF(Table2[[#This Row],[Currency]]=$O$2,$P$2,HLOOKUP(Table2[[#This Row],[Date]],Funds!$C$10:$GV$11,2,FALSE)))</f>
        <v/>
      </c>
      <c r="J8377" s="215" t="str">
        <f>IF(Table2[[#This Row],[Description]]="","",Table2[[#This Row],[Value]]/Table2[[#This Row],[Conversion]])</f>
        <v/>
      </c>
      <c r="K8377" s="45" t="str">
        <f>IF(Table2[[#This Row],[Description]]="","",DATE(Table2[[#This Row],[Year]],Table2[[#This Row],[Month]],1))</f>
        <v/>
      </c>
    </row>
    <row r="8378" spans="7:11" x14ac:dyDescent="0.25">
      <c r="G8378" s="1" t="str">
        <f>IF(Table2[[#This Row],[Description]]="","",VLOOKUP(Table2[[#This Row],[Description]],$Q$1:$S$101,2,FALSE))</f>
        <v/>
      </c>
      <c r="H8378" s="1" t="str">
        <f>IF(Table2[[#This Row],[Description]]="","",VLOOKUP(Table2[[#This Row],[Description]],$Q$1:$S$101,3,FALSE))</f>
        <v/>
      </c>
      <c r="I8378" s="1" t="str">
        <f>IF(Table2[[#This Row],[Description]]="","",IF(Table2[[#This Row],[Currency]]=$O$2,$P$2,HLOOKUP(Table2[[#This Row],[Date]],Funds!$C$10:$GV$11,2,FALSE)))</f>
        <v/>
      </c>
      <c r="J8378" s="215" t="str">
        <f>IF(Table2[[#This Row],[Description]]="","",Table2[[#This Row],[Value]]/Table2[[#This Row],[Conversion]])</f>
        <v/>
      </c>
      <c r="K8378" s="45" t="str">
        <f>IF(Table2[[#This Row],[Description]]="","",DATE(Table2[[#This Row],[Year]],Table2[[#This Row],[Month]],1))</f>
        <v/>
      </c>
    </row>
    <row r="8379" spans="7:11" x14ac:dyDescent="0.25">
      <c r="G8379" s="1" t="str">
        <f>IF(Table2[[#This Row],[Description]]="","",VLOOKUP(Table2[[#This Row],[Description]],$Q$1:$S$101,2,FALSE))</f>
        <v/>
      </c>
      <c r="H8379" s="1" t="str">
        <f>IF(Table2[[#This Row],[Description]]="","",VLOOKUP(Table2[[#This Row],[Description]],$Q$1:$S$101,3,FALSE))</f>
        <v/>
      </c>
      <c r="I8379" s="1" t="str">
        <f>IF(Table2[[#This Row],[Description]]="","",IF(Table2[[#This Row],[Currency]]=$O$2,$P$2,HLOOKUP(Table2[[#This Row],[Date]],Funds!$C$10:$GV$11,2,FALSE)))</f>
        <v/>
      </c>
      <c r="J8379" s="215" t="str">
        <f>IF(Table2[[#This Row],[Description]]="","",Table2[[#This Row],[Value]]/Table2[[#This Row],[Conversion]])</f>
        <v/>
      </c>
      <c r="K8379" s="45" t="str">
        <f>IF(Table2[[#This Row],[Description]]="","",DATE(Table2[[#This Row],[Year]],Table2[[#This Row],[Month]],1))</f>
        <v/>
      </c>
    </row>
    <row r="8380" spans="7:11" x14ac:dyDescent="0.25">
      <c r="G8380" s="1" t="str">
        <f>IF(Table2[[#This Row],[Description]]="","",VLOOKUP(Table2[[#This Row],[Description]],$Q$1:$S$101,2,FALSE))</f>
        <v/>
      </c>
      <c r="H8380" s="1" t="str">
        <f>IF(Table2[[#This Row],[Description]]="","",VLOOKUP(Table2[[#This Row],[Description]],$Q$1:$S$101,3,FALSE))</f>
        <v/>
      </c>
      <c r="I8380" s="1" t="str">
        <f>IF(Table2[[#This Row],[Description]]="","",IF(Table2[[#This Row],[Currency]]=$O$2,$P$2,HLOOKUP(Table2[[#This Row],[Date]],Funds!$C$10:$GV$11,2,FALSE)))</f>
        <v/>
      </c>
      <c r="J8380" s="215" t="str">
        <f>IF(Table2[[#This Row],[Description]]="","",Table2[[#This Row],[Value]]/Table2[[#This Row],[Conversion]])</f>
        <v/>
      </c>
      <c r="K8380" s="45" t="str">
        <f>IF(Table2[[#This Row],[Description]]="","",DATE(Table2[[#This Row],[Year]],Table2[[#This Row],[Month]],1))</f>
        <v/>
      </c>
    </row>
    <row r="8381" spans="7:11" x14ac:dyDescent="0.25">
      <c r="G8381" s="1" t="str">
        <f>IF(Table2[[#This Row],[Description]]="","",VLOOKUP(Table2[[#This Row],[Description]],$Q$1:$S$101,2,FALSE))</f>
        <v/>
      </c>
      <c r="H8381" s="1" t="str">
        <f>IF(Table2[[#This Row],[Description]]="","",VLOOKUP(Table2[[#This Row],[Description]],$Q$1:$S$101,3,FALSE))</f>
        <v/>
      </c>
      <c r="I8381" s="1" t="str">
        <f>IF(Table2[[#This Row],[Description]]="","",IF(Table2[[#This Row],[Currency]]=$O$2,$P$2,HLOOKUP(Table2[[#This Row],[Date]],Funds!$C$10:$GV$11,2,FALSE)))</f>
        <v/>
      </c>
      <c r="J8381" s="215" t="str">
        <f>IF(Table2[[#This Row],[Description]]="","",Table2[[#This Row],[Value]]/Table2[[#This Row],[Conversion]])</f>
        <v/>
      </c>
      <c r="K8381" s="45" t="str">
        <f>IF(Table2[[#This Row],[Description]]="","",DATE(Table2[[#This Row],[Year]],Table2[[#This Row],[Month]],1))</f>
        <v/>
      </c>
    </row>
    <row r="8382" spans="7:11" x14ac:dyDescent="0.25">
      <c r="G8382" s="1" t="str">
        <f>IF(Table2[[#This Row],[Description]]="","",VLOOKUP(Table2[[#This Row],[Description]],$Q$1:$S$101,2,FALSE))</f>
        <v/>
      </c>
      <c r="H8382" s="1" t="str">
        <f>IF(Table2[[#This Row],[Description]]="","",VLOOKUP(Table2[[#This Row],[Description]],$Q$1:$S$101,3,FALSE))</f>
        <v/>
      </c>
      <c r="I8382" s="1" t="str">
        <f>IF(Table2[[#This Row],[Description]]="","",IF(Table2[[#This Row],[Currency]]=$O$2,$P$2,HLOOKUP(Table2[[#This Row],[Date]],Funds!$C$10:$GV$11,2,FALSE)))</f>
        <v/>
      </c>
      <c r="J8382" s="215" t="str">
        <f>IF(Table2[[#This Row],[Description]]="","",Table2[[#This Row],[Value]]/Table2[[#This Row],[Conversion]])</f>
        <v/>
      </c>
      <c r="K8382" s="45" t="str">
        <f>IF(Table2[[#This Row],[Description]]="","",DATE(Table2[[#This Row],[Year]],Table2[[#This Row],[Month]],1))</f>
        <v/>
      </c>
    </row>
    <row r="8383" spans="7:11" x14ac:dyDescent="0.25">
      <c r="G8383" s="1" t="str">
        <f>IF(Table2[[#This Row],[Description]]="","",VLOOKUP(Table2[[#This Row],[Description]],$Q$1:$S$101,2,FALSE))</f>
        <v/>
      </c>
      <c r="H8383" s="1" t="str">
        <f>IF(Table2[[#This Row],[Description]]="","",VLOOKUP(Table2[[#This Row],[Description]],$Q$1:$S$101,3,FALSE))</f>
        <v/>
      </c>
      <c r="I8383" s="1" t="str">
        <f>IF(Table2[[#This Row],[Description]]="","",IF(Table2[[#This Row],[Currency]]=$O$2,$P$2,HLOOKUP(Table2[[#This Row],[Date]],Funds!$C$10:$GV$11,2,FALSE)))</f>
        <v/>
      </c>
      <c r="J8383" s="215" t="str">
        <f>IF(Table2[[#This Row],[Description]]="","",Table2[[#This Row],[Value]]/Table2[[#This Row],[Conversion]])</f>
        <v/>
      </c>
      <c r="K8383" s="45" t="str">
        <f>IF(Table2[[#This Row],[Description]]="","",DATE(Table2[[#This Row],[Year]],Table2[[#This Row],[Month]],1))</f>
        <v/>
      </c>
    </row>
    <row r="8384" spans="7:11" x14ac:dyDescent="0.25">
      <c r="G8384" s="1" t="str">
        <f>IF(Table2[[#This Row],[Description]]="","",VLOOKUP(Table2[[#This Row],[Description]],$Q$1:$S$101,2,FALSE))</f>
        <v/>
      </c>
      <c r="H8384" s="1" t="str">
        <f>IF(Table2[[#This Row],[Description]]="","",VLOOKUP(Table2[[#This Row],[Description]],$Q$1:$S$101,3,FALSE))</f>
        <v/>
      </c>
      <c r="I8384" s="1" t="str">
        <f>IF(Table2[[#This Row],[Description]]="","",IF(Table2[[#This Row],[Currency]]=$O$2,$P$2,HLOOKUP(Table2[[#This Row],[Date]],Funds!$C$10:$GV$11,2,FALSE)))</f>
        <v/>
      </c>
      <c r="J8384" s="215" t="str">
        <f>IF(Table2[[#This Row],[Description]]="","",Table2[[#This Row],[Value]]/Table2[[#This Row],[Conversion]])</f>
        <v/>
      </c>
      <c r="K8384" s="45" t="str">
        <f>IF(Table2[[#This Row],[Description]]="","",DATE(Table2[[#This Row],[Year]],Table2[[#This Row],[Month]],1))</f>
        <v/>
      </c>
    </row>
    <row r="8385" spans="7:11" x14ac:dyDescent="0.25">
      <c r="G8385" s="1" t="str">
        <f>IF(Table2[[#This Row],[Description]]="","",VLOOKUP(Table2[[#This Row],[Description]],$Q$1:$S$101,2,FALSE))</f>
        <v/>
      </c>
      <c r="H8385" s="1" t="str">
        <f>IF(Table2[[#This Row],[Description]]="","",VLOOKUP(Table2[[#This Row],[Description]],$Q$1:$S$101,3,FALSE))</f>
        <v/>
      </c>
      <c r="I8385" s="1" t="str">
        <f>IF(Table2[[#This Row],[Description]]="","",IF(Table2[[#This Row],[Currency]]=$O$2,$P$2,HLOOKUP(Table2[[#This Row],[Date]],Funds!$C$10:$GV$11,2,FALSE)))</f>
        <v/>
      </c>
      <c r="J8385" s="215" t="str">
        <f>IF(Table2[[#This Row],[Description]]="","",Table2[[#This Row],[Value]]/Table2[[#This Row],[Conversion]])</f>
        <v/>
      </c>
      <c r="K8385" s="45" t="str">
        <f>IF(Table2[[#This Row],[Description]]="","",DATE(Table2[[#This Row],[Year]],Table2[[#This Row],[Month]],1))</f>
        <v/>
      </c>
    </row>
    <row r="8386" spans="7:11" x14ac:dyDescent="0.25">
      <c r="G8386" s="1" t="str">
        <f>IF(Table2[[#This Row],[Description]]="","",VLOOKUP(Table2[[#This Row],[Description]],$Q$1:$S$101,2,FALSE))</f>
        <v/>
      </c>
      <c r="H8386" s="1" t="str">
        <f>IF(Table2[[#This Row],[Description]]="","",VLOOKUP(Table2[[#This Row],[Description]],$Q$1:$S$101,3,FALSE))</f>
        <v/>
      </c>
      <c r="I8386" s="1" t="str">
        <f>IF(Table2[[#This Row],[Description]]="","",IF(Table2[[#This Row],[Currency]]=$O$2,$P$2,HLOOKUP(Table2[[#This Row],[Date]],Funds!$C$10:$GV$11,2,FALSE)))</f>
        <v/>
      </c>
      <c r="J8386" s="215" t="str">
        <f>IF(Table2[[#This Row],[Description]]="","",Table2[[#This Row],[Value]]/Table2[[#This Row],[Conversion]])</f>
        <v/>
      </c>
      <c r="K8386" s="45" t="str">
        <f>IF(Table2[[#This Row],[Description]]="","",DATE(Table2[[#This Row],[Year]],Table2[[#This Row],[Month]],1))</f>
        <v/>
      </c>
    </row>
    <row r="8387" spans="7:11" x14ac:dyDescent="0.25">
      <c r="G8387" s="1" t="str">
        <f>IF(Table2[[#This Row],[Description]]="","",VLOOKUP(Table2[[#This Row],[Description]],$Q$1:$S$101,2,FALSE))</f>
        <v/>
      </c>
      <c r="H8387" s="1" t="str">
        <f>IF(Table2[[#This Row],[Description]]="","",VLOOKUP(Table2[[#This Row],[Description]],$Q$1:$S$101,3,FALSE))</f>
        <v/>
      </c>
      <c r="I8387" s="1" t="str">
        <f>IF(Table2[[#This Row],[Description]]="","",IF(Table2[[#This Row],[Currency]]=$O$2,$P$2,HLOOKUP(Table2[[#This Row],[Date]],Funds!$C$10:$GV$11,2,FALSE)))</f>
        <v/>
      </c>
      <c r="J8387" s="215" t="str">
        <f>IF(Table2[[#This Row],[Description]]="","",Table2[[#This Row],[Value]]/Table2[[#This Row],[Conversion]])</f>
        <v/>
      </c>
      <c r="K8387" s="45" t="str">
        <f>IF(Table2[[#This Row],[Description]]="","",DATE(Table2[[#This Row],[Year]],Table2[[#This Row],[Month]],1))</f>
        <v/>
      </c>
    </row>
    <row r="8388" spans="7:11" x14ac:dyDescent="0.25">
      <c r="G8388" s="1" t="str">
        <f>IF(Table2[[#This Row],[Description]]="","",VLOOKUP(Table2[[#This Row],[Description]],$Q$1:$S$101,2,FALSE))</f>
        <v/>
      </c>
      <c r="H8388" s="1" t="str">
        <f>IF(Table2[[#This Row],[Description]]="","",VLOOKUP(Table2[[#This Row],[Description]],$Q$1:$S$101,3,FALSE))</f>
        <v/>
      </c>
      <c r="I8388" s="1" t="str">
        <f>IF(Table2[[#This Row],[Description]]="","",IF(Table2[[#This Row],[Currency]]=$O$2,$P$2,HLOOKUP(Table2[[#This Row],[Date]],Funds!$C$10:$GV$11,2,FALSE)))</f>
        <v/>
      </c>
      <c r="J8388" s="215" t="str">
        <f>IF(Table2[[#This Row],[Description]]="","",Table2[[#This Row],[Value]]/Table2[[#This Row],[Conversion]])</f>
        <v/>
      </c>
      <c r="K8388" s="45" t="str">
        <f>IF(Table2[[#This Row],[Description]]="","",DATE(Table2[[#This Row],[Year]],Table2[[#This Row],[Month]],1))</f>
        <v/>
      </c>
    </row>
    <row r="8389" spans="7:11" x14ac:dyDescent="0.25">
      <c r="G8389" s="1" t="str">
        <f>IF(Table2[[#This Row],[Description]]="","",VLOOKUP(Table2[[#This Row],[Description]],$Q$1:$S$101,2,FALSE))</f>
        <v/>
      </c>
      <c r="H8389" s="1" t="str">
        <f>IF(Table2[[#This Row],[Description]]="","",VLOOKUP(Table2[[#This Row],[Description]],$Q$1:$S$101,3,FALSE))</f>
        <v/>
      </c>
      <c r="I8389" s="1" t="str">
        <f>IF(Table2[[#This Row],[Description]]="","",IF(Table2[[#This Row],[Currency]]=$O$2,$P$2,HLOOKUP(Table2[[#This Row],[Date]],Funds!$C$10:$GV$11,2,FALSE)))</f>
        <v/>
      </c>
      <c r="J8389" s="215" t="str">
        <f>IF(Table2[[#This Row],[Description]]="","",Table2[[#This Row],[Value]]/Table2[[#This Row],[Conversion]])</f>
        <v/>
      </c>
      <c r="K8389" s="45" t="str">
        <f>IF(Table2[[#This Row],[Description]]="","",DATE(Table2[[#This Row],[Year]],Table2[[#This Row],[Month]],1))</f>
        <v/>
      </c>
    </row>
    <row r="8390" spans="7:11" x14ac:dyDescent="0.25">
      <c r="G8390" s="1" t="str">
        <f>IF(Table2[[#This Row],[Description]]="","",VLOOKUP(Table2[[#This Row],[Description]],$Q$1:$S$101,2,FALSE))</f>
        <v/>
      </c>
      <c r="H8390" s="1" t="str">
        <f>IF(Table2[[#This Row],[Description]]="","",VLOOKUP(Table2[[#This Row],[Description]],$Q$1:$S$101,3,FALSE))</f>
        <v/>
      </c>
      <c r="I8390" s="1" t="str">
        <f>IF(Table2[[#This Row],[Description]]="","",IF(Table2[[#This Row],[Currency]]=$O$2,$P$2,HLOOKUP(Table2[[#This Row],[Date]],Funds!$C$10:$GV$11,2,FALSE)))</f>
        <v/>
      </c>
      <c r="J8390" s="215" t="str">
        <f>IF(Table2[[#This Row],[Description]]="","",Table2[[#This Row],[Value]]/Table2[[#This Row],[Conversion]])</f>
        <v/>
      </c>
      <c r="K8390" s="45" t="str">
        <f>IF(Table2[[#This Row],[Description]]="","",DATE(Table2[[#This Row],[Year]],Table2[[#This Row],[Month]],1))</f>
        <v/>
      </c>
    </row>
    <row r="8391" spans="7:11" x14ac:dyDescent="0.25">
      <c r="G8391" s="1" t="str">
        <f>IF(Table2[[#This Row],[Description]]="","",VLOOKUP(Table2[[#This Row],[Description]],$Q$1:$S$101,2,FALSE))</f>
        <v/>
      </c>
      <c r="H8391" s="1" t="str">
        <f>IF(Table2[[#This Row],[Description]]="","",VLOOKUP(Table2[[#This Row],[Description]],$Q$1:$S$101,3,FALSE))</f>
        <v/>
      </c>
      <c r="I8391" s="1" t="str">
        <f>IF(Table2[[#This Row],[Description]]="","",IF(Table2[[#This Row],[Currency]]=$O$2,$P$2,HLOOKUP(Table2[[#This Row],[Date]],Funds!$C$10:$GV$11,2,FALSE)))</f>
        <v/>
      </c>
      <c r="J8391" s="215" t="str">
        <f>IF(Table2[[#This Row],[Description]]="","",Table2[[#This Row],[Value]]/Table2[[#This Row],[Conversion]])</f>
        <v/>
      </c>
      <c r="K8391" s="45" t="str">
        <f>IF(Table2[[#This Row],[Description]]="","",DATE(Table2[[#This Row],[Year]],Table2[[#This Row],[Month]],1))</f>
        <v/>
      </c>
    </row>
    <row r="8392" spans="7:11" x14ac:dyDescent="0.25">
      <c r="G8392" s="1" t="str">
        <f>IF(Table2[[#This Row],[Description]]="","",VLOOKUP(Table2[[#This Row],[Description]],$Q$1:$S$101,2,FALSE))</f>
        <v/>
      </c>
      <c r="H8392" s="1" t="str">
        <f>IF(Table2[[#This Row],[Description]]="","",VLOOKUP(Table2[[#This Row],[Description]],$Q$1:$S$101,3,FALSE))</f>
        <v/>
      </c>
      <c r="I8392" s="1" t="str">
        <f>IF(Table2[[#This Row],[Description]]="","",IF(Table2[[#This Row],[Currency]]=$O$2,$P$2,HLOOKUP(Table2[[#This Row],[Date]],Funds!$C$10:$GV$11,2,FALSE)))</f>
        <v/>
      </c>
      <c r="J8392" s="215" t="str">
        <f>IF(Table2[[#This Row],[Description]]="","",Table2[[#This Row],[Value]]/Table2[[#This Row],[Conversion]])</f>
        <v/>
      </c>
      <c r="K8392" s="45" t="str">
        <f>IF(Table2[[#This Row],[Description]]="","",DATE(Table2[[#This Row],[Year]],Table2[[#This Row],[Month]],1))</f>
        <v/>
      </c>
    </row>
    <row r="8393" spans="7:11" x14ac:dyDescent="0.25">
      <c r="G8393" s="1" t="str">
        <f>IF(Table2[[#This Row],[Description]]="","",VLOOKUP(Table2[[#This Row],[Description]],$Q$1:$S$101,2,FALSE))</f>
        <v/>
      </c>
      <c r="H8393" s="1" t="str">
        <f>IF(Table2[[#This Row],[Description]]="","",VLOOKUP(Table2[[#This Row],[Description]],$Q$1:$S$101,3,FALSE))</f>
        <v/>
      </c>
      <c r="I8393" s="1" t="str">
        <f>IF(Table2[[#This Row],[Description]]="","",IF(Table2[[#This Row],[Currency]]=$O$2,$P$2,HLOOKUP(Table2[[#This Row],[Date]],Funds!$C$10:$GV$11,2,FALSE)))</f>
        <v/>
      </c>
      <c r="J8393" s="215" t="str">
        <f>IF(Table2[[#This Row],[Description]]="","",Table2[[#This Row],[Value]]/Table2[[#This Row],[Conversion]])</f>
        <v/>
      </c>
      <c r="K8393" s="45" t="str">
        <f>IF(Table2[[#This Row],[Description]]="","",DATE(Table2[[#This Row],[Year]],Table2[[#This Row],[Month]],1))</f>
        <v/>
      </c>
    </row>
    <row r="8394" spans="7:11" x14ac:dyDescent="0.25">
      <c r="G8394" s="1" t="str">
        <f>IF(Table2[[#This Row],[Description]]="","",VLOOKUP(Table2[[#This Row],[Description]],$Q$1:$S$101,2,FALSE))</f>
        <v/>
      </c>
      <c r="H8394" s="1" t="str">
        <f>IF(Table2[[#This Row],[Description]]="","",VLOOKUP(Table2[[#This Row],[Description]],$Q$1:$S$101,3,FALSE))</f>
        <v/>
      </c>
      <c r="I8394" s="1" t="str">
        <f>IF(Table2[[#This Row],[Description]]="","",IF(Table2[[#This Row],[Currency]]=$O$2,$P$2,HLOOKUP(Table2[[#This Row],[Date]],Funds!$C$10:$GV$11,2,FALSE)))</f>
        <v/>
      </c>
      <c r="J8394" s="215" t="str">
        <f>IF(Table2[[#This Row],[Description]]="","",Table2[[#This Row],[Value]]/Table2[[#This Row],[Conversion]])</f>
        <v/>
      </c>
      <c r="K8394" s="45" t="str">
        <f>IF(Table2[[#This Row],[Description]]="","",DATE(Table2[[#This Row],[Year]],Table2[[#This Row],[Month]],1))</f>
        <v/>
      </c>
    </row>
    <row r="8395" spans="7:11" x14ac:dyDescent="0.25">
      <c r="G8395" s="1" t="str">
        <f>IF(Table2[[#This Row],[Description]]="","",VLOOKUP(Table2[[#This Row],[Description]],$Q$1:$S$101,2,FALSE))</f>
        <v/>
      </c>
      <c r="H8395" s="1" t="str">
        <f>IF(Table2[[#This Row],[Description]]="","",VLOOKUP(Table2[[#This Row],[Description]],$Q$1:$S$101,3,FALSE))</f>
        <v/>
      </c>
      <c r="I8395" s="1" t="str">
        <f>IF(Table2[[#This Row],[Description]]="","",IF(Table2[[#This Row],[Currency]]=$O$2,$P$2,HLOOKUP(Table2[[#This Row],[Date]],Funds!$C$10:$GV$11,2,FALSE)))</f>
        <v/>
      </c>
      <c r="J8395" s="215" t="str">
        <f>IF(Table2[[#This Row],[Description]]="","",Table2[[#This Row],[Value]]/Table2[[#This Row],[Conversion]])</f>
        <v/>
      </c>
      <c r="K8395" s="45" t="str">
        <f>IF(Table2[[#This Row],[Description]]="","",DATE(Table2[[#This Row],[Year]],Table2[[#This Row],[Month]],1))</f>
        <v/>
      </c>
    </row>
    <row r="8396" spans="7:11" x14ac:dyDescent="0.25">
      <c r="G8396" s="1" t="str">
        <f>IF(Table2[[#This Row],[Description]]="","",VLOOKUP(Table2[[#This Row],[Description]],$Q$1:$S$101,2,FALSE))</f>
        <v/>
      </c>
      <c r="H8396" s="1" t="str">
        <f>IF(Table2[[#This Row],[Description]]="","",VLOOKUP(Table2[[#This Row],[Description]],$Q$1:$S$101,3,FALSE))</f>
        <v/>
      </c>
      <c r="I8396" s="1" t="str">
        <f>IF(Table2[[#This Row],[Description]]="","",IF(Table2[[#This Row],[Currency]]=$O$2,$P$2,HLOOKUP(Table2[[#This Row],[Date]],Funds!$C$10:$GV$11,2,FALSE)))</f>
        <v/>
      </c>
      <c r="J8396" s="215" t="str">
        <f>IF(Table2[[#This Row],[Description]]="","",Table2[[#This Row],[Value]]/Table2[[#This Row],[Conversion]])</f>
        <v/>
      </c>
      <c r="K8396" s="45" t="str">
        <f>IF(Table2[[#This Row],[Description]]="","",DATE(Table2[[#This Row],[Year]],Table2[[#This Row],[Month]],1))</f>
        <v/>
      </c>
    </row>
    <row r="8397" spans="7:11" x14ac:dyDescent="0.25">
      <c r="G8397" s="1" t="str">
        <f>IF(Table2[[#This Row],[Description]]="","",VLOOKUP(Table2[[#This Row],[Description]],$Q$1:$S$101,2,FALSE))</f>
        <v/>
      </c>
      <c r="H8397" s="1" t="str">
        <f>IF(Table2[[#This Row],[Description]]="","",VLOOKUP(Table2[[#This Row],[Description]],$Q$1:$S$101,3,FALSE))</f>
        <v/>
      </c>
      <c r="I8397" s="1" t="str">
        <f>IF(Table2[[#This Row],[Description]]="","",IF(Table2[[#This Row],[Currency]]=$O$2,$P$2,HLOOKUP(Table2[[#This Row],[Date]],Funds!$C$10:$GV$11,2,FALSE)))</f>
        <v/>
      </c>
      <c r="J8397" s="215" t="str">
        <f>IF(Table2[[#This Row],[Description]]="","",Table2[[#This Row],[Value]]/Table2[[#This Row],[Conversion]])</f>
        <v/>
      </c>
      <c r="K8397" s="45" t="str">
        <f>IF(Table2[[#This Row],[Description]]="","",DATE(Table2[[#This Row],[Year]],Table2[[#This Row],[Month]],1))</f>
        <v/>
      </c>
    </row>
    <row r="8398" spans="7:11" x14ac:dyDescent="0.25">
      <c r="G8398" s="1" t="str">
        <f>IF(Table2[[#This Row],[Description]]="","",VLOOKUP(Table2[[#This Row],[Description]],$Q$1:$S$101,2,FALSE))</f>
        <v/>
      </c>
      <c r="H8398" s="1" t="str">
        <f>IF(Table2[[#This Row],[Description]]="","",VLOOKUP(Table2[[#This Row],[Description]],$Q$1:$S$101,3,FALSE))</f>
        <v/>
      </c>
      <c r="I8398" s="1" t="str">
        <f>IF(Table2[[#This Row],[Description]]="","",IF(Table2[[#This Row],[Currency]]=$O$2,$P$2,HLOOKUP(Table2[[#This Row],[Date]],Funds!$C$10:$GV$11,2,FALSE)))</f>
        <v/>
      </c>
      <c r="J8398" s="215" t="str">
        <f>IF(Table2[[#This Row],[Description]]="","",Table2[[#This Row],[Value]]/Table2[[#This Row],[Conversion]])</f>
        <v/>
      </c>
      <c r="K8398" s="45" t="str">
        <f>IF(Table2[[#This Row],[Description]]="","",DATE(Table2[[#This Row],[Year]],Table2[[#This Row],[Month]],1))</f>
        <v/>
      </c>
    </row>
    <row r="8399" spans="7:11" x14ac:dyDescent="0.25">
      <c r="G8399" s="1" t="str">
        <f>IF(Table2[[#This Row],[Description]]="","",VLOOKUP(Table2[[#This Row],[Description]],$Q$1:$S$101,2,FALSE))</f>
        <v/>
      </c>
      <c r="H8399" s="1" t="str">
        <f>IF(Table2[[#This Row],[Description]]="","",VLOOKUP(Table2[[#This Row],[Description]],$Q$1:$S$101,3,FALSE))</f>
        <v/>
      </c>
      <c r="I8399" s="1" t="str">
        <f>IF(Table2[[#This Row],[Description]]="","",IF(Table2[[#This Row],[Currency]]=$O$2,$P$2,HLOOKUP(Table2[[#This Row],[Date]],Funds!$C$10:$GV$11,2,FALSE)))</f>
        <v/>
      </c>
      <c r="J8399" s="215" t="str">
        <f>IF(Table2[[#This Row],[Description]]="","",Table2[[#This Row],[Value]]/Table2[[#This Row],[Conversion]])</f>
        <v/>
      </c>
      <c r="K8399" s="45" t="str">
        <f>IF(Table2[[#This Row],[Description]]="","",DATE(Table2[[#This Row],[Year]],Table2[[#This Row],[Month]],1))</f>
        <v/>
      </c>
    </row>
    <row r="8400" spans="7:11" x14ac:dyDescent="0.25">
      <c r="G8400" s="1" t="str">
        <f>IF(Table2[[#This Row],[Description]]="","",VLOOKUP(Table2[[#This Row],[Description]],$Q$1:$S$101,2,FALSE))</f>
        <v/>
      </c>
      <c r="H8400" s="1" t="str">
        <f>IF(Table2[[#This Row],[Description]]="","",VLOOKUP(Table2[[#This Row],[Description]],$Q$1:$S$101,3,FALSE))</f>
        <v/>
      </c>
      <c r="I8400" s="1" t="str">
        <f>IF(Table2[[#This Row],[Description]]="","",IF(Table2[[#This Row],[Currency]]=$O$2,$P$2,HLOOKUP(Table2[[#This Row],[Date]],Funds!$C$10:$GV$11,2,FALSE)))</f>
        <v/>
      </c>
      <c r="J8400" s="215" t="str">
        <f>IF(Table2[[#This Row],[Description]]="","",Table2[[#This Row],[Value]]/Table2[[#This Row],[Conversion]])</f>
        <v/>
      </c>
      <c r="K8400" s="45" t="str">
        <f>IF(Table2[[#This Row],[Description]]="","",DATE(Table2[[#This Row],[Year]],Table2[[#This Row],[Month]],1))</f>
        <v/>
      </c>
    </row>
    <row r="8401" spans="7:11" x14ac:dyDescent="0.25">
      <c r="G8401" s="1" t="str">
        <f>IF(Table2[[#This Row],[Description]]="","",VLOOKUP(Table2[[#This Row],[Description]],$Q$1:$S$101,2,FALSE))</f>
        <v/>
      </c>
      <c r="H8401" s="1" t="str">
        <f>IF(Table2[[#This Row],[Description]]="","",VLOOKUP(Table2[[#This Row],[Description]],$Q$1:$S$101,3,FALSE))</f>
        <v/>
      </c>
      <c r="I8401" s="1" t="str">
        <f>IF(Table2[[#This Row],[Description]]="","",IF(Table2[[#This Row],[Currency]]=$O$2,$P$2,HLOOKUP(Table2[[#This Row],[Date]],Funds!$C$10:$GV$11,2,FALSE)))</f>
        <v/>
      </c>
      <c r="J8401" s="215" t="str">
        <f>IF(Table2[[#This Row],[Description]]="","",Table2[[#This Row],[Value]]/Table2[[#This Row],[Conversion]])</f>
        <v/>
      </c>
      <c r="K8401" s="45" t="str">
        <f>IF(Table2[[#This Row],[Description]]="","",DATE(Table2[[#This Row],[Year]],Table2[[#This Row],[Month]],1))</f>
        <v/>
      </c>
    </row>
    <row r="8402" spans="7:11" x14ac:dyDescent="0.25">
      <c r="G8402" s="1" t="str">
        <f>IF(Table2[[#This Row],[Description]]="","",VLOOKUP(Table2[[#This Row],[Description]],$Q$1:$S$101,2,FALSE))</f>
        <v/>
      </c>
      <c r="H8402" s="1" t="str">
        <f>IF(Table2[[#This Row],[Description]]="","",VLOOKUP(Table2[[#This Row],[Description]],$Q$1:$S$101,3,FALSE))</f>
        <v/>
      </c>
      <c r="I8402" s="1" t="str">
        <f>IF(Table2[[#This Row],[Description]]="","",IF(Table2[[#This Row],[Currency]]=$O$2,$P$2,HLOOKUP(Table2[[#This Row],[Date]],Funds!$C$10:$GV$11,2,FALSE)))</f>
        <v/>
      </c>
      <c r="J8402" s="215" t="str">
        <f>IF(Table2[[#This Row],[Description]]="","",Table2[[#This Row],[Value]]/Table2[[#This Row],[Conversion]])</f>
        <v/>
      </c>
      <c r="K8402" s="45" t="str">
        <f>IF(Table2[[#This Row],[Description]]="","",DATE(Table2[[#This Row],[Year]],Table2[[#This Row],[Month]],1))</f>
        <v/>
      </c>
    </row>
    <row r="8403" spans="7:11" x14ac:dyDescent="0.25">
      <c r="G8403" s="1" t="str">
        <f>IF(Table2[[#This Row],[Description]]="","",VLOOKUP(Table2[[#This Row],[Description]],$Q$1:$S$101,2,FALSE))</f>
        <v/>
      </c>
      <c r="H8403" s="1" t="str">
        <f>IF(Table2[[#This Row],[Description]]="","",VLOOKUP(Table2[[#This Row],[Description]],$Q$1:$S$101,3,FALSE))</f>
        <v/>
      </c>
      <c r="I8403" s="1" t="str">
        <f>IF(Table2[[#This Row],[Description]]="","",IF(Table2[[#This Row],[Currency]]=$O$2,$P$2,HLOOKUP(Table2[[#This Row],[Date]],Funds!$C$10:$GV$11,2,FALSE)))</f>
        <v/>
      </c>
      <c r="J8403" s="215" t="str">
        <f>IF(Table2[[#This Row],[Description]]="","",Table2[[#This Row],[Value]]/Table2[[#This Row],[Conversion]])</f>
        <v/>
      </c>
      <c r="K8403" s="45" t="str">
        <f>IF(Table2[[#This Row],[Description]]="","",DATE(Table2[[#This Row],[Year]],Table2[[#This Row],[Month]],1))</f>
        <v/>
      </c>
    </row>
    <row r="8404" spans="7:11" x14ac:dyDescent="0.25">
      <c r="G8404" s="1" t="str">
        <f>IF(Table2[[#This Row],[Description]]="","",VLOOKUP(Table2[[#This Row],[Description]],$Q$1:$S$101,2,FALSE))</f>
        <v/>
      </c>
      <c r="H8404" s="1" t="str">
        <f>IF(Table2[[#This Row],[Description]]="","",VLOOKUP(Table2[[#This Row],[Description]],$Q$1:$S$101,3,FALSE))</f>
        <v/>
      </c>
      <c r="I8404" s="1" t="str">
        <f>IF(Table2[[#This Row],[Description]]="","",IF(Table2[[#This Row],[Currency]]=$O$2,$P$2,HLOOKUP(Table2[[#This Row],[Date]],Funds!$C$10:$GV$11,2,FALSE)))</f>
        <v/>
      </c>
      <c r="J8404" s="215" t="str">
        <f>IF(Table2[[#This Row],[Description]]="","",Table2[[#This Row],[Value]]/Table2[[#This Row],[Conversion]])</f>
        <v/>
      </c>
      <c r="K8404" s="45" t="str">
        <f>IF(Table2[[#This Row],[Description]]="","",DATE(Table2[[#This Row],[Year]],Table2[[#This Row],[Month]],1))</f>
        <v/>
      </c>
    </row>
    <row r="8405" spans="7:11" x14ac:dyDescent="0.25">
      <c r="G8405" s="1" t="str">
        <f>IF(Table2[[#This Row],[Description]]="","",VLOOKUP(Table2[[#This Row],[Description]],$Q$1:$S$101,2,FALSE))</f>
        <v/>
      </c>
      <c r="H8405" s="1" t="str">
        <f>IF(Table2[[#This Row],[Description]]="","",VLOOKUP(Table2[[#This Row],[Description]],$Q$1:$S$101,3,FALSE))</f>
        <v/>
      </c>
      <c r="I8405" s="1" t="str">
        <f>IF(Table2[[#This Row],[Description]]="","",IF(Table2[[#This Row],[Currency]]=$O$2,$P$2,HLOOKUP(Table2[[#This Row],[Date]],Funds!$C$10:$GV$11,2,FALSE)))</f>
        <v/>
      </c>
      <c r="J8405" s="215" t="str">
        <f>IF(Table2[[#This Row],[Description]]="","",Table2[[#This Row],[Value]]/Table2[[#This Row],[Conversion]])</f>
        <v/>
      </c>
      <c r="K8405" s="45" t="str">
        <f>IF(Table2[[#This Row],[Description]]="","",DATE(Table2[[#This Row],[Year]],Table2[[#This Row],[Month]],1))</f>
        <v/>
      </c>
    </row>
    <row r="8406" spans="7:11" x14ac:dyDescent="0.25">
      <c r="G8406" s="1" t="str">
        <f>IF(Table2[[#This Row],[Description]]="","",VLOOKUP(Table2[[#This Row],[Description]],$Q$1:$S$101,2,FALSE))</f>
        <v/>
      </c>
      <c r="H8406" s="1" t="str">
        <f>IF(Table2[[#This Row],[Description]]="","",VLOOKUP(Table2[[#This Row],[Description]],$Q$1:$S$101,3,FALSE))</f>
        <v/>
      </c>
      <c r="I8406" s="1" t="str">
        <f>IF(Table2[[#This Row],[Description]]="","",IF(Table2[[#This Row],[Currency]]=$O$2,$P$2,HLOOKUP(Table2[[#This Row],[Date]],Funds!$C$10:$GV$11,2,FALSE)))</f>
        <v/>
      </c>
      <c r="J8406" s="215" t="str">
        <f>IF(Table2[[#This Row],[Description]]="","",Table2[[#This Row],[Value]]/Table2[[#This Row],[Conversion]])</f>
        <v/>
      </c>
      <c r="K8406" s="45" t="str">
        <f>IF(Table2[[#This Row],[Description]]="","",DATE(Table2[[#This Row],[Year]],Table2[[#This Row],[Month]],1))</f>
        <v/>
      </c>
    </row>
    <row r="8407" spans="7:11" x14ac:dyDescent="0.25">
      <c r="G8407" s="1" t="str">
        <f>IF(Table2[[#This Row],[Description]]="","",VLOOKUP(Table2[[#This Row],[Description]],$Q$1:$S$101,2,FALSE))</f>
        <v/>
      </c>
      <c r="H8407" s="1" t="str">
        <f>IF(Table2[[#This Row],[Description]]="","",VLOOKUP(Table2[[#This Row],[Description]],$Q$1:$S$101,3,FALSE))</f>
        <v/>
      </c>
      <c r="I8407" s="1" t="str">
        <f>IF(Table2[[#This Row],[Description]]="","",IF(Table2[[#This Row],[Currency]]=$O$2,$P$2,HLOOKUP(Table2[[#This Row],[Date]],Funds!$C$10:$GV$11,2,FALSE)))</f>
        <v/>
      </c>
      <c r="J8407" s="215" t="str">
        <f>IF(Table2[[#This Row],[Description]]="","",Table2[[#This Row],[Value]]/Table2[[#This Row],[Conversion]])</f>
        <v/>
      </c>
      <c r="K8407" s="45" t="str">
        <f>IF(Table2[[#This Row],[Description]]="","",DATE(Table2[[#This Row],[Year]],Table2[[#This Row],[Month]],1))</f>
        <v/>
      </c>
    </row>
    <row r="8408" spans="7:11" x14ac:dyDescent="0.25">
      <c r="G8408" s="1" t="str">
        <f>IF(Table2[[#This Row],[Description]]="","",VLOOKUP(Table2[[#This Row],[Description]],$Q$1:$S$101,2,FALSE))</f>
        <v/>
      </c>
      <c r="H8408" s="1" t="str">
        <f>IF(Table2[[#This Row],[Description]]="","",VLOOKUP(Table2[[#This Row],[Description]],$Q$1:$S$101,3,FALSE))</f>
        <v/>
      </c>
      <c r="I8408" s="1" t="str">
        <f>IF(Table2[[#This Row],[Description]]="","",IF(Table2[[#This Row],[Currency]]=$O$2,$P$2,HLOOKUP(Table2[[#This Row],[Date]],Funds!$C$10:$GV$11,2,FALSE)))</f>
        <v/>
      </c>
      <c r="J8408" s="215" t="str">
        <f>IF(Table2[[#This Row],[Description]]="","",Table2[[#This Row],[Value]]/Table2[[#This Row],[Conversion]])</f>
        <v/>
      </c>
      <c r="K8408" s="45" t="str">
        <f>IF(Table2[[#This Row],[Description]]="","",DATE(Table2[[#This Row],[Year]],Table2[[#This Row],[Month]],1))</f>
        <v/>
      </c>
    </row>
    <row r="8409" spans="7:11" x14ac:dyDescent="0.25">
      <c r="G8409" s="1" t="str">
        <f>IF(Table2[[#This Row],[Description]]="","",VLOOKUP(Table2[[#This Row],[Description]],$Q$1:$S$101,2,FALSE))</f>
        <v/>
      </c>
      <c r="H8409" s="1" t="str">
        <f>IF(Table2[[#This Row],[Description]]="","",VLOOKUP(Table2[[#This Row],[Description]],$Q$1:$S$101,3,FALSE))</f>
        <v/>
      </c>
      <c r="I8409" s="1" t="str">
        <f>IF(Table2[[#This Row],[Description]]="","",IF(Table2[[#This Row],[Currency]]=$O$2,$P$2,HLOOKUP(Table2[[#This Row],[Date]],Funds!$C$10:$GV$11,2,FALSE)))</f>
        <v/>
      </c>
      <c r="J8409" s="215" t="str">
        <f>IF(Table2[[#This Row],[Description]]="","",Table2[[#This Row],[Value]]/Table2[[#This Row],[Conversion]])</f>
        <v/>
      </c>
      <c r="K8409" s="45" t="str">
        <f>IF(Table2[[#This Row],[Description]]="","",DATE(Table2[[#This Row],[Year]],Table2[[#This Row],[Month]],1))</f>
        <v/>
      </c>
    </row>
    <row r="8410" spans="7:11" x14ac:dyDescent="0.25">
      <c r="G8410" s="1" t="str">
        <f>IF(Table2[[#This Row],[Description]]="","",VLOOKUP(Table2[[#This Row],[Description]],$Q$1:$S$101,2,FALSE))</f>
        <v/>
      </c>
      <c r="H8410" s="1" t="str">
        <f>IF(Table2[[#This Row],[Description]]="","",VLOOKUP(Table2[[#This Row],[Description]],$Q$1:$S$101,3,FALSE))</f>
        <v/>
      </c>
      <c r="I8410" s="1" t="str">
        <f>IF(Table2[[#This Row],[Description]]="","",IF(Table2[[#This Row],[Currency]]=$O$2,$P$2,HLOOKUP(Table2[[#This Row],[Date]],Funds!$C$10:$GV$11,2,FALSE)))</f>
        <v/>
      </c>
      <c r="J8410" s="215" t="str">
        <f>IF(Table2[[#This Row],[Description]]="","",Table2[[#This Row],[Value]]/Table2[[#This Row],[Conversion]])</f>
        <v/>
      </c>
      <c r="K8410" s="45" t="str">
        <f>IF(Table2[[#This Row],[Description]]="","",DATE(Table2[[#This Row],[Year]],Table2[[#This Row],[Month]],1))</f>
        <v/>
      </c>
    </row>
    <row r="8411" spans="7:11" x14ac:dyDescent="0.25">
      <c r="G8411" s="1" t="str">
        <f>IF(Table2[[#This Row],[Description]]="","",VLOOKUP(Table2[[#This Row],[Description]],$Q$1:$S$101,2,FALSE))</f>
        <v/>
      </c>
      <c r="H8411" s="1" t="str">
        <f>IF(Table2[[#This Row],[Description]]="","",VLOOKUP(Table2[[#This Row],[Description]],$Q$1:$S$101,3,FALSE))</f>
        <v/>
      </c>
      <c r="I8411" s="1" t="str">
        <f>IF(Table2[[#This Row],[Description]]="","",IF(Table2[[#This Row],[Currency]]=$O$2,$P$2,HLOOKUP(Table2[[#This Row],[Date]],Funds!$C$10:$GV$11,2,FALSE)))</f>
        <v/>
      </c>
      <c r="J8411" s="215" t="str">
        <f>IF(Table2[[#This Row],[Description]]="","",Table2[[#This Row],[Value]]/Table2[[#This Row],[Conversion]])</f>
        <v/>
      </c>
      <c r="K8411" s="45" t="str">
        <f>IF(Table2[[#This Row],[Description]]="","",DATE(Table2[[#This Row],[Year]],Table2[[#This Row],[Month]],1))</f>
        <v/>
      </c>
    </row>
    <row r="8412" spans="7:11" x14ac:dyDescent="0.25">
      <c r="G8412" s="1" t="str">
        <f>IF(Table2[[#This Row],[Description]]="","",VLOOKUP(Table2[[#This Row],[Description]],$Q$1:$S$101,2,FALSE))</f>
        <v/>
      </c>
      <c r="H8412" s="1" t="str">
        <f>IF(Table2[[#This Row],[Description]]="","",VLOOKUP(Table2[[#This Row],[Description]],$Q$1:$S$101,3,FALSE))</f>
        <v/>
      </c>
      <c r="I8412" s="1" t="str">
        <f>IF(Table2[[#This Row],[Description]]="","",IF(Table2[[#This Row],[Currency]]=$O$2,$P$2,HLOOKUP(Table2[[#This Row],[Date]],Funds!$C$10:$GV$11,2,FALSE)))</f>
        <v/>
      </c>
      <c r="J8412" s="215" t="str">
        <f>IF(Table2[[#This Row],[Description]]="","",Table2[[#This Row],[Value]]/Table2[[#This Row],[Conversion]])</f>
        <v/>
      </c>
      <c r="K8412" s="45" t="str">
        <f>IF(Table2[[#This Row],[Description]]="","",DATE(Table2[[#This Row],[Year]],Table2[[#This Row],[Month]],1))</f>
        <v/>
      </c>
    </row>
    <row r="8413" spans="7:11" x14ac:dyDescent="0.25">
      <c r="G8413" s="1" t="str">
        <f>IF(Table2[[#This Row],[Description]]="","",VLOOKUP(Table2[[#This Row],[Description]],$Q$1:$S$101,2,FALSE))</f>
        <v/>
      </c>
      <c r="H8413" s="1" t="str">
        <f>IF(Table2[[#This Row],[Description]]="","",VLOOKUP(Table2[[#This Row],[Description]],$Q$1:$S$101,3,FALSE))</f>
        <v/>
      </c>
      <c r="I8413" s="1" t="str">
        <f>IF(Table2[[#This Row],[Description]]="","",IF(Table2[[#This Row],[Currency]]=$O$2,$P$2,HLOOKUP(Table2[[#This Row],[Date]],Funds!$C$10:$GV$11,2,FALSE)))</f>
        <v/>
      </c>
      <c r="J8413" s="215" t="str">
        <f>IF(Table2[[#This Row],[Description]]="","",Table2[[#This Row],[Value]]/Table2[[#This Row],[Conversion]])</f>
        <v/>
      </c>
      <c r="K8413" s="45" t="str">
        <f>IF(Table2[[#This Row],[Description]]="","",DATE(Table2[[#This Row],[Year]],Table2[[#This Row],[Month]],1))</f>
        <v/>
      </c>
    </row>
    <row r="8414" spans="7:11" x14ac:dyDescent="0.25">
      <c r="G8414" s="1" t="str">
        <f>IF(Table2[[#This Row],[Description]]="","",VLOOKUP(Table2[[#This Row],[Description]],$Q$1:$S$101,2,FALSE))</f>
        <v/>
      </c>
      <c r="H8414" s="1" t="str">
        <f>IF(Table2[[#This Row],[Description]]="","",VLOOKUP(Table2[[#This Row],[Description]],$Q$1:$S$101,3,FALSE))</f>
        <v/>
      </c>
      <c r="I8414" s="1" t="str">
        <f>IF(Table2[[#This Row],[Description]]="","",IF(Table2[[#This Row],[Currency]]=$O$2,$P$2,HLOOKUP(Table2[[#This Row],[Date]],Funds!$C$10:$GV$11,2,FALSE)))</f>
        <v/>
      </c>
      <c r="J8414" s="215" t="str">
        <f>IF(Table2[[#This Row],[Description]]="","",Table2[[#This Row],[Value]]/Table2[[#This Row],[Conversion]])</f>
        <v/>
      </c>
      <c r="K8414" s="45" t="str">
        <f>IF(Table2[[#This Row],[Description]]="","",DATE(Table2[[#This Row],[Year]],Table2[[#This Row],[Month]],1))</f>
        <v/>
      </c>
    </row>
    <row r="8415" spans="7:11" x14ac:dyDescent="0.25">
      <c r="G8415" s="1" t="str">
        <f>IF(Table2[[#This Row],[Description]]="","",VLOOKUP(Table2[[#This Row],[Description]],$Q$1:$S$101,2,FALSE))</f>
        <v/>
      </c>
      <c r="H8415" s="1" t="str">
        <f>IF(Table2[[#This Row],[Description]]="","",VLOOKUP(Table2[[#This Row],[Description]],$Q$1:$S$101,3,FALSE))</f>
        <v/>
      </c>
      <c r="I8415" s="1" t="str">
        <f>IF(Table2[[#This Row],[Description]]="","",IF(Table2[[#This Row],[Currency]]=$O$2,$P$2,HLOOKUP(Table2[[#This Row],[Date]],Funds!$C$10:$GV$11,2,FALSE)))</f>
        <v/>
      </c>
      <c r="J8415" s="215" t="str">
        <f>IF(Table2[[#This Row],[Description]]="","",Table2[[#This Row],[Value]]/Table2[[#This Row],[Conversion]])</f>
        <v/>
      </c>
      <c r="K8415" s="45" t="str">
        <f>IF(Table2[[#This Row],[Description]]="","",DATE(Table2[[#This Row],[Year]],Table2[[#This Row],[Month]],1))</f>
        <v/>
      </c>
    </row>
    <row r="8416" spans="7:11" x14ac:dyDescent="0.25">
      <c r="G8416" s="1" t="str">
        <f>IF(Table2[[#This Row],[Description]]="","",VLOOKUP(Table2[[#This Row],[Description]],$Q$1:$S$101,2,FALSE))</f>
        <v/>
      </c>
      <c r="H8416" s="1" t="str">
        <f>IF(Table2[[#This Row],[Description]]="","",VLOOKUP(Table2[[#This Row],[Description]],$Q$1:$S$101,3,FALSE))</f>
        <v/>
      </c>
      <c r="I8416" s="1" t="str">
        <f>IF(Table2[[#This Row],[Description]]="","",IF(Table2[[#This Row],[Currency]]=$O$2,$P$2,HLOOKUP(Table2[[#This Row],[Date]],Funds!$C$10:$GV$11,2,FALSE)))</f>
        <v/>
      </c>
      <c r="J8416" s="215" t="str">
        <f>IF(Table2[[#This Row],[Description]]="","",Table2[[#This Row],[Value]]/Table2[[#This Row],[Conversion]])</f>
        <v/>
      </c>
      <c r="K8416" s="45" t="str">
        <f>IF(Table2[[#This Row],[Description]]="","",DATE(Table2[[#This Row],[Year]],Table2[[#This Row],[Month]],1))</f>
        <v/>
      </c>
    </row>
    <row r="8417" spans="7:11" x14ac:dyDescent="0.25">
      <c r="G8417" s="1" t="str">
        <f>IF(Table2[[#This Row],[Description]]="","",VLOOKUP(Table2[[#This Row],[Description]],$Q$1:$S$101,2,FALSE))</f>
        <v/>
      </c>
      <c r="H8417" s="1" t="str">
        <f>IF(Table2[[#This Row],[Description]]="","",VLOOKUP(Table2[[#This Row],[Description]],$Q$1:$S$101,3,FALSE))</f>
        <v/>
      </c>
      <c r="I8417" s="1" t="str">
        <f>IF(Table2[[#This Row],[Description]]="","",IF(Table2[[#This Row],[Currency]]=$O$2,$P$2,HLOOKUP(Table2[[#This Row],[Date]],Funds!$C$10:$GV$11,2,FALSE)))</f>
        <v/>
      </c>
      <c r="J8417" s="215" t="str">
        <f>IF(Table2[[#This Row],[Description]]="","",Table2[[#This Row],[Value]]/Table2[[#This Row],[Conversion]])</f>
        <v/>
      </c>
      <c r="K8417" s="45" t="str">
        <f>IF(Table2[[#This Row],[Description]]="","",DATE(Table2[[#This Row],[Year]],Table2[[#This Row],[Month]],1))</f>
        <v/>
      </c>
    </row>
    <row r="8418" spans="7:11" x14ac:dyDescent="0.25">
      <c r="G8418" s="1" t="str">
        <f>IF(Table2[[#This Row],[Description]]="","",VLOOKUP(Table2[[#This Row],[Description]],$Q$1:$S$101,2,FALSE))</f>
        <v/>
      </c>
      <c r="H8418" s="1" t="str">
        <f>IF(Table2[[#This Row],[Description]]="","",VLOOKUP(Table2[[#This Row],[Description]],$Q$1:$S$101,3,FALSE))</f>
        <v/>
      </c>
      <c r="I8418" s="1" t="str">
        <f>IF(Table2[[#This Row],[Description]]="","",IF(Table2[[#This Row],[Currency]]=$O$2,$P$2,HLOOKUP(Table2[[#This Row],[Date]],Funds!$C$10:$GV$11,2,FALSE)))</f>
        <v/>
      </c>
      <c r="J8418" s="215" t="str">
        <f>IF(Table2[[#This Row],[Description]]="","",Table2[[#This Row],[Value]]/Table2[[#This Row],[Conversion]])</f>
        <v/>
      </c>
      <c r="K8418" s="45" t="str">
        <f>IF(Table2[[#This Row],[Description]]="","",DATE(Table2[[#This Row],[Year]],Table2[[#This Row],[Month]],1))</f>
        <v/>
      </c>
    </row>
    <row r="8419" spans="7:11" x14ac:dyDescent="0.25">
      <c r="G8419" s="1" t="str">
        <f>IF(Table2[[#This Row],[Description]]="","",VLOOKUP(Table2[[#This Row],[Description]],$Q$1:$S$101,2,FALSE))</f>
        <v/>
      </c>
      <c r="H8419" s="1" t="str">
        <f>IF(Table2[[#This Row],[Description]]="","",VLOOKUP(Table2[[#This Row],[Description]],$Q$1:$S$101,3,FALSE))</f>
        <v/>
      </c>
      <c r="I8419" s="1" t="str">
        <f>IF(Table2[[#This Row],[Description]]="","",IF(Table2[[#This Row],[Currency]]=$O$2,$P$2,HLOOKUP(Table2[[#This Row],[Date]],Funds!$C$10:$GV$11,2,FALSE)))</f>
        <v/>
      </c>
      <c r="J8419" s="215" t="str">
        <f>IF(Table2[[#This Row],[Description]]="","",Table2[[#This Row],[Value]]/Table2[[#This Row],[Conversion]])</f>
        <v/>
      </c>
      <c r="K8419" s="45" t="str">
        <f>IF(Table2[[#This Row],[Description]]="","",DATE(Table2[[#This Row],[Year]],Table2[[#This Row],[Month]],1))</f>
        <v/>
      </c>
    </row>
    <row r="8420" spans="7:11" x14ac:dyDescent="0.25">
      <c r="G8420" s="1" t="str">
        <f>IF(Table2[[#This Row],[Description]]="","",VLOOKUP(Table2[[#This Row],[Description]],$Q$1:$S$101,2,FALSE))</f>
        <v/>
      </c>
      <c r="H8420" s="1" t="str">
        <f>IF(Table2[[#This Row],[Description]]="","",VLOOKUP(Table2[[#This Row],[Description]],$Q$1:$S$101,3,FALSE))</f>
        <v/>
      </c>
      <c r="I8420" s="1" t="str">
        <f>IF(Table2[[#This Row],[Description]]="","",IF(Table2[[#This Row],[Currency]]=$O$2,$P$2,HLOOKUP(Table2[[#This Row],[Date]],Funds!$C$10:$GV$11,2,FALSE)))</f>
        <v/>
      </c>
      <c r="J8420" s="215" t="str">
        <f>IF(Table2[[#This Row],[Description]]="","",Table2[[#This Row],[Value]]/Table2[[#This Row],[Conversion]])</f>
        <v/>
      </c>
      <c r="K8420" s="45" t="str">
        <f>IF(Table2[[#This Row],[Description]]="","",DATE(Table2[[#This Row],[Year]],Table2[[#This Row],[Month]],1))</f>
        <v/>
      </c>
    </row>
    <row r="8421" spans="7:11" x14ac:dyDescent="0.25">
      <c r="G8421" s="1" t="str">
        <f>IF(Table2[[#This Row],[Description]]="","",VLOOKUP(Table2[[#This Row],[Description]],$Q$1:$S$101,2,FALSE))</f>
        <v/>
      </c>
      <c r="H8421" s="1" t="str">
        <f>IF(Table2[[#This Row],[Description]]="","",VLOOKUP(Table2[[#This Row],[Description]],$Q$1:$S$101,3,FALSE))</f>
        <v/>
      </c>
      <c r="I8421" s="1" t="str">
        <f>IF(Table2[[#This Row],[Description]]="","",IF(Table2[[#This Row],[Currency]]=$O$2,$P$2,HLOOKUP(Table2[[#This Row],[Date]],Funds!$C$10:$GV$11,2,FALSE)))</f>
        <v/>
      </c>
      <c r="J8421" s="215" t="str">
        <f>IF(Table2[[#This Row],[Description]]="","",Table2[[#This Row],[Value]]/Table2[[#This Row],[Conversion]])</f>
        <v/>
      </c>
      <c r="K8421" s="45" t="str">
        <f>IF(Table2[[#This Row],[Description]]="","",DATE(Table2[[#This Row],[Year]],Table2[[#This Row],[Month]],1))</f>
        <v/>
      </c>
    </row>
    <row r="8422" spans="7:11" x14ac:dyDescent="0.25">
      <c r="G8422" s="1" t="str">
        <f>IF(Table2[[#This Row],[Description]]="","",VLOOKUP(Table2[[#This Row],[Description]],$Q$1:$S$101,2,FALSE))</f>
        <v/>
      </c>
      <c r="H8422" s="1" t="str">
        <f>IF(Table2[[#This Row],[Description]]="","",VLOOKUP(Table2[[#This Row],[Description]],$Q$1:$S$101,3,FALSE))</f>
        <v/>
      </c>
      <c r="I8422" s="1" t="str">
        <f>IF(Table2[[#This Row],[Description]]="","",IF(Table2[[#This Row],[Currency]]=$O$2,$P$2,HLOOKUP(Table2[[#This Row],[Date]],Funds!$C$10:$GV$11,2,FALSE)))</f>
        <v/>
      </c>
      <c r="J8422" s="215" t="str">
        <f>IF(Table2[[#This Row],[Description]]="","",Table2[[#This Row],[Value]]/Table2[[#This Row],[Conversion]])</f>
        <v/>
      </c>
      <c r="K8422" s="45" t="str">
        <f>IF(Table2[[#This Row],[Description]]="","",DATE(Table2[[#This Row],[Year]],Table2[[#This Row],[Month]],1))</f>
        <v/>
      </c>
    </row>
    <row r="8423" spans="7:11" x14ac:dyDescent="0.25">
      <c r="G8423" s="1" t="str">
        <f>IF(Table2[[#This Row],[Description]]="","",VLOOKUP(Table2[[#This Row],[Description]],$Q$1:$S$101,2,FALSE))</f>
        <v/>
      </c>
      <c r="H8423" s="1" t="str">
        <f>IF(Table2[[#This Row],[Description]]="","",VLOOKUP(Table2[[#This Row],[Description]],$Q$1:$S$101,3,FALSE))</f>
        <v/>
      </c>
      <c r="I8423" s="1" t="str">
        <f>IF(Table2[[#This Row],[Description]]="","",IF(Table2[[#This Row],[Currency]]=$O$2,$P$2,HLOOKUP(Table2[[#This Row],[Date]],Funds!$C$10:$GV$11,2,FALSE)))</f>
        <v/>
      </c>
      <c r="J8423" s="215" t="str">
        <f>IF(Table2[[#This Row],[Description]]="","",Table2[[#This Row],[Value]]/Table2[[#This Row],[Conversion]])</f>
        <v/>
      </c>
      <c r="K8423" s="45" t="str">
        <f>IF(Table2[[#This Row],[Description]]="","",DATE(Table2[[#This Row],[Year]],Table2[[#This Row],[Month]],1))</f>
        <v/>
      </c>
    </row>
    <row r="8424" spans="7:11" x14ac:dyDescent="0.25">
      <c r="G8424" s="1" t="str">
        <f>IF(Table2[[#This Row],[Description]]="","",VLOOKUP(Table2[[#This Row],[Description]],$Q$1:$S$101,2,FALSE))</f>
        <v/>
      </c>
      <c r="H8424" s="1" t="str">
        <f>IF(Table2[[#This Row],[Description]]="","",VLOOKUP(Table2[[#This Row],[Description]],$Q$1:$S$101,3,FALSE))</f>
        <v/>
      </c>
      <c r="I8424" s="1" t="str">
        <f>IF(Table2[[#This Row],[Description]]="","",IF(Table2[[#This Row],[Currency]]=$O$2,$P$2,HLOOKUP(Table2[[#This Row],[Date]],Funds!$C$10:$GV$11,2,FALSE)))</f>
        <v/>
      </c>
      <c r="J8424" s="215" t="str">
        <f>IF(Table2[[#This Row],[Description]]="","",Table2[[#This Row],[Value]]/Table2[[#This Row],[Conversion]])</f>
        <v/>
      </c>
      <c r="K8424" s="45" t="str">
        <f>IF(Table2[[#This Row],[Description]]="","",DATE(Table2[[#This Row],[Year]],Table2[[#This Row],[Month]],1))</f>
        <v/>
      </c>
    </row>
    <row r="8425" spans="7:11" x14ac:dyDescent="0.25">
      <c r="G8425" s="1" t="str">
        <f>IF(Table2[[#This Row],[Description]]="","",VLOOKUP(Table2[[#This Row],[Description]],$Q$1:$S$101,2,FALSE))</f>
        <v/>
      </c>
      <c r="H8425" s="1" t="str">
        <f>IF(Table2[[#This Row],[Description]]="","",VLOOKUP(Table2[[#This Row],[Description]],$Q$1:$S$101,3,FALSE))</f>
        <v/>
      </c>
      <c r="I8425" s="1" t="str">
        <f>IF(Table2[[#This Row],[Description]]="","",IF(Table2[[#This Row],[Currency]]=$O$2,$P$2,HLOOKUP(Table2[[#This Row],[Date]],Funds!$C$10:$GV$11,2,FALSE)))</f>
        <v/>
      </c>
      <c r="J8425" s="215" t="str">
        <f>IF(Table2[[#This Row],[Description]]="","",Table2[[#This Row],[Value]]/Table2[[#This Row],[Conversion]])</f>
        <v/>
      </c>
      <c r="K8425" s="45" t="str">
        <f>IF(Table2[[#This Row],[Description]]="","",DATE(Table2[[#This Row],[Year]],Table2[[#This Row],[Month]],1))</f>
        <v/>
      </c>
    </row>
    <row r="8426" spans="7:11" x14ac:dyDescent="0.25">
      <c r="G8426" s="1" t="str">
        <f>IF(Table2[[#This Row],[Description]]="","",VLOOKUP(Table2[[#This Row],[Description]],$Q$1:$S$101,2,FALSE))</f>
        <v/>
      </c>
      <c r="H8426" s="1" t="str">
        <f>IF(Table2[[#This Row],[Description]]="","",VLOOKUP(Table2[[#This Row],[Description]],$Q$1:$S$101,3,FALSE))</f>
        <v/>
      </c>
      <c r="I8426" s="1" t="str">
        <f>IF(Table2[[#This Row],[Description]]="","",IF(Table2[[#This Row],[Currency]]=$O$2,$P$2,HLOOKUP(Table2[[#This Row],[Date]],Funds!$C$10:$GV$11,2,FALSE)))</f>
        <v/>
      </c>
      <c r="J8426" s="215" t="str">
        <f>IF(Table2[[#This Row],[Description]]="","",Table2[[#This Row],[Value]]/Table2[[#This Row],[Conversion]])</f>
        <v/>
      </c>
      <c r="K8426" s="45" t="str">
        <f>IF(Table2[[#This Row],[Description]]="","",DATE(Table2[[#This Row],[Year]],Table2[[#This Row],[Month]],1))</f>
        <v/>
      </c>
    </row>
    <row r="8427" spans="7:11" x14ac:dyDescent="0.25">
      <c r="G8427" s="1" t="str">
        <f>IF(Table2[[#This Row],[Description]]="","",VLOOKUP(Table2[[#This Row],[Description]],$Q$1:$S$101,2,FALSE))</f>
        <v/>
      </c>
      <c r="H8427" s="1" t="str">
        <f>IF(Table2[[#This Row],[Description]]="","",VLOOKUP(Table2[[#This Row],[Description]],$Q$1:$S$101,3,FALSE))</f>
        <v/>
      </c>
      <c r="I8427" s="1" t="str">
        <f>IF(Table2[[#This Row],[Description]]="","",IF(Table2[[#This Row],[Currency]]=$O$2,$P$2,HLOOKUP(Table2[[#This Row],[Date]],Funds!$C$10:$GV$11,2,FALSE)))</f>
        <v/>
      </c>
      <c r="J8427" s="215" t="str">
        <f>IF(Table2[[#This Row],[Description]]="","",Table2[[#This Row],[Value]]/Table2[[#This Row],[Conversion]])</f>
        <v/>
      </c>
      <c r="K8427" s="45" t="str">
        <f>IF(Table2[[#This Row],[Description]]="","",DATE(Table2[[#This Row],[Year]],Table2[[#This Row],[Month]],1))</f>
        <v/>
      </c>
    </row>
    <row r="8428" spans="7:11" x14ac:dyDescent="0.25">
      <c r="G8428" s="1" t="str">
        <f>IF(Table2[[#This Row],[Description]]="","",VLOOKUP(Table2[[#This Row],[Description]],$Q$1:$S$101,2,FALSE))</f>
        <v/>
      </c>
      <c r="H8428" s="1" t="str">
        <f>IF(Table2[[#This Row],[Description]]="","",VLOOKUP(Table2[[#This Row],[Description]],$Q$1:$S$101,3,FALSE))</f>
        <v/>
      </c>
      <c r="I8428" s="1" t="str">
        <f>IF(Table2[[#This Row],[Description]]="","",IF(Table2[[#This Row],[Currency]]=$O$2,$P$2,HLOOKUP(Table2[[#This Row],[Date]],Funds!$C$10:$GV$11,2,FALSE)))</f>
        <v/>
      </c>
      <c r="J8428" s="215" t="str">
        <f>IF(Table2[[#This Row],[Description]]="","",Table2[[#This Row],[Value]]/Table2[[#This Row],[Conversion]])</f>
        <v/>
      </c>
      <c r="K8428" s="45" t="str">
        <f>IF(Table2[[#This Row],[Description]]="","",DATE(Table2[[#This Row],[Year]],Table2[[#This Row],[Month]],1))</f>
        <v/>
      </c>
    </row>
    <row r="8429" spans="7:11" x14ac:dyDescent="0.25">
      <c r="G8429" s="1" t="str">
        <f>IF(Table2[[#This Row],[Description]]="","",VLOOKUP(Table2[[#This Row],[Description]],$Q$1:$S$101,2,FALSE))</f>
        <v/>
      </c>
      <c r="H8429" s="1" t="str">
        <f>IF(Table2[[#This Row],[Description]]="","",VLOOKUP(Table2[[#This Row],[Description]],$Q$1:$S$101,3,FALSE))</f>
        <v/>
      </c>
      <c r="I8429" s="1" t="str">
        <f>IF(Table2[[#This Row],[Description]]="","",IF(Table2[[#This Row],[Currency]]=$O$2,$P$2,HLOOKUP(Table2[[#This Row],[Date]],Funds!$C$10:$GV$11,2,FALSE)))</f>
        <v/>
      </c>
      <c r="J8429" s="215" t="str">
        <f>IF(Table2[[#This Row],[Description]]="","",Table2[[#This Row],[Value]]/Table2[[#This Row],[Conversion]])</f>
        <v/>
      </c>
      <c r="K8429" s="45" t="str">
        <f>IF(Table2[[#This Row],[Description]]="","",DATE(Table2[[#This Row],[Year]],Table2[[#This Row],[Month]],1))</f>
        <v/>
      </c>
    </row>
    <row r="8430" spans="7:11" x14ac:dyDescent="0.25">
      <c r="G8430" s="1" t="str">
        <f>IF(Table2[[#This Row],[Description]]="","",VLOOKUP(Table2[[#This Row],[Description]],$Q$1:$S$101,2,FALSE))</f>
        <v/>
      </c>
      <c r="H8430" s="1" t="str">
        <f>IF(Table2[[#This Row],[Description]]="","",VLOOKUP(Table2[[#This Row],[Description]],$Q$1:$S$101,3,FALSE))</f>
        <v/>
      </c>
      <c r="I8430" s="1" t="str">
        <f>IF(Table2[[#This Row],[Description]]="","",IF(Table2[[#This Row],[Currency]]=$O$2,$P$2,HLOOKUP(Table2[[#This Row],[Date]],Funds!$C$10:$GV$11,2,FALSE)))</f>
        <v/>
      </c>
      <c r="J8430" s="215" t="str">
        <f>IF(Table2[[#This Row],[Description]]="","",Table2[[#This Row],[Value]]/Table2[[#This Row],[Conversion]])</f>
        <v/>
      </c>
      <c r="K8430" s="45" t="str">
        <f>IF(Table2[[#This Row],[Description]]="","",DATE(Table2[[#This Row],[Year]],Table2[[#This Row],[Month]],1))</f>
        <v/>
      </c>
    </row>
    <row r="8431" spans="7:11" x14ac:dyDescent="0.25">
      <c r="G8431" s="1" t="str">
        <f>IF(Table2[[#This Row],[Description]]="","",VLOOKUP(Table2[[#This Row],[Description]],$Q$1:$S$101,2,FALSE))</f>
        <v/>
      </c>
      <c r="H8431" s="1" t="str">
        <f>IF(Table2[[#This Row],[Description]]="","",VLOOKUP(Table2[[#This Row],[Description]],$Q$1:$S$101,3,FALSE))</f>
        <v/>
      </c>
      <c r="I8431" s="1" t="str">
        <f>IF(Table2[[#This Row],[Description]]="","",IF(Table2[[#This Row],[Currency]]=$O$2,$P$2,HLOOKUP(Table2[[#This Row],[Date]],Funds!$C$10:$GV$11,2,FALSE)))</f>
        <v/>
      </c>
      <c r="J8431" s="215" t="str">
        <f>IF(Table2[[#This Row],[Description]]="","",Table2[[#This Row],[Value]]/Table2[[#This Row],[Conversion]])</f>
        <v/>
      </c>
      <c r="K8431" s="45" t="str">
        <f>IF(Table2[[#This Row],[Description]]="","",DATE(Table2[[#This Row],[Year]],Table2[[#This Row],[Month]],1))</f>
        <v/>
      </c>
    </row>
    <row r="8432" spans="7:11" x14ac:dyDescent="0.25">
      <c r="G8432" s="1" t="str">
        <f>IF(Table2[[#This Row],[Description]]="","",VLOOKUP(Table2[[#This Row],[Description]],$Q$1:$S$101,2,FALSE))</f>
        <v/>
      </c>
      <c r="H8432" s="1" t="str">
        <f>IF(Table2[[#This Row],[Description]]="","",VLOOKUP(Table2[[#This Row],[Description]],$Q$1:$S$101,3,FALSE))</f>
        <v/>
      </c>
      <c r="I8432" s="1" t="str">
        <f>IF(Table2[[#This Row],[Description]]="","",IF(Table2[[#This Row],[Currency]]=$O$2,$P$2,HLOOKUP(Table2[[#This Row],[Date]],Funds!$C$10:$GV$11,2,FALSE)))</f>
        <v/>
      </c>
      <c r="J8432" s="215" t="str">
        <f>IF(Table2[[#This Row],[Description]]="","",Table2[[#This Row],[Value]]/Table2[[#This Row],[Conversion]])</f>
        <v/>
      </c>
      <c r="K8432" s="45" t="str">
        <f>IF(Table2[[#This Row],[Description]]="","",DATE(Table2[[#This Row],[Year]],Table2[[#This Row],[Month]],1))</f>
        <v/>
      </c>
    </row>
    <row r="8433" spans="7:11" x14ac:dyDescent="0.25">
      <c r="G8433" s="1" t="str">
        <f>IF(Table2[[#This Row],[Description]]="","",VLOOKUP(Table2[[#This Row],[Description]],$Q$1:$S$101,2,FALSE))</f>
        <v/>
      </c>
      <c r="H8433" s="1" t="str">
        <f>IF(Table2[[#This Row],[Description]]="","",VLOOKUP(Table2[[#This Row],[Description]],$Q$1:$S$101,3,FALSE))</f>
        <v/>
      </c>
      <c r="I8433" s="1" t="str">
        <f>IF(Table2[[#This Row],[Description]]="","",IF(Table2[[#This Row],[Currency]]=$O$2,$P$2,HLOOKUP(Table2[[#This Row],[Date]],Funds!$C$10:$GV$11,2,FALSE)))</f>
        <v/>
      </c>
      <c r="J8433" s="215" t="str">
        <f>IF(Table2[[#This Row],[Description]]="","",Table2[[#This Row],[Value]]/Table2[[#This Row],[Conversion]])</f>
        <v/>
      </c>
      <c r="K8433" s="45" t="str">
        <f>IF(Table2[[#This Row],[Description]]="","",DATE(Table2[[#This Row],[Year]],Table2[[#This Row],[Month]],1))</f>
        <v/>
      </c>
    </row>
    <row r="8434" spans="7:11" x14ac:dyDescent="0.25">
      <c r="G8434" s="1" t="str">
        <f>IF(Table2[[#This Row],[Description]]="","",VLOOKUP(Table2[[#This Row],[Description]],$Q$1:$S$101,2,FALSE))</f>
        <v/>
      </c>
      <c r="H8434" s="1" t="str">
        <f>IF(Table2[[#This Row],[Description]]="","",VLOOKUP(Table2[[#This Row],[Description]],$Q$1:$S$101,3,FALSE))</f>
        <v/>
      </c>
      <c r="I8434" s="1" t="str">
        <f>IF(Table2[[#This Row],[Description]]="","",IF(Table2[[#This Row],[Currency]]=$O$2,$P$2,HLOOKUP(Table2[[#This Row],[Date]],Funds!$C$10:$GV$11,2,FALSE)))</f>
        <v/>
      </c>
      <c r="J8434" s="215" t="str">
        <f>IF(Table2[[#This Row],[Description]]="","",Table2[[#This Row],[Value]]/Table2[[#This Row],[Conversion]])</f>
        <v/>
      </c>
      <c r="K8434" s="45" t="str">
        <f>IF(Table2[[#This Row],[Description]]="","",DATE(Table2[[#This Row],[Year]],Table2[[#This Row],[Month]],1))</f>
        <v/>
      </c>
    </row>
    <row r="8435" spans="7:11" x14ac:dyDescent="0.25">
      <c r="G8435" s="1" t="str">
        <f>IF(Table2[[#This Row],[Description]]="","",VLOOKUP(Table2[[#This Row],[Description]],$Q$1:$S$101,2,FALSE))</f>
        <v/>
      </c>
      <c r="H8435" s="1" t="str">
        <f>IF(Table2[[#This Row],[Description]]="","",VLOOKUP(Table2[[#This Row],[Description]],$Q$1:$S$101,3,FALSE))</f>
        <v/>
      </c>
      <c r="I8435" s="1" t="str">
        <f>IF(Table2[[#This Row],[Description]]="","",IF(Table2[[#This Row],[Currency]]=$O$2,$P$2,HLOOKUP(Table2[[#This Row],[Date]],Funds!$C$10:$GV$11,2,FALSE)))</f>
        <v/>
      </c>
      <c r="J8435" s="215" t="str">
        <f>IF(Table2[[#This Row],[Description]]="","",Table2[[#This Row],[Value]]/Table2[[#This Row],[Conversion]])</f>
        <v/>
      </c>
      <c r="K8435" s="45" t="str">
        <f>IF(Table2[[#This Row],[Description]]="","",DATE(Table2[[#This Row],[Year]],Table2[[#This Row],[Month]],1))</f>
        <v/>
      </c>
    </row>
    <row r="8436" spans="7:11" x14ac:dyDescent="0.25">
      <c r="G8436" s="1" t="str">
        <f>IF(Table2[[#This Row],[Description]]="","",VLOOKUP(Table2[[#This Row],[Description]],$Q$1:$S$101,2,FALSE))</f>
        <v/>
      </c>
      <c r="H8436" s="1" t="str">
        <f>IF(Table2[[#This Row],[Description]]="","",VLOOKUP(Table2[[#This Row],[Description]],$Q$1:$S$101,3,FALSE))</f>
        <v/>
      </c>
      <c r="I8436" s="1" t="str">
        <f>IF(Table2[[#This Row],[Description]]="","",IF(Table2[[#This Row],[Currency]]=$O$2,$P$2,HLOOKUP(Table2[[#This Row],[Date]],Funds!$C$10:$GV$11,2,FALSE)))</f>
        <v/>
      </c>
      <c r="J8436" s="215" t="str">
        <f>IF(Table2[[#This Row],[Description]]="","",Table2[[#This Row],[Value]]/Table2[[#This Row],[Conversion]])</f>
        <v/>
      </c>
      <c r="K8436" s="45" t="str">
        <f>IF(Table2[[#This Row],[Description]]="","",DATE(Table2[[#This Row],[Year]],Table2[[#This Row],[Month]],1))</f>
        <v/>
      </c>
    </row>
    <row r="8437" spans="7:11" x14ac:dyDescent="0.25">
      <c r="G8437" s="1" t="str">
        <f>IF(Table2[[#This Row],[Description]]="","",VLOOKUP(Table2[[#This Row],[Description]],$Q$1:$S$101,2,FALSE))</f>
        <v/>
      </c>
      <c r="H8437" s="1" t="str">
        <f>IF(Table2[[#This Row],[Description]]="","",VLOOKUP(Table2[[#This Row],[Description]],$Q$1:$S$101,3,FALSE))</f>
        <v/>
      </c>
      <c r="I8437" s="1" t="str">
        <f>IF(Table2[[#This Row],[Description]]="","",IF(Table2[[#This Row],[Currency]]=$O$2,$P$2,HLOOKUP(Table2[[#This Row],[Date]],Funds!$C$10:$GV$11,2,FALSE)))</f>
        <v/>
      </c>
      <c r="J8437" s="215" t="str">
        <f>IF(Table2[[#This Row],[Description]]="","",Table2[[#This Row],[Value]]/Table2[[#This Row],[Conversion]])</f>
        <v/>
      </c>
      <c r="K8437" s="45" t="str">
        <f>IF(Table2[[#This Row],[Description]]="","",DATE(Table2[[#This Row],[Year]],Table2[[#This Row],[Month]],1))</f>
        <v/>
      </c>
    </row>
    <row r="8438" spans="7:11" x14ac:dyDescent="0.25">
      <c r="G8438" s="1" t="str">
        <f>IF(Table2[[#This Row],[Description]]="","",VLOOKUP(Table2[[#This Row],[Description]],$Q$1:$S$101,2,FALSE))</f>
        <v/>
      </c>
      <c r="H8438" s="1" t="str">
        <f>IF(Table2[[#This Row],[Description]]="","",VLOOKUP(Table2[[#This Row],[Description]],$Q$1:$S$101,3,FALSE))</f>
        <v/>
      </c>
      <c r="I8438" s="1" t="str">
        <f>IF(Table2[[#This Row],[Description]]="","",IF(Table2[[#This Row],[Currency]]=$O$2,$P$2,HLOOKUP(Table2[[#This Row],[Date]],Funds!$C$10:$GV$11,2,FALSE)))</f>
        <v/>
      </c>
      <c r="J8438" s="215" t="str">
        <f>IF(Table2[[#This Row],[Description]]="","",Table2[[#This Row],[Value]]/Table2[[#This Row],[Conversion]])</f>
        <v/>
      </c>
      <c r="K8438" s="45" t="str">
        <f>IF(Table2[[#This Row],[Description]]="","",DATE(Table2[[#This Row],[Year]],Table2[[#This Row],[Month]],1))</f>
        <v/>
      </c>
    </row>
    <row r="8439" spans="7:11" x14ac:dyDescent="0.25">
      <c r="G8439" s="1" t="str">
        <f>IF(Table2[[#This Row],[Description]]="","",VLOOKUP(Table2[[#This Row],[Description]],$Q$1:$S$101,2,FALSE))</f>
        <v/>
      </c>
      <c r="H8439" s="1" t="str">
        <f>IF(Table2[[#This Row],[Description]]="","",VLOOKUP(Table2[[#This Row],[Description]],$Q$1:$S$101,3,FALSE))</f>
        <v/>
      </c>
      <c r="I8439" s="1" t="str">
        <f>IF(Table2[[#This Row],[Description]]="","",IF(Table2[[#This Row],[Currency]]=$O$2,$P$2,HLOOKUP(Table2[[#This Row],[Date]],Funds!$C$10:$GV$11,2,FALSE)))</f>
        <v/>
      </c>
      <c r="J8439" s="215" t="str">
        <f>IF(Table2[[#This Row],[Description]]="","",Table2[[#This Row],[Value]]/Table2[[#This Row],[Conversion]])</f>
        <v/>
      </c>
      <c r="K8439" s="45" t="str">
        <f>IF(Table2[[#This Row],[Description]]="","",DATE(Table2[[#This Row],[Year]],Table2[[#This Row],[Month]],1))</f>
        <v/>
      </c>
    </row>
    <row r="8440" spans="7:11" x14ac:dyDescent="0.25">
      <c r="G8440" s="1" t="str">
        <f>IF(Table2[[#This Row],[Description]]="","",VLOOKUP(Table2[[#This Row],[Description]],$Q$1:$S$101,2,FALSE))</f>
        <v/>
      </c>
      <c r="H8440" s="1" t="str">
        <f>IF(Table2[[#This Row],[Description]]="","",VLOOKUP(Table2[[#This Row],[Description]],$Q$1:$S$101,3,FALSE))</f>
        <v/>
      </c>
      <c r="I8440" s="1" t="str">
        <f>IF(Table2[[#This Row],[Description]]="","",IF(Table2[[#This Row],[Currency]]=$O$2,$P$2,HLOOKUP(Table2[[#This Row],[Date]],Funds!$C$10:$GV$11,2,FALSE)))</f>
        <v/>
      </c>
      <c r="J8440" s="215" t="str">
        <f>IF(Table2[[#This Row],[Description]]="","",Table2[[#This Row],[Value]]/Table2[[#This Row],[Conversion]])</f>
        <v/>
      </c>
      <c r="K8440" s="45" t="str">
        <f>IF(Table2[[#This Row],[Description]]="","",DATE(Table2[[#This Row],[Year]],Table2[[#This Row],[Month]],1))</f>
        <v/>
      </c>
    </row>
    <row r="8441" spans="7:11" x14ac:dyDescent="0.25">
      <c r="G8441" s="1" t="str">
        <f>IF(Table2[[#This Row],[Description]]="","",VLOOKUP(Table2[[#This Row],[Description]],$Q$1:$S$101,2,FALSE))</f>
        <v/>
      </c>
      <c r="H8441" s="1" t="str">
        <f>IF(Table2[[#This Row],[Description]]="","",VLOOKUP(Table2[[#This Row],[Description]],$Q$1:$S$101,3,FALSE))</f>
        <v/>
      </c>
      <c r="I8441" s="1" t="str">
        <f>IF(Table2[[#This Row],[Description]]="","",IF(Table2[[#This Row],[Currency]]=$O$2,$P$2,HLOOKUP(Table2[[#This Row],[Date]],Funds!$C$10:$GV$11,2,FALSE)))</f>
        <v/>
      </c>
      <c r="J8441" s="215" t="str">
        <f>IF(Table2[[#This Row],[Description]]="","",Table2[[#This Row],[Value]]/Table2[[#This Row],[Conversion]])</f>
        <v/>
      </c>
      <c r="K8441" s="45" t="str">
        <f>IF(Table2[[#This Row],[Description]]="","",DATE(Table2[[#This Row],[Year]],Table2[[#This Row],[Month]],1))</f>
        <v/>
      </c>
    </row>
    <row r="8442" spans="7:11" x14ac:dyDescent="0.25">
      <c r="G8442" s="1" t="str">
        <f>IF(Table2[[#This Row],[Description]]="","",VLOOKUP(Table2[[#This Row],[Description]],$Q$1:$S$101,2,FALSE))</f>
        <v/>
      </c>
      <c r="H8442" s="1" t="str">
        <f>IF(Table2[[#This Row],[Description]]="","",VLOOKUP(Table2[[#This Row],[Description]],$Q$1:$S$101,3,FALSE))</f>
        <v/>
      </c>
      <c r="I8442" s="1" t="str">
        <f>IF(Table2[[#This Row],[Description]]="","",IF(Table2[[#This Row],[Currency]]=$O$2,$P$2,HLOOKUP(Table2[[#This Row],[Date]],Funds!$C$10:$GV$11,2,FALSE)))</f>
        <v/>
      </c>
      <c r="J8442" s="215" t="str">
        <f>IF(Table2[[#This Row],[Description]]="","",Table2[[#This Row],[Value]]/Table2[[#This Row],[Conversion]])</f>
        <v/>
      </c>
      <c r="K8442" s="45" t="str">
        <f>IF(Table2[[#This Row],[Description]]="","",DATE(Table2[[#This Row],[Year]],Table2[[#This Row],[Month]],1))</f>
        <v/>
      </c>
    </row>
    <row r="8443" spans="7:11" x14ac:dyDescent="0.25">
      <c r="G8443" s="1" t="str">
        <f>IF(Table2[[#This Row],[Description]]="","",VLOOKUP(Table2[[#This Row],[Description]],$Q$1:$S$101,2,FALSE))</f>
        <v/>
      </c>
      <c r="H8443" s="1" t="str">
        <f>IF(Table2[[#This Row],[Description]]="","",VLOOKUP(Table2[[#This Row],[Description]],$Q$1:$S$101,3,FALSE))</f>
        <v/>
      </c>
      <c r="I8443" s="1" t="str">
        <f>IF(Table2[[#This Row],[Description]]="","",IF(Table2[[#This Row],[Currency]]=$O$2,$P$2,HLOOKUP(Table2[[#This Row],[Date]],Funds!$C$10:$GV$11,2,FALSE)))</f>
        <v/>
      </c>
      <c r="J8443" s="215" t="str">
        <f>IF(Table2[[#This Row],[Description]]="","",Table2[[#This Row],[Value]]/Table2[[#This Row],[Conversion]])</f>
        <v/>
      </c>
      <c r="K8443" s="45" t="str">
        <f>IF(Table2[[#This Row],[Description]]="","",DATE(Table2[[#This Row],[Year]],Table2[[#This Row],[Month]],1))</f>
        <v/>
      </c>
    </row>
    <row r="8444" spans="7:11" x14ac:dyDescent="0.25">
      <c r="G8444" s="1" t="str">
        <f>IF(Table2[[#This Row],[Description]]="","",VLOOKUP(Table2[[#This Row],[Description]],$Q$1:$S$101,2,FALSE))</f>
        <v/>
      </c>
      <c r="H8444" s="1" t="str">
        <f>IF(Table2[[#This Row],[Description]]="","",VLOOKUP(Table2[[#This Row],[Description]],$Q$1:$S$101,3,FALSE))</f>
        <v/>
      </c>
      <c r="I8444" s="1" t="str">
        <f>IF(Table2[[#This Row],[Description]]="","",IF(Table2[[#This Row],[Currency]]=$O$2,$P$2,HLOOKUP(Table2[[#This Row],[Date]],Funds!$C$10:$GV$11,2,FALSE)))</f>
        <v/>
      </c>
      <c r="J8444" s="215" t="str">
        <f>IF(Table2[[#This Row],[Description]]="","",Table2[[#This Row],[Value]]/Table2[[#This Row],[Conversion]])</f>
        <v/>
      </c>
      <c r="K8444" s="45" t="str">
        <f>IF(Table2[[#This Row],[Description]]="","",DATE(Table2[[#This Row],[Year]],Table2[[#This Row],[Month]],1))</f>
        <v/>
      </c>
    </row>
    <row r="8445" spans="7:11" x14ac:dyDescent="0.25">
      <c r="G8445" s="1" t="str">
        <f>IF(Table2[[#This Row],[Description]]="","",VLOOKUP(Table2[[#This Row],[Description]],$Q$1:$S$101,2,FALSE))</f>
        <v/>
      </c>
      <c r="H8445" s="1" t="str">
        <f>IF(Table2[[#This Row],[Description]]="","",VLOOKUP(Table2[[#This Row],[Description]],$Q$1:$S$101,3,FALSE))</f>
        <v/>
      </c>
      <c r="I8445" s="1" t="str">
        <f>IF(Table2[[#This Row],[Description]]="","",IF(Table2[[#This Row],[Currency]]=$O$2,$P$2,HLOOKUP(Table2[[#This Row],[Date]],Funds!$C$10:$GV$11,2,FALSE)))</f>
        <v/>
      </c>
      <c r="J8445" s="215" t="str">
        <f>IF(Table2[[#This Row],[Description]]="","",Table2[[#This Row],[Value]]/Table2[[#This Row],[Conversion]])</f>
        <v/>
      </c>
      <c r="K8445" s="45" t="str">
        <f>IF(Table2[[#This Row],[Description]]="","",DATE(Table2[[#This Row],[Year]],Table2[[#This Row],[Month]],1))</f>
        <v/>
      </c>
    </row>
    <row r="8446" spans="7:11" x14ac:dyDescent="0.25">
      <c r="G8446" s="1" t="str">
        <f>IF(Table2[[#This Row],[Description]]="","",VLOOKUP(Table2[[#This Row],[Description]],$Q$1:$S$101,2,FALSE))</f>
        <v/>
      </c>
      <c r="H8446" s="1" t="str">
        <f>IF(Table2[[#This Row],[Description]]="","",VLOOKUP(Table2[[#This Row],[Description]],$Q$1:$S$101,3,FALSE))</f>
        <v/>
      </c>
      <c r="I8446" s="1" t="str">
        <f>IF(Table2[[#This Row],[Description]]="","",IF(Table2[[#This Row],[Currency]]=$O$2,$P$2,HLOOKUP(Table2[[#This Row],[Date]],Funds!$C$10:$GV$11,2,FALSE)))</f>
        <v/>
      </c>
      <c r="J8446" s="215" t="str">
        <f>IF(Table2[[#This Row],[Description]]="","",Table2[[#This Row],[Value]]/Table2[[#This Row],[Conversion]])</f>
        <v/>
      </c>
      <c r="K8446" s="45" t="str">
        <f>IF(Table2[[#This Row],[Description]]="","",DATE(Table2[[#This Row],[Year]],Table2[[#This Row],[Month]],1))</f>
        <v/>
      </c>
    </row>
    <row r="8447" spans="7:11" x14ac:dyDescent="0.25">
      <c r="G8447" s="1" t="str">
        <f>IF(Table2[[#This Row],[Description]]="","",VLOOKUP(Table2[[#This Row],[Description]],$Q$1:$S$101,2,FALSE))</f>
        <v/>
      </c>
      <c r="H8447" s="1" t="str">
        <f>IF(Table2[[#This Row],[Description]]="","",VLOOKUP(Table2[[#This Row],[Description]],$Q$1:$S$101,3,FALSE))</f>
        <v/>
      </c>
      <c r="I8447" s="1" t="str">
        <f>IF(Table2[[#This Row],[Description]]="","",IF(Table2[[#This Row],[Currency]]=$O$2,$P$2,HLOOKUP(Table2[[#This Row],[Date]],Funds!$C$10:$GV$11,2,FALSE)))</f>
        <v/>
      </c>
      <c r="J8447" s="215" t="str">
        <f>IF(Table2[[#This Row],[Description]]="","",Table2[[#This Row],[Value]]/Table2[[#This Row],[Conversion]])</f>
        <v/>
      </c>
      <c r="K8447" s="45" t="str">
        <f>IF(Table2[[#This Row],[Description]]="","",DATE(Table2[[#This Row],[Year]],Table2[[#This Row],[Month]],1))</f>
        <v/>
      </c>
    </row>
    <row r="8448" spans="7:11" x14ac:dyDescent="0.25">
      <c r="G8448" s="1" t="str">
        <f>IF(Table2[[#This Row],[Description]]="","",VLOOKUP(Table2[[#This Row],[Description]],$Q$1:$S$101,2,FALSE))</f>
        <v/>
      </c>
      <c r="H8448" s="1" t="str">
        <f>IF(Table2[[#This Row],[Description]]="","",VLOOKUP(Table2[[#This Row],[Description]],$Q$1:$S$101,3,FALSE))</f>
        <v/>
      </c>
      <c r="I8448" s="1" t="str">
        <f>IF(Table2[[#This Row],[Description]]="","",IF(Table2[[#This Row],[Currency]]=$O$2,$P$2,HLOOKUP(Table2[[#This Row],[Date]],Funds!$C$10:$GV$11,2,FALSE)))</f>
        <v/>
      </c>
      <c r="J8448" s="215" t="str">
        <f>IF(Table2[[#This Row],[Description]]="","",Table2[[#This Row],[Value]]/Table2[[#This Row],[Conversion]])</f>
        <v/>
      </c>
      <c r="K8448" s="45" t="str">
        <f>IF(Table2[[#This Row],[Description]]="","",DATE(Table2[[#This Row],[Year]],Table2[[#This Row],[Month]],1))</f>
        <v/>
      </c>
    </row>
    <row r="8449" spans="7:11" x14ac:dyDescent="0.25">
      <c r="G8449" s="1" t="str">
        <f>IF(Table2[[#This Row],[Description]]="","",VLOOKUP(Table2[[#This Row],[Description]],$Q$1:$S$101,2,FALSE))</f>
        <v/>
      </c>
      <c r="H8449" s="1" t="str">
        <f>IF(Table2[[#This Row],[Description]]="","",VLOOKUP(Table2[[#This Row],[Description]],$Q$1:$S$101,3,FALSE))</f>
        <v/>
      </c>
      <c r="I8449" s="1" t="str">
        <f>IF(Table2[[#This Row],[Description]]="","",IF(Table2[[#This Row],[Currency]]=$O$2,$P$2,HLOOKUP(Table2[[#This Row],[Date]],Funds!$C$10:$GV$11,2,FALSE)))</f>
        <v/>
      </c>
      <c r="J8449" s="215" t="str">
        <f>IF(Table2[[#This Row],[Description]]="","",Table2[[#This Row],[Value]]/Table2[[#This Row],[Conversion]])</f>
        <v/>
      </c>
      <c r="K8449" s="45" t="str">
        <f>IF(Table2[[#This Row],[Description]]="","",DATE(Table2[[#This Row],[Year]],Table2[[#This Row],[Month]],1))</f>
        <v/>
      </c>
    </row>
    <row r="8450" spans="7:11" x14ac:dyDescent="0.25">
      <c r="G8450" s="1" t="str">
        <f>IF(Table2[[#This Row],[Description]]="","",VLOOKUP(Table2[[#This Row],[Description]],$Q$1:$S$101,2,FALSE))</f>
        <v/>
      </c>
      <c r="H8450" s="1" t="str">
        <f>IF(Table2[[#This Row],[Description]]="","",VLOOKUP(Table2[[#This Row],[Description]],$Q$1:$S$101,3,FALSE))</f>
        <v/>
      </c>
      <c r="I8450" s="1" t="str">
        <f>IF(Table2[[#This Row],[Description]]="","",IF(Table2[[#This Row],[Currency]]=$O$2,$P$2,HLOOKUP(Table2[[#This Row],[Date]],Funds!$C$10:$GV$11,2,FALSE)))</f>
        <v/>
      </c>
      <c r="J8450" s="215" t="str">
        <f>IF(Table2[[#This Row],[Description]]="","",Table2[[#This Row],[Value]]/Table2[[#This Row],[Conversion]])</f>
        <v/>
      </c>
      <c r="K8450" s="45" t="str">
        <f>IF(Table2[[#This Row],[Description]]="","",DATE(Table2[[#This Row],[Year]],Table2[[#This Row],[Month]],1))</f>
        <v/>
      </c>
    </row>
    <row r="8451" spans="7:11" x14ac:dyDescent="0.25">
      <c r="G8451" s="1" t="str">
        <f>IF(Table2[[#This Row],[Description]]="","",VLOOKUP(Table2[[#This Row],[Description]],$Q$1:$S$101,2,FALSE))</f>
        <v/>
      </c>
      <c r="H8451" s="1" t="str">
        <f>IF(Table2[[#This Row],[Description]]="","",VLOOKUP(Table2[[#This Row],[Description]],$Q$1:$S$101,3,FALSE))</f>
        <v/>
      </c>
      <c r="I8451" s="1" t="str">
        <f>IF(Table2[[#This Row],[Description]]="","",IF(Table2[[#This Row],[Currency]]=$O$2,$P$2,HLOOKUP(Table2[[#This Row],[Date]],Funds!$C$10:$GV$11,2,FALSE)))</f>
        <v/>
      </c>
      <c r="J8451" s="215" t="str">
        <f>IF(Table2[[#This Row],[Description]]="","",Table2[[#This Row],[Value]]/Table2[[#This Row],[Conversion]])</f>
        <v/>
      </c>
      <c r="K8451" s="45" t="str">
        <f>IF(Table2[[#This Row],[Description]]="","",DATE(Table2[[#This Row],[Year]],Table2[[#This Row],[Month]],1))</f>
        <v/>
      </c>
    </row>
    <row r="8452" spans="7:11" x14ac:dyDescent="0.25">
      <c r="G8452" s="1" t="str">
        <f>IF(Table2[[#This Row],[Description]]="","",VLOOKUP(Table2[[#This Row],[Description]],$Q$1:$S$101,2,FALSE))</f>
        <v/>
      </c>
      <c r="H8452" s="1" t="str">
        <f>IF(Table2[[#This Row],[Description]]="","",VLOOKUP(Table2[[#This Row],[Description]],$Q$1:$S$101,3,FALSE))</f>
        <v/>
      </c>
      <c r="I8452" s="1" t="str">
        <f>IF(Table2[[#This Row],[Description]]="","",IF(Table2[[#This Row],[Currency]]=$O$2,$P$2,HLOOKUP(Table2[[#This Row],[Date]],Funds!$C$10:$GV$11,2,FALSE)))</f>
        <v/>
      </c>
      <c r="J8452" s="215" t="str">
        <f>IF(Table2[[#This Row],[Description]]="","",Table2[[#This Row],[Value]]/Table2[[#This Row],[Conversion]])</f>
        <v/>
      </c>
      <c r="K8452" s="45" t="str">
        <f>IF(Table2[[#This Row],[Description]]="","",DATE(Table2[[#This Row],[Year]],Table2[[#This Row],[Month]],1))</f>
        <v/>
      </c>
    </row>
    <row r="8453" spans="7:11" x14ac:dyDescent="0.25">
      <c r="G8453" s="1" t="str">
        <f>IF(Table2[[#This Row],[Description]]="","",VLOOKUP(Table2[[#This Row],[Description]],$Q$1:$S$101,2,FALSE))</f>
        <v/>
      </c>
      <c r="H8453" s="1" t="str">
        <f>IF(Table2[[#This Row],[Description]]="","",VLOOKUP(Table2[[#This Row],[Description]],$Q$1:$S$101,3,FALSE))</f>
        <v/>
      </c>
      <c r="I8453" s="1" t="str">
        <f>IF(Table2[[#This Row],[Description]]="","",IF(Table2[[#This Row],[Currency]]=$O$2,$P$2,HLOOKUP(Table2[[#This Row],[Date]],Funds!$C$10:$GV$11,2,FALSE)))</f>
        <v/>
      </c>
      <c r="J8453" s="215" t="str">
        <f>IF(Table2[[#This Row],[Description]]="","",Table2[[#This Row],[Value]]/Table2[[#This Row],[Conversion]])</f>
        <v/>
      </c>
      <c r="K8453" s="45" t="str">
        <f>IF(Table2[[#This Row],[Description]]="","",DATE(Table2[[#This Row],[Year]],Table2[[#This Row],[Month]],1))</f>
        <v/>
      </c>
    </row>
    <row r="8454" spans="7:11" x14ac:dyDescent="0.25">
      <c r="G8454" s="1" t="str">
        <f>IF(Table2[[#This Row],[Description]]="","",VLOOKUP(Table2[[#This Row],[Description]],$Q$1:$S$101,2,FALSE))</f>
        <v/>
      </c>
      <c r="H8454" s="1" t="str">
        <f>IF(Table2[[#This Row],[Description]]="","",VLOOKUP(Table2[[#This Row],[Description]],$Q$1:$S$101,3,FALSE))</f>
        <v/>
      </c>
      <c r="I8454" s="1" t="str">
        <f>IF(Table2[[#This Row],[Description]]="","",IF(Table2[[#This Row],[Currency]]=$O$2,$P$2,HLOOKUP(Table2[[#This Row],[Date]],Funds!$C$10:$GV$11,2,FALSE)))</f>
        <v/>
      </c>
      <c r="J8454" s="215" t="str">
        <f>IF(Table2[[#This Row],[Description]]="","",Table2[[#This Row],[Value]]/Table2[[#This Row],[Conversion]])</f>
        <v/>
      </c>
      <c r="K8454" s="45" t="str">
        <f>IF(Table2[[#This Row],[Description]]="","",DATE(Table2[[#This Row],[Year]],Table2[[#This Row],[Month]],1))</f>
        <v/>
      </c>
    </row>
    <row r="8455" spans="7:11" x14ac:dyDescent="0.25">
      <c r="G8455" s="1" t="str">
        <f>IF(Table2[[#This Row],[Description]]="","",VLOOKUP(Table2[[#This Row],[Description]],$Q$1:$S$101,2,FALSE))</f>
        <v/>
      </c>
      <c r="H8455" s="1" t="str">
        <f>IF(Table2[[#This Row],[Description]]="","",VLOOKUP(Table2[[#This Row],[Description]],$Q$1:$S$101,3,FALSE))</f>
        <v/>
      </c>
      <c r="I8455" s="1" t="str">
        <f>IF(Table2[[#This Row],[Description]]="","",IF(Table2[[#This Row],[Currency]]=$O$2,$P$2,HLOOKUP(Table2[[#This Row],[Date]],Funds!$C$10:$GV$11,2,FALSE)))</f>
        <v/>
      </c>
      <c r="J8455" s="215" t="str">
        <f>IF(Table2[[#This Row],[Description]]="","",Table2[[#This Row],[Value]]/Table2[[#This Row],[Conversion]])</f>
        <v/>
      </c>
      <c r="K8455" s="45" t="str">
        <f>IF(Table2[[#This Row],[Description]]="","",DATE(Table2[[#This Row],[Year]],Table2[[#This Row],[Month]],1))</f>
        <v/>
      </c>
    </row>
    <row r="8456" spans="7:11" x14ac:dyDescent="0.25">
      <c r="G8456" s="1" t="str">
        <f>IF(Table2[[#This Row],[Description]]="","",VLOOKUP(Table2[[#This Row],[Description]],$Q$1:$S$101,2,FALSE))</f>
        <v/>
      </c>
      <c r="H8456" s="1" t="str">
        <f>IF(Table2[[#This Row],[Description]]="","",VLOOKUP(Table2[[#This Row],[Description]],$Q$1:$S$101,3,FALSE))</f>
        <v/>
      </c>
      <c r="I8456" s="1" t="str">
        <f>IF(Table2[[#This Row],[Description]]="","",IF(Table2[[#This Row],[Currency]]=$O$2,$P$2,HLOOKUP(Table2[[#This Row],[Date]],Funds!$C$10:$GV$11,2,FALSE)))</f>
        <v/>
      </c>
      <c r="J8456" s="215" t="str">
        <f>IF(Table2[[#This Row],[Description]]="","",Table2[[#This Row],[Value]]/Table2[[#This Row],[Conversion]])</f>
        <v/>
      </c>
      <c r="K8456" s="45" t="str">
        <f>IF(Table2[[#This Row],[Description]]="","",DATE(Table2[[#This Row],[Year]],Table2[[#This Row],[Month]],1))</f>
        <v/>
      </c>
    </row>
    <row r="8457" spans="7:11" x14ac:dyDescent="0.25">
      <c r="G8457" s="1" t="str">
        <f>IF(Table2[[#This Row],[Description]]="","",VLOOKUP(Table2[[#This Row],[Description]],$Q$1:$S$101,2,FALSE))</f>
        <v/>
      </c>
      <c r="H8457" s="1" t="str">
        <f>IF(Table2[[#This Row],[Description]]="","",VLOOKUP(Table2[[#This Row],[Description]],$Q$1:$S$101,3,FALSE))</f>
        <v/>
      </c>
      <c r="I8457" s="1" t="str">
        <f>IF(Table2[[#This Row],[Description]]="","",IF(Table2[[#This Row],[Currency]]=$O$2,$P$2,HLOOKUP(Table2[[#This Row],[Date]],Funds!$C$10:$GV$11,2,FALSE)))</f>
        <v/>
      </c>
      <c r="J8457" s="215" t="str">
        <f>IF(Table2[[#This Row],[Description]]="","",Table2[[#This Row],[Value]]/Table2[[#This Row],[Conversion]])</f>
        <v/>
      </c>
      <c r="K8457" s="45" t="str">
        <f>IF(Table2[[#This Row],[Description]]="","",DATE(Table2[[#This Row],[Year]],Table2[[#This Row],[Month]],1))</f>
        <v/>
      </c>
    </row>
    <row r="8458" spans="7:11" x14ac:dyDescent="0.25">
      <c r="G8458" s="1" t="str">
        <f>IF(Table2[[#This Row],[Description]]="","",VLOOKUP(Table2[[#This Row],[Description]],$Q$1:$S$101,2,FALSE))</f>
        <v/>
      </c>
      <c r="H8458" s="1" t="str">
        <f>IF(Table2[[#This Row],[Description]]="","",VLOOKUP(Table2[[#This Row],[Description]],$Q$1:$S$101,3,FALSE))</f>
        <v/>
      </c>
      <c r="I8458" s="1" t="str">
        <f>IF(Table2[[#This Row],[Description]]="","",IF(Table2[[#This Row],[Currency]]=$O$2,$P$2,HLOOKUP(Table2[[#This Row],[Date]],Funds!$C$10:$GV$11,2,FALSE)))</f>
        <v/>
      </c>
      <c r="J8458" s="215" t="str">
        <f>IF(Table2[[#This Row],[Description]]="","",Table2[[#This Row],[Value]]/Table2[[#This Row],[Conversion]])</f>
        <v/>
      </c>
      <c r="K8458" s="45" t="str">
        <f>IF(Table2[[#This Row],[Description]]="","",DATE(Table2[[#This Row],[Year]],Table2[[#This Row],[Month]],1))</f>
        <v/>
      </c>
    </row>
    <row r="8459" spans="7:11" x14ac:dyDescent="0.25">
      <c r="G8459" s="1" t="str">
        <f>IF(Table2[[#This Row],[Description]]="","",VLOOKUP(Table2[[#This Row],[Description]],$Q$1:$S$101,2,FALSE))</f>
        <v/>
      </c>
      <c r="H8459" s="1" t="str">
        <f>IF(Table2[[#This Row],[Description]]="","",VLOOKUP(Table2[[#This Row],[Description]],$Q$1:$S$101,3,FALSE))</f>
        <v/>
      </c>
      <c r="I8459" s="1" t="str">
        <f>IF(Table2[[#This Row],[Description]]="","",IF(Table2[[#This Row],[Currency]]=$O$2,$P$2,HLOOKUP(Table2[[#This Row],[Date]],Funds!$C$10:$GV$11,2,FALSE)))</f>
        <v/>
      </c>
      <c r="J8459" s="215" t="str">
        <f>IF(Table2[[#This Row],[Description]]="","",Table2[[#This Row],[Value]]/Table2[[#This Row],[Conversion]])</f>
        <v/>
      </c>
      <c r="K8459" s="45" t="str">
        <f>IF(Table2[[#This Row],[Description]]="","",DATE(Table2[[#This Row],[Year]],Table2[[#This Row],[Month]],1))</f>
        <v/>
      </c>
    </row>
    <row r="8460" spans="7:11" x14ac:dyDescent="0.25">
      <c r="G8460" s="1" t="str">
        <f>IF(Table2[[#This Row],[Description]]="","",VLOOKUP(Table2[[#This Row],[Description]],$Q$1:$S$101,2,FALSE))</f>
        <v/>
      </c>
      <c r="H8460" s="1" t="str">
        <f>IF(Table2[[#This Row],[Description]]="","",VLOOKUP(Table2[[#This Row],[Description]],$Q$1:$S$101,3,FALSE))</f>
        <v/>
      </c>
      <c r="I8460" s="1" t="str">
        <f>IF(Table2[[#This Row],[Description]]="","",IF(Table2[[#This Row],[Currency]]=$O$2,$P$2,HLOOKUP(Table2[[#This Row],[Date]],Funds!$C$10:$GV$11,2,FALSE)))</f>
        <v/>
      </c>
      <c r="J8460" s="215" t="str">
        <f>IF(Table2[[#This Row],[Description]]="","",Table2[[#This Row],[Value]]/Table2[[#This Row],[Conversion]])</f>
        <v/>
      </c>
      <c r="K8460" s="45" t="str">
        <f>IF(Table2[[#This Row],[Description]]="","",DATE(Table2[[#This Row],[Year]],Table2[[#This Row],[Month]],1))</f>
        <v/>
      </c>
    </row>
    <row r="8461" spans="7:11" x14ac:dyDescent="0.25">
      <c r="G8461" s="1" t="str">
        <f>IF(Table2[[#This Row],[Description]]="","",VLOOKUP(Table2[[#This Row],[Description]],$Q$1:$S$101,2,FALSE))</f>
        <v/>
      </c>
      <c r="H8461" s="1" t="str">
        <f>IF(Table2[[#This Row],[Description]]="","",VLOOKUP(Table2[[#This Row],[Description]],$Q$1:$S$101,3,FALSE))</f>
        <v/>
      </c>
      <c r="I8461" s="1" t="str">
        <f>IF(Table2[[#This Row],[Description]]="","",IF(Table2[[#This Row],[Currency]]=$O$2,$P$2,HLOOKUP(Table2[[#This Row],[Date]],Funds!$C$10:$GV$11,2,FALSE)))</f>
        <v/>
      </c>
      <c r="J8461" s="215" t="str">
        <f>IF(Table2[[#This Row],[Description]]="","",Table2[[#This Row],[Value]]/Table2[[#This Row],[Conversion]])</f>
        <v/>
      </c>
      <c r="K8461" s="45" t="str">
        <f>IF(Table2[[#This Row],[Description]]="","",DATE(Table2[[#This Row],[Year]],Table2[[#This Row],[Month]],1))</f>
        <v/>
      </c>
    </row>
    <row r="8462" spans="7:11" x14ac:dyDescent="0.25">
      <c r="G8462" s="1" t="str">
        <f>IF(Table2[[#This Row],[Description]]="","",VLOOKUP(Table2[[#This Row],[Description]],$Q$1:$S$101,2,FALSE))</f>
        <v/>
      </c>
      <c r="H8462" s="1" t="str">
        <f>IF(Table2[[#This Row],[Description]]="","",VLOOKUP(Table2[[#This Row],[Description]],$Q$1:$S$101,3,FALSE))</f>
        <v/>
      </c>
      <c r="I8462" s="1" t="str">
        <f>IF(Table2[[#This Row],[Description]]="","",IF(Table2[[#This Row],[Currency]]=$O$2,$P$2,HLOOKUP(Table2[[#This Row],[Date]],Funds!$C$10:$GV$11,2,FALSE)))</f>
        <v/>
      </c>
      <c r="J8462" s="215" t="str">
        <f>IF(Table2[[#This Row],[Description]]="","",Table2[[#This Row],[Value]]/Table2[[#This Row],[Conversion]])</f>
        <v/>
      </c>
      <c r="K8462" s="45" t="str">
        <f>IF(Table2[[#This Row],[Description]]="","",DATE(Table2[[#This Row],[Year]],Table2[[#This Row],[Month]],1))</f>
        <v/>
      </c>
    </row>
    <row r="8463" spans="7:11" x14ac:dyDescent="0.25">
      <c r="G8463" s="1" t="str">
        <f>IF(Table2[[#This Row],[Description]]="","",VLOOKUP(Table2[[#This Row],[Description]],$Q$1:$S$101,2,FALSE))</f>
        <v/>
      </c>
      <c r="H8463" s="1" t="str">
        <f>IF(Table2[[#This Row],[Description]]="","",VLOOKUP(Table2[[#This Row],[Description]],$Q$1:$S$101,3,FALSE))</f>
        <v/>
      </c>
      <c r="I8463" s="1" t="str">
        <f>IF(Table2[[#This Row],[Description]]="","",IF(Table2[[#This Row],[Currency]]=$O$2,$P$2,HLOOKUP(Table2[[#This Row],[Date]],Funds!$C$10:$GV$11,2,FALSE)))</f>
        <v/>
      </c>
      <c r="J8463" s="215" t="str">
        <f>IF(Table2[[#This Row],[Description]]="","",Table2[[#This Row],[Value]]/Table2[[#This Row],[Conversion]])</f>
        <v/>
      </c>
      <c r="K8463" s="45" t="str">
        <f>IF(Table2[[#This Row],[Description]]="","",DATE(Table2[[#This Row],[Year]],Table2[[#This Row],[Month]],1))</f>
        <v/>
      </c>
    </row>
    <row r="8464" spans="7:11" x14ac:dyDescent="0.25">
      <c r="G8464" s="1" t="str">
        <f>IF(Table2[[#This Row],[Description]]="","",VLOOKUP(Table2[[#This Row],[Description]],$Q$1:$S$101,2,FALSE))</f>
        <v/>
      </c>
      <c r="H8464" s="1" t="str">
        <f>IF(Table2[[#This Row],[Description]]="","",VLOOKUP(Table2[[#This Row],[Description]],$Q$1:$S$101,3,FALSE))</f>
        <v/>
      </c>
      <c r="I8464" s="1" t="str">
        <f>IF(Table2[[#This Row],[Description]]="","",IF(Table2[[#This Row],[Currency]]=$O$2,$P$2,HLOOKUP(Table2[[#This Row],[Date]],Funds!$C$10:$GV$11,2,FALSE)))</f>
        <v/>
      </c>
      <c r="J8464" s="215" t="str">
        <f>IF(Table2[[#This Row],[Description]]="","",Table2[[#This Row],[Value]]/Table2[[#This Row],[Conversion]])</f>
        <v/>
      </c>
      <c r="K8464" s="45" t="str">
        <f>IF(Table2[[#This Row],[Description]]="","",DATE(Table2[[#This Row],[Year]],Table2[[#This Row],[Month]],1))</f>
        <v/>
      </c>
    </row>
    <row r="8465" spans="7:11" x14ac:dyDescent="0.25">
      <c r="G8465" s="1" t="str">
        <f>IF(Table2[[#This Row],[Description]]="","",VLOOKUP(Table2[[#This Row],[Description]],$Q$1:$S$101,2,FALSE))</f>
        <v/>
      </c>
      <c r="H8465" s="1" t="str">
        <f>IF(Table2[[#This Row],[Description]]="","",VLOOKUP(Table2[[#This Row],[Description]],$Q$1:$S$101,3,FALSE))</f>
        <v/>
      </c>
      <c r="I8465" s="1" t="str">
        <f>IF(Table2[[#This Row],[Description]]="","",IF(Table2[[#This Row],[Currency]]=$O$2,$P$2,HLOOKUP(Table2[[#This Row],[Date]],Funds!$C$10:$GV$11,2,FALSE)))</f>
        <v/>
      </c>
      <c r="J8465" s="215" t="str">
        <f>IF(Table2[[#This Row],[Description]]="","",Table2[[#This Row],[Value]]/Table2[[#This Row],[Conversion]])</f>
        <v/>
      </c>
      <c r="K8465" s="45" t="str">
        <f>IF(Table2[[#This Row],[Description]]="","",DATE(Table2[[#This Row],[Year]],Table2[[#This Row],[Month]],1))</f>
        <v/>
      </c>
    </row>
    <row r="8466" spans="7:11" x14ac:dyDescent="0.25">
      <c r="G8466" s="1" t="str">
        <f>IF(Table2[[#This Row],[Description]]="","",VLOOKUP(Table2[[#This Row],[Description]],$Q$1:$S$101,2,FALSE))</f>
        <v/>
      </c>
      <c r="H8466" s="1" t="str">
        <f>IF(Table2[[#This Row],[Description]]="","",VLOOKUP(Table2[[#This Row],[Description]],$Q$1:$S$101,3,FALSE))</f>
        <v/>
      </c>
      <c r="I8466" s="1" t="str">
        <f>IF(Table2[[#This Row],[Description]]="","",IF(Table2[[#This Row],[Currency]]=$O$2,$P$2,HLOOKUP(Table2[[#This Row],[Date]],Funds!$C$10:$GV$11,2,FALSE)))</f>
        <v/>
      </c>
      <c r="J8466" s="215" t="str">
        <f>IF(Table2[[#This Row],[Description]]="","",Table2[[#This Row],[Value]]/Table2[[#This Row],[Conversion]])</f>
        <v/>
      </c>
      <c r="K8466" s="45" t="str">
        <f>IF(Table2[[#This Row],[Description]]="","",DATE(Table2[[#This Row],[Year]],Table2[[#This Row],[Month]],1))</f>
        <v/>
      </c>
    </row>
    <row r="8467" spans="7:11" x14ac:dyDescent="0.25">
      <c r="G8467" s="1" t="str">
        <f>IF(Table2[[#This Row],[Description]]="","",VLOOKUP(Table2[[#This Row],[Description]],$Q$1:$S$101,2,FALSE))</f>
        <v/>
      </c>
      <c r="H8467" s="1" t="str">
        <f>IF(Table2[[#This Row],[Description]]="","",VLOOKUP(Table2[[#This Row],[Description]],$Q$1:$S$101,3,FALSE))</f>
        <v/>
      </c>
      <c r="I8467" s="1" t="str">
        <f>IF(Table2[[#This Row],[Description]]="","",IF(Table2[[#This Row],[Currency]]=$O$2,$P$2,HLOOKUP(Table2[[#This Row],[Date]],Funds!$C$10:$GV$11,2,FALSE)))</f>
        <v/>
      </c>
      <c r="J8467" s="215" t="str">
        <f>IF(Table2[[#This Row],[Description]]="","",Table2[[#This Row],[Value]]/Table2[[#This Row],[Conversion]])</f>
        <v/>
      </c>
      <c r="K8467" s="45" t="str">
        <f>IF(Table2[[#This Row],[Description]]="","",DATE(Table2[[#This Row],[Year]],Table2[[#This Row],[Month]],1))</f>
        <v/>
      </c>
    </row>
    <row r="8468" spans="7:11" x14ac:dyDescent="0.25">
      <c r="G8468" s="1" t="str">
        <f>IF(Table2[[#This Row],[Description]]="","",VLOOKUP(Table2[[#This Row],[Description]],$Q$1:$S$101,2,FALSE))</f>
        <v/>
      </c>
      <c r="H8468" s="1" t="str">
        <f>IF(Table2[[#This Row],[Description]]="","",VLOOKUP(Table2[[#This Row],[Description]],$Q$1:$S$101,3,FALSE))</f>
        <v/>
      </c>
      <c r="I8468" s="1" t="str">
        <f>IF(Table2[[#This Row],[Description]]="","",IF(Table2[[#This Row],[Currency]]=$O$2,$P$2,HLOOKUP(Table2[[#This Row],[Date]],Funds!$C$10:$GV$11,2,FALSE)))</f>
        <v/>
      </c>
      <c r="J8468" s="215" t="str">
        <f>IF(Table2[[#This Row],[Description]]="","",Table2[[#This Row],[Value]]/Table2[[#This Row],[Conversion]])</f>
        <v/>
      </c>
      <c r="K8468" s="45" t="str">
        <f>IF(Table2[[#This Row],[Description]]="","",DATE(Table2[[#This Row],[Year]],Table2[[#This Row],[Month]],1))</f>
        <v/>
      </c>
    </row>
    <row r="8469" spans="7:11" x14ac:dyDescent="0.25">
      <c r="G8469" s="1" t="str">
        <f>IF(Table2[[#This Row],[Description]]="","",VLOOKUP(Table2[[#This Row],[Description]],$Q$1:$S$101,2,FALSE))</f>
        <v/>
      </c>
      <c r="H8469" s="1" t="str">
        <f>IF(Table2[[#This Row],[Description]]="","",VLOOKUP(Table2[[#This Row],[Description]],$Q$1:$S$101,3,FALSE))</f>
        <v/>
      </c>
      <c r="I8469" s="1" t="str">
        <f>IF(Table2[[#This Row],[Description]]="","",IF(Table2[[#This Row],[Currency]]=$O$2,$P$2,HLOOKUP(Table2[[#This Row],[Date]],Funds!$C$10:$GV$11,2,FALSE)))</f>
        <v/>
      </c>
      <c r="J8469" s="215" t="str">
        <f>IF(Table2[[#This Row],[Description]]="","",Table2[[#This Row],[Value]]/Table2[[#This Row],[Conversion]])</f>
        <v/>
      </c>
      <c r="K8469" s="45" t="str">
        <f>IF(Table2[[#This Row],[Description]]="","",DATE(Table2[[#This Row],[Year]],Table2[[#This Row],[Month]],1))</f>
        <v/>
      </c>
    </row>
    <row r="8470" spans="7:11" x14ac:dyDescent="0.25">
      <c r="G8470" s="1" t="str">
        <f>IF(Table2[[#This Row],[Description]]="","",VLOOKUP(Table2[[#This Row],[Description]],$Q$1:$S$101,2,FALSE))</f>
        <v/>
      </c>
      <c r="H8470" s="1" t="str">
        <f>IF(Table2[[#This Row],[Description]]="","",VLOOKUP(Table2[[#This Row],[Description]],$Q$1:$S$101,3,FALSE))</f>
        <v/>
      </c>
      <c r="I8470" s="1" t="str">
        <f>IF(Table2[[#This Row],[Description]]="","",IF(Table2[[#This Row],[Currency]]=$O$2,$P$2,HLOOKUP(Table2[[#This Row],[Date]],Funds!$C$10:$GV$11,2,FALSE)))</f>
        <v/>
      </c>
      <c r="J8470" s="215" t="str">
        <f>IF(Table2[[#This Row],[Description]]="","",Table2[[#This Row],[Value]]/Table2[[#This Row],[Conversion]])</f>
        <v/>
      </c>
      <c r="K8470" s="45" t="str">
        <f>IF(Table2[[#This Row],[Description]]="","",DATE(Table2[[#This Row],[Year]],Table2[[#This Row],[Month]],1))</f>
        <v/>
      </c>
    </row>
    <row r="8471" spans="7:11" x14ac:dyDescent="0.25">
      <c r="G8471" s="1" t="str">
        <f>IF(Table2[[#This Row],[Description]]="","",VLOOKUP(Table2[[#This Row],[Description]],$Q$1:$S$101,2,FALSE))</f>
        <v/>
      </c>
      <c r="H8471" s="1" t="str">
        <f>IF(Table2[[#This Row],[Description]]="","",VLOOKUP(Table2[[#This Row],[Description]],$Q$1:$S$101,3,FALSE))</f>
        <v/>
      </c>
      <c r="I8471" s="1" t="str">
        <f>IF(Table2[[#This Row],[Description]]="","",IF(Table2[[#This Row],[Currency]]=$O$2,$P$2,HLOOKUP(Table2[[#This Row],[Date]],Funds!$C$10:$GV$11,2,FALSE)))</f>
        <v/>
      </c>
      <c r="J8471" s="215" t="str">
        <f>IF(Table2[[#This Row],[Description]]="","",Table2[[#This Row],[Value]]/Table2[[#This Row],[Conversion]])</f>
        <v/>
      </c>
      <c r="K8471" s="45" t="str">
        <f>IF(Table2[[#This Row],[Description]]="","",DATE(Table2[[#This Row],[Year]],Table2[[#This Row],[Month]],1))</f>
        <v/>
      </c>
    </row>
    <row r="8472" spans="7:11" x14ac:dyDescent="0.25">
      <c r="G8472" s="1" t="str">
        <f>IF(Table2[[#This Row],[Description]]="","",VLOOKUP(Table2[[#This Row],[Description]],$Q$1:$S$101,2,FALSE))</f>
        <v/>
      </c>
      <c r="H8472" s="1" t="str">
        <f>IF(Table2[[#This Row],[Description]]="","",VLOOKUP(Table2[[#This Row],[Description]],$Q$1:$S$101,3,FALSE))</f>
        <v/>
      </c>
      <c r="I8472" s="1" t="str">
        <f>IF(Table2[[#This Row],[Description]]="","",IF(Table2[[#This Row],[Currency]]=$O$2,$P$2,HLOOKUP(Table2[[#This Row],[Date]],Funds!$C$10:$GV$11,2,FALSE)))</f>
        <v/>
      </c>
      <c r="J8472" s="215" t="str">
        <f>IF(Table2[[#This Row],[Description]]="","",Table2[[#This Row],[Value]]/Table2[[#This Row],[Conversion]])</f>
        <v/>
      </c>
      <c r="K8472" s="45" t="str">
        <f>IF(Table2[[#This Row],[Description]]="","",DATE(Table2[[#This Row],[Year]],Table2[[#This Row],[Month]],1))</f>
        <v/>
      </c>
    </row>
    <row r="8473" spans="7:11" x14ac:dyDescent="0.25">
      <c r="G8473" s="1" t="str">
        <f>IF(Table2[[#This Row],[Description]]="","",VLOOKUP(Table2[[#This Row],[Description]],$Q$1:$S$101,2,FALSE))</f>
        <v/>
      </c>
      <c r="H8473" s="1" t="str">
        <f>IF(Table2[[#This Row],[Description]]="","",VLOOKUP(Table2[[#This Row],[Description]],$Q$1:$S$101,3,FALSE))</f>
        <v/>
      </c>
      <c r="I8473" s="1" t="str">
        <f>IF(Table2[[#This Row],[Description]]="","",IF(Table2[[#This Row],[Currency]]=$O$2,$P$2,HLOOKUP(Table2[[#This Row],[Date]],Funds!$C$10:$GV$11,2,FALSE)))</f>
        <v/>
      </c>
      <c r="J8473" s="215" t="str">
        <f>IF(Table2[[#This Row],[Description]]="","",Table2[[#This Row],[Value]]/Table2[[#This Row],[Conversion]])</f>
        <v/>
      </c>
      <c r="K8473" s="45" t="str">
        <f>IF(Table2[[#This Row],[Description]]="","",DATE(Table2[[#This Row],[Year]],Table2[[#This Row],[Month]],1))</f>
        <v/>
      </c>
    </row>
    <row r="8474" spans="7:11" x14ac:dyDescent="0.25">
      <c r="G8474" s="1" t="str">
        <f>IF(Table2[[#This Row],[Description]]="","",VLOOKUP(Table2[[#This Row],[Description]],$Q$1:$S$101,2,FALSE))</f>
        <v/>
      </c>
      <c r="H8474" s="1" t="str">
        <f>IF(Table2[[#This Row],[Description]]="","",VLOOKUP(Table2[[#This Row],[Description]],$Q$1:$S$101,3,FALSE))</f>
        <v/>
      </c>
      <c r="I8474" s="1" t="str">
        <f>IF(Table2[[#This Row],[Description]]="","",IF(Table2[[#This Row],[Currency]]=$O$2,$P$2,HLOOKUP(Table2[[#This Row],[Date]],Funds!$C$10:$GV$11,2,FALSE)))</f>
        <v/>
      </c>
      <c r="J8474" s="215" t="str">
        <f>IF(Table2[[#This Row],[Description]]="","",Table2[[#This Row],[Value]]/Table2[[#This Row],[Conversion]])</f>
        <v/>
      </c>
      <c r="K8474" s="45" t="str">
        <f>IF(Table2[[#This Row],[Description]]="","",DATE(Table2[[#This Row],[Year]],Table2[[#This Row],[Month]],1))</f>
        <v/>
      </c>
    </row>
    <row r="8475" spans="7:11" x14ac:dyDescent="0.25">
      <c r="G8475" s="1" t="str">
        <f>IF(Table2[[#This Row],[Description]]="","",VLOOKUP(Table2[[#This Row],[Description]],$Q$1:$S$101,2,FALSE))</f>
        <v/>
      </c>
      <c r="H8475" s="1" t="str">
        <f>IF(Table2[[#This Row],[Description]]="","",VLOOKUP(Table2[[#This Row],[Description]],$Q$1:$S$101,3,FALSE))</f>
        <v/>
      </c>
      <c r="I8475" s="1" t="str">
        <f>IF(Table2[[#This Row],[Description]]="","",IF(Table2[[#This Row],[Currency]]=$O$2,$P$2,HLOOKUP(Table2[[#This Row],[Date]],Funds!$C$10:$GV$11,2,FALSE)))</f>
        <v/>
      </c>
      <c r="J8475" s="215" t="str">
        <f>IF(Table2[[#This Row],[Description]]="","",Table2[[#This Row],[Value]]/Table2[[#This Row],[Conversion]])</f>
        <v/>
      </c>
      <c r="K8475" s="45" t="str">
        <f>IF(Table2[[#This Row],[Description]]="","",DATE(Table2[[#This Row],[Year]],Table2[[#This Row],[Month]],1))</f>
        <v/>
      </c>
    </row>
    <row r="8476" spans="7:11" x14ac:dyDescent="0.25">
      <c r="G8476" s="1" t="str">
        <f>IF(Table2[[#This Row],[Description]]="","",VLOOKUP(Table2[[#This Row],[Description]],$Q$1:$S$101,2,FALSE))</f>
        <v/>
      </c>
      <c r="H8476" s="1" t="str">
        <f>IF(Table2[[#This Row],[Description]]="","",VLOOKUP(Table2[[#This Row],[Description]],$Q$1:$S$101,3,FALSE))</f>
        <v/>
      </c>
      <c r="I8476" s="1" t="str">
        <f>IF(Table2[[#This Row],[Description]]="","",IF(Table2[[#This Row],[Currency]]=$O$2,$P$2,HLOOKUP(Table2[[#This Row],[Date]],Funds!$C$10:$GV$11,2,FALSE)))</f>
        <v/>
      </c>
      <c r="J8476" s="215" t="str">
        <f>IF(Table2[[#This Row],[Description]]="","",Table2[[#This Row],[Value]]/Table2[[#This Row],[Conversion]])</f>
        <v/>
      </c>
      <c r="K8476" s="45" t="str">
        <f>IF(Table2[[#This Row],[Description]]="","",DATE(Table2[[#This Row],[Year]],Table2[[#This Row],[Month]],1))</f>
        <v/>
      </c>
    </row>
    <row r="8477" spans="7:11" x14ac:dyDescent="0.25">
      <c r="G8477" s="1" t="str">
        <f>IF(Table2[[#This Row],[Description]]="","",VLOOKUP(Table2[[#This Row],[Description]],$Q$1:$S$101,2,FALSE))</f>
        <v/>
      </c>
      <c r="H8477" s="1" t="str">
        <f>IF(Table2[[#This Row],[Description]]="","",VLOOKUP(Table2[[#This Row],[Description]],$Q$1:$S$101,3,FALSE))</f>
        <v/>
      </c>
      <c r="I8477" s="1" t="str">
        <f>IF(Table2[[#This Row],[Description]]="","",IF(Table2[[#This Row],[Currency]]=$O$2,$P$2,HLOOKUP(Table2[[#This Row],[Date]],Funds!$C$10:$GV$11,2,FALSE)))</f>
        <v/>
      </c>
      <c r="J8477" s="215" t="str">
        <f>IF(Table2[[#This Row],[Description]]="","",Table2[[#This Row],[Value]]/Table2[[#This Row],[Conversion]])</f>
        <v/>
      </c>
      <c r="K8477" s="45" t="str">
        <f>IF(Table2[[#This Row],[Description]]="","",DATE(Table2[[#This Row],[Year]],Table2[[#This Row],[Month]],1))</f>
        <v/>
      </c>
    </row>
    <row r="8478" spans="7:11" x14ac:dyDescent="0.25">
      <c r="G8478" s="1" t="str">
        <f>IF(Table2[[#This Row],[Description]]="","",VLOOKUP(Table2[[#This Row],[Description]],$Q$1:$S$101,2,FALSE))</f>
        <v/>
      </c>
      <c r="H8478" s="1" t="str">
        <f>IF(Table2[[#This Row],[Description]]="","",VLOOKUP(Table2[[#This Row],[Description]],$Q$1:$S$101,3,FALSE))</f>
        <v/>
      </c>
      <c r="I8478" s="1" t="str">
        <f>IF(Table2[[#This Row],[Description]]="","",IF(Table2[[#This Row],[Currency]]=$O$2,$P$2,HLOOKUP(Table2[[#This Row],[Date]],Funds!$C$10:$GV$11,2,FALSE)))</f>
        <v/>
      </c>
      <c r="J8478" s="215" t="str">
        <f>IF(Table2[[#This Row],[Description]]="","",Table2[[#This Row],[Value]]/Table2[[#This Row],[Conversion]])</f>
        <v/>
      </c>
      <c r="K8478" s="45" t="str">
        <f>IF(Table2[[#This Row],[Description]]="","",DATE(Table2[[#This Row],[Year]],Table2[[#This Row],[Month]],1))</f>
        <v/>
      </c>
    </row>
    <row r="8479" spans="7:11" x14ac:dyDescent="0.25">
      <c r="G8479" s="1" t="str">
        <f>IF(Table2[[#This Row],[Description]]="","",VLOOKUP(Table2[[#This Row],[Description]],$Q$1:$S$101,2,FALSE))</f>
        <v/>
      </c>
      <c r="H8479" s="1" t="str">
        <f>IF(Table2[[#This Row],[Description]]="","",VLOOKUP(Table2[[#This Row],[Description]],$Q$1:$S$101,3,FALSE))</f>
        <v/>
      </c>
      <c r="I8479" s="1" t="str">
        <f>IF(Table2[[#This Row],[Description]]="","",IF(Table2[[#This Row],[Currency]]=$O$2,$P$2,HLOOKUP(Table2[[#This Row],[Date]],Funds!$C$10:$GV$11,2,FALSE)))</f>
        <v/>
      </c>
      <c r="J8479" s="215" t="str">
        <f>IF(Table2[[#This Row],[Description]]="","",Table2[[#This Row],[Value]]/Table2[[#This Row],[Conversion]])</f>
        <v/>
      </c>
      <c r="K8479" s="45" t="str">
        <f>IF(Table2[[#This Row],[Description]]="","",DATE(Table2[[#This Row],[Year]],Table2[[#This Row],[Month]],1))</f>
        <v/>
      </c>
    </row>
    <row r="8480" spans="7:11" x14ac:dyDescent="0.25">
      <c r="G8480" s="1" t="str">
        <f>IF(Table2[[#This Row],[Description]]="","",VLOOKUP(Table2[[#This Row],[Description]],$Q$1:$S$101,2,FALSE))</f>
        <v/>
      </c>
      <c r="H8480" s="1" t="str">
        <f>IF(Table2[[#This Row],[Description]]="","",VLOOKUP(Table2[[#This Row],[Description]],$Q$1:$S$101,3,FALSE))</f>
        <v/>
      </c>
      <c r="I8480" s="1" t="str">
        <f>IF(Table2[[#This Row],[Description]]="","",IF(Table2[[#This Row],[Currency]]=$O$2,$P$2,HLOOKUP(Table2[[#This Row],[Date]],Funds!$C$10:$GV$11,2,FALSE)))</f>
        <v/>
      </c>
      <c r="J8480" s="215" t="str">
        <f>IF(Table2[[#This Row],[Description]]="","",Table2[[#This Row],[Value]]/Table2[[#This Row],[Conversion]])</f>
        <v/>
      </c>
      <c r="K8480" s="45" t="str">
        <f>IF(Table2[[#This Row],[Description]]="","",DATE(Table2[[#This Row],[Year]],Table2[[#This Row],[Month]],1))</f>
        <v/>
      </c>
    </row>
    <row r="8481" spans="7:11" x14ac:dyDescent="0.25">
      <c r="G8481" s="1" t="str">
        <f>IF(Table2[[#This Row],[Description]]="","",VLOOKUP(Table2[[#This Row],[Description]],$Q$1:$S$101,2,FALSE))</f>
        <v/>
      </c>
      <c r="H8481" s="1" t="str">
        <f>IF(Table2[[#This Row],[Description]]="","",VLOOKUP(Table2[[#This Row],[Description]],$Q$1:$S$101,3,FALSE))</f>
        <v/>
      </c>
      <c r="I8481" s="1" t="str">
        <f>IF(Table2[[#This Row],[Description]]="","",IF(Table2[[#This Row],[Currency]]=$O$2,$P$2,HLOOKUP(Table2[[#This Row],[Date]],Funds!$C$10:$GV$11,2,FALSE)))</f>
        <v/>
      </c>
      <c r="J8481" s="215" t="str">
        <f>IF(Table2[[#This Row],[Description]]="","",Table2[[#This Row],[Value]]/Table2[[#This Row],[Conversion]])</f>
        <v/>
      </c>
      <c r="K8481" s="45" t="str">
        <f>IF(Table2[[#This Row],[Description]]="","",DATE(Table2[[#This Row],[Year]],Table2[[#This Row],[Month]],1))</f>
        <v/>
      </c>
    </row>
    <row r="8482" spans="7:11" x14ac:dyDescent="0.25">
      <c r="G8482" s="1" t="str">
        <f>IF(Table2[[#This Row],[Description]]="","",VLOOKUP(Table2[[#This Row],[Description]],$Q$1:$S$101,2,FALSE))</f>
        <v/>
      </c>
      <c r="H8482" s="1" t="str">
        <f>IF(Table2[[#This Row],[Description]]="","",VLOOKUP(Table2[[#This Row],[Description]],$Q$1:$S$101,3,FALSE))</f>
        <v/>
      </c>
      <c r="I8482" s="1" t="str">
        <f>IF(Table2[[#This Row],[Description]]="","",IF(Table2[[#This Row],[Currency]]=$O$2,$P$2,HLOOKUP(Table2[[#This Row],[Date]],Funds!$C$10:$GV$11,2,FALSE)))</f>
        <v/>
      </c>
      <c r="J8482" s="215" t="str">
        <f>IF(Table2[[#This Row],[Description]]="","",Table2[[#This Row],[Value]]/Table2[[#This Row],[Conversion]])</f>
        <v/>
      </c>
      <c r="K8482" s="45" t="str">
        <f>IF(Table2[[#This Row],[Description]]="","",DATE(Table2[[#This Row],[Year]],Table2[[#This Row],[Month]],1))</f>
        <v/>
      </c>
    </row>
    <row r="8483" spans="7:11" x14ac:dyDescent="0.25">
      <c r="G8483" s="1" t="str">
        <f>IF(Table2[[#This Row],[Description]]="","",VLOOKUP(Table2[[#This Row],[Description]],$Q$1:$S$101,2,FALSE))</f>
        <v/>
      </c>
      <c r="H8483" s="1" t="str">
        <f>IF(Table2[[#This Row],[Description]]="","",VLOOKUP(Table2[[#This Row],[Description]],$Q$1:$S$101,3,FALSE))</f>
        <v/>
      </c>
      <c r="I8483" s="1" t="str">
        <f>IF(Table2[[#This Row],[Description]]="","",IF(Table2[[#This Row],[Currency]]=$O$2,$P$2,HLOOKUP(Table2[[#This Row],[Date]],Funds!$C$10:$GV$11,2,FALSE)))</f>
        <v/>
      </c>
      <c r="J8483" s="215" t="str">
        <f>IF(Table2[[#This Row],[Description]]="","",Table2[[#This Row],[Value]]/Table2[[#This Row],[Conversion]])</f>
        <v/>
      </c>
      <c r="K8483" s="45" t="str">
        <f>IF(Table2[[#This Row],[Description]]="","",DATE(Table2[[#This Row],[Year]],Table2[[#This Row],[Month]],1))</f>
        <v/>
      </c>
    </row>
    <row r="8484" spans="7:11" x14ac:dyDescent="0.25">
      <c r="G8484" s="1" t="str">
        <f>IF(Table2[[#This Row],[Description]]="","",VLOOKUP(Table2[[#This Row],[Description]],$Q$1:$S$101,2,FALSE))</f>
        <v/>
      </c>
      <c r="H8484" s="1" t="str">
        <f>IF(Table2[[#This Row],[Description]]="","",VLOOKUP(Table2[[#This Row],[Description]],$Q$1:$S$101,3,FALSE))</f>
        <v/>
      </c>
      <c r="I8484" s="1" t="str">
        <f>IF(Table2[[#This Row],[Description]]="","",IF(Table2[[#This Row],[Currency]]=$O$2,$P$2,HLOOKUP(Table2[[#This Row],[Date]],Funds!$C$10:$GV$11,2,FALSE)))</f>
        <v/>
      </c>
      <c r="J8484" s="215" t="str">
        <f>IF(Table2[[#This Row],[Description]]="","",Table2[[#This Row],[Value]]/Table2[[#This Row],[Conversion]])</f>
        <v/>
      </c>
      <c r="K8484" s="45" t="str">
        <f>IF(Table2[[#This Row],[Description]]="","",DATE(Table2[[#This Row],[Year]],Table2[[#This Row],[Month]],1))</f>
        <v/>
      </c>
    </row>
    <row r="8485" spans="7:11" x14ac:dyDescent="0.25">
      <c r="G8485" s="1" t="str">
        <f>IF(Table2[[#This Row],[Description]]="","",VLOOKUP(Table2[[#This Row],[Description]],$Q$1:$S$101,2,FALSE))</f>
        <v/>
      </c>
      <c r="H8485" s="1" t="str">
        <f>IF(Table2[[#This Row],[Description]]="","",VLOOKUP(Table2[[#This Row],[Description]],$Q$1:$S$101,3,FALSE))</f>
        <v/>
      </c>
      <c r="I8485" s="1" t="str">
        <f>IF(Table2[[#This Row],[Description]]="","",IF(Table2[[#This Row],[Currency]]=$O$2,$P$2,HLOOKUP(Table2[[#This Row],[Date]],Funds!$C$10:$GV$11,2,FALSE)))</f>
        <v/>
      </c>
      <c r="J8485" s="215" t="str">
        <f>IF(Table2[[#This Row],[Description]]="","",Table2[[#This Row],[Value]]/Table2[[#This Row],[Conversion]])</f>
        <v/>
      </c>
      <c r="K8485" s="45" t="str">
        <f>IF(Table2[[#This Row],[Description]]="","",DATE(Table2[[#This Row],[Year]],Table2[[#This Row],[Month]],1))</f>
        <v/>
      </c>
    </row>
    <row r="8486" spans="7:11" x14ac:dyDescent="0.25">
      <c r="G8486" s="1" t="str">
        <f>IF(Table2[[#This Row],[Description]]="","",VLOOKUP(Table2[[#This Row],[Description]],$Q$1:$S$101,2,FALSE))</f>
        <v/>
      </c>
      <c r="H8486" s="1" t="str">
        <f>IF(Table2[[#This Row],[Description]]="","",VLOOKUP(Table2[[#This Row],[Description]],$Q$1:$S$101,3,FALSE))</f>
        <v/>
      </c>
      <c r="I8486" s="1" t="str">
        <f>IF(Table2[[#This Row],[Description]]="","",IF(Table2[[#This Row],[Currency]]=$O$2,$P$2,HLOOKUP(Table2[[#This Row],[Date]],Funds!$C$10:$GV$11,2,FALSE)))</f>
        <v/>
      </c>
      <c r="J8486" s="215" t="str">
        <f>IF(Table2[[#This Row],[Description]]="","",Table2[[#This Row],[Value]]/Table2[[#This Row],[Conversion]])</f>
        <v/>
      </c>
      <c r="K8486" s="45" t="str">
        <f>IF(Table2[[#This Row],[Description]]="","",DATE(Table2[[#This Row],[Year]],Table2[[#This Row],[Month]],1))</f>
        <v/>
      </c>
    </row>
    <row r="8487" spans="7:11" x14ac:dyDescent="0.25">
      <c r="G8487" s="1" t="str">
        <f>IF(Table2[[#This Row],[Description]]="","",VLOOKUP(Table2[[#This Row],[Description]],$Q$1:$S$101,2,FALSE))</f>
        <v/>
      </c>
      <c r="H8487" s="1" t="str">
        <f>IF(Table2[[#This Row],[Description]]="","",VLOOKUP(Table2[[#This Row],[Description]],$Q$1:$S$101,3,FALSE))</f>
        <v/>
      </c>
      <c r="I8487" s="1" t="str">
        <f>IF(Table2[[#This Row],[Description]]="","",IF(Table2[[#This Row],[Currency]]=$O$2,$P$2,HLOOKUP(Table2[[#This Row],[Date]],Funds!$C$10:$GV$11,2,FALSE)))</f>
        <v/>
      </c>
      <c r="J8487" s="215" t="str">
        <f>IF(Table2[[#This Row],[Description]]="","",Table2[[#This Row],[Value]]/Table2[[#This Row],[Conversion]])</f>
        <v/>
      </c>
      <c r="K8487" s="45" t="str">
        <f>IF(Table2[[#This Row],[Description]]="","",DATE(Table2[[#This Row],[Year]],Table2[[#This Row],[Month]],1))</f>
        <v/>
      </c>
    </row>
    <row r="8488" spans="7:11" x14ac:dyDescent="0.25">
      <c r="G8488" s="1" t="str">
        <f>IF(Table2[[#This Row],[Description]]="","",VLOOKUP(Table2[[#This Row],[Description]],$Q$1:$S$101,2,FALSE))</f>
        <v/>
      </c>
      <c r="H8488" s="1" t="str">
        <f>IF(Table2[[#This Row],[Description]]="","",VLOOKUP(Table2[[#This Row],[Description]],$Q$1:$S$101,3,FALSE))</f>
        <v/>
      </c>
      <c r="I8488" s="1" t="str">
        <f>IF(Table2[[#This Row],[Description]]="","",IF(Table2[[#This Row],[Currency]]=$O$2,$P$2,HLOOKUP(Table2[[#This Row],[Date]],Funds!$C$10:$GV$11,2,FALSE)))</f>
        <v/>
      </c>
      <c r="J8488" s="215" t="str">
        <f>IF(Table2[[#This Row],[Description]]="","",Table2[[#This Row],[Value]]/Table2[[#This Row],[Conversion]])</f>
        <v/>
      </c>
      <c r="K8488" s="45" t="str">
        <f>IF(Table2[[#This Row],[Description]]="","",DATE(Table2[[#This Row],[Year]],Table2[[#This Row],[Month]],1))</f>
        <v/>
      </c>
    </row>
    <row r="8489" spans="7:11" x14ac:dyDescent="0.25">
      <c r="G8489" s="1" t="str">
        <f>IF(Table2[[#This Row],[Description]]="","",VLOOKUP(Table2[[#This Row],[Description]],$Q$1:$S$101,2,FALSE))</f>
        <v/>
      </c>
      <c r="H8489" s="1" t="str">
        <f>IF(Table2[[#This Row],[Description]]="","",VLOOKUP(Table2[[#This Row],[Description]],$Q$1:$S$101,3,FALSE))</f>
        <v/>
      </c>
      <c r="I8489" s="1" t="str">
        <f>IF(Table2[[#This Row],[Description]]="","",IF(Table2[[#This Row],[Currency]]=$O$2,$P$2,HLOOKUP(Table2[[#This Row],[Date]],Funds!$C$10:$GV$11,2,FALSE)))</f>
        <v/>
      </c>
      <c r="J8489" s="215" t="str">
        <f>IF(Table2[[#This Row],[Description]]="","",Table2[[#This Row],[Value]]/Table2[[#This Row],[Conversion]])</f>
        <v/>
      </c>
      <c r="K8489" s="45" t="str">
        <f>IF(Table2[[#This Row],[Description]]="","",DATE(Table2[[#This Row],[Year]],Table2[[#This Row],[Month]],1))</f>
        <v/>
      </c>
    </row>
    <row r="8490" spans="7:11" x14ac:dyDescent="0.25">
      <c r="G8490" s="1" t="str">
        <f>IF(Table2[[#This Row],[Description]]="","",VLOOKUP(Table2[[#This Row],[Description]],$Q$1:$S$101,2,FALSE))</f>
        <v/>
      </c>
      <c r="H8490" s="1" t="str">
        <f>IF(Table2[[#This Row],[Description]]="","",VLOOKUP(Table2[[#This Row],[Description]],$Q$1:$S$101,3,FALSE))</f>
        <v/>
      </c>
      <c r="I8490" s="1" t="str">
        <f>IF(Table2[[#This Row],[Description]]="","",IF(Table2[[#This Row],[Currency]]=$O$2,$P$2,HLOOKUP(Table2[[#This Row],[Date]],Funds!$C$10:$GV$11,2,FALSE)))</f>
        <v/>
      </c>
      <c r="J8490" s="215" t="str">
        <f>IF(Table2[[#This Row],[Description]]="","",Table2[[#This Row],[Value]]/Table2[[#This Row],[Conversion]])</f>
        <v/>
      </c>
      <c r="K8490" s="45" t="str">
        <f>IF(Table2[[#This Row],[Description]]="","",DATE(Table2[[#This Row],[Year]],Table2[[#This Row],[Month]],1))</f>
        <v/>
      </c>
    </row>
    <row r="8491" spans="7:11" x14ac:dyDescent="0.25">
      <c r="G8491" s="1" t="str">
        <f>IF(Table2[[#This Row],[Description]]="","",VLOOKUP(Table2[[#This Row],[Description]],$Q$1:$S$101,2,FALSE))</f>
        <v/>
      </c>
      <c r="H8491" s="1" t="str">
        <f>IF(Table2[[#This Row],[Description]]="","",VLOOKUP(Table2[[#This Row],[Description]],$Q$1:$S$101,3,FALSE))</f>
        <v/>
      </c>
      <c r="I8491" s="1" t="str">
        <f>IF(Table2[[#This Row],[Description]]="","",IF(Table2[[#This Row],[Currency]]=$O$2,$P$2,HLOOKUP(Table2[[#This Row],[Date]],Funds!$C$10:$GV$11,2,FALSE)))</f>
        <v/>
      </c>
      <c r="J8491" s="215" t="str">
        <f>IF(Table2[[#This Row],[Description]]="","",Table2[[#This Row],[Value]]/Table2[[#This Row],[Conversion]])</f>
        <v/>
      </c>
      <c r="K8491" s="45" t="str">
        <f>IF(Table2[[#This Row],[Description]]="","",DATE(Table2[[#This Row],[Year]],Table2[[#This Row],[Month]],1))</f>
        <v/>
      </c>
    </row>
    <row r="8492" spans="7:11" x14ac:dyDescent="0.25">
      <c r="G8492" s="1" t="str">
        <f>IF(Table2[[#This Row],[Description]]="","",VLOOKUP(Table2[[#This Row],[Description]],$Q$1:$S$101,2,FALSE))</f>
        <v/>
      </c>
      <c r="H8492" s="1" t="str">
        <f>IF(Table2[[#This Row],[Description]]="","",VLOOKUP(Table2[[#This Row],[Description]],$Q$1:$S$101,3,FALSE))</f>
        <v/>
      </c>
      <c r="I8492" s="1" t="str">
        <f>IF(Table2[[#This Row],[Description]]="","",IF(Table2[[#This Row],[Currency]]=$O$2,$P$2,HLOOKUP(Table2[[#This Row],[Date]],Funds!$C$10:$GV$11,2,FALSE)))</f>
        <v/>
      </c>
      <c r="J8492" s="215" t="str">
        <f>IF(Table2[[#This Row],[Description]]="","",Table2[[#This Row],[Value]]/Table2[[#This Row],[Conversion]])</f>
        <v/>
      </c>
      <c r="K8492" s="45" t="str">
        <f>IF(Table2[[#This Row],[Description]]="","",DATE(Table2[[#This Row],[Year]],Table2[[#This Row],[Month]],1))</f>
        <v/>
      </c>
    </row>
    <row r="8493" spans="7:11" x14ac:dyDescent="0.25">
      <c r="G8493" s="1" t="str">
        <f>IF(Table2[[#This Row],[Description]]="","",VLOOKUP(Table2[[#This Row],[Description]],$Q$1:$S$101,2,FALSE))</f>
        <v/>
      </c>
      <c r="H8493" s="1" t="str">
        <f>IF(Table2[[#This Row],[Description]]="","",VLOOKUP(Table2[[#This Row],[Description]],$Q$1:$S$101,3,FALSE))</f>
        <v/>
      </c>
      <c r="I8493" s="1" t="str">
        <f>IF(Table2[[#This Row],[Description]]="","",IF(Table2[[#This Row],[Currency]]=$O$2,$P$2,HLOOKUP(Table2[[#This Row],[Date]],Funds!$C$10:$GV$11,2,FALSE)))</f>
        <v/>
      </c>
      <c r="J8493" s="215" t="str">
        <f>IF(Table2[[#This Row],[Description]]="","",Table2[[#This Row],[Value]]/Table2[[#This Row],[Conversion]])</f>
        <v/>
      </c>
      <c r="K8493" s="45" t="str">
        <f>IF(Table2[[#This Row],[Description]]="","",DATE(Table2[[#This Row],[Year]],Table2[[#This Row],[Month]],1))</f>
        <v/>
      </c>
    </row>
    <row r="8494" spans="7:11" x14ac:dyDescent="0.25">
      <c r="G8494" s="1" t="str">
        <f>IF(Table2[[#This Row],[Description]]="","",VLOOKUP(Table2[[#This Row],[Description]],$Q$1:$S$101,2,FALSE))</f>
        <v/>
      </c>
      <c r="H8494" s="1" t="str">
        <f>IF(Table2[[#This Row],[Description]]="","",VLOOKUP(Table2[[#This Row],[Description]],$Q$1:$S$101,3,FALSE))</f>
        <v/>
      </c>
      <c r="I8494" s="1" t="str">
        <f>IF(Table2[[#This Row],[Description]]="","",IF(Table2[[#This Row],[Currency]]=$O$2,$P$2,HLOOKUP(Table2[[#This Row],[Date]],Funds!$C$10:$GV$11,2,FALSE)))</f>
        <v/>
      </c>
      <c r="J8494" s="215" t="str">
        <f>IF(Table2[[#This Row],[Description]]="","",Table2[[#This Row],[Value]]/Table2[[#This Row],[Conversion]])</f>
        <v/>
      </c>
      <c r="K8494" s="45" t="str">
        <f>IF(Table2[[#This Row],[Description]]="","",DATE(Table2[[#This Row],[Year]],Table2[[#This Row],[Month]],1))</f>
        <v/>
      </c>
    </row>
    <row r="8495" spans="7:11" x14ac:dyDescent="0.25">
      <c r="G8495" s="1" t="str">
        <f>IF(Table2[[#This Row],[Description]]="","",VLOOKUP(Table2[[#This Row],[Description]],$Q$1:$S$101,2,FALSE))</f>
        <v/>
      </c>
      <c r="H8495" s="1" t="str">
        <f>IF(Table2[[#This Row],[Description]]="","",VLOOKUP(Table2[[#This Row],[Description]],$Q$1:$S$101,3,FALSE))</f>
        <v/>
      </c>
      <c r="I8495" s="1" t="str">
        <f>IF(Table2[[#This Row],[Description]]="","",IF(Table2[[#This Row],[Currency]]=$O$2,$P$2,HLOOKUP(Table2[[#This Row],[Date]],Funds!$C$10:$GV$11,2,FALSE)))</f>
        <v/>
      </c>
      <c r="J8495" s="215" t="str">
        <f>IF(Table2[[#This Row],[Description]]="","",Table2[[#This Row],[Value]]/Table2[[#This Row],[Conversion]])</f>
        <v/>
      </c>
      <c r="K8495" s="45" t="str">
        <f>IF(Table2[[#This Row],[Description]]="","",DATE(Table2[[#This Row],[Year]],Table2[[#This Row],[Month]],1))</f>
        <v/>
      </c>
    </row>
    <row r="8496" spans="7:11" x14ac:dyDescent="0.25">
      <c r="G8496" s="1" t="str">
        <f>IF(Table2[[#This Row],[Description]]="","",VLOOKUP(Table2[[#This Row],[Description]],$Q$1:$S$101,2,FALSE))</f>
        <v/>
      </c>
      <c r="H8496" s="1" t="str">
        <f>IF(Table2[[#This Row],[Description]]="","",VLOOKUP(Table2[[#This Row],[Description]],$Q$1:$S$101,3,FALSE))</f>
        <v/>
      </c>
      <c r="I8496" s="1" t="str">
        <f>IF(Table2[[#This Row],[Description]]="","",IF(Table2[[#This Row],[Currency]]=$O$2,$P$2,HLOOKUP(Table2[[#This Row],[Date]],Funds!$C$10:$GV$11,2,FALSE)))</f>
        <v/>
      </c>
      <c r="J8496" s="215" t="str">
        <f>IF(Table2[[#This Row],[Description]]="","",Table2[[#This Row],[Value]]/Table2[[#This Row],[Conversion]])</f>
        <v/>
      </c>
      <c r="K8496" s="45" t="str">
        <f>IF(Table2[[#This Row],[Description]]="","",DATE(Table2[[#This Row],[Year]],Table2[[#This Row],[Month]],1))</f>
        <v/>
      </c>
    </row>
    <row r="8497" spans="7:11" x14ac:dyDescent="0.25">
      <c r="G8497" s="1" t="str">
        <f>IF(Table2[[#This Row],[Description]]="","",VLOOKUP(Table2[[#This Row],[Description]],$Q$1:$S$101,2,FALSE))</f>
        <v/>
      </c>
      <c r="H8497" s="1" t="str">
        <f>IF(Table2[[#This Row],[Description]]="","",VLOOKUP(Table2[[#This Row],[Description]],$Q$1:$S$101,3,FALSE))</f>
        <v/>
      </c>
      <c r="I8497" s="1" t="str">
        <f>IF(Table2[[#This Row],[Description]]="","",IF(Table2[[#This Row],[Currency]]=$O$2,$P$2,HLOOKUP(Table2[[#This Row],[Date]],Funds!$C$10:$GV$11,2,FALSE)))</f>
        <v/>
      </c>
      <c r="J8497" s="215" t="str">
        <f>IF(Table2[[#This Row],[Description]]="","",Table2[[#This Row],[Value]]/Table2[[#This Row],[Conversion]])</f>
        <v/>
      </c>
      <c r="K8497" s="45" t="str">
        <f>IF(Table2[[#This Row],[Description]]="","",DATE(Table2[[#This Row],[Year]],Table2[[#This Row],[Month]],1))</f>
        <v/>
      </c>
    </row>
    <row r="8498" spans="7:11" x14ac:dyDescent="0.25">
      <c r="G8498" s="1" t="str">
        <f>IF(Table2[[#This Row],[Description]]="","",VLOOKUP(Table2[[#This Row],[Description]],$Q$1:$S$101,2,FALSE))</f>
        <v/>
      </c>
      <c r="H8498" s="1" t="str">
        <f>IF(Table2[[#This Row],[Description]]="","",VLOOKUP(Table2[[#This Row],[Description]],$Q$1:$S$101,3,FALSE))</f>
        <v/>
      </c>
      <c r="I8498" s="1" t="str">
        <f>IF(Table2[[#This Row],[Description]]="","",IF(Table2[[#This Row],[Currency]]=$O$2,$P$2,HLOOKUP(Table2[[#This Row],[Date]],Funds!$C$10:$GV$11,2,FALSE)))</f>
        <v/>
      </c>
      <c r="J8498" s="215" t="str">
        <f>IF(Table2[[#This Row],[Description]]="","",Table2[[#This Row],[Value]]/Table2[[#This Row],[Conversion]])</f>
        <v/>
      </c>
      <c r="K8498" s="45" t="str">
        <f>IF(Table2[[#This Row],[Description]]="","",DATE(Table2[[#This Row],[Year]],Table2[[#This Row],[Month]],1))</f>
        <v/>
      </c>
    </row>
    <row r="8499" spans="7:11" x14ac:dyDescent="0.25">
      <c r="G8499" s="1" t="str">
        <f>IF(Table2[[#This Row],[Description]]="","",VLOOKUP(Table2[[#This Row],[Description]],$Q$1:$S$101,2,FALSE))</f>
        <v/>
      </c>
      <c r="H8499" s="1" t="str">
        <f>IF(Table2[[#This Row],[Description]]="","",VLOOKUP(Table2[[#This Row],[Description]],$Q$1:$S$101,3,FALSE))</f>
        <v/>
      </c>
      <c r="I8499" s="1" t="str">
        <f>IF(Table2[[#This Row],[Description]]="","",IF(Table2[[#This Row],[Currency]]=$O$2,$P$2,HLOOKUP(Table2[[#This Row],[Date]],Funds!$C$10:$GV$11,2,FALSE)))</f>
        <v/>
      </c>
      <c r="J8499" s="215" t="str">
        <f>IF(Table2[[#This Row],[Description]]="","",Table2[[#This Row],[Value]]/Table2[[#This Row],[Conversion]])</f>
        <v/>
      </c>
      <c r="K8499" s="45" t="str">
        <f>IF(Table2[[#This Row],[Description]]="","",DATE(Table2[[#This Row],[Year]],Table2[[#This Row],[Month]],1))</f>
        <v/>
      </c>
    </row>
    <row r="8500" spans="7:11" x14ac:dyDescent="0.25">
      <c r="G8500" s="1" t="str">
        <f>IF(Table2[[#This Row],[Description]]="","",VLOOKUP(Table2[[#This Row],[Description]],$Q$1:$S$101,2,FALSE))</f>
        <v/>
      </c>
      <c r="H8500" s="1" t="str">
        <f>IF(Table2[[#This Row],[Description]]="","",VLOOKUP(Table2[[#This Row],[Description]],$Q$1:$S$101,3,FALSE))</f>
        <v/>
      </c>
      <c r="I8500" s="1" t="str">
        <f>IF(Table2[[#This Row],[Description]]="","",IF(Table2[[#This Row],[Currency]]=$O$2,$P$2,HLOOKUP(Table2[[#This Row],[Date]],Funds!$C$10:$GV$11,2,FALSE)))</f>
        <v/>
      </c>
      <c r="J8500" s="215" t="str">
        <f>IF(Table2[[#This Row],[Description]]="","",Table2[[#This Row],[Value]]/Table2[[#This Row],[Conversion]])</f>
        <v/>
      </c>
      <c r="K8500" s="45" t="str">
        <f>IF(Table2[[#This Row],[Description]]="","",DATE(Table2[[#This Row],[Year]],Table2[[#This Row],[Month]],1))</f>
        <v/>
      </c>
    </row>
    <row r="8501" spans="7:11" x14ac:dyDescent="0.25">
      <c r="G8501" s="1" t="str">
        <f>IF(Table2[[#This Row],[Description]]="","",VLOOKUP(Table2[[#This Row],[Description]],$Q$1:$S$101,2,FALSE))</f>
        <v/>
      </c>
      <c r="H8501" s="1" t="str">
        <f>IF(Table2[[#This Row],[Description]]="","",VLOOKUP(Table2[[#This Row],[Description]],$Q$1:$S$101,3,FALSE))</f>
        <v/>
      </c>
      <c r="I8501" s="1" t="str">
        <f>IF(Table2[[#This Row],[Description]]="","",IF(Table2[[#This Row],[Currency]]=$O$2,$P$2,HLOOKUP(Table2[[#This Row],[Date]],Funds!$C$10:$GV$11,2,FALSE)))</f>
        <v/>
      </c>
      <c r="J8501" s="215" t="str">
        <f>IF(Table2[[#This Row],[Description]]="","",Table2[[#This Row],[Value]]/Table2[[#This Row],[Conversion]])</f>
        <v/>
      </c>
      <c r="K8501" s="45" t="str">
        <f>IF(Table2[[#This Row],[Description]]="","",DATE(Table2[[#This Row],[Year]],Table2[[#This Row],[Month]],1))</f>
        <v/>
      </c>
    </row>
    <row r="8502" spans="7:11" x14ac:dyDescent="0.25">
      <c r="G8502" s="1" t="str">
        <f>IF(Table2[[#This Row],[Description]]="","",VLOOKUP(Table2[[#This Row],[Description]],$Q$1:$S$101,2,FALSE))</f>
        <v/>
      </c>
      <c r="H8502" s="1" t="str">
        <f>IF(Table2[[#This Row],[Description]]="","",VLOOKUP(Table2[[#This Row],[Description]],$Q$1:$S$101,3,FALSE))</f>
        <v/>
      </c>
      <c r="I8502" s="1" t="str">
        <f>IF(Table2[[#This Row],[Description]]="","",IF(Table2[[#This Row],[Currency]]=$O$2,$P$2,HLOOKUP(Table2[[#This Row],[Date]],Funds!$C$10:$GV$11,2,FALSE)))</f>
        <v/>
      </c>
      <c r="J8502" s="215" t="str">
        <f>IF(Table2[[#This Row],[Description]]="","",Table2[[#This Row],[Value]]/Table2[[#This Row],[Conversion]])</f>
        <v/>
      </c>
      <c r="K8502" s="45" t="str">
        <f>IF(Table2[[#This Row],[Description]]="","",DATE(Table2[[#This Row],[Year]],Table2[[#This Row],[Month]],1))</f>
        <v/>
      </c>
    </row>
    <row r="8503" spans="7:11" x14ac:dyDescent="0.25">
      <c r="G8503" s="1" t="str">
        <f>IF(Table2[[#This Row],[Description]]="","",VLOOKUP(Table2[[#This Row],[Description]],$Q$1:$S$101,2,FALSE))</f>
        <v/>
      </c>
      <c r="H8503" s="1" t="str">
        <f>IF(Table2[[#This Row],[Description]]="","",VLOOKUP(Table2[[#This Row],[Description]],$Q$1:$S$101,3,FALSE))</f>
        <v/>
      </c>
      <c r="I8503" s="1" t="str">
        <f>IF(Table2[[#This Row],[Description]]="","",IF(Table2[[#This Row],[Currency]]=$O$2,$P$2,HLOOKUP(Table2[[#This Row],[Date]],Funds!$C$10:$GV$11,2,FALSE)))</f>
        <v/>
      </c>
      <c r="J8503" s="215" t="str">
        <f>IF(Table2[[#This Row],[Description]]="","",Table2[[#This Row],[Value]]/Table2[[#This Row],[Conversion]])</f>
        <v/>
      </c>
      <c r="K8503" s="45" t="str">
        <f>IF(Table2[[#This Row],[Description]]="","",DATE(Table2[[#This Row],[Year]],Table2[[#This Row],[Month]],1))</f>
        <v/>
      </c>
    </row>
    <row r="8504" spans="7:11" x14ac:dyDescent="0.25">
      <c r="G8504" s="1" t="str">
        <f>IF(Table2[[#This Row],[Description]]="","",VLOOKUP(Table2[[#This Row],[Description]],$Q$1:$S$101,2,FALSE))</f>
        <v/>
      </c>
      <c r="H8504" s="1" t="str">
        <f>IF(Table2[[#This Row],[Description]]="","",VLOOKUP(Table2[[#This Row],[Description]],$Q$1:$S$101,3,FALSE))</f>
        <v/>
      </c>
      <c r="I8504" s="1" t="str">
        <f>IF(Table2[[#This Row],[Description]]="","",IF(Table2[[#This Row],[Currency]]=$O$2,$P$2,HLOOKUP(Table2[[#This Row],[Date]],Funds!$C$10:$GV$11,2,FALSE)))</f>
        <v/>
      </c>
      <c r="J8504" s="215" t="str">
        <f>IF(Table2[[#This Row],[Description]]="","",Table2[[#This Row],[Value]]/Table2[[#This Row],[Conversion]])</f>
        <v/>
      </c>
      <c r="K8504" s="45" t="str">
        <f>IF(Table2[[#This Row],[Description]]="","",DATE(Table2[[#This Row],[Year]],Table2[[#This Row],[Month]],1))</f>
        <v/>
      </c>
    </row>
    <row r="8505" spans="7:11" x14ac:dyDescent="0.25">
      <c r="G8505" s="1" t="str">
        <f>IF(Table2[[#This Row],[Description]]="","",VLOOKUP(Table2[[#This Row],[Description]],$Q$1:$S$101,2,FALSE))</f>
        <v/>
      </c>
      <c r="H8505" s="1" t="str">
        <f>IF(Table2[[#This Row],[Description]]="","",VLOOKUP(Table2[[#This Row],[Description]],$Q$1:$S$101,3,FALSE))</f>
        <v/>
      </c>
      <c r="I8505" s="1" t="str">
        <f>IF(Table2[[#This Row],[Description]]="","",IF(Table2[[#This Row],[Currency]]=$O$2,$P$2,HLOOKUP(Table2[[#This Row],[Date]],Funds!$C$10:$GV$11,2,FALSE)))</f>
        <v/>
      </c>
      <c r="J8505" s="215" t="str">
        <f>IF(Table2[[#This Row],[Description]]="","",Table2[[#This Row],[Value]]/Table2[[#This Row],[Conversion]])</f>
        <v/>
      </c>
      <c r="K8505" s="45" t="str">
        <f>IF(Table2[[#This Row],[Description]]="","",DATE(Table2[[#This Row],[Year]],Table2[[#This Row],[Month]],1))</f>
        <v/>
      </c>
    </row>
    <row r="8506" spans="7:11" x14ac:dyDescent="0.25">
      <c r="G8506" s="1" t="str">
        <f>IF(Table2[[#This Row],[Description]]="","",VLOOKUP(Table2[[#This Row],[Description]],$Q$1:$S$101,2,FALSE))</f>
        <v/>
      </c>
      <c r="H8506" s="1" t="str">
        <f>IF(Table2[[#This Row],[Description]]="","",VLOOKUP(Table2[[#This Row],[Description]],$Q$1:$S$101,3,FALSE))</f>
        <v/>
      </c>
      <c r="I8506" s="1" t="str">
        <f>IF(Table2[[#This Row],[Description]]="","",IF(Table2[[#This Row],[Currency]]=$O$2,$P$2,HLOOKUP(Table2[[#This Row],[Date]],Funds!$C$10:$GV$11,2,FALSE)))</f>
        <v/>
      </c>
      <c r="J8506" s="215" t="str">
        <f>IF(Table2[[#This Row],[Description]]="","",Table2[[#This Row],[Value]]/Table2[[#This Row],[Conversion]])</f>
        <v/>
      </c>
      <c r="K8506" s="45" t="str">
        <f>IF(Table2[[#This Row],[Description]]="","",DATE(Table2[[#This Row],[Year]],Table2[[#This Row],[Month]],1))</f>
        <v/>
      </c>
    </row>
    <row r="8507" spans="7:11" x14ac:dyDescent="0.25">
      <c r="G8507" s="1" t="str">
        <f>IF(Table2[[#This Row],[Description]]="","",VLOOKUP(Table2[[#This Row],[Description]],$Q$1:$S$101,2,FALSE))</f>
        <v/>
      </c>
      <c r="H8507" s="1" t="str">
        <f>IF(Table2[[#This Row],[Description]]="","",VLOOKUP(Table2[[#This Row],[Description]],$Q$1:$S$101,3,FALSE))</f>
        <v/>
      </c>
      <c r="I8507" s="1" t="str">
        <f>IF(Table2[[#This Row],[Description]]="","",IF(Table2[[#This Row],[Currency]]=$O$2,$P$2,HLOOKUP(Table2[[#This Row],[Date]],Funds!$C$10:$GV$11,2,FALSE)))</f>
        <v/>
      </c>
      <c r="J8507" s="215" t="str">
        <f>IF(Table2[[#This Row],[Description]]="","",Table2[[#This Row],[Value]]/Table2[[#This Row],[Conversion]])</f>
        <v/>
      </c>
      <c r="K8507" s="45" t="str">
        <f>IF(Table2[[#This Row],[Description]]="","",DATE(Table2[[#This Row],[Year]],Table2[[#This Row],[Month]],1))</f>
        <v/>
      </c>
    </row>
    <row r="8508" spans="7:11" x14ac:dyDescent="0.25">
      <c r="G8508" s="1" t="str">
        <f>IF(Table2[[#This Row],[Description]]="","",VLOOKUP(Table2[[#This Row],[Description]],$Q$1:$S$101,2,FALSE))</f>
        <v/>
      </c>
      <c r="H8508" s="1" t="str">
        <f>IF(Table2[[#This Row],[Description]]="","",VLOOKUP(Table2[[#This Row],[Description]],$Q$1:$S$101,3,FALSE))</f>
        <v/>
      </c>
      <c r="I8508" s="1" t="str">
        <f>IF(Table2[[#This Row],[Description]]="","",IF(Table2[[#This Row],[Currency]]=$O$2,$P$2,HLOOKUP(Table2[[#This Row],[Date]],Funds!$C$10:$GV$11,2,FALSE)))</f>
        <v/>
      </c>
      <c r="J8508" s="215" t="str">
        <f>IF(Table2[[#This Row],[Description]]="","",Table2[[#This Row],[Value]]/Table2[[#This Row],[Conversion]])</f>
        <v/>
      </c>
      <c r="K8508" s="45" t="str">
        <f>IF(Table2[[#This Row],[Description]]="","",DATE(Table2[[#This Row],[Year]],Table2[[#This Row],[Month]],1))</f>
        <v/>
      </c>
    </row>
    <row r="8509" spans="7:11" x14ac:dyDescent="0.25">
      <c r="G8509" s="1" t="str">
        <f>IF(Table2[[#This Row],[Description]]="","",VLOOKUP(Table2[[#This Row],[Description]],$Q$1:$S$101,2,FALSE))</f>
        <v/>
      </c>
      <c r="H8509" s="1" t="str">
        <f>IF(Table2[[#This Row],[Description]]="","",VLOOKUP(Table2[[#This Row],[Description]],$Q$1:$S$101,3,FALSE))</f>
        <v/>
      </c>
      <c r="I8509" s="1" t="str">
        <f>IF(Table2[[#This Row],[Description]]="","",IF(Table2[[#This Row],[Currency]]=$O$2,$P$2,HLOOKUP(Table2[[#This Row],[Date]],Funds!$C$10:$GV$11,2,FALSE)))</f>
        <v/>
      </c>
      <c r="J8509" s="215" t="str">
        <f>IF(Table2[[#This Row],[Description]]="","",Table2[[#This Row],[Value]]/Table2[[#This Row],[Conversion]])</f>
        <v/>
      </c>
      <c r="K8509" s="45" t="str">
        <f>IF(Table2[[#This Row],[Description]]="","",DATE(Table2[[#This Row],[Year]],Table2[[#This Row],[Month]],1))</f>
        <v/>
      </c>
    </row>
    <row r="8510" spans="7:11" x14ac:dyDescent="0.25">
      <c r="G8510" s="1" t="str">
        <f>IF(Table2[[#This Row],[Description]]="","",VLOOKUP(Table2[[#This Row],[Description]],$Q$1:$S$101,2,FALSE))</f>
        <v/>
      </c>
      <c r="H8510" s="1" t="str">
        <f>IF(Table2[[#This Row],[Description]]="","",VLOOKUP(Table2[[#This Row],[Description]],$Q$1:$S$101,3,FALSE))</f>
        <v/>
      </c>
      <c r="I8510" s="1" t="str">
        <f>IF(Table2[[#This Row],[Description]]="","",IF(Table2[[#This Row],[Currency]]=$O$2,$P$2,HLOOKUP(Table2[[#This Row],[Date]],Funds!$C$10:$GV$11,2,FALSE)))</f>
        <v/>
      </c>
      <c r="J8510" s="215" t="str">
        <f>IF(Table2[[#This Row],[Description]]="","",Table2[[#This Row],[Value]]/Table2[[#This Row],[Conversion]])</f>
        <v/>
      </c>
      <c r="K8510" s="45" t="str">
        <f>IF(Table2[[#This Row],[Description]]="","",DATE(Table2[[#This Row],[Year]],Table2[[#This Row],[Month]],1))</f>
        <v/>
      </c>
    </row>
    <row r="8511" spans="7:11" x14ac:dyDescent="0.25">
      <c r="G8511" s="1" t="str">
        <f>IF(Table2[[#This Row],[Description]]="","",VLOOKUP(Table2[[#This Row],[Description]],$Q$1:$S$101,2,FALSE))</f>
        <v/>
      </c>
      <c r="H8511" s="1" t="str">
        <f>IF(Table2[[#This Row],[Description]]="","",VLOOKUP(Table2[[#This Row],[Description]],$Q$1:$S$101,3,FALSE))</f>
        <v/>
      </c>
      <c r="I8511" s="1" t="str">
        <f>IF(Table2[[#This Row],[Description]]="","",IF(Table2[[#This Row],[Currency]]=$O$2,$P$2,HLOOKUP(Table2[[#This Row],[Date]],Funds!$C$10:$GV$11,2,FALSE)))</f>
        <v/>
      </c>
      <c r="J8511" s="215" t="str">
        <f>IF(Table2[[#This Row],[Description]]="","",Table2[[#This Row],[Value]]/Table2[[#This Row],[Conversion]])</f>
        <v/>
      </c>
      <c r="K8511" s="45" t="str">
        <f>IF(Table2[[#This Row],[Description]]="","",DATE(Table2[[#This Row],[Year]],Table2[[#This Row],[Month]],1))</f>
        <v/>
      </c>
    </row>
    <row r="8512" spans="7:11" x14ac:dyDescent="0.25">
      <c r="G8512" s="1" t="str">
        <f>IF(Table2[[#This Row],[Description]]="","",VLOOKUP(Table2[[#This Row],[Description]],$Q$1:$S$101,2,FALSE))</f>
        <v/>
      </c>
      <c r="H8512" s="1" t="str">
        <f>IF(Table2[[#This Row],[Description]]="","",VLOOKUP(Table2[[#This Row],[Description]],$Q$1:$S$101,3,FALSE))</f>
        <v/>
      </c>
      <c r="I8512" s="1" t="str">
        <f>IF(Table2[[#This Row],[Description]]="","",IF(Table2[[#This Row],[Currency]]=$O$2,$P$2,HLOOKUP(Table2[[#This Row],[Date]],Funds!$C$10:$GV$11,2,FALSE)))</f>
        <v/>
      </c>
      <c r="J8512" s="215" t="str">
        <f>IF(Table2[[#This Row],[Description]]="","",Table2[[#This Row],[Value]]/Table2[[#This Row],[Conversion]])</f>
        <v/>
      </c>
      <c r="K8512" s="45" t="str">
        <f>IF(Table2[[#This Row],[Description]]="","",DATE(Table2[[#This Row],[Year]],Table2[[#This Row],[Month]],1))</f>
        <v/>
      </c>
    </row>
    <row r="8513" spans="7:11" x14ac:dyDescent="0.25">
      <c r="G8513" s="1" t="str">
        <f>IF(Table2[[#This Row],[Description]]="","",VLOOKUP(Table2[[#This Row],[Description]],$Q$1:$S$101,2,FALSE))</f>
        <v/>
      </c>
      <c r="H8513" s="1" t="str">
        <f>IF(Table2[[#This Row],[Description]]="","",VLOOKUP(Table2[[#This Row],[Description]],$Q$1:$S$101,3,FALSE))</f>
        <v/>
      </c>
      <c r="I8513" s="1" t="str">
        <f>IF(Table2[[#This Row],[Description]]="","",IF(Table2[[#This Row],[Currency]]=$O$2,$P$2,HLOOKUP(Table2[[#This Row],[Date]],Funds!$C$10:$GV$11,2,FALSE)))</f>
        <v/>
      </c>
      <c r="J8513" s="215" t="str">
        <f>IF(Table2[[#This Row],[Description]]="","",Table2[[#This Row],[Value]]/Table2[[#This Row],[Conversion]])</f>
        <v/>
      </c>
      <c r="K8513" s="45" t="str">
        <f>IF(Table2[[#This Row],[Description]]="","",DATE(Table2[[#This Row],[Year]],Table2[[#This Row],[Month]],1))</f>
        <v/>
      </c>
    </row>
    <row r="8514" spans="7:11" x14ac:dyDescent="0.25">
      <c r="G8514" s="1" t="str">
        <f>IF(Table2[[#This Row],[Description]]="","",VLOOKUP(Table2[[#This Row],[Description]],$Q$1:$S$101,2,FALSE))</f>
        <v/>
      </c>
      <c r="H8514" s="1" t="str">
        <f>IF(Table2[[#This Row],[Description]]="","",VLOOKUP(Table2[[#This Row],[Description]],$Q$1:$S$101,3,FALSE))</f>
        <v/>
      </c>
      <c r="I8514" s="1" t="str">
        <f>IF(Table2[[#This Row],[Description]]="","",IF(Table2[[#This Row],[Currency]]=$O$2,$P$2,HLOOKUP(Table2[[#This Row],[Date]],Funds!$C$10:$GV$11,2,FALSE)))</f>
        <v/>
      </c>
      <c r="J8514" s="215" t="str">
        <f>IF(Table2[[#This Row],[Description]]="","",Table2[[#This Row],[Value]]/Table2[[#This Row],[Conversion]])</f>
        <v/>
      </c>
      <c r="K8514" s="45" t="str">
        <f>IF(Table2[[#This Row],[Description]]="","",DATE(Table2[[#This Row],[Year]],Table2[[#This Row],[Month]],1))</f>
        <v/>
      </c>
    </row>
    <row r="8515" spans="7:11" x14ac:dyDescent="0.25">
      <c r="G8515" s="1" t="str">
        <f>IF(Table2[[#This Row],[Description]]="","",VLOOKUP(Table2[[#This Row],[Description]],$Q$1:$S$101,2,FALSE))</f>
        <v/>
      </c>
      <c r="H8515" s="1" t="str">
        <f>IF(Table2[[#This Row],[Description]]="","",VLOOKUP(Table2[[#This Row],[Description]],$Q$1:$S$101,3,FALSE))</f>
        <v/>
      </c>
      <c r="I8515" s="1" t="str">
        <f>IF(Table2[[#This Row],[Description]]="","",IF(Table2[[#This Row],[Currency]]=$O$2,$P$2,HLOOKUP(Table2[[#This Row],[Date]],Funds!$C$10:$GV$11,2,FALSE)))</f>
        <v/>
      </c>
      <c r="J8515" s="215" t="str">
        <f>IF(Table2[[#This Row],[Description]]="","",Table2[[#This Row],[Value]]/Table2[[#This Row],[Conversion]])</f>
        <v/>
      </c>
      <c r="K8515" s="45" t="str">
        <f>IF(Table2[[#This Row],[Description]]="","",DATE(Table2[[#This Row],[Year]],Table2[[#This Row],[Month]],1))</f>
        <v/>
      </c>
    </row>
    <row r="8516" spans="7:11" x14ac:dyDescent="0.25">
      <c r="G8516" s="1" t="str">
        <f>IF(Table2[[#This Row],[Description]]="","",VLOOKUP(Table2[[#This Row],[Description]],$Q$1:$S$101,2,FALSE))</f>
        <v/>
      </c>
      <c r="H8516" s="1" t="str">
        <f>IF(Table2[[#This Row],[Description]]="","",VLOOKUP(Table2[[#This Row],[Description]],$Q$1:$S$101,3,FALSE))</f>
        <v/>
      </c>
      <c r="I8516" s="1" t="str">
        <f>IF(Table2[[#This Row],[Description]]="","",IF(Table2[[#This Row],[Currency]]=$O$2,$P$2,HLOOKUP(Table2[[#This Row],[Date]],Funds!$C$10:$GV$11,2,FALSE)))</f>
        <v/>
      </c>
      <c r="J8516" s="215" t="str">
        <f>IF(Table2[[#This Row],[Description]]="","",Table2[[#This Row],[Value]]/Table2[[#This Row],[Conversion]])</f>
        <v/>
      </c>
      <c r="K8516" s="45" t="str">
        <f>IF(Table2[[#This Row],[Description]]="","",DATE(Table2[[#This Row],[Year]],Table2[[#This Row],[Month]],1))</f>
        <v/>
      </c>
    </row>
    <row r="8517" spans="7:11" x14ac:dyDescent="0.25">
      <c r="G8517" s="1" t="str">
        <f>IF(Table2[[#This Row],[Description]]="","",VLOOKUP(Table2[[#This Row],[Description]],$Q$1:$S$101,2,FALSE))</f>
        <v/>
      </c>
      <c r="H8517" s="1" t="str">
        <f>IF(Table2[[#This Row],[Description]]="","",VLOOKUP(Table2[[#This Row],[Description]],$Q$1:$S$101,3,FALSE))</f>
        <v/>
      </c>
      <c r="I8517" s="1" t="str">
        <f>IF(Table2[[#This Row],[Description]]="","",IF(Table2[[#This Row],[Currency]]=$O$2,$P$2,HLOOKUP(Table2[[#This Row],[Date]],Funds!$C$10:$GV$11,2,FALSE)))</f>
        <v/>
      </c>
      <c r="J8517" s="215" t="str">
        <f>IF(Table2[[#This Row],[Description]]="","",Table2[[#This Row],[Value]]/Table2[[#This Row],[Conversion]])</f>
        <v/>
      </c>
      <c r="K8517" s="45" t="str">
        <f>IF(Table2[[#This Row],[Description]]="","",DATE(Table2[[#This Row],[Year]],Table2[[#This Row],[Month]],1))</f>
        <v/>
      </c>
    </row>
    <row r="8518" spans="7:11" x14ac:dyDescent="0.25">
      <c r="G8518" s="1" t="str">
        <f>IF(Table2[[#This Row],[Description]]="","",VLOOKUP(Table2[[#This Row],[Description]],$Q$1:$S$101,2,FALSE))</f>
        <v/>
      </c>
      <c r="H8518" s="1" t="str">
        <f>IF(Table2[[#This Row],[Description]]="","",VLOOKUP(Table2[[#This Row],[Description]],$Q$1:$S$101,3,FALSE))</f>
        <v/>
      </c>
      <c r="I8518" s="1" t="str">
        <f>IF(Table2[[#This Row],[Description]]="","",IF(Table2[[#This Row],[Currency]]=$O$2,$P$2,HLOOKUP(Table2[[#This Row],[Date]],Funds!$C$10:$GV$11,2,FALSE)))</f>
        <v/>
      </c>
      <c r="J8518" s="215" t="str">
        <f>IF(Table2[[#This Row],[Description]]="","",Table2[[#This Row],[Value]]/Table2[[#This Row],[Conversion]])</f>
        <v/>
      </c>
      <c r="K8518" s="45" t="str">
        <f>IF(Table2[[#This Row],[Description]]="","",DATE(Table2[[#This Row],[Year]],Table2[[#This Row],[Month]],1))</f>
        <v/>
      </c>
    </row>
    <row r="8519" spans="7:11" x14ac:dyDescent="0.25">
      <c r="G8519" s="1" t="str">
        <f>IF(Table2[[#This Row],[Description]]="","",VLOOKUP(Table2[[#This Row],[Description]],$Q$1:$S$101,2,FALSE))</f>
        <v/>
      </c>
      <c r="H8519" s="1" t="str">
        <f>IF(Table2[[#This Row],[Description]]="","",VLOOKUP(Table2[[#This Row],[Description]],$Q$1:$S$101,3,FALSE))</f>
        <v/>
      </c>
      <c r="I8519" s="1" t="str">
        <f>IF(Table2[[#This Row],[Description]]="","",IF(Table2[[#This Row],[Currency]]=$O$2,$P$2,HLOOKUP(Table2[[#This Row],[Date]],Funds!$C$10:$GV$11,2,FALSE)))</f>
        <v/>
      </c>
      <c r="J8519" s="215" t="str">
        <f>IF(Table2[[#This Row],[Description]]="","",Table2[[#This Row],[Value]]/Table2[[#This Row],[Conversion]])</f>
        <v/>
      </c>
      <c r="K8519" s="45" t="str">
        <f>IF(Table2[[#This Row],[Description]]="","",DATE(Table2[[#This Row],[Year]],Table2[[#This Row],[Month]],1))</f>
        <v/>
      </c>
    </row>
    <row r="8520" spans="7:11" x14ac:dyDescent="0.25">
      <c r="G8520" s="1" t="str">
        <f>IF(Table2[[#This Row],[Description]]="","",VLOOKUP(Table2[[#This Row],[Description]],$Q$1:$S$101,2,FALSE))</f>
        <v/>
      </c>
      <c r="H8520" s="1" t="str">
        <f>IF(Table2[[#This Row],[Description]]="","",VLOOKUP(Table2[[#This Row],[Description]],$Q$1:$S$101,3,FALSE))</f>
        <v/>
      </c>
      <c r="I8520" s="1" t="str">
        <f>IF(Table2[[#This Row],[Description]]="","",IF(Table2[[#This Row],[Currency]]=$O$2,$P$2,HLOOKUP(Table2[[#This Row],[Date]],Funds!$C$10:$GV$11,2,FALSE)))</f>
        <v/>
      </c>
      <c r="J8520" s="215" t="str">
        <f>IF(Table2[[#This Row],[Description]]="","",Table2[[#This Row],[Value]]/Table2[[#This Row],[Conversion]])</f>
        <v/>
      </c>
      <c r="K8520" s="45" t="str">
        <f>IF(Table2[[#This Row],[Description]]="","",DATE(Table2[[#This Row],[Year]],Table2[[#This Row],[Month]],1))</f>
        <v/>
      </c>
    </row>
    <row r="8521" spans="7:11" x14ac:dyDescent="0.25">
      <c r="G8521" s="1" t="str">
        <f>IF(Table2[[#This Row],[Description]]="","",VLOOKUP(Table2[[#This Row],[Description]],$Q$1:$S$101,2,FALSE))</f>
        <v/>
      </c>
      <c r="H8521" s="1" t="str">
        <f>IF(Table2[[#This Row],[Description]]="","",VLOOKUP(Table2[[#This Row],[Description]],$Q$1:$S$101,3,FALSE))</f>
        <v/>
      </c>
      <c r="I8521" s="1" t="str">
        <f>IF(Table2[[#This Row],[Description]]="","",IF(Table2[[#This Row],[Currency]]=$O$2,$P$2,HLOOKUP(Table2[[#This Row],[Date]],Funds!$C$10:$GV$11,2,FALSE)))</f>
        <v/>
      </c>
      <c r="J8521" s="215" t="str">
        <f>IF(Table2[[#This Row],[Description]]="","",Table2[[#This Row],[Value]]/Table2[[#This Row],[Conversion]])</f>
        <v/>
      </c>
      <c r="K8521" s="45" t="str">
        <f>IF(Table2[[#This Row],[Description]]="","",DATE(Table2[[#This Row],[Year]],Table2[[#This Row],[Month]],1))</f>
        <v/>
      </c>
    </row>
    <row r="8522" spans="7:11" x14ac:dyDescent="0.25">
      <c r="G8522" s="1" t="str">
        <f>IF(Table2[[#This Row],[Description]]="","",VLOOKUP(Table2[[#This Row],[Description]],$Q$1:$S$101,2,FALSE))</f>
        <v/>
      </c>
      <c r="H8522" s="1" t="str">
        <f>IF(Table2[[#This Row],[Description]]="","",VLOOKUP(Table2[[#This Row],[Description]],$Q$1:$S$101,3,FALSE))</f>
        <v/>
      </c>
      <c r="I8522" s="1" t="str">
        <f>IF(Table2[[#This Row],[Description]]="","",IF(Table2[[#This Row],[Currency]]=$O$2,$P$2,HLOOKUP(Table2[[#This Row],[Date]],Funds!$C$10:$GV$11,2,FALSE)))</f>
        <v/>
      </c>
      <c r="J8522" s="215" t="str">
        <f>IF(Table2[[#This Row],[Description]]="","",Table2[[#This Row],[Value]]/Table2[[#This Row],[Conversion]])</f>
        <v/>
      </c>
      <c r="K8522" s="45" t="str">
        <f>IF(Table2[[#This Row],[Description]]="","",DATE(Table2[[#This Row],[Year]],Table2[[#This Row],[Month]],1))</f>
        <v/>
      </c>
    </row>
    <row r="8523" spans="7:11" x14ac:dyDescent="0.25">
      <c r="G8523" s="1" t="str">
        <f>IF(Table2[[#This Row],[Description]]="","",VLOOKUP(Table2[[#This Row],[Description]],$Q$1:$S$101,2,FALSE))</f>
        <v/>
      </c>
      <c r="H8523" s="1" t="str">
        <f>IF(Table2[[#This Row],[Description]]="","",VLOOKUP(Table2[[#This Row],[Description]],$Q$1:$S$101,3,FALSE))</f>
        <v/>
      </c>
      <c r="I8523" s="1" t="str">
        <f>IF(Table2[[#This Row],[Description]]="","",IF(Table2[[#This Row],[Currency]]=$O$2,$P$2,HLOOKUP(Table2[[#This Row],[Date]],Funds!$C$10:$GV$11,2,FALSE)))</f>
        <v/>
      </c>
      <c r="J8523" s="215" t="str">
        <f>IF(Table2[[#This Row],[Description]]="","",Table2[[#This Row],[Value]]/Table2[[#This Row],[Conversion]])</f>
        <v/>
      </c>
      <c r="K8523" s="45" t="str">
        <f>IF(Table2[[#This Row],[Description]]="","",DATE(Table2[[#This Row],[Year]],Table2[[#This Row],[Month]],1))</f>
        <v/>
      </c>
    </row>
    <row r="8524" spans="7:11" x14ac:dyDescent="0.25">
      <c r="G8524" s="1" t="str">
        <f>IF(Table2[[#This Row],[Description]]="","",VLOOKUP(Table2[[#This Row],[Description]],$Q$1:$S$101,2,FALSE))</f>
        <v/>
      </c>
      <c r="H8524" s="1" t="str">
        <f>IF(Table2[[#This Row],[Description]]="","",VLOOKUP(Table2[[#This Row],[Description]],$Q$1:$S$101,3,FALSE))</f>
        <v/>
      </c>
      <c r="I8524" s="1" t="str">
        <f>IF(Table2[[#This Row],[Description]]="","",IF(Table2[[#This Row],[Currency]]=$O$2,$P$2,HLOOKUP(Table2[[#This Row],[Date]],Funds!$C$10:$GV$11,2,FALSE)))</f>
        <v/>
      </c>
      <c r="J8524" s="215" t="str">
        <f>IF(Table2[[#This Row],[Description]]="","",Table2[[#This Row],[Value]]/Table2[[#This Row],[Conversion]])</f>
        <v/>
      </c>
      <c r="K8524" s="45" t="str">
        <f>IF(Table2[[#This Row],[Description]]="","",DATE(Table2[[#This Row],[Year]],Table2[[#This Row],[Month]],1))</f>
        <v/>
      </c>
    </row>
    <row r="8525" spans="7:11" x14ac:dyDescent="0.25">
      <c r="G8525" s="1" t="str">
        <f>IF(Table2[[#This Row],[Description]]="","",VLOOKUP(Table2[[#This Row],[Description]],$Q$1:$S$101,2,FALSE))</f>
        <v/>
      </c>
      <c r="H8525" s="1" t="str">
        <f>IF(Table2[[#This Row],[Description]]="","",VLOOKUP(Table2[[#This Row],[Description]],$Q$1:$S$101,3,FALSE))</f>
        <v/>
      </c>
      <c r="I8525" s="1" t="str">
        <f>IF(Table2[[#This Row],[Description]]="","",IF(Table2[[#This Row],[Currency]]=$O$2,$P$2,HLOOKUP(Table2[[#This Row],[Date]],Funds!$C$10:$GV$11,2,FALSE)))</f>
        <v/>
      </c>
      <c r="J8525" s="215" t="str">
        <f>IF(Table2[[#This Row],[Description]]="","",Table2[[#This Row],[Value]]/Table2[[#This Row],[Conversion]])</f>
        <v/>
      </c>
      <c r="K8525" s="45" t="str">
        <f>IF(Table2[[#This Row],[Description]]="","",DATE(Table2[[#This Row],[Year]],Table2[[#This Row],[Month]],1))</f>
        <v/>
      </c>
    </row>
    <row r="8526" spans="7:11" x14ac:dyDescent="0.25">
      <c r="G8526" s="1" t="str">
        <f>IF(Table2[[#This Row],[Description]]="","",VLOOKUP(Table2[[#This Row],[Description]],$Q$1:$S$101,2,FALSE))</f>
        <v/>
      </c>
      <c r="H8526" s="1" t="str">
        <f>IF(Table2[[#This Row],[Description]]="","",VLOOKUP(Table2[[#This Row],[Description]],$Q$1:$S$101,3,FALSE))</f>
        <v/>
      </c>
      <c r="I8526" s="1" t="str">
        <f>IF(Table2[[#This Row],[Description]]="","",IF(Table2[[#This Row],[Currency]]=$O$2,$P$2,HLOOKUP(Table2[[#This Row],[Date]],Funds!$C$10:$GV$11,2,FALSE)))</f>
        <v/>
      </c>
      <c r="J8526" s="215" t="str">
        <f>IF(Table2[[#This Row],[Description]]="","",Table2[[#This Row],[Value]]/Table2[[#This Row],[Conversion]])</f>
        <v/>
      </c>
      <c r="K8526" s="45" t="str">
        <f>IF(Table2[[#This Row],[Description]]="","",DATE(Table2[[#This Row],[Year]],Table2[[#This Row],[Month]],1))</f>
        <v/>
      </c>
    </row>
    <row r="8527" spans="7:11" x14ac:dyDescent="0.25">
      <c r="G8527" s="1" t="str">
        <f>IF(Table2[[#This Row],[Description]]="","",VLOOKUP(Table2[[#This Row],[Description]],$Q$1:$S$101,2,FALSE))</f>
        <v/>
      </c>
      <c r="H8527" s="1" t="str">
        <f>IF(Table2[[#This Row],[Description]]="","",VLOOKUP(Table2[[#This Row],[Description]],$Q$1:$S$101,3,FALSE))</f>
        <v/>
      </c>
      <c r="I8527" s="1" t="str">
        <f>IF(Table2[[#This Row],[Description]]="","",IF(Table2[[#This Row],[Currency]]=$O$2,$P$2,HLOOKUP(Table2[[#This Row],[Date]],Funds!$C$10:$GV$11,2,FALSE)))</f>
        <v/>
      </c>
      <c r="J8527" s="215" t="str">
        <f>IF(Table2[[#This Row],[Description]]="","",Table2[[#This Row],[Value]]/Table2[[#This Row],[Conversion]])</f>
        <v/>
      </c>
      <c r="K8527" s="45" t="str">
        <f>IF(Table2[[#This Row],[Description]]="","",DATE(Table2[[#This Row],[Year]],Table2[[#This Row],[Month]],1))</f>
        <v/>
      </c>
    </row>
    <row r="8528" spans="7:11" x14ac:dyDescent="0.25">
      <c r="G8528" s="1" t="str">
        <f>IF(Table2[[#This Row],[Description]]="","",VLOOKUP(Table2[[#This Row],[Description]],$Q$1:$S$101,2,FALSE))</f>
        <v/>
      </c>
      <c r="H8528" s="1" t="str">
        <f>IF(Table2[[#This Row],[Description]]="","",VLOOKUP(Table2[[#This Row],[Description]],$Q$1:$S$101,3,FALSE))</f>
        <v/>
      </c>
      <c r="I8528" s="1" t="str">
        <f>IF(Table2[[#This Row],[Description]]="","",IF(Table2[[#This Row],[Currency]]=$O$2,$P$2,HLOOKUP(Table2[[#This Row],[Date]],Funds!$C$10:$GV$11,2,FALSE)))</f>
        <v/>
      </c>
      <c r="J8528" s="215" t="str">
        <f>IF(Table2[[#This Row],[Description]]="","",Table2[[#This Row],[Value]]/Table2[[#This Row],[Conversion]])</f>
        <v/>
      </c>
      <c r="K8528" s="45" t="str">
        <f>IF(Table2[[#This Row],[Description]]="","",DATE(Table2[[#This Row],[Year]],Table2[[#This Row],[Month]],1))</f>
        <v/>
      </c>
    </row>
    <row r="8529" spans="7:11" x14ac:dyDescent="0.25">
      <c r="G8529" s="1" t="str">
        <f>IF(Table2[[#This Row],[Description]]="","",VLOOKUP(Table2[[#This Row],[Description]],$Q$1:$S$101,2,FALSE))</f>
        <v/>
      </c>
      <c r="H8529" s="1" t="str">
        <f>IF(Table2[[#This Row],[Description]]="","",VLOOKUP(Table2[[#This Row],[Description]],$Q$1:$S$101,3,FALSE))</f>
        <v/>
      </c>
      <c r="I8529" s="1" t="str">
        <f>IF(Table2[[#This Row],[Description]]="","",IF(Table2[[#This Row],[Currency]]=$O$2,$P$2,HLOOKUP(Table2[[#This Row],[Date]],Funds!$C$10:$GV$11,2,FALSE)))</f>
        <v/>
      </c>
      <c r="J8529" s="215" t="str">
        <f>IF(Table2[[#This Row],[Description]]="","",Table2[[#This Row],[Value]]/Table2[[#This Row],[Conversion]])</f>
        <v/>
      </c>
      <c r="K8529" s="45" t="str">
        <f>IF(Table2[[#This Row],[Description]]="","",DATE(Table2[[#This Row],[Year]],Table2[[#This Row],[Month]],1))</f>
        <v/>
      </c>
    </row>
    <row r="8530" spans="7:11" x14ac:dyDescent="0.25">
      <c r="G8530" s="1" t="str">
        <f>IF(Table2[[#This Row],[Description]]="","",VLOOKUP(Table2[[#This Row],[Description]],$Q$1:$S$101,2,FALSE))</f>
        <v/>
      </c>
      <c r="H8530" s="1" t="str">
        <f>IF(Table2[[#This Row],[Description]]="","",VLOOKUP(Table2[[#This Row],[Description]],$Q$1:$S$101,3,FALSE))</f>
        <v/>
      </c>
      <c r="I8530" s="1" t="str">
        <f>IF(Table2[[#This Row],[Description]]="","",IF(Table2[[#This Row],[Currency]]=$O$2,$P$2,HLOOKUP(Table2[[#This Row],[Date]],Funds!$C$10:$GV$11,2,FALSE)))</f>
        <v/>
      </c>
      <c r="J8530" s="215" t="str">
        <f>IF(Table2[[#This Row],[Description]]="","",Table2[[#This Row],[Value]]/Table2[[#This Row],[Conversion]])</f>
        <v/>
      </c>
      <c r="K8530" s="45" t="str">
        <f>IF(Table2[[#This Row],[Description]]="","",DATE(Table2[[#This Row],[Year]],Table2[[#This Row],[Month]],1))</f>
        <v/>
      </c>
    </row>
    <row r="8531" spans="7:11" x14ac:dyDescent="0.25">
      <c r="G8531" s="1" t="str">
        <f>IF(Table2[[#This Row],[Description]]="","",VLOOKUP(Table2[[#This Row],[Description]],$Q$1:$S$101,2,FALSE))</f>
        <v/>
      </c>
      <c r="H8531" s="1" t="str">
        <f>IF(Table2[[#This Row],[Description]]="","",VLOOKUP(Table2[[#This Row],[Description]],$Q$1:$S$101,3,FALSE))</f>
        <v/>
      </c>
      <c r="I8531" s="1" t="str">
        <f>IF(Table2[[#This Row],[Description]]="","",IF(Table2[[#This Row],[Currency]]=$O$2,$P$2,HLOOKUP(Table2[[#This Row],[Date]],Funds!$C$10:$GV$11,2,FALSE)))</f>
        <v/>
      </c>
      <c r="J8531" s="215" t="str">
        <f>IF(Table2[[#This Row],[Description]]="","",Table2[[#This Row],[Value]]/Table2[[#This Row],[Conversion]])</f>
        <v/>
      </c>
      <c r="K8531" s="45" t="str">
        <f>IF(Table2[[#This Row],[Description]]="","",DATE(Table2[[#This Row],[Year]],Table2[[#This Row],[Month]],1))</f>
        <v/>
      </c>
    </row>
    <row r="8532" spans="7:11" x14ac:dyDescent="0.25">
      <c r="G8532" s="1" t="str">
        <f>IF(Table2[[#This Row],[Description]]="","",VLOOKUP(Table2[[#This Row],[Description]],$Q$1:$S$101,2,FALSE))</f>
        <v/>
      </c>
      <c r="H8532" s="1" t="str">
        <f>IF(Table2[[#This Row],[Description]]="","",VLOOKUP(Table2[[#This Row],[Description]],$Q$1:$S$101,3,FALSE))</f>
        <v/>
      </c>
      <c r="I8532" s="1" t="str">
        <f>IF(Table2[[#This Row],[Description]]="","",IF(Table2[[#This Row],[Currency]]=$O$2,$P$2,HLOOKUP(Table2[[#This Row],[Date]],Funds!$C$10:$GV$11,2,FALSE)))</f>
        <v/>
      </c>
      <c r="J8532" s="215" t="str">
        <f>IF(Table2[[#This Row],[Description]]="","",Table2[[#This Row],[Value]]/Table2[[#This Row],[Conversion]])</f>
        <v/>
      </c>
      <c r="K8532" s="45" t="str">
        <f>IF(Table2[[#This Row],[Description]]="","",DATE(Table2[[#This Row],[Year]],Table2[[#This Row],[Month]],1))</f>
        <v/>
      </c>
    </row>
    <row r="8533" spans="7:11" x14ac:dyDescent="0.25">
      <c r="G8533" s="1" t="str">
        <f>IF(Table2[[#This Row],[Description]]="","",VLOOKUP(Table2[[#This Row],[Description]],$Q$1:$S$101,2,FALSE))</f>
        <v/>
      </c>
      <c r="H8533" s="1" t="str">
        <f>IF(Table2[[#This Row],[Description]]="","",VLOOKUP(Table2[[#This Row],[Description]],$Q$1:$S$101,3,FALSE))</f>
        <v/>
      </c>
      <c r="I8533" s="1" t="str">
        <f>IF(Table2[[#This Row],[Description]]="","",IF(Table2[[#This Row],[Currency]]=$O$2,$P$2,HLOOKUP(Table2[[#This Row],[Date]],Funds!$C$10:$GV$11,2,FALSE)))</f>
        <v/>
      </c>
      <c r="J8533" s="215" t="str">
        <f>IF(Table2[[#This Row],[Description]]="","",Table2[[#This Row],[Value]]/Table2[[#This Row],[Conversion]])</f>
        <v/>
      </c>
      <c r="K8533" s="45" t="str">
        <f>IF(Table2[[#This Row],[Description]]="","",DATE(Table2[[#This Row],[Year]],Table2[[#This Row],[Month]],1))</f>
        <v/>
      </c>
    </row>
    <row r="8534" spans="7:11" x14ac:dyDescent="0.25">
      <c r="G8534" s="1" t="str">
        <f>IF(Table2[[#This Row],[Description]]="","",VLOOKUP(Table2[[#This Row],[Description]],$Q$1:$S$101,2,FALSE))</f>
        <v/>
      </c>
      <c r="H8534" s="1" t="str">
        <f>IF(Table2[[#This Row],[Description]]="","",VLOOKUP(Table2[[#This Row],[Description]],$Q$1:$S$101,3,FALSE))</f>
        <v/>
      </c>
      <c r="I8534" s="1" t="str">
        <f>IF(Table2[[#This Row],[Description]]="","",IF(Table2[[#This Row],[Currency]]=$O$2,$P$2,HLOOKUP(Table2[[#This Row],[Date]],Funds!$C$10:$GV$11,2,FALSE)))</f>
        <v/>
      </c>
      <c r="J8534" s="215" t="str">
        <f>IF(Table2[[#This Row],[Description]]="","",Table2[[#This Row],[Value]]/Table2[[#This Row],[Conversion]])</f>
        <v/>
      </c>
      <c r="K8534" s="45" t="str">
        <f>IF(Table2[[#This Row],[Description]]="","",DATE(Table2[[#This Row],[Year]],Table2[[#This Row],[Month]],1))</f>
        <v/>
      </c>
    </row>
    <row r="8535" spans="7:11" x14ac:dyDescent="0.25">
      <c r="G8535" s="1" t="str">
        <f>IF(Table2[[#This Row],[Description]]="","",VLOOKUP(Table2[[#This Row],[Description]],$Q$1:$S$101,2,FALSE))</f>
        <v/>
      </c>
      <c r="H8535" s="1" t="str">
        <f>IF(Table2[[#This Row],[Description]]="","",VLOOKUP(Table2[[#This Row],[Description]],$Q$1:$S$101,3,FALSE))</f>
        <v/>
      </c>
      <c r="I8535" s="1" t="str">
        <f>IF(Table2[[#This Row],[Description]]="","",IF(Table2[[#This Row],[Currency]]=$O$2,$P$2,HLOOKUP(Table2[[#This Row],[Date]],Funds!$C$10:$GV$11,2,FALSE)))</f>
        <v/>
      </c>
      <c r="J8535" s="215" t="str">
        <f>IF(Table2[[#This Row],[Description]]="","",Table2[[#This Row],[Value]]/Table2[[#This Row],[Conversion]])</f>
        <v/>
      </c>
      <c r="K8535" s="45" t="str">
        <f>IF(Table2[[#This Row],[Description]]="","",DATE(Table2[[#This Row],[Year]],Table2[[#This Row],[Month]],1))</f>
        <v/>
      </c>
    </row>
    <row r="8536" spans="7:11" x14ac:dyDescent="0.25">
      <c r="G8536" s="1" t="str">
        <f>IF(Table2[[#This Row],[Description]]="","",VLOOKUP(Table2[[#This Row],[Description]],$Q$1:$S$101,2,FALSE))</f>
        <v/>
      </c>
      <c r="H8536" s="1" t="str">
        <f>IF(Table2[[#This Row],[Description]]="","",VLOOKUP(Table2[[#This Row],[Description]],$Q$1:$S$101,3,FALSE))</f>
        <v/>
      </c>
      <c r="I8536" s="1" t="str">
        <f>IF(Table2[[#This Row],[Description]]="","",IF(Table2[[#This Row],[Currency]]=$O$2,$P$2,HLOOKUP(Table2[[#This Row],[Date]],Funds!$C$10:$GV$11,2,FALSE)))</f>
        <v/>
      </c>
      <c r="J8536" s="215" t="str">
        <f>IF(Table2[[#This Row],[Description]]="","",Table2[[#This Row],[Value]]/Table2[[#This Row],[Conversion]])</f>
        <v/>
      </c>
      <c r="K8536" s="45" t="str">
        <f>IF(Table2[[#This Row],[Description]]="","",DATE(Table2[[#This Row],[Year]],Table2[[#This Row],[Month]],1))</f>
        <v/>
      </c>
    </row>
    <row r="8537" spans="7:11" x14ac:dyDescent="0.25">
      <c r="G8537" s="1" t="str">
        <f>IF(Table2[[#This Row],[Description]]="","",VLOOKUP(Table2[[#This Row],[Description]],$Q$1:$S$101,2,FALSE))</f>
        <v/>
      </c>
      <c r="H8537" s="1" t="str">
        <f>IF(Table2[[#This Row],[Description]]="","",VLOOKUP(Table2[[#This Row],[Description]],$Q$1:$S$101,3,FALSE))</f>
        <v/>
      </c>
      <c r="I8537" s="1" t="str">
        <f>IF(Table2[[#This Row],[Description]]="","",IF(Table2[[#This Row],[Currency]]=$O$2,$P$2,HLOOKUP(Table2[[#This Row],[Date]],Funds!$C$10:$GV$11,2,FALSE)))</f>
        <v/>
      </c>
      <c r="J8537" s="215" t="str">
        <f>IF(Table2[[#This Row],[Description]]="","",Table2[[#This Row],[Value]]/Table2[[#This Row],[Conversion]])</f>
        <v/>
      </c>
      <c r="K8537" s="45" t="str">
        <f>IF(Table2[[#This Row],[Description]]="","",DATE(Table2[[#This Row],[Year]],Table2[[#This Row],[Month]],1))</f>
        <v/>
      </c>
    </row>
    <row r="8538" spans="7:11" x14ac:dyDescent="0.25">
      <c r="G8538" s="1" t="str">
        <f>IF(Table2[[#This Row],[Description]]="","",VLOOKUP(Table2[[#This Row],[Description]],$Q$1:$S$101,2,FALSE))</f>
        <v/>
      </c>
      <c r="H8538" s="1" t="str">
        <f>IF(Table2[[#This Row],[Description]]="","",VLOOKUP(Table2[[#This Row],[Description]],$Q$1:$S$101,3,FALSE))</f>
        <v/>
      </c>
      <c r="I8538" s="1" t="str">
        <f>IF(Table2[[#This Row],[Description]]="","",IF(Table2[[#This Row],[Currency]]=$O$2,$P$2,HLOOKUP(Table2[[#This Row],[Date]],Funds!$C$10:$GV$11,2,FALSE)))</f>
        <v/>
      </c>
      <c r="J8538" s="215" t="str">
        <f>IF(Table2[[#This Row],[Description]]="","",Table2[[#This Row],[Value]]/Table2[[#This Row],[Conversion]])</f>
        <v/>
      </c>
      <c r="K8538" s="45" t="str">
        <f>IF(Table2[[#This Row],[Description]]="","",DATE(Table2[[#This Row],[Year]],Table2[[#This Row],[Month]],1))</f>
        <v/>
      </c>
    </row>
    <row r="8539" spans="7:11" x14ac:dyDescent="0.25">
      <c r="G8539" s="1" t="str">
        <f>IF(Table2[[#This Row],[Description]]="","",VLOOKUP(Table2[[#This Row],[Description]],$Q$1:$S$101,2,FALSE))</f>
        <v/>
      </c>
      <c r="H8539" s="1" t="str">
        <f>IF(Table2[[#This Row],[Description]]="","",VLOOKUP(Table2[[#This Row],[Description]],$Q$1:$S$101,3,FALSE))</f>
        <v/>
      </c>
      <c r="I8539" s="1" t="str">
        <f>IF(Table2[[#This Row],[Description]]="","",IF(Table2[[#This Row],[Currency]]=$O$2,$P$2,HLOOKUP(Table2[[#This Row],[Date]],Funds!$C$10:$GV$11,2,FALSE)))</f>
        <v/>
      </c>
      <c r="J8539" s="215" t="str">
        <f>IF(Table2[[#This Row],[Description]]="","",Table2[[#This Row],[Value]]/Table2[[#This Row],[Conversion]])</f>
        <v/>
      </c>
      <c r="K8539" s="45" t="str">
        <f>IF(Table2[[#This Row],[Description]]="","",DATE(Table2[[#This Row],[Year]],Table2[[#This Row],[Month]],1))</f>
        <v/>
      </c>
    </row>
    <row r="8540" spans="7:11" x14ac:dyDescent="0.25">
      <c r="G8540" s="1" t="str">
        <f>IF(Table2[[#This Row],[Description]]="","",VLOOKUP(Table2[[#This Row],[Description]],$Q$1:$S$101,2,FALSE))</f>
        <v/>
      </c>
      <c r="H8540" s="1" t="str">
        <f>IF(Table2[[#This Row],[Description]]="","",VLOOKUP(Table2[[#This Row],[Description]],$Q$1:$S$101,3,FALSE))</f>
        <v/>
      </c>
      <c r="I8540" s="1" t="str">
        <f>IF(Table2[[#This Row],[Description]]="","",IF(Table2[[#This Row],[Currency]]=$O$2,$P$2,HLOOKUP(Table2[[#This Row],[Date]],Funds!$C$10:$GV$11,2,FALSE)))</f>
        <v/>
      </c>
      <c r="J8540" s="215" t="str">
        <f>IF(Table2[[#This Row],[Description]]="","",Table2[[#This Row],[Value]]/Table2[[#This Row],[Conversion]])</f>
        <v/>
      </c>
      <c r="K8540" s="45" t="str">
        <f>IF(Table2[[#This Row],[Description]]="","",DATE(Table2[[#This Row],[Year]],Table2[[#This Row],[Month]],1))</f>
        <v/>
      </c>
    </row>
    <row r="8541" spans="7:11" x14ac:dyDescent="0.25">
      <c r="G8541" s="1" t="str">
        <f>IF(Table2[[#This Row],[Description]]="","",VLOOKUP(Table2[[#This Row],[Description]],$Q$1:$S$101,2,FALSE))</f>
        <v/>
      </c>
      <c r="H8541" s="1" t="str">
        <f>IF(Table2[[#This Row],[Description]]="","",VLOOKUP(Table2[[#This Row],[Description]],$Q$1:$S$101,3,FALSE))</f>
        <v/>
      </c>
      <c r="I8541" s="1" t="str">
        <f>IF(Table2[[#This Row],[Description]]="","",IF(Table2[[#This Row],[Currency]]=$O$2,$P$2,HLOOKUP(Table2[[#This Row],[Date]],Funds!$C$10:$GV$11,2,FALSE)))</f>
        <v/>
      </c>
      <c r="J8541" s="215" t="str">
        <f>IF(Table2[[#This Row],[Description]]="","",Table2[[#This Row],[Value]]/Table2[[#This Row],[Conversion]])</f>
        <v/>
      </c>
      <c r="K8541" s="45" t="str">
        <f>IF(Table2[[#This Row],[Description]]="","",DATE(Table2[[#This Row],[Year]],Table2[[#This Row],[Month]],1))</f>
        <v/>
      </c>
    </row>
    <row r="8542" spans="7:11" x14ac:dyDescent="0.25">
      <c r="G8542" s="1" t="str">
        <f>IF(Table2[[#This Row],[Description]]="","",VLOOKUP(Table2[[#This Row],[Description]],$Q$1:$S$101,2,FALSE))</f>
        <v/>
      </c>
      <c r="H8542" s="1" t="str">
        <f>IF(Table2[[#This Row],[Description]]="","",VLOOKUP(Table2[[#This Row],[Description]],$Q$1:$S$101,3,FALSE))</f>
        <v/>
      </c>
      <c r="I8542" s="1" t="str">
        <f>IF(Table2[[#This Row],[Description]]="","",IF(Table2[[#This Row],[Currency]]=$O$2,$P$2,HLOOKUP(Table2[[#This Row],[Date]],Funds!$C$10:$GV$11,2,FALSE)))</f>
        <v/>
      </c>
      <c r="J8542" s="215" t="str">
        <f>IF(Table2[[#This Row],[Description]]="","",Table2[[#This Row],[Value]]/Table2[[#This Row],[Conversion]])</f>
        <v/>
      </c>
      <c r="K8542" s="45" t="str">
        <f>IF(Table2[[#This Row],[Description]]="","",DATE(Table2[[#This Row],[Year]],Table2[[#This Row],[Month]],1))</f>
        <v/>
      </c>
    </row>
    <row r="8543" spans="7:11" x14ac:dyDescent="0.25">
      <c r="G8543" s="1" t="str">
        <f>IF(Table2[[#This Row],[Description]]="","",VLOOKUP(Table2[[#This Row],[Description]],$Q$1:$S$101,2,FALSE))</f>
        <v/>
      </c>
      <c r="H8543" s="1" t="str">
        <f>IF(Table2[[#This Row],[Description]]="","",VLOOKUP(Table2[[#This Row],[Description]],$Q$1:$S$101,3,FALSE))</f>
        <v/>
      </c>
      <c r="I8543" s="1" t="str">
        <f>IF(Table2[[#This Row],[Description]]="","",IF(Table2[[#This Row],[Currency]]=$O$2,$P$2,HLOOKUP(Table2[[#This Row],[Date]],Funds!$C$10:$GV$11,2,FALSE)))</f>
        <v/>
      </c>
      <c r="J8543" s="215" t="str">
        <f>IF(Table2[[#This Row],[Description]]="","",Table2[[#This Row],[Value]]/Table2[[#This Row],[Conversion]])</f>
        <v/>
      </c>
      <c r="K8543" s="45" t="str">
        <f>IF(Table2[[#This Row],[Description]]="","",DATE(Table2[[#This Row],[Year]],Table2[[#This Row],[Month]],1))</f>
        <v/>
      </c>
    </row>
    <row r="8544" spans="7:11" x14ac:dyDescent="0.25">
      <c r="G8544" s="1" t="str">
        <f>IF(Table2[[#This Row],[Description]]="","",VLOOKUP(Table2[[#This Row],[Description]],$Q$1:$S$101,2,FALSE))</f>
        <v/>
      </c>
      <c r="H8544" s="1" t="str">
        <f>IF(Table2[[#This Row],[Description]]="","",VLOOKUP(Table2[[#This Row],[Description]],$Q$1:$S$101,3,FALSE))</f>
        <v/>
      </c>
      <c r="I8544" s="1" t="str">
        <f>IF(Table2[[#This Row],[Description]]="","",IF(Table2[[#This Row],[Currency]]=$O$2,$P$2,HLOOKUP(Table2[[#This Row],[Date]],Funds!$C$10:$GV$11,2,FALSE)))</f>
        <v/>
      </c>
      <c r="J8544" s="215" t="str">
        <f>IF(Table2[[#This Row],[Description]]="","",Table2[[#This Row],[Value]]/Table2[[#This Row],[Conversion]])</f>
        <v/>
      </c>
      <c r="K8544" s="45" t="str">
        <f>IF(Table2[[#This Row],[Description]]="","",DATE(Table2[[#This Row],[Year]],Table2[[#This Row],[Month]],1))</f>
        <v/>
      </c>
    </row>
    <row r="8545" spans="7:11" x14ac:dyDescent="0.25">
      <c r="G8545" s="1" t="str">
        <f>IF(Table2[[#This Row],[Description]]="","",VLOOKUP(Table2[[#This Row],[Description]],$Q$1:$S$101,2,FALSE))</f>
        <v/>
      </c>
      <c r="H8545" s="1" t="str">
        <f>IF(Table2[[#This Row],[Description]]="","",VLOOKUP(Table2[[#This Row],[Description]],$Q$1:$S$101,3,FALSE))</f>
        <v/>
      </c>
      <c r="I8545" s="1" t="str">
        <f>IF(Table2[[#This Row],[Description]]="","",IF(Table2[[#This Row],[Currency]]=$O$2,$P$2,HLOOKUP(Table2[[#This Row],[Date]],Funds!$C$10:$GV$11,2,FALSE)))</f>
        <v/>
      </c>
      <c r="J8545" s="215" t="str">
        <f>IF(Table2[[#This Row],[Description]]="","",Table2[[#This Row],[Value]]/Table2[[#This Row],[Conversion]])</f>
        <v/>
      </c>
      <c r="K8545" s="45" t="str">
        <f>IF(Table2[[#This Row],[Description]]="","",DATE(Table2[[#This Row],[Year]],Table2[[#This Row],[Month]],1))</f>
        <v/>
      </c>
    </row>
    <row r="8546" spans="7:11" x14ac:dyDescent="0.25">
      <c r="G8546" s="1" t="str">
        <f>IF(Table2[[#This Row],[Description]]="","",VLOOKUP(Table2[[#This Row],[Description]],$Q$1:$S$101,2,FALSE))</f>
        <v/>
      </c>
      <c r="H8546" s="1" t="str">
        <f>IF(Table2[[#This Row],[Description]]="","",VLOOKUP(Table2[[#This Row],[Description]],$Q$1:$S$101,3,FALSE))</f>
        <v/>
      </c>
      <c r="I8546" s="1" t="str">
        <f>IF(Table2[[#This Row],[Description]]="","",IF(Table2[[#This Row],[Currency]]=$O$2,$P$2,HLOOKUP(Table2[[#This Row],[Date]],Funds!$C$10:$GV$11,2,FALSE)))</f>
        <v/>
      </c>
      <c r="J8546" s="215" t="str">
        <f>IF(Table2[[#This Row],[Description]]="","",Table2[[#This Row],[Value]]/Table2[[#This Row],[Conversion]])</f>
        <v/>
      </c>
      <c r="K8546" s="45" t="str">
        <f>IF(Table2[[#This Row],[Description]]="","",DATE(Table2[[#This Row],[Year]],Table2[[#This Row],[Month]],1))</f>
        <v/>
      </c>
    </row>
    <row r="8547" spans="7:11" x14ac:dyDescent="0.25">
      <c r="G8547" s="1" t="str">
        <f>IF(Table2[[#This Row],[Description]]="","",VLOOKUP(Table2[[#This Row],[Description]],$Q$1:$S$101,2,FALSE))</f>
        <v/>
      </c>
      <c r="H8547" s="1" t="str">
        <f>IF(Table2[[#This Row],[Description]]="","",VLOOKUP(Table2[[#This Row],[Description]],$Q$1:$S$101,3,FALSE))</f>
        <v/>
      </c>
      <c r="I8547" s="1" t="str">
        <f>IF(Table2[[#This Row],[Description]]="","",IF(Table2[[#This Row],[Currency]]=$O$2,$P$2,HLOOKUP(Table2[[#This Row],[Date]],Funds!$C$10:$GV$11,2,FALSE)))</f>
        <v/>
      </c>
      <c r="J8547" s="215" t="str">
        <f>IF(Table2[[#This Row],[Description]]="","",Table2[[#This Row],[Value]]/Table2[[#This Row],[Conversion]])</f>
        <v/>
      </c>
      <c r="K8547" s="45" t="str">
        <f>IF(Table2[[#This Row],[Description]]="","",DATE(Table2[[#This Row],[Year]],Table2[[#This Row],[Month]],1))</f>
        <v/>
      </c>
    </row>
    <row r="8548" spans="7:11" x14ac:dyDescent="0.25">
      <c r="G8548" s="1" t="str">
        <f>IF(Table2[[#This Row],[Description]]="","",VLOOKUP(Table2[[#This Row],[Description]],$Q$1:$S$101,2,FALSE))</f>
        <v/>
      </c>
      <c r="H8548" s="1" t="str">
        <f>IF(Table2[[#This Row],[Description]]="","",VLOOKUP(Table2[[#This Row],[Description]],$Q$1:$S$101,3,FALSE))</f>
        <v/>
      </c>
      <c r="I8548" s="1" t="str">
        <f>IF(Table2[[#This Row],[Description]]="","",IF(Table2[[#This Row],[Currency]]=$O$2,$P$2,HLOOKUP(Table2[[#This Row],[Date]],Funds!$C$10:$GV$11,2,FALSE)))</f>
        <v/>
      </c>
      <c r="J8548" s="215" t="str">
        <f>IF(Table2[[#This Row],[Description]]="","",Table2[[#This Row],[Value]]/Table2[[#This Row],[Conversion]])</f>
        <v/>
      </c>
      <c r="K8548" s="45" t="str">
        <f>IF(Table2[[#This Row],[Description]]="","",DATE(Table2[[#This Row],[Year]],Table2[[#This Row],[Month]],1))</f>
        <v/>
      </c>
    </row>
    <row r="8549" spans="7:11" x14ac:dyDescent="0.25">
      <c r="G8549" s="1" t="str">
        <f>IF(Table2[[#This Row],[Description]]="","",VLOOKUP(Table2[[#This Row],[Description]],$Q$1:$S$101,2,FALSE))</f>
        <v/>
      </c>
      <c r="H8549" s="1" t="str">
        <f>IF(Table2[[#This Row],[Description]]="","",VLOOKUP(Table2[[#This Row],[Description]],$Q$1:$S$101,3,FALSE))</f>
        <v/>
      </c>
      <c r="I8549" s="1" t="str">
        <f>IF(Table2[[#This Row],[Description]]="","",IF(Table2[[#This Row],[Currency]]=$O$2,$P$2,HLOOKUP(Table2[[#This Row],[Date]],Funds!$C$10:$GV$11,2,FALSE)))</f>
        <v/>
      </c>
      <c r="J8549" s="215" t="str">
        <f>IF(Table2[[#This Row],[Description]]="","",Table2[[#This Row],[Value]]/Table2[[#This Row],[Conversion]])</f>
        <v/>
      </c>
      <c r="K8549" s="45" t="str">
        <f>IF(Table2[[#This Row],[Description]]="","",DATE(Table2[[#This Row],[Year]],Table2[[#This Row],[Month]],1))</f>
        <v/>
      </c>
    </row>
    <row r="8550" spans="7:11" x14ac:dyDescent="0.25">
      <c r="G8550" s="1" t="str">
        <f>IF(Table2[[#This Row],[Description]]="","",VLOOKUP(Table2[[#This Row],[Description]],$Q$1:$S$101,2,FALSE))</f>
        <v/>
      </c>
      <c r="H8550" s="1" t="str">
        <f>IF(Table2[[#This Row],[Description]]="","",VLOOKUP(Table2[[#This Row],[Description]],$Q$1:$S$101,3,FALSE))</f>
        <v/>
      </c>
      <c r="I8550" s="1" t="str">
        <f>IF(Table2[[#This Row],[Description]]="","",IF(Table2[[#This Row],[Currency]]=$O$2,$P$2,HLOOKUP(Table2[[#This Row],[Date]],Funds!$C$10:$GV$11,2,FALSE)))</f>
        <v/>
      </c>
      <c r="J8550" s="215" t="str">
        <f>IF(Table2[[#This Row],[Description]]="","",Table2[[#This Row],[Value]]/Table2[[#This Row],[Conversion]])</f>
        <v/>
      </c>
      <c r="K8550" s="45" t="str">
        <f>IF(Table2[[#This Row],[Description]]="","",DATE(Table2[[#This Row],[Year]],Table2[[#This Row],[Month]],1))</f>
        <v/>
      </c>
    </row>
    <row r="8551" spans="7:11" x14ac:dyDescent="0.25">
      <c r="G8551" s="1" t="str">
        <f>IF(Table2[[#This Row],[Description]]="","",VLOOKUP(Table2[[#This Row],[Description]],$Q$1:$S$101,2,FALSE))</f>
        <v/>
      </c>
      <c r="H8551" s="1" t="str">
        <f>IF(Table2[[#This Row],[Description]]="","",VLOOKUP(Table2[[#This Row],[Description]],$Q$1:$S$101,3,FALSE))</f>
        <v/>
      </c>
      <c r="I8551" s="1" t="str">
        <f>IF(Table2[[#This Row],[Description]]="","",IF(Table2[[#This Row],[Currency]]=$O$2,$P$2,HLOOKUP(Table2[[#This Row],[Date]],Funds!$C$10:$GV$11,2,FALSE)))</f>
        <v/>
      </c>
      <c r="J8551" s="215" t="str">
        <f>IF(Table2[[#This Row],[Description]]="","",Table2[[#This Row],[Value]]/Table2[[#This Row],[Conversion]])</f>
        <v/>
      </c>
      <c r="K8551" s="45" t="str">
        <f>IF(Table2[[#This Row],[Description]]="","",DATE(Table2[[#This Row],[Year]],Table2[[#This Row],[Month]],1))</f>
        <v/>
      </c>
    </row>
    <row r="8552" spans="7:11" x14ac:dyDescent="0.25">
      <c r="G8552" s="1" t="str">
        <f>IF(Table2[[#This Row],[Description]]="","",VLOOKUP(Table2[[#This Row],[Description]],$Q$1:$S$101,2,FALSE))</f>
        <v/>
      </c>
      <c r="H8552" s="1" t="str">
        <f>IF(Table2[[#This Row],[Description]]="","",VLOOKUP(Table2[[#This Row],[Description]],$Q$1:$S$101,3,FALSE))</f>
        <v/>
      </c>
      <c r="I8552" s="1" t="str">
        <f>IF(Table2[[#This Row],[Description]]="","",IF(Table2[[#This Row],[Currency]]=$O$2,$P$2,HLOOKUP(Table2[[#This Row],[Date]],Funds!$C$10:$GV$11,2,FALSE)))</f>
        <v/>
      </c>
      <c r="J8552" s="215" t="str">
        <f>IF(Table2[[#This Row],[Description]]="","",Table2[[#This Row],[Value]]/Table2[[#This Row],[Conversion]])</f>
        <v/>
      </c>
      <c r="K8552" s="45" t="str">
        <f>IF(Table2[[#This Row],[Description]]="","",DATE(Table2[[#This Row],[Year]],Table2[[#This Row],[Month]],1))</f>
        <v/>
      </c>
    </row>
    <row r="8553" spans="7:11" x14ac:dyDescent="0.25">
      <c r="G8553" s="1" t="str">
        <f>IF(Table2[[#This Row],[Description]]="","",VLOOKUP(Table2[[#This Row],[Description]],$Q$1:$S$101,2,FALSE))</f>
        <v/>
      </c>
      <c r="H8553" s="1" t="str">
        <f>IF(Table2[[#This Row],[Description]]="","",VLOOKUP(Table2[[#This Row],[Description]],$Q$1:$S$101,3,FALSE))</f>
        <v/>
      </c>
      <c r="I8553" s="1" t="str">
        <f>IF(Table2[[#This Row],[Description]]="","",IF(Table2[[#This Row],[Currency]]=$O$2,$P$2,HLOOKUP(Table2[[#This Row],[Date]],Funds!$C$10:$GV$11,2,FALSE)))</f>
        <v/>
      </c>
      <c r="J8553" s="215" t="str">
        <f>IF(Table2[[#This Row],[Description]]="","",Table2[[#This Row],[Value]]/Table2[[#This Row],[Conversion]])</f>
        <v/>
      </c>
      <c r="K8553" s="45" t="str">
        <f>IF(Table2[[#This Row],[Description]]="","",DATE(Table2[[#This Row],[Year]],Table2[[#This Row],[Month]],1))</f>
        <v/>
      </c>
    </row>
    <row r="8554" spans="7:11" x14ac:dyDescent="0.25">
      <c r="G8554" s="1" t="str">
        <f>IF(Table2[[#This Row],[Description]]="","",VLOOKUP(Table2[[#This Row],[Description]],$Q$1:$S$101,2,FALSE))</f>
        <v/>
      </c>
      <c r="H8554" s="1" t="str">
        <f>IF(Table2[[#This Row],[Description]]="","",VLOOKUP(Table2[[#This Row],[Description]],$Q$1:$S$101,3,FALSE))</f>
        <v/>
      </c>
      <c r="I8554" s="1" t="str">
        <f>IF(Table2[[#This Row],[Description]]="","",IF(Table2[[#This Row],[Currency]]=$O$2,$P$2,HLOOKUP(Table2[[#This Row],[Date]],Funds!$C$10:$GV$11,2,FALSE)))</f>
        <v/>
      </c>
      <c r="J8554" s="215" t="str">
        <f>IF(Table2[[#This Row],[Description]]="","",Table2[[#This Row],[Value]]/Table2[[#This Row],[Conversion]])</f>
        <v/>
      </c>
      <c r="K8554" s="45" t="str">
        <f>IF(Table2[[#This Row],[Description]]="","",DATE(Table2[[#This Row],[Year]],Table2[[#This Row],[Month]],1))</f>
        <v/>
      </c>
    </row>
    <row r="8555" spans="7:11" x14ac:dyDescent="0.25">
      <c r="G8555" s="1" t="str">
        <f>IF(Table2[[#This Row],[Description]]="","",VLOOKUP(Table2[[#This Row],[Description]],$Q$1:$S$101,2,FALSE))</f>
        <v/>
      </c>
      <c r="H8555" s="1" t="str">
        <f>IF(Table2[[#This Row],[Description]]="","",VLOOKUP(Table2[[#This Row],[Description]],$Q$1:$S$101,3,FALSE))</f>
        <v/>
      </c>
      <c r="I8555" s="1" t="str">
        <f>IF(Table2[[#This Row],[Description]]="","",IF(Table2[[#This Row],[Currency]]=$O$2,$P$2,HLOOKUP(Table2[[#This Row],[Date]],Funds!$C$10:$GV$11,2,FALSE)))</f>
        <v/>
      </c>
      <c r="J8555" s="215" t="str">
        <f>IF(Table2[[#This Row],[Description]]="","",Table2[[#This Row],[Value]]/Table2[[#This Row],[Conversion]])</f>
        <v/>
      </c>
      <c r="K8555" s="45" t="str">
        <f>IF(Table2[[#This Row],[Description]]="","",DATE(Table2[[#This Row],[Year]],Table2[[#This Row],[Month]],1))</f>
        <v/>
      </c>
    </row>
    <row r="8556" spans="7:11" x14ac:dyDescent="0.25">
      <c r="G8556" s="1" t="str">
        <f>IF(Table2[[#This Row],[Description]]="","",VLOOKUP(Table2[[#This Row],[Description]],$Q$1:$S$101,2,FALSE))</f>
        <v/>
      </c>
      <c r="H8556" s="1" t="str">
        <f>IF(Table2[[#This Row],[Description]]="","",VLOOKUP(Table2[[#This Row],[Description]],$Q$1:$S$101,3,FALSE))</f>
        <v/>
      </c>
      <c r="I8556" s="1" t="str">
        <f>IF(Table2[[#This Row],[Description]]="","",IF(Table2[[#This Row],[Currency]]=$O$2,$P$2,HLOOKUP(Table2[[#This Row],[Date]],Funds!$C$10:$GV$11,2,FALSE)))</f>
        <v/>
      </c>
      <c r="J8556" s="215" t="str">
        <f>IF(Table2[[#This Row],[Description]]="","",Table2[[#This Row],[Value]]/Table2[[#This Row],[Conversion]])</f>
        <v/>
      </c>
      <c r="K8556" s="45" t="str">
        <f>IF(Table2[[#This Row],[Description]]="","",DATE(Table2[[#This Row],[Year]],Table2[[#This Row],[Month]],1))</f>
        <v/>
      </c>
    </row>
    <row r="8557" spans="7:11" x14ac:dyDescent="0.25">
      <c r="G8557" s="1" t="str">
        <f>IF(Table2[[#This Row],[Description]]="","",VLOOKUP(Table2[[#This Row],[Description]],$Q$1:$S$101,2,FALSE))</f>
        <v/>
      </c>
      <c r="H8557" s="1" t="str">
        <f>IF(Table2[[#This Row],[Description]]="","",VLOOKUP(Table2[[#This Row],[Description]],$Q$1:$S$101,3,FALSE))</f>
        <v/>
      </c>
      <c r="I8557" s="1" t="str">
        <f>IF(Table2[[#This Row],[Description]]="","",IF(Table2[[#This Row],[Currency]]=$O$2,$P$2,HLOOKUP(Table2[[#This Row],[Date]],Funds!$C$10:$GV$11,2,FALSE)))</f>
        <v/>
      </c>
      <c r="J8557" s="215" t="str">
        <f>IF(Table2[[#This Row],[Description]]="","",Table2[[#This Row],[Value]]/Table2[[#This Row],[Conversion]])</f>
        <v/>
      </c>
      <c r="K8557" s="45" t="str">
        <f>IF(Table2[[#This Row],[Description]]="","",DATE(Table2[[#This Row],[Year]],Table2[[#This Row],[Month]],1))</f>
        <v/>
      </c>
    </row>
    <row r="8558" spans="7:11" x14ac:dyDescent="0.25">
      <c r="G8558" s="1" t="str">
        <f>IF(Table2[[#This Row],[Description]]="","",VLOOKUP(Table2[[#This Row],[Description]],$Q$1:$S$101,2,FALSE))</f>
        <v/>
      </c>
      <c r="H8558" s="1" t="str">
        <f>IF(Table2[[#This Row],[Description]]="","",VLOOKUP(Table2[[#This Row],[Description]],$Q$1:$S$101,3,FALSE))</f>
        <v/>
      </c>
      <c r="I8558" s="1" t="str">
        <f>IF(Table2[[#This Row],[Description]]="","",IF(Table2[[#This Row],[Currency]]=$O$2,$P$2,HLOOKUP(Table2[[#This Row],[Date]],Funds!$C$10:$GV$11,2,FALSE)))</f>
        <v/>
      </c>
      <c r="J8558" s="215" t="str">
        <f>IF(Table2[[#This Row],[Description]]="","",Table2[[#This Row],[Value]]/Table2[[#This Row],[Conversion]])</f>
        <v/>
      </c>
      <c r="K8558" s="45" t="str">
        <f>IF(Table2[[#This Row],[Description]]="","",DATE(Table2[[#This Row],[Year]],Table2[[#This Row],[Month]],1))</f>
        <v/>
      </c>
    </row>
    <row r="8559" spans="7:11" x14ac:dyDescent="0.25">
      <c r="G8559" s="1" t="str">
        <f>IF(Table2[[#This Row],[Description]]="","",VLOOKUP(Table2[[#This Row],[Description]],$Q$1:$S$101,2,FALSE))</f>
        <v/>
      </c>
      <c r="H8559" s="1" t="str">
        <f>IF(Table2[[#This Row],[Description]]="","",VLOOKUP(Table2[[#This Row],[Description]],$Q$1:$S$101,3,FALSE))</f>
        <v/>
      </c>
      <c r="I8559" s="1" t="str">
        <f>IF(Table2[[#This Row],[Description]]="","",IF(Table2[[#This Row],[Currency]]=$O$2,$P$2,HLOOKUP(Table2[[#This Row],[Date]],Funds!$C$10:$GV$11,2,FALSE)))</f>
        <v/>
      </c>
      <c r="J8559" s="215" t="str">
        <f>IF(Table2[[#This Row],[Description]]="","",Table2[[#This Row],[Value]]/Table2[[#This Row],[Conversion]])</f>
        <v/>
      </c>
      <c r="K8559" s="45" t="str">
        <f>IF(Table2[[#This Row],[Description]]="","",DATE(Table2[[#This Row],[Year]],Table2[[#This Row],[Month]],1))</f>
        <v/>
      </c>
    </row>
    <row r="8560" spans="7:11" x14ac:dyDescent="0.25">
      <c r="G8560" s="1" t="str">
        <f>IF(Table2[[#This Row],[Description]]="","",VLOOKUP(Table2[[#This Row],[Description]],$Q$1:$S$101,2,FALSE))</f>
        <v/>
      </c>
      <c r="H8560" s="1" t="str">
        <f>IF(Table2[[#This Row],[Description]]="","",VLOOKUP(Table2[[#This Row],[Description]],$Q$1:$S$101,3,FALSE))</f>
        <v/>
      </c>
      <c r="I8560" s="1" t="str">
        <f>IF(Table2[[#This Row],[Description]]="","",IF(Table2[[#This Row],[Currency]]=$O$2,$P$2,HLOOKUP(Table2[[#This Row],[Date]],Funds!$C$10:$GV$11,2,FALSE)))</f>
        <v/>
      </c>
      <c r="J8560" s="215" t="str">
        <f>IF(Table2[[#This Row],[Description]]="","",Table2[[#This Row],[Value]]/Table2[[#This Row],[Conversion]])</f>
        <v/>
      </c>
      <c r="K8560" s="45" t="str">
        <f>IF(Table2[[#This Row],[Description]]="","",DATE(Table2[[#This Row],[Year]],Table2[[#This Row],[Month]],1))</f>
        <v/>
      </c>
    </row>
    <row r="8561" spans="7:11" x14ac:dyDescent="0.25">
      <c r="G8561" s="1" t="str">
        <f>IF(Table2[[#This Row],[Description]]="","",VLOOKUP(Table2[[#This Row],[Description]],$Q$1:$S$101,2,FALSE))</f>
        <v/>
      </c>
      <c r="H8561" s="1" t="str">
        <f>IF(Table2[[#This Row],[Description]]="","",VLOOKUP(Table2[[#This Row],[Description]],$Q$1:$S$101,3,FALSE))</f>
        <v/>
      </c>
      <c r="I8561" s="1" t="str">
        <f>IF(Table2[[#This Row],[Description]]="","",IF(Table2[[#This Row],[Currency]]=$O$2,$P$2,HLOOKUP(Table2[[#This Row],[Date]],Funds!$C$10:$GV$11,2,FALSE)))</f>
        <v/>
      </c>
      <c r="J8561" s="215" t="str">
        <f>IF(Table2[[#This Row],[Description]]="","",Table2[[#This Row],[Value]]/Table2[[#This Row],[Conversion]])</f>
        <v/>
      </c>
      <c r="K8561" s="45" t="str">
        <f>IF(Table2[[#This Row],[Description]]="","",DATE(Table2[[#This Row],[Year]],Table2[[#This Row],[Month]],1))</f>
        <v/>
      </c>
    </row>
    <row r="8562" spans="7:11" x14ac:dyDescent="0.25">
      <c r="G8562" s="1" t="str">
        <f>IF(Table2[[#This Row],[Description]]="","",VLOOKUP(Table2[[#This Row],[Description]],$Q$1:$S$101,2,FALSE))</f>
        <v/>
      </c>
      <c r="H8562" s="1" t="str">
        <f>IF(Table2[[#This Row],[Description]]="","",VLOOKUP(Table2[[#This Row],[Description]],$Q$1:$S$101,3,FALSE))</f>
        <v/>
      </c>
      <c r="I8562" s="1" t="str">
        <f>IF(Table2[[#This Row],[Description]]="","",IF(Table2[[#This Row],[Currency]]=$O$2,$P$2,HLOOKUP(Table2[[#This Row],[Date]],Funds!$C$10:$GV$11,2,FALSE)))</f>
        <v/>
      </c>
      <c r="J8562" s="215" t="str">
        <f>IF(Table2[[#This Row],[Description]]="","",Table2[[#This Row],[Value]]/Table2[[#This Row],[Conversion]])</f>
        <v/>
      </c>
      <c r="K8562" s="45" t="str">
        <f>IF(Table2[[#This Row],[Description]]="","",DATE(Table2[[#This Row],[Year]],Table2[[#This Row],[Month]],1))</f>
        <v/>
      </c>
    </row>
    <row r="8563" spans="7:11" x14ac:dyDescent="0.25">
      <c r="G8563" s="1" t="str">
        <f>IF(Table2[[#This Row],[Description]]="","",VLOOKUP(Table2[[#This Row],[Description]],$Q$1:$S$101,2,FALSE))</f>
        <v/>
      </c>
      <c r="H8563" s="1" t="str">
        <f>IF(Table2[[#This Row],[Description]]="","",VLOOKUP(Table2[[#This Row],[Description]],$Q$1:$S$101,3,FALSE))</f>
        <v/>
      </c>
      <c r="I8563" s="1" t="str">
        <f>IF(Table2[[#This Row],[Description]]="","",IF(Table2[[#This Row],[Currency]]=$O$2,$P$2,HLOOKUP(Table2[[#This Row],[Date]],Funds!$C$10:$GV$11,2,FALSE)))</f>
        <v/>
      </c>
      <c r="J8563" s="215" t="str">
        <f>IF(Table2[[#This Row],[Description]]="","",Table2[[#This Row],[Value]]/Table2[[#This Row],[Conversion]])</f>
        <v/>
      </c>
      <c r="K8563" s="45" t="str">
        <f>IF(Table2[[#This Row],[Description]]="","",DATE(Table2[[#This Row],[Year]],Table2[[#This Row],[Month]],1))</f>
        <v/>
      </c>
    </row>
    <row r="8564" spans="7:11" x14ac:dyDescent="0.25">
      <c r="G8564" s="1" t="str">
        <f>IF(Table2[[#This Row],[Description]]="","",VLOOKUP(Table2[[#This Row],[Description]],$Q$1:$S$101,2,FALSE))</f>
        <v/>
      </c>
      <c r="H8564" s="1" t="str">
        <f>IF(Table2[[#This Row],[Description]]="","",VLOOKUP(Table2[[#This Row],[Description]],$Q$1:$S$101,3,FALSE))</f>
        <v/>
      </c>
      <c r="I8564" s="1" t="str">
        <f>IF(Table2[[#This Row],[Description]]="","",IF(Table2[[#This Row],[Currency]]=$O$2,$P$2,HLOOKUP(Table2[[#This Row],[Date]],Funds!$C$10:$GV$11,2,FALSE)))</f>
        <v/>
      </c>
      <c r="J8564" s="215" t="str">
        <f>IF(Table2[[#This Row],[Description]]="","",Table2[[#This Row],[Value]]/Table2[[#This Row],[Conversion]])</f>
        <v/>
      </c>
      <c r="K8564" s="45" t="str">
        <f>IF(Table2[[#This Row],[Description]]="","",DATE(Table2[[#This Row],[Year]],Table2[[#This Row],[Month]],1))</f>
        <v/>
      </c>
    </row>
    <row r="8565" spans="7:11" x14ac:dyDescent="0.25">
      <c r="G8565" s="1" t="str">
        <f>IF(Table2[[#This Row],[Description]]="","",VLOOKUP(Table2[[#This Row],[Description]],$Q$1:$S$101,2,FALSE))</f>
        <v/>
      </c>
      <c r="H8565" s="1" t="str">
        <f>IF(Table2[[#This Row],[Description]]="","",VLOOKUP(Table2[[#This Row],[Description]],$Q$1:$S$101,3,FALSE))</f>
        <v/>
      </c>
      <c r="I8565" s="1" t="str">
        <f>IF(Table2[[#This Row],[Description]]="","",IF(Table2[[#This Row],[Currency]]=$O$2,$P$2,HLOOKUP(Table2[[#This Row],[Date]],Funds!$C$10:$GV$11,2,FALSE)))</f>
        <v/>
      </c>
      <c r="J8565" s="215" t="str">
        <f>IF(Table2[[#This Row],[Description]]="","",Table2[[#This Row],[Value]]/Table2[[#This Row],[Conversion]])</f>
        <v/>
      </c>
      <c r="K8565" s="45" t="str">
        <f>IF(Table2[[#This Row],[Description]]="","",DATE(Table2[[#This Row],[Year]],Table2[[#This Row],[Month]],1))</f>
        <v/>
      </c>
    </row>
    <row r="8566" spans="7:11" x14ac:dyDescent="0.25">
      <c r="G8566" s="1" t="str">
        <f>IF(Table2[[#This Row],[Description]]="","",VLOOKUP(Table2[[#This Row],[Description]],$Q$1:$S$101,2,FALSE))</f>
        <v/>
      </c>
      <c r="H8566" s="1" t="str">
        <f>IF(Table2[[#This Row],[Description]]="","",VLOOKUP(Table2[[#This Row],[Description]],$Q$1:$S$101,3,FALSE))</f>
        <v/>
      </c>
      <c r="I8566" s="1" t="str">
        <f>IF(Table2[[#This Row],[Description]]="","",IF(Table2[[#This Row],[Currency]]=$O$2,$P$2,HLOOKUP(Table2[[#This Row],[Date]],Funds!$C$10:$GV$11,2,FALSE)))</f>
        <v/>
      </c>
      <c r="J8566" s="215" t="str">
        <f>IF(Table2[[#This Row],[Description]]="","",Table2[[#This Row],[Value]]/Table2[[#This Row],[Conversion]])</f>
        <v/>
      </c>
      <c r="K8566" s="45" t="str">
        <f>IF(Table2[[#This Row],[Description]]="","",DATE(Table2[[#This Row],[Year]],Table2[[#This Row],[Month]],1))</f>
        <v/>
      </c>
    </row>
    <row r="8567" spans="7:11" x14ac:dyDescent="0.25">
      <c r="G8567" s="1" t="str">
        <f>IF(Table2[[#This Row],[Description]]="","",VLOOKUP(Table2[[#This Row],[Description]],$Q$1:$S$101,2,FALSE))</f>
        <v/>
      </c>
      <c r="H8567" s="1" t="str">
        <f>IF(Table2[[#This Row],[Description]]="","",VLOOKUP(Table2[[#This Row],[Description]],$Q$1:$S$101,3,FALSE))</f>
        <v/>
      </c>
      <c r="I8567" s="1" t="str">
        <f>IF(Table2[[#This Row],[Description]]="","",IF(Table2[[#This Row],[Currency]]=$O$2,$P$2,HLOOKUP(Table2[[#This Row],[Date]],Funds!$C$10:$GV$11,2,FALSE)))</f>
        <v/>
      </c>
      <c r="J8567" s="215" t="str">
        <f>IF(Table2[[#This Row],[Description]]="","",Table2[[#This Row],[Value]]/Table2[[#This Row],[Conversion]])</f>
        <v/>
      </c>
      <c r="K8567" s="45" t="str">
        <f>IF(Table2[[#This Row],[Description]]="","",DATE(Table2[[#This Row],[Year]],Table2[[#This Row],[Month]],1))</f>
        <v/>
      </c>
    </row>
    <row r="8568" spans="7:11" x14ac:dyDescent="0.25">
      <c r="G8568" s="1" t="str">
        <f>IF(Table2[[#This Row],[Description]]="","",VLOOKUP(Table2[[#This Row],[Description]],$Q$1:$S$101,2,FALSE))</f>
        <v/>
      </c>
      <c r="H8568" s="1" t="str">
        <f>IF(Table2[[#This Row],[Description]]="","",VLOOKUP(Table2[[#This Row],[Description]],$Q$1:$S$101,3,FALSE))</f>
        <v/>
      </c>
      <c r="I8568" s="1" t="str">
        <f>IF(Table2[[#This Row],[Description]]="","",IF(Table2[[#This Row],[Currency]]=$O$2,$P$2,HLOOKUP(Table2[[#This Row],[Date]],Funds!$C$10:$GV$11,2,FALSE)))</f>
        <v/>
      </c>
      <c r="J8568" s="215" t="str">
        <f>IF(Table2[[#This Row],[Description]]="","",Table2[[#This Row],[Value]]/Table2[[#This Row],[Conversion]])</f>
        <v/>
      </c>
      <c r="K8568" s="45" t="str">
        <f>IF(Table2[[#This Row],[Description]]="","",DATE(Table2[[#This Row],[Year]],Table2[[#This Row],[Month]],1))</f>
        <v/>
      </c>
    </row>
    <row r="8569" spans="7:11" x14ac:dyDescent="0.25">
      <c r="G8569" s="1" t="str">
        <f>IF(Table2[[#This Row],[Description]]="","",VLOOKUP(Table2[[#This Row],[Description]],$Q$1:$S$101,2,FALSE))</f>
        <v/>
      </c>
      <c r="H8569" s="1" t="str">
        <f>IF(Table2[[#This Row],[Description]]="","",VLOOKUP(Table2[[#This Row],[Description]],$Q$1:$S$101,3,FALSE))</f>
        <v/>
      </c>
      <c r="I8569" s="1" t="str">
        <f>IF(Table2[[#This Row],[Description]]="","",IF(Table2[[#This Row],[Currency]]=$O$2,$P$2,HLOOKUP(Table2[[#This Row],[Date]],Funds!$C$10:$GV$11,2,FALSE)))</f>
        <v/>
      </c>
      <c r="J8569" s="215" t="str">
        <f>IF(Table2[[#This Row],[Description]]="","",Table2[[#This Row],[Value]]/Table2[[#This Row],[Conversion]])</f>
        <v/>
      </c>
      <c r="K8569" s="45" t="str">
        <f>IF(Table2[[#This Row],[Description]]="","",DATE(Table2[[#This Row],[Year]],Table2[[#This Row],[Month]],1))</f>
        <v/>
      </c>
    </row>
    <row r="8570" spans="7:11" x14ac:dyDescent="0.25">
      <c r="G8570" s="1" t="str">
        <f>IF(Table2[[#This Row],[Description]]="","",VLOOKUP(Table2[[#This Row],[Description]],$Q$1:$S$101,2,FALSE))</f>
        <v/>
      </c>
      <c r="H8570" s="1" t="str">
        <f>IF(Table2[[#This Row],[Description]]="","",VLOOKUP(Table2[[#This Row],[Description]],$Q$1:$S$101,3,FALSE))</f>
        <v/>
      </c>
      <c r="I8570" s="1" t="str">
        <f>IF(Table2[[#This Row],[Description]]="","",IF(Table2[[#This Row],[Currency]]=$O$2,$P$2,HLOOKUP(Table2[[#This Row],[Date]],Funds!$C$10:$GV$11,2,FALSE)))</f>
        <v/>
      </c>
      <c r="J8570" s="215" t="str">
        <f>IF(Table2[[#This Row],[Description]]="","",Table2[[#This Row],[Value]]/Table2[[#This Row],[Conversion]])</f>
        <v/>
      </c>
      <c r="K8570" s="45" t="str">
        <f>IF(Table2[[#This Row],[Description]]="","",DATE(Table2[[#This Row],[Year]],Table2[[#This Row],[Month]],1))</f>
        <v/>
      </c>
    </row>
    <row r="8571" spans="7:11" x14ac:dyDescent="0.25">
      <c r="G8571" s="1" t="str">
        <f>IF(Table2[[#This Row],[Description]]="","",VLOOKUP(Table2[[#This Row],[Description]],$Q$1:$S$101,2,FALSE))</f>
        <v/>
      </c>
      <c r="H8571" s="1" t="str">
        <f>IF(Table2[[#This Row],[Description]]="","",VLOOKUP(Table2[[#This Row],[Description]],$Q$1:$S$101,3,FALSE))</f>
        <v/>
      </c>
      <c r="I8571" s="1" t="str">
        <f>IF(Table2[[#This Row],[Description]]="","",IF(Table2[[#This Row],[Currency]]=$O$2,$P$2,HLOOKUP(Table2[[#This Row],[Date]],Funds!$C$10:$GV$11,2,FALSE)))</f>
        <v/>
      </c>
      <c r="J8571" s="215" t="str">
        <f>IF(Table2[[#This Row],[Description]]="","",Table2[[#This Row],[Value]]/Table2[[#This Row],[Conversion]])</f>
        <v/>
      </c>
      <c r="K8571" s="45" t="str">
        <f>IF(Table2[[#This Row],[Description]]="","",DATE(Table2[[#This Row],[Year]],Table2[[#This Row],[Month]],1))</f>
        <v/>
      </c>
    </row>
    <row r="8572" spans="7:11" x14ac:dyDescent="0.25">
      <c r="G8572" s="1" t="str">
        <f>IF(Table2[[#This Row],[Description]]="","",VLOOKUP(Table2[[#This Row],[Description]],$Q$1:$S$101,2,FALSE))</f>
        <v/>
      </c>
      <c r="H8572" s="1" t="str">
        <f>IF(Table2[[#This Row],[Description]]="","",VLOOKUP(Table2[[#This Row],[Description]],$Q$1:$S$101,3,FALSE))</f>
        <v/>
      </c>
      <c r="I8572" s="1" t="str">
        <f>IF(Table2[[#This Row],[Description]]="","",IF(Table2[[#This Row],[Currency]]=$O$2,$P$2,HLOOKUP(Table2[[#This Row],[Date]],Funds!$C$10:$GV$11,2,FALSE)))</f>
        <v/>
      </c>
      <c r="J8572" s="215" t="str">
        <f>IF(Table2[[#This Row],[Description]]="","",Table2[[#This Row],[Value]]/Table2[[#This Row],[Conversion]])</f>
        <v/>
      </c>
      <c r="K8572" s="45" t="str">
        <f>IF(Table2[[#This Row],[Description]]="","",DATE(Table2[[#This Row],[Year]],Table2[[#This Row],[Month]],1))</f>
        <v/>
      </c>
    </row>
    <row r="8573" spans="7:11" x14ac:dyDescent="0.25">
      <c r="G8573" s="1" t="str">
        <f>IF(Table2[[#This Row],[Description]]="","",VLOOKUP(Table2[[#This Row],[Description]],$Q$1:$S$101,2,FALSE))</f>
        <v/>
      </c>
      <c r="H8573" s="1" t="str">
        <f>IF(Table2[[#This Row],[Description]]="","",VLOOKUP(Table2[[#This Row],[Description]],$Q$1:$S$101,3,FALSE))</f>
        <v/>
      </c>
      <c r="I8573" s="1" t="str">
        <f>IF(Table2[[#This Row],[Description]]="","",IF(Table2[[#This Row],[Currency]]=$O$2,$P$2,HLOOKUP(Table2[[#This Row],[Date]],Funds!$C$10:$GV$11,2,FALSE)))</f>
        <v/>
      </c>
      <c r="J8573" s="215" t="str">
        <f>IF(Table2[[#This Row],[Description]]="","",Table2[[#This Row],[Value]]/Table2[[#This Row],[Conversion]])</f>
        <v/>
      </c>
      <c r="K8573" s="45" t="str">
        <f>IF(Table2[[#This Row],[Description]]="","",DATE(Table2[[#This Row],[Year]],Table2[[#This Row],[Month]],1))</f>
        <v/>
      </c>
    </row>
    <row r="8574" spans="7:11" x14ac:dyDescent="0.25">
      <c r="G8574" s="1" t="str">
        <f>IF(Table2[[#This Row],[Description]]="","",VLOOKUP(Table2[[#This Row],[Description]],$Q$1:$S$101,2,FALSE))</f>
        <v/>
      </c>
      <c r="H8574" s="1" t="str">
        <f>IF(Table2[[#This Row],[Description]]="","",VLOOKUP(Table2[[#This Row],[Description]],$Q$1:$S$101,3,FALSE))</f>
        <v/>
      </c>
      <c r="I8574" s="1" t="str">
        <f>IF(Table2[[#This Row],[Description]]="","",IF(Table2[[#This Row],[Currency]]=$O$2,$P$2,HLOOKUP(Table2[[#This Row],[Date]],Funds!$C$10:$GV$11,2,FALSE)))</f>
        <v/>
      </c>
      <c r="J8574" s="215" t="str">
        <f>IF(Table2[[#This Row],[Description]]="","",Table2[[#This Row],[Value]]/Table2[[#This Row],[Conversion]])</f>
        <v/>
      </c>
      <c r="K8574" s="45" t="str">
        <f>IF(Table2[[#This Row],[Description]]="","",DATE(Table2[[#This Row],[Year]],Table2[[#This Row],[Month]],1))</f>
        <v/>
      </c>
    </row>
    <row r="8575" spans="7:11" x14ac:dyDescent="0.25">
      <c r="G8575" s="1" t="str">
        <f>IF(Table2[[#This Row],[Description]]="","",VLOOKUP(Table2[[#This Row],[Description]],$Q$1:$S$101,2,FALSE))</f>
        <v/>
      </c>
      <c r="H8575" s="1" t="str">
        <f>IF(Table2[[#This Row],[Description]]="","",VLOOKUP(Table2[[#This Row],[Description]],$Q$1:$S$101,3,FALSE))</f>
        <v/>
      </c>
      <c r="I8575" s="1" t="str">
        <f>IF(Table2[[#This Row],[Description]]="","",IF(Table2[[#This Row],[Currency]]=$O$2,$P$2,HLOOKUP(Table2[[#This Row],[Date]],Funds!$C$10:$GV$11,2,FALSE)))</f>
        <v/>
      </c>
      <c r="J8575" s="215" t="str">
        <f>IF(Table2[[#This Row],[Description]]="","",Table2[[#This Row],[Value]]/Table2[[#This Row],[Conversion]])</f>
        <v/>
      </c>
      <c r="K8575" s="45" t="str">
        <f>IF(Table2[[#This Row],[Description]]="","",DATE(Table2[[#This Row],[Year]],Table2[[#This Row],[Month]],1))</f>
        <v/>
      </c>
    </row>
    <row r="8576" spans="7:11" x14ac:dyDescent="0.25">
      <c r="G8576" s="1" t="str">
        <f>IF(Table2[[#This Row],[Description]]="","",VLOOKUP(Table2[[#This Row],[Description]],$Q$1:$S$101,2,FALSE))</f>
        <v/>
      </c>
      <c r="H8576" s="1" t="str">
        <f>IF(Table2[[#This Row],[Description]]="","",VLOOKUP(Table2[[#This Row],[Description]],$Q$1:$S$101,3,FALSE))</f>
        <v/>
      </c>
      <c r="I8576" s="1" t="str">
        <f>IF(Table2[[#This Row],[Description]]="","",IF(Table2[[#This Row],[Currency]]=$O$2,$P$2,HLOOKUP(Table2[[#This Row],[Date]],Funds!$C$10:$GV$11,2,FALSE)))</f>
        <v/>
      </c>
      <c r="J8576" s="215" t="str">
        <f>IF(Table2[[#This Row],[Description]]="","",Table2[[#This Row],[Value]]/Table2[[#This Row],[Conversion]])</f>
        <v/>
      </c>
      <c r="K8576" s="45" t="str">
        <f>IF(Table2[[#This Row],[Description]]="","",DATE(Table2[[#This Row],[Year]],Table2[[#This Row],[Month]],1))</f>
        <v/>
      </c>
    </row>
    <row r="8577" spans="7:11" x14ac:dyDescent="0.25">
      <c r="G8577" s="1" t="str">
        <f>IF(Table2[[#This Row],[Description]]="","",VLOOKUP(Table2[[#This Row],[Description]],$Q$1:$S$101,2,FALSE))</f>
        <v/>
      </c>
      <c r="H8577" s="1" t="str">
        <f>IF(Table2[[#This Row],[Description]]="","",VLOOKUP(Table2[[#This Row],[Description]],$Q$1:$S$101,3,FALSE))</f>
        <v/>
      </c>
      <c r="I8577" s="1" t="str">
        <f>IF(Table2[[#This Row],[Description]]="","",IF(Table2[[#This Row],[Currency]]=$O$2,$P$2,HLOOKUP(Table2[[#This Row],[Date]],Funds!$C$10:$GV$11,2,FALSE)))</f>
        <v/>
      </c>
      <c r="J8577" s="215" t="str">
        <f>IF(Table2[[#This Row],[Description]]="","",Table2[[#This Row],[Value]]/Table2[[#This Row],[Conversion]])</f>
        <v/>
      </c>
      <c r="K8577" s="45" t="str">
        <f>IF(Table2[[#This Row],[Description]]="","",DATE(Table2[[#This Row],[Year]],Table2[[#This Row],[Month]],1))</f>
        <v/>
      </c>
    </row>
    <row r="8578" spans="7:11" x14ac:dyDescent="0.25">
      <c r="G8578" s="1" t="str">
        <f>IF(Table2[[#This Row],[Description]]="","",VLOOKUP(Table2[[#This Row],[Description]],$Q$1:$S$101,2,FALSE))</f>
        <v/>
      </c>
      <c r="H8578" s="1" t="str">
        <f>IF(Table2[[#This Row],[Description]]="","",VLOOKUP(Table2[[#This Row],[Description]],$Q$1:$S$101,3,FALSE))</f>
        <v/>
      </c>
      <c r="I8578" s="1" t="str">
        <f>IF(Table2[[#This Row],[Description]]="","",IF(Table2[[#This Row],[Currency]]=$O$2,$P$2,HLOOKUP(Table2[[#This Row],[Date]],Funds!$C$10:$GV$11,2,FALSE)))</f>
        <v/>
      </c>
      <c r="J8578" s="215" t="str">
        <f>IF(Table2[[#This Row],[Description]]="","",Table2[[#This Row],[Value]]/Table2[[#This Row],[Conversion]])</f>
        <v/>
      </c>
      <c r="K8578" s="45" t="str">
        <f>IF(Table2[[#This Row],[Description]]="","",DATE(Table2[[#This Row],[Year]],Table2[[#This Row],[Month]],1))</f>
        <v/>
      </c>
    </row>
    <row r="8579" spans="7:11" x14ac:dyDescent="0.25">
      <c r="G8579" s="1" t="str">
        <f>IF(Table2[[#This Row],[Description]]="","",VLOOKUP(Table2[[#This Row],[Description]],$Q$1:$S$101,2,FALSE))</f>
        <v/>
      </c>
      <c r="H8579" s="1" t="str">
        <f>IF(Table2[[#This Row],[Description]]="","",VLOOKUP(Table2[[#This Row],[Description]],$Q$1:$S$101,3,FALSE))</f>
        <v/>
      </c>
      <c r="I8579" s="1" t="str">
        <f>IF(Table2[[#This Row],[Description]]="","",IF(Table2[[#This Row],[Currency]]=$O$2,$P$2,HLOOKUP(Table2[[#This Row],[Date]],Funds!$C$10:$GV$11,2,FALSE)))</f>
        <v/>
      </c>
      <c r="J8579" s="215" t="str">
        <f>IF(Table2[[#This Row],[Description]]="","",Table2[[#This Row],[Value]]/Table2[[#This Row],[Conversion]])</f>
        <v/>
      </c>
      <c r="K8579" s="45" t="str">
        <f>IF(Table2[[#This Row],[Description]]="","",DATE(Table2[[#This Row],[Year]],Table2[[#This Row],[Month]],1))</f>
        <v/>
      </c>
    </row>
    <row r="8580" spans="7:11" x14ac:dyDescent="0.25">
      <c r="G8580" s="1" t="str">
        <f>IF(Table2[[#This Row],[Description]]="","",VLOOKUP(Table2[[#This Row],[Description]],$Q$1:$S$101,2,FALSE))</f>
        <v/>
      </c>
      <c r="H8580" s="1" t="str">
        <f>IF(Table2[[#This Row],[Description]]="","",VLOOKUP(Table2[[#This Row],[Description]],$Q$1:$S$101,3,FALSE))</f>
        <v/>
      </c>
      <c r="I8580" s="1" t="str">
        <f>IF(Table2[[#This Row],[Description]]="","",IF(Table2[[#This Row],[Currency]]=$O$2,$P$2,HLOOKUP(Table2[[#This Row],[Date]],Funds!$C$10:$GV$11,2,FALSE)))</f>
        <v/>
      </c>
      <c r="J8580" s="215" t="str">
        <f>IF(Table2[[#This Row],[Description]]="","",Table2[[#This Row],[Value]]/Table2[[#This Row],[Conversion]])</f>
        <v/>
      </c>
      <c r="K8580" s="45" t="str">
        <f>IF(Table2[[#This Row],[Description]]="","",DATE(Table2[[#This Row],[Year]],Table2[[#This Row],[Month]],1))</f>
        <v/>
      </c>
    </row>
    <row r="8581" spans="7:11" x14ac:dyDescent="0.25">
      <c r="G8581" s="1" t="str">
        <f>IF(Table2[[#This Row],[Description]]="","",VLOOKUP(Table2[[#This Row],[Description]],$Q$1:$S$101,2,FALSE))</f>
        <v/>
      </c>
      <c r="H8581" s="1" t="str">
        <f>IF(Table2[[#This Row],[Description]]="","",VLOOKUP(Table2[[#This Row],[Description]],$Q$1:$S$101,3,FALSE))</f>
        <v/>
      </c>
      <c r="I8581" s="1" t="str">
        <f>IF(Table2[[#This Row],[Description]]="","",IF(Table2[[#This Row],[Currency]]=$O$2,$P$2,HLOOKUP(Table2[[#This Row],[Date]],Funds!$C$10:$GV$11,2,FALSE)))</f>
        <v/>
      </c>
      <c r="J8581" s="215" t="str">
        <f>IF(Table2[[#This Row],[Description]]="","",Table2[[#This Row],[Value]]/Table2[[#This Row],[Conversion]])</f>
        <v/>
      </c>
      <c r="K8581" s="45" t="str">
        <f>IF(Table2[[#This Row],[Description]]="","",DATE(Table2[[#This Row],[Year]],Table2[[#This Row],[Month]],1))</f>
        <v/>
      </c>
    </row>
    <row r="8582" spans="7:11" x14ac:dyDescent="0.25">
      <c r="G8582" s="1" t="str">
        <f>IF(Table2[[#This Row],[Description]]="","",VLOOKUP(Table2[[#This Row],[Description]],$Q$1:$S$101,2,FALSE))</f>
        <v/>
      </c>
      <c r="H8582" s="1" t="str">
        <f>IF(Table2[[#This Row],[Description]]="","",VLOOKUP(Table2[[#This Row],[Description]],$Q$1:$S$101,3,FALSE))</f>
        <v/>
      </c>
      <c r="I8582" s="1" t="str">
        <f>IF(Table2[[#This Row],[Description]]="","",IF(Table2[[#This Row],[Currency]]=$O$2,$P$2,HLOOKUP(Table2[[#This Row],[Date]],Funds!$C$10:$GV$11,2,FALSE)))</f>
        <v/>
      </c>
      <c r="J8582" s="215" t="str">
        <f>IF(Table2[[#This Row],[Description]]="","",Table2[[#This Row],[Value]]/Table2[[#This Row],[Conversion]])</f>
        <v/>
      </c>
      <c r="K8582" s="45" t="str">
        <f>IF(Table2[[#This Row],[Description]]="","",DATE(Table2[[#This Row],[Year]],Table2[[#This Row],[Month]],1))</f>
        <v/>
      </c>
    </row>
    <row r="8583" spans="7:11" x14ac:dyDescent="0.25">
      <c r="G8583" s="1" t="str">
        <f>IF(Table2[[#This Row],[Description]]="","",VLOOKUP(Table2[[#This Row],[Description]],$Q$1:$S$101,2,FALSE))</f>
        <v/>
      </c>
      <c r="H8583" s="1" t="str">
        <f>IF(Table2[[#This Row],[Description]]="","",VLOOKUP(Table2[[#This Row],[Description]],$Q$1:$S$101,3,FALSE))</f>
        <v/>
      </c>
      <c r="I8583" s="1" t="str">
        <f>IF(Table2[[#This Row],[Description]]="","",IF(Table2[[#This Row],[Currency]]=$O$2,$P$2,HLOOKUP(Table2[[#This Row],[Date]],Funds!$C$10:$GV$11,2,FALSE)))</f>
        <v/>
      </c>
      <c r="J8583" s="215" t="str">
        <f>IF(Table2[[#This Row],[Description]]="","",Table2[[#This Row],[Value]]/Table2[[#This Row],[Conversion]])</f>
        <v/>
      </c>
      <c r="K8583" s="45" t="str">
        <f>IF(Table2[[#This Row],[Description]]="","",DATE(Table2[[#This Row],[Year]],Table2[[#This Row],[Month]],1))</f>
        <v/>
      </c>
    </row>
    <row r="8584" spans="7:11" x14ac:dyDescent="0.25">
      <c r="G8584" s="1" t="str">
        <f>IF(Table2[[#This Row],[Description]]="","",VLOOKUP(Table2[[#This Row],[Description]],$Q$1:$S$101,2,FALSE))</f>
        <v/>
      </c>
      <c r="H8584" s="1" t="str">
        <f>IF(Table2[[#This Row],[Description]]="","",VLOOKUP(Table2[[#This Row],[Description]],$Q$1:$S$101,3,FALSE))</f>
        <v/>
      </c>
      <c r="I8584" s="1" t="str">
        <f>IF(Table2[[#This Row],[Description]]="","",IF(Table2[[#This Row],[Currency]]=$O$2,$P$2,HLOOKUP(Table2[[#This Row],[Date]],Funds!$C$10:$GV$11,2,FALSE)))</f>
        <v/>
      </c>
      <c r="J8584" s="215" t="str">
        <f>IF(Table2[[#This Row],[Description]]="","",Table2[[#This Row],[Value]]/Table2[[#This Row],[Conversion]])</f>
        <v/>
      </c>
      <c r="K8584" s="45" t="str">
        <f>IF(Table2[[#This Row],[Description]]="","",DATE(Table2[[#This Row],[Year]],Table2[[#This Row],[Month]],1))</f>
        <v/>
      </c>
    </row>
    <row r="8585" spans="7:11" x14ac:dyDescent="0.25">
      <c r="G8585" s="1" t="str">
        <f>IF(Table2[[#This Row],[Description]]="","",VLOOKUP(Table2[[#This Row],[Description]],$Q$1:$S$101,2,FALSE))</f>
        <v/>
      </c>
      <c r="H8585" s="1" t="str">
        <f>IF(Table2[[#This Row],[Description]]="","",VLOOKUP(Table2[[#This Row],[Description]],$Q$1:$S$101,3,FALSE))</f>
        <v/>
      </c>
      <c r="I8585" s="1" t="str">
        <f>IF(Table2[[#This Row],[Description]]="","",IF(Table2[[#This Row],[Currency]]=$O$2,$P$2,HLOOKUP(Table2[[#This Row],[Date]],Funds!$C$10:$GV$11,2,FALSE)))</f>
        <v/>
      </c>
      <c r="J8585" s="215" t="str">
        <f>IF(Table2[[#This Row],[Description]]="","",Table2[[#This Row],[Value]]/Table2[[#This Row],[Conversion]])</f>
        <v/>
      </c>
      <c r="K8585" s="45" t="str">
        <f>IF(Table2[[#This Row],[Description]]="","",DATE(Table2[[#This Row],[Year]],Table2[[#This Row],[Month]],1))</f>
        <v/>
      </c>
    </row>
    <row r="8586" spans="7:11" x14ac:dyDescent="0.25">
      <c r="G8586" s="1" t="str">
        <f>IF(Table2[[#This Row],[Description]]="","",VLOOKUP(Table2[[#This Row],[Description]],$Q$1:$S$101,2,FALSE))</f>
        <v/>
      </c>
      <c r="H8586" s="1" t="str">
        <f>IF(Table2[[#This Row],[Description]]="","",VLOOKUP(Table2[[#This Row],[Description]],$Q$1:$S$101,3,FALSE))</f>
        <v/>
      </c>
      <c r="I8586" s="1" t="str">
        <f>IF(Table2[[#This Row],[Description]]="","",IF(Table2[[#This Row],[Currency]]=$O$2,$P$2,HLOOKUP(Table2[[#This Row],[Date]],Funds!$C$10:$GV$11,2,FALSE)))</f>
        <v/>
      </c>
      <c r="J8586" s="215" t="str">
        <f>IF(Table2[[#This Row],[Description]]="","",Table2[[#This Row],[Value]]/Table2[[#This Row],[Conversion]])</f>
        <v/>
      </c>
      <c r="K8586" s="45" t="str">
        <f>IF(Table2[[#This Row],[Description]]="","",DATE(Table2[[#This Row],[Year]],Table2[[#This Row],[Month]],1))</f>
        <v/>
      </c>
    </row>
    <row r="8587" spans="7:11" x14ac:dyDescent="0.25">
      <c r="G8587" s="1" t="str">
        <f>IF(Table2[[#This Row],[Description]]="","",VLOOKUP(Table2[[#This Row],[Description]],$Q$1:$S$101,2,FALSE))</f>
        <v/>
      </c>
      <c r="H8587" s="1" t="str">
        <f>IF(Table2[[#This Row],[Description]]="","",VLOOKUP(Table2[[#This Row],[Description]],$Q$1:$S$101,3,FALSE))</f>
        <v/>
      </c>
      <c r="I8587" s="1" t="str">
        <f>IF(Table2[[#This Row],[Description]]="","",IF(Table2[[#This Row],[Currency]]=$O$2,$P$2,HLOOKUP(Table2[[#This Row],[Date]],Funds!$C$10:$GV$11,2,FALSE)))</f>
        <v/>
      </c>
      <c r="J8587" s="215" t="str">
        <f>IF(Table2[[#This Row],[Description]]="","",Table2[[#This Row],[Value]]/Table2[[#This Row],[Conversion]])</f>
        <v/>
      </c>
      <c r="K8587" s="45" t="str">
        <f>IF(Table2[[#This Row],[Description]]="","",DATE(Table2[[#This Row],[Year]],Table2[[#This Row],[Month]],1))</f>
        <v/>
      </c>
    </row>
    <row r="8588" spans="7:11" x14ac:dyDescent="0.25">
      <c r="G8588" s="1" t="str">
        <f>IF(Table2[[#This Row],[Description]]="","",VLOOKUP(Table2[[#This Row],[Description]],$Q$1:$S$101,2,FALSE))</f>
        <v/>
      </c>
      <c r="H8588" s="1" t="str">
        <f>IF(Table2[[#This Row],[Description]]="","",VLOOKUP(Table2[[#This Row],[Description]],$Q$1:$S$101,3,FALSE))</f>
        <v/>
      </c>
      <c r="I8588" s="1" t="str">
        <f>IF(Table2[[#This Row],[Description]]="","",IF(Table2[[#This Row],[Currency]]=$O$2,$P$2,HLOOKUP(Table2[[#This Row],[Date]],Funds!$C$10:$GV$11,2,FALSE)))</f>
        <v/>
      </c>
      <c r="J8588" s="215" t="str">
        <f>IF(Table2[[#This Row],[Description]]="","",Table2[[#This Row],[Value]]/Table2[[#This Row],[Conversion]])</f>
        <v/>
      </c>
      <c r="K8588" s="45" t="str">
        <f>IF(Table2[[#This Row],[Description]]="","",DATE(Table2[[#This Row],[Year]],Table2[[#This Row],[Month]],1))</f>
        <v/>
      </c>
    </row>
    <row r="8589" spans="7:11" x14ac:dyDescent="0.25">
      <c r="G8589" s="1" t="str">
        <f>IF(Table2[[#This Row],[Description]]="","",VLOOKUP(Table2[[#This Row],[Description]],$Q$1:$S$101,2,FALSE))</f>
        <v/>
      </c>
      <c r="H8589" s="1" t="str">
        <f>IF(Table2[[#This Row],[Description]]="","",VLOOKUP(Table2[[#This Row],[Description]],$Q$1:$S$101,3,FALSE))</f>
        <v/>
      </c>
      <c r="I8589" s="1" t="str">
        <f>IF(Table2[[#This Row],[Description]]="","",IF(Table2[[#This Row],[Currency]]=$O$2,$P$2,HLOOKUP(Table2[[#This Row],[Date]],Funds!$C$10:$GV$11,2,FALSE)))</f>
        <v/>
      </c>
      <c r="J8589" s="215" t="str">
        <f>IF(Table2[[#This Row],[Description]]="","",Table2[[#This Row],[Value]]/Table2[[#This Row],[Conversion]])</f>
        <v/>
      </c>
      <c r="K8589" s="45" t="str">
        <f>IF(Table2[[#This Row],[Description]]="","",DATE(Table2[[#This Row],[Year]],Table2[[#This Row],[Month]],1))</f>
        <v/>
      </c>
    </row>
    <row r="8590" spans="7:11" x14ac:dyDescent="0.25">
      <c r="G8590" s="1" t="str">
        <f>IF(Table2[[#This Row],[Description]]="","",VLOOKUP(Table2[[#This Row],[Description]],$Q$1:$S$101,2,FALSE))</f>
        <v/>
      </c>
      <c r="H8590" s="1" t="str">
        <f>IF(Table2[[#This Row],[Description]]="","",VLOOKUP(Table2[[#This Row],[Description]],$Q$1:$S$101,3,FALSE))</f>
        <v/>
      </c>
      <c r="I8590" s="1" t="str">
        <f>IF(Table2[[#This Row],[Description]]="","",IF(Table2[[#This Row],[Currency]]=$O$2,$P$2,HLOOKUP(Table2[[#This Row],[Date]],Funds!$C$10:$GV$11,2,FALSE)))</f>
        <v/>
      </c>
      <c r="J8590" s="215" t="str">
        <f>IF(Table2[[#This Row],[Description]]="","",Table2[[#This Row],[Value]]/Table2[[#This Row],[Conversion]])</f>
        <v/>
      </c>
      <c r="K8590" s="45" t="str">
        <f>IF(Table2[[#This Row],[Description]]="","",DATE(Table2[[#This Row],[Year]],Table2[[#This Row],[Month]],1))</f>
        <v/>
      </c>
    </row>
    <row r="8591" spans="7:11" x14ac:dyDescent="0.25">
      <c r="G8591" s="1" t="str">
        <f>IF(Table2[[#This Row],[Description]]="","",VLOOKUP(Table2[[#This Row],[Description]],$Q$1:$S$101,2,FALSE))</f>
        <v/>
      </c>
      <c r="H8591" s="1" t="str">
        <f>IF(Table2[[#This Row],[Description]]="","",VLOOKUP(Table2[[#This Row],[Description]],$Q$1:$S$101,3,FALSE))</f>
        <v/>
      </c>
      <c r="I8591" s="1" t="str">
        <f>IF(Table2[[#This Row],[Description]]="","",IF(Table2[[#This Row],[Currency]]=$O$2,$P$2,HLOOKUP(Table2[[#This Row],[Date]],Funds!$C$10:$GV$11,2,FALSE)))</f>
        <v/>
      </c>
      <c r="J8591" s="215" t="str">
        <f>IF(Table2[[#This Row],[Description]]="","",Table2[[#This Row],[Value]]/Table2[[#This Row],[Conversion]])</f>
        <v/>
      </c>
      <c r="K8591" s="45" t="str">
        <f>IF(Table2[[#This Row],[Description]]="","",DATE(Table2[[#This Row],[Year]],Table2[[#This Row],[Month]],1))</f>
        <v/>
      </c>
    </row>
    <row r="8592" spans="7:11" x14ac:dyDescent="0.25">
      <c r="G8592" s="1" t="str">
        <f>IF(Table2[[#This Row],[Description]]="","",VLOOKUP(Table2[[#This Row],[Description]],$Q$1:$S$101,2,FALSE))</f>
        <v/>
      </c>
      <c r="H8592" s="1" t="str">
        <f>IF(Table2[[#This Row],[Description]]="","",VLOOKUP(Table2[[#This Row],[Description]],$Q$1:$S$101,3,FALSE))</f>
        <v/>
      </c>
      <c r="I8592" s="1" t="str">
        <f>IF(Table2[[#This Row],[Description]]="","",IF(Table2[[#This Row],[Currency]]=$O$2,$P$2,HLOOKUP(Table2[[#This Row],[Date]],Funds!$C$10:$GV$11,2,FALSE)))</f>
        <v/>
      </c>
      <c r="J8592" s="215" t="str">
        <f>IF(Table2[[#This Row],[Description]]="","",Table2[[#This Row],[Value]]/Table2[[#This Row],[Conversion]])</f>
        <v/>
      </c>
      <c r="K8592" s="45" t="str">
        <f>IF(Table2[[#This Row],[Description]]="","",DATE(Table2[[#This Row],[Year]],Table2[[#This Row],[Month]],1))</f>
        <v/>
      </c>
    </row>
    <row r="8593" spans="7:11" x14ac:dyDescent="0.25">
      <c r="G8593" s="1" t="str">
        <f>IF(Table2[[#This Row],[Description]]="","",VLOOKUP(Table2[[#This Row],[Description]],$Q$1:$S$101,2,FALSE))</f>
        <v/>
      </c>
      <c r="H8593" s="1" t="str">
        <f>IF(Table2[[#This Row],[Description]]="","",VLOOKUP(Table2[[#This Row],[Description]],$Q$1:$S$101,3,FALSE))</f>
        <v/>
      </c>
      <c r="I8593" s="1" t="str">
        <f>IF(Table2[[#This Row],[Description]]="","",IF(Table2[[#This Row],[Currency]]=$O$2,$P$2,HLOOKUP(Table2[[#This Row],[Date]],Funds!$C$10:$GV$11,2,FALSE)))</f>
        <v/>
      </c>
      <c r="J8593" s="215" t="str">
        <f>IF(Table2[[#This Row],[Description]]="","",Table2[[#This Row],[Value]]/Table2[[#This Row],[Conversion]])</f>
        <v/>
      </c>
      <c r="K8593" s="45" t="str">
        <f>IF(Table2[[#This Row],[Description]]="","",DATE(Table2[[#This Row],[Year]],Table2[[#This Row],[Month]],1))</f>
        <v/>
      </c>
    </row>
    <row r="8594" spans="7:11" x14ac:dyDescent="0.25">
      <c r="G8594" s="1" t="str">
        <f>IF(Table2[[#This Row],[Description]]="","",VLOOKUP(Table2[[#This Row],[Description]],$Q$1:$S$101,2,FALSE))</f>
        <v/>
      </c>
      <c r="H8594" s="1" t="str">
        <f>IF(Table2[[#This Row],[Description]]="","",VLOOKUP(Table2[[#This Row],[Description]],$Q$1:$S$101,3,FALSE))</f>
        <v/>
      </c>
      <c r="I8594" s="1" t="str">
        <f>IF(Table2[[#This Row],[Description]]="","",IF(Table2[[#This Row],[Currency]]=$O$2,$P$2,HLOOKUP(Table2[[#This Row],[Date]],Funds!$C$10:$GV$11,2,FALSE)))</f>
        <v/>
      </c>
      <c r="J8594" s="215" t="str">
        <f>IF(Table2[[#This Row],[Description]]="","",Table2[[#This Row],[Value]]/Table2[[#This Row],[Conversion]])</f>
        <v/>
      </c>
      <c r="K8594" s="45" t="str">
        <f>IF(Table2[[#This Row],[Description]]="","",DATE(Table2[[#This Row],[Year]],Table2[[#This Row],[Month]],1))</f>
        <v/>
      </c>
    </row>
    <row r="8595" spans="7:11" x14ac:dyDescent="0.25">
      <c r="G8595" s="1" t="str">
        <f>IF(Table2[[#This Row],[Description]]="","",VLOOKUP(Table2[[#This Row],[Description]],$Q$1:$S$101,2,FALSE))</f>
        <v/>
      </c>
      <c r="H8595" s="1" t="str">
        <f>IF(Table2[[#This Row],[Description]]="","",VLOOKUP(Table2[[#This Row],[Description]],$Q$1:$S$101,3,FALSE))</f>
        <v/>
      </c>
      <c r="I8595" s="1" t="str">
        <f>IF(Table2[[#This Row],[Description]]="","",IF(Table2[[#This Row],[Currency]]=$O$2,$P$2,HLOOKUP(Table2[[#This Row],[Date]],Funds!$C$10:$GV$11,2,FALSE)))</f>
        <v/>
      </c>
      <c r="J8595" s="215" t="str">
        <f>IF(Table2[[#This Row],[Description]]="","",Table2[[#This Row],[Value]]/Table2[[#This Row],[Conversion]])</f>
        <v/>
      </c>
      <c r="K8595" s="45" t="str">
        <f>IF(Table2[[#This Row],[Description]]="","",DATE(Table2[[#This Row],[Year]],Table2[[#This Row],[Month]],1))</f>
        <v/>
      </c>
    </row>
    <row r="8596" spans="7:11" x14ac:dyDescent="0.25">
      <c r="G8596" s="1" t="str">
        <f>IF(Table2[[#This Row],[Description]]="","",VLOOKUP(Table2[[#This Row],[Description]],$Q$1:$S$101,2,FALSE))</f>
        <v/>
      </c>
      <c r="H8596" s="1" t="str">
        <f>IF(Table2[[#This Row],[Description]]="","",VLOOKUP(Table2[[#This Row],[Description]],$Q$1:$S$101,3,FALSE))</f>
        <v/>
      </c>
      <c r="I8596" s="1" t="str">
        <f>IF(Table2[[#This Row],[Description]]="","",IF(Table2[[#This Row],[Currency]]=$O$2,$P$2,HLOOKUP(Table2[[#This Row],[Date]],Funds!$C$10:$GV$11,2,FALSE)))</f>
        <v/>
      </c>
      <c r="J8596" s="215" t="str">
        <f>IF(Table2[[#This Row],[Description]]="","",Table2[[#This Row],[Value]]/Table2[[#This Row],[Conversion]])</f>
        <v/>
      </c>
      <c r="K8596" s="45" t="str">
        <f>IF(Table2[[#This Row],[Description]]="","",DATE(Table2[[#This Row],[Year]],Table2[[#This Row],[Month]],1))</f>
        <v/>
      </c>
    </row>
    <row r="8597" spans="7:11" x14ac:dyDescent="0.25">
      <c r="G8597" s="1" t="str">
        <f>IF(Table2[[#This Row],[Description]]="","",VLOOKUP(Table2[[#This Row],[Description]],$Q$1:$S$101,2,FALSE))</f>
        <v/>
      </c>
      <c r="H8597" s="1" t="str">
        <f>IF(Table2[[#This Row],[Description]]="","",VLOOKUP(Table2[[#This Row],[Description]],$Q$1:$S$101,3,FALSE))</f>
        <v/>
      </c>
      <c r="I8597" s="1" t="str">
        <f>IF(Table2[[#This Row],[Description]]="","",IF(Table2[[#This Row],[Currency]]=$O$2,$P$2,HLOOKUP(Table2[[#This Row],[Date]],Funds!$C$10:$GV$11,2,FALSE)))</f>
        <v/>
      </c>
      <c r="J8597" s="215" t="str">
        <f>IF(Table2[[#This Row],[Description]]="","",Table2[[#This Row],[Value]]/Table2[[#This Row],[Conversion]])</f>
        <v/>
      </c>
      <c r="K8597" s="45" t="str">
        <f>IF(Table2[[#This Row],[Description]]="","",DATE(Table2[[#This Row],[Year]],Table2[[#This Row],[Month]],1))</f>
        <v/>
      </c>
    </row>
    <row r="8598" spans="7:11" x14ac:dyDescent="0.25">
      <c r="G8598" s="1" t="str">
        <f>IF(Table2[[#This Row],[Description]]="","",VLOOKUP(Table2[[#This Row],[Description]],$Q$1:$S$101,2,FALSE))</f>
        <v/>
      </c>
      <c r="H8598" s="1" t="str">
        <f>IF(Table2[[#This Row],[Description]]="","",VLOOKUP(Table2[[#This Row],[Description]],$Q$1:$S$101,3,FALSE))</f>
        <v/>
      </c>
      <c r="I8598" s="1" t="str">
        <f>IF(Table2[[#This Row],[Description]]="","",IF(Table2[[#This Row],[Currency]]=$O$2,$P$2,HLOOKUP(Table2[[#This Row],[Date]],Funds!$C$10:$GV$11,2,FALSE)))</f>
        <v/>
      </c>
      <c r="J8598" s="215" t="str">
        <f>IF(Table2[[#This Row],[Description]]="","",Table2[[#This Row],[Value]]/Table2[[#This Row],[Conversion]])</f>
        <v/>
      </c>
      <c r="K8598" s="45" t="str">
        <f>IF(Table2[[#This Row],[Description]]="","",DATE(Table2[[#This Row],[Year]],Table2[[#This Row],[Month]],1))</f>
        <v/>
      </c>
    </row>
    <row r="8599" spans="7:11" x14ac:dyDescent="0.25">
      <c r="G8599" s="1" t="str">
        <f>IF(Table2[[#This Row],[Description]]="","",VLOOKUP(Table2[[#This Row],[Description]],$Q$1:$S$101,2,FALSE))</f>
        <v/>
      </c>
      <c r="H8599" s="1" t="str">
        <f>IF(Table2[[#This Row],[Description]]="","",VLOOKUP(Table2[[#This Row],[Description]],$Q$1:$S$101,3,FALSE))</f>
        <v/>
      </c>
      <c r="I8599" s="1" t="str">
        <f>IF(Table2[[#This Row],[Description]]="","",IF(Table2[[#This Row],[Currency]]=$O$2,$P$2,HLOOKUP(Table2[[#This Row],[Date]],Funds!$C$10:$GV$11,2,FALSE)))</f>
        <v/>
      </c>
      <c r="J8599" s="215" t="str">
        <f>IF(Table2[[#This Row],[Description]]="","",Table2[[#This Row],[Value]]/Table2[[#This Row],[Conversion]])</f>
        <v/>
      </c>
      <c r="K8599" s="45" t="str">
        <f>IF(Table2[[#This Row],[Description]]="","",DATE(Table2[[#This Row],[Year]],Table2[[#This Row],[Month]],1))</f>
        <v/>
      </c>
    </row>
    <row r="8600" spans="7:11" x14ac:dyDescent="0.25">
      <c r="G8600" s="1" t="str">
        <f>IF(Table2[[#This Row],[Description]]="","",VLOOKUP(Table2[[#This Row],[Description]],$Q$1:$S$101,2,FALSE))</f>
        <v/>
      </c>
      <c r="H8600" s="1" t="str">
        <f>IF(Table2[[#This Row],[Description]]="","",VLOOKUP(Table2[[#This Row],[Description]],$Q$1:$S$101,3,FALSE))</f>
        <v/>
      </c>
      <c r="I8600" s="1" t="str">
        <f>IF(Table2[[#This Row],[Description]]="","",IF(Table2[[#This Row],[Currency]]=$O$2,$P$2,HLOOKUP(Table2[[#This Row],[Date]],Funds!$C$10:$GV$11,2,FALSE)))</f>
        <v/>
      </c>
      <c r="J8600" s="215" t="str">
        <f>IF(Table2[[#This Row],[Description]]="","",Table2[[#This Row],[Value]]/Table2[[#This Row],[Conversion]])</f>
        <v/>
      </c>
      <c r="K8600" s="45" t="str">
        <f>IF(Table2[[#This Row],[Description]]="","",DATE(Table2[[#This Row],[Year]],Table2[[#This Row],[Month]],1))</f>
        <v/>
      </c>
    </row>
    <row r="8601" spans="7:11" x14ac:dyDescent="0.25">
      <c r="G8601" s="1" t="str">
        <f>IF(Table2[[#This Row],[Description]]="","",VLOOKUP(Table2[[#This Row],[Description]],$Q$1:$S$101,2,FALSE))</f>
        <v/>
      </c>
      <c r="H8601" s="1" t="str">
        <f>IF(Table2[[#This Row],[Description]]="","",VLOOKUP(Table2[[#This Row],[Description]],$Q$1:$S$101,3,FALSE))</f>
        <v/>
      </c>
      <c r="I8601" s="1" t="str">
        <f>IF(Table2[[#This Row],[Description]]="","",IF(Table2[[#This Row],[Currency]]=$O$2,$P$2,HLOOKUP(Table2[[#This Row],[Date]],Funds!$C$10:$GV$11,2,FALSE)))</f>
        <v/>
      </c>
      <c r="J8601" s="215" t="str">
        <f>IF(Table2[[#This Row],[Description]]="","",Table2[[#This Row],[Value]]/Table2[[#This Row],[Conversion]])</f>
        <v/>
      </c>
      <c r="K8601" s="45" t="str">
        <f>IF(Table2[[#This Row],[Description]]="","",DATE(Table2[[#This Row],[Year]],Table2[[#This Row],[Month]],1))</f>
        <v/>
      </c>
    </row>
    <row r="8602" spans="7:11" x14ac:dyDescent="0.25">
      <c r="G8602" s="1" t="str">
        <f>IF(Table2[[#This Row],[Description]]="","",VLOOKUP(Table2[[#This Row],[Description]],$Q$1:$S$101,2,FALSE))</f>
        <v/>
      </c>
      <c r="H8602" s="1" t="str">
        <f>IF(Table2[[#This Row],[Description]]="","",VLOOKUP(Table2[[#This Row],[Description]],$Q$1:$S$101,3,FALSE))</f>
        <v/>
      </c>
      <c r="I8602" s="1" t="str">
        <f>IF(Table2[[#This Row],[Description]]="","",IF(Table2[[#This Row],[Currency]]=$O$2,$P$2,HLOOKUP(Table2[[#This Row],[Date]],Funds!$C$10:$GV$11,2,FALSE)))</f>
        <v/>
      </c>
      <c r="J8602" s="215" t="str">
        <f>IF(Table2[[#This Row],[Description]]="","",Table2[[#This Row],[Value]]/Table2[[#This Row],[Conversion]])</f>
        <v/>
      </c>
      <c r="K8602" s="45" t="str">
        <f>IF(Table2[[#This Row],[Description]]="","",DATE(Table2[[#This Row],[Year]],Table2[[#This Row],[Month]],1))</f>
        <v/>
      </c>
    </row>
    <row r="8603" spans="7:11" x14ac:dyDescent="0.25">
      <c r="G8603" s="1" t="str">
        <f>IF(Table2[[#This Row],[Description]]="","",VLOOKUP(Table2[[#This Row],[Description]],$Q$1:$S$101,2,FALSE))</f>
        <v/>
      </c>
      <c r="H8603" s="1" t="str">
        <f>IF(Table2[[#This Row],[Description]]="","",VLOOKUP(Table2[[#This Row],[Description]],$Q$1:$S$101,3,FALSE))</f>
        <v/>
      </c>
      <c r="I8603" s="1" t="str">
        <f>IF(Table2[[#This Row],[Description]]="","",IF(Table2[[#This Row],[Currency]]=$O$2,$P$2,HLOOKUP(Table2[[#This Row],[Date]],Funds!$C$10:$GV$11,2,FALSE)))</f>
        <v/>
      </c>
      <c r="J8603" s="215" t="str">
        <f>IF(Table2[[#This Row],[Description]]="","",Table2[[#This Row],[Value]]/Table2[[#This Row],[Conversion]])</f>
        <v/>
      </c>
      <c r="K8603" s="45" t="str">
        <f>IF(Table2[[#This Row],[Description]]="","",DATE(Table2[[#This Row],[Year]],Table2[[#This Row],[Month]],1))</f>
        <v/>
      </c>
    </row>
    <row r="8604" spans="7:11" x14ac:dyDescent="0.25">
      <c r="G8604" s="1" t="str">
        <f>IF(Table2[[#This Row],[Description]]="","",VLOOKUP(Table2[[#This Row],[Description]],$Q$1:$S$101,2,FALSE))</f>
        <v/>
      </c>
      <c r="H8604" s="1" t="str">
        <f>IF(Table2[[#This Row],[Description]]="","",VLOOKUP(Table2[[#This Row],[Description]],$Q$1:$S$101,3,FALSE))</f>
        <v/>
      </c>
      <c r="I8604" s="1" t="str">
        <f>IF(Table2[[#This Row],[Description]]="","",IF(Table2[[#This Row],[Currency]]=$O$2,$P$2,HLOOKUP(Table2[[#This Row],[Date]],Funds!$C$10:$GV$11,2,FALSE)))</f>
        <v/>
      </c>
      <c r="J8604" s="215" t="str">
        <f>IF(Table2[[#This Row],[Description]]="","",Table2[[#This Row],[Value]]/Table2[[#This Row],[Conversion]])</f>
        <v/>
      </c>
      <c r="K8604" s="45" t="str">
        <f>IF(Table2[[#This Row],[Description]]="","",DATE(Table2[[#This Row],[Year]],Table2[[#This Row],[Month]],1))</f>
        <v/>
      </c>
    </row>
    <row r="8605" spans="7:11" x14ac:dyDescent="0.25">
      <c r="G8605" s="1" t="str">
        <f>IF(Table2[[#This Row],[Description]]="","",VLOOKUP(Table2[[#This Row],[Description]],$Q$1:$S$101,2,FALSE))</f>
        <v/>
      </c>
      <c r="H8605" s="1" t="str">
        <f>IF(Table2[[#This Row],[Description]]="","",VLOOKUP(Table2[[#This Row],[Description]],$Q$1:$S$101,3,FALSE))</f>
        <v/>
      </c>
      <c r="I8605" s="1" t="str">
        <f>IF(Table2[[#This Row],[Description]]="","",IF(Table2[[#This Row],[Currency]]=$O$2,$P$2,HLOOKUP(Table2[[#This Row],[Date]],Funds!$C$10:$GV$11,2,FALSE)))</f>
        <v/>
      </c>
      <c r="J8605" s="215" t="str">
        <f>IF(Table2[[#This Row],[Description]]="","",Table2[[#This Row],[Value]]/Table2[[#This Row],[Conversion]])</f>
        <v/>
      </c>
      <c r="K8605" s="45" t="str">
        <f>IF(Table2[[#This Row],[Description]]="","",DATE(Table2[[#This Row],[Year]],Table2[[#This Row],[Month]],1))</f>
        <v/>
      </c>
    </row>
    <row r="8606" spans="7:11" x14ac:dyDescent="0.25">
      <c r="G8606" s="1" t="str">
        <f>IF(Table2[[#This Row],[Description]]="","",VLOOKUP(Table2[[#This Row],[Description]],$Q$1:$S$101,2,FALSE))</f>
        <v/>
      </c>
      <c r="H8606" s="1" t="str">
        <f>IF(Table2[[#This Row],[Description]]="","",VLOOKUP(Table2[[#This Row],[Description]],$Q$1:$S$101,3,FALSE))</f>
        <v/>
      </c>
      <c r="I8606" s="1" t="str">
        <f>IF(Table2[[#This Row],[Description]]="","",IF(Table2[[#This Row],[Currency]]=$O$2,$P$2,HLOOKUP(Table2[[#This Row],[Date]],Funds!$C$10:$GV$11,2,FALSE)))</f>
        <v/>
      </c>
      <c r="J8606" s="215" t="str">
        <f>IF(Table2[[#This Row],[Description]]="","",Table2[[#This Row],[Value]]/Table2[[#This Row],[Conversion]])</f>
        <v/>
      </c>
      <c r="K8606" s="45" t="str">
        <f>IF(Table2[[#This Row],[Description]]="","",DATE(Table2[[#This Row],[Year]],Table2[[#This Row],[Month]],1))</f>
        <v/>
      </c>
    </row>
    <row r="8607" spans="7:11" x14ac:dyDescent="0.25">
      <c r="G8607" s="1" t="str">
        <f>IF(Table2[[#This Row],[Description]]="","",VLOOKUP(Table2[[#This Row],[Description]],$Q$1:$S$101,2,FALSE))</f>
        <v/>
      </c>
      <c r="H8607" s="1" t="str">
        <f>IF(Table2[[#This Row],[Description]]="","",VLOOKUP(Table2[[#This Row],[Description]],$Q$1:$S$101,3,FALSE))</f>
        <v/>
      </c>
      <c r="I8607" s="1" t="str">
        <f>IF(Table2[[#This Row],[Description]]="","",IF(Table2[[#This Row],[Currency]]=$O$2,$P$2,HLOOKUP(Table2[[#This Row],[Date]],Funds!$C$10:$GV$11,2,FALSE)))</f>
        <v/>
      </c>
      <c r="J8607" s="215" t="str">
        <f>IF(Table2[[#This Row],[Description]]="","",Table2[[#This Row],[Value]]/Table2[[#This Row],[Conversion]])</f>
        <v/>
      </c>
      <c r="K8607" s="45" t="str">
        <f>IF(Table2[[#This Row],[Description]]="","",DATE(Table2[[#This Row],[Year]],Table2[[#This Row],[Month]],1))</f>
        <v/>
      </c>
    </row>
    <row r="8608" spans="7:11" x14ac:dyDescent="0.25">
      <c r="G8608" s="1" t="str">
        <f>IF(Table2[[#This Row],[Description]]="","",VLOOKUP(Table2[[#This Row],[Description]],$Q$1:$S$101,2,FALSE))</f>
        <v/>
      </c>
      <c r="H8608" s="1" t="str">
        <f>IF(Table2[[#This Row],[Description]]="","",VLOOKUP(Table2[[#This Row],[Description]],$Q$1:$S$101,3,FALSE))</f>
        <v/>
      </c>
      <c r="I8608" s="1" t="str">
        <f>IF(Table2[[#This Row],[Description]]="","",IF(Table2[[#This Row],[Currency]]=$O$2,$P$2,HLOOKUP(Table2[[#This Row],[Date]],Funds!$C$10:$GV$11,2,FALSE)))</f>
        <v/>
      </c>
      <c r="J8608" s="215" t="str">
        <f>IF(Table2[[#This Row],[Description]]="","",Table2[[#This Row],[Value]]/Table2[[#This Row],[Conversion]])</f>
        <v/>
      </c>
      <c r="K8608" s="45" t="str">
        <f>IF(Table2[[#This Row],[Description]]="","",DATE(Table2[[#This Row],[Year]],Table2[[#This Row],[Month]],1))</f>
        <v/>
      </c>
    </row>
    <row r="8609" spans="7:11" x14ac:dyDescent="0.25">
      <c r="G8609" s="1" t="str">
        <f>IF(Table2[[#This Row],[Description]]="","",VLOOKUP(Table2[[#This Row],[Description]],$Q$1:$S$101,2,FALSE))</f>
        <v/>
      </c>
      <c r="H8609" s="1" t="str">
        <f>IF(Table2[[#This Row],[Description]]="","",VLOOKUP(Table2[[#This Row],[Description]],$Q$1:$S$101,3,FALSE))</f>
        <v/>
      </c>
      <c r="I8609" s="1" t="str">
        <f>IF(Table2[[#This Row],[Description]]="","",IF(Table2[[#This Row],[Currency]]=$O$2,$P$2,HLOOKUP(Table2[[#This Row],[Date]],Funds!$C$10:$GV$11,2,FALSE)))</f>
        <v/>
      </c>
      <c r="J8609" s="215" t="str">
        <f>IF(Table2[[#This Row],[Description]]="","",Table2[[#This Row],[Value]]/Table2[[#This Row],[Conversion]])</f>
        <v/>
      </c>
      <c r="K8609" s="45" t="str">
        <f>IF(Table2[[#This Row],[Description]]="","",DATE(Table2[[#This Row],[Year]],Table2[[#This Row],[Month]],1))</f>
        <v/>
      </c>
    </row>
    <row r="8610" spans="7:11" x14ac:dyDescent="0.25">
      <c r="G8610" s="1" t="str">
        <f>IF(Table2[[#This Row],[Description]]="","",VLOOKUP(Table2[[#This Row],[Description]],$Q$1:$S$101,2,FALSE))</f>
        <v/>
      </c>
      <c r="H8610" s="1" t="str">
        <f>IF(Table2[[#This Row],[Description]]="","",VLOOKUP(Table2[[#This Row],[Description]],$Q$1:$S$101,3,FALSE))</f>
        <v/>
      </c>
      <c r="I8610" s="1" t="str">
        <f>IF(Table2[[#This Row],[Description]]="","",IF(Table2[[#This Row],[Currency]]=$O$2,$P$2,HLOOKUP(Table2[[#This Row],[Date]],Funds!$C$10:$GV$11,2,FALSE)))</f>
        <v/>
      </c>
      <c r="J8610" s="215" t="str">
        <f>IF(Table2[[#This Row],[Description]]="","",Table2[[#This Row],[Value]]/Table2[[#This Row],[Conversion]])</f>
        <v/>
      </c>
      <c r="K8610" s="45" t="str">
        <f>IF(Table2[[#This Row],[Description]]="","",DATE(Table2[[#This Row],[Year]],Table2[[#This Row],[Month]],1))</f>
        <v/>
      </c>
    </row>
    <row r="8611" spans="7:11" x14ac:dyDescent="0.25">
      <c r="G8611" s="1" t="str">
        <f>IF(Table2[[#This Row],[Description]]="","",VLOOKUP(Table2[[#This Row],[Description]],$Q$1:$S$101,2,FALSE))</f>
        <v/>
      </c>
      <c r="H8611" s="1" t="str">
        <f>IF(Table2[[#This Row],[Description]]="","",VLOOKUP(Table2[[#This Row],[Description]],$Q$1:$S$101,3,FALSE))</f>
        <v/>
      </c>
      <c r="I8611" s="1" t="str">
        <f>IF(Table2[[#This Row],[Description]]="","",IF(Table2[[#This Row],[Currency]]=$O$2,$P$2,HLOOKUP(Table2[[#This Row],[Date]],Funds!$C$10:$GV$11,2,FALSE)))</f>
        <v/>
      </c>
      <c r="J8611" s="215" t="str">
        <f>IF(Table2[[#This Row],[Description]]="","",Table2[[#This Row],[Value]]/Table2[[#This Row],[Conversion]])</f>
        <v/>
      </c>
      <c r="K8611" s="45" t="str">
        <f>IF(Table2[[#This Row],[Description]]="","",DATE(Table2[[#This Row],[Year]],Table2[[#This Row],[Month]],1))</f>
        <v/>
      </c>
    </row>
    <row r="8612" spans="7:11" x14ac:dyDescent="0.25">
      <c r="G8612" s="1" t="str">
        <f>IF(Table2[[#This Row],[Description]]="","",VLOOKUP(Table2[[#This Row],[Description]],$Q$1:$S$101,2,FALSE))</f>
        <v/>
      </c>
      <c r="H8612" s="1" t="str">
        <f>IF(Table2[[#This Row],[Description]]="","",VLOOKUP(Table2[[#This Row],[Description]],$Q$1:$S$101,3,FALSE))</f>
        <v/>
      </c>
      <c r="I8612" s="1" t="str">
        <f>IF(Table2[[#This Row],[Description]]="","",IF(Table2[[#This Row],[Currency]]=$O$2,$P$2,HLOOKUP(Table2[[#This Row],[Date]],Funds!$C$10:$GV$11,2,FALSE)))</f>
        <v/>
      </c>
      <c r="J8612" s="215" t="str">
        <f>IF(Table2[[#This Row],[Description]]="","",Table2[[#This Row],[Value]]/Table2[[#This Row],[Conversion]])</f>
        <v/>
      </c>
      <c r="K8612" s="45" t="str">
        <f>IF(Table2[[#This Row],[Description]]="","",DATE(Table2[[#This Row],[Year]],Table2[[#This Row],[Month]],1))</f>
        <v/>
      </c>
    </row>
    <row r="8613" spans="7:11" x14ac:dyDescent="0.25">
      <c r="G8613" s="1" t="str">
        <f>IF(Table2[[#This Row],[Description]]="","",VLOOKUP(Table2[[#This Row],[Description]],$Q$1:$S$101,2,FALSE))</f>
        <v/>
      </c>
      <c r="H8613" s="1" t="str">
        <f>IF(Table2[[#This Row],[Description]]="","",VLOOKUP(Table2[[#This Row],[Description]],$Q$1:$S$101,3,FALSE))</f>
        <v/>
      </c>
      <c r="I8613" s="1" t="str">
        <f>IF(Table2[[#This Row],[Description]]="","",IF(Table2[[#This Row],[Currency]]=$O$2,$P$2,HLOOKUP(Table2[[#This Row],[Date]],Funds!$C$10:$GV$11,2,FALSE)))</f>
        <v/>
      </c>
      <c r="J8613" s="215" t="str">
        <f>IF(Table2[[#This Row],[Description]]="","",Table2[[#This Row],[Value]]/Table2[[#This Row],[Conversion]])</f>
        <v/>
      </c>
      <c r="K8613" s="45" t="str">
        <f>IF(Table2[[#This Row],[Description]]="","",DATE(Table2[[#This Row],[Year]],Table2[[#This Row],[Month]],1))</f>
        <v/>
      </c>
    </row>
    <row r="8614" spans="7:11" x14ac:dyDescent="0.25">
      <c r="G8614" s="1" t="str">
        <f>IF(Table2[[#This Row],[Description]]="","",VLOOKUP(Table2[[#This Row],[Description]],$Q$1:$S$101,2,FALSE))</f>
        <v/>
      </c>
      <c r="H8614" s="1" t="str">
        <f>IF(Table2[[#This Row],[Description]]="","",VLOOKUP(Table2[[#This Row],[Description]],$Q$1:$S$101,3,FALSE))</f>
        <v/>
      </c>
      <c r="I8614" s="1" t="str">
        <f>IF(Table2[[#This Row],[Description]]="","",IF(Table2[[#This Row],[Currency]]=$O$2,$P$2,HLOOKUP(Table2[[#This Row],[Date]],Funds!$C$10:$GV$11,2,FALSE)))</f>
        <v/>
      </c>
      <c r="J8614" s="215" t="str">
        <f>IF(Table2[[#This Row],[Description]]="","",Table2[[#This Row],[Value]]/Table2[[#This Row],[Conversion]])</f>
        <v/>
      </c>
      <c r="K8614" s="45" t="str">
        <f>IF(Table2[[#This Row],[Description]]="","",DATE(Table2[[#This Row],[Year]],Table2[[#This Row],[Month]],1))</f>
        <v/>
      </c>
    </row>
    <row r="8615" spans="7:11" x14ac:dyDescent="0.25">
      <c r="G8615" s="1" t="str">
        <f>IF(Table2[[#This Row],[Description]]="","",VLOOKUP(Table2[[#This Row],[Description]],$Q$1:$S$101,2,FALSE))</f>
        <v/>
      </c>
      <c r="H8615" s="1" t="str">
        <f>IF(Table2[[#This Row],[Description]]="","",VLOOKUP(Table2[[#This Row],[Description]],$Q$1:$S$101,3,FALSE))</f>
        <v/>
      </c>
      <c r="I8615" s="1" t="str">
        <f>IF(Table2[[#This Row],[Description]]="","",IF(Table2[[#This Row],[Currency]]=$O$2,$P$2,HLOOKUP(Table2[[#This Row],[Date]],Funds!$C$10:$GV$11,2,FALSE)))</f>
        <v/>
      </c>
      <c r="J8615" s="215" t="str">
        <f>IF(Table2[[#This Row],[Description]]="","",Table2[[#This Row],[Value]]/Table2[[#This Row],[Conversion]])</f>
        <v/>
      </c>
      <c r="K8615" s="45" t="str">
        <f>IF(Table2[[#This Row],[Description]]="","",DATE(Table2[[#This Row],[Year]],Table2[[#This Row],[Month]],1))</f>
        <v/>
      </c>
    </row>
    <row r="8616" spans="7:11" x14ac:dyDescent="0.25">
      <c r="G8616" s="1" t="str">
        <f>IF(Table2[[#This Row],[Description]]="","",VLOOKUP(Table2[[#This Row],[Description]],$Q$1:$S$101,2,FALSE))</f>
        <v/>
      </c>
      <c r="H8616" s="1" t="str">
        <f>IF(Table2[[#This Row],[Description]]="","",VLOOKUP(Table2[[#This Row],[Description]],$Q$1:$S$101,3,FALSE))</f>
        <v/>
      </c>
      <c r="I8616" s="1" t="str">
        <f>IF(Table2[[#This Row],[Description]]="","",IF(Table2[[#This Row],[Currency]]=$O$2,$P$2,HLOOKUP(Table2[[#This Row],[Date]],Funds!$C$10:$GV$11,2,FALSE)))</f>
        <v/>
      </c>
      <c r="J8616" s="215" t="str">
        <f>IF(Table2[[#This Row],[Description]]="","",Table2[[#This Row],[Value]]/Table2[[#This Row],[Conversion]])</f>
        <v/>
      </c>
      <c r="K8616" s="45" t="str">
        <f>IF(Table2[[#This Row],[Description]]="","",DATE(Table2[[#This Row],[Year]],Table2[[#This Row],[Month]],1))</f>
        <v/>
      </c>
    </row>
    <row r="8617" spans="7:11" x14ac:dyDescent="0.25">
      <c r="G8617" s="1" t="str">
        <f>IF(Table2[[#This Row],[Description]]="","",VLOOKUP(Table2[[#This Row],[Description]],$Q$1:$S$101,2,FALSE))</f>
        <v/>
      </c>
      <c r="H8617" s="1" t="str">
        <f>IF(Table2[[#This Row],[Description]]="","",VLOOKUP(Table2[[#This Row],[Description]],$Q$1:$S$101,3,FALSE))</f>
        <v/>
      </c>
      <c r="I8617" s="1" t="str">
        <f>IF(Table2[[#This Row],[Description]]="","",IF(Table2[[#This Row],[Currency]]=$O$2,$P$2,HLOOKUP(Table2[[#This Row],[Date]],Funds!$C$10:$GV$11,2,FALSE)))</f>
        <v/>
      </c>
      <c r="J8617" s="215" t="str">
        <f>IF(Table2[[#This Row],[Description]]="","",Table2[[#This Row],[Value]]/Table2[[#This Row],[Conversion]])</f>
        <v/>
      </c>
      <c r="K8617" s="45" t="str">
        <f>IF(Table2[[#This Row],[Description]]="","",DATE(Table2[[#This Row],[Year]],Table2[[#This Row],[Month]],1))</f>
        <v/>
      </c>
    </row>
    <row r="8618" spans="7:11" x14ac:dyDescent="0.25">
      <c r="G8618" s="1" t="str">
        <f>IF(Table2[[#This Row],[Description]]="","",VLOOKUP(Table2[[#This Row],[Description]],$Q$1:$S$101,2,FALSE))</f>
        <v/>
      </c>
      <c r="H8618" s="1" t="str">
        <f>IF(Table2[[#This Row],[Description]]="","",VLOOKUP(Table2[[#This Row],[Description]],$Q$1:$S$101,3,FALSE))</f>
        <v/>
      </c>
      <c r="I8618" s="1" t="str">
        <f>IF(Table2[[#This Row],[Description]]="","",IF(Table2[[#This Row],[Currency]]=$O$2,$P$2,HLOOKUP(Table2[[#This Row],[Date]],Funds!$C$10:$GV$11,2,FALSE)))</f>
        <v/>
      </c>
      <c r="J8618" s="215" t="str">
        <f>IF(Table2[[#This Row],[Description]]="","",Table2[[#This Row],[Value]]/Table2[[#This Row],[Conversion]])</f>
        <v/>
      </c>
      <c r="K8618" s="45" t="str">
        <f>IF(Table2[[#This Row],[Description]]="","",DATE(Table2[[#This Row],[Year]],Table2[[#This Row],[Month]],1))</f>
        <v/>
      </c>
    </row>
    <row r="8619" spans="7:11" x14ac:dyDescent="0.25">
      <c r="G8619" s="1" t="str">
        <f>IF(Table2[[#This Row],[Description]]="","",VLOOKUP(Table2[[#This Row],[Description]],$Q$1:$S$101,2,FALSE))</f>
        <v/>
      </c>
      <c r="H8619" s="1" t="str">
        <f>IF(Table2[[#This Row],[Description]]="","",VLOOKUP(Table2[[#This Row],[Description]],$Q$1:$S$101,3,FALSE))</f>
        <v/>
      </c>
      <c r="I8619" s="1" t="str">
        <f>IF(Table2[[#This Row],[Description]]="","",IF(Table2[[#This Row],[Currency]]=$O$2,$P$2,HLOOKUP(Table2[[#This Row],[Date]],Funds!$C$10:$GV$11,2,FALSE)))</f>
        <v/>
      </c>
      <c r="J8619" s="215" t="str">
        <f>IF(Table2[[#This Row],[Description]]="","",Table2[[#This Row],[Value]]/Table2[[#This Row],[Conversion]])</f>
        <v/>
      </c>
      <c r="K8619" s="45" t="str">
        <f>IF(Table2[[#This Row],[Description]]="","",DATE(Table2[[#This Row],[Year]],Table2[[#This Row],[Month]],1))</f>
        <v/>
      </c>
    </row>
    <row r="8620" spans="7:11" x14ac:dyDescent="0.25">
      <c r="G8620" s="1" t="str">
        <f>IF(Table2[[#This Row],[Description]]="","",VLOOKUP(Table2[[#This Row],[Description]],$Q$1:$S$101,2,FALSE))</f>
        <v/>
      </c>
      <c r="H8620" s="1" t="str">
        <f>IF(Table2[[#This Row],[Description]]="","",VLOOKUP(Table2[[#This Row],[Description]],$Q$1:$S$101,3,FALSE))</f>
        <v/>
      </c>
      <c r="I8620" s="1" t="str">
        <f>IF(Table2[[#This Row],[Description]]="","",IF(Table2[[#This Row],[Currency]]=$O$2,$P$2,HLOOKUP(Table2[[#This Row],[Date]],Funds!$C$10:$GV$11,2,FALSE)))</f>
        <v/>
      </c>
      <c r="J8620" s="215" t="str">
        <f>IF(Table2[[#This Row],[Description]]="","",Table2[[#This Row],[Value]]/Table2[[#This Row],[Conversion]])</f>
        <v/>
      </c>
      <c r="K8620" s="45" t="str">
        <f>IF(Table2[[#This Row],[Description]]="","",DATE(Table2[[#This Row],[Year]],Table2[[#This Row],[Month]],1))</f>
        <v/>
      </c>
    </row>
    <row r="8621" spans="7:11" x14ac:dyDescent="0.25">
      <c r="G8621" s="1" t="str">
        <f>IF(Table2[[#This Row],[Description]]="","",VLOOKUP(Table2[[#This Row],[Description]],$Q$1:$S$101,2,FALSE))</f>
        <v/>
      </c>
      <c r="H8621" s="1" t="str">
        <f>IF(Table2[[#This Row],[Description]]="","",VLOOKUP(Table2[[#This Row],[Description]],$Q$1:$S$101,3,FALSE))</f>
        <v/>
      </c>
      <c r="I8621" s="1" t="str">
        <f>IF(Table2[[#This Row],[Description]]="","",IF(Table2[[#This Row],[Currency]]=$O$2,$P$2,HLOOKUP(Table2[[#This Row],[Date]],Funds!$C$10:$GV$11,2,FALSE)))</f>
        <v/>
      </c>
      <c r="J8621" s="215" t="str">
        <f>IF(Table2[[#This Row],[Description]]="","",Table2[[#This Row],[Value]]/Table2[[#This Row],[Conversion]])</f>
        <v/>
      </c>
      <c r="K8621" s="45" t="str">
        <f>IF(Table2[[#This Row],[Description]]="","",DATE(Table2[[#This Row],[Year]],Table2[[#This Row],[Month]],1))</f>
        <v/>
      </c>
    </row>
    <row r="8622" spans="7:11" x14ac:dyDescent="0.25">
      <c r="G8622" s="1" t="str">
        <f>IF(Table2[[#This Row],[Description]]="","",VLOOKUP(Table2[[#This Row],[Description]],$Q$1:$S$101,2,FALSE))</f>
        <v/>
      </c>
      <c r="H8622" s="1" t="str">
        <f>IF(Table2[[#This Row],[Description]]="","",VLOOKUP(Table2[[#This Row],[Description]],$Q$1:$S$101,3,FALSE))</f>
        <v/>
      </c>
      <c r="I8622" s="1" t="str">
        <f>IF(Table2[[#This Row],[Description]]="","",IF(Table2[[#This Row],[Currency]]=$O$2,$P$2,HLOOKUP(Table2[[#This Row],[Date]],Funds!$C$10:$GV$11,2,FALSE)))</f>
        <v/>
      </c>
      <c r="J8622" s="215" t="str">
        <f>IF(Table2[[#This Row],[Description]]="","",Table2[[#This Row],[Value]]/Table2[[#This Row],[Conversion]])</f>
        <v/>
      </c>
      <c r="K8622" s="45" t="str">
        <f>IF(Table2[[#This Row],[Description]]="","",DATE(Table2[[#This Row],[Year]],Table2[[#This Row],[Month]],1))</f>
        <v/>
      </c>
    </row>
    <row r="8623" spans="7:11" x14ac:dyDescent="0.25">
      <c r="G8623" s="1" t="str">
        <f>IF(Table2[[#This Row],[Description]]="","",VLOOKUP(Table2[[#This Row],[Description]],$Q$1:$S$101,2,FALSE))</f>
        <v/>
      </c>
      <c r="H8623" s="1" t="str">
        <f>IF(Table2[[#This Row],[Description]]="","",VLOOKUP(Table2[[#This Row],[Description]],$Q$1:$S$101,3,FALSE))</f>
        <v/>
      </c>
      <c r="I8623" s="1" t="str">
        <f>IF(Table2[[#This Row],[Description]]="","",IF(Table2[[#This Row],[Currency]]=$O$2,$P$2,HLOOKUP(Table2[[#This Row],[Date]],Funds!$C$10:$GV$11,2,FALSE)))</f>
        <v/>
      </c>
      <c r="J8623" s="215" t="str">
        <f>IF(Table2[[#This Row],[Description]]="","",Table2[[#This Row],[Value]]/Table2[[#This Row],[Conversion]])</f>
        <v/>
      </c>
      <c r="K8623" s="45" t="str">
        <f>IF(Table2[[#This Row],[Description]]="","",DATE(Table2[[#This Row],[Year]],Table2[[#This Row],[Month]],1))</f>
        <v/>
      </c>
    </row>
    <row r="8624" spans="7:11" x14ac:dyDescent="0.25">
      <c r="G8624" s="1" t="str">
        <f>IF(Table2[[#This Row],[Description]]="","",VLOOKUP(Table2[[#This Row],[Description]],$Q$1:$S$101,2,FALSE))</f>
        <v/>
      </c>
      <c r="H8624" s="1" t="str">
        <f>IF(Table2[[#This Row],[Description]]="","",VLOOKUP(Table2[[#This Row],[Description]],$Q$1:$S$101,3,FALSE))</f>
        <v/>
      </c>
      <c r="I8624" s="1" t="str">
        <f>IF(Table2[[#This Row],[Description]]="","",IF(Table2[[#This Row],[Currency]]=$O$2,$P$2,HLOOKUP(Table2[[#This Row],[Date]],Funds!$C$10:$GV$11,2,FALSE)))</f>
        <v/>
      </c>
      <c r="J8624" s="215" t="str">
        <f>IF(Table2[[#This Row],[Description]]="","",Table2[[#This Row],[Value]]/Table2[[#This Row],[Conversion]])</f>
        <v/>
      </c>
      <c r="K8624" s="45" t="str">
        <f>IF(Table2[[#This Row],[Description]]="","",DATE(Table2[[#This Row],[Year]],Table2[[#This Row],[Month]],1))</f>
        <v/>
      </c>
    </row>
    <row r="8625" spans="7:11" x14ac:dyDescent="0.25">
      <c r="G8625" s="1" t="str">
        <f>IF(Table2[[#This Row],[Description]]="","",VLOOKUP(Table2[[#This Row],[Description]],$Q$1:$S$101,2,FALSE))</f>
        <v/>
      </c>
      <c r="H8625" s="1" t="str">
        <f>IF(Table2[[#This Row],[Description]]="","",VLOOKUP(Table2[[#This Row],[Description]],$Q$1:$S$101,3,FALSE))</f>
        <v/>
      </c>
      <c r="I8625" s="1" t="str">
        <f>IF(Table2[[#This Row],[Description]]="","",IF(Table2[[#This Row],[Currency]]=$O$2,$P$2,HLOOKUP(Table2[[#This Row],[Date]],Funds!$C$10:$GV$11,2,FALSE)))</f>
        <v/>
      </c>
      <c r="J8625" s="215" t="str">
        <f>IF(Table2[[#This Row],[Description]]="","",Table2[[#This Row],[Value]]/Table2[[#This Row],[Conversion]])</f>
        <v/>
      </c>
      <c r="K8625" s="45" t="str">
        <f>IF(Table2[[#This Row],[Description]]="","",DATE(Table2[[#This Row],[Year]],Table2[[#This Row],[Month]],1))</f>
        <v/>
      </c>
    </row>
    <row r="8626" spans="7:11" x14ac:dyDescent="0.25">
      <c r="G8626" s="1" t="str">
        <f>IF(Table2[[#This Row],[Description]]="","",VLOOKUP(Table2[[#This Row],[Description]],$Q$1:$S$101,2,FALSE))</f>
        <v/>
      </c>
      <c r="H8626" s="1" t="str">
        <f>IF(Table2[[#This Row],[Description]]="","",VLOOKUP(Table2[[#This Row],[Description]],$Q$1:$S$101,3,FALSE))</f>
        <v/>
      </c>
      <c r="I8626" s="1" t="str">
        <f>IF(Table2[[#This Row],[Description]]="","",IF(Table2[[#This Row],[Currency]]=$O$2,$P$2,HLOOKUP(Table2[[#This Row],[Date]],Funds!$C$10:$GV$11,2,FALSE)))</f>
        <v/>
      </c>
      <c r="J8626" s="215" t="str">
        <f>IF(Table2[[#This Row],[Description]]="","",Table2[[#This Row],[Value]]/Table2[[#This Row],[Conversion]])</f>
        <v/>
      </c>
      <c r="K8626" s="45" t="str">
        <f>IF(Table2[[#This Row],[Description]]="","",DATE(Table2[[#This Row],[Year]],Table2[[#This Row],[Month]],1))</f>
        <v/>
      </c>
    </row>
    <row r="8627" spans="7:11" x14ac:dyDescent="0.25">
      <c r="G8627" s="1" t="str">
        <f>IF(Table2[[#This Row],[Description]]="","",VLOOKUP(Table2[[#This Row],[Description]],$Q$1:$S$101,2,FALSE))</f>
        <v/>
      </c>
      <c r="H8627" s="1" t="str">
        <f>IF(Table2[[#This Row],[Description]]="","",VLOOKUP(Table2[[#This Row],[Description]],$Q$1:$S$101,3,FALSE))</f>
        <v/>
      </c>
      <c r="I8627" s="1" t="str">
        <f>IF(Table2[[#This Row],[Description]]="","",IF(Table2[[#This Row],[Currency]]=$O$2,$P$2,HLOOKUP(Table2[[#This Row],[Date]],Funds!$C$10:$GV$11,2,FALSE)))</f>
        <v/>
      </c>
      <c r="J8627" s="215" t="str">
        <f>IF(Table2[[#This Row],[Description]]="","",Table2[[#This Row],[Value]]/Table2[[#This Row],[Conversion]])</f>
        <v/>
      </c>
      <c r="K8627" s="45" t="str">
        <f>IF(Table2[[#This Row],[Description]]="","",DATE(Table2[[#This Row],[Year]],Table2[[#This Row],[Month]],1))</f>
        <v/>
      </c>
    </row>
    <row r="8628" spans="7:11" x14ac:dyDescent="0.25">
      <c r="G8628" s="1" t="str">
        <f>IF(Table2[[#This Row],[Description]]="","",VLOOKUP(Table2[[#This Row],[Description]],$Q$1:$S$101,2,FALSE))</f>
        <v/>
      </c>
      <c r="H8628" s="1" t="str">
        <f>IF(Table2[[#This Row],[Description]]="","",VLOOKUP(Table2[[#This Row],[Description]],$Q$1:$S$101,3,FALSE))</f>
        <v/>
      </c>
      <c r="I8628" s="1" t="str">
        <f>IF(Table2[[#This Row],[Description]]="","",IF(Table2[[#This Row],[Currency]]=$O$2,$P$2,HLOOKUP(Table2[[#This Row],[Date]],Funds!$C$10:$GV$11,2,FALSE)))</f>
        <v/>
      </c>
      <c r="J8628" s="215" t="str">
        <f>IF(Table2[[#This Row],[Description]]="","",Table2[[#This Row],[Value]]/Table2[[#This Row],[Conversion]])</f>
        <v/>
      </c>
      <c r="K8628" s="45" t="str">
        <f>IF(Table2[[#This Row],[Description]]="","",DATE(Table2[[#This Row],[Year]],Table2[[#This Row],[Month]],1))</f>
        <v/>
      </c>
    </row>
    <row r="8629" spans="7:11" x14ac:dyDescent="0.25">
      <c r="G8629" s="1" t="str">
        <f>IF(Table2[[#This Row],[Description]]="","",VLOOKUP(Table2[[#This Row],[Description]],$Q$1:$S$101,2,FALSE))</f>
        <v/>
      </c>
      <c r="H8629" s="1" t="str">
        <f>IF(Table2[[#This Row],[Description]]="","",VLOOKUP(Table2[[#This Row],[Description]],$Q$1:$S$101,3,FALSE))</f>
        <v/>
      </c>
      <c r="I8629" s="1" t="str">
        <f>IF(Table2[[#This Row],[Description]]="","",IF(Table2[[#This Row],[Currency]]=$O$2,$P$2,HLOOKUP(Table2[[#This Row],[Date]],Funds!$C$10:$GV$11,2,FALSE)))</f>
        <v/>
      </c>
      <c r="J8629" s="215" t="str">
        <f>IF(Table2[[#This Row],[Description]]="","",Table2[[#This Row],[Value]]/Table2[[#This Row],[Conversion]])</f>
        <v/>
      </c>
      <c r="K8629" s="45" t="str">
        <f>IF(Table2[[#This Row],[Description]]="","",DATE(Table2[[#This Row],[Year]],Table2[[#This Row],[Month]],1))</f>
        <v/>
      </c>
    </row>
    <row r="8630" spans="7:11" x14ac:dyDescent="0.25">
      <c r="G8630" s="1" t="str">
        <f>IF(Table2[[#This Row],[Description]]="","",VLOOKUP(Table2[[#This Row],[Description]],$Q$1:$S$101,2,FALSE))</f>
        <v/>
      </c>
      <c r="H8630" s="1" t="str">
        <f>IF(Table2[[#This Row],[Description]]="","",VLOOKUP(Table2[[#This Row],[Description]],$Q$1:$S$101,3,FALSE))</f>
        <v/>
      </c>
      <c r="I8630" s="1" t="str">
        <f>IF(Table2[[#This Row],[Description]]="","",IF(Table2[[#This Row],[Currency]]=$O$2,$P$2,HLOOKUP(Table2[[#This Row],[Date]],Funds!$C$10:$GV$11,2,FALSE)))</f>
        <v/>
      </c>
      <c r="J8630" s="215" t="str">
        <f>IF(Table2[[#This Row],[Description]]="","",Table2[[#This Row],[Value]]/Table2[[#This Row],[Conversion]])</f>
        <v/>
      </c>
      <c r="K8630" s="45" t="str">
        <f>IF(Table2[[#This Row],[Description]]="","",DATE(Table2[[#This Row],[Year]],Table2[[#This Row],[Month]],1))</f>
        <v/>
      </c>
    </row>
    <row r="8631" spans="7:11" x14ac:dyDescent="0.25">
      <c r="G8631" s="1" t="str">
        <f>IF(Table2[[#This Row],[Description]]="","",VLOOKUP(Table2[[#This Row],[Description]],$Q$1:$S$101,2,FALSE))</f>
        <v/>
      </c>
      <c r="H8631" s="1" t="str">
        <f>IF(Table2[[#This Row],[Description]]="","",VLOOKUP(Table2[[#This Row],[Description]],$Q$1:$S$101,3,FALSE))</f>
        <v/>
      </c>
      <c r="I8631" s="1" t="str">
        <f>IF(Table2[[#This Row],[Description]]="","",IF(Table2[[#This Row],[Currency]]=$O$2,$P$2,HLOOKUP(Table2[[#This Row],[Date]],Funds!$C$10:$GV$11,2,FALSE)))</f>
        <v/>
      </c>
      <c r="J8631" s="215" t="str">
        <f>IF(Table2[[#This Row],[Description]]="","",Table2[[#This Row],[Value]]/Table2[[#This Row],[Conversion]])</f>
        <v/>
      </c>
      <c r="K8631" s="45" t="str">
        <f>IF(Table2[[#This Row],[Description]]="","",DATE(Table2[[#This Row],[Year]],Table2[[#This Row],[Month]],1))</f>
        <v/>
      </c>
    </row>
    <row r="8632" spans="7:11" x14ac:dyDescent="0.25">
      <c r="G8632" s="1" t="str">
        <f>IF(Table2[[#This Row],[Description]]="","",VLOOKUP(Table2[[#This Row],[Description]],$Q$1:$S$101,2,FALSE))</f>
        <v/>
      </c>
      <c r="H8632" s="1" t="str">
        <f>IF(Table2[[#This Row],[Description]]="","",VLOOKUP(Table2[[#This Row],[Description]],$Q$1:$S$101,3,FALSE))</f>
        <v/>
      </c>
      <c r="I8632" s="1" t="str">
        <f>IF(Table2[[#This Row],[Description]]="","",IF(Table2[[#This Row],[Currency]]=$O$2,$P$2,HLOOKUP(Table2[[#This Row],[Date]],Funds!$C$10:$GV$11,2,FALSE)))</f>
        <v/>
      </c>
      <c r="J8632" s="215" t="str">
        <f>IF(Table2[[#This Row],[Description]]="","",Table2[[#This Row],[Value]]/Table2[[#This Row],[Conversion]])</f>
        <v/>
      </c>
      <c r="K8632" s="45" t="str">
        <f>IF(Table2[[#This Row],[Description]]="","",DATE(Table2[[#This Row],[Year]],Table2[[#This Row],[Month]],1))</f>
        <v/>
      </c>
    </row>
    <row r="8633" spans="7:11" x14ac:dyDescent="0.25">
      <c r="G8633" s="1" t="str">
        <f>IF(Table2[[#This Row],[Description]]="","",VLOOKUP(Table2[[#This Row],[Description]],$Q$1:$S$101,2,FALSE))</f>
        <v/>
      </c>
      <c r="H8633" s="1" t="str">
        <f>IF(Table2[[#This Row],[Description]]="","",VLOOKUP(Table2[[#This Row],[Description]],$Q$1:$S$101,3,FALSE))</f>
        <v/>
      </c>
      <c r="I8633" s="1" t="str">
        <f>IF(Table2[[#This Row],[Description]]="","",IF(Table2[[#This Row],[Currency]]=$O$2,$P$2,HLOOKUP(Table2[[#This Row],[Date]],Funds!$C$10:$GV$11,2,FALSE)))</f>
        <v/>
      </c>
      <c r="J8633" s="215" t="str">
        <f>IF(Table2[[#This Row],[Description]]="","",Table2[[#This Row],[Value]]/Table2[[#This Row],[Conversion]])</f>
        <v/>
      </c>
      <c r="K8633" s="45" t="str">
        <f>IF(Table2[[#This Row],[Description]]="","",DATE(Table2[[#This Row],[Year]],Table2[[#This Row],[Month]],1))</f>
        <v/>
      </c>
    </row>
    <row r="8634" spans="7:11" x14ac:dyDescent="0.25">
      <c r="G8634" s="1" t="str">
        <f>IF(Table2[[#This Row],[Description]]="","",VLOOKUP(Table2[[#This Row],[Description]],$Q$1:$S$101,2,FALSE))</f>
        <v/>
      </c>
      <c r="H8634" s="1" t="str">
        <f>IF(Table2[[#This Row],[Description]]="","",VLOOKUP(Table2[[#This Row],[Description]],$Q$1:$S$101,3,FALSE))</f>
        <v/>
      </c>
      <c r="I8634" s="1" t="str">
        <f>IF(Table2[[#This Row],[Description]]="","",IF(Table2[[#This Row],[Currency]]=$O$2,$P$2,HLOOKUP(Table2[[#This Row],[Date]],Funds!$C$10:$GV$11,2,FALSE)))</f>
        <v/>
      </c>
      <c r="J8634" s="215" t="str">
        <f>IF(Table2[[#This Row],[Description]]="","",Table2[[#This Row],[Value]]/Table2[[#This Row],[Conversion]])</f>
        <v/>
      </c>
      <c r="K8634" s="45" t="str">
        <f>IF(Table2[[#This Row],[Description]]="","",DATE(Table2[[#This Row],[Year]],Table2[[#This Row],[Month]],1))</f>
        <v/>
      </c>
    </row>
    <row r="8635" spans="7:11" x14ac:dyDescent="0.25">
      <c r="G8635" s="1" t="str">
        <f>IF(Table2[[#This Row],[Description]]="","",VLOOKUP(Table2[[#This Row],[Description]],$Q$1:$S$101,2,FALSE))</f>
        <v/>
      </c>
      <c r="H8635" s="1" t="str">
        <f>IF(Table2[[#This Row],[Description]]="","",VLOOKUP(Table2[[#This Row],[Description]],$Q$1:$S$101,3,FALSE))</f>
        <v/>
      </c>
      <c r="I8635" s="1" t="str">
        <f>IF(Table2[[#This Row],[Description]]="","",IF(Table2[[#This Row],[Currency]]=$O$2,$P$2,HLOOKUP(Table2[[#This Row],[Date]],Funds!$C$10:$GV$11,2,FALSE)))</f>
        <v/>
      </c>
      <c r="J8635" s="215" t="str">
        <f>IF(Table2[[#This Row],[Description]]="","",Table2[[#This Row],[Value]]/Table2[[#This Row],[Conversion]])</f>
        <v/>
      </c>
      <c r="K8635" s="45" t="str">
        <f>IF(Table2[[#This Row],[Description]]="","",DATE(Table2[[#This Row],[Year]],Table2[[#This Row],[Month]],1))</f>
        <v/>
      </c>
    </row>
    <row r="8636" spans="7:11" x14ac:dyDescent="0.25">
      <c r="G8636" s="1" t="str">
        <f>IF(Table2[[#This Row],[Description]]="","",VLOOKUP(Table2[[#This Row],[Description]],$Q$1:$S$101,2,FALSE))</f>
        <v/>
      </c>
      <c r="H8636" s="1" t="str">
        <f>IF(Table2[[#This Row],[Description]]="","",VLOOKUP(Table2[[#This Row],[Description]],$Q$1:$S$101,3,FALSE))</f>
        <v/>
      </c>
      <c r="I8636" s="1" t="str">
        <f>IF(Table2[[#This Row],[Description]]="","",IF(Table2[[#This Row],[Currency]]=$O$2,$P$2,HLOOKUP(Table2[[#This Row],[Date]],Funds!$C$10:$GV$11,2,FALSE)))</f>
        <v/>
      </c>
      <c r="J8636" s="215" t="str">
        <f>IF(Table2[[#This Row],[Description]]="","",Table2[[#This Row],[Value]]/Table2[[#This Row],[Conversion]])</f>
        <v/>
      </c>
      <c r="K8636" s="45" t="str">
        <f>IF(Table2[[#This Row],[Description]]="","",DATE(Table2[[#This Row],[Year]],Table2[[#This Row],[Month]],1))</f>
        <v/>
      </c>
    </row>
    <row r="8637" spans="7:11" x14ac:dyDescent="0.25">
      <c r="G8637" s="1" t="str">
        <f>IF(Table2[[#This Row],[Description]]="","",VLOOKUP(Table2[[#This Row],[Description]],$Q$1:$S$101,2,FALSE))</f>
        <v/>
      </c>
      <c r="H8637" s="1" t="str">
        <f>IF(Table2[[#This Row],[Description]]="","",VLOOKUP(Table2[[#This Row],[Description]],$Q$1:$S$101,3,FALSE))</f>
        <v/>
      </c>
      <c r="I8637" s="1" t="str">
        <f>IF(Table2[[#This Row],[Description]]="","",IF(Table2[[#This Row],[Currency]]=$O$2,$P$2,HLOOKUP(Table2[[#This Row],[Date]],Funds!$C$10:$GV$11,2,FALSE)))</f>
        <v/>
      </c>
      <c r="J8637" s="215" t="str">
        <f>IF(Table2[[#This Row],[Description]]="","",Table2[[#This Row],[Value]]/Table2[[#This Row],[Conversion]])</f>
        <v/>
      </c>
      <c r="K8637" s="45" t="str">
        <f>IF(Table2[[#This Row],[Description]]="","",DATE(Table2[[#This Row],[Year]],Table2[[#This Row],[Month]],1))</f>
        <v/>
      </c>
    </row>
    <row r="8638" spans="7:11" x14ac:dyDescent="0.25">
      <c r="G8638" s="1" t="str">
        <f>IF(Table2[[#This Row],[Description]]="","",VLOOKUP(Table2[[#This Row],[Description]],$Q$1:$S$101,2,FALSE))</f>
        <v/>
      </c>
      <c r="H8638" s="1" t="str">
        <f>IF(Table2[[#This Row],[Description]]="","",VLOOKUP(Table2[[#This Row],[Description]],$Q$1:$S$101,3,FALSE))</f>
        <v/>
      </c>
      <c r="I8638" s="1" t="str">
        <f>IF(Table2[[#This Row],[Description]]="","",IF(Table2[[#This Row],[Currency]]=$O$2,$P$2,HLOOKUP(Table2[[#This Row],[Date]],Funds!$C$10:$GV$11,2,FALSE)))</f>
        <v/>
      </c>
      <c r="J8638" s="215" t="str">
        <f>IF(Table2[[#This Row],[Description]]="","",Table2[[#This Row],[Value]]/Table2[[#This Row],[Conversion]])</f>
        <v/>
      </c>
      <c r="K8638" s="45" t="str">
        <f>IF(Table2[[#This Row],[Description]]="","",DATE(Table2[[#This Row],[Year]],Table2[[#This Row],[Month]],1))</f>
        <v/>
      </c>
    </row>
    <row r="8639" spans="7:11" x14ac:dyDescent="0.25">
      <c r="G8639" s="1" t="str">
        <f>IF(Table2[[#This Row],[Description]]="","",VLOOKUP(Table2[[#This Row],[Description]],$Q$1:$S$101,2,FALSE))</f>
        <v/>
      </c>
      <c r="H8639" s="1" t="str">
        <f>IF(Table2[[#This Row],[Description]]="","",VLOOKUP(Table2[[#This Row],[Description]],$Q$1:$S$101,3,FALSE))</f>
        <v/>
      </c>
      <c r="I8639" s="1" t="str">
        <f>IF(Table2[[#This Row],[Description]]="","",IF(Table2[[#This Row],[Currency]]=$O$2,$P$2,HLOOKUP(Table2[[#This Row],[Date]],Funds!$C$10:$GV$11,2,FALSE)))</f>
        <v/>
      </c>
      <c r="J8639" s="215" t="str">
        <f>IF(Table2[[#This Row],[Description]]="","",Table2[[#This Row],[Value]]/Table2[[#This Row],[Conversion]])</f>
        <v/>
      </c>
      <c r="K8639" s="45" t="str">
        <f>IF(Table2[[#This Row],[Description]]="","",DATE(Table2[[#This Row],[Year]],Table2[[#This Row],[Month]],1))</f>
        <v/>
      </c>
    </row>
    <row r="8640" spans="7:11" x14ac:dyDescent="0.25">
      <c r="G8640" s="1" t="str">
        <f>IF(Table2[[#This Row],[Description]]="","",VLOOKUP(Table2[[#This Row],[Description]],$Q$1:$S$101,2,FALSE))</f>
        <v/>
      </c>
      <c r="H8640" s="1" t="str">
        <f>IF(Table2[[#This Row],[Description]]="","",VLOOKUP(Table2[[#This Row],[Description]],$Q$1:$S$101,3,FALSE))</f>
        <v/>
      </c>
      <c r="I8640" s="1" t="str">
        <f>IF(Table2[[#This Row],[Description]]="","",IF(Table2[[#This Row],[Currency]]=$O$2,$P$2,HLOOKUP(Table2[[#This Row],[Date]],Funds!$C$10:$GV$11,2,FALSE)))</f>
        <v/>
      </c>
      <c r="J8640" s="215" t="str">
        <f>IF(Table2[[#This Row],[Description]]="","",Table2[[#This Row],[Value]]/Table2[[#This Row],[Conversion]])</f>
        <v/>
      </c>
      <c r="K8640" s="45" t="str">
        <f>IF(Table2[[#This Row],[Description]]="","",DATE(Table2[[#This Row],[Year]],Table2[[#This Row],[Month]],1))</f>
        <v/>
      </c>
    </row>
    <row r="8641" spans="7:11" x14ac:dyDescent="0.25">
      <c r="G8641" s="1" t="str">
        <f>IF(Table2[[#This Row],[Description]]="","",VLOOKUP(Table2[[#This Row],[Description]],$Q$1:$S$101,2,FALSE))</f>
        <v/>
      </c>
      <c r="H8641" s="1" t="str">
        <f>IF(Table2[[#This Row],[Description]]="","",VLOOKUP(Table2[[#This Row],[Description]],$Q$1:$S$101,3,FALSE))</f>
        <v/>
      </c>
      <c r="I8641" s="1" t="str">
        <f>IF(Table2[[#This Row],[Description]]="","",IF(Table2[[#This Row],[Currency]]=$O$2,$P$2,HLOOKUP(Table2[[#This Row],[Date]],Funds!$C$10:$GV$11,2,FALSE)))</f>
        <v/>
      </c>
      <c r="J8641" s="215" t="str">
        <f>IF(Table2[[#This Row],[Description]]="","",Table2[[#This Row],[Value]]/Table2[[#This Row],[Conversion]])</f>
        <v/>
      </c>
      <c r="K8641" s="45" t="str">
        <f>IF(Table2[[#This Row],[Description]]="","",DATE(Table2[[#This Row],[Year]],Table2[[#This Row],[Month]],1))</f>
        <v/>
      </c>
    </row>
    <row r="8642" spans="7:11" x14ac:dyDescent="0.25">
      <c r="G8642" s="1" t="str">
        <f>IF(Table2[[#This Row],[Description]]="","",VLOOKUP(Table2[[#This Row],[Description]],$Q$1:$S$101,2,FALSE))</f>
        <v/>
      </c>
      <c r="H8642" s="1" t="str">
        <f>IF(Table2[[#This Row],[Description]]="","",VLOOKUP(Table2[[#This Row],[Description]],$Q$1:$S$101,3,FALSE))</f>
        <v/>
      </c>
      <c r="I8642" s="1" t="str">
        <f>IF(Table2[[#This Row],[Description]]="","",IF(Table2[[#This Row],[Currency]]=$O$2,$P$2,HLOOKUP(Table2[[#This Row],[Date]],Funds!$C$10:$GV$11,2,FALSE)))</f>
        <v/>
      </c>
      <c r="J8642" s="215" t="str">
        <f>IF(Table2[[#This Row],[Description]]="","",Table2[[#This Row],[Value]]/Table2[[#This Row],[Conversion]])</f>
        <v/>
      </c>
      <c r="K8642" s="45" t="str">
        <f>IF(Table2[[#This Row],[Description]]="","",DATE(Table2[[#This Row],[Year]],Table2[[#This Row],[Month]],1))</f>
        <v/>
      </c>
    </row>
    <row r="8643" spans="7:11" x14ac:dyDescent="0.25">
      <c r="G8643" s="1" t="str">
        <f>IF(Table2[[#This Row],[Description]]="","",VLOOKUP(Table2[[#This Row],[Description]],$Q$1:$S$101,2,FALSE))</f>
        <v/>
      </c>
      <c r="H8643" s="1" t="str">
        <f>IF(Table2[[#This Row],[Description]]="","",VLOOKUP(Table2[[#This Row],[Description]],$Q$1:$S$101,3,FALSE))</f>
        <v/>
      </c>
      <c r="I8643" s="1" t="str">
        <f>IF(Table2[[#This Row],[Description]]="","",IF(Table2[[#This Row],[Currency]]=$O$2,$P$2,HLOOKUP(Table2[[#This Row],[Date]],Funds!$C$10:$GV$11,2,FALSE)))</f>
        <v/>
      </c>
      <c r="J8643" s="215" t="str">
        <f>IF(Table2[[#This Row],[Description]]="","",Table2[[#This Row],[Value]]/Table2[[#This Row],[Conversion]])</f>
        <v/>
      </c>
      <c r="K8643" s="45" t="str">
        <f>IF(Table2[[#This Row],[Description]]="","",DATE(Table2[[#This Row],[Year]],Table2[[#This Row],[Month]],1))</f>
        <v/>
      </c>
    </row>
    <row r="8644" spans="7:11" x14ac:dyDescent="0.25">
      <c r="G8644" s="1" t="str">
        <f>IF(Table2[[#This Row],[Description]]="","",VLOOKUP(Table2[[#This Row],[Description]],$Q$1:$S$101,2,FALSE))</f>
        <v/>
      </c>
      <c r="H8644" s="1" t="str">
        <f>IF(Table2[[#This Row],[Description]]="","",VLOOKUP(Table2[[#This Row],[Description]],$Q$1:$S$101,3,FALSE))</f>
        <v/>
      </c>
      <c r="I8644" s="1" t="str">
        <f>IF(Table2[[#This Row],[Description]]="","",IF(Table2[[#This Row],[Currency]]=$O$2,$P$2,HLOOKUP(Table2[[#This Row],[Date]],Funds!$C$10:$GV$11,2,FALSE)))</f>
        <v/>
      </c>
      <c r="J8644" s="215" t="str">
        <f>IF(Table2[[#This Row],[Description]]="","",Table2[[#This Row],[Value]]/Table2[[#This Row],[Conversion]])</f>
        <v/>
      </c>
      <c r="K8644" s="45" t="str">
        <f>IF(Table2[[#This Row],[Description]]="","",DATE(Table2[[#This Row],[Year]],Table2[[#This Row],[Month]],1))</f>
        <v/>
      </c>
    </row>
    <row r="8645" spans="7:11" x14ac:dyDescent="0.25">
      <c r="G8645" s="1" t="str">
        <f>IF(Table2[[#This Row],[Description]]="","",VLOOKUP(Table2[[#This Row],[Description]],$Q$1:$S$101,2,FALSE))</f>
        <v/>
      </c>
      <c r="H8645" s="1" t="str">
        <f>IF(Table2[[#This Row],[Description]]="","",VLOOKUP(Table2[[#This Row],[Description]],$Q$1:$S$101,3,FALSE))</f>
        <v/>
      </c>
      <c r="I8645" s="1" t="str">
        <f>IF(Table2[[#This Row],[Description]]="","",IF(Table2[[#This Row],[Currency]]=$O$2,$P$2,HLOOKUP(Table2[[#This Row],[Date]],Funds!$C$10:$GV$11,2,FALSE)))</f>
        <v/>
      </c>
      <c r="J8645" s="215" t="str">
        <f>IF(Table2[[#This Row],[Description]]="","",Table2[[#This Row],[Value]]/Table2[[#This Row],[Conversion]])</f>
        <v/>
      </c>
      <c r="K8645" s="45" t="str">
        <f>IF(Table2[[#This Row],[Description]]="","",DATE(Table2[[#This Row],[Year]],Table2[[#This Row],[Month]],1))</f>
        <v/>
      </c>
    </row>
    <row r="8646" spans="7:11" x14ac:dyDescent="0.25">
      <c r="G8646" s="1" t="str">
        <f>IF(Table2[[#This Row],[Description]]="","",VLOOKUP(Table2[[#This Row],[Description]],$Q$1:$S$101,2,FALSE))</f>
        <v/>
      </c>
      <c r="H8646" s="1" t="str">
        <f>IF(Table2[[#This Row],[Description]]="","",VLOOKUP(Table2[[#This Row],[Description]],$Q$1:$S$101,3,FALSE))</f>
        <v/>
      </c>
      <c r="I8646" s="1" t="str">
        <f>IF(Table2[[#This Row],[Description]]="","",IF(Table2[[#This Row],[Currency]]=$O$2,$P$2,HLOOKUP(Table2[[#This Row],[Date]],Funds!$C$10:$GV$11,2,FALSE)))</f>
        <v/>
      </c>
      <c r="J8646" s="215" t="str">
        <f>IF(Table2[[#This Row],[Description]]="","",Table2[[#This Row],[Value]]/Table2[[#This Row],[Conversion]])</f>
        <v/>
      </c>
      <c r="K8646" s="45" t="str">
        <f>IF(Table2[[#This Row],[Description]]="","",DATE(Table2[[#This Row],[Year]],Table2[[#This Row],[Month]],1))</f>
        <v/>
      </c>
    </row>
    <row r="8647" spans="7:11" x14ac:dyDescent="0.25">
      <c r="G8647" s="1" t="str">
        <f>IF(Table2[[#This Row],[Description]]="","",VLOOKUP(Table2[[#This Row],[Description]],$Q$1:$S$101,2,FALSE))</f>
        <v/>
      </c>
      <c r="H8647" s="1" t="str">
        <f>IF(Table2[[#This Row],[Description]]="","",VLOOKUP(Table2[[#This Row],[Description]],$Q$1:$S$101,3,FALSE))</f>
        <v/>
      </c>
      <c r="I8647" s="1" t="str">
        <f>IF(Table2[[#This Row],[Description]]="","",IF(Table2[[#This Row],[Currency]]=$O$2,$P$2,HLOOKUP(Table2[[#This Row],[Date]],Funds!$C$10:$GV$11,2,FALSE)))</f>
        <v/>
      </c>
      <c r="J8647" s="215" t="str">
        <f>IF(Table2[[#This Row],[Description]]="","",Table2[[#This Row],[Value]]/Table2[[#This Row],[Conversion]])</f>
        <v/>
      </c>
      <c r="K8647" s="45" t="str">
        <f>IF(Table2[[#This Row],[Description]]="","",DATE(Table2[[#This Row],[Year]],Table2[[#This Row],[Month]],1))</f>
        <v/>
      </c>
    </row>
    <row r="8648" spans="7:11" x14ac:dyDescent="0.25">
      <c r="G8648" s="1" t="str">
        <f>IF(Table2[[#This Row],[Description]]="","",VLOOKUP(Table2[[#This Row],[Description]],$Q$1:$S$101,2,FALSE))</f>
        <v/>
      </c>
      <c r="H8648" s="1" t="str">
        <f>IF(Table2[[#This Row],[Description]]="","",VLOOKUP(Table2[[#This Row],[Description]],$Q$1:$S$101,3,FALSE))</f>
        <v/>
      </c>
      <c r="I8648" s="1" t="str">
        <f>IF(Table2[[#This Row],[Description]]="","",IF(Table2[[#This Row],[Currency]]=$O$2,$P$2,HLOOKUP(Table2[[#This Row],[Date]],Funds!$C$10:$GV$11,2,FALSE)))</f>
        <v/>
      </c>
      <c r="J8648" s="215" t="str">
        <f>IF(Table2[[#This Row],[Description]]="","",Table2[[#This Row],[Value]]/Table2[[#This Row],[Conversion]])</f>
        <v/>
      </c>
      <c r="K8648" s="45" t="str">
        <f>IF(Table2[[#This Row],[Description]]="","",DATE(Table2[[#This Row],[Year]],Table2[[#This Row],[Month]],1))</f>
        <v/>
      </c>
    </row>
    <row r="8649" spans="7:11" x14ac:dyDescent="0.25">
      <c r="G8649" s="1" t="str">
        <f>IF(Table2[[#This Row],[Description]]="","",VLOOKUP(Table2[[#This Row],[Description]],$Q$1:$S$101,2,FALSE))</f>
        <v/>
      </c>
      <c r="H8649" s="1" t="str">
        <f>IF(Table2[[#This Row],[Description]]="","",VLOOKUP(Table2[[#This Row],[Description]],$Q$1:$S$101,3,FALSE))</f>
        <v/>
      </c>
      <c r="I8649" s="1" t="str">
        <f>IF(Table2[[#This Row],[Description]]="","",IF(Table2[[#This Row],[Currency]]=$O$2,$P$2,HLOOKUP(Table2[[#This Row],[Date]],Funds!$C$10:$GV$11,2,FALSE)))</f>
        <v/>
      </c>
      <c r="J8649" s="215" t="str">
        <f>IF(Table2[[#This Row],[Description]]="","",Table2[[#This Row],[Value]]/Table2[[#This Row],[Conversion]])</f>
        <v/>
      </c>
      <c r="K8649" s="45" t="str">
        <f>IF(Table2[[#This Row],[Description]]="","",DATE(Table2[[#This Row],[Year]],Table2[[#This Row],[Month]],1))</f>
        <v/>
      </c>
    </row>
    <row r="8650" spans="7:11" x14ac:dyDescent="0.25">
      <c r="G8650" s="1" t="str">
        <f>IF(Table2[[#This Row],[Description]]="","",VLOOKUP(Table2[[#This Row],[Description]],$Q$1:$S$101,2,FALSE))</f>
        <v/>
      </c>
      <c r="H8650" s="1" t="str">
        <f>IF(Table2[[#This Row],[Description]]="","",VLOOKUP(Table2[[#This Row],[Description]],$Q$1:$S$101,3,FALSE))</f>
        <v/>
      </c>
      <c r="I8650" s="1" t="str">
        <f>IF(Table2[[#This Row],[Description]]="","",IF(Table2[[#This Row],[Currency]]=$O$2,$P$2,HLOOKUP(Table2[[#This Row],[Date]],Funds!$C$10:$GV$11,2,FALSE)))</f>
        <v/>
      </c>
      <c r="J8650" s="215" t="str">
        <f>IF(Table2[[#This Row],[Description]]="","",Table2[[#This Row],[Value]]/Table2[[#This Row],[Conversion]])</f>
        <v/>
      </c>
      <c r="K8650" s="45" t="str">
        <f>IF(Table2[[#This Row],[Description]]="","",DATE(Table2[[#This Row],[Year]],Table2[[#This Row],[Month]],1))</f>
        <v/>
      </c>
    </row>
    <row r="8651" spans="7:11" x14ac:dyDescent="0.25">
      <c r="G8651" s="1" t="str">
        <f>IF(Table2[[#This Row],[Description]]="","",VLOOKUP(Table2[[#This Row],[Description]],$Q$1:$S$101,2,FALSE))</f>
        <v/>
      </c>
      <c r="H8651" s="1" t="str">
        <f>IF(Table2[[#This Row],[Description]]="","",VLOOKUP(Table2[[#This Row],[Description]],$Q$1:$S$101,3,FALSE))</f>
        <v/>
      </c>
      <c r="I8651" s="1" t="str">
        <f>IF(Table2[[#This Row],[Description]]="","",IF(Table2[[#This Row],[Currency]]=$O$2,$P$2,HLOOKUP(Table2[[#This Row],[Date]],Funds!$C$10:$GV$11,2,FALSE)))</f>
        <v/>
      </c>
      <c r="J8651" s="215" t="str">
        <f>IF(Table2[[#This Row],[Description]]="","",Table2[[#This Row],[Value]]/Table2[[#This Row],[Conversion]])</f>
        <v/>
      </c>
      <c r="K8651" s="45" t="str">
        <f>IF(Table2[[#This Row],[Description]]="","",DATE(Table2[[#This Row],[Year]],Table2[[#This Row],[Month]],1))</f>
        <v/>
      </c>
    </row>
    <row r="8652" spans="7:11" x14ac:dyDescent="0.25">
      <c r="G8652" s="1" t="str">
        <f>IF(Table2[[#This Row],[Description]]="","",VLOOKUP(Table2[[#This Row],[Description]],$Q$1:$S$101,2,FALSE))</f>
        <v/>
      </c>
      <c r="H8652" s="1" t="str">
        <f>IF(Table2[[#This Row],[Description]]="","",VLOOKUP(Table2[[#This Row],[Description]],$Q$1:$S$101,3,FALSE))</f>
        <v/>
      </c>
      <c r="I8652" s="1" t="str">
        <f>IF(Table2[[#This Row],[Description]]="","",IF(Table2[[#This Row],[Currency]]=$O$2,$P$2,HLOOKUP(Table2[[#This Row],[Date]],Funds!$C$10:$GV$11,2,FALSE)))</f>
        <v/>
      </c>
      <c r="J8652" s="215" t="str">
        <f>IF(Table2[[#This Row],[Description]]="","",Table2[[#This Row],[Value]]/Table2[[#This Row],[Conversion]])</f>
        <v/>
      </c>
      <c r="K8652" s="45" t="str">
        <f>IF(Table2[[#This Row],[Description]]="","",DATE(Table2[[#This Row],[Year]],Table2[[#This Row],[Month]],1))</f>
        <v/>
      </c>
    </row>
    <row r="8653" spans="7:11" x14ac:dyDescent="0.25">
      <c r="G8653" s="1" t="str">
        <f>IF(Table2[[#This Row],[Description]]="","",VLOOKUP(Table2[[#This Row],[Description]],$Q$1:$S$101,2,FALSE))</f>
        <v/>
      </c>
      <c r="H8653" s="1" t="str">
        <f>IF(Table2[[#This Row],[Description]]="","",VLOOKUP(Table2[[#This Row],[Description]],$Q$1:$S$101,3,FALSE))</f>
        <v/>
      </c>
      <c r="I8653" s="1" t="str">
        <f>IF(Table2[[#This Row],[Description]]="","",IF(Table2[[#This Row],[Currency]]=$O$2,$P$2,HLOOKUP(Table2[[#This Row],[Date]],Funds!$C$10:$GV$11,2,FALSE)))</f>
        <v/>
      </c>
      <c r="J8653" s="215" t="str">
        <f>IF(Table2[[#This Row],[Description]]="","",Table2[[#This Row],[Value]]/Table2[[#This Row],[Conversion]])</f>
        <v/>
      </c>
      <c r="K8653" s="45" t="str">
        <f>IF(Table2[[#This Row],[Description]]="","",DATE(Table2[[#This Row],[Year]],Table2[[#This Row],[Month]],1))</f>
        <v/>
      </c>
    </row>
    <row r="8654" spans="7:11" x14ac:dyDescent="0.25">
      <c r="G8654" s="1" t="str">
        <f>IF(Table2[[#This Row],[Description]]="","",VLOOKUP(Table2[[#This Row],[Description]],$Q$1:$S$101,2,FALSE))</f>
        <v/>
      </c>
      <c r="H8654" s="1" t="str">
        <f>IF(Table2[[#This Row],[Description]]="","",VLOOKUP(Table2[[#This Row],[Description]],$Q$1:$S$101,3,FALSE))</f>
        <v/>
      </c>
      <c r="I8654" s="1" t="str">
        <f>IF(Table2[[#This Row],[Description]]="","",IF(Table2[[#This Row],[Currency]]=$O$2,$P$2,HLOOKUP(Table2[[#This Row],[Date]],Funds!$C$10:$GV$11,2,FALSE)))</f>
        <v/>
      </c>
      <c r="J8654" s="215" t="str">
        <f>IF(Table2[[#This Row],[Description]]="","",Table2[[#This Row],[Value]]/Table2[[#This Row],[Conversion]])</f>
        <v/>
      </c>
      <c r="K8654" s="45" t="str">
        <f>IF(Table2[[#This Row],[Description]]="","",DATE(Table2[[#This Row],[Year]],Table2[[#This Row],[Month]],1))</f>
        <v/>
      </c>
    </row>
    <row r="8655" spans="7:11" x14ac:dyDescent="0.25">
      <c r="G8655" s="1" t="str">
        <f>IF(Table2[[#This Row],[Description]]="","",VLOOKUP(Table2[[#This Row],[Description]],$Q$1:$S$101,2,FALSE))</f>
        <v/>
      </c>
      <c r="H8655" s="1" t="str">
        <f>IF(Table2[[#This Row],[Description]]="","",VLOOKUP(Table2[[#This Row],[Description]],$Q$1:$S$101,3,FALSE))</f>
        <v/>
      </c>
      <c r="I8655" s="1" t="str">
        <f>IF(Table2[[#This Row],[Description]]="","",IF(Table2[[#This Row],[Currency]]=$O$2,$P$2,HLOOKUP(Table2[[#This Row],[Date]],Funds!$C$10:$GV$11,2,FALSE)))</f>
        <v/>
      </c>
      <c r="J8655" s="215" t="str">
        <f>IF(Table2[[#This Row],[Description]]="","",Table2[[#This Row],[Value]]/Table2[[#This Row],[Conversion]])</f>
        <v/>
      </c>
      <c r="K8655" s="45" t="str">
        <f>IF(Table2[[#This Row],[Description]]="","",DATE(Table2[[#This Row],[Year]],Table2[[#This Row],[Month]],1))</f>
        <v/>
      </c>
    </row>
    <row r="8656" spans="7:11" x14ac:dyDescent="0.25">
      <c r="G8656" s="1" t="str">
        <f>IF(Table2[[#This Row],[Description]]="","",VLOOKUP(Table2[[#This Row],[Description]],$Q$1:$S$101,2,FALSE))</f>
        <v/>
      </c>
      <c r="H8656" s="1" t="str">
        <f>IF(Table2[[#This Row],[Description]]="","",VLOOKUP(Table2[[#This Row],[Description]],$Q$1:$S$101,3,FALSE))</f>
        <v/>
      </c>
      <c r="I8656" s="1" t="str">
        <f>IF(Table2[[#This Row],[Description]]="","",IF(Table2[[#This Row],[Currency]]=$O$2,$P$2,HLOOKUP(Table2[[#This Row],[Date]],Funds!$C$10:$GV$11,2,FALSE)))</f>
        <v/>
      </c>
      <c r="J8656" s="215" t="str">
        <f>IF(Table2[[#This Row],[Description]]="","",Table2[[#This Row],[Value]]/Table2[[#This Row],[Conversion]])</f>
        <v/>
      </c>
      <c r="K8656" s="45" t="str">
        <f>IF(Table2[[#This Row],[Description]]="","",DATE(Table2[[#This Row],[Year]],Table2[[#This Row],[Month]],1))</f>
        <v/>
      </c>
    </row>
    <row r="8657" spans="7:11" x14ac:dyDescent="0.25">
      <c r="G8657" s="1" t="str">
        <f>IF(Table2[[#This Row],[Description]]="","",VLOOKUP(Table2[[#This Row],[Description]],$Q$1:$S$101,2,FALSE))</f>
        <v/>
      </c>
      <c r="H8657" s="1" t="str">
        <f>IF(Table2[[#This Row],[Description]]="","",VLOOKUP(Table2[[#This Row],[Description]],$Q$1:$S$101,3,FALSE))</f>
        <v/>
      </c>
      <c r="I8657" s="1" t="str">
        <f>IF(Table2[[#This Row],[Description]]="","",IF(Table2[[#This Row],[Currency]]=$O$2,$P$2,HLOOKUP(Table2[[#This Row],[Date]],Funds!$C$10:$GV$11,2,FALSE)))</f>
        <v/>
      </c>
      <c r="J8657" s="215" t="str">
        <f>IF(Table2[[#This Row],[Description]]="","",Table2[[#This Row],[Value]]/Table2[[#This Row],[Conversion]])</f>
        <v/>
      </c>
      <c r="K8657" s="45" t="str">
        <f>IF(Table2[[#This Row],[Description]]="","",DATE(Table2[[#This Row],[Year]],Table2[[#This Row],[Month]],1))</f>
        <v/>
      </c>
    </row>
    <row r="8658" spans="7:11" x14ac:dyDescent="0.25">
      <c r="G8658" s="1" t="str">
        <f>IF(Table2[[#This Row],[Description]]="","",VLOOKUP(Table2[[#This Row],[Description]],$Q$1:$S$101,2,FALSE))</f>
        <v/>
      </c>
      <c r="H8658" s="1" t="str">
        <f>IF(Table2[[#This Row],[Description]]="","",VLOOKUP(Table2[[#This Row],[Description]],$Q$1:$S$101,3,FALSE))</f>
        <v/>
      </c>
      <c r="I8658" s="1" t="str">
        <f>IF(Table2[[#This Row],[Description]]="","",IF(Table2[[#This Row],[Currency]]=$O$2,$P$2,HLOOKUP(Table2[[#This Row],[Date]],Funds!$C$10:$GV$11,2,FALSE)))</f>
        <v/>
      </c>
      <c r="J8658" s="215" t="str">
        <f>IF(Table2[[#This Row],[Description]]="","",Table2[[#This Row],[Value]]/Table2[[#This Row],[Conversion]])</f>
        <v/>
      </c>
      <c r="K8658" s="45" t="str">
        <f>IF(Table2[[#This Row],[Description]]="","",DATE(Table2[[#This Row],[Year]],Table2[[#This Row],[Month]],1))</f>
        <v/>
      </c>
    </row>
    <row r="8659" spans="7:11" x14ac:dyDescent="0.25">
      <c r="G8659" s="1" t="str">
        <f>IF(Table2[[#This Row],[Description]]="","",VLOOKUP(Table2[[#This Row],[Description]],$Q$1:$S$101,2,FALSE))</f>
        <v/>
      </c>
      <c r="H8659" s="1" t="str">
        <f>IF(Table2[[#This Row],[Description]]="","",VLOOKUP(Table2[[#This Row],[Description]],$Q$1:$S$101,3,FALSE))</f>
        <v/>
      </c>
      <c r="I8659" s="1" t="str">
        <f>IF(Table2[[#This Row],[Description]]="","",IF(Table2[[#This Row],[Currency]]=$O$2,$P$2,HLOOKUP(Table2[[#This Row],[Date]],Funds!$C$10:$GV$11,2,FALSE)))</f>
        <v/>
      </c>
      <c r="J8659" s="215" t="str">
        <f>IF(Table2[[#This Row],[Description]]="","",Table2[[#This Row],[Value]]/Table2[[#This Row],[Conversion]])</f>
        <v/>
      </c>
      <c r="K8659" s="45" t="str">
        <f>IF(Table2[[#This Row],[Description]]="","",DATE(Table2[[#This Row],[Year]],Table2[[#This Row],[Month]],1))</f>
        <v/>
      </c>
    </row>
    <row r="8660" spans="7:11" x14ac:dyDescent="0.25">
      <c r="G8660" s="1" t="str">
        <f>IF(Table2[[#This Row],[Description]]="","",VLOOKUP(Table2[[#This Row],[Description]],$Q$1:$S$101,2,FALSE))</f>
        <v/>
      </c>
      <c r="H8660" s="1" t="str">
        <f>IF(Table2[[#This Row],[Description]]="","",VLOOKUP(Table2[[#This Row],[Description]],$Q$1:$S$101,3,FALSE))</f>
        <v/>
      </c>
      <c r="I8660" s="1" t="str">
        <f>IF(Table2[[#This Row],[Description]]="","",IF(Table2[[#This Row],[Currency]]=$O$2,$P$2,HLOOKUP(Table2[[#This Row],[Date]],Funds!$C$10:$GV$11,2,FALSE)))</f>
        <v/>
      </c>
      <c r="J8660" s="215" t="str">
        <f>IF(Table2[[#This Row],[Description]]="","",Table2[[#This Row],[Value]]/Table2[[#This Row],[Conversion]])</f>
        <v/>
      </c>
      <c r="K8660" s="45" t="str">
        <f>IF(Table2[[#This Row],[Description]]="","",DATE(Table2[[#This Row],[Year]],Table2[[#This Row],[Month]],1))</f>
        <v/>
      </c>
    </row>
    <row r="8661" spans="7:11" x14ac:dyDescent="0.25">
      <c r="G8661" s="1" t="str">
        <f>IF(Table2[[#This Row],[Description]]="","",VLOOKUP(Table2[[#This Row],[Description]],$Q$1:$S$101,2,FALSE))</f>
        <v/>
      </c>
      <c r="H8661" s="1" t="str">
        <f>IF(Table2[[#This Row],[Description]]="","",VLOOKUP(Table2[[#This Row],[Description]],$Q$1:$S$101,3,FALSE))</f>
        <v/>
      </c>
      <c r="I8661" s="1" t="str">
        <f>IF(Table2[[#This Row],[Description]]="","",IF(Table2[[#This Row],[Currency]]=$O$2,$P$2,HLOOKUP(Table2[[#This Row],[Date]],Funds!$C$10:$GV$11,2,FALSE)))</f>
        <v/>
      </c>
      <c r="J8661" s="215" t="str">
        <f>IF(Table2[[#This Row],[Description]]="","",Table2[[#This Row],[Value]]/Table2[[#This Row],[Conversion]])</f>
        <v/>
      </c>
      <c r="K8661" s="45" t="str">
        <f>IF(Table2[[#This Row],[Description]]="","",DATE(Table2[[#This Row],[Year]],Table2[[#This Row],[Month]],1))</f>
        <v/>
      </c>
    </row>
    <row r="8662" spans="7:11" x14ac:dyDescent="0.25">
      <c r="G8662" s="1" t="str">
        <f>IF(Table2[[#This Row],[Description]]="","",VLOOKUP(Table2[[#This Row],[Description]],$Q$1:$S$101,2,FALSE))</f>
        <v/>
      </c>
      <c r="H8662" s="1" t="str">
        <f>IF(Table2[[#This Row],[Description]]="","",VLOOKUP(Table2[[#This Row],[Description]],$Q$1:$S$101,3,FALSE))</f>
        <v/>
      </c>
      <c r="I8662" s="1" t="str">
        <f>IF(Table2[[#This Row],[Description]]="","",IF(Table2[[#This Row],[Currency]]=$O$2,$P$2,HLOOKUP(Table2[[#This Row],[Date]],Funds!$C$10:$GV$11,2,FALSE)))</f>
        <v/>
      </c>
      <c r="J8662" s="215" t="str">
        <f>IF(Table2[[#This Row],[Description]]="","",Table2[[#This Row],[Value]]/Table2[[#This Row],[Conversion]])</f>
        <v/>
      </c>
      <c r="K8662" s="45" t="str">
        <f>IF(Table2[[#This Row],[Description]]="","",DATE(Table2[[#This Row],[Year]],Table2[[#This Row],[Month]],1))</f>
        <v/>
      </c>
    </row>
    <row r="8663" spans="7:11" x14ac:dyDescent="0.25">
      <c r="G8663" s="1" t="str">
        <f>IF(Table2[[#This Row],[Description]]="","",VLOOKUP(Table2[[#This Row],[Description]],$Q$1:$S$101,2,FALSE))</f>
        <v/>
      </c>
      <c r="H8663" s="1" t="str">
        <f>IF(Table2[[#This Row],[Description]]="","",VLOOKUP(Table2[[#This Row],[Description]],$Q$1:$S$101,3,FALSE))</f>
        <v/>
      </c>
      <c r="I8663" s="1" t="str">
        <f>IF(Table2[[#This Row],[Description]]="","",IF(Table2[[#This Row],[Currency]]=$O$2,$P$2,HLOOKUP(Table2[[#This Row],[Date]],Funds!$C$10:$GV$11,2,FALSE)))</f>
        <v/>
      </c>
      <c r="J8663" s="215" t="str">
        <f>IF(Table2[[#This Row],[Description]]="","",Table2[[#This Row],[Value]]/Table2[[#This Row],[Conversion]])</f>
        <v/>
      </c>
      <c r="K8663" s="45" t="str">
        <f>IF(Table2[[#This Row],[Description]]="","",DATE(Table2[[#This Row],[Year]],Table2[[#This Row],[Month]],1))</f>
        <v/>
      </c>
    </row>
    <row r="8664" spans="7:11" x14ac:dyDescent="0.25">
      <c r="G8664" s="1" t="str">
        <f>IF(Table2[[#This Row],[Description]]="","",VLOOKUP(Table2[[#This Row],[Description]],$Q$1:$S$101,2,FALSE))</f>
        <v/>
      </c>
      <c r="H8664" s="1" t="str">
        <f>IF(Table2[[#This Row],[Description]]="","",VLOOKUP(Table2[[#This Row],[Description]],$Q$1:$S$101,3,FALSE))</f>
        <v/>
      </c>
      <c r="I8664" s="1" t="str">
        <f>IF(Table2[[#This Row],[Description]]="","",IF(Table2[[#This Row],[Currency]]=$O$2,$P$2,HLOOKUP(Table2[[#This Row],[Date]],Funds!$C$10:$GV$11,2,FALSE)))</f>
        <v/>
      </c>
      <c r="J8664" s="215" t="str">
        <f>IF(Table2[[#This Row],[Description]]="","",Table2[[#This Row],[Value]]/Table2[[#This Row],[Conversion]])</f>
        <v/>
      </c>
      <c r="K8664" s="45" t="str">
        <f>IF(Table2[[#This Row],[Description]]="","",DATE(Table2[[#This Row],[Year]],Table2[[#This Row],[Month]],1))</f>
        <v/>
      </c>
    </row>
    <row r="8665" spans="7:11" x14ac:dyDescent="0.25">
      <c r="G8665" s="1" t="str">
        <f>IF(Table2[[#This Row],[Description]]="","",VLOOKUP(Table2[[#This Row],[Description]],$Q$1:$S$101,2,FALSE))</f>
        <v/>
      </c>
      <c r="H8665" s="1" t="str">
        <f>IF(Table2[[#This Row],[Description]]="","",VLOOKUP(Table2[[#This Row],[Description]],$Q$1:$S$101,3,FALSE))</f>
        <v/>
      </c>
      <c r="I8665" s="1" t="str">
        <f>IF(Table2[[#This Row],[Description]]="","",IF(Table2[[#This Row],[Currency]]=$O$2,$P$2,HLOOKUP(Table2[[#This Row],[Date]],Funds!$C$10:$GV$11,2,FALSE)))</f>
        <v/>
      </c>
      <c r="J8665" s="215" t="str">
        <f>IF(Table2[[#This Row],[Description]]="","",Table2[[#This Row],[Value]]/Table2[[#This Row],[Conversion]])</f>
        <v/>
      </c>
      <c r="K8665" s="45" t="str">
        <f>IF(Table2[[#This Row],[Description]]="","",DATE(Table2[[#This Row],[Year]],Table2[[#This Row],[Month]],1))</f>
        <v/>
      </c>
    </row>
    <row r="8666" spans="7:11" x14ac:dyDescent="0.25">
      <c r="G8666" s="1" t="str">
        <f>IF(Table2[[#This Row],[Description]]="","",VLOOKUP(Table2[[#This Row],[Description]],$Q$1:$S$101,2,FALSE))</f>
        <v/>
      </c>
      <c r="H8666" s="1" t="str">
        <f>IF(Table2[[#This Row],[Description]]="","",VLOOKUP(Table2[[#This Row],[Description]],$Q$1:$S$101,3,FALSE))</f>
        <v/>
      </c>
      <c r="I8666" s="1" t="str">
        <f>IF(Table2[[#This Row],[Description]]="","",IF(Table2[[#This Row],[Currency]]=$O$2,$P$2,HLOOKUP(Table2[[#This Row],[Date]],Funds!$C$10:$GV$11,2,FALSE)))</f>
        <v/>
      </c>
      <c r="J8666" s="215" t="str">
        <f>IF(Table2[[#This Row],[Description]]="","",Table2[[#This Row],[Value]]/Table2[[#This Row],[Conversion]])</f>
        <v/>
      </c>
      <c r="K8666" s="45" t="str">
        <f>IF(Table2[[#This Row],[Description]]="","",DATE(Table2[[#This Row],[Year]],Table2[[#This Row],[Month]],1))</f>
        <v/>
      </c>
    </row>
    <row r="8667" spans="7:11" x14ac:dyDescent="0.25">
      <c r="G8667" s="1" t="str">
        <f>IF(Table2[[#This Row],[Description]]="","",VLOOKUP(Table2[[#This Row],[Description]],$Q$1:$S$101,2,FALSE))</f>
        <v/>
      </c>
      <c r="H8667" s="1" t="str">
        <f>IF(Table2[[#This Row],[Description]]="","",VLOOKUP(Table2[[#This Row],[Description]],$Q$1:$S$101,3,FALSE))</f>
        <v/>
      </c>
      <c r="I8667" s="1" t="str">
        <f>IF(Table2[[#This Row],[Description]]="","",IF(Table2[[#This Row],[Currency]]=$O$2,$P$2,HLOOKUP(Table2[[#This Row],[Date]],Funds!$C$10:$GV$11,2,FALSE)))</f>
        <v/>
      </c>
      <c r="J8667" s="215" t="str">
        <f>IF(Table2[[#This Row],[Description]]="","",Table2[[#This Row],[Value]]/Table2[[#This Row],[Conversion]])</f>
        <v/>
      </c>
      <c r="K8667" s="45" t="str">
        <f>IF(Table2[[#This Row],[Description]]="","",DATE(Table2[[#This Row],[Year]],Table2[[#This Row],[Month]],1))</f>
        <v/>
      </c>
    </row>
    <row r="8668" spans="7:11" x14ac:dyDescent="0.25">
      <c r="G8668" s="1" t="str">
        <f>IF(Table2[[#This Row],[Description]]="","",VLOOKUP(Table2[[#This Row],[Description]],$Q$1:$S$101,2,FALSE))</f>
        <v/>
      </c>
      <c r="H8668" s="1" t="str">
        <f>IF(Table2[[#This Row],[Description]]="","",VLOOKUP(Table2[[#This Row],[Description]],$Q$1:$S$101,3,FALSE))</f>
        <v/>
      </c>
      <c r="I8668" s="1" t="str">
        <f>IF(Table2[[#This Row],[Description]]="","",IF(Table2[[#This Row],[Currency]]=$O$2,$P$2,HLOOKUP(Table2[[#This Row],[Date]],Funds!$C$10:$GV$11,2,FALSE)))</f>
        <v/>
      </c>
      <c r="J8668" s="215" t="str">
        <f>IF(Table2[[#This Row],[Description]]="","",Table2[[#This Row],[Value]]/Table2[[#This Row],[Conversion]])</f>
        <v/>
      </c>
      <c r="K8668" s="45" t="str">
        <f>IF(Table2[[#This Row],[Description]]="","",DATE(Table2[[#This Row],[Year]],Table2[[#This Row],[Month]],1))</f>
        <v/>
      </c>
    </row>
    <row r="8669" spans="7:11" x14ac:dyDescent="0.25">
      <c r="G8669" s="1" t="str">
        <f>IF(Table2[[#This Row],[Description]]="","",VLOOKUP(Table2[[#This Row],[Description]],$Q$1:$S$101,2,FALSE))</f>
        <v/>
      </c>
      <c r="H8669" s="1" t="str">
        <f>IF(Table2[[#This Row],[Description]]="","",VLOOKUP(Table2[[#This Row],[Description]],$Q$1:$S$101,3,FALSE))</f>
        <v/>
      </c>
      <c r="I8669" s="1" t="str">
        <f>IF(Table2[[#This Row],[Description]]="","",IF(Table2[[#This Row],[Currency]]=$O$2,$P$2,HLOOKUP(Table2[[#This Row],[Date]],Funds!$C$10:$GV$11,2,FALSE)))</f>
        <v/>
      </c>
      <c r="J8669" s="215" t="str">
        <f>IF(Table2[[#This Row],[Description]]="","",Table2[[#This Row],[Value]]/Table2[[#This Row],[Conversion]])</f>
        <v/>
      </c>
      <c r="K8669" s="45" t="str">
        <f>IF(Table2[[#This Row],[Description]]="","",DATE(Table2[[#This Row],[Year]],Table2[[#This Row],[Month]],1))</f>
        <v/>
      </c>
    </row>
    <row r="8670" spans="7:11" x14ac:dyDescent="0.25">
      <c r="G8670" s="1" t="str">
        <f>IF(Table2[[#This Row],[Description]]="","",VLOOKUP(Table2[[#This Row],[Description]],$Q$1:$S$101,2,FALSE))</f>
        <v/>
      </c>
      <c r="H8670" s="1" t="str">
        <f>IF(Table2[[#This Row],[Description]]="","",VLOOKUP(Table2[[#This Row],[Description]],$Q$1:$S$101,3,FALSE))</f>
        <v/>
      </c>
      <c r="I8670" s="1" t="str">
        <f>IF(Table2[[#This Row],[Description]]="","",IF(Table2[[#This Row],[Currency]]=$O$2,$P$2,HLOOKUP(Table2[[#This Row],[Date]],Funds!$C$10:$GV$11,2,FALSE)))</f>
        <v/>
      </c>
      <c r="J8670" s="215" t="str">
        <f>IF(Table2[[#This Row],[Description]]="","",Table2[[#This Row],[Value]]/Table2[[#This Row],[Conversion]])</f>
        <v/>
      </c>
      <c r="K8670" s="45" t="str">
        <f>IF(Table2[[#This Row],[Description]]="","",DATE(Table2[[#This Row],[Year]],Table2[[#This Row],[Month]],1))</f>
        <v/>
      </c>
    </row>
    <row r="8671" spans="7:11" x14ac:dyDescent="0.25">
      <c r="G8671" s="1" t="str">
        <f>IF(Table2[[#This Row],[Description]]="","",VLOOKUP(Table2[[#This Row],[Description]],$Q$1:$S$101,2,FALSE))</f>
        <v/>
      </c>
      <c r="H8671" s="1" t="str">
        <f>IF(Table2[[#This Row],[Description]]="","",VLOOKUP(Table2[[#This Row],[Description]],$Q$1:$S$101,3,FALSE))</f>
        <v/>
      </c>
      <c r="I8671" s="1" t="str">
        <f>IF(Table2[[#This Row],[Description]]="","",IF(Table2[[#This Row],[Currency]]=$O$2,$P$2,HLOOKUP(Table2[[#This Row],[Date]],Funds!$C$10:$GV$11,2,FALSE)))</f>
        <v/>
      </c>
      <c r="J8671" s="215" t="str">
        <f>IF(Table2[[#This Row],[Description]]="","",Table2[[#This Row],[Value]]/Table2[[#This Row],[Conversion]])</f>
        <v/>
      </c>
      <c r="K8671" s="45" t="str">
        <f>IF(Table2[[#This Row],[Description]]="","",DATE(Table2[[#This Row],[Year]],Table2[[#This Row],[Month]],1))</f>
        <v/>
      </c>
    </row>
    <row r="8672" spans="7:11" x14ac:dyDescent="0.25">
      <c r="G8672" s="1" t="str">
        <f>IF(Table2[[#This Row],[Description]]="","",VLOOKUP(Table2[[#This Row],[Description]],$Q$1:$S$101,2,FALSE))</f>
        <v/>
      </c>
      <c r="H8672" s="1" t="str">
        <f>IF(Table2[[#This Row],[Description]]="","",VLOOKUP(Table2[[#This Row],[Description]],$Q$1:$S$101,3,FALSE))</f>
        <v/>
      </c>
      <c r="I8672" s="1" t="str">
        <f>IF(Table2[[#This Row],[Description]]="","",IF(Table2[[#This Row],[Currency]]=$O$2,$P$2,HLOOKUP(Table2[[#This Row],[Date]],Funds!$C$10:$GV$11,2,FALSE)))</f>
        <v/>
      </c>
      <c r="J8672" s="215" t="str">
        <f>IF(Table2[[#This Row],[Description]]="","",Table2[[#This Row],[Value]]/Table2[[#This Row],[Conversion]])</f>
        <v/>
      </c>
      <c r="K8672" s="45" t="str">
        <f>IF(Table2[[#This Row],[Description]]="","",DATE(Table2[[#This Row],[Year]],Table2[[#This Row],[Month]],1))</f>
        <v/>
      </c>
    </row>
    <row r="8673" spans="7:11" x14ac:dyDescent="0.25">
      <c r="G8673" s="1" t="str">
        <f>IF(Table2[[#This Row],[Description]]="","",VLOOKUP(Table2[[#This Row],[Description]],$Q$1:$S$101,2,FALSE))</f>
        <v/>
      </c>
      <c r="H8673" s="1" t="str">
        <f>IF(Table2[[#This Row],[Description]]="","",VLOOKUP(Table2[[#This Row],[Description]],$Q$1:$S$101,3,FALSE))</f>
        <v/>
      </c>
      <c r="I8673" s="1" t="str">
        <f>IF(Table2[[#This Row],[Description]]="","",IF(Table2[[#This Row],[Currency]]=$O$2,$P$2,HLOOKUP(Table2[[#This Row],[Date]],Funds!$C$10:$GV$11,2,FALSE)))</f>
        <v/>
      </c>
      <c r="J8673" s="215" t="str">
        <f>IF(Table2[[#This Row],[Description]]="","",Table2[[#This Row],[Value]]/Table2[[#This Row],[Conversion]])</f>
        <v/>
      </c>
      <c r="K8673" s="45" t="str">
        <f>IF(Table2[[#This Row],[Description]]="","",DATE(Table2[[#This Row],[Year]],Table2[[#This Row],[Month]],1))</f>
        <v/>
      </c>
    </row>
    <row r="8674" spans="7:11" x14ac:dyDescent="0.25">
      <c r="G8674" s="1" t="str">
        <f>IF(Table2[[#This Row],[Description]]="","",VLOOKUP(Table2[[#This Row],[Description]],$Q$1:$S$101,2,FALSE))</f>
        <v/>
      </c>
      <c r="H8674" s="1" t="str">
        <f>IF(Table2[[#This Row],[Description]]="","",VLOOKUP(Table2[[#This Row],[Description]],$Q$1:$S$101,3,FALSE))</f>
        <v/>
      </c>
      <c r="I8674" s="1" t="str">
        <f>IF(Table2[[#This Row],[Description]]="","",IF(Table2[[#This Row],[Currency]]=$O$2,$P$2,HLOOKUP(Table2[[#This Row],[Date]],Funds!$C$10:$GV$11,2,FALSE)))</f>
        <v/>
      </c>
      <c r="J8674" s="215" t="str">
        <f>IF(Table2[[#This Row],[Description]]="","",Table2[[#This Row],[Value]]/Table2[[#This Row],[Conversion]])</f>
        <v/>
      </c>
      <c r="K8674" s="45" t="str">
        <f>IF(Table2[[#This Row],[Description]]="","",DATE(Table2[[#This Row],[Year]],Table2[[#This Row],[Month]],1))</f>
        <v/>
      </c>
    </row>
    <row r="8675" spans="7:11" x14ac:dyDescent="0.25">
      <c r="G8675" s="1" t="str">
        <f>IF(Table2[[#This Row],[Description]]="","",VLOOKUP(Table2[[#This Row],[Description]],$Q$1:$S$101,2,FALSE))</f>
        <v/>
      </c>
      <c r="H8675" s="1" t="str">
        <f>IF(Table2[[#This Row],[Description]]="","",VLOOKUP(Table2[[#This Row],[Description]],$Q$1:$S$101,3,FALSE))</f>
        <v/>
      </c>
      <c r="I8675" s="1" t="str">
        <f>IF(Table2[[#This Row],[Description]]="","",IF(Table2[[#This Row],[Currency]]=$O$2,$P$2,HLOOKUP(Table2[[#This Row],[Date]],Funds!$C$10:$GV$11,2,FALSE)))</f>
        <v/>
      </c>
      <c r="J8675" s="215" t="str">
        <f>IF(Table2[[#This Row],[Description]]="","",Table2[[#This Row],[Value]]/Table2[[#This Row],[Conversion]])</f>
        <v/>
      </c>
      <c r="K8675" s="45" t="str">
        <f>IF(Table2[[#This Row],[Description]]="","",DATE(Table2[[#This Row],[Year]],Table2[[#This Row],[Month]],1))</f>
        <v/>
      </c>
    </row>
    <row r="8676" spans="7:11" x14ac:dyDescent="0.25">
      <c r="G8676" s="1" t="str">
        <f>IF(Table2[[#This Row],[Description]]="","",VLOOKUP(Table2[[#This Row],[Description]],$Q$1:$S$101,2,FALSE))</f>
        <v/>
      </c>
      <c r="H8676" s="1" t="str">
        <f>IF(Table2[[#This Row],[Description]]="","",VLOOKUP(Table2[[#This Row],[Description]],$Q$1:$S$101,3,FALSE))</f>
        <v/>
      </c>
      <c r="I8676" s="1" t="str">
        <f>IF(Table2[[#This Row],[Description]]="","",IF(Table2[[#This Row],[Currency]]=$O$2,$P$2,HLOOKUP(Table2[[#This Row],[Date]],Funds!$C$10:$GV$11,2,FALSE)))</f>
        <v/>
      </c>
      <c r="J8676" s="215" t="str">
        <f>IF(Table2[[#This Row],[Description]]="","",Table2[[#This Row],[Value]]/Table2[[#This Row],[Conversion]])</f>
        <v/>
      </c>
      <c r="K8676" s="45" t="str">
        <f>IF(Table2[[#This Row],[Description]]="","",DATE(Table2[[#This Row],[Year]],Table2[[#This Row],[Month]],1))</f>
        <v/>
      </c>
    </row>
    <row r="8677" spans="7:11" x14ac:dyDescent="0.25">
      <c r="G8677" s="1" t="str">
        <f>IF(Table2[[#This Row],[Description]]="","",VLOOKUP(Table2[[#This Row],[Description]],$Q$1:$S$101,2,FALSE))</f>
        <v/>
      </c>
      <c r="H8677" s="1" t="str">
        <f>IF(Table2[[#This Row],[Description]]="","",VLOOKUP(Table2[[#This Row],[Description]],$Q$1:$S$101,3,FALSE))</f>
        <v/>
      </c>
      <c r="I8677" s="1" t="str">
        <f>IF(Table2[[#This Row],[Description]]="","",IF(Table2[[#This Row],[Currency]]=$O$2,$P$2,HLOOKUP(Table2[[#This Row],[Date]],Funds!$C$10:$GV$11,2,FALSE)))</f>
        <v/>
      </c>
      <c r="J8677" s="215" t="str">
        <f>IF(Table2[[#This Row],[Description]]="","",Table2[[#This Row],[Value]]/Table2[[#This Row],[Conversion]])</f>
        <v/>
      </c>
      <c r="K8677" s="45" t="str">
        <f>IF(Table2[[#This Row],[Description]]="","",DATE(Table2[[#This Row],[Year]],Table2[[#This Row],[Month]],1))</f>
        <v/>
      </c>
    </row>
    <row r="8678" spans="7:11" x14ac:dyDescent="0.25">
      <c r="G8678" s="1" t="str">
        <f>IF(Table2[[#This Row],[Description]]="","",VLOOKUP(Table2[[#This Row],[Description]],$Q$1:$S$101,2,FALSE))</f>
        <v/>
      </c>
      <c r="H8678" s="1" t="str">
        <f>IF(Table2[[#This Row],[Description]]="","",VLOOKUP(Table2[[#This Row],[Description]],$Q$1:$S$101,3,FALSE))</f>
        <v/>
      </c>
      <c r="I8678" s="1" t="str">
        <f>IF(Table2[[#This Row],[Description]]="","",IF(Table2[[#This Row],[Currency]]=$O$2,$P$2,HLOOKUP(Table2[[#This Row],[Date]],Funds!$C$10:$GV$11,2,FALSE)))</f>
        <v/>
      </c>
      <c r="J8678" s="215" t="str">
        <f>IF(Table2[[#This Row],[Description]]="","",Table2[[#This Row],[Value]]/Table2[[#This Row],[Conversion]])</f>
        <v/>
      </c>
      <c r="K8678" s="45" t="str">
        <f>IF(Table2[[#This Row],[Description]]="","",DATE(Table2[[#This Row],[Year]],Table2[[#This Row],[Month]],1))</f>
        <v/>
      </c>
    </row>
    <row r="8679" spans="7:11" x14ac:dyDescent="0.25">
      <c r="G8679" s="1" t="str">
        <f>IF(Table2[[#This Row],[Description]]="","",VLOOKUP(Table2[[#This Row],[Description]],$Q$1:$S$101,2,FALSE))</f>
        <v/>
      </c>
      <c r="H8679" s="1" t="str">
        <f>IF(Table2[[#This Row],[Description]]="","",VLOOKUP(Table2[[#This Row],[Description]],$Q$1:$S$101,3,FALSE))</f>
        <v/>
      </c>
      <c r="I8679" s="1" t="str">
        <f>IF(Table2[[#This Row],[Description]]="","",IF(Table2[[#This Row],[Currency]]=$O$2,$P$2,HLOOKUP(Table2[[#This Row],[Date]],Funds!$C$10:$GV$11,2,FALSE)))</f>
        <v/>
      </c>
      <c r="J8679" s="215" t="str">
        <f>IF(Table2[[#This Row],[Description]]="","",Table2[[#This Row],[Value]]/Table2[[#This Row],[Conversion]])</f>
        <v/>
      </c>
      <c r="K8679" s="45" t="str">
        <f>IF(Table2[[#This Row],[Description]]="","",DATE(Table2[[#This Row],[Year]],Table2[[#This Row],[Month]],1))</f>
        <v/>
      </c>
    </row>
    <row r="8680" spans="7:11" x14ac:dyDescent="0.25">
      <c r="G8680" s="1" t="str">
        <f>IF(Table2[[#This Row],[Description]]="","",VLOOKUP(Table2[[#This Row],[Description]],$Q$1:$S$101,2,FALSE))</f>
        <v/>
      </c>
      <c r="H8680" s="1" t="str">
        <f>IF(Table2[[#This Row],[Description]]="","",VLOOKUP(Table2[[#This Row],[Description]],$Q$1:$S$101,3,FALSE))</f>
        <v/>
      </c>
      <c r="I8680" s="1" t="str">
        <f>IF(Table2[[#This Row],[Description]]="","",IF(Table2[[#This Row],[Currency]]=$O$2,$P$2,HLOOKUP(Table2[[#This Row],[Date]],Funds!$C$10:$GV$11,2,FALSE)))</f>
        <v/>
      </c>
      <c r="J8680" s="215" t="str">
        <f>IF(Table2[[#This Row],[Description]]="","",Table2[[#This Row],[Value]]/Table2[[#This Row],[Conversion]])</f>
        <v/>
      </c>
      <c r="K8680" s="45" t="str">
        <f>IF(Table2[[#This Row],[Description]]="","",DATE(Table2[[#This Row],[Year]],Table2[[#This Row],[Month]],1))</f>
        <v/>
      </c>
    </row>
    <row r="8681" spans="7:11" x14ac:dyDescent="0.25">
      <c r="G8681" s="1" t="str">
        <f>IF(Table2[[#This Row],[Description]]="","",VLOOKUP(Table2[[#This Row],[Description]],$Q$1:$S$101,2,FALSE))</f>
        <v/>
      </c>
      <c r="H8681" s="1" t="str">
        <f>IF(Table2[[#This Row],[Description]]="","",VLOOKUP(Table2[[#This Row],[Description]],$Q$1:$S$101,3,FALSE))</f>
        <v/>
      </c>
      <c r="I8681" s="1" t="str">
        <f>IF(Table2[[#This Row],[Description]]="","",IF(Table2[[#This Row],[Currency]]=$O$2,$P$2,HLOOKUP(Table2[[#This Row],[Date]],Funds!$C$10:$GV$11,2,FALSE)))</f>
        <v/>
      </c>
      <c r="J8681" s="215" t="str">
        <f>IF(Table2[[#This Row],[Description]]="","",Table2[[#This Row],[Value]]/Table2[[#This Row],[Conversion]])</f>
        <v/>
      </c>
      <c r="K8681" s="45" t="str">
        <f>IF(Table2[[#This Row],[Description]]="","",DATE(Table2[[#This Row],[Year]],Table2[[#This Row],[Month]],1))</f>
        <v/>
      </c>
    </row>
    <row r="8682" spans="7:11" x14ac:dyDescent="0.25">
      <c r="G8682" s="1" t="str">
        <f>IF(Table2[[#This Row],[Description]]="","",VLOOKUP(Table2[[#This Row],[Description]],$Q$1:$S$101,2,FALSE))</f>
        <v/>
      </c>
      <c r="H8682" s="1" t="str">
        <f>IF(Table2[[#This Row],[Description]]="","",VLOOKUP(Table2[[#This Row],[Description]],$Q$1:$S$101,3,FALSE))</f>
        <v/>
      </c>
      <c r="I8682" s="1" t="str">
        <f>IF(Table2[[#This Row],[Description]]="","",IF(Table2[[#This Row],[Currency]]=$O$2,$P$2,HLOOKUP(Table2[[#This Row],[Date]],Funds!$C$10:$GV$11,2,FALSE)))</f>
        <v/>
      </c>
      <c r="J8682" s="215" t="str">
        <f>IF(Table2[[#This Row],[Description]]="","",Table2[[#This Row],[Value]]/Table2[[#This Row],[Conversion]])</f>
        <v/>
      </c>
      <c r="K8682" s="45" t="str">
        <f>IF(Table2[[#This Row],[Description]]="","",DATE(Table2[[#This Row],[Year]],Table2[[#This Row],[Month]],1))</f>
        <v/>
      </c>
    </row>
    <row r="8683" spans="7:11" x14ac:dyDescent="0.25">
      <c r="G8683" s="1" t="str">
        <f>IF(Table2[[#This Row],[Description]]="","",VLOOKUP(Table2[[#This Row],[Description]],$Q$1:$S$101,2,FALSE))</f>
        <v/>
      </c>
      <c r="H8683" s="1" t="str">
        <f>IF(Table2[[#This Row],[Description]]="","",VLOOKUP(Table2[[#This Row],[Description]],$Q$1:$S$101,3,FALSE))</f>
        <v/>
      </c>
      <c r="I8683" s="1" t="str">
        <f>IF(Table2[[#This Row],[Description]]="","",IF(Table2[[#This Row],[Currency]]=$O$2,$P$2,HLOOKUP(Table2[[#This Row],[Date]],Funds!$C$10:$GV$11,2,FALSE)))</f>
        <v/>
      </c>
      <c r="J8683" s="215" t="str">
        <f>IF(Table2[[#This Row],[Description]]="","",Table2[[#This Row],[Value]]/Table2[[#This Row],[Conversion]])</f>
        <v/>
      </c>
      <c r="K8683" s="45" t="str">
        <f>IF(Table2[[#This Row],[Description]]="","",DATE(Table2[[#This Row],[Year]],Table2[[#This Row],[Month]],1))</f>
        <v/>
      </c>
    </row>
    <row r="8684" spans="7:11" x14ac:dyDescent="0.25">
      <c r="G8684" s="1" t="str">
        <f>IF(Table2[[#This Row],[Description]]="","",VLOOKUP(Table2[[#This Row],[Description]],$Q$1:$S$101,2,FALSE))</f>
        <v/>
      </c>
      <c r="H8684" s="1" t="str">
        <f>IF(Table2[[#This Row],[Description]]="","",VLOOKUP(Table2[[#This Row],[Description]],$Q$1:$S$101,3,FALSE))</f>
        <v/>
      </c>
      <c r="I8684" s="1" t="str">
        <f>IF(Table2[[#This Row],[Description]]="","",IF(Table2[[#This Row],[Currency]]=$O$2,$P$2,HLOOKUP(Table2[[#This Row],[Date]],Funds!$C$10:$GV$11,2,FALSE)))</f>
        <v/>
      </c>
      <c r="J8684" s="215" t="str">
        <f>IF(Table2[[#This Row],[Description]]="","",Table2[[#This Row],[Value]]/Table2[[#This Row],[Conversion]])</f>
        <v/>
      </c>
      <c r="K8684" s="45" t="str">
        <f>IF(Table2[[#This Row],[Description]]="","",DATE(Table2[[#This Row],[Year]],Table2[[#This Row],[Month]],1))</f>
        <v/>
      </c>
    </row>
    <row r="8685" spans="7:11" x14ac:dyDescent="0.25">
      <c r="G8685" s="1" t="str">
        <f>IF(Table2[[#This Row],[Description]]="","",VLOOKUP(Table2[[#This Row],[Description]],$Q$1:$S$101,2,FALSE))</f>
        <v/>
      </c>
      <c r="H8685" s="1" t="str">
        <f>IF(Table2[[#This Row],[Description]]="","",VLOOKUP(Table2[[#This Row],[Description]],$Q$1:$S$101,3,FALSE))</f>
        <v/>
      </c>
      <c r="I8685" s="1" t="str">
        <f>IF(Table2[[#This Row],[Description]]="","",IF(Table2[[#This Row],[Currency]]=$O$2,$P$2,HLOOKUP(Table2[[#This Row],[Date]],Funds!$C$10:$GV$11,2,FALSE)))</f>
        <v/>
      </c>
      <c r="J8685" s="215" t="str">
        <f>IF(Table2[[#This Row],[Description]]="","",Table2[[#This Row],[Value]]/Table2[[#This Row],[Conversion]])</f>
        <v/>
      </c>
      <c r="K8685" s="45" t="str">
        <f>IF(Table2[[#This Row],[Description]]="","",DATE(Table2[[#This Row],[Year]],Table2[[#This Row],[Month]],1))</f>
        <v/>
      </c>
    </row>
    <row r="8686" spans="7:11" x14ac:dyDescent="0.25">
      <c r="G8686" s="1" t="str">
        <f>IF(Table2[[#This Row],[Description]]="","",VLOOKUP(Table2[[#This Row],[Description]],$Q$1:$S$101,2,FALSE))</f>
        <v/>
      </c>
      <c r="H8686" s="1" t="str">
        <f>IF(Table2[[#This Row],[Description]]="","",VLOOKUP(Table2[[#This Row],[Description]],$Q$1:$S$101,3,FALSE))</f>
        <v/>
      </c>
      <c r="I8686" s="1" t="str">
        <f>IF(Table2[[#This Row],[Description]]="","",IF(Table2[[#This Row],[Currency]]=$O$2,$P$2,HLOOKUP(Table2[[#This Row],[Date]],Funds!$C$10:$GV$11,2,FALSE)))</f>
        <v/>
      </c>
      <c r="J8686" s="215" t="str">
        <f>IF(Table2[[#This Row],[Description]]="","",Table2[[#This Row],[Value]]/Table2[[#This Row],[Conversion]])</f>
        <v/>
      </c>
      <c r="K8686" s="45" t="str">
        <f>IF(Table2[[#This Row],[Description]]="","",DATE(Table2[[#This Row],[Year]],Table2[[#This Row],[Month]],1))</f>
        <v/>
      </c>
    </row>
    <row r="8687" spans="7:11" x14ac:dyDescent="0.25">
      <c r="G8687" s="1" t="str">
        <f>IF(Table2[[#This Row],[Description]]="","",VLOOKUP(Table2[[#This Row],[Description]],$Q$1:$S$101,2,FALSE))</f>
        <v/>
      </c>
      <c r="H8687" s="1" t="str">
        <f>IF(Table2[[#This Row],[Description]]="","",VLOOKUP(Table2[[#This Row],[Description]],$Q$1:$S$101,3,FALSE))</f>
        <v/>
      </c>
      <c r="I8687" s="1" t="str">
        <f>IF(Table2[[#This Row],[Description]]="","",IF(Table2[[#This Row],[Currency]]=$O$2,$P$2,HLOOKUP(Table2[[#This Row],[Date]],Funds!$C$10:$GV$11,2,FALSE)))</f>
        <v/>
      </c>
      <c r="J8687" s="215" t="str">
        <f>IF(Table2[[#This Row],[Description]]="","",Table2[[#This Row],[Value]]/Table2[[#This Row],[Conversion]])</f>
        <v/>
      </c>
      <c r="K8687" s="45" t="str">
        <f>IF(Table2[[#This Row],[Description]]="","",DATE(Table2[[#This Row],[Year]],Table2[[#This Row],[Month]],1))</f>
        <v/>
      </c>
    </row>
    <row r="8688" spans="7:11" x14ac:dyDescent="0.25">
      <c r="G8688" s="1" t="str">
        <f>IF(Table2[[#This Row],[Description]]="","",VLOOKUP(Table2[[#This Row],[Description]],$Q$1:$S$101,2,FALSE))</f>
        <v/>
      </c>
      <c r="H8688" s="1" t="str">
        <f>IF(Table2[[#This Row],[Description]]="","",VLOOKUP(Table2[[#This Row],[Description]],$Q$1:$S$101,3,FALSE))</f>
        <v/>
      </c>
      <c r="I8688" s="1" t="str">
        <f>IF(Table2[[#This Row],[Description]]="","",IF(Table2[[#This Row],[Currency]]=$O$2,$P$2,HLOOKUP(Table2[[#This Row],[Date]],Funds!$C$10:$GV$11,2,FALSE)))</f>
        <v/>
      </c>
      <c r="J8688" s="215" t="str">
        <f>IF(Table2[[#This Row],[Description]]="","",Table2[[#This Row],[Value]]/Table2[[#This Row],[Conversion]])</f>
        <v/>
      </c>
      <c r="K8688" s="45" t="str">
        <f>IF(Table2[[#This Row],[Description]]="","",DATE(Table2[[#This Row],[Year]],Table2[[#This Row],[Month]],1))</f>
        <v/>
      </c>
    </row>
    <row r="8689" spans="7:11" x14ac:dyDescent="0.25">
      <c r="G8689" s="1" t="str">
        <f>IF(Table2[[#This Row],[Description]]="","",VLOOKUP(Table2[[#This Row],[Description]],$Q$1:$S$101,2,FALSE))</f>
        <v/>
      </c>
      <c r="H8689" s="1" t="str">
        <f>IF(Table2[[#This Row],[Description]]="","",VLOOKUP(Table2[[#This Row],[Description]],$Q$1:$S$101,3,FALSE))</f>
        <v/>
      </c>
      <c r="I8689" s="1" t="str">
        <f>IF(Table2[[#This Row],[Description]]="","",IF(Table2[[#This Row],[Currency]]=$O$2,$P$2,HLOOKUP(Table2[[#This Row],[Date]],Funds!$C$10:$GV$11,2,FALSE)))</f>
        <v/>
      </c>
      <c r="J8689" s="215" t="str">
        <f>IF(Table2[[#This Row],[Description]]="","",Table2[[#This Row],[Value]]/Table2[[#This Row],[Conversion]])</f>
        <v/>
      </c>
      <c r="K8689" s="45" t="str">
        <f>IF(Table2[[#This Row],[Description]]="","",DATE(Table2[[#This Row],[Year]],Table2[[#This Row],[Month]],1))</f>
        <v/>
      </c>
    </row>
    <row r="8690" spans="7:11" x14ac:dyDescent="0.25">
      <c r="G8690" s="1" t="str">
        <f>IF(Table2[[#This Row],[Description]]="","",VLOOKUP(Table2[[#This Row],[Description]],$Q$1:$S$101,2,FALSE))</f>
        <v/>
      </c>
      <c r="H8690" s="1" t="str">
        <f>IF(Table2[[#This Row],[Description]]="","",VLOOKUP(Table2[[#This Row],[Description]],$Q$1:$S$101,3,FALSE))</f>
        <v/>
      </c>
      <c r="I8690" s="1" t="str">
        <f>IF(Table2[[#This Row],[Description]]="","",IF(Table2[[#This Row],[Currency]]=$O$2,$P$2,HLOOKUP(Table2[[#This Row],[Date]],Funds!$C$10:$GV$11,2,FALSE)))</f>
        <v/>
      </c>
      <c r="J8690" s="215" t="str">
        <f>IF(Table2[[#This Row],[Description]]="","",Table2[[#This Row],[Value]]/Table2[[#This Row],[Conversion]])</f>
        <v/>
      </c>
      <c r="K8690" s="45" t="str">
        <f>IF(Table2[[#This Row],[Description]]="","",DATE(Table2[[#This Row],[Year]],Table2[[#This Row],[Month]],1))</f>
        <v/>
      </c>
    </row>
    <row r="8691" spans="7:11" x14ac:dyDescent="0.25">
      <c r="G8691" s="1" t="str">
        <f>IF(Table2[[#This Row],[Description]]="","",VLOOKUP(Table2[[#This Row],[Description]],$Q$1:$S$101,2,FALSE))</f>
        <v/>
      </c>
      <c r="H8691" s="1" t="str">
        <f>IF(Table2[[#This Row],[Description]]="","",VLOOKUP(Table2[[#This Row],[Description]],$Q$1:$S$101,3,FALSE))</f>
        <v/>
      </c>
      <c r="I8691" s="1" t="str">
        <f>IF(Table2[[#This Row],[Description]]="","",IF(Table2[[#This Row],[Currency]]=$O$2,$P$2,HLOOKUP(Table2[[#This Row],[Date]],Funds!$C$10:$GV$11,2,FALSE)))</f>
        <v/>
      </c>
      <c r="J8691" s="215" t="str">
        <f>IF(Table2[[#This Row],[Description]]="","",Table2[[#This Row],[Value]]/Table2[[#This Row],[Conversion]])</f>
        <v/>
      </c>
      <c r="K8691" s="45" t="str">
        <f>IF(Table2[[#This Row],[Description]]="","",DATE(Table2[[#This Row],[Year]],Table2[[#This Row],[Month]],1))</f>
        <v/>
      </c>
    </row>
    <row r="8692" spans="7:11" x14ac:dyDescent="0.25">
      <c r="G8692" s="1" t="str">
        <f>IF(Table2[[#This Row],[Description]]="","",VLOOKUP(Table2[[#This Row],[Description]],$Q$1:$S$101,2,FALSE))</f>
        <v/>
      </c>
      <c r="H8692" s="1" t="str">
        <f>IF(Table2[[#This Row],[Description]]="","",VLOOKUP(Table2[[#This Row],[Description]],$Q$1:$S$101,3,FALSE))</f>
        <v/>
      </c>
      <c r="I8692" s="1" t="str">
        <f>IF(Table2[[#This Row],[Description]]="","",IF(Table2[[#This Row],[Currency]]=$O$2,$P$2,HLOOKUP(Table2[[#This Row],[Date]],Funds!$C$10:$GV$11,2,FALSE)))</f>
        <v/>
      </c>
      <c r="J8692" s="215" t="str">
        <f>IF(Table2[[#This Row],[Description]]="","",Table2[[#This Row],[Value]]/Table2[[#This Row],[Conversion]])</f>
        <v/>
      </c>
      <c r="K8692" s="45" t="str">
        <f>IF(Table2[[#This Row],[Description]]="","",DATE(Table2[[#This Row],[Year]],Table2[[#This Row],[Month]],1))</f>
        <v/>
      </c>
    </row>
    <row r="8693" spans="7:11" x14ac:dyDescent="0.25">
      <c r="G8693" s="1" t="str">
        <f>IF(Table2[[#This Row],[Description]]="","",VLOOKUP(Table2[[#This Row],[Description]],$Q$1:$S$101,2,FALSE))</f>
        <v/>
      </c>
      <c r="H8693" s="1" t="str">
        <f>IF(Table2[[#This Row],[Description]]="","",VLOOKUP(Table2[[#This Row],[Description]],$Q$1:$S$101,3,FALSE))</f>
        <v/>
      </c>
      <c r="I8693" s="1" t="str">
        <f>IF(Table2[[#This Row],[Description]]="","",IF(Table2[[#This Row],[Currency]]=$O$2,$P$2,HLOOKUP(Table2[[#This Row],[Date]],Funds!$C$10:$GV$11,2,FALSE)))</f>
        <v/>
      </c>
      <c r="J8693" s="215" t="str">
        <f>IF(Table2[[#This Row],[Description]]="","",Table2[[#This Row],[Value]]/Table2[[#This Row],[Conversion]])</f>
        <v/>
      </c>
      <c r="K8693" s="45" t="str">
        <f>IF(Table2[[#This Row],[Description]]="","",DATE(Table2[[#This Row],[Year]],Table2[[#This Row],[Month]],1))</f>
        <v/>
      </c>
    </row>
    <row r="8694" spans="7:11" x14ac:dyDescent="0.25">
      <c r="G8694" s="1" t="str">
        <f>IF(Table2[[#This Row],[Description]]="","",VLOOKUP(Table2[[#This Row],[Description]],$Q$1:$S$101,2,FALSE))</f>
        <v/>
      </c>
      <c r="H8694" s="1" t="str">
        <f>IF(Table2[[#This Row],[Description]]="","",VLOOKUP(Table2[[#This Row],[Description]],$Q$1:$S$101,3,FALSE))</f>
        <v/>
      </c>
      <c r="I8694" s="1" t="str">
        <f>IF(Table2[[#This Row],[Description]]="","",IF(Table2[[#This Row],[Currency]]=$O$2,$P$2,HLOOKUP(Table2[[#This Row],[Date]],Funds!$C$10:$GV$11,2,FALSE)))</f>
        <v/>
      </c>
      <c r="J8694" s="215" t="str">
        <f>IF(Table2[[#This Row],[Description]]="","",Table2[[#This Row],[Value]]/Table2[[#This Row],[Conversion]])</f>
        <v/>
      </c>
      <c r="K8694" s="45" t="str">
        <f>IF(Table2[[#This Row],[Description]]="","",DATE(Table2[[#This Row],[Year]],Table2[[#This Row],[Month]],1))</f>
        <v/>
      </c>
    </row>
    <row r="8695" spans="7:11" x14ac:dyDescent="0.25">
      <c r="G8695" s="1" t="str">
        <f>IF(Table2[[#This Row],[Description]]="","",VLOOKUP(Table2[[#This Row],[Description]],$Q$1:$S$101,2,FALSE))</f>
        <v/>
      </c>
      <c r="H8695" s="1" t="str">
        <f>IF(Table2[[#This Row],[Description]]="","",VLOOKUP(Table2[[#This Row],[Description]],$Q$1:$S$101,3,FALSE))</f>
        <v/>
      </c>
      <c r="I8695" s="1" t="str">
        <f>IF(Table2[[#This Row],[Description]]="","",IF(Table2[[#This Row],[Currency]]=$O$2,$P$2,HLOOKUP(Table2[[#This Row],[Date]],Funds!$C$10:$GV$11,2,FALSE)))</f>
        <v/>
      </c>
      <c r="J8695" s="215" t="str">
        <f>IF(Table2[[#This Row],[Description]]="","",Table2[[#This Row],[Value]]/Table2[[#This Row],[Conversion]])</f>
        <v/>
      </c>
      <c r="K8695" s="45" t="str">
        <f>IF(Table2[[#This Row],[Description]]="","",DATE(Table2[[#This Row],[Year]],Table2[[#This Row],[Month]],1))</f>
        <v/>
      </c>
    </row>
    <row r="8696" spans="7:11" x14ac:dyDescent="0.25">
      <c r="G8696" s="1" t="str">
        <f>IF(Table2[[#This Row],[Description]]="","",VLOOKUP(Table2[[#This Row],[Description]],$Q$1:$S$101,2,FALSE))</f>
        <v/>
      </c>
      <c r="H8696" s="1" t="str">
        <f>IF(Table2[[#This Row],[Description]]="","",VLOOKUP(Table2[[#This Row],[Description]],$Q$1:$S$101,3,FALSE))</f>
        <v/>
      </c>
      <c r="I8696" s="1" t="str">
        <f>IF(Table2[[#This Row],[Description]]="","",IF(Table2[[#This Row],[Currency]]=$O$2,$P$2,HLOOKUP(Table2[[#This Row],[Date]],Funds!$C$10:$GV$11,2,FALSE)))</f>
        <v/>
      </c>
      <c r="J8696" s="215" t="str">
        <f>IF(Table2[[#This Row],[Description]]="","",Table2[[#This Row],[Value]]/Table2[[#This Row],[Conversion]])</f>
        <v/>
      </c>
      <c r="K8696" s="45" t="str">
        <f>IF(Table2[[#This Row],[Description]]="","",DATE(Table2[[#This Row],[Year]],Table2[[#This Row],[Month]],1))</f>
        <v/>
      </c>
    </row>
    <row r="8697" spans="7:11" x14ac:dyDescent="0.25">
      <c r="G8697" s="1" t="str">
        <f>IF(Table2[[#This Row],[Description]]="","",VLOOKUP(Table2[[#This Row],[Description]],$Q$1:$S$101,2,FALSE))</f>
        <v/>
      </c>
      <c r="H8697" s="1" t="str">
        <f>IF(Table2[[#This Row],[Description]]="","",VLOOKUP(Table2[[#This Row],[Description]],$Q$1:$S$101,3,FALSE))</f>
        <v/>
      </c>
      <c r="I8697" s="1" t="str">
        <f>IF(Table2[[#This Row],[Description]]="","",IF(Table2[[#This Row],[Currency]]=$O$2,$P$2,HLOOKUP(Table2[[#This Row],[Date]],Funds!$C$10:$GV$11,2,FALSE)))</f>
        <v/>
      </c>
      <c r="J8697" s="215" t="str">
        <f>IF(Table2[[#This Row],[Description]]="","",Table2[[#This Row],[Value]]/Table2[[#This Row],[Conversion]])</f>
        <v/>
      </c>
      <c r="K8697" s="45" t="str">
        <f>IF(Table2[[#This Row],[Description]]="","",DATE(Table2[[#This Row],[Year]],Table2[[#This Row],[Month]],1))</f>
        <v/>
      </c>
    </row>
    <row r="8698" spans="7:11" x14ac:dyDescent="0.25">
      <c r="G8698" s="1" t="str">
        <f>IF(Table2[[#This Row],[Description]]="","",VLOOKUP(Table2[[#This Row],[Description]],$Q$1:$S$101,2,FALSE))</f>
        <v/>
      </c>
      <c r="H8698" s="1" t="str">
        <f>IF(Table2[[#This Row],[Description]]="","",VLOOKUP(Table2[[#This Row],[Description]],$Q$1:$S$101,3,FALSE))</f>
        <v/>
      </c>
      <c r="I8698" s="1" t="str">
        <f>IF(Table2[[#This Row],[Description]]="","",IF(Table2[[#This Row],[Currency]]=$O$2,$P$2,HLOOKUP(Table2[[#This Row],[Date]],Funds!$C$10:$GV$11,2,FALSE)))</f>
        <v/>
      </c>
      <c r="J8698" s="215" t="str">
        <f>IF(Table2[[#This Row],[Description]]="","",Table2[[#This Row],[Value]]/Table2[[#This Row],[Conversion]])</f>
        <v/>
      </c>
      <c r="K8698" s="45" t="str">
        <f>IF(Table2[[#This Row],[Description]]="","",DATE(Table2[[#This Row],[Year]],Table2[[#This Row],[Month]],1))</f>
        <v/>
      </c>
    </row>
    <row r="8699" spans="7:11" x14ac:dyDescent="0.25">
      <c r="G8699" s="1" t="str">
        <f>IF(Table2[[#This Row],[Description]]="","",VLOOKUP(Table2[[#This Row],[Description]],$Q$1:$S$101,2,FALSE))</f>
        <v/>
      </c>
      <c r="H8699" s="1" t="str">
        <f>IF(Table2[[#This Row],[Description]]="","",VLOOKUP(Table2[[#This Row],[Description]],$Q$1:$S$101,3,FALSE))</f>
        <v/>
      </c>
      <c r="I8699" s="1" t="str">
        <f>IF(Table2[[#This Row],[Description]]="","",IF(Table2[[#This Row],[Currency]]=$O$2,$P$2,HLOOKUP(Table2[[#This Row],[Date]],Funds!$C$10:$GV$11,2,FALSE)))</f>
        <v/>
      </c>
      <c r="J8699" s="215" t="str">
        <f>IF(Table2[[#This Row],[Description]]="","",Table2[[#This Row],[Value]]/Table2[[#This Row],[Conversion]])</f>
        <v/>
      </c>
      <c r="K8699" s="45" t="str">
        <f>IF(Table2[[#This Row],[Description]]="","",DATE(Table2[[#This Row],[Year]],Table2[[#This Row],[Month]],1))</f>
        <v/>
      </c>
    </row>
    <row r="8700" spans="7:11" x14ac:dyDescent="0.25">
      <c r="G8700" s="1" t="str">
        <f>IF(Table2[[#This Row],[Description]]="","",VLOOKUP(Table2[[#This Row],[Description]],$Q$1:$S$101,2,FALSE))</f>
        <v/>
      </c>
      <c r="H8700" s="1" t="str">
        <f>IF(Table2[[#This Row],[Description]]="","",VLOOKUP(Table2[[#This Row],[Description]],$Q$1:$S$101,3,FALSE))</f>
        <v/>
      </c>
      <c r="I8700" s="1" t="str">
        <f>IF(Table2[[#This Row],[Description]]="","",IF(Table2[[#This Row],[Currency]]=$O$2,$P$2,HLOOKUP(Table2[[#This Row],[Date]],Funds!$C$10:$GV$11,2,FALSE)))</f>
        <v/>
      </c>
      <c r="J8700" s="215" t="str">
        <f>IF(Table2[[#This Row],[Description]]="","",Table2[[#This Row],[Value]]/Table2[[#This Row],[Conversion]])</f>
        <v/>
      </c>
      <c r="K8700" s="45" t="str">
        <f>IF(Table2[[#This Row],[Description]]="","",DATE(Table2[[#This Row],[Year]],Table2[[#This Row],[Month]],1))</f>
        <v/>
      </c>
    </row>
    <row r="8701" spans="7:11" x14ac:dyDescent="0.25">
      <c r="G8701" s="1" t="str">
        <f>IF(Table2[[#This Row],[Description]]="","",VLOOKUP(Table2[[#This Row],[Description]],$Q$1:$S$101,2,FALSE))</f>
        <v/>
      </c>
      <c r="H8701" s="1" t="str">
        <f>IF(Table2[[#This Row],[Description]]="","",VLOOKUP(Table2[[#This Row],[Description]],$Q$1:$S$101,3,FALSE))</f>
        <v/>
      </c>
      <c r="I8701" s="1" t="str">
        <f>IF(Table2[[#This Row],[Description]]="","",IF(Table2[[#This Row],[Currency]]=$O$2,$P$2,HLOOKUP(Table2[[#This Row],[Date]],Funds!$C$10:$GV$11,2,FALSE)))</f>
        <v/>
      </c>
      <c r="J8701" s="215" t="str">
        <f>IF(Table2[[#This Row],[Description]]="","",Table2[[#This Row],[Value]]/Table2[[#This Row],[Conversion]])</f>
        <v/>
      </c>
      <c r="K8701" s="45" t="str">
        <f>IF(Table2[[#This Row],[Description]]="","",DATE(Table2[[#This Row],[Year]],Table2[[#This Row],[Month]],1))</f>
        <v/>
      </c>
    </row>
    <row r="8702" spans="7:11" x14ac:dyDescent="0.25">
      <c r="G8702" s="1" t="str">
        <f>IF(Table2[[#This Row],[Description]]="","",VLOOKUP(Table2[[#This Row],[Description]],$Q$1:$S$101,2,FALSE))</f>
        <v/>
      </c>
      <c r="H8702" s="1" t="str">
        <f>IF(Table2[[#This Row],[Description]]="","",VLOOKUP(Table2[[#This Row],[Description]],$Q$1:$S$101,3,FALSE))</f>
        <v/>
      </c>
      <c r="I8702" s="1" t="str">
        <f>IF(Table2[[#This Row],[Description]]="","",IF(Table2[[#This Row],[Currency]]=$O$2,$P$2,HLOOKUP(Table2[[#This Row],[Date]],Funds!$C$10:$GV$11,2,FALSE)))</f>
        <v/>
      </c>
      <c r="J8702" s="215" t="str">
        <f>IF(Table2[[#This Row],[Description]]="","",Table2[[#This Row],[Value]]/Table2[[#This Row],[Conversion]])</f>
        <v/>
      </c>
      <c r="K8702" s="45" t="str">
        <f>IF(Table2[[#This Row],[Description]]="","",DATE(Table2[[#This Row],[Year]],Table2[[#This Row],[Month]],1))</f>
        <v/>
      </c>
    </row>
    <row r="8703" spans="7:11" x14ac:dyDescent="0.25">
      <c r="G8703" s="1" t="str">
        <f>IF(Table2[[#This Row],[Description]]="","",VLOOKUP(Table2[[#This Row],[Description]],$Q$1:$S$101,2,FALSE))</f>
        <v/>
      </c>
      <c r="H8703" s="1" t="str">
        <f>IF(Table2[[#This Row],[Description]]="","",VLOOKUP(Table2[[#This Row],[Description]],$Q$1:$S$101,3,FALSE))</f>
        <v/>
      </c>
      <c r="I8703" s="1" t="str">
        <f>IF(Table2[[#This Row],[Description]]="","",IF(Table2[[#This Row],[Currency]]=$O$2,$P$2,HLOOKUP(Table2[[#This Row],[Date]],Funds!$C$10:$GV$11,2,FALSE)))</f>
        <v/>
      </c>
      <c r="J8703" s="215" t="str">
        <f>IF(Table2[[#This Row],[Description]]="","",Table2[[#This Row],[Value]]/Table2[[#This Row],[Conversion]])</f>
        <v/>
      </c>
      <c r="K8703" s="45" t="str">
        <f>IF(Table2[[#This Row],[Description]]="","",DATE(Table2[[#This Row],[Year]],Table2[[#This Row],[Month]],1))</f>
        <v/>
      </c>
    </row>
    <row r="8704" spans="7:11" x14ac:dyDescent="0.25">
      <c r="G8704" s="1" t="str">
        <f>IF(Table2[[#This Row],[Description]]="","",VLOOKUP(Table2[[#This Row],[Description]],$Q$1:$S$101,2,FALSE))</f>
        <v/>
      </c>
      <c r="H8704" s="1" t="str">
        <f>IF(Table2[[#This Row],[Description]]="","",VLOOKUP(Table2[[#This Row],[Description]],$Q$1:$S$101,3,FALSE))</f>
        <v/>
      </c>
      <c r="I8704" s="1" t="str">
        <f>IF(Table2[[#This Row],[Description]]="","",IF(Table2[[#This Row],[Currency]]=$O$2,$P$2,HLOOKUP(Table2[[#This Row],[Date]],Funds!$C$10:$GV$11,2,FALSE)))</f>
        <v/>
      </c>
      <c r="J8704" s="215" t="str">
        <f>IF(Table2[[#This Row],[Description]]="","",Table2[[#This Row],[Value]]/Table2[[#This Row],[Conversion]])</f>
        <v/>
      </c>
      <c r="K8704" s="45" t="str">
        <f>IF(Table2[[#This Row],[Description]]="","",DATE(Table2[[#This Row],[Year]],Table2[[#This Row],[Month]],1))</f>
        <v/>
      </c>
    </row>
    <row r="8705" spans="7:11" x14ac:dyDescent="0.25">
      <c r="G8705" s="1" t="str">
        <f>IF(Table2[[#This Row],[Description]]="","",VLOOKUP(Table2[[#This Row],[Description]],$Q$1:$S$101,2,FALSE))</f>
        <v/>
      </c>
      <c r="H8705" s="1" t="str">
        <f>IF(Table2[[#This Row],[Description]]="","",VLOOKUP(Table2[[#This Row],[Description]],$Q$1:$S$101,3,FALSE))</f>
        <v/>
      </c>
      <c r="I8705" s="1" t="str">
        <f>IF(Table2[[#This Row],[Description]]="","",IF(Table2[[#This Row],[Currency]]=$O$2,$P$2,HLOOKUP(Table2[[#This Row],[Date]],Funds!$C$10:$GV$11,2,FALSE)))</f>
        <v/>
      </c>
      <c r="J8705" s="215" t="str">
        <f>IF(Table2[[#This Row],[Description]]="","",Table2[[#This Row],[Value]]/Table2[[#This Row],[Conversion]])</f>
        <v/>
      </c>
      <c r="K8705" s="45" t="str">
        <f>IF(Table2[[#This Row],[Description]]="","",DATE(Table2[[#This Row],[Year]],Table2[[#This Row],[Month]],1))</f>
        <v/>
      </c>
    </row>
    <row r="8706" spans="7:11" x14ac:dyDescent="0.25">
      <c r="G8706" s="1" t="str">
        <f>IF(Table2[[#This Row],[Description]]="","",VLOOKUP(Table2[[#This Row],[Description]],$Q$1:$S$101,2,FALSE))</f>
        <v/>
      </c>
      <c r="H8706" s="1" t="str">
        <f>IF(Table2[[#This Row],[Description]]="","",VLOOKUP(Table2[[#This Row],[Description]],$Q$1:$S$101,3,FALSE))</f>
        <v/>
      </c>
      <c r="I8706" s="1" t="str">
        <f>IF(Table2[[#This Row],[Description]]="","",IF(Table2[[#This Row],[Currency]]=$O$2,$P$2,HLOOKUP(Table2[[#This Row],[Date]],Funds!$C$10:$GV$11,2,FALSE)))</f>
        <v/>
      </c>
      <c r="J8706" s="215" t="str">
        <f>IF(Table2[[#This Row],[Description]]="","",Table2[[#This Row],[Value]]/Table2[[#This Row],[Conversion]])</f>
        <v/>
      </c>
      <c r="K8706" s="45" t="str">
        <f>IF(Table2[[#This Row],[Description]]="","",DATE(Table2[[#This Row],[Year]],Table2[[#This Row],[Month]],1))</f>
        <v/>
      </c>
    </row>
    <row r="8707" spans="7:11" x14ac:dyDescent="0.25">
      <c r="G8707" s="1" t="str">
        <f>IF(Table2[[#This Row],[Description]]="","",VLOOKUP(Table2[[#This Row],[Description]],$Q$1:$S$101,2,FALSE))</f>
        <v/>
      </c>
      <c r="H8707" s="1" t="str">
        <f>IF(Table2[[#This Row],[Description]]="","",VLOOKUP(Table2[[#This Row],[Description]],$Q$1:$S$101,3,FALSE))</f>
        <v/>
      </c>
      <c r="I8707" s="1" t="str">
        <f>IF(Table2[[#This Row],[Description]]="","",IF(Table2[[#This Row],[Currency]]=$O$2,$P$2,HLOOKUP(Table2[[#This Row],[Date]],Funds!$C$10:$GV$11,2,FALSE)))</f>
        <v/>
      </c>
      <c r="J8707" s="215" t="str">
        <f>IF(Table2[[#This Row],[Description]]="","",Table2[[#This Row],[Value]]/Table2[[#This Row],[Conversion]])</f>
        <v/>
      </c>
      <c r="K8707" s="45" t="str">
        <f>IF(Table2[[#This Row],[Description]]="","",DATE(Table2[[#This Row],[Year]],Table2[[#This Row],[Month]],1))</f>
        <v/>
      </c>
    </row>
    <row r="8708" spans="7:11" x14ac:dyDescent="0.25">
      <c r="G8708" s="1" t="str">
        <f>IF(Table2[[#This Row],[Description]]="","",VLOOKUP(Table2[[#This Row],[Description]],$Q$1:$S$101,2,FALSE))</f>
        <v/>
      </c>
      <c r="H8708" s="1" t="str">
        <f>IF(Table2[[#This Row],[Description]]="","",VLOOKUP(Table2[[#This Row],[Description]],$Q$1:$S$101,3,FALSE))</f>
        <v/>
      </c>
      <c r="I8708" s="1" t="str">
        <f>IF(Table2[[#This Row],[Description]]="","",IF(Table2[[#This Row],[Currency]]=$O$2,$P$2,HLOOKUP(Table2[[#This Row],[Date]],Funds!$C$10:$GV$11,2,FALSE)))</f>
        <v/>
      </c>
      <c r="J8708" s="215" t="str">
        <f>IF(Table2[[#This Row],[Description]]="","",Table2[[#This Row],[Value]]/Table2[[#This Row],[Conversion]])</f>
        <v/>
      </c>
      <c r="K8708" s="45" t="str">
        <f>IF(Table2[[#This Row],[Description]]="","",DATE(Table2[[#This Row],[Year]],Table2[[#This Row],[Month]],1))</f>
        <v/>
      </c>
    </row>
    <row r="8709" spans="7:11" x14ac:dyDescent="0.25">
      <c r="G8709" s="1" t="str">
        <f>IF(Table2[[#This Row],[Description]]="","",VLOOKUP(Table2[[#This Row],[Description]],$Q$1:$S$101,2,FALSE))</f>
        <v/>
      </c>
      <c r="H8709" s="1" t="str">
        <f>IF(Table2[[#This Row],[Description]]="","",VLOOKUP(Table2[[#This Row],[Description]],$Q$1:$S$101,3,FALSE))</f>
        <v/>
      </c>
      <c r="I8709" s="1" t="str">
        <f>IF(Table2[[#This Row],[Description]]="","",IF(Table2[[#This Row],[Currency]]=$O$2,$P$2,HLOOKUP(Table2[[#This Row],[Date]],Funds!$C$10:$GV$11,2,FALSE)))</f>
        <v/>
      </c>
      <c r="J8709" s="215" t="str">
        <f>IF(Table2[[#This Row],[Description]]="","",Table2[[#This Row],[Value]]/Table2[[#This Row],[Conversion]])</f>
        <v/>
      </c>
      <c r="K8709" s="45" t="str">
        <f>IF(Table2[[#This Row],[Description]]="","",DATE(Table2[[#This Row],[Year]],Table2[[#This Row],[Month]],1))</f>
        <v/>
      </c>
    </row>
    <row r="8710" spans="7:11" x14ac:dyDescent="0.25">
      <c r="G8710" s="1" t="str">
        <f>IF(Table2[[#This Row],[Description]]="","",VLOOKUP(Table2[[#This Row],[Description]],$Q$1:$S$101,2,FALSE))</f>
        <v/>
      </c>
      <c r="H8710" s="1" t="str">
        <f>IF(Table2[[#This Row],[Description]]="","",VLOOKUP(Table2[[#This Row],[Description]],$Q$1:$S$101,3,FALSE))</f>
        <v/>
      </c>
      <c r="I8710" s="1" t="str">
        <f>IF(Table2[[#This Row],[Description]]="","",IF(Table2[[#This Row],[Currency]]=$O$2,$P$2,HLOOKUP(Table2[[#This Row],[Date]],Funds!$C$10:$GV$11,2,FALSE)))</f>
        <v/>
      </c>
      <c r="J8710" s="215" t="str">
        <f>IF(Table2[[#This Row],[Description]]="","",Table2[[#This Row],[Value]]/Table2[[#This Row],[Conversion]])</f>
        <v/>
      </c>
      <c r="K8710" s="45" t="str">
        <f>IF(Table2[[#This Row],[Description]]="","",DATE(Table2[[#This Row],[Year]],Table2[[#This Row],[Month]],1))</f>
        <v/>
      </c>
    </row>
    <row r="8711" spans="7:11" x14ac:dyDescent="0.25">
      <c r="G8711" s="1" t="str">
        <f>IF(Table2[[#This Row],[Description]]="","",VLOOKUP(Table2[[#This Row],[Description]],$Q$1:$S$101,2,FALSE))</f>
        <v/>
      </c>
      <c r="H8711" s="1" t="str">
        <f>IF(Table2[[#This Row],[Description]]="","",VLOOKUP(Table2[[#This Row],[Description]],$Q$1:$S$101,3,FALSE))</f>
        <v/>
      </c>
      <c r="I8711" s="1" t="str">
        <f>IF(Table2[[#This Row],[Description]]="","",IF(Table2[[#This Row],[Currency]]=$O$2,$P$2,HLOOKUP(Table2[[#This Row],[Date]],Funds!$C$10:$GV$11,2,FALSE)))</f>
        <v/>
      </c>
      <c r="J8711" s="215" t="str">
        <f>IF(Table2[[#This Row],[Description]]="","",Table2[[#This Row],[Value]]/Table2[[#This Row],[Conversion]])</f>
        <v/>
      </c>
      <c r="K8711" s="45" t="str">
        <f>IF(Table2[[#This Row],[Description]]="","",DATE(Table2[[#This Row],[Year]],Table2[[#This Row],[Month]],1))</f>
        <v/>
      </c>
    </row>
    <row r="8712" spans="7:11" x14ac:dyDescent="0.25">
      <c r="G8712" s="1" t="str">
        <f>IF(Table2[[#This Row],[Description]]="","",VLOOKUP(Table2[[#This Row],[Description]],$Q$1:$S$101,2,FALSE))</f>
        <v/>
      </c>
      <c r="H8712" s="1" t="str">
        <f>IF(Table2[[#This Row],[Description]]="","",VLOOKUP(Table2[[#This Row],[Description]],$Q$1:$S$101,3,FALSE))</f>
        <v/>
      </c>
      <c r="I8712" s="1" t="str">
        <f>IF(Table2[[#This Row],[Description]]="","",IF(Table2[[#This Row],[Currency]]=$O$2,$P$2,HLOOKUP(Table2[[#This Row],[Date]],Funds!$C$10:$GV$11,2,FALSE)))</f>
        <v/>
      </c>
      <c r="J8712" s="215" t="str">
        <f>IF(Table2[[#This Row],[Description]]="","",Table2[[#This Row],[Value]]/Table2[[#This Row],[Conversion]])</f>
        <v/>
      </c>
      <c r="K8712" s="45" t="str">
        <f>IF(Table2[[#This Row],[Description]]="","",DATE(Table2[[#This Row],[Year]],Table2[[#This Row],[Month]],1))</f>
        <v/>
      </c>
    </row>
    <row r="8713" spans="7:11" x14ac:dyDescent="0.25">
      <c r="G8713" s="1" t="str">
        <f>IF(Table2[[#This Row],[Description]]="","",VLOOKUP(Table2[[#This Row],[Description]],$Q$1:$S$101,2,FALSE))</f>
        <v/>
      </c>
      <c r="H8713" s="1" t="str">
        <f>IF(Table2[[#This Row],[Description]]="","",VLOOKUP(Table2[[#This Row],[Description]],$Q$1:$S$101,3,FALSE))</f>
        <v/>
      </c>
      <c r="I8713" s="1" t="str">
        <f>IF(Table2[[#This Row],[Description]]="","",IF(Table2[[#This Row],[Currency]]=$O$2,$P$2,HLOOKUP(Table2[[#This Row],[Date]],Funds!$C$10:$GV$11,2,FALSE)))</f>
        <v/>
      </c>
      <c r="J8713" s="215" t="str">
        <f>IF(Table2[[#This Row],[Description]]="","",Table2[[#This Row],[Value]]/Table2[[#This Row],[Conversion]])</f>
        <v/>
      </c>
      <c r="K8713" s="45" t="str">
        <f>IF(Table2[[#This Row],[Description]]="","",DATE(Table2[[#This Row],[Year]],Table2[[#This Row],[Month]],1))</f>
        <v/>
      </c>
    </row>
    <row r="8714" spans="7:11" x14ac:dyDescent="0.25">
      <c r="G8714" s="1" t="str">
        <f>IF(Table2[[#This Row],[Description]]="","",VLOOKUP(Table2[[#This Row],[Description]],$Q$1:$S$101,2,FALSE))</f>
        <v/>
      </c>
      <c r="H8714" s="1" t="str">
        <f>IF(Table2[[#This Row],[Description]]="","",VLOOKUP(Table2[[#This Row],[Description]],$Q$1:$S$101,3,FALSE))</f>
        <v/>
      </c>
      <c r="I8714" s="1" t="str">
        <f>IF(Table2[[#This Row],[Description]]="","",IF(Table2[[#This Row],[Currency]]=$O$2,$P$2,HLOOKUP(Table2[[#This Row],[Date]],Funds!$C$10:$GV$11,2,FALSE)))</f>
        <v/>
      </c>
      <c r="J8714" s="215" t="str">
        <f>IF(Table2[[#This Row],[Description]]="","",Table2[[#This Row],[Value]]/Table2[[#This Row],[Conversion]])</f>
        <v/>
      </c>
      <c r="K8714" s="45" t="str">
        <f>IF(Table2[[#This Row],[Description]]="","",DATE(Table2[[#This Row],[Year]],Table2[[#This Row],[Month]],1))</f>
        <v/>
      </c>
    </row>
    <row r="8715" spans="7:11" x14ac:dyDescent="0.25">
      <c r="G8715" s="1" t="str">
        <f>IF(Table2[[#This Row],[Description]]="","",VLOOKUP(Table2[[#This Row],[Description]],$Q$1:$S$101,2,FALSE))</f>
        <v/>
      </c>
      <c r="H8715" s="1" t="str">
        <f>IF(Table2[[#This Row],[Description]]="","",VLOOKUP(Table2[[#This Row],[Description]],$Q$1:$S$101,3,FALSE))</f>
        <v/>
      </c>
      <c r="I8715" s="1" t="str">
        <f>IF(Table2[[#This Row],[Description]]="","",IF(Table2[[#This Row],[Currency]]=$O$2,$P$2,HLOOKUP(Table2[[#This Row],[Date]],Funds!$C$10:$GV$11,2,FALSE)))</f>
        <v/>
      </c>
      <c r="J8715" s="215" t="str">
        <f>IF(Table2[[#This Row],[Description]]="","",Table2[[#This Row],[Value]]/Table2[[#This Row],[Conversion]])</f>
        <v/>
      </c>
      <c r="K8715" s="45" t="str">
        <f>IF(Table2[[#This Row],[Description]]="","",DATE(Table2[[#This Row],[Year]],Table2[[#This Row],[Month]],1))</f>
        <v/>
      </c>
    </row>
    <row r="8716" spans="7:11" x14ac:dyDescent="0.25">
      <c r="G8716" s="1" t="str">
        <f>IF(Table2[[#This Row],[Description]]="","",VLOOKUP(Table2[[#This Row],[Description]],$Q$1:$S$101,2,FALSE))</f>
        <v/>
      </c>
      <c r="H8716" s="1" t="str">
        <f>IF(Table2[[#This Row],[Description]]="","",VLOOKUP(Table2[[#This Row],[Description]],$Q$1:$S$101,3,FALSE))</f>
        <v/>
      </c>
      <c r="I8716" s="1" t="str">
        <f>IF(Table2[[#This Row],[Description]]="","",IF(Table2[[#This Row],[Currency]]=$O$2,$P$2,HLOOKUP(Table2[[#This Row],[Date]],Funds!$C$10:$GV$11,2,FALSE)))</f>
        <v/>
      </c>
      <c r="J8716" s="215" t="str">
        <f>IF(Table2[[#This Row],[Description]]="","",Table2[[#This Row],[Value]]/Table2[[#This Row],[Conversion]])</f>
        <v/>
      </c>
      <c r="K8716" s="45" t="str">
        <f>IF(Table2[[#This Row],[Description]]="","",DATE(Table2[[#This Row],[Year]],Table2[[#This Row],[Month]],1))</f>
        <v/>
      </c>
    </row>
    <row r="8717" spans="7:11" x14ac:dyDescent="0.25">
      <c r="G8717" s="1" t="str">
        <f>IF(Table2[[#This Row],[Description]]="","",VLOOKUP(Table2[[#This Row],[Description]],$Q$1:$S$101,2,FALSE))</f>
        <v/>
      </c>
      <c r="H8717" s="1" t="str">
        <f>IF(Table2[[#This Row],[Description]]="","",VLOOKUP(Table2[[#This Row],[Description]],$Q$1:$S$101,3,FALSE))</f>
        <v/>
      </c>
      <c r="I8717" s="1" t="str">
        <f>IF(Table2[[#This Row],[Description]]="","",IF(Table2[[#This Row],[Currency]]=$O$2,$P$2,HLOOKUP(Table2[[#This Row],[Date]],Funds!$C$10:$GV$11,2,FALSE)))</f>
        <v/>
      </c>
      <c r="J8717" s="215" t="str">
        <f>IF(Table2[[#This Row],[Description]]="","",Table2[[#This Row],[Value]]/Table2[[#This Row],[Conversion]])</f>
        <v/>
      </c>
      <c r="K8717" s="45" t="str">
        <f>IF(Table2[[#This Row],[Description]]="","",DATE(Table2[[#This Row],[Year]],Table2[[#This Row],[Month]],1))</f>
        <v/>
      </c>
    </row>
    <row r="8718" spans="7:11" x14ac:dyDescent="0.25">
      <c r="G8718" s="1" t="str">
        <f>IF(Table2[[#This Row],[Description]]="","",VLOOKUP(Table2[[#This Row],[Description]],$Q$1:$S$101,2,FALSE))</f>
        <v/>
      </c>
      <c r="H8718" s="1" t="str">
        <f>IF(Table2[[#This Row],[Description]]="","",VLOOKUP(Table2[[#This Row],[Description]],$Q$1:$S$101,3,FALSE))</f>
        <v/>
      </c>
      <c r="I8718" s="1" t="str">
        <f>IF(Table2[[#This Row],[Description]]="","",IF(Table2[[#This Row],[Currency]]=$O$2,$P$2,HLOOKUP(Table2[[#This Row],[Date]],Funds!$C$10:$GV$11,2,FALSE)))</f>
        <v/>
      </c>
      <c r="J8718" s="215" t="str">
        <f>IF(Table2[[#This Row],[Description]]="","",Table2[[#This Row],[Value]]/Table2[[#This Row],[Conversion]])</f>
        <v/>
      </c>
      <c r="K8718" s="45" t="str">
        <f>IF(Table2[[#This Row],[Description]]="","",DATE(Table2[[#This Row],[Year]],Table2[[#This Row],[Month]],1))</f>
        <v/>
      </c>
    </row>
    <row r="8719" spans="7:11" x14ac:dyDescent="0.25">
      <c r="G8719" s="1" t="str">
        <f>IF(Table2[[#This Row],[Description]]="","",VLOOKUP(Table2[[#This Row],[Description]],$Q$1:$S$101,2,FALSE))</f>
        <v/>
      </c>
      <c r="H8719" s="1" t="str">
        <f>IF(Table2[[#This Row],[Description]]="","",VLOOKUP(Table2[[#This Row],[Description]],$Q$1:$S$101,3,FALSE))</f>
        <v/>
      </c>
      <c r="I8719" s="1" t="str">
        <f>IF(Table2[[#This Row],[Description]]="","",IF(Table2[[#This Row],[Currency]]=$O$2,$P$2,HLOOKUP(Table2[[#This Row],[Date]],Funds!$C$10:$GV$11,2,FALSE)))</f>
        <v/>
      </c>
      <c r="J8719" s="215" t="str">
        <f>IF(Table2[[#This Row],[Description]]="","",Table2[[#This Row],[Value]]/Table2[[#This Row],[Conversion]])</f>
        <v/>
      </c>
      <c r="K8719" s="45" t="str">
        <f>IF(Table2[[#This Row],[Description]]="","",DATE(Table2[[#This Row],[Year]],Table2[[#This Row],[Month]],1))</f>
        <v/>
      </c>
    </row>
    <row r="8720" spans="7:11" x14ac:dyDescent="0.25">
      <c r="G8720" s="1" t="str">
        <f>IF(Table2[[#This Row],[Description]]="","",VLOOKUP(Table2[[#This Row],[Description]],$Q$1:$S$101,2,FALSE))</f>
        <v/>
      </c>
      <c r="H8720" s="1" t="str">
        <f>IF(Table2[[#This Row],[Description]]="","",VLOOKUP(Table2[[#This Row],[Description]],$Q$1:$S$101,3,FALSE))</f>
        <v/>
      </c>
      <c r="I8720" s="1" t="str">
        <f>IF(Table2[[#This Row],[Description]]="","",IF(Table2[[#This Row],[Currency]]=$O$2,$P$2,HLOOKUP(Table2[[#This Row],[Date]],Funds!$C$10:$GV$11,2,FALSE)))</f>
        <v/>
      </c>
      <c r="J8720" s="215" t="str">
        <f>IF(Table2[[#This Row],[Description]]="","",Table2[[#This Row],[Value]]/Table2[[#This Row],[Conversion]])</f>
        <v/>
      </c>
      <c r="K8720" s="45" t="str">
        <f>IF(Table2[[#This Row],[Description]]="","",DATE(Table2[[#This Row],[Year]],Table2[[#This Row],[Month]],1))</f>
        <v/>
      </c>
    </row>
    <row r="8721" spans="7:11" x14ac:dyDescent="0.25">
      <c r="G8721" s="1" t="str">
        <f>IF(Table2[[#This Row],[Description]]="","",VLOOKUP(Table2[[#This Row],[Description]],$Q$1:$S$101,2,FALSE))</f>
        <v/>
      </c>
      <c r="H8721" s="1" t="str">
        <f>IF(Table2[[#This Row],[Description]]="","",VLOOKUP(Table2[[#This Row],[Description]],$Q$1:$S$101,3,FALSE))</f>
        <v/>
      </c>
      <c r="I8721" s="1" t="str">
        <f>IF(Table2[[#This Row],[Description]]="","",IF(Table2[[#This Row],[Currency]]=$O$2,$P$2,HLOOKUP(Table2[[#This Row],[Date]],Funds!$C$10:$GV$11,2,FALSE)))</f>
        <v/>
      </c>
      <c r="J8721" s="215" t="str">
        <f>IF(Table2[[#This Row],[Description]]="","",Table2[[#This Row],[Value]]/Table2[[#This Row],[Conversion]])</f>
        <v/>
      </c>
      <c r="K8721" s="45" t="str">
        <f>IF(Table2[[#This Row],[Description]]="","",DATE(Table2[[#This Row],[Year]],Table2[[#This Row],[Month]],1))</f>
        <v/>
      </c>
    </row>
    <row r="8722" spans="7:11" x14ac:dyDescent="0.25">
      <c r="G8722" s="1" t="str">
        <f>IF(Table2[[#This Row],[Description]]="","",VLOOKUP(Table2[[#This Row],[Description]],$Q$1:$S$101,2,FALSE))</f>
        <v/>
      </c>
      <c r="H8722" s="1" t="str">
        <f>IF(Table2[[#This Row],[Description]]="","",VLOOKUP(Table2[[#This Row],[Description]],$Q$1:$S$101,3,FALSE))</f>
        <v/>
      </c>
      <c r="I8722" s="1" t="str">
        <f>IF(Table2[[#This Row],[Description]]="","",IF(Table2[[#This Row],[Currency]]=$O$2,$P$2,HLOOKUP(Table2[[#This Row],[Date]],Funds!$C$10:$GV$11,2,FALSE)))</f>
        <v/>
      </c>
      <c r="J8722" s="215" t="str">
        <f>IF(Table2[[#This Row],[Description]]="","",Table2[[#This Row],[Value]]/Table2[[#This Row],[Conversion]])</f>
        <v/>
      </c>
      <c r="K8722" s="45" t="str">
        <f>IF(Table2[[#This Row],[Description]]="","",DATE(Table2[[#This Row],[Year]],Table2[[#This Row],[Month]],1))</f>
        <v/>
      </c>
    </row>
    <row r="8723" spans="7:11" x14ac:dyDescent="0.25">
      <c r="G8723" s="1" t="str">
        <f>IF(Table2[[#This Row],[Description]]="","",VLOOKUP(Table2[[#This Row],[Description]],$Q$1:$S$101,2,FALSE))</f>
        <v/>
      </c>
      <c r="H8723" s="1" t="str">
        <f>IF(Table2[[#This Row],[Description]]="","",VLOOKUP(Table2[[#This Row],[Description]],$Q$1:$S$101,3,FALSE))</f>
        <v/>
      </c>
      <c r="I8723" s="1" t="str">
        <f>IF(Table2[[#This Row],[Description]]="","",IF(Table2[[#This Row],[Currency]]=$O$2,$P$2,HLOOKUP(Table2[[#This Row],[Date]],Funds!$C$10:$GV$11,2,FALSE)))</f>
        <v/>
      </c>
      <c r="J8723" s="215" t="str">
        <f>IF(Table2[[#This Row],[Description]]="","",Table2[[#This Row],[Value]]/Table2[[#This Row],[Conversion]])</f>
        <v/>
      </c>
      <c r="K8723" s="45" t="str">
        <f>IF(Table2[[#This Row],[Description]]="","",DATE(Table2[[#This Row],[Year]],Table2[[#This Row],[Month]],1))</f>
        <v/>
      </c>
    </row>
    <row r="8724" spans="7:11" x14ac:dyDescent="0.25">
      <c r="G8724" s="1" t="str">
        <f>IF(Table2[[#This Row],[Description]]="","",VLOOKUP(Table2[[#This Row],[Description]],$Q$1:$S$101,2,FALSE))</f>
        <v/>
      </c>
      <c r="H8724" s="1" t="str">
        <f>IF(Table2[[#This Row],[Description]]="","",VLOOKUP(Table2[[#This Row],[Description]],$Q$1:$S$101,3,FALSE))</f>
        <v/>
      </c>
      <c r="I8724" s="1" t="str">
        <f>IF(Table2[[#This Row],[Description]]="","",IF(Table2[[#This Row],[Currency]]=$O$2,$P$2,HLOOKUP(Table2[[#This Row],[Date]],Funds!$C$10:$GV$11,2,FALSE)))</f>
        <v/>
      </c>
      <c r="J8724" s="215" t="str">
        <f>IF(Table2[[#This Row],[Description]]="","",Table2[[#This Row],[Value]]/Table2[[#This Row],[Conversion]])</f>
        <v/>
      </c>
      <c r="K8724" s="45" t="str">
        <f>IF(Table2[[#This Row],[Description]]="","",DATE(Table2[[#This Row],[Year]],Table2[[#This Row],[Month]],1))</f>
        <v/>
      </c>
    </row>
    <row r="8725" spans="7:11" x14ac:dyDescent="0.25">
      <c r="G8725" s="1" t="str">
        <f>IF(Table2[[#This Row],[Description]]="","",VLOOKUP(Table2[[#This Row],[Description]],$Q$1:$S$101,2,FALSE))</f>
        <v/>
      </c>
      <c r="H8725" s="1" t="str">
        <f>IF(Table2[[#This Row],[Description]]="","",VLOOKUP(Table2[[#This Row],[Description]],$Q$1:$S$101,3,FALSE))</f>
        <v/>
      </c>
      <c r="I8725" s="1" t="str">
        <f>IF(Table2[[#This Row],[Description]]="","",IF(Table2[[#This Row],[Currency]]=$O$2,$P$2,HLOOKUP(Table2[[#This Row],[Date]],Funds!$C$10:$GV$11,2,FALSE)))</f>
        <v/>
      </c>
      <c r="J8725" s="215" t="str">
        <f>IF(Table2[[#This Row],[Description]]="","",Table2[[#This Row],[Value]]/Table2[[#This Row],[Conversion]])</f>
        <v/>
      </c>
      <c r="K8725" s="45" t="str">
        <f>IF(Table2[[#This Row],[Description]]="","",DATE(Table2[[#This Row],[Year]],Table2[[#This Row],[Month]],1))</f>
        <v/>
      </c>
    </row>
    <row r="8726" spans="7:11" x14ac:dyDescent="0.25">
      <c r="G8726" s="1" t="str">
        <f>IF(Table2[[#This Row],[Description]]="","",VLOOKUP(Table2[[#This Row],[Description]],$Q$1:$S$101,2,FALSE))</f>
        <v/>
      </c>
      <c r="H8726" s="1" t="str">
        <f>IF(Table2[[#This Row],[Description]]="","",VLOOKUP(Table2[[#This Row],[Description]],$Q$1:$S$101,3,FALSE))</f>
        <v/>
      </c>
      <c r="I8726" s="1" t="str">
        <f>IF(Table2[[#This Row],[Description]]="","",IF(Table2[[#This Row],[Currency]]=$O$2,$P$2,HLOOKUP(Table2[[#This Row],[Date]],Funds!$C$10:$GV$11,2,FALSE)))</f>
        <v/>
      </c>
      <c r="J8726" s="215" t="str">
        <f>IF(Table2[[#This Row],[Description]]="","",Table2[[#This Row],[Value]]/Table2[[#This Row],[Conversion]])</f>
        <v/>
      </c>
      <c r="K8726" s="45" t="str">
        <f>IF(Table2[[#This Row],[Description]]="","",DATE(Table2[[#This Row],[Year]],Table2[[#This Row],[Month]],1))</f>
        <v/>
      </c>
    </row>
    <row r="8727" spans="7:11" x14ac:dyDescent="0.25">
      <c r="G8727" s="1" t="str">
        <f>IF(Table2[[#This Row],[Description]]="","",VLOOKUP(Table2[[#This Row],[Description]],$Q$1:$S$101,2,FALSE))</f>
        <v/>
      </c>
      <c r="H8727" s="1" t="str">
        <f>IF(Table2[[#This Row],[Description]]="","",VLOOKUP(Table2[[#This Row],[Description]],$Q$1:$S$101,3,FALSE))</f>
        <v/>
      </c>
      <c r="I8727" s="1" t="str">
        <f>IF(Table2[[#This Row],[Description]]="","",IF(Table2[[#This Row],[Currency]]=$O$2,$P$2,HLOOKUP(Table2[[#This Row],[Date]],Funds!$C$10:$GV$11,2,FALSE)))</f>
        <v/>
      </c>
      <c r="J8727" s="215" t="str">
        <f>IF(Table2[[#This Row],[Description]]="","",Table2[[#This Row],[Value]]/Table2[[#This Row],[Conversion]])</f>
        <v/>
      </c>
      <c r="K8727" s="45" t="str">
        <f>IF(Table2[[#This Row],[Description]]="","",DATE(Table2[[#This Row],[Year]],Table2[[#This Row],[Month]],1))</f>
        <v/>
      </c>
    </row>
    <row r="8728" spans="7:11" x14ac:dyDescent="0.25">
      <c r="G8728" s="1" t="str">
        <f>IF(Table2[[#This Row],[Description]]="","",VLOOKUP(Table2[[#This Row],[Description]],$Q$1:$S$101,2,FALSE))</f>
        <v/>
      </c>
      <c r="H8728" s="1" t="str">
        <f>IF(Table2[[#This Row],[Description]]="","",VLOOKUP(Table2[[#This Row],[Description]],$Q$1:$S$101,3,FALSE))</f>
        <v/>
      </c>
      <c r="I8728" s="1" t="str">
        <f>IF(Table2[[#This Row],[Description]]="","",IF(Table2[[#This Row],[Currency]]=$O$2,$P$2,HLOOKUP(Table2[[#This Row],[Date]],Funds!$C$10:$GV$11,2,FALSE)))</f>
        <v/>
      </c>
      <c r="J8728" s="215" t="str">
        <f>IF(Table2[[#This Row],[Description]]="","",Table2[[#This Row],[Value]]/Table2[[#This Row],[Conversion]])</f>
        <v/>
      </c>
      <c r="K8728" s="45" t="str">
        <f>IF(Table2[[#This Row],[Description]]="","",DATE(Table2[[#This Row],[Year]],Table2[[#This Row],[Month]],1))</f>
        <v/>
      </c>
    </row>
    <row r="8729" spans="7:11" x14ac:dyDescent="0.25">
      <c r="G8729" s="1" t="str">
        <f>IF(Table2[[#This Row],[Description]]="","",VLOOKUP(Table2[[#This Row],[Description]],$Q$1:$S$101,2,FALSE))</f>
        <v/>
      </c>
      <c r="H8729" s="1" t="str">
        <f>IF(Table2[[#This Row],[Description]]="","",VLOOKUP(Table2[[#This Row],[Description]],$Q$1:$S$101,3,FALSE))</f>
        <v/>
      </c>
      <c r="I8729" s="1" t="str">
        <f>IF(Table2[[#This Row],[Description]]="","",IF(Table2[[#This Row],[Currency]]=$O$2,$P$2,HLOOKUP(Table2[[#This Row],[Date]],Funds!$C$10:$GV$11,2,FALSE)))</f>
        <v/>
      </c>
      <c r="J8729" s="215" t="str">
        <f>IF(Table2[[#This Row],[Description]]="","",Table2[[#This Row],[Value]]/Table2[[#This Row],[Conversion]])</f>
        <v/>
      </c>
      <c r="K8729" s="45" t="str">
        <f>IF(Table2[[#This Row],[Description]]="","",DATE(Table2[[#This Row],[Year]],Table2[[#This Row],[Month]],1))</f>
        <v/>
      </c>
    </row>
    <row r="8730" spans="7:11" x14ac:dyDescent="0.25">
      <c r="G8730" s="1" t="str">
        <f>IF(Table2[[#This Row],[Description]]="","",VLOOKUP(Table2[[#This Row],[Description]],$Q$1:$S$101,2,FALSE))</f>
        <v/>
      </c>
      <c r="H8730" s="1" t="str">
        <f>IF(Table2[[#This Row],[Description]]="","",VLOOKUP(Table2[[#This Row],[Description]],$Q$1:$S$101,3,FALSE))</f>
        <v/>
      </c>
      <c r="I8730" s="1" t="str">
        <f>IF(Table2[[#This Row],[Description]]="","",IF(Table2[[#This Row],[Currency]]=$O$2,$P$2,HLOOKUP(Table2[[#This Row],[Date]],Funds!$C$10:$GV$11,2,FALSE)))</f>
        <v/>
      </c>
      <c r="J8730" s="215" t="str">
        <f>IF(Table2[[#This Row],[Description]]="","",Table2[[#This Row],[Value]]/Table2[[#This Row],[Conversion]])</f>
        <v/>
      </c>
      <c r="K8730" s="45" t="str">
        <f>IF(Table2[[#This Row],[Description]]="","",DATE(Table2[[#This Row],[Year]],Table2[[#This Row],[Month]],1))</f>
        <v/>
      </c>
    </row>
    <row r="8731" spans="7:11" x14ac:dyDescent="0.25">
      <c r="G8731" s="1" t="str">
        <f>IF(Table2[[#This Row],[Description]]="","",VLOOKUP(Table2[[#This Row],[Description]],$Q$1:$S$101,2,FALSE))</f>
        <v/>
      </c>
      <c r="H8731" s="1" t="str">
        <f>IF(Table2[[#This Row],[Description]]="","",VLOOKUP(Table2[[#This Row],[Description]],$Q$1:$S$101,3,FALSE))</f>
        <v/>
      </c>
      <c r="I8731" s="1" t="str">
        <f>IF(Table2[[#This Row],[Description]]="","",IF(Table2[[#This Row],[Currency]]=$O$2,$P$2,HLOOKUP(Table2[[#This Row],[Date]],Funds!$C$10:$GV$11,2,FALSE)))</f>
        <v/>
      </c>
      <c r="J8731" s="215" t="str">
        <f>IF(Table2[[#This Row],[Description]]="","",Table2[[#This Row],[Value]]/Table2[[#This Row],[Conversion]])</f>
        <v/>
      </c>
      <c r="K8731" s="45" t="str">
        <f>IF(Table2[[#This Row],[Description]]="","",DATE(Table2[[#This Row],[Year]],Table2[[#This Row],[Month]],1))</f>
        <v/>
      </c>
    </row>
    <row r="8732" spans="7:11" x14ac:dyDescent="0.25">
      <c r="G8732" s="1" t="str">
        <f>IF(Table2[[#This Row],[Description]]="","",VLOOKUP(Table2[[#This Row],[Description]],$Q$1:$S$101,2,FALSE))</f>
        <v/>
      </c>
      <c r="H8732" s="1" t="str">
        <f>IF(Table2[[#This Row],[Description]]="","",VLOOKUP(Table2[[#This Row],[Description]],$Q$1:$S$101,3,FALSE))</f>
        <v/>
      </c>
      <c r="I8732" s="1" t="str">
        <f>IF(Table2[[#This Row],[Description]]="","",IF(Table2[[#This Row],[Currency]]=$O$2,$P$2,HLOOKUP(Table2[[#This Row],[Date]],Funds!$C$10:$GV$11,2,FALSE)))</f>
        <v/>
      </c>
      <c r="J8732" s="215" t="str">
        <f>IF(Table2[[#This Row],[Description]]="","",Table2[[#This Row],[Value]]/Table2[[#This Row],[Conversion]])</f>
        <v/>
      </c>
      <c r="K8732" s="45" t="str">
        <f>IF(Table2[[#This Row],[Description]]="","",DATE(Table2[[#This Row],[Year]],Table2[[#This Row],[Month]],1))</f>
        <v/>
      </c>
    </row>
    <row r="8733" spans="7:11" x14ac:dyDescent="0.25">
      <c r="G8733" s="1" t="str">
        <f>IF(Table2[[#This Row],[Description]]="","",VLOOKUP(Table2[[#This Row],[Description]],$Q$1:$S$101,2,FALSE))</f>
        <v/>
      </c>
      <c r="H8733" s="1" t="str">
        <f>IF(Table2[[#This Row],[Description]]="","",VLOOKUP(Table2[[#This Row],[Description]],$Q$1:$S$101,3,FALSE))</f>
        <v/>
      </c>
      <c r="I8733" s="1" t="str">
        <f>IF(Table2[[#This Row],[Description]]="","",IF(Table2[[#This Row],[Currency]]=$O$2,$P$2,HLOOKUP(Table2[[#This Row],[Date]],Funds!$C$10:$GV$11,2,FALSE)))</f>
        <v/>
      </c>
      <c r="J8733" s="215" t="str">
        <f>IF(Table2[[#This Row],[Description]]="","",Table2[[#This Row],[Value]]/Table2[[#This Row],[Conversion]])</f>
        <v/>
      </c>
      <c r="K8733" s="45" t="str">
        <f>IF(Table2[[#This Row],[Description]]="","",DATE(Table2[[#This Row],[Year]],Table2[[#This Row],[Month]],1))</f>
        <v/>
      </c>
    </row>
    <row r="8734" spans="7:11" x14ac:dyDescent="0.25">
      <c r="G8734" s="1" t="str">
        <f>IF(Table2[[#This Row],[Description]]="","",VLOOKUP(Table2[[#This Row],[Description]],$Q$1:$S$101,2,FALSE))</f>
        <v/>
      </c>
      <c r="H8734" s="1" t="str">
        <f>IF(Table2[[#This Row],[Description]]="","",VLOOKUP(Table2[[#This Row],[Description]],$Q$1:$S$101,3,FALSE))</f>
        <v/>
      </c>
      <c r="I8734" s="1" t="str">
        <f>IF(Table2[[#This Row],[Description]]="","",IF(Table2[[#This Row],[Currency]]=$O$2,$P$2,HLOOKUP(Table2[[#This Row],[Date]],Funds!$C$10:$GV$11,2,FALSE)))</f>
        <v/>
      </c>
      <c r="J8734" s="215" t="str">
        <f>IF(Table2[[#This Row],[Description]]="","",Table2[[#This Row],[Value]]/Table2[[#This Row],[Conversion]])</f>
        <v/>
      </c>
      <c r="K8734" s="45" t="str">
        <f>IF(Table2[[#This Row],[Description]]="","",DATE(Table2[[#This Row],[Year]],Table2[[#This Row],[Month]],1))</f>
        <v/>
      </c>
    </row>
    <row r="8735" spans="7:11" x14ac:dyDescent="0.25">
      <c r="G8735" s="1" t="str">
        <f>IF(Table2[[#This Row],[Description]]="","",VLOOKUP(Table2[[#This Row],[Description]],$Q$1:$S$101,2,FALSE))</f>
        <v/>
      </c>
      <c r="H8735" s="1" t="str">
        <f>IF(Table2[[#This Row],[Description]]="","",VLOOKUP(Table2[[#This Row],[Description]],$Q$1:$S$101,3,FALSE))</f>
        <v/>
      </c>
      <c r="I8735" s="1" t="str">
        <f>IF(Table2[[#This Row],[Description]]="","",IF(Table2[[#This Row],[Currency]]=$O$2,$P$2,HLOOKUP(Table2[[#This Row],[Date]],Funds!$C$10:$GV$11,2,FALSE)))</f>
        <v/>
      </c>
      <c r="J8735" s="215" t="str">
        <f>IF(Table2[[#This Row],[Description]]="","",Table2[[#This Row],[Value]]/Table2[[#This Row],[Conversion]])</f>
        <v/>
      </c>
      <c r="K8735" s="45" t="str">
        <f>IF(Table2[[#This Row],[Description]]="","",DATE(Table2[[#This Row],[Year]],Table2[[#This Row],[Month]],1))</f>
        <v/>
      </c>
    </row>
    <row r="8736" spans="7:11" x14ac:dyDescent="0.25">
      <c r="G8736" s="1" t="str">
        <f>IF(Table2[[#This Row],[Description]]="","",VLOOKUP(Table2[[#This Row],[Description]],$Q$1:$S$101,2,FALSE))</f>
        <v/>
      </c>
      <c r="H8736" s="1" t="str">
        <f>IF(Table2[[#This Row],[Description]]="","",VLOOKUP(Table2[[#This Row],[Description]],$Q$1:$S$101,3,FALSE))</f>
        <v/>
      </c>
      <c r="I8736" s="1" t="str">
        <f>IF(Table2[[#This Row],[Description]]="","",IF(Table2[[#This Row],[Currency]]=$O$2,$P$2,HLOOKUP(Table2[[#This Row],[Date]],Funds!$C$10:$GV$11,2,FALSE)))</f>
        <v/>
      </c>
      <c r="J8736" s="215" t="str">
        <f>IF(Table2[[#This Row],[Description]]="","",Table2[[#This Row],[Value]]/Table2[[#This Row],[Conversion]])</f>
        <v/>
      </c>
      <c r="K8736" s="45" t="str">
        <f>IF(Table2[[#This Row],[Description]]="","",DATE(Table2[[#This Row],[Year]],Table2[[#This Row],[Month]],1))</f>
        <v/>
      </c>
    </row>
    <row r="8737" spans="7:11" x14ac:dyDescent="0.25">
      <c r="G8737" s="1" t="str">
        <f>IF(Table2[[#This Row],[Description]]="","",VLOOKUP(Table2[[#This Row],[Description]],$Q$1:$S$101,2,FALSE))</f>
        <v/>
      </c>
      <c r="H8737" s="1" t="str">
        <f>IF(Table2[[#This Row],[Description]]="","",VLOOKUP(Table2[[#This Row],[Description]],$Q$1:$S$101,3,FALSE))</f>
        <v/>
      </c>
      <c r="I8737" s="1" t="str">
        <f>IF(Table2[[#This Row],[Description]]="","",IF(Table2[[#This Row],[Currency]]=$O$2,$P$2,HLOOKUP(Table2[[#This Row],[Date]],Funds!$C$10:$GV$11,2,FALSE)))</f>
        <v/>
      </c>
      <c r="J8737" s="215" t="str">
        <f>IF(Table2[[#This Row],[Description]]="","",Table2[[#This Row],[Value]]/Table2[[#This Row],[Conversion]])</f>
        <v/>
      </c>
      <c r="K8737" s="45" t="str">
        <f>IF(Table2[[#This Row],[Description]]="","",DATE(Table2[[#This Row],[Year]],Table2[[#This Row],[Month]],1))</f>
        <v/>
      </c>
    </row>
    <row r="8738" spans="7:11" x14ac:dyDescent="0.25">
      <c r="G8738" s="1" t="str">
        <f>IF(Table2[[#This Row],[Description]]="","",VLOOKUP(Table2[[#This Row],[Description]],$Q$1:$S$101,2,FALSE))</f>
        <v/>
      </c>
      <c r="H8738" s="1" t="str">
        <f>IF(Table2[[#This Row],[Description]]="","",VLOOKUP(Table2[[#This Row],[Description]],$Q$1:$S$101,3,FALSE))</f>
        <v/>
      </c>
      <c r="I8738" s="1" t="str">
        <f>IF(Table2[[#This Row],[Description]]="","",IF(Table2[[#This Row],[Currency]]=$O$2,$P$2,HLOOKUP(Table2[[#This Row],[Date]],Funds!$C$10:$GV$11,2,FALSE)))</f>
        <v/>
      </c>
      <c r="J8738" s="215" t="str">
        <f>IF(Table2[[#This Row],[Description]]="","",Table2[[#This Row],[Value]]/Table2[[#This Row],[Conversion]])</f>
        <v/>
      </c>
      <c r="K8738" s="45" t="str">
        <f>IF(Table2[[#This Row],[Description]]="","",DATE(Table2[[#This Row],[Year]],Table2[[#This Row],[Month]],1))</f>
        <v/>
      </c>
    </row>
    <row r="8739" spans="7:11" x14ac:dyDescent="0.25">
      <c r="G8739" s="1" t="str">
        <f>IF(Table2[[#This Row],[Description]]="","",VLOOKUP(Table2[[#This Row],[Description]],$Q$1:$S$101,2,FALSE))</f>
        <v/>
      </c>
      <c r="H8739" s="1" t="str">
        <f>IF(Table2[[#This Row],[Description]]="","",VLOOKUP(Table2[[#This Row],[Description]],$Q$1:$S$101,3,FALSE))</f>
        <v/>
      </c>
      <c r="I8739" s="1" t="str">
        <f>IF(Table2[[#This Row],[Description]]="","",IF(Table2[[#This Row],[Currency]]=$O$2,$P$2,HLOOKUP(Table2[[#This Row],[Date]],Funds!$C$10:$GV$11,2,FALSE)))</f>
        <v/>
      </c>
      <c r="J8739" s="215" t="str">
        <f>IF(Table2[[#This Row],[Description]]="","",Table2[[#This Row],[Value]]/Table2[[#This Row],[Conversion]])</f>
        <v/>
      </c>
      <c r="K8739" s="45" t="str">
        <f>IF(Table2[[#This Row],[Description]]="","",DATE(Table2[[#This Row],[Year]],Table2[[#This Row],[Month]],1))</f>
        <v/>
      </c>
    </row>
    <row r="8740" spans="7:11" x14ac:dyDescent="0.25">
      <c r="G8740" s="1" t="str">
        <f>IF(Table2[[#This Row],[Description]]="","",VLOOKUP(Table2[[#This Row],[Description]],$Q$1:$S$101,2,FALSE))</f>
        <v/>
      </c>
      <c r="H8740" s="1" t="str">
        <f>IF(Table2[[#This Row],[Description]]="","",VLOOKUP(Table2[[#This Row],[Description]],$Q$1:$S$101,3,FALSE))</f>
        <v/>
      </c>
      <c r="I8740" s="1" t="str">
        <f>IF(Table2[[#This Row],[Description]]="","",IF(Table2[[#This Row],[Currency]]=$O$2,$P$2,HLOOKUP(Table2[[#This Row],[Date]],Funds!$C$10:$GV$11,2,FALSE)))</f>
        <v/>
      </c>
      <c r="J8740" s="215" t="str">
        <f>IF(Table2[[#This Row],[Description]]="","",Table2[[#This Row],[Value]]/Table2[[#This Row],[Conversion]])</f>
        <v/>
      </c>
      <c r="K8740" s="45" t="str">
        <f>IF(Table2[[#This Row],[Description]]="","",DATE(Table2[[#This Row],[Year]],Table2[[#This Row],[Month]],1))</f>
        <v/>
      </c>
    </row>
    <row r="8741" spans="7:11" x14ac:dyDescent="0.25">
      <c r="G8741" s="1" t="str">
        <f>IF(Table2[[#This Row],[Description]]="","",VLOOKUP(Table2[[#This Row],[Description]],$Q$1:$S$101,2,FALSE))</f>
        <v/>
      </c>
      <c r="H8741" s="1" t="str">
        <f>IF(Table2[[#This Row],[Description]]="","",VLOOKUP(Table2[[#This Row],[Description]],$Q$1:$S$101,3,FALSE))</f>
        <v/>
      </c>
      <c r="I8741" s="1" t="str">
        <f>IF(Table2[[#This Row],[Description]]="","",IF(Table2[[#This Row],[Currency]]=$O$2,$P$2,HLOOKUP(Table2[[#This Row],[Date]],Funds!$C$10:$GV$11,2,FALSE)))</f>
        <v/>
      </c>
      <c r="J8741" s="215" t="str">
        <f>IF(Table2[[#This Row],[Description]]="","",Table2[[#This Row],[Value]]/Table2[[#This Row],[Conversion]])</f>
        <v/>
      </c>
      <c r="K8741" s="45" t="str">
        <f>IF(Table2[[#This Row],[Description]]="","",DATE(Table2[[#This Row],[Year]],Table2[[#This Row],[Month]],1))</f>
        <v/>
      </c>
    </row>
    <row r="8742" spans="7:11" x14ac:dyDescent="0.25">
      <c r="G8742" s="1" t="str">
        <f>IF(Table2[[#This Row],[Description]]="","",VLOOKUP(Table2[[#This Row],[Description]],$Q$1:$S$101,2,FALSE))</f>
        <v/>
      </c>
      <c r="H8742" s="1" t="str">
        <f>IF(Table2[[#This Row],[Description]]="","",VLOOKUP(Table2[[#This Row],[Description]],$Q$1:$S$101,3,FALSE))</f>
        <v/>
      </c>
      <c r="I8742" s="1" t="str">
        <f>IF(Table2[[#This Row],[Description]]="","",IF(Table2[[#This Row],[Currency]]=$O$2,$P$2,HLOOKUP(Table2[[#This Row],[Date]],Funds!$C$10:$GV$11,2,FALSE)))</f>
        <v/>
      </c>
      <c r="J8742" s="215" t="str">
        <f>IF(Table2[[#This Row],[Description]]="","",Table2[[#This Row],[Value]]/Table2[[#This Row],[Conversion]])</f>
        <v/>
      </c>
      <c r="K8742" s="45" t="str">
        <f>IF(Table2[[#This Row],[Description]]="","",DATE(Table2[[#This Row],[Year]],Table2[[#This Row],[Month]],1))</f>
        <v/>
      </c>
    </row>
    <row r="8743" spans="7:11" x14ac:dyDescent="0.25">
      <c r="G8743" s="1" t="str">
        <f>IF(Table2[[#This Row],[Description]]="","",VLOOKUP(Table2[[#This Row],[Description]],$Q$1:$S$101,2,FALSE))</f>
        <v/>
      </c>
      <c r="H8743" s="1" t="str">
        <f>IF(Table2[[#This Row],[Description]]="","",VLOOKUP(Table2[[#This Row],[Description]],$Q$1:$S$101,3,FALSE))</f>
        <v/>
      </c>
      <c r="I8743" s="1" t="str">
        <f>IF(Table2[[#This Row],[Description]]="","",IF(Table2[[#This Row],[Currency]]=$O$2,$P$2,HLOOKUP(Table2[[#This Row],[Date]],Funds!$C$10:$GV$11,2,FALSE)))</f>
        <v/>
      </c>
      <c r="J8743" s="215" t="str">
        <f>IF(Table2[[#This Row],[Description]]="","",Table2[[#This Row],[Value]]/Table2[[#This Row],[Conversion]])</f>
        <v/>
      </c>
      <c r="K8743" s="45" t="str">
        <f>IF(Table2[[#This Row],[Description]]="","",DATE(Table2[[#This Row],[Year]],Table2[[#This Row],[Month]],1))</f>
        <v/>
      </c>
    </row>
    <row r="8744" spans="7:11" x14ac:dyDescent="0.25">
      <c r="G8744" s="1" t="str">
        <f>IF(Table2[[#This Row],[Description]]="","",VLOOKUP(Table2[[#This Row],[Description]],$Q$1:$S$101,2,FALSE))</f>
        <v/>
      </c>
      <c r="H8744" s="1" t="str">
        <f>IF(Table2[[#This Row],[Description]]="","",VLOOKUP(Table2[[#This Row],[Description]],$Q$1:$S$101,3,FALSE))</f>
        <v/>
      </c>
      <c r="I8744" s="1" t="str">
        <f>IF(Table2[[#This Row],[Description]]="","",IF(Table2[[#This Row],[Currency]]=$O$2,$P$2,HLOOKUP(Table2[[#This Row],[Date]],Funds!$C$10:$GV$11,2,FALSE)))</f>
        <v/>
      </c>
      <c r="J8744" s="215" t="str">
        <f>IF(Table2[[#This Row],[Description]]="","",Table2[[#This Row],[Value]]/Table2[[#This Row],[Conversion]])</f>
        <v/>
      </c>
      <c r="K8744" s="45" t="str">
        <f>IF(Table2[[#This Row],[Description]]="","",DATE(Table2[[#This Row],[Year]],Table2[[#This Row],[Month]],1))</f>
        <v/>
      </c>
    </row>
    <row r="8745" spans="7:11" x14ac:dyDescent="0.25">
      <c r="G8745" s="1" t="str">
        <f>IF(Table2[[#This Row],[Description]]="","",VLOOKUP(Table2[[#This Row],[Description]],$Q$1:$S$101,2,FALSE))</f>
        <v/>
      </c>
      <c r="H8745" s="1" t="str">
        <f>IF(Table2[[#This Row],[Description]]="","",VLOOKUP(Table2[[#This Row],[Description]],$Q$1:$S$101,3,FALSE))</f>
        <v/>
      </c>
      <c r="I8745" s="1" t="str">
        <f>IF(Table2[[#This Row],[Description]]="","",IF(Table2[[#This Row],[Currency]]=$O$2,$P$2,HLOOKUP(Table2[[#This Row],[Date]],Funds!$C$10:$GV$11,2,FALSE)))</f>
        <v/>
      </c>
      <c r="J8745" s="215" t="str">
        <f>IF(Table2[[#This Row],[Description]]="","",Table2[[#This Row],[Value]]/Table2[[#This Row],[Conversion]])</f>
        <v/>
      </c>
      <c r="K8745" s="45" t="str">
        <f>IF(Table2[[#This Row],[Description]]="","",DATE(Table2[[#This Row],[Year]],Table2[[#This Row],[Month]],1))</f>
        <v/>
      </c>
    </row>
    <row r="8746" spans="7:11" x14ac:dyDescent="0.25">
      <c r="G8746" s="1" t="str">
        <f>IF(Table2[[#This Row],[Description]]="","",VLOOKUP(Table2[[#This Row],[Description]],$Q$1:$S$101,2,FALSE))</f>
        <v/>
      </c>
      <c r="H8746" s="1" t="str">
        <f>IF(Table2[[#This Row],[Description]]="","",VLOOKUP(Table2[[#This Row],[Description]],$Q$1:$S$101,3,FALSE))</f>
        <v/>
      </c>
      <c r="I8746" s="1" t="str">
        <f>IF(Table2[[#This Row],[Description]]="","",IF(Table2[[#This Row],[Currency]]=$O$2,$P$2,HLOOKUP(Table2[[#This Row],[Date]],Funds!$C$10:$GV$11,2,FALSE)))</f>
        <v/>
      </c>
      <c r="J8746" s="215" t="str">
        <f>IF(Table2[[#This Row],[Description]]="","",Table2[[#This Row],[Value]]/Table2[[#This Row],[Conversion]])</f>
        <v/>
      </c>
      <c r="K8746" s="45" t="str">
        <f>IF(Table2[[#This Row],[Description]]="","",DATE(Table2[[#This Row],[Year]],Table2[[#This Row],[Month]],1))</f>
        <v/>
      </c>
    </row>
    <row r="8747" spans="7:11" x14ac:dyDescent="0.25">
      <c r="G8747" s="1" t="str">
        <f>IF(Table2[[#This Row],[Description]]="","",VLOOKUP(Table2[[#This Row],[Description]],$Q$1:$S$101,2,FALSE))</f>
        <v/>
      </c>
      <c r="H8747" s="1" t="str">
        <f>IF(Table2[[#This Row],[Description]]="","",VLOOKUP(Table2[[#This Row],[Description]],$Q$1:$S$101,3,FALSE))</f>
        <v/>
      </c>
      <c r="I8747" s="1" t="str">
        <f>IF(Table2[[#This Row],[Description]]="","",IF(Table2[[#This Row],[Currency]]=$O$2,$P$2,HLOOKUP(Table2[[#This Row],[Date]],Funds!$C$10:$GV$11,2,FALSE)))</f>
        <v/>
      </c>
      <c r="J8747" s="215" t="str">
        <f>IF(Table2[[#This Row],[Description]]="","",Table2[[#This Row],[Value]]/Table2[[#This Row],[Conversion]])</f>
        <v/>
      </c>
      <c r="K8747" s="45" t="str">
        <f>IF(Table2[[#This Row],[Description]]="","",DATE(Table2[[#This Row],[Year]],Table2[[#This Row],[Month]],1))</f>
        <v/>
      </c>
    </row>
    <row r="8748" spans="7:11" x14ac:dyDescent="0.25">
      <c r="G8748" s="1" t="str">
        <f>IF(Table2[[#This Row],[Description]]="","",VLOOKUP(Table2[[#This Row],[Description]],$Q$1:$S$101,2,FALSE))</f>
        <v/>
      </c>
      <c r="H8748" s="1" t="str">
        <f>IF(Table2[[#This Row],[Description]]="","",VLOOKUP(Table2[[#This Row],[Description]],$Q$1:$S$101,3,FALSE))</f>
        <v/>
      </c>
      <c r="I8748" s="1" t="str">
        <f>IF(Table2[[#This Row],[Description]]="","",IF(Table2[[#This Row],[Currency]]=$O$2,$P$2,HLOOKUP(Table2[[#This Row],[Date]],Funds!$C$10:$GV$11,2,FALSE)))</f>
        <v/>
      </c>
      <c r="J8748" s="215" t="str">
        <f>IF(Table2[[#This Row],[Description]]="","",Table2[[#This Row],[Value]]/Table2[[#This Row],[Conversion]])</f>
        <v/>
      </c>
      <c r="K8748" s="45" t="str">
        <f>IF(Table2[[#This Row],[Description]]="","",DATE(Table2[[#This Row],[Year]],Table2[[#This Row],[Month]],1))</f>
        <v/>
      </c>
    </row>
    <row r="8749" spans="7:11" x14ac:dyDescent="0.25">
      <c r="G8749" s="1" t="str">
        <f>IF(Table2[[#This Row],[Description]]="","",VLOOKUP(Table2[[#This Row],[Description]],$Q$1:$S$101,2,FALSE))</f>
        <v/>
      </c>
      <c r="H8749" s="1" t="str">
        <f>IF(Table2[[#This Row],[Description]]="","",VLOOKUP(Table2[[#This Row],[Description]],$Q$1:$S$101,3,FALSE))</f>
        <v/>
      </c>
      <c r="I8749" s="1" t="str">
        <f>IF(Table2[[#This Row],[Description]]="","",IF(Table2[[#This Row],[Currency]]=$O$2,$P$2,HLOOKUP(Table2[[#This Row],[Date]],Funds!$C$10:$GV$11,2,FALSE)))</f>
        <v/>
      </c>
      <c r="J8749" s="215" t="str">
        <f>IF(Table2[[#This Row],[Description]]="","",Table2[[#This Row],[Value]]/Table2[[#This Row],[Conversion]])</f>
        <v/>
      </c>
      <c r="K8749" s="45" t="str">
        <f>IF(Table2[[#This Row],[Description]]="","",DATE(Table2[[#This Row],[Year]],Table2[[#This Row],[Month]],1))</f>
        <v/>
      </c>
    </row>
    <row r="8750" spans="7:11" x14ac:dyDescent="0.25">
      <c r="G8750" s="1" t="str">
        <f>IF(Table2[[#This Row],[Description]]="","",VLOOKUP(Table2[[#This Row],[Description]],$Q$1:$S$101,2,FALSE))</f>
        <v/>
      </c>
      <c r="H8750" s="1" t="str">
        <f>IF(Table2[[#This Row],[Description]]="","",VLOOKUP(Table2[[#This Row],[Description]],$Q$1:$S$101,3,FALSE))</f>
        <v/>
      </c>
      <c r="I8750" s="1" t="str">
        <f>IF(Table2[[#This Row],[Description]]="","",IF(Table2[[#This Row],[Currency]]=$O$2,$P$2,HLOOKUP(Table2[[#This Row],[Date]],Funds!$C$10:$GV$11,2,FALSE)))</f>
        <v/>
      </c>
      <c r="J8750" s="215" t="str">
        <f>IF(Table2[[#This Row],[Description]]="","",Table2[[#This Row],[Value]]/Table2[[#This Row],[Conversion]])</f>
        <v/>
      </c>
      <c r="K8750" s="45" t="str">
        <f>IF(Table2[[#This Row],[Description]]="","",DATE(Table2[[#This Row],[Year]],Table2[[#This Row],[Month]],1))</f>
        <v/>
      </c>
    </row>
    <row r="8751" spans="7:11" x14ac:dyDescent="0.25">
      <c r="G8751" s="1" t="str">
        <f>IF(Table2[[#This Row],[Description]]="","",VLOOKUP(Table2[[#This Row],[Description]],$Q$1:$S$101,2,FALSE))</f>
        <v/>
      </c>
      <c r="H8751" s="1" t="str">
        <f>IF(Table2[[#This Row],[Description]]="","",VLOOKUP(Table2[[#This Row],[Description]],$Q$1:$S$101,3,FALSE))</f>
        <v/>
      </c>
      <c r="I8751" s="1" t="str">
        <f>IF(Table2[[#This Row],[Description]]="","",IF(Table2[[#This Row],[Currency]]=$O$2,$P$2,HLOOKUP(Table2[[#This Row],[Date]],Funds!$C$10:$GV$11,2,FALSE)))</f>
        <v/>
      </c>
      <c r="J8751" s="215" t="str">
        <f>IF(Table2[[#This Row],[Description]]="","",Table2[[#This Row],[Value]]/Table2[[#This Row],[Conversion]])</f>
        <v/>
      </c>
      <c r="K8751" s="45" t="str">
        <f>IF(Table2[[#This Row],[Description]]="","",DATE(Table2[[#This Row],[Year]],Table2[[#This Row],[Month]],1))</f>
        <v/>
      </c>
    </row>
    <row r="8752" spans="7:11" x14ac:dyDescent="0.25">
      <c r="G8752" s="1" t="str">
        <f>IF(Table2[[#This Row],[Description]]="","",VLOOKUP(Table2[[#This Row],[Description]],$Q$1:$S$101,2,FALSE))</f>
        <v/>
      </c>
      <c r="H8752" s="1" t="str">
        <f>IF(Table2[[#This Row],[Description]]="","",VLOOKUP(Table2[[#This Row],[Description]],$Q$1:$S$101,3,FALSE))</f>
        <v/>
      </c>
      <c r="I8752" s="1" t="str">
        <f>IF(Table2[[#This Row],[Description]]="","",IF(Table2[[#This Row],[Currency]]=$O$2,$P$2,HLOOKUP(Table2[[#This Row],[Date]],Funds!$C$10:$GV$11,2,FALSE)))</f>
        <v/>
      </c>
      <c r="J8752" s="215" t="str">
        <f>IF(Table2[[#This Row],[Description]]="","",Table2[[#This Row],[Value]]/Table2[[#This Row],[Conversion]])</f>
        <v/>
      </c>
      <c r="K8752" s="45" t="str">
        <f>IF(Table2[[#This Row],[Description]]="","",DATE(Table2[[#This Row],[Year]],Table2[[#This Row],[Month]],1))</f>
        <v/>
      </c>
    </row>
    <row r="8753" spans="7:11" x14ac:dyDescent="0.25">
      <c r="G8753" s="1" t="str">
        <f>IF(Table2[[#This Row],[Description]]="","",VLOOKUP(Table2[[#This Row],[Description]],$Q$1:$S$101,2,FALSE))</f>
        <v/>
      </c>
      <c r="H8753" s="1" t="str">
        <f>IF(Table2[[#This Row],[Description]]="","",VLOOKUP(Table2[[#This Row],[Description]],$Q$1:$S$101,3,FALSE))</f>
        <v/>
      </c>
      <c r="I8753" s="1" t="str">
        <f>IF(Table2[[#This Row],[Description]]="","",IF(Table2[[#This Row],[Currency]]=$O$2,$P$2,HLOOKUP(Table2[[#This Row],[Date]],Funds!$C$10:$GV$11,2,FALSE)))</f>
        <v/>
      </c>
      <c r="J8753" s="215" t="str">
        <f>IF(Table2[[#This Row],[Description]]="","",Table2[[#This Row],[Value]]/Table2[[#This Row],[Conversion]])</f>
        <v/>
      </c>
      <c r="K8753" s="45" t="str">
        <f>IF(Table2[[#This Row],[Description]]="","",DATE(Table2[[#This Row],[Year]],Table2[[#This Row],[Month]],1))</f>
        <v/>
      </c>
    </row>
    <row r="8754" spans="7:11" x14ac:dyDescent="0.25">
      <c r="G8754" s="1" t="str">
        <f>IF(Table2[[#This Row],[Description]]="","",VLOOKUP(Table2[[#This Row],[Description]],$Q$1:$S$101,2,FALSE))</f>
        <v/>
      </c>
      <c r="H8754" s="1" t="str">
        <f>IF(Table2[[#This Row],[Description]]="","",VLOOKUP(Table2[[#This Row],[Description]],$Q$1:$S$101,3,FALSE))</f>
        <v/>
      </c>
      <c r="I8754" s="1" t="str">
        <f>IF(Table2[[#This Row],[Description]]="","",IF(Table2[[#This Row],[Currency]]=$O$2,$P$2,HLOOKUP(Table2[[#This Row],[Date]],Funds!$C$10:$GV$11,2,FALSE)))</f>
        <v/>
      </c>
      <c r="J8754" s="215" t="str">
        <f>IF(Table2[[#This Row],[Description]]="","",Table2[[#This Row],[Value]]/Table2[[#This Row],[Conversion]])</f>
        <v/>
      </c>
      <c r="K8754" s="45" t="str">
        <f>IF(Table2[[#This Row],[Description]]="","",DATE(Table2[[#This Row],[Year]],Table2[[#This Row],[Month]],1))</f>
        <v/>
      </c>
    </row>
    <row r="8755" spans="7:11" x14ac:dyDescent="0.25">
      <c r="G8755" s="1" t="str">
        <f>IF(Table2[[#This Row],[Description]]="","",VLOOKUP(Table2[[#This Row],[Description]],$Q$1:$S$101,2,FALSE))</f>
        <v/>
      </c>
      <c r="H8755" s="1" t="str">
        <f>IF(Table2[[#This Row],[Description]]="","",VLOOKUP(Table2[[#This Row],[Description]],$Q$1:$S$101,3,FALSE))</f>
        <v/>
      </c>
      <c r="I8755" s="1" t="str">
        <f>IF(Table2[[#This Row],[Description]]="","",IF(Table2[[#This Row],[Currency]]=$O$2,$P$2,HLOOKUP(Table2[[#This Row],[Date]],Funds!$C$10:$GV$11,2,FALSE)))</f>
        <v/>
      </c>
      <c r="J8755" s="215" t="str">
        <f>IF(Table2[[#This Row],[Description]]="","",Table2[[#This Row],[Value]]/Table2[[#This Row],[Conversion]])</f>
        <v/>
      </c>
      <c r="K8755" s="45" t="str">
        <f>IF(Table2[[#This Row],[Description]]="","",DATE(Table2[[#This Row],[Year]],Table2[[#This Row],[Month]],1))</f>
        <v/>
      </c>
    </row>
    <row r="8756" spans="7:11" x14ac:dyDescent="0.25">
      <c r="G8756" s="1" t="str">
        <f>IF(Table2[[#This Row],[Description]]="","",VLOOKUP(Table2[[#This Row],[Description]],$Q$1:$S$101,2,FALSE))</f>
        <v/>
      </c>
      <c r="H8756" s="1" t="str">
        <f>IF(Table2[[#This Row],[Description]]="","",VLOOKUP(Table2[[#This Row],[Description]],$Q$1:$S$101,3,FALSE))</f>
        <v/>
      </c>
      <c r="I8756" s="1" t="str">
        <f>IF(Table2[[#This Row],[Description]]="","",IF(Table2[[#This Row],[Currency]]=$O$2,$P$2,HLOOKUP(Table2[[#This Row],[Date]],Funds!$C$10:$GV$11,2,FALSE)))</f>
        <v/>
      </c>
      <c r="J8756" s="215" t="str">
        <f>IF(Table2[[#This Row],[Description]]="","",Table2[[#This Row],[Value]]/Table2[[#This Row],[Conversion]])</f>
        <v/>
      </c>
      <c r="K8756" s="45" t="str">
        <f>IF(Table2[[#This Row],[Description]]="","",DATE(Table2[[#This Row],[Year]],Table2[[#This Row],[Month]],1))</f>
        <v/>
      </c>
    </row>
    <row r="8757" spans="7:11" x14ac:dyDescent="0.25">
      <c r="G8757" s="1" t="str">
        <f>IF(Table2[[#This Row],[Description]]="","",VLOOKUP(Table2[[#This Row],[Description]],$Q$1:$S$101,2,FALSE))</f>
        <v/>
      </c>
      <c r="H8757" s="1" t="str">
        <f>IF(Table2[[#This Row],[Description]]="","",VLOOKUP(Table2[[#This Row],[Description]],$Q$1:$S$101,3,FALSE))</f>
        <v/>
      </c>
      <c r="I8757" s="1" t="str">
        <f>IF(Table2[[#This Row],[Description]]="","",IF(Table2[[#This Row],[Currency]]=$O$2,$P$2,HLOOKUP(Table2[[#This Row],[Date]],Funds!$C$10:$GV$11,2,FALSE)))</f>
        <v/>
      </c>
      <c r="J8757" s="215" t="str">
        <f>IF(Table2[[#This Row],[Description]]="","",Table2[[#This Row],[Value]]/Table2[[#This Row],[Conversion]])</f>
        <v/>
      </c>
      <c r="K8757" s="45" t="str">
        <f>IF(Table2[[#This Row],[Description]]="","",DATE(Table2[[#This Row],[Year]],Table2[[#This Row],[Month]],1))</f>
        <v/>
      </c>
    </row>
    <row r="8758" spans="7:11" x14ac:dyDescent="0.25">
      <c r="G8758" s="1" t="str">
        <f>IF(Table2[[#This Row],[Description]]="","",VLOOKUP(Table2[[#This Row],[Description]],$Q$1:$S$101,2,FALSE))</f>
        <v/>
      </c>
      <c r="H8758" s="1" t="str">
        <f>IF(Table2[[#This Row],[Description]]="","",VLOOKUP(Table2[[#This Row],[Description]],$Q$1:$S$101,3,FALSE))</f>
        <v/>
      </c>
      <c r="I8758" s="1" t="str">
        <f>IF(Table2[[#This Row],[Description]]="","",IF(Table2[[#This Row],[Currency]]=$O$2,$P$2,HLOOKUP(Table2[[#This Row],[Date]],Funds!$C$10:$GV$11,2,FALSE)))</f>
        <v/>
      </c>
      <c r="J8758" s="215" t="str">
        <f>IF(Table2[[#This Row],[Description]]="","",Table2[[#This Row],[Value]]/Table2[[#This Row],[Conversion]])</f>
        <v/>
      </c>
      <c r="K8758" s="45" t="str">
        <f>IF(Table2[[#This Row],[Description]]="","",DATE(Table2[[#This Row],[Year]],Table2[[#This Row],[Month]],1))</f>
        <v/>
      </c>
    </row>
    <row r="8759" spans="7:11" x14ac:dyDescent="0.25">
      <c r="G8759" s="1" t="str">
        <f>IF(Table2[[#This Row],[Description]]="","",VLOOKUP(Table2[[#This Row],[Description]],$Q$1:$S$101,2,FALSE))</f>
        <v/>
      </c>
      <c r="H8759" s="1" t="str">
        <f>IF(Table2[[#This Row],[Description]]="","",VLOOKUP(Table2[[#This Row],[Description]],$Q$1:$S$101,3,FALSE))</f>
        <v/>
      </c>
      <c r="I8759" s="1" t="str">
        <f>IF(Table2[[#This Row],[Description]]="","",IF(Table2[[#This Row],[Currency]]=$O$2,$P$2,HLOOKUP(Table2[[#This Row],[Date]],Funds!$C$10:$GV$11,2,FALSE)))</f>
        <v/>
      </c>
      <c r="J8759" s="215" t="str">
        <f>IF(Table2[[#This Row],[Description]]="","",Table2[[#This Row],[Value]]/Table2[[#This Row],[Conversion]])</f>
        <v/>
      </c>
      <c r="K8759" s="45" t="str">
        <f>IF(Table2[[#This Row],[Description]]="","",DATE(Table2[[#This Row],[Year]],Table2[[#This Row],[Month]],1))</f>
        <v/>
      </c>
    </row>
    <row r="8760" spans="7:11" x14ac:dyDescent="0.25">
      <c r="G8760" s="1" t="str">
        <f>IF(Table2[[#This Row],[Description]]="","",VLOOKUP(Table2[[#This Row],[Description]],$Q$1:$S$101,2,FALSE))</f>
        <v/>
      </c>
      <c r="H8760" s="1" t="str">
        <f>IF(Table2[[#This Row],[Description]]="","",VLOOKUP(Table2[[#This Row],[Description]],$Q$1:$S$101,3,FALSE))</f>
        <v/>
      </c>
      <c r="I8760" s="1" t="str">
        <f>IF(Table2[[#This Row],[Description]]="","",IF(Table2[[#This Row],[Currency]]=$O$2,$P$2,HLOOKUP(Table2[[#This Row],[Date]],Funds!$C$10:$GV$11,2,FALSE)))</f>
        <v/>
      </c>
      <c r="J8760" s="215" t="str">
        <f>IF(Table2[[#This Row],[Description]]="","",Table2[[#This Row],[Value]]/Table2[[#This Row],[Conversion]])</f>
        <v/>
      </c>
      <c r="K8760" s="45" t="str">
        <f>IF(Table2[[#This Row],[Description]]="","",DATE(Table2[[#This Row],[Year]],Table2[[#This Row],[Month]],1))</f>
        <v/>
      </c>
    </row>
    <row r="8761" spans="7:11" x14ac:dyDescent="0.25">
      <c r="G8761" s="1" t="str">
        <f>IF(Table2[[#This Row],[Description]]="","",VLOOKUP(Table2[[#This Row],[Description]],$Q$1:$S$101,2,FALSE))</f>
        <v/>
      </c>
      <c r="H8761" s="1" t="str">
        <f>IF(Table2[[#This Row],[Description]]="","",VLOOKUP(Table2[[#This Row],[Description]],$Q$1:$S$101,3,FALSE))</f>
        <v/>
      </c>
      <c r="I8761" s="1" t="str">
        <f>IF(Table2[[#This Row],[Description]]="","",IF(Table2[[#This Row],[Currency]]=$O$2,$P$2,HLOOKUP(Table2[[#This Row],[Date]],Funds!$C$10:$GV$11,2,FALSE)))</f>
        <v/>
      </c>
      <c r="J8761" s="215" t="str">
        <f>IF(Table2[[#This Row],[Description]]="","",Table2[[#This Row],[Value]]/Table2[[#This Row],[Conversion]])</f>
        <v/>
      </c>
      <c r="K8761" s="45" t="str">
        <f>IF(Table2[[#This Row],[Description]]="","",DATE(Table2[[#This Row],[Year]],Table2[[#This Row],[Month]],1))</f>
        <v/>
      </c>
    </row>
    <row r="8762" spans="7:11" x14ac:dyDescent="0.25">
      <c r="G8762" s="1" t="str">
        <f>IF(Table2[[#This Row],[Description]]="","",VLOOKUP(Table2[[#This Row],[Description]],$Q$1:$S$101,2,FALSE))</f>
        <v/>
      </c>
      <c r="H8762" s="1" t="str">
        <f>IF(Table2[[#This Row],[Description]]="","",VLOOKUP(Table2[[#This Row],[Description]],$Q$1:$S$101,3,FALSE))</f>
        <v/>
      </c>
      <c r="I8762" s="1" t="str">
        <f>IF(Table2[[#This Row],[Description]]="","",IF(Table2[[#This Row],[Currency]]=$O$2,$P$2,HLOOKUP(Table2[[#This Row],[Date]],Funds!$C$10:$GV$11,2,FALSE)))</f>
        <v/>
      </c>
      <c r="J8762" s="215" t="str">
        <f>IF(Table2[[#This Row],[Description]]="","",Table2[[#This Row],[Value]]/Table2[[#This Row],[Conversion]])</f>
        <v/>
      </c>
      <c r="K8762" s="45" t="str">
        <f>IF(Table2[[#This Row],[Description]]="","",DATE(Table2[[#This Row],[Year]],Table2[[#This Row],[Month]],1))</f>
        <v/>
      </c>
    </row>
    <row r="8763" spans="7:11" x14ac:dyDescent="0.25">
      <c r="G8763" s="1" t="str">
        <f>IF(Table2[[#This Row],[Description]]="","",VLOOKUP(Table2[[#This Row],[Description]],$Q$1:$S$101,2,FALSE))</f>
        <v/>
      </c>
      <c r="H8763" s="1" t="str">
        <f>IF(Table2[[#This Row],[Description]]="","",VLOOKUP(Table2[[#This Row],[Description]],$Q$1:$S$101,3,FALSE))</f>
        <v/>
      </c>
      <c r="I8763" s="1" t="str">
        <f>IF(Table2[[#This Row],[Description]]="","",IF(Table2[[#This Row],[Currency]]=$O$2,$P$2,HLOOKUP(Table2[[#This Row],[Date]],Funds!$C$10:$GV$11,2,FALSE)))</f>
        <v/>
      </c>
      <c r="J8763" s="215" t="str">
        <f>IF(Table2[[#This Row],[Description]]="","",Table2[[#This Row],[Value]]/Table2[[#This Row],[Conversion]])</f>
        <v/>
      </c>
      <c r="K8763" s="45" t="str">
        <f>IF(Table2[[#This Row],[Description]]="","",DATE(Table2[[#This Row],[Year]],Table2[[#This Row],[Month]],1))</f>
        <v/>
      </c>
    </row>
    <row r="8764" spans="7:11" x14ac:dyDescent="0.25">
      <c r="G8764" s="1" t="str">
        <f>IF(Table2[[#This Row],[Description]]="","",VLOOKUP(Table2[[#This Row],[Description]],$Q$1:$S$101,2,FALSE))</f>
        <v/>
      </c>
      <c r="H8764" s="1" t="str">
        <f>IF(Table2[[#This Row],[Description]]="","",VLOOKUP(Table2[[#This Row],[Description]],$Q$1:$S$101,3,FALSE))</f>
        <v/>
      </c>
      <c r="I8764" s="1" t="str">
        <f>IF(Table2[[#This Row],[Description]]="","",IF(Table2[[#This Row],[Currency]]=$O$2,$P$2,HLOOKUP(Table2[[#This Row],[Date]],Funds!$C$10:$GV$11,2,FALSE)))</f>
        <v/>
      </c>
      <c r="J8764" s="215" t="str">
        <f>IF(Table2[[#This Row],[Description]]="","",Table2[[#This Row],[Value]]/Table2[[#This Row],[Conversion]])</f>
        <v/>
      </c>
      <c r="K8764" s="45" t="str">
        <f>IF(Table2[[#This Row],[Description]]="","",DATE(Table2[[#This Row],[Year]],Table2[[#This Row],[Month]],1))</f>
        <v/>
      </c>
    </row>
    <row r="8765" spans="7:11" x14ac:dyDescent="0.25">
      <c r="G8765" s="1" t="str">
        <f>IF(Table2[[#This Row],[Description]]="","",VLOOKUP(Table2[[#This Row],[Description]],$Q$1:$S$101,2,FALSE))</f>
        <v/>
      </c>
      <c r="H8765" s="1" t="str">
        <f>IF(Table2[[#This Row],[Description]]="","",VLOOKUP(Table2[[#This Row],[Description]],$Q$1:$S$101,3,FALSE))</f>
        <v/>
      </c>
      <c r="I8765" s="1" t="str">
        <f>IF(Table2[[#This Row],[Description]]="","",IF(Table2[[#This Row],[Currency]]=$O$2,$P$2,HLOOKUP(Table2[[#This Row],[Date]],Funds!$C$10:$GV$11,2,FALSE)))</f>
        <v/>
      </c>
      <c r="J8765" s="215" t="str">
        <f>IF(Table2[[#This Row],[Description]]="","",Table2[[#This Row],[Value]]/Table2[[#This Row],[Conversion]])</f>
        <v/>
      </c>
      <c r="K8765" s="45" t="str">
        <f>IF(Table2[[#This Row],[Description]]="","",DATE(Table2[[#This Row],[Year]],Table2[[#This Row],[Month]],1))</f>
        <v/>
      </c>
    </row>
    <row r="8766" spans="7:11" x14ac:dyDescent="0.25">
      <c r="G8766" s="1" t="str">
        <f>IF(Table2[[#This Row],[Description]]="","",VLOOKUP(Table2[[#This Row],[Description]],$Q$1:$S$101,2,FALSE))</f>
        <v/>
      </c>
      <c r="H8766" s="1" t="str">
        <f>IF(Table2[[#This Row],[Description]]="","",VLOOKUP(Table2[[#This Row],[Description]],$Q$1:$S$101,3,FALSE))</f>
        <v/>
      </c>
      <c r="I8766" s="1" t="str">
        <f>IF(Table2[[#This Row],[Description]]="","",IF(Table2[[#This Row],[Currency]]=$O$2,$P$2,HLOOKUP(Table2[[#This Row],[Date]],Funds!$C$10:$GV$11,2,FALSE)))</f>
        <v/>
      </c>
      <c r="J8766" s="215" t="str">
        <f>IF(Table2[[#This Row],[Description]]="","",Table2[[#This Row],[Value]]/Table2[[#This Row],[Conversion]])</f>
        <v/>
      </c>
      <c r="K8766" s="45" t="str">
        <f>IF(Table2[[#This Row],[Description]]="","",DATE(Table2[[#This Row],[Year]],Table2[[#This Row],[Month]],1))</f>
        <v/>
      </c>
    </row>
    <row r="8767" spans="7:11" x14ac:dyDescent="0.25">
      <c r="G8767" s="1" t="str">
        <f>IF(Table2[[#This Row],[Description]]="","",VLOOKUP(Table2[[#This Row],[Description]],$Q$1:$S$101,2,FALSE))</f>
        <v/>
      </c>
      <c r="H8767" s="1" t="str">
        <f>IF(Table2[[#This Row],[Description]]="","",VLOOKUP(Table2[[#This Row],[Description]],$Q$1:$S$101,3,FALSE))</f>
        <v/>
      </c>
      <c r="I8767" s="1" t="str">
        <f>IF(Table2[[#This Row],[Description]]="","",IF(Table2[[#This Row],[Currency]]=$O$2,$P$2,HLOOKUP(Table2[[#This Row],[Date]],Funds!$C$10:$GV$11,2,FALSE)))</f>
        <v/>
      </c>
      <c r="J8767" s="215" t="str">
        <f>IF(Table2[[#This Row],[Description]]="","",Table2[[#This Row],[Value]]/Table2[[#This Row],[Conversion]])</f>
        <v/>
      </c>
      <c r="K8767" s="45" t="str">
        <f>IF(Table2[[#This Row],[Description]]="","",DATE(Table2[[#This Row],[Year]],Table2[[#This Row],[Month]],1))</f>
        <v/>
      </c>
    </row>
    <row r="8768" spans="7:11" x14ac:dyDescent="0.25">
      <c r="G8768" s="1" t="str">
        <f>IF(Table2[[#This Row],[Description]]="","",VLOOKUP(Table2[[#This Row],[Description]],$Q$1:$S$101,2,FALSE))</f>
        <v/>
      </c>
      <c r="H8768" s="1" t="str">
        <f>IF(Table2[[#This Row],[Description]]="","",VLOOKUP(Table2[[#This Row],[Description]],$Q$1:$S$101,3,FALSE))</f>
        <v/>
      </c>
      <c r="I8768" s="1" t="str">
        <f>IF(Table2[[#This Row],[Description]]="","",IF(Table2[[#This Row],[Currency]]=$O$2,$P$2,HLOOKUP(Table2[[#This Row],[Date]],Funds!$C$10:$GV$11,2,FALSE)))</f>
        <v/>
      </c>
      <c r="J8768" s="215" t="str">
        <f>IF(Table2[[#This Row],[Description]]="","",Table2[[#This Row],[Value]]/Table2[[#This Row],[Conversion]])</f>
        <v/>
      </c>
      <c r="K8768" s="45" t="str">
        <f>IF(Table2[[#This Row],[Description]]="","",DATE(Table2[[#This Row],[Year]],Table2[[#This Row],[Month]],1))</f>
        <v/>
      </c>
    </row>
    <row r="8769" spans="7:11" x14ac:dyDescent="0.25">
      <c r="G8769" s="1" t="str">
        <f>IF(Table2[[#This Row],[Description]]="","",VLOOKUP(Table2[[#This Row],[Description]],$Q$1:$S$101,2,FALSE))</f>
        <v/>
      </c>
      <c r="H8769" s="1" t="str">
        <f>IF(Table2[[#This Row],[Description]]="","",VLOOKUP(Table2[[#This Row],[Description]],$Q$1:$S$101,3,FALSE))</f>
        <v/>
      </c>
      <c r="I8769" s="1" t="str">
        <f>IF(Table2[[#This Row],[Description]]="","",IF(Table2[[#This Row],[Currency]]=$O$2,$P$2,HLOOKUP(Table2[[#This Row],[Date]],Funds!$C$10:$GV$11,2,FALSE)))</f>
        <v/>
      </c>
      <c r="J8769" s="215" t="str">
        <f>IF(Table2[[#This Row],[Description]]="","",Table2[[#This Row],[Value]]/Table2[[#This Row],[Conversion]])</f>
        <v/>
      </c>
      <c r="K8769" s="45" t="str">
        <f>IF(Table2[[#This Row],[Description]]="","",DATE(Table2[[#This Row],[Year]],Table2[[#This Row],[Month]],1))</f>
        <v/>
      </c>
    </row>
    <row r="8770" spans="7:11" x14ac:dyDescent="0.25">
      <c r="G8770" s="1" t="str">
        <f>IF(Table2[[#This Row],[Description]]="","",VLOOKUP(Table2[[#This Row],[Description]],$Q$1:$S$101,2,FALSE))</f>
        <v/>
      </c>
      <c r="H8770" s="1" t="str">
        <f>IF(Table2[[#This Row],[Description]]="","",VLOOKUP(Table2[[#This Row],[Description]],$Q$1:$S$101,3,FALSE))</f>
        <v/>
      </c>
      <c r="I8770" s="1" t="str">
        <f>IF(Table2[[#This Row],[Description]]="","",IF(Table2[[#This Row],[Currency]]=$O$2,$P$2,HLOOKUP(Table2[[#This Row],[Date]],Funds!$C$10:$GV$11,2,FALSE)))</f>
        <v/>
      </c>
      <c r="J8770" s="215" t="str">
        <f>IF(Table2[[#This Row],[Description]]="","",Table2[[#This Row],[Value]]/Table2[[#This Row],[Conversion]])</f>
        <v/>
      </c>
      <c r="K8770" s="45" t="str">
        <f>IF(Table2[[#This Row],[Description]]="","",DATE(Table2[[#This Row],[Year]],Table2[[#This Row],[Month]],1))</f>
        <v/>
      </c>
    </row>
    <row r="8771" spans="7:11" x14ac:dyDescent="0.25">
      <c r="G8771" s="1" t="str">
        <f>IF(Table2[[#This Row],[Description]]="","",VLOOKUP(Table2[[#This Row],[Description]],$Q$1:$S$101,2,FALSE))</f>
        <v/>
      </c>
      <c r="H8771" s="1" t="str">
        <f>IF(Table2[[#This Row],[Description]]="","",VLOOKUP(Table2[[#This Row],[Description]],$Q$1:$S$101,3,FALSE))</f>
        <v/>
      </c>
      <c r="I8771" s="1" t="str">
        <f>IF(Table2[[#This Row],[Description]]="","",IF(Table2[[#This Row],[Currency]]=$O$2,$P$2,HLOOKUP(Table2[[#This Row],[Date]],Funds!$C$10:$GV$11,2,FALSE)))</f>
        <v/>
      </c>
      <c r="J8771" s="215" t="str">
        <f>IF(Table2[[#This Row],[Description]]="","",Table2[[#This Row],[Value]]/Table2[[#This Row],[Conversion]])</f>
        <v/>
      </c>
      <c r="K8771" s="45" t="str">
        <f>IF(Table2[[#This Row],[Description]]="","",DATE(Table2[[#This Row],[Year]],Table2[[#This Row],[Month]],1))</f>
        <v/>
      </c>
    </row>
    <row r="8772" spans="7:11" x14ac:dyDescent="0.25">
      <c r="G8772" s="1" t="str">
        <f>IF(Table2[[#This Row],[Description]]="","",VLOOKUP(Table2[[#This Row],[Description]],$Q$1:$S$101,2,FALSE))</f>
        <v/>
      </c>
      <c r="H8772" s="1" t="str">
        <f>IF(Table2[[#This Row],[Description]]="","",VLOOKUP(Table2[[#This Row],[Description]],$Q$1:$S$101,3,FALSE))</f>
        <v/>
      </c>
      <c r="I8772" s="1" t="str">
        <f>IF(Table2[[#This Row],[Description]]="","",IF(Table2[[#This Row],[Currency]]=$O$2,$P$2,HLOOKUP(Table2[[#This Row],[Date]],Funds!$C$10:$GV$11,2,FALSE)))</f>
        <v/>
      </c>
      <c r="J8772" s="215" t="str">
        <f>IF(Table2[[#This Row],[Description]]="","",Table2[[#This Row],[Value]]/Table2[[#This Row],[Conversion]])</f>
        <v/>
      </c>
      <c r="K8772" s="45" t="str">
        <f>IF(Table2[[#This Row],[Description]]="","",DATE(Table2[[#This Row],[Year]],Table2[[#This Row],[Month]],1))</f>
        <v/>
      </c>
    </row>
    <row r="8773" spans="7:11" x14ac:dyDescent="0.25">
      <c r="G8773" s="1" t="str">
        <f>IF(Table2[[#This Row],[Description]]="","",VLOOKUP(Table2[[#This Row],[Description]],$Q$1:$S$101,2,FALSE))</f>
        <v/>
      </c>
      <c r="H8773" s="1" t="str">
        <f>IF(Table2[[#This Row],[Description]]="","",VLOOKUP(Table2[[#This Row],[Description]],$Q$1:$S$101,3,FALSE))</f>
        <v/>
      </c>
      <c r="I8773" s="1" t="str">
        <f>IF(Table2[[#This Row],[Description]]="","",IF(Table2[[#This Row],[Currency]]=$O$2,$P$2,HLOOKUP(Table2[[#This Row],[Date]],Funds!$C$10:$GV$11,2,FALSE)))</f>
        <v/>
      </c>
      <c r="J8773" s="215" t="str">
        <f>IF(Table2[[#This Row],[Description]]="","",Table2[[#This Row],[Value]]/Table2[[#This Row],[Conversion]])</f>
        <v/>
      </c>
      <c r="K8773" s="45" t="str">
        <f>IF(Table2[[#This Row],[Description]]="","",DATE(Table2[[#This Row],[Year]],Table2[[#This Row],[Month]],1))</f>
        <v/>
      </c>
    </row>
    <row r="8774" spans="7:11" x14ac:dyDescent="0.25">
      <c r="G8774" s="1" t="str">
        <f>IF(Table2[[#This Row],[Description]]="","",VLOOKUP(Table2[[#This Row],[Description]],$Q$1:$S$101,2,FALSE))</f>
        <v/>
      </c>
      <c r="H8774" s="1" t="str">
        <f>IF(Table2[[#This Row],[Description]]="","",VLOOKUP(Table2[[#This Row],[Description]],$Q$1:$S$101,3,FALSE))</f>
        <v/>
      </c>
      <c r="I8774" s="1" t="str">
        <f>IF(Table2[[#This Row],[Description]]="","",IF(Table2[[#This Row],[Currency]]=$O$2,$P$2,HLOOKUP(Table2[[#This Row],[Date]],Funds!$C$10:$GV$11,2,FALSE)))</f>
        <v/>
      </c>
      <c r="J8774" s="215" t="str">
        <f>IF(Table2[[#This Row],[Description]]="","",Table2[[#This Row],[Value]]/Table2[[#This Row],[Conversion]])</f>
        <v/>
      </c>
      <c r="K8774" s="45" t="str">
        <f>IF(Table2[[#This Row],[Description]]="","",DATE(Table2[[#This Row],[Year]],Table2[[#This Row],[Month]],1))</f>
        <v/>
      </c>
    </row>
    <row r="8775" spans="7:11" x14ac:dyDescent="0.25">
      <c r="G8775" s="1" t="str">
        <f>IF(Table2[[#This Row],[Description]]="","",VLOOKUP(Table2[[#This Row],[Description]],$Q$1:$S$101,2,FALSE))</f>
        <v/>
      </c>
      <c r="H8775" s="1" t="str">
        <f>IF(Table2[[#This Row],[Description]]="","",VLOOKUP(Table2[[#This Row],[Description]],$Q$1:$S$101,3,FALSE))</f>
        <v/>
      </c>
      <c r="I8775" s="1" t="str">
        <f>IF(Table2[[#This Row],[Description]]="","",IF(Table2[[#This Row],[Currency]]=$O$2,$P$2,HLOOKUP(Table2[[#This Row],[Date]],Funds!$C$10:$GV$11,2,FALSE)))</f>
        <v/>
      </c>
      <c r="J8775" s="215" t="str">
        <f>IF(Table2[[#This Row],[Description]]="","",Table2[[#This Row],[Value]]/Table2[[#This Row],[Conversion]])</f>
        <v/>
      </c>
      <c r="K8775" s="45" t="str">
        <f>IF(Table2[[#This Row],[Description]]="","",DATE(Table2[[#This Row],[Year]],Table2[[#This Row],[Month]],1))</f>
        <v/>
      </c>
    </row>
    <row r="8776" spans="7:11" x14ac:dyDescent="0.25">
      <c r="G8776" s="1" t="str">
        <f>IF(Table2[[#This Row],[Description]]="","",VLOOKUP(Table2[[#This Row],[Description]],$Q$1:$S$101,2,FALSE))</f>
        <v/>
      </c>
      <c r="H8776" s="1" t="str">
        <f>IF(Table2[[#This Row],[Description]]="","",VLOOKUP(Table2[[#This Row],[Description]],$Q$1:$S$101,3,FALSE))</f>
        <v/>
      </c>
      <c r="I8776" s="1" t="str">
        <f>IF(Table2[[#This Row],[Description]]="","",IF(Table2[[#This Row],[Currency]]=$O$2,$P$2,HLOOKUP(Table2[[#This Row],[Date]],Funds!$C$10:$GV$11,2,FALSE)))</f>
        <v/>
      </c>
      <c r="J8776" s="215" t="str">
        <f>IF(Table2[[#This Row],[Description]]="","",Table2[[#This Row],[Value]]/Table2[[#This Row],[Conversion]])</f>
        <v/>
      </c>
      <c r="K8776" s="45" t="str">
        <f>IF(Table2[[#This Row],[Description]]="","",DATE(Table2[[#This Row],[Year]],Table2[[#This Row],[Month]],1))</f>
        <v/>
      </c>
    </row>
    <row r="8777" spans="7:11" x14ac:dyDescent="0.25">
      <c r="G8777" s="1" t="str">
        <f>IF(Table2[[#This Row],[Description]]="","",VLOOKUP(Table2[[#This Row],[Description]],$Q$1:$S$101,2,FALSE))</f>
        <v/>
      </c>
      <c r="H8777" s="1" t="str">
        <f>IF(Table2[[#This Row],[Description]]="","",VLOOKUP(Table2[[#This Row],[Description]],$Q$1:$S$101,3,FALSE))</f>
        <v/>
      </c>
      <c r="I8777" s="1" t="str">
        <f>IF(Table2[[#This Row],[Description]]="","",IF(Table2[[#This Row],[Currency]]=$O$2,$P$2,HLOOKUP(Table2[[#This Row],[Date]],Funds!$C$10:$GV$11,2,FALSE)))</f>
        <v/>
      </c>
      <c r="J8777" s="215" t="str">
        <f>IF(Table2[[#This Row],[Description]]="","",Table2[[#This Row],[Value]]/Table2[[#This Row],[Conversion]])</f>
        <v/>
      </c>
      <c r="K8777" s="45" t="str">
        <f>IF(Table2[[#This Row],[Description]]="","",DATE(Table2[[#This Row],[Year]],Table2[[#This Row],[Month]],1))</f>
        <v/>
      </c>
    </row>
    <row r="8778" spans="7:11" x14ac:dyDescent="0.25">
      <c r="G8778" s="1" t="str">
        <f>IF(Table2[[#This Row],[Description]]="","",VLOOKUP(Table2[[#This Row],[Description]],$Q$1:$S$101,2,FALSE))</f>
        <v/>
      </c>
      <c r="H8778" s="1" t="str">
        <f>IF(Table2[[#This Row],[Description]]="","",VLOOKUP(Table2[[#This Row],[Description]],$Q$1:$S$101,3,FALSE))</f>
        <v/>
      </c>
      <c r="I8778" s="1" t="str">
        <f>IF(Table2[[#This Row],[Description]]="","",IF(Table2[[#This Row],[Currency]]=$O$2,$P$2,HLOOKUP(Table2[[#This Row],[Date]],Funds!$C$10:$GV$11,2,FALSE)))</f>
        <v/>
      </c>
      <c r="J8778" s="215" t="str">
        <f>IF(Table2[[#This Row],[Description]]="","",Table2[[#This Row],[Value]]/Table2[[#This Row],[Conversion]])</f>
        <v/>
      </c>
      <c r="K8778" s="45" t="str">
        <f>IF(Table2[[#This Row],[Description]]="","",DATE(Table2[[#This Row],[Year]],Table2[[#This Row],[Month]],1))</f>
        <v/>
      </c>
    </row>
    <row r="8779" spans="7:11" x14ac:dyDescent="0.25">
      <c r="G8779" s="1" t="str">
        <f>IF(Table2[[#This Row],[Description]]="","",VLOOKUP(Table2[[#This Row],[Description]],$Q$1:$S$101,2,FALSE))</f>
        <v/>
      </c>
      <c r="H8779" s="1" t="str">
        <f>IF(Table2[[#This Row],[Description]]="","",VLOOKUP(Table2[[#This Row],[Description]],$Q$1:$S$101,3,FALSE))</f>
        <v/>
      </c>
      <c r="I8779" s="1" t="str">
        <f>IF(Table2[[#This Row],[Description]]="","",IF(Table2[[#This Row],[Currency]]=$O$2,$P$2,HLOOKUP(Table2[[#This Row],[Date]],Funds!$C$10:$GV$11,2,FALSE)))</f>
        <v/>
      </c>
      <c r="J8779" s="215" t="str">
        <f>IF(Table2[[#This Row],[Description]]="","",Table2[[#This Row],[Value]]/Table2[[#This Row],[Conversion]])</f>
        <v/>
      </c>
      <c r="K8779" s="45" t="str">
        <f>IF(Table2[[#This Row],[Description]]="","",DATE(Table2[[#This Row],[Year]],Table2[[#This Row],[Month]],1))</f>
        <v/>
      </c>
    </row>
    <row r="8780" spans="7:11" x14ac:dyDescent="0.25">
      <c r="G8780" s="1" t="str">
        <f>IF(Table2[[#This Row],[Description]]="","",VLOOKUP(Table2[[#This Row],[Description]],$Q$1:$S$101,2,FALSE))</f>
        <v/>
      </c>
      <c r="H8780" s="1" t="str">
        <f>IF(Table2[[#This Row],[Description]]="","",VLOOKUP(Table2[[#This Row],[Description]],$Q$1:$S$101,3,FALSE))</f>
        <v/>
      </c>
      <c r="I8780" s="1" t="str">
        <f>IF(Table2[[#This Row],[Description]]="","",IF(Table2[[#This Row],[Currency]]=$O$2,$P$2,HLOOKUP(Table2[[#This Row],[Date]],Funds!$C$10:$GV$11,2,FALSE)))</f>
        <v/>
      </c>
      <c r="J8780" s="215" t="str">
        <f>IF(Table2[[#This Row],[Description]]="","",Table2[[#This Row],[Value]]/Table2[[#This Row],[Conversion]])</f>
        <v/>
      </c>
      <c r="K8780" s="45" t="str">
        <f>IF(Table2[[#This Row],[Description]]="","",DATE(Table2[[#This Row],[Year]],Table2[[#This Row],[Month]],1))</f>
        <v/>
      </c>
    </row>
    <row r="8781" spans="7:11" x14ac:dyDescent="0.25">
      <c r="G8781" s="1" t="str">
        <f>IF(Table2[[#This Row],[Description]]="","",VLOOKUP(Table2[[#This Row],[Description]],$Q$1:$S$101,2,FALSE))</f>
        <v/>
      </c>
      <c r="H8781" s="1" t="str">
        <f>IF(Table2[[#This Row],[Description]]="","",VLOOKUP(Table2[[#This Row],[Description]],$Q$1:$S$101,3,FALSE))</f>
        <v/>
      </c>
      <c r="I8781" s="1" t="str">
        <f>IF(Table2[[#This Row],[Description]]="","",IF(Table2[[#This Row],[Currency]]=$O$2,$P$2,HLOOKUP(Table2[[#This Row],[Date]],Funds!$C$10:$GV$11,2,FALSE)))</f>
        <v/>
      </c>
      <c r="J8781" s="215" t="str">
        <f>IF(Table2[[#This Row],[Description]]="","",Table2[[#This Row],[Value]]/Table2[[#This Row],[Conversion]])</f>
        <v/>
      </c>
      <c r="K8781" s="45" t="str">
        <f>IF(Table2[[#This Row],[Description]]="","",DATE(Table2[[#This Row],[Year]],Table2[[#This Row],[Month]],1))</f>
        <v/>
      </c>
    </row>
    <row r="8782" spans="7:11" x14ac:dyDescent="0.25">
      <c r="G8782" s="1" t="str">
        <f>IF(Table2[[#This Row],[Description]]="","",VLOOKUP(Table2[[#This Row],[Description]],$Q$1:$S$101,2,FALSE))</f>
        <v/>
      </c>
      <c r="H8782" s="1" t="str">
        <f>IF(Table2[[#This Row],[Description]]="","",VLOOKUP(Table2[[#This Row],[Description]],$Q$1:$S$101,3,FALSE))</f>
        <v/>
      </c>
      <c r="I8782" s="1" t="str">
        <f>IF(Table2[[#This Row],[Description]]="","",IF(Table2[[#This Row],[Currency]]=$O$2,$P$2,HLOOKUP(Table2[[#This Row],[Date]],Funds!$C$10:$GV$11,2,FALSE)))</f>
        <v/>
      </c>
      <c r="J8782" s="215" t="str">
        <f>IF(Table2[[#This Row],[Description]]="","",Table2[[#This Row],[Value]]/Table2[[#This Row],[Conversion]])</f>
        <v/>
      </c>
      <c r="K8782" s="45" t="str">
        <f>IF(Table2[[#This Row],[Description]]="","",DATE(Table2[[#This Row],[Year]],Table2[[#This Row],[Month]],1))</f>
        <v/>
      </c>
    </row>
    <row r="8783" spans="7:11" x14ac:dyDescent="0.25">
      <c r="G8783" s="1" t="str">
        <f>IF(Table2[[#This Row],[Description]]="","",VLOOKUP(Table2[[#This Row],[Description]],$Q$1:$S$101,2,FALSE))</f>
        <v/>
      </c>
      <c r="H8783" s="1" t="str">
        <f>IF(Table2[[#This Row],[Description]]="","",VLOOKUP(Table2[[#This Row],[Description]],$Q$1:$S$101,3,FALSE))</f>
        <v/>
      </c>
      <c r="I8783" s="1" t="str">
        <f>IF(Table2[[#This Row],[Description]]="","",IF(Table2[[#This Row],[Currency]]=$O$2,$P$2,HLOOKUP(Table2[[#This Row],[Date]],Funds!$C$10:$GV$11,2,FALSE)))</f>
        <v/>
      </c>
      <c r="J8783" s="215" t="str">
        <f>IF(Table2[[#This Row],[Description]]="","",Table2[[#This Row],[Value]]/Table2[[#This Row],[Conversion]])</f>
        <v/>
      </c>
      <c r="K8783" s="45" t="str">
        <f>IF(Table2[[#This Row],[Description]]="","",DATE(Table2[[#This Row],[Year]],Table2[[#This Row],[Month]],1))</f>
        <v/>
      </c>
    </row>
    <row r="8784" spans="7:11" x14ac:dyDescent="0.25">
      <c r="G8784" s="1" t="str">
        <f>IF(Table2[[#This Row],[Description]]="","",VLOOKUP(Table2[[#This Row],[Description]],$Q$1:$S$101,2,FALSE))</f>
        <v/>
      </c>
      <c r="H8784" s="1" t="str">
        <f>IF(Table2[[#This Row],[Description]]="","",VLOOKUP(Table2[[#This Row],[Description]],$Q$1:$S$101,3,FALSE))</f>
        <v/>
      </c>
      <c r="I8784" s="1" t="str">
        <f>IF(Table2[[#This Row],[Description]]="","",IF(Table2[[#This Row],[Currency]]=$O$2,$P$2,HLOOKUP(Table2[[#This Row],[Date]],Funds!$C$10:$GV$11,2,FALSE)))</f>
        <v/>
      </c>
      <c r="J8784" s="215" t="str">
        <f>IF(Table2[[#This Row],[Description]]="","",Table2[[#This Row],[Value]]/Table2[[#This Row],[Conversion]])</f>
        <v/>
      </c>
      <c r="K8784" s="45" t="str">
        <f>IF(Table2[[#This Row],[Description]]="","",DATE(Table2[[#This Row],[Year]],Table2[[#This Row],[Month]],1))</f>
        <v/>
      </c>
    </row>
    <row r="8785" spans="7:11" x14ac:dyDescent="0.25">
      <c r="G8785" s="1" t="str">
        <f>IF(Table2[[#This Row],[Description]]="","",VLOOKUP(Table2[[#This Row],[Description]],$Q$1:$S$101,2,FALSE))</f>
        <v/>
      </c>
      <c r="H8785" s="1" t="str">
        <f>IF(Table2[[#This Row],[Description]]="","",VLOOKUP(Table2[[#This Row],[Description]],$Q$1:$S$101,3,FALSE))</f>
        <v/>
      </c>
      <c r="I8785" s="1" t="str">
        <f>IF(Table2[[#This Row],[Description]]="","",IF(Table2[[#This Row],[Currency]]=$O$2,$P$2,HLOOKUP(Table2[[#This Row],[Date]],Funds!$C$10:$GV$11,2,FALSE)))</f>
        <v/>
      </c>
      <c r="J8785" s="215" t="str">
        <f>IF(Table2[[#This Row],[Description]]="","",Table2[[#This Row],[Value]]/Table2[[#This Row],[Conversion]])</f>
        <v/>
      </c>
      <c r="K8785" s="45" t="str">
        <f>IF(Table2[[#This Row],[Description]]="","",DATE(Table2[[#This Row],[Year]],Table2[[#This Row],[Month]],1))</f>
        <v/>
      </c>
    </row>
    <row r="8786" spans="7:11" x14ac:dyDescent="0.25">
      <c r="G8786" s="1" t="str">
        <f>IF(Table2[[#This Row],[Description]]="","",VLOOKUP(Table2[[#This Row],[Description]],$Q$1:$S$101,2,FALSE))</f>
        <v/>
      </c>
      <c r="H8786" s="1" t="str">
        <f>IF(Table2[[#This Row],[Description]]="","",VLOOKUP(Table2[[#This Row],[Description]],$Q$1:$S$101,3,FALSE))</f>
        <v/>
      </c>
      <c r="I8786" s="1" t="str">
        <f>IF(Table2[[#This Row],[Description]]="","",IF(Table2[[#This Row],[Currency]]=$O$2,$P$2,HLOOKUP(Table2[[#This Row],[Date]],Funds!$C$10:$GV$11,2,FALSE)))</f>
        <v/>
      </c>
      <c r="J8786" s="215" t="str">
        <f>IF(Table2[[#This Row],[Description]]="","",Table2[[#This Row],[Value]]/Table2[[#This Row],[Conversion]])</f>
        <v/>
      </c>
      <c r="K8786" s="45" t="str">
        <f>IF(Table2[[#This Row],[Description]]="","",DATE(Table2[[#This Row],[Year]],Table2[[#This Row],[Month]],1))</f>
        <v/>
      </c>
    </row>
    <row r="8787" spans="7:11" x14ac:dyDescent="0.25">
      <c r="G8787" s="1" t="str">
        <f>IF(Table2[[#This Row],[Description]]="","",VLOOKUP(Table2[[#This Row],[Description]],$Q$1:$S$101,2,FALSE))</f>
        <v/>
      </c>
      <c r="H8787" s="1" t="str">
        <f>IF(Table2[[#This Row],[Description]]="","",VLOOKUP(Table2[[#This Row],[Description]],$Q$1:$S$101,3,FALSE))</f>
        <v/>
      </c>
      <c r="I8787" s="1" t="str">
        <f>IF(Table2[[#This Row],[Description]]="","",IF(Table2[[#This Row],[Currency]]=$O$2,$P$2,HLOOKUP(Table2[[#This Row],[Date]],Funds!$C$10:$GV$11,2,FALSE)))</f>
        <v/>
      </c>
      <c r="J8787" s="215" t="str">
        <f>IF(Table2[[#This Row],[Description]]="","",Table2[[#This Row],[Value]]/Table2[[#This Row],[Conversion]])</f>
        <v/>
      </c>
      <c r="K8787" s="45" t="str">
        <f>IF(Table2[[#This Row],[Description]]="","",DATE(Table2[[#This Row],[Year]],Table2[[#This Row],[Month]],1))</f>
        <v/>
      </c>
    </row>
    <row r="8788" spans="7:11" x14ac:dyDescent="0.25">
      <c r="G8788" s="1" t="str">
        <f>IF(Table2[[#This Row],[Description]]="","",VLOOKUP(Table2[[#This Row],[Description]],$Q$1:$S$101,2,FALSE))</f>
        <v/>
      </c>
      <c r="H8788" s="1" t="str">
        <f>IF(Table2[[#This Row],[Description]]="","",VLOOKUP(Table2[[#This Row],[Description]],$Q$1:$S$101,3,FALSE))</f>
        <v/>
      </c>
      <c r="I8788" s="1" t="str">
        <f>IF(Table2[[#This Row],[Description]]="","",IF(Table2[[#This Row],[Currency]]=$O$2,$P$2,HLOOKUP(Table2[[#This Row],[Date]],Funds!$C$10:$GV$11,2,FALSE)))</f>
        <v/>
      </c>
      <c r="J8788" s="215" t="str">
        <f>IF(Table2[[#This Row],[Description]]="","",Table2[[#This Row],[Value]]/Table2[[#This Row],[Conversion]])</f>
        <v/>
      </c>
      <c r="K8788" s="45" t="str">
        <f>IF(Table2[[#This Row],[Description]]="","",DATE(Table2[[#This Row],[Year]],Table2[[#This Row],[Month]],1))</f>
        <v/>
      </c>
    </row>
    <row r="8789" spans="7:11" x14ac:dyDescent="0.25">
      <c r="G8789" s="1" t="str">
        <f>IF(Table2[[#This Row],[Description]]="","",VLOOKUP(Table2[[#This Row],[Description]],$Q$1:$S$101,2,FALSE))</f>
        <v/>
      </c>
      <c r="H8789" s="1" t="str">
        <f>IF(Table2[[#This Row],[Description]]="","",VLOOKUP(Table2[[#This Row],[Description]],$Q$1:$S$101,3,FALSE))</f>
        <v/>
      </c>
      <c r="I8789" s="1" t="str">
        <f>IF(Table2[[#This Row],[Description]]="","",IF(Table2[[#This Row],[Currency]]=$O$2,$P$2,HLOOKUP(Table2[[#This Row],[Date]],Funds!$C$10:$GV$11,2,FALSE)))</f>
        <v/>
      </c>
      <c r="J8789" s="215" t="str">
        <f>IF(Table2[[#This Row],[Description]]="","",Table2[[#This Row],[Value]]/Table2[[#This Row],[Conversion]])</f>
        <v/>
      </c>
      <c r="K8789" s="45" t="str">
        <f>IF(Table2[[#This Row],[Description]]="","",DATE(Table2[[#This Row],[Year]],Table2[[#This Row],[Month]],1))</f>
        <v/>
      </c>
    </row>
    <row r="8790" spans="7:11" x14ac:dyDescent="0.25">
      <c r="G8790" s="1" t="str">
        <f>IF(Table2[[#This Row],[Description]]="","",VLOOKUP(Table2[[#This Row],[Description]],$Q$1:$S$101,2,FALSE))</f>
        <v/>
      </c>
      <c r="H8790" s="1" t="str">
        <f>IF(Table2[[#This Row],[Description]]="","",VLOOKUP(Table2[[#This Row],[Description]],$Q$1:$S$101,3,FALSE))</f>
        <v/>
      </c>
      <c r="I8790" s="1" t="str">
        <f>IF(Table2[[#This Row],[Description]]="","",IF(Table2[[#This Row],[Currency]]=$O$2,$P$2,HLOOKUP(Table2[[#This Row],[Date]],Funds!$C$10:$GV$11,2,FALSE)))</f>
        <v/>
      </c>
      <c r="J8790" s="215" t="str">
        <f>IF(Table2[[#This Row],[Description]]="","",Table2[[#This Row],[Value]]/Table2[[#This Row],[Conversion]])</f>
        <v/>
      </c>
      <c r="K8790" s="45" t="str">
        <f>IF(Table2[[#This Row],[Description]]="","",DATE(Table2[[#This Row],[Year]],Table2[[#This Row],[Month]],1))</f>
        <v/>
      </c>
    </row>
    <row r="8791" spans="7:11" x14ac:dyDescent="0.25">
      <c r="G8791" s="1" t="str">
        <f>IF(Table2[[#This Row],[Description]]="","",VLOOKUP(Table2[[#This Row],[Description]],$Q$1:$S$101,2,FALSE))</f>
        <v/>
      </c>
      <c r="H8791" s="1" t="str">
        <f>IF(Table2[[#This Row],[Description]]="","",VLOOKUP(Table2[[#This Row],[Description]],$Q$1:$S$101,3,FALSE))</f>
        <v/>
      </c>
      <c r="I8791" s="1" t="str">
        <f>IF(Table2[[#This Row],[Description]]="","",IF(Table2[[#This Row],[Currency]]=$O$2,$P$2,HLOOKUP(Table2[[#This Row],[Date]],Funds!$C$10:$GV$11,2,FALSE)))</f>
        <v/>
      </c>
      <c r="J8791" s="215" t="str">
        <f>IF(Table2[[#This Row],[Description]]="","",Table2[[#This Row],[Value]]/Table2[[#This Row],[Conversion]])</f>
        <v/>
      </c>
      <c r="K8791" s="45" t="str">
        <f>IF(Table2[[#This Row],[Description]]="","",DATE(Table2[[#This Row],[Year]],Table2[[#This Row],[Month]],1))</f>
        <v/>
      </c>
    </row>
    <row r="8792" spans="7:11" x14ac:dyDescent="0.25">
      <c r="G8792" s="1" t="str">
        <f>IF(Table2[[#This Row],[Description]]="","",VLOOKUP(Table2[[#This Row],[Description]],$Q$1:$S$101,2,FALSE))</f>
        <v/>
      </c>
      <c r="H8792" s="1" t="str">
        <f>IF(Table2[[#This Row],[Description]]="","",VLOOKUP(Table2[[#This Row],[Description]],$Q$1:$S$101,3,FALSE))</f>
        <v/>
      </c>
      <c r="I8792" s="1" t="str">
        <f>IF(Table2[[#This Row],[Description]]="","",IF(Table2[[#This Row],[Currency]]=$O$2,$P$2,HLOOKUP(Table2[[#This Row],[Date]],Funds!$C$10:$GV$11,2,FALSE)))</f>
        <v/>
      </c>
      <c r="J8792" s="215" t="str">
        <f>IF(Table2[[#This Row],[Description]]="","",Table2[[#This Row],[Value]]/Table2[[#This Row],[Conversion]])</f>
        <v/>
      </c>
      <c r="K8792" s="45" t="str">
        <f>IF(Table2[[#This Row],[Description]]="","",DATE(Table2[[#This Row],[Year]],Table2[[#This Row],[Month]],1))</f>
        <v/>
      </c>
    </row>
    <row r="8793" spans="7:11" x14ac:dyDescent="0.25">
      <c r="G8793" s="1" t="str">
        <f>IF(Table2[[#This Row],[Description]]="","",VLOOKUP(Table2[[#This Row],[Description]],$Q$1:$S$101,2,FALSE))</f>
        <v/>
      </c>
      <c r="H8793" s="1" t="str">
        <f>IF(Table2[[#This Row],[Description]]="","",VLOOKUP(Table2[[#This Row],[Description]],$Q$1:$S$101,3,FALSE))</f>
        <v/>
      </c>
      <c r="I8793" s="1" t="str">
        <f>IF(Table2[[#This Row],[Description]]="","",IF(Table2[[#This Row],[Currency]]=$O$2,$P$2,HLOOKUP(Table2[[#This Row],[Date]],Funds!$C$10:$GV$11,2,FALSE)))</f>
        <v/>
      </c>
      <c r="J8793" s="215" t="str">
        <f>IF(Table2[[#This Row],[Description]]="","",Table2[[#This Row],[Value]]/Table2[[#This Row],[Conversion]])</f>
        <v/>
      </c>
      <c r="K8793" s="45" t="str">
        <f>IF(Table2[[#This Row],[Description]]="","",DATE(Table2[[#This Row],[Year]],Table2[[#This Row],[Month]],1))</f>
        <v/>
      </c>
    </row>
    <row r="8794" spans="7:11" x14ac:dyDescent="0.25">
      <c r="G8794" s="1" t="str">
        <f>IF(Table2[[#This Row],[Description]]="","",VLOOKUP(Table2[[#This Row],[Description]],$Q$1:$S$101,2,FALSE))</f>
        <v/>
      </c>
      <c r="H8794" s="1" t="str">
        <f>IF(Table2[[#This Row],[Description]]="","",VLOOKUP(Table2[[#This Row],[Description]],$Q$1:$S$101,3,FALSE))</f>
        <v/>
      </c>
      <c r="I8794" s="1" t="str">
        <f>IF(Table2[[#This Row],[Description]]="","",IF(Table2[[#This Row],[Currency]]=$O$2,$P$2,HLOOKUP(Table2[[#This Row],[Date]],Funds!$C$10:$GV$11,2,FALSE)))</f>
        <v/>
      </c>
      <c r="J8794" s="215" t="str">
        <f>IF(Table2[[#This Row],[Description]]="","",Table2[[#This Row],[Value]]/Table2[[#This Row],[Conversion]])</f>
        <v/>
      </c>
      <c r="K8794" s="45" t="str">
        <f>IF(Table2[[#This Row],[Description]]="","",DATE(Table2[[#This Row],[Year]],Table2[[#This Row],[Month]],1))</f>
        <v/>
      </c>
    </row>
    <row r="8795" spans="7:11" x14ac:dyDescent="0.25">
      <c r="G8795" s="1" t="str">
        <f>IF(Table2[[#This Row],[Description]]="","",VLOOKUP(Table2[[#This Row],[Description]],$Q$1:$S$101,2,FALSE))</f>
        <v/>
      </c>
      <c r="H8795" s="1" t="str">
        <f>IF(Table2[[#This Row],[Description]]="","",VLOOKUP(Table2[[#This Row],[Description]],$Q$1:$S$101,3,FALSE))</f>
        <v/>
      </c>
      <c r="I8795" s="1" t="str">
        <f>IF(Table2[[#This Row],[Description]]="","",IF(Table2[[#This Row],[Currency]]=$O$2,$P$2,HLOOKUP(Table2[[#This Row],[Date]],Funds!$C$10:$GV$11,2,FALSE)))</f>
        <v/>
      </c>
      <c r="J8795" s="215" t="str">
        <f>IF(Table2[[#This Row],[Description]]="","",Table2[[#This Row],[Value]]/Table2[[#This Row],[Conversion]])</f>
        <v/>
      </c>
      <c r="K8795" s="45" t="str">
        <f>IF(Table2[[#This Row],[Description]]="","",DATE(Table2[[#This Row],[Year]],Table2[[#This Row],[Month]],1))</f>
        <v/>
      </c>
    </row>
    <row r="8796" spans="7:11" x14ac:dyDescent="0.25">
      <c r="G8796" s="1" t="str">
        <f>IF(Table2[[#This Row],[Description]]="","",VLOOKUP(Table2[[#This Row],[Description]],$Q$1:$S$101,2,FALSE))</f>
        <v/>
      </c>
      <c r="H8796" s="1" t="str">
        <f>IF(Table2[[#This Row],[Description]]="","",VLOOKUP(Table2[[#This Row],[Description]],$Q$1:$S$101,3,FALSE))</f>
        <v/>
      </c>
      <c r="I8796" s="1" t="str">
        <f>IF(Table2[[#This Row],[Description]]="","",IF(Table2[[#This Row],[Currency]]=$O$2,$P$2,HLOOKUP(Table2[[#This Row],[Date]],Funds!$C$10:$GV$11,2,FALSE)))</f>
        <v/>
      </c>
      <c r="J8796" s="215" t="str">
        <f>IF(Table2[[#This Row],[Description]]="","",Table2[[#This Row],[Value]]/Table2[[#This Row],[Conversion]])</f>
        <v/>
      </c>
      <c r="K8796" s="45" t="str">
        <f>IF(Table2[[#This Row],[Description]]="","",DATE(Table2[[#This Row],[Year]],Table2[[#This Row],[Month]],1))</f>
        <v/>
      </c>
    </row>
    <row r="8797" spans="7:11" x14ac:dyDescent="0.25">
      <c r="G8797" s="1" t="str">
        <f>IF(Table2[[#This Row],[Description]]="","",VLOOKUP(Table2[[#This Row],[Description]],$Q$1:$S$101,2,FALSE))</f>
        <v/>
      </c>
      <c r="H8797" s="1" t="str">
        <f>IF(Table2[[#This Row],[Description]]="","",VLOOKUP(Table2[[#This Row],[Description]],$Q$1:$S$101,3,FALSE))</f>
        <v/>
      </c>
      <c r="I8797" s="1" t="str">
        <f>IF(Table2[[#This Row],[Description]]="","",IF(Table2[[#This Row],[Currency]]=$O$2,$P$2,HLOOKUP(Table2[[#This Row],[Date]],Funds!$C$10:$GV$11,2,FALSE)))</f>
        <v/>
      </c>
      <c r="J8797" s="215" t="str">
        <f>IF(Table2[[#This Row],[Description]]="","",Table2[[#This Row],[Value]]/Table2[[#This Row],[Conversion]])</f>
        <v/>
      </c>
      <c r="K8797" s="45" t="str">
        <f>IF(Table2[[#This Row],[Description]]="","",DATE(Table2[[#This Row],[Year]],Table2[[#This Row],[Month]],1))</f>
        <v/>
      </c>
    </row>
    <row r="8798" spans="7:11" x14ac:dyDescent="0.25">
      <c r="G8798" s="1" t="str">
        <f>IF(Table2[[#This Row],[Description]]="","",VLOOKUP(Table2[[#This Row],[Description]],$Q$1:$S$101,2,FALSE))</f>
        <v/>
      </c>
      <c r="H8798" s="1" t="str">
        <f>IF(Table2[[#This Row],[Description]]="","",VLOOKUP(Table2[[#This Row],[Description]],$Q$1:$S$101,3,FALSE))</f>
        <v/>
      </c>
      <c r="I8798" s="1" t="str">
        <f>IF(Table2[[#This Row],[Description]]="","",IF(Table2[[#This Row],[Currency]]=$O$2,$P$2,HLOOKUP(Table2[[#This Row],[Date]],Funds!$C$10:$GV$11,2,FALSE)))</f>
        <v/>
      </c>
      <c r="J8798" s="215" t="str">
        <f>IF(Table2[[#This Row],[Description]]="","",Table2[[#This Row],[Value]]/Table2[[#This Row],[Conversion]])</f>
        <v/>
      </c>
      <c r="K8798" s="45" t="str">
        <f>IF(Table2[[#This Row],[Description]]="","",DATE(Table2[[#This Row],[Year]],Table2[[#This Row],[Month]],1))</f>
        <v/>
      </c>
    </row>
    <row r="8799" spans="7:11" x14ac:dyDescent="0.25">
      <c r="G8799" s="1" t="str">
        <f>IF(Table2[[#This Row],[Description]]="","",VLOOKUP(Table2[[#This Row],[Description]],$Q$1:$S$101,2,FALSE))</f>
        <v/>
      </c>
      <c r="H8799" s="1" t="str">
        <f>IF(Table2[[#This Row],[Description]]="","",VLOOKUP(Table2[[#This Row],[Description]],$Q$1:$S$101,3,FALSE))</f>
        <v/>
      </c>
      <c r="I8799" s="1" t="str">
        <f>IF(Table2[[#This Row],[Description]]="","",IF(Table2[[#This Row],[Currency]]=$O$2,$P$2,HLOOKUP(Table2[[#This Row],[Date]],Funds!$C$10:$GV$11,2,FALSE)))</f>
        <v/>
      </c>
      <c r="J8799" s="215" t="str">
        <f>IF(Table2[[#This Row],[Description]]="","",Table2[[#This Row],[Value]]/Table2[[#This Row],[Conversion]])</f>
        <v/>
      </c>
      <c r="K8799" s="45" t="str">
        <f>IF(Table2[[#This Row],[Description]]="","",DATE(Table2[[#This Row],[Year]],Table2[[#This Row],[Month]],1))</f>
        <v/>
      </c>
    </row>
    <row r="8800" spans="7:11" x14ac:dyDescent="0.25">
      <c r="G8800" s="1" t="str">
        <f>IF(Table2[[#This Row],[Description]]="","",VLOOKUP(Table2[[#This Row],[Description]],$Q$1:$S$101,2,FALSE))</f>
        <v/>
      </c>
      <c r="H8800" s="1" t="str">
        <f>IF(Table2[[#This Row],[Description]]="","",VLOOKUP(Table2[[#This Row],[Description]],$Q$1:$S$101,3,FALSE))</f>
        <v/>
      </c>
      <c r="I8800" s="1" t="str">
        <f>IF(Table2[[#This Row],[Description]]="","",IF(Table2[[#This Row],[Currency]]=$O$2,$P$2,HLOOKUP(Table2[[#This Row],[Date]],Funds!$C$10:$GV$11,2,FALSE)))</f>
        <v/>
      </c>
      <c r="J8800" s="215" t="str">
        <f>IF(Table2[[#This Row],[Description]]="","",Table2[[#This Row],[Value]]/Table2[[#This Row],[Conversion]])</f>
        <v/>
      </c>
      <c r="K8800" s="45" t="str">
        <f>IF(Table2[[#This Row],[Description]]="","",DATE(Table2[[#This Row],[Year]],Table2[[#This Row],[Month]],1))</f>
        <v/>
      </c>
    </row>
    <row r="8801" spans="7:11" x14ac:dyDescent="0.25">
      <c r="G8801" s="1" t="str">
        <f>IF(Table2[[#This Row],[Description]]="","",VLOOKUP(Table2[[#This Row],[Description]],$Q$1:$S$101,2,FALSE))</f>
        <v/>
      </c>
      <c r="H8801" s="1" t="str">
        <f>IF(Table2[[#This Row],[Description]]="","",VLOOKUP(Table2[[#This Row],[Description]],$Q$1:$S$101,3,FALSE))</f>
        <v/>
      </c>
      <c r="I8801" s="1" t="str">
        <f>IF(Table2[[#This Row],[Description]]="","",IF(Table2[[#This Row],[Currency]]=$O$2,$P$2,HLOOKUP(Table2[[#This Row],[Date]],Funds!$C$10:$GV$11,2,FALSE)))</f>
        <v/>
      </c>
      <c r="J8801" s="215" t="str">
        <f>IF(Table2[[#This Row],[Description]]="","",Table2[[#This Row],[Value]]/Table2[[#This Row],[Conversion]])</f>
        <v/>
      </c>
      <c r="K8801" s="45" t="str">
        <f>IF(Table2[[#This Row],[Description]]="","",DATE(Table2[[#This Row],[Year]],Table2[[#This Row],[Month]],1))</f>
        <v/>
      </c>
    </row>
    <row r="8802" spans="7:11" x14ac:dyDescent="0.25">
      <c r="G8802" s="1" t="str">
        <f>IF(Table2[[#This Row],[Description]]="","",VLOOKUP(Table2[[#This Row],[Description]],$Q$1:$S$101,2,FALSE))</f>
        <v/>
      </c>
      <c r="H8802" s="1" t="str">
        <f>IF(Table2[[#This Row],[Description]]="","",VLOOKUP(Table2[[#This Row],[Description]],$Q$1:$S$101,3,FALSE))</f>
        <v/>
      </c>
      <c r="I8802" s="1" t="str">
        <f>IF(Table2[[#This Row],[Description]]="","",IF(Table2[[#This Row],[Currency]]=$O$2,$P$2,HLOOKUP(Table2[[#This Row],[Date]],Funds!$C$10:$GV$11,2,FALSE)))</f>
        <v/>
      </c>
      <c r="J8802" s="215" t="str">
        <f>IF(Table2[[#This Row],[Description]]="","",Table2[[#This Row],[Value]]/Table2[[#This Row],[Conversion]])</f>
        <v/>
      </c>
      <c r="K8802" s="45" t="str">
        <f>IF(Table2[[#This Row],[Description]]="","",DATE(Table2[[#This Row],[Year]],Table2[[#This Row],[Month]],1))</f>
        <v/>
      </c>
    </row>
    <row r="8803" spans="7:11" x14ac:dyDescent="0.25">
      <c r="G8803" s="1" t="str">
        <f>IF(Table2[[#This Row],[Description]]="","",VLOOKUP(Table2[[#This Row],[Description]],$Q$1:$S$101,2,FALSE))</f>
        <v/>
      </c>
      <c r="H8803" s="1" t="str">
        <f>IF(Table2[[#This Row],[Description]]="","",VLOOKUP(Table2[[#This Row],[Description]],$Q$1:$S$101,3,FALSE))</f>
        <v/>
      </c>
      <c r="I8803" s="1" t="str">
        <f>IF(Table2[[#This Row],[Description]]="","",IF(Table2[[#This Row],[Currency]]=$O$2,$P$2,HLOOKUP(Table2[[#This Row],[Date]],Funds!$C$10:$GV$11,2,FALSE)))</f>
        <v/>
      </c>
      <c r="J8803" s="215" t="str">
        <f>IF(Table2[[#This Row],[Description]]="","",Table2[[#This Row],[Value]]/Table2[[#This Row],[Conversion]])</f>
        <v/>
      </c>
      <c r="K8803" s="45" t="str">
        <f>IF(Table2[[#This Row],[Description]]="","",DATE(Table2[[#This Row],[Year]],Table2[[#This Row],[Month]],1))</f>
        <v/>
      </c>
    </row>
    <row r="8804" spans="7:11" x14ac:dyDescent="0.25">
      <c r="G8804" s="1" t="str">
        <f>IF(Table2[[#This Row],[Description]]="","",VLOOKUP(Table2[[#This Row],[Description]],$Q$1:$S$101,2,FALSE))</f>
        <v/>
      </c>
      <c r="H8804" s="1" t="str">
        <f>IF(Table2[[#This Row],[Description]]="","",VLOOKUP(Table2[[#This Row],[Description]],$Q$1:$S$101,3,FALSE))</f>
        <v/>
      </c>
      <c r="I8804" s="1" t="str">
        <f>IF(Table2[[#This Row],[Description]]="","",IF(Table2[[#This Row],[Currency]]=$O$2,$P$2,HLOOKUP(Table2[[#This Row],[Date]],Funds!$C$10:$GV$11,2,FALSE)))</f>
        <v/>
      </c>
      <c r="J8804" s="215" t="str">
        <f>IF(Table2[[#This Row],[Description]]="","",Table2[[#This Row],[Value]]/Table2[[#This Row],[Conversion]])</f>
        <v/>
      </c>
      <c r="K8804" s="45" t="str">
        <f>IF(Table2[[#This Row],[Description]]="","",DATE(Table2[[#This Row],[Year]],Table2[[#This Row],[Month]],1))</f>
        <v/>
      </c>
    </row>
    <row r="8805" spans="7:11" x14ac:dyDescent="0.25">
      <c r="G8805" s="1" t="str">
        <f>IF(Table2[[#This Row],[Description]]="","",VLOOKUP(Table2[[#This Row],[Description]],$Q$1:$S$101,2,FALSE))</f>
        <v/>
      </c>
      <c r="H8805" s="1" t="str">
        <f>IF(Table2[[#This Row],[Description]]="","",VLOOKUP(Table2[[#This Row],[Description]],$Q$1:$S$101,3,FALSE))</f>
        <v/>
      </c>
      <c r="I8805" s="1" t="str">
        <f>IF(Table2[[#This Row],[Description]]="","",IF(Table2[[#This Row],[Currency]]=$O$2,$P$2,HLOOKUP(Table2[[#This Row],[Date]],Funds!$C$10:$GV$11,2,FALSE)))</f>
        <v/>
      </c>
      <c r="J8805" s="215" t="str">
        <f>IF(Table2[[#This Row],[Description]]="","",Table2[[#This Row],[Value]]/Table2[[#This Row],[Conversion]])</f>
        <v/>
      </c>
      <c r="K8805" s="45" t="str">
        <f>IF(Table2[[#This Row],[Description]]="","",DATE(Table2[[#This Row],[Year]],Table2[[#This Row],[Month]],1))</f>
        <v/>
      </c>
    </row>
    <row r="8806" spans="7:11" x14ac:dyDescent="0.25">
      <c r="G8806" s="1" t="str">
        <f>IF(Table2[[#This Row],[Description]]="","",VLOOKUP(Table2[[#This Row],[Description]],$Q$1:$S$101,2,FALSE))</f>
        <v/>
      </c>
      <c r="H8806" s="1" t="str">
        <f>IF(Table2[[#This Row],[Description]]="","",VLOOKUP(Table2[[#This Row],[Description]],$Q$1:$S$101,3,FALSE))</f>
        <v/>
      </c>
      <c r="I8806" s="1" t="str">
        <f>IF(Table2[[#This Row],[Description]]="","",IF(Table2[[#This Row],[Currency]]=$O$2,$P$2,HLOOKUP(Table2[[#This Row],[Date]],Funds!$C$10:$GV$11,2,FALSE)))</f>
        <v/>
      </c>
      <c r="J8806" s="215" t="str">
        <f>IF(Table2[[#This Row],[Description]]="","",Table2[[#This Row],[Value]]/Table2[[#This Row],[Conversion]])</f>
        <v/>
      </c>
      <c r="K8806" s="45" t="str">
        <f>IF(Table2[[#This Row],[Description]]="","",DATE(Table2[[#This Row],[Year]],Table2[[#This Row],[Month]],1))</f>
        <v/>
      </c>
    </row>
    <row r="8807" spans="7:11" x14ac:dyDescent="0.25">
      <c r="G8807" s="1" t="str">
        <f>IF(Table2[[#This Row],[Description]]="","",VLOOKUP(Table2[[#This Row],[Description]],$Q$1:$S$101,2,FALSE))</f>
        <v/>
      </c>
      <c r="H8807" s="1" t="str">
        <f>IF(Table2[[#This Row],[Description]]="","",VLOOKUP(Table2[[#This Row],[Description]],$Q$1:$S$101,3,FALSE))</f>
        <v/>
      </c>
      <c r="I8807" s="1" t="str">
        <f>IF(Table2[[#This Row],[Description]]="","",IF(Table2[[#This Row],[Currency]]=$O$2,$P$2,HLOOKUP(Table2[[#This Row],[Date]],Funds!$C$10:$GV$11,2,FALSE)))</f>
        <v/>
      </c>
      <c r="J8807" s="215" t="str">
        <f>IF(Table2[[#This Row],[Description]]="","",Table2[[#This Row],[Value]]/Table2[[#This Row],[Conversion]])</f>
        <v/>
      </c>
      <c r="K8807" s="45" t="str">
        <f>IF(Table2[[#This Row],[Description]]="","",DATE(Table2[[#This Row],[Year]],Table2[[#This Row],[Month]],1))</f>
        <v/>
      </c>
    </row>
    <row r="8808" spans="7:11" x14ac:dyDescent="0.25">
      <c r="G8808" s="1" t="str">
        <f>IF(Table2[[#This Row],[Description]]="","",VLOOKUP(Table2[[#This Row],[Description]],$Q$1:$S$101,2,FALSE))</f>
        <v/>
      </c>
      <c r="H8808" s="1" t="str">
        <f>IF(Table2[[#This Row],[Description]]="","",VLOOKUP(Table2[[#This Row],[Description]],$Q$1:$S$101,3,FALSE))</f>
        <v/>
      </c>
      <c r="I8808" s="1" t="str">
        <f>IF(Table2[[#This Row],[Description]]="","",IF(Table2[[#This Row],[Currency]]=$O$2,$P$2,HLOOKUP(Table2[[#This Row],[Date]],Funds!$C$10:$GV$11,2,FALSE)))</f>
        <v/>
      </c>
      <c r="J8808" s="215" t="str">
        <f>IF(Table2[[#This Row],[Description]]="","",Table2[[#This Row],[Value]]/Table2[[#This Row],[Conversion]])</f>
        <v/>
      </c>
      <c r="K8808" s="45" t="str">
        <f>IF(Table2[[#This Row],[Description]]="","",DATE(Table2[[#This Row],[Year]],Table2[[#This Row],[Month]],1))</f>
        <v/>
      </c>
    </row>
    <row r="8809" spans="7:11" x14ac:dyDescent="0.25">
      <c r="G8809" s="1" t="str">
        <f>IF(Table2[[#This Row],[Description]]="","",VLOOKUP(Table2[[#This Row],[Description]],$Q$1:$S$101,2,FALSE))</f>
        <v/>
      </c>
      <c r="H8809" s="1" t="str">
        <f>IF(Table2[[#This Row],[Description]]="","",VLOOKUP(Table2[[#This Row],[Description]],$Q$1:$S$101,3,FALSE))</f>
        <v/>
      </c>
      <c r="I8809" s="1" t="str">
        <f>IF(Table2[[#This Row],[Description]]="","",IF(Table2[[#This Row],[Currency]]=$O$2,$P$2,HLOOKUP(Table2[[#This Row],[Date]],Funds!$C$10:$GV$11,2,FALSE)))</f>
        <v/>
      </c>
      <c r="J8809" s="215" t="str">
        <f>IF(Table2[[#This Row],[Description]]="","",Table2[[#This Row],[Value]]/Table2[[#This Row],[Conversion]])</f>
        <v/>
      </c>
      <c r="K8809" s="45" t="str">
        <f>IF(Table2[[#This Row],[Description]]="","",DATE(Table2[[#This Row],[Year]],Table2[[#This Row],[Month]],1))</f>
        <v/>
      </c>
    </row>
    <row r="8810" spans="7:11" x14ac:dyDescent="0.25">
      <c r="G8810" s="1" t="str">
        <f>IF(Table2[[#This Row],[Description]]="","",VLOOKUP(Table2[[#This Row],[Description]],$Q$1:$S$101,2,FALSE))</f>
        <v/>
      </c>
      <c r="H8810" s="1" t="str">
        <f>IF(Table2[[#This Row],[Description]]="","",VLOOKUP(Table2[[#This Row],[Description]],$Q$1:$S$101,3,FALSE))</f>
        <v/>
      </c>
      <c r="I8810" s="1" t="str">
        <f>IF(Table2[[#This Row],[Description]]="","",IF(Table2[[#This Row],[Currency]]=$O$2,$P$2,HLOOKUP(Table2[[#This Row],[Date]],Funds!$C$10:$GV$11,2,FALSE)))</f>
        <v/>
      </c>
      <c r="J8810" s="215" t="str">
        <f>IF(Table2[[#This Row],[Description]]="","",Table2[[#This Row],[Value]]/Table2[[#This Row],[Conversion]])</f>
        <v/>
      </c>
      <c r="K8810" s="45" t="str">
        <f>IF(Table2[[#This Row],[Description]]="","",DATE(Table2[[#This Row],[Year]],Table2[[#This Row],[Month]],1))</f>
        <v/>
      </c>
    </row>
    <row r="8811" spans="7:11" x14ac:dyDescent="0.25">
      <c r="G8811" s="1" t="str">
        <f>IF(Table2[[#This Row],[Description]]="","",VLOOKUP(Table2[[#This Row],[Description]],$Q$1:$S$101,2,FALSE))</f>
        <v/>
      </c>
      <c r="H8811" s="1" t="str">
        <f>IF(Table2[[#This Row],[Description]]="","",VLOOKUP(Table2[[#This Row],[Description]],$Q$1:$S$101,3,FALSE))</f>
        <v/>
      </c>
      <c r="I8811" s="1" t="str">
        <f>IF(Table2[[#This Row],[Description]]="","",IF(Table2[[#This Row],[Currency]]=$O$2,$P$2,HLOOKUP(Table2[[#This Row],[Date]],Funds!$C$10:$GV$11,2,FALSE)))</f>
        <v/>
      </c>
      <c r="J8811" s="215" t="str">
        <f>IF(Table2[[#This Row],[Description]]="","",Table2[[#This Row],[Value]]/Table2[[#This Row],[Conversion]])</f>
        <v/>
      </c>
      <c r="K8811" s="45" t="str">
        <f>IF(Table2[[#This Row],[Description]]="","",DATE(Table2[[#This Row],[Year]],Table2[[#This Row],[Month]],1))</f>
        <v/>
      </c>
    </row>
    <row r="8812" spans="7:11" x14ac:dyDescent="0.25">
      <c r="G8812" s="1" t="str">
        <f>IF(Table2[[#This Row],[Description]]="","",VLOOKUP(Table2[[#This Row],[Description]],$Q$1:$S$101,2,FALSE))</f>
        <v/>
      </c>
      <c r="H8812" s="1" t="str">
        <f>IF(Table2[[#This Row],[Description]]="","",VLOOKUP(Table2[[#This Row],[Description]],$Q$1:$S$101,3,FALSE))</f>
        <v/>
      </c>
      <c r="I8812" s="1" t="str">
        <f>IF(Table2[[#This Row],[Description]]="","",IF(Table2[[#This Row],[Currency]]=$O$2,$P$2,HLOOKUP(Table2[[#This Row],[Date]],Funds!$C$10:$GV$11,2,FALSE)))</f>
        <v/>
      </c>
      <c r="J8812" s="215" t="str">
        <f>IF(Table2[[#This Row],[Description]]="","",Table2[[#This Row],[Value]]/Table2[[#This Row],[Conversion]])</f>
        <v/>
      </c>
      <c r="K8812" s="45" t="str">
        <f>IF(Table2[[#This Row],[Description]]="","",DATE(Table2[[#This Row],[Year]],Table2[[#This Row],[Month]],1))</f>
        <v/>
      </c>
    </row>
    <row r="8813" spans="7:11" x14ac:dyDescent="0.25">
      <c r="G8813" s="1" t="str">
        <f>IF(Table2[[#This Row],[Description]]="","",VLOOKUP(Table2[[#This Row],[Description]],$Q$1:$S$101,2,FALSE))</f>
        <v/>
      </c>
      <c r="H8813" s="1" t="str">
        <f>IF(Table2[[#This Row],[Description]]="","",VLOOKUP(Table2[[#This Row],[Description]],$Q$1:$S$101,3,FALSE))</f>
        <v/>
      </c>
      <c r="I8813" s="1" t="str">
        <f>IF(Table2[[#This Row],[Description]]="","",IF(Table2[[#This Row],[Currency]]=$O$2,$P$2,HLOOKUP(Table2[[#This Row],[Date]],Funds!$C$10:$GV$11,2,FALSE)))</f>
        <v/>
      </c>
      <c r="J8813" s="215" t="str">
        <f>IF(Table2[[#This Row],[Description]]="","",Table2[[#This Row],[Value]]/Table2[[#This Row],[Conversion]])</f>
        <v/>
      </c>
      <c r="K8813" s="45" t="str">
        <f>IF(Table2[[#This Row],[Description]]="","",DATE(Table2[[#This Row],[Year]],Table2[[#This Row],[Month]],1))</f>
        <v/>
      </c>
    </row>
    <row r="8814" spans="7:11" x14ac:dyDescent="0.25">
      <c r="G8814" s="1" t="str">
        <f>IF(Table2[[#This Row],[Description]]="","",VLOOKUP(Table2[[#This Row],[Description]],$Q$1:$S$101,2,FALSE))</f>
        <v/>
      </c>
      <c r="H8814" s="1" t="str">
        <f>IF(Table2[[#This Row],[Description]]="","",VLOOKUP(Table2[[#This Row],[Description]],$Q$1:$S$101,3,FALSE))</f>
        <v/>
      </c>
      <c r="I8814" s="1" t="str">
        <f>IF(Table2[[#This Row],[Description]]="","",IF(Table2[[#This Row],[Currency]]=$O$2,$P$2,HLOOKUP(Table2[[#This Row],[Date]],Funds!$C$10:$GV$11,2,FALSE)))</f>
        <v/>
      </c>
      <c r="J8814" s="215" t="str">
        <f>IF(Table2[[#This Row],[Description]]="","",Table2[[#This Row],[Value]]/Table2[[#This Row],[Conversion]])</f>
        <v/>
      </c>
      <c r="K8814" s="45" t="str">
        <f>IF(Table2[[#This Row],[Description]]="","",DATE(Table2[[#This Row],[Year]],Table2[[#This Row],[Month]],1))</f>
        <v/>
      </c>
    </row>
    <row r="8815" spans="7:11" x14ac:dyDescent="0.25">
      <c r="G8815" s="1" t="str">
        <f>IF(Table2[[#This Row],[Description]]="","",VLOOKUP(Table2[[#This Row],[Description]],$Q$1:$S$101,2,FALSE))</f>
        <v/>
      </c>
      <c r="H8815" s="1" t="str">
        <f>IF(Table2[[#This Row],[Description]]="","",VLOOKUP(Table2[[#This Row],[Description]],$Q$1:$S$101,3,FALSE))</f>
        <v/>
      </c>
      <c r="I8815" s="1" t="str">
        <f>IF(Table2[[#This Row],[Description]]="","",IF(Table2[[#This Row],[Currency]]=$O$2,$P$2,HLOOKUP(Table2[[#This Row],[Date]],Funds!$C$10:$GV$11,2,FALSE)))</f>
        <v/>
      </c>
      <c r="J8815" s="215" t="str">
        <f>IF(Table2[[#This Row],[Description]]="","",Table2[[#This Row],[Value]]/Table2[[#This Row],[Conversion]])</f>
        <v/>
      </c>
      <c r="K8815" s="45" t="str">
        <f>IF(Table2[[#This Row],[Description]]="","",DATE(Table2[[#This Row],[Year]],Table2[[#This Row],[Month]],1))</f>
        <v/>
      </c>
    </row>
    <row r="8816" spans="7:11" x14ac:dyDescent="0.25">
      <c r="G8816" s="1" t="str">
        <f>IF(Table2[[#This Row],[Description]]="","",VLOOKUP(Table2[[#This Row],[Description]],$Q$1:$S$101,2,FALSE))</f>
        <v/>
      </c>
      <c r="H8816" s="1" t="str">
        <f>IF(Table2[[#This Row],[Description]]="","",VLOOKUP(Table2[[#This Row],[Description]],$Q$1:$S$101,3,FALSE))</f>
        <v/>
      </c>
      <c r="I8816" s="1" t="str">
        <f>IF(Table2[[#This Row],[Description]]="","",IF(Table2[[#This Row],[Currency]]=$O$2,$P$2,HLOOKUP(Table2[[#This Row],[Date]],Funds!$C$10:$GV$11,2,FALSE)))</f>
        <v/>
      </c>
      <c r="J8816" s="215" t="str">
        <f>IF(Table2[[#This Row],[Description]]="","",Table2[[#This Row],[Value]]/Table2[[#This Row],[Conversion]])</f>
        <v/>
      </c>
      <c r="K8816" s="45" t="str">
        <f>IF(Table2[[#This Row],[Description]]="","",DATE(Table2[[#This Row],[Year]],Table2[[#This Row],[Month]],1))</f>
        <v/>
      </c>
    </row>
    <row r="8817" spans="7:11" x14ac:dyDescent="0.25">
      <c r="G8817" s="1" t="str">
        <f>IF(Table2[[#This Row],[Description]]="","",VLOOKUP(Table2[[#This Row],[Description]],$Q$1:$S$101,2,FALSE))</f>
        <v/>
      </c>
      <c r="H8817" s="1" t="str">
        <f>IF(Table2[[#This Row],[Description]]="","",VLOOKUP(Table2[[#This Row],[Description]],$Q$1:$S$101,3,FALSE))</f>
        <v/>
      </c>
      <c r="I8817" s="1" t="str">
        <f>IF(Table2[[#This Row],[Description]]="","",IF(Table2[[#This Row],[Currency]]=$O$2,$P$2,HLOOKUP(Table2[[#This Row],[Date]],Funds!$C$10:$GV$11,2,FALSE)))</f>
        <v/>
      </c>
      <c r="J8817" s="215" t="str">
        <f>IF(Table2[[#This Row],[Description]]="","",Table2[[#This Row],[Value]]/Table2[[#This Row],[Conversion]])</f>
        <v/>
      </c>
      <c r="K8817" s="45" t="str">
        <f>IF(Table2[[#This Row],[Description]]="","",DATE(Table2[[#This Row],[Year]],Table2[[#This Row],[Month]],1))</f>
        <v/>
      </c>
    </row>
    <row r="8818" spans="7:11" x14ac:dyDescent="0.25">
      <c r="G8818" s="1" t="str">
        <f>IF(Table2[[#This Row],[Description]]="","",VLOOKUP(Table2[[#This Row],[Description]],$Q$1:$S$101,2,FALSE))</f>
        <v/>
      </c>
      <c r="H8818" s="1" t="str">
        <f>IF(Table2[[#This Row],[Description]]="","",VLOOKUP(Table2[[#This Row],[Description]],$Q$1:$S$101,3,FALSE))</f>
        <v/>
      </c>
      <c r="I8818" s="1" t="str">
        <f>IF(Table2[[#This Row],[Description]]="","",IF(Table2[[#This Row],[Currency]]=$O$2,$P$2,HLOOKUP(Table2[[#This Row],[Date]],Funds!$C$10:$GV$11,2,FALSE)))</f>
        <v/>
      </c>
      <c r="J8818" s="215" t="str">
        <f>IF(Table2[[#This Row],[Description]]="","",Table2[[#This Row],[Value]]/Table2[[#This Row],[Conversion]])</f>
        <v/>
      </c>
      <c r="K8818" s="45" t="str">
        <f>IF(Table2[[#This Row],[Description]]="","",DATE(Table2[[#This Row],[Year]],Table2[[#This Row],[Month]],1))</f>
        <v/>
      </c>
    </row>
    <row r="8819" spans="7:11" x14ac:dyDescent="0.25">
      <c r="G8819" s="1" t="str">
        <f>IF(Table2[[#This Row],[Description]]="","",VLOOKUP(Table2[[#This Row],[Description]],$Q$1:$S$101,2,FALSE))</f>
        <v/>
      </c>
      <c r="H8819" s="1" t="str">
        <f>IF(Table2[[#This Row],[Description]]="","",VLOOKUP(Table2[[#This Row],[Description]],$Q$1:$S$101,3,FALSE))</f>
        <v/>
      </c>
      <c r="I8819" s="1" t="str">
        <f>IF(Table2[[#This Row],[Description]]="","",IF(Table2[[#This Row],[Currency]]=$O$2,$P$2,HLOOKUP(Table2[[#This Row],[Date]],Funds!$C$10:$GV$11,2,FALSE)))</f>
        <v/>
      </c>
      <c r="J8819" s="215" t="str">
        <f>IF(Table2[[#This Row],[Description]]="","",Table2[[#This Row],[Value]]/Table2[[#This Row],[Conversion]])</f>
        <v/>
      </c>
      <c r="K8819" s="45" t="str">
        <f>IF(Table2[[#This Row],[Description]]="","",DATE(Table2[[#This Row],[Year]],Table2[[#This Row],[Month]],1))</f>
        <v/>
      </c>
    </row>
    <row r="8820" spans="7:11" x14ac:dyDescent="0.25">
      <c r="G8820" s="1" t="str">
        <f>IF(Table2[[#This Row],[Description]]="","",VLOOKUP(Table2[[#This Row],[Description]],$Q$1:$S$101,2,FALSE))</f>
        <v/>
      </c>
      <c r="H8820" s="1" t="str">
        <f>IF(Table2[[#This Row],[Description]]="","",VLOOKUP(Table2[[#This Row],[Description]],$Q$1:$S$101,3,FALSE))</f>
        <v/>
      </c>
      <c r="I8820" s="1" t="str">
        <f>IF(Table2[[#This Row],[Description]]="","",IF(Table2[[#This Row],[Currency]]=$O$2,$P$2,HLOOKUP(Table2[[#This Row],[Date]],Funds!$C$10:$GV$11,2,FALSE)))</f>
        <v/>
      </c>
      <c r="J8820" s="215" t="str">
        <f>IF(Table2[[#This Row],[Description]]="","",Table2[[#This Row],[Value]]/Table2[[#This Row],[Conversion]])</f>
        <v/>
      </c>
      <c r="K8820" s="45" t="str">
        <f>IF(Table2[[#This Row],[Description]]="","",DATE(Table2[[#This Row],[Year]],Table2[[#This Row],[Month]],1))</f>
        <v/>
      </c>
    </row>
    <row r="8821" spans="7:11" x14ac:dyDescent="0.25">
      <c r="G8821" s="1" t="str">
        <f>IF(Table2[[#This Row],[Description]]="","",VLOOKUP(Table2[[#This Row],[Description]],$Q$1:$S$101,2,FALSE))</f>
        <v/>
      </c>
      <c r="H8821" s="1" t="str">
        <f>IF(Table2[[#This Row],[Description]]="","",VLOOKUP(Table2[[#This Row],[Description]],$Q$1:$S$101,3,FALSE))</f>
        <v/>
      </c>
      <c r="I8821" s="1" t="str">
        <f>IF(Table2[[#This Row],[Description]]="","",IF(Table2[[#This Row],[Currency]]=$O$2,$P$2,HLOOKUP(Table2[[#This Row],[Date]],Funds!$C$10:$GV$11,2,FALSE)))</f>
        <v/>
      </c>
      <c r="J8821" s="215" t="str">
        <f>IF(Table2[[#This Row],[Description]]="","",Table2[[#This Row],[Value]]/Table2[[#This Row],[Conversion]])</f>
        <v/>
      </c>
      <c r="K8821" s="45" t="str">
        <f>IF(Table2[[#This Row],[Description]]="","",DATE(Table2[[#This Row],[Year]],Table2[[#This Row],[Month]],1))</f>
        <v/>
      </c>
    </row>
    <row r="8822" spans="7:11" x14ac:dyDescent="0.25">
      <c r="G8822" s="1" t="str">
        <f>IF(Table2[[#This Row],[Description]]="","",VLOOKUP(Table2[[#This Row],[Description]],$Q$1:$S$101,2,FALSE))</f>
        <v/>
      </c>
      <c r="H8822" s="1" t="str">
        <f>IF(Table2[[#This Row],[Description]]="","",VLOOKUP(Table2[[#This Row],[Description]],$Q$1:$S$101,3,FALSE))</f>
        <v/>
      </c>
      <c r="I8822" s="1" t="str">
        <f>IF(Table2[[#This Row],[Description]]="","",IF(Table2[[#This Row],[Currency]]=$O$2,$P$2,HLOOKUP(Table2[[#This Row],[Date]],Funds!$C$10:$GV$11,2,FALSE)))</f>
        <v/>
      </c>
      <c r="J8822" s="215" t="str">
        <f>IF(Table2[[#This Row],[Description]]="","",Table2[[#This Row],[Value]]/Table2[[#This Row],[Conversion]])</f>
        <v/>
      </c>
      <c r="K8822" s="45" t="str">
        <f>IF(Table2[[#This Row],[Description]]="","",DATE(Table2[[#This Row],[Year]],Table2[[#This Row],[Month]],1))</f>
        <v/>
      </c>
    </row>
    <row r="8823" spans="7:11" x14ac:dyDescent="0.25">
      <c r="G8823" s="1" t="str">
        <f>IF(Table2[[#This Row],[Description]]="","",VLOOKUP(Table2[[#This Row],[Description]],$Q$1:$S$101,2,FALSE))</f>
        <v/>
      </c>
      <c r="H8823" s="1" t="str">
        <f>IF(Table2[[#This Row],[Description]]="","",VLOOKUP(Table2[[#This Row],[Description]],$Q$1:$S$101,3,FALSE))</f>
        <v/>
      </c>
      <c r="I8823" s="1" t="str">
        <f>IF(Table2[[#This Row],[Description]]="","",IF(Table2[[#This Row],[Currency]]=$O$2,$P$2,HLOOKUP(Table2[[#This Row],[Date]],Funds!$C$10:$GV$11,2,FALSE)))</f>
        <v/>
      </c>
      <c r="J8823" s="215" t="str">
        <f>IF(Table2[[#This Row],[Description]]="","",Table2[[#This Row],[Value]]/Table2[[#This Row],[Conversion]])</f>
        <v/>
      </c>
      <c r="K8823" s="45" t="str">
        <f>IF(Table2[[#This Row],[Description]]="","",DATE(Table2[[#This Row],[Year]],Table2[[#This Row],[Month]],1))</f>
        <v/>
      </c>
    </row>
    <row r="8824" spans="7:11" x14ac:dyDescent="0.25">
      <c r="G8824" s="1" t="str">
        <f>IF(Table2[[#This Row],[Description]]="","",VLOOKUP(Table2[[#This Row],[Description]],$Q$1:$S$101,2,FALSE))</f>
        <v/>
      </c>
      <c r="H8824" s="1" t="str">
        <f>IF(Table2[[#This Row],[Description]]="","",VLOOKUP(Table2[[#This Row],[Description]],$Q$1:$S$101,3,FALSE))</f>
        <v/>
      </c>
      <c r="I8824" s="1" t="str">
        <f>IF(Table2[[#This Row],[Description]]="","",IF(Table2[[#This Row],[Currency]]=$O$2,$P$2,HLOOKUP(Table2[[#This Row],[Date]],Funds!$C$10:$GV$11,2,FALSE)))</f>
        <v/>
      </c>
      <c r="J8824" s="215" t="str">
        <f>IF(Table2[[#This Row],[Description]]="","",Table2[[#This Row],[Value]]/Table2[[#This Row],[Conversion]])</f>
        <v/>
      </c>
      <c r="K8824" s="45" t="str">
        <f>IF(Table2[[#This Row],[Description]]="","",DATE(Table2[[#This Row],[Year]],Table2[[#This Row],[Month]],1))</f>
        <v/>
      </c>
    </row>
    <row r="8825" spans="7:11" x14ac:dyDescent="0.25">
      <c r="G8825" s="1" t="str">
        <f>IF(Table2[[#This Row],[Description]]="","",VLOOKUP(Table2[[#This Row],[Description]],$Q$1:$S$101,2,FALSE))</f>
        <v/>
      </c>
      <c r="H8825" s="1" t="str">
        <f>IF(Table2[[#This Row],[Description]]="","",VLOOKUP(Table2[[#This Row],[Description]],$Q$1:$S$101,3,FALSE))</f>
        <v/>
      </c>
      <c r="I8825" s="1" t="str">
        <f>IF(Table2[[#This Row],[Description]]="","",IF(Table2[[#This Row],[Currency]]=$O$2,$P$2,HLOOKUP(Table2[[#This Row],[Date]],Funds!$C$10:$GV$11,2,FALSE)))</f>
        <v/>
      </c>
      <c r="J8825" s="215" t="str">
        <f>IF(Table2[[#This Row],[Description]]="","",Table2[[#This Row],[Value]]/Table2[[#This Row],[Conversion]])</f>
        <v/>
      </c>
      <c r="K8825" s="45" t="str">
        <f>IF(Table2[[#This Row],[Description]]="","",DATE(Table2[[#This Row],[Year]],Table2[[#This Row],[Month]],1))</f>
        <v/>
      </c>
    </row>
    <row r="8826" spans="7:11" x14ac:dyDescent="0.25">
      <c r="G8826" s="1" t="str">
        <f>IF(Table2[[#This Row],[Description]]="","",VLOOKUP(Table2[[#This Row],[Description]],$Q$1:$S$101,2,FALSE))</f>
        <v/>
      </c>
      <c r="H8826" s="1" t="str">
        <f>IF(Table2[[#This Row],[Description]]="","",VLOOKUP(Table2[[#This Row],[Description]],$Q$1:$S$101,3,FALSE))</f>
        <v/>
      </c>
      <c r="I8826" s="1" t="str">
        <f>IF(Table2[[#This Row],[Description]]="","",IF(Table2[[#This Row],[Currency]]=$O$2,$P$2,HLOOKUP(Table2[[#This Row],[Date]],Funds!$C$10:$GV$11,2,FALSE)))</f>
        <v/>
      </c>
      <c r="J8826" s="215" t="str">
        <f>IF(Table2[[#This Row],[Description]]="","",Table2[[#This Row],[Value]]/Table2[[#This Row],[Conversion]])</f>
        <v/>
      </c>
      <c r="K8826" s="45" t="str">
        <f>IF(Table2[[#This Row],[Description]]="","",DATE(Table2[[#This Row],[Year]],Table2[[#This Row],[Month]],1))</f>
        <v/>
      </c>
    </row>
    <row r="8827" spans="7:11" x14ac:dyDescent="0.25">
      <c r="G8827" s="1" t="str">
        <f>IF(Table2[[#This Row],[Description]]="","",VLOOKUP(Table2[[#This Row],[Description]],$Q$1:$S$101,2,FALSE))</f>
        <v/>
      </c>
      <c r="H8827" s="1" t="str">
        <f>IF(Table2[[#This Row],[Description]]="","",VLOOKUP(Table2[[#This Row],[Description]],$Q$1:$S$101,3,FALSE))</f>
        <v/>
      </c>
      <c r="I8827" s="1" t="str">
        <f>IF(Table2[[#This Row],[Description]]="","",IF(Table2[[#This Row],[Currency]]=$O$2,$P$2,HLOOKUP(Table2[[#This Row],[Date]],Funds!$C$10:$GV$11,2,FALSE)))</f>
        <v/>
      </c>
      <c r="J8827" s="215" t="str">
        <f>IF(Table2[[#This Row],[Description]]="","",Table2[[#This Row],[Value]]/Table2[[#This Row],[Conversion]])</f>
        <v/>
      </c>
      <c r="K8827" s="45" t="str">
        <f>IF(Table2[[#This Row],[Description]]="","",DATE(Table2[[#This Row],[Year]],Table2[[#This Row],[Month]],1))</f>
        <v/>
      </c>
    </row>
    <row r="8828" spans="7:11" x14ac:dyDescent="0.25">
      <c r="G8828" s="1" t="str">
        <f>IF(Table2[[#This Row],[Description]]="","",VLOOKUP(Table2[[#This Row],[Description]],$Q$1:$S$101,2,FALSE))</f>
        <v/>
      </c>
      <c r="H8828" s="1" t="str">
        <f>IF(Table2[[#This Row],[Description]]="","",VLOOKUP(Table2[[#This Row],[Description]],$Q$1:$S$101,3,FALSE))</f>
        <v/>
      </c>
      <c r="I8828" s="1" t="str">
        <f>IF(Table2[[#This Row],[Description]]="","",IF(Table2[[#This Row],[Currency]]=$O$2,$P$2,HLOOKUP(Table2[[#This Row],[Date]],Funds!$C$10:$GV$11,2,FALSE)))</f>
        <v/>
      </c>
      <c r="J8828" s="215" t="str">
        <f>IF(Table2[[#This Row],[Description]]="","",Table2[[#This Row],[Value]]/Table2[[#This Row],[Conversion]])</f>
        <v/>
      </c>
      <c r="K8828" s="45" t="str">
        <f>IF(Table2[[#This Row],[Description]]="","",DATE(Table2[[#This Row],[Year]],Table2[[#This Row],[Month]],1))</f>
        <v/>
      </c>
    </row>
    <row r="8829" spans="7:11" x14ac:dyDescent="0.25">
      <c r="G8829" s="1" t="str">
        <f>IF(Table2[[#This Row],[Description]]="","",VLOOKUP(Table2[[#This Row],[Description]],$Q$1:$S$101,2,FALSE))</f>
        <v/>
      </c>
      <c r="H8829" s="1" t="str">
        <f>IF(Table2[[#This Row],[Description]]="","",VLOOKUP(Table2[[#This Row],[Description]],$Q$1:$S$101,3,FALSE))</f>
        <v/>
      </c>
      <c r="I8829" s="1" t="str">
        <f>IF(Table2[[#This Row],[Description]]="","",IF(Table2[[#This Row],[Currency]]=$O$2,$P$2,HLOOKUP(Table2[[#This Row],[Date]],Funds!$C$10:$GV$11,2,FALSE)))</f>
        <v/>
      </c>
      <c r="J8829" s="215" t="str">
        <f>IF(Table2[[#This Row],[Description]]="","",Table2[[#This Row],[Value]]/Table2[[#This Row],[Conversion]])</f>
        <v/>
      </c>
      <c r="K8829" s="45" t="str">
        <f>IF(Table2[[#This Row],[Description]]="","",DATE(Table2[[#This Row],[Year]],Table2[[#This Row],[Month]],1))</f>
        <v/>
      </c>
    </row>
    <row r="8830" spans="7:11" x14ac:dyDescent="0.25">
      <c r="G8830" s="1" t="str">
        <f>IF(Table2[[#This Row],[Description]]="","",VLOOKUP(Table2[[#This Row],[Description]],$Q$1:$S$101,2,FALSE))</f>
        <v/>
      </c>
      <c r="H8830" s="1" t="str">
        <f>IF(Table2[[#This Row],[Description]]="","",VLOOKUP(Table2[[#This Row],[Description]],$Q$1:$S$101,3,FALSE))</f>
        <v/>
      </c>
      <c r="I8830" s="1" t="str">
        <f>IF(Table2[[#This Row],[Description]]="","",IF(Table2[[#This Row],[Currency]]=$O$2,$P$2,HLOOKUP(Table2[[#This Row],[Date]],Funds!$C$10:$GV$11,2,FALSE)))</f>
        <v/>
      </c>
      <c r="J8830" s="215" t="str">
        <f>IF(Table2[[#This Row],[Description]]="","",Table2[[#This Row],[Value]]/Table2[[#This Row],[Conversion]])</f>
        <v/>
      </c>
      <c r="K8830" s="45" t="str">
        <f>IF(Table2[[#This Row],[Description]]="","",DATE(Table2[[#This Row],[Year]],Table2[[#This Row],[Month]],1))</f>
        <v/>
      </c>
    </row>
    <row r="8831" spans="7:11" x14ac:dyDescent="0.25">
      <c r="G8831" s="1" t="str">
        <f>IF(Table2[[#This Row],[Description]]="","",VLOOKUP(Table2[[#This Row],[Description]],$Q$1:$S$101,2,FALSE))</f>
        <v/>
      </c>
      <c r="H8831" s="1" t="str">
        <f>IF(Table2[[#This Row],[Description]]="","",VLOOKUP(Table2[[#This Row],[Description]],$Q$1:$S$101,3,FALSE))</f>
        <v/>
      </c>
      <c r="I8831" s="1" t="str">
        <f>IF(Table2[[#This Row],[Description]]="","",IF(Table2[[#This Row],[Currency]]=$O$2,$P$2,HLOOKUP(Table2[[#This Row],[Date]],Funds!$C$10:$GV$11,2,FALSE)))</f>
        <v/>
      </c>
      <c r="J8831" s="215" t="str">
        <f>IF(Table2[[#This Row],[Description]]="","",Table2[[#This Row],[Value]]/Table2[[#This Row],[Conversion]])</f>
        <v/>
      </c>
      <c r="K8831" s="45" t="str">
        <f>IF(Table2[[#This Row],[Description]]="","",DATE(Table2[[#This Row],[Year]],Table2[[#This Row],[Month]],1))</f>
        <v/>
      </c>
    </row>
    <row r="8832" spans="7:11" x14ac:dyDescent="0.25">
      <c r="G8832" s="1" t="str">
        <f>IF(Table2[[#This Row],[Description]]="","",VLOOKUP(Table2[[#This Row],[Description]],$Q$1:$S$101,2,FALSE))</f>
        <v/>
      </c>
      <c r="H8832" s="1" t="str">
        <f>IF(Table2[[#This Row],[Description]]="","",VLOOKUP(Table2[[#This Row],[Description]],$Q$1:$S$101,3,FALSE))</f>
        <v/>
      </c>
      <c r="I8832" s="1" t="str">
        <f>IF(Table2[[#This Row],[Description]]="","",IF(Table2[[#This Row],[Currency]]=$O$2,$P$2,HLOOKUP(Table2[[#This Row],[Date]],Funds!$C$10:$GV$11,2,FALSE)))</f>
        <v/>
      </c>
      <c r="J8832" s="215" t="str">
        <f>IF(Table2[[#This Row],[Description]]="","",Table2[[#This Row],[Value]]/Table2[[#This Row],[Conversion]])</f>
        <v/>
      </c>
      <c r="K8832" s="45" t="str">
        <f>IF(Table2[[#This Row],[Description]]="","",DATE(Table2[[#This Row],[Year]],Table2[[#This Row],[Month]],1))</f>
        <v/>
      </c>
    </row>
    <row r="8833" spans="7:11" x14ac:dyDescent="0.25">
      <c r="G8833" s="1" t="str">
        <f>IF(Table2[[#This Row],[Description]]="","",VLOOKUP(Table2[[#This Row],[Description]],$Q$1:$S$101,2,FALSE))</f>
        <v/>
      </c>
      <c r="H8833" s="1" t="str">
        <f>IF(Table2[[#This Row],[Description]]="","",VLOOKUP(Table2[[#This Row],[Description]],$Q$1:$S$101,3,FALSE))</f>
        <v/>
      </c>
      <c r="I8833" s="1" t="str">
        <f>IF(Table2[[#This Row],[Description]]="","",IF(Table2[[#This Row],[Currency]]=$O$2,$P$2,HLOOKUP(Table2[[#This Row],[Date]],Funds!$C$10:$GV$11,2,FALSE)))</f>
        <v/>
      </c>
      <c r="J8833" s="215" t="str">
        <f>IF(Table2[[#This Row],[Description]]="","",Table2[[#This Row],[Value]]/Table2[[#This Row],[Conversion]])</f>
        <v/>
      </c>
      <c r="K8833" s="45" t="str">
        <f>IF(Table2[[#This Row],[Description]]="","",DATE(Table2[[#This Row],[Year]],Table2[[#This Row],[Month]],1))</f>
        <v/>
      </c>
    </row>
    <row r="8834" spans="7:11" x14ac:dyDescent="0.25">
      <c r="G8834" s="1" t="str">
        <f>IF(Table2[[#This Row],[Description]]="","",VLOOKUP(Table2[[#This Row],[Description]],$Q$1:$S$101,2,FALSE))</f>
        <v/>
      </c>
      <c r="H8834" s="1" t="str">
        <f>IF(Table2[[#This Row],[Description]]="","",VLOOKUP(Table2[[#This Row],[Description]],$Q$1:$S$101,3,FALSE))</f>
        <v/>
      </c>
      <c r="I8834" s="1" t="str">
        <f>IF(Table2[[#This Row],[Description]]="","",IF(Table2[[#This Row],[Currency]]=$O$2,$P$2,HLOOKUP(Table2[[#This Row],[Date]],Funds!$C$10:$GV$11,2,FALSE)))</f>
        <v/>
      </c>
      <c r="J8834" s="215" t="str">
        <f>IF(Table2[[#This Row],[Description]]="","",Table2[[#This Row],[Value]]/Table2[[#This Row],[Conversion]])</f>
        <v/>
      </c>
      <c r="K8834" s="45" t="str">
        <f>IF(Table2[[#This Row],[Description]]="","",DATE(Table2[[#This Row],[Year]],Table2[[#This Row],[Month]],1))</f>
        <v/>
      </c>
    </row>
    <row r="8835" spans="7:11" x14ac:dyDescent="0.25">
      <c r="G8835" s="1" t="str">
        <f>IF(Table2[[#This Row],[Description]]="","",VLOOKUP(Table2[[#This Row],[Description]],$Q$1:$S$101,2,FALSE))</f>
        <v/>
      </c>
      <c r="H8835" s="1" t="str">
        <f>IF(Table2[[#This Row],[Description]]="","",VLOOKUP(Table2[[#This Row],[Description]],$Q$1:$S$101,3,FALSE))</f>
        <v/>
      </c>
      <c r="I8835" s="1" t="str">
        <f>IF(Table2[[#This Row],[Description]]="","",IF(Table2[[#This Row],[Currency]]=$O$2,$P$2,HLOOKUP(Table2[[#This Row],[Date]],Funds!$C$10:$GV$11,2,FALSE)))</f>
        <v/>
      </c>
      <c r="J8835" s="215" t="str">
        <f>IF(Table2[[#This Row],[Description]]="","",Table2[[#This Row],[Value]]/Table2[[#This Row],[Conversion]])</f>
        <v/>
      </c>
      <c r="K8835" s="45" t="str">
        <f>IF(Table2[[#This Row],[Description]]="","",DATE(Table2[[#This Row],[Year]],Table2[[#This Row],[Month]],1))</f>
        <v/>
      </c>
    </row>
    <row r="8836" spans="7:11" x14ac:dyDescent="0.25">
      <c r="G8836" s="1" t="str">
        <f>IF(Table2[[#This Row],[Description]]="","",VLOOKUP(Table2[[#This Row],[Description]],$Q$1:$S$101,2,FALSE))</f>
        <v/>
      </c>
      <c r="H8836" s="1" t="str">
        <f>IF(Table2[[#This Row],[Description]]="","",VLOOKUP(Table2[[#This Row],[Description]],$Q$1:$S$101,3,FALSE))</f>
        <v/>
      </c>
      <c r="I8836" s="1" t="str">
        <f>IF(Table2[[#This Row],[Description]]="","",IF(Table2[[#This Row],[Currency]]=$O$2,$P$2,HLOOKUP(Table2[[#This Row],[Date]],Funds!$C$10:$GV$11,2,FALSE)))</f>
        <v/>
      </c>
      <c r="J8836" s="215" t="str">
        <f>IF(Table2[[#This Row],[Description]]="","",Table2[[#This Row],[Value]]/Table2[[#This Row],[Conversion]])</f>
        <v/>
      </c>
      <c r="K8836" s="45" t="str">
        <f>IF(Table2[[#This Row],[Description]]="","",DATE(Table2[[#This Row],[Year]],Table2[[#This Row],[Month]],1))</f>
        <v/>
      </c>
    </row>
    <row r="8837" spans="7:11" x14ac:dyDescent="0.25">
      <c r="G8837" s="1" t="str">
        <f>IF(Table2[[#This Row],[Description]]="","",VLOOKUP(Table2[[#This Row],[Description]],$Q$1:$S$101,2,FALSE))</f>
        <v/>
      </c>
      <c r="H8837" s="1" t="str">
        <f>IF(Table2[[#This Row],[Description]]="","",VLOOKUP(Table2[[#This Row],[Description]],$Q$1:$S$101,3,FALSE))</f>
        <v/>
      </c>
      <c r="I8837" s="1" t="str">
        <f>IF(Table2[[#This Row],[Description]]="","",IF(Table2[[#This Row],[Currency]]=$O$2,$P$2,HLOOKUP(Table2[[#This Row],[Date]],Funds!$C$10:$GV$11,2,FALSE)))</f>
        <v/>
      </c>
      <c r="J8837" s="215" t="str">
        <f>IF(Table2[[#This Row],[Description]]="","",Table2[[#This Row],[Value]]/Table2[[#This Row],[Conversion]])</f>
        <v/>
      </c>
      <c r="K8837" s="45" t="str">
        <f>IF(Table2[[#This Row],[Description]]="","",DATE(Table2[[#This Row],[Year]],Table2[[#This Row],[Month]],1))</f>
        <v/>
      </c>
    </row>
    <row r="8838" spans="7:11" x14ac:dyDescent="0.25">
      <c r="G8838" s="1" t="str">
        <f>IF(Table2[[#This Row],[Description]]="","",VLOOKUP(Table2[[#This Row],[Description]],$Q$1:$S$101,2,FALSE))</f>
        <v/>
      </c>
      <c r="H8838" s="1" t="str">
        <f>IF(Table2[[#This Row],[Description]]="","",VLOOKUP(Table2[[#This Row],[Description]],$Q$1:$S$101,3,FALSE))</f>
        <v/>
      </c>
      <c r="I8838" s="1" t="str">
        <f>IF(Table2[[#This Row],[Description]]="","",IF(Table2[[#This Row],[Currency]]=$O$2,$P$2,HLOOKUP(Table2[[#This Row],[Date]],Funds!$C$10:$GV$11,2,FALSE)))</f>
        <v/>
      </c>
      <c r="J8838" s="215" t="str">
        <f>IF(Table2[[#This Row],[Description]]="","",Table2[[#This Row],[Value]]/Table2[[#This Row],[Conversion]])</f>
        <v/>
      </c>
      <c r="K8838" s="45" t="str">
        <f>IF(Table2[[#This Row],[Description]]="","",DATE(Table2[[#This Row],[Year]],Table2[[#This Row],[Month]],1))</f>
        <v/>
      </c>
    </row>
    <row r="8839" spans="7:11" x14ac:dyDescent="0.25">
      <c r="G8839" s="1" t="str">
        <f>IF(Table2[[#This Row],[Description]]="","",VLOOKUP(Table2[[#This Row],[Description]],$Q$1:$S$101,2,FALSE))</f>
        <v/>
      </c>
      <c r="H8839" s="1" t="str">
        <f>IF(Table2[[#This Row],[Description]]="","",VLOOKUP(Table2[[#This Row],[Description]],$Q$1:$S$101,3,FALSE))</f>
        <v/>
      </c>
      <c r="I8839" s="1" t="str">
        <f>IF(Table2[[#This Row],[Description]]="","",IF(Table2[[#This Row],[Currency]]=$O$2,$P$2,HLOOKUP(Table2[[#This Row],[Date]],Funds!$C$10:$GV$11,2,FALSE)))</f>
        <v/>
      </c>
      <c r="J8839" s="215" t="str">
        <f>IF(Table2[[#This Row],[Description]]="","",Table2[[#This Row],[Value]]/Table2[[#This Row],[Conversion]])</f>
        <v/>
      </c>
      <c r="K8839" s="45" t="str">
        <f>IF(Table2[[#This Row],[Description]]="","",DATE(Table2[[#This Row],[Year]],Table2[[#This Row],[Month]],1))</f>
        <v/>
      </c>
    </row>
    <row r="8840" spans="7:11" x14ac:dyDescent="0.25">
      <c r="G8840" s="1" t="str">
        <f>IF(Table2[[#This Row],[Description]]="","",VLOOKUP(Table2[[#This Row],[Description]],$Q$1:$S$101,2,FALSE))</f>
        <v/>
      </c>
      <c r="H8840" s="1" t="str">
        <f>IF(Table2[[#This Row],[Description]]="","",VLOOKUP(Table2[[#This Row],[Description]],$Q$1:$S$101,3,FALSE))</f>
        <v/>
      </c>
      <c r="I8840" s="1" t="str">
        <f>IF(Table2[[#This Row],[Description]]="","",IF(Table2[[#This Row],[Currency]]=$O$2,$P$2,HLOOKUP(Table2[[#This Row],[Date]],Funds!$C$10:$GV$11,2,FALSE)))</f>
        <v/>
      </c>
      <c r="J8840" s="215" t="str">
        <f>IF(Table2[[#This Row],[Description]]="","",Table2[[#This Row],[Value]]/Table2[[#This Row],[Conversion]])</f>
        <v/>
      </c>
      <c r="K8840" s="45" t="str">
        <f>IF(Table2[[#This Row],[Description]]="","",DATE(Table2[[#This Row],[Year]],Table2[[#This Row],[Month]],1))</f>
        <v/>
      </c>
    </row>
    <row r="8841" spans="7:11" x14ac:dyDescent="0.25">
      <c r="G8841" s="1" t="str">
        <f>IF(Table2[[#This Row],[Description]]="","",VLOOKUP(Table2[[#This Row],[Description]],$Q$1:$S$101,2,FALSE))</f>
        <v/>
      </c>
      <c r="H8841" s="1" t="str">
        <f>IF(Table2[[#This Row],[Description]]="","",VLOOKUP(Table2[[#This Row],[Description]],$Q$1:$S$101,3,FALSE))</f>
        <v/>
      </c>
      <c r="I8841" s="1" t="str">
        <f>IF(Table2[[#This Row],[Description]]="","",IF(Table2[[#This Row],[Currency]]=$O$2,$P$2,HLOOKUP(Table2[[#This Row],[Date]],Funds!$C$10:$GV$11,2,FALSE)))</f>
        <v/>
      </c>
      <c r="J8841" s="215" t="str">
        <f>IF(Table2[[#This Row],[Description]]="","",Table2[[#This Row],[Value]]/Table2[[#This Row],[Conversion]])</f>
        <v/>
      </c>
      <c r="K8841" s="45" t="str">
        <f>IF(Table2[[#This Row],[Description]]="","",DATE(Table2[[#This Row],[Year]],Table2[[#This Row],[Month]],1))</f>
        <v/>
      </c>
    </row>
    <row r="8842" spans="7:11" x14ac:dyDescent="0.25">
      <c r="G8842" s="1" t="str">
        <f>IF(Table2[[#This Row],[Description]]="","",VLOOKUP(Table2[[#This Row],[Description]],$Q$1:$S$101,2,FALSE))</f>
        <v/>
      </c>
      <c r="H8842" s="1" t="str">
        <f>IF(Table2[[#This Row],[Description]]="","",VLOOKUP(Table2[[#This Row],[Description]],$Q$1:$S$101,3,FALSE))</f>
        <v/>
      </c>
      <c r="I8842" s="1" t="str">
        <f>IF(Table2[[#This Row],[Description]]="","",IF(Table2[[#This Row],[Currency]]=$O$2,$P$2,HLOOKUP(Table2[[#This Row],[Date]],Funds!$C$10:$GV$11,2,FALSE)))</f>
        <v/>
      </c>
      <c r="J8842" s="215" t="str">
        <f>IF(Table2[[#This Row],[Description]]="","",Table2[[#This Row],[Value]]/Table2[[#This Row],[Conversion]])</f>
        <v/>
      </c>
      <c r="K8842" s="45" t="str">
        <f>IF(Table2[[#This Row],[Description]]="","",DATE(Table2[[#This Row],[Year]],Table2[[#This Row],[Month]],1))</f>
        <v/>
      </c>
    </row>
    <row r="8843" spans="7:11" x14ac:dyDescent="0.25">
      <c r="G8843" s="1" t="str">
        <f>IF(Table2[[#This Row],[Description]]="","",VLOOKUP(Table2[[#This Row],[Description]],$Q$1:$S$101,2,FALSE))</f>
        <v/>
      </c>
      <c r="H8843" s="1" t="str">
        <f>IF(Table2[[#This Row],[Description]]="","",VLOOKUP(Table2[[#This Row],[Description]],$Q$1:$S$101,3,FALSE))</f>
        <v/>
      </c>
      <c r="I8843" s="1" t="str">
        <f>IF(Table2[[#This Row],[Description]]="","",IF(Table2[[#This Row],[Currency]]=$O$2,$P$2,HLOOKUP(Table2[[#This Row],[Date]],Funds!$C$10:$GV$11,2,FALSE)))</f>
        <v/>
      </c>
      <c r="J8843" s="215" t="str">
        <f>IF(Table2[[#This Row],[Description]]="","",Table2[[#This Row],[Value]]/Table2[[#This Row],[Conversion]])</f>
        <v/>
      </c>
      <c r="K8843" s="45" t="str">
        <f>IF(Table2[[#This Row],[Description]]="","",DATE(Table2[[#This Row],[Year]],Table2[[#This Row],[Month]],1))</f>
        <v/>
      </c>
    </row>
    <row r="8844" spans="7:11" x14ac:dyDescent="0.25">
      <c r="G8844" s="1" t="str">
        <f>IF(Table2[[#This Row],[Description]]="","",VLOOKUP(Table2[[#This Row],[Description]],$Q$1:$S$101,2,FALSE))</f>
        <v/>
      </c>
      <c r="H8844" s="1" t="str">
        <f>IF(Table2[[#This Row],[Description]]="","",VLOOKUP(Table2[[#This Row],[Description]],$Q$1:$S$101,3,FALSE))</f>
        <v/>
      </c>
      <c r="I8844" s="1" t="str">
        <f>IF(Table2[[#This Row],[Description]]="","",IF(Table2[[#This Row],[Currency]]=$O$2,$P$2,HLOOKUP(Table2[[#This Row],[Date]],Funds!$C$10:$GV$11,2,FALSE)))</f>
        <v/>
      </c>
      <c r="J8844" s="215" t="str">
        <f>IF(Table2[[#This Row],[Description]]="","",Table2[[#This Row],[Value]]/Table2[[#This Row],[Conversion]])</f>
        <v/>
      </c>
      <c r="K8844" s="45" t="str">
        <f>IF(Table2[[#This Row],[Description]]="","",DATE(Table2[[#This Row],[Year]],Table2[[#This Row],[Month]],1))</f>
        <v/>
      </c>
    </row>
    <row r="8845" spans="7:11" x14ac:dyDescent="0.25">
      <c r="G8845" s="1" t="str">
        <f>IF(Table2[[#This Row],[Description]]="","",VLOOKUP(Table2[[#This Row],[Description]],$Q$1:$S$101,2,FALSE))</f>
        <v/>
      </c>
      <c r="H8845" s="1" t="str">
        <f>IF(Table2[[#This Row],[Description]]="","",VLOOKUP(Table2[[#This Row],[Description]],$Q$1:$S$101,3,FALSE))</f>
        <v/>
      </c>
      <c r="I8845" s="1" t="str">
        <f>IF(Table2[[#This Row],[Description]]="","",IF(Table2[[#This Row],[Currency]]=$O$2,$P$2,HLOOKUP(Table2[[#This Row],[Date]],Funds!$C$10:$GV$11,2,FALSE)))</f>
        <v/>
      </c>
      <c r="J8845" s="215" t="str">
        <f>IF(Table2[[#This Row],[Description]]="","",Table2[[#This Row],[Value]]/Table2[[#This Row],[Conversion]])</f>
        <v/>
      </c>
      <c r="K8845" s="45" t="str">
        <f>IF(Table2[[#This Row],[Description]]="","",DATE(Table2[[#This Row],[Year]],Table2[[#This Row],[Month]],1))</f>
        <v/>
      </c>
    </row>
    <row r="8846" spans="7:11" x14ac:dyDescent="0.25">
      <c r="G8846" s="1" t="str">
        <f>IF(Table2[[#This Row],[Description]]="","",VLOOKUP(Table2[[#This Row],[Description]],$Q$1:$S$101,2,FALSE))</f>
        <v/>
      </c>
      <c r="H8846" s="1" t="str">
        <f>IF(Table2[[#This Row],[Description]]="","",VLOOKUP(Table2[[#This Row],[Description]],$Q$1:$S$101,3,FALSE))</f>
        <v/>
      </c>
      <c r="I8846" s="1" t="str">
        <f>IF(Table2[[#This Row],[Description]]="","",IF(Table2[[#This Row],[Currency]]=$O$2,$P$2,HLOOKUP(Table2[[#This Row],[Date]],Funds!$C$10:$GV$11,2,FALSE)))</f>
        <v/>
      </c>
      <c r="J8846" s="215" t="str">
        <f>IF(Table2[[#This Row],[Description]]="","",Table2[[#This Row],[Value]]/Table2[[#This Row],[Conversion]])</f>
        <v/>
      </c>
      <c r="K8846" s="45" t="str">
        <f>IF(Table2[[#This Row],[Description]]="","",DATE(Table2[[#This Row],[Year]],Table2[[#This Row],[Month]],1))</f>
        <v/>
      </c>
    </row>
    <row r="8847" spans="7:11" x14ac:dyDescent="0.25">
      <c r="G8847" s="1" t="str">
        <f>IF(Table2[[#This Row],[Description]]="","",VLOOKUP(Table2[[#This Row],[Description]],$Q$1:$S$101,2,FALSE))</f>
        <v/>
      </c>
      <c r="H8847" s="1" t="str">
        <f>IF(Table2[[#This Row],[Description]]="","",VLOOKUP(Table2[[#This Row],[Description]],$Q$1:$S$101,3,FALSE))</f>
        <v/>
      </c>
      <c r="I8847" s="1" t="str">
        <f>IF(Table2[[#This Row],[Description]]="","",IF(Table2[[#This Row],[Currency]]=$O$2,$P$2,HLOOKUP(Table2[[#This Row],[Date]],Funds!$C$10:$GV$11,2,FALSE)))</f>
        <v/>
      </c>
      <c r="J8847" s="215" t="str">
        <f>IF(Table2[[#This Row],[Description]]="","",Table2[[#This Row],[Value]]/Table2[[#This Row],[Conversion]])</f>
        <v/>
      </c>
      <c r="K8847" s="45" t="str">
        <f>IF(Table2[[#This Row],[Description]]="","",DATE(Table2[[#This Row],[Year]],Table2[[#This Row],[Month]],1))</f>
        <v/>
      </c>
    </row>
    <row r="8848" spans="7:11" x14ac:dyDescent="0.25">
      <c r="G8848" s="1" t="str">
        <f>IF(Table2[[#This Row],[Description]]="","",VLOOKUP(Table2[[#This Row],[Description]],$Q$1:$S$101,2,FALSE))</f>
        <v/>
      </c>
      <c r="H8848" s="1" t="str">
        <f>IF(Table2[[#This Row],[Description]]="","",VLOOKUP(Table2[[#This Row],[Description]],$Q$1:$S$101,3,FALSE))</f>
        <v/>
      </c>
      <c r="I8848" s="1" t="str">
        <f>IF(Table2[[#This Row],[Description]]="","",IF(Table2[[#This Row],[Currency]]=$O$2,$P$2,HLOOKUP(Table2[[#This Row],[Date]],Funds!$C$10:$GV$11,2,FALSE)))</f>
        <v/>
      </c>
      <c r="J8848" s="215" t="str">
        <f>IF(Table2[[#This Row],[Description]]="","",Table2[[#This Row],[Value]]/Table2[[#This Row],[Conversion]])</f>
        <v/>
      </c>
      <c r="K8848" s="45" t="str">
        <f>IF(Table2[[#This Row],[Description]]="","",DATE(Table2[[#This Row],[Year]],Table2[[#This Row],[Month]],1))</f>
        <v/>
      </c>
    </row>
    <row r="8849" spans="7:11" x14ac:dyDescent="0.25">
      <c r="G8849" s="1" t="str">
        <f>IF(Table2[[#This Row],[Description]]="","",VLOOKUP(Table2[[#This Row],[Description]],$Q$1:$S$101,2,FALSE))</f>
        <v/>
      </c>
      <c r="H8849" s="1" t="str">
        <f>IF(Table2[[#This Row],[Description]]="","",VLOOKUP(Table2[[#This Row],[Description]],$Q$1:$S$101,3,FALSE))</f>
        <v/>
      </c>
      <c r="I8849" s="1" t="str">
        <f>IF(Table2[[#This Row],[Description]]="","",IF(Table2[[#This Row],[Currency]]=$O$2,$P$2,HLOOKUP(Table2[[#This Row],[Date]],Funds!$C$10:$GV$11,2,FALSE)))</f>
        <v/>
      </c>
      <c r="J8849" s="215" t="str">
        <f>IF(Table2[[#This Row],[Description]]="","",Table2[[#This Row],[Value]]/Table2[[#This Row],[Conversion]])</f>
        <v/>
      </c>
      <c r="K8849" s="45" t="str">
        <f>IF(Table2[[#This Row],[Description]]="","",DATE(Table2[[#This Row],[Year]],Table2[[#This Row],[Month]],1))</f>
        <v/>
      </c>
    </row>
    <row r="8850" spans="7:11" x14ac:dyDescent="0.25">
      <c r="G8850" s="1" t="str">
        <f>IF(Table2[[#This Row],[Description]]="","",VLOOKUP(Table2[[#This Row],[Description]],$Q$1:$S$101,2,FALSE))</f>
        <v/>
      </c>
      <c r="H8850" s="1" t="str">
        <f>IF(Table2[[#This Row],[Description]]="","",VLOOKUP(Table2[[#This Row],[Description]],$Q$1:$S$101,3,FALSE))</f>
        <v/>
      </c>
      <c r="I8850" s="1" t="str">
        <f>IF(Table2[[#This Row],[Description]]="","",IF(Table2[[#This Row],[Currency]]=$O$2,$P$2,HLOOKUP(Table2[[#This Row],[Date]],Funds!$C$10:$GV$11,2,FALSE)))</f>
        <v/>
      </c>
      <c r="J8850" s="215" t="str">
        <f>IF(Table2[[#This Row],[Description]]="","",Table2[[#This Row],[Value]]/Table2[[#This Row],[Conversion]])</f>
        <v/>
      </c>
      <c r="K8850" s="45" t="str">
        <f>IF(Table2[[#This Row],[Description]]="","",DATE(Table2[[#This Row],[Year]],Table2[[#This Row],[Month]],1))</f>
        <v/>
      </c>
    </row>
    <row r="8851" spans="7:11" x14ac:dyDescent="0.25">
      <c r="G8851" s="1" t="str">
        <f>IF(Table2[[#This Row],[Description]]="","",VLOOKUP(Table2[[#This Row],[Description]],$Q$1:$S$101,2,FALSE))</f>
        <v/>
      </c>
      <c r="H8851" s="1" t="str">
        <f>IF(Table2[[#This Row],[Description]]="","",VLOOKUP(Table2[[#This Row],[Description]],$Q$1:$S$101,3,FALSE))</f>
        <v/>
      </c>
      <c r="I8851" s="1" t="str">
        <f>IF(Table2[[#This Row],[Description]]="","",IF(Table2[[#This Row],[Currency]]=$O$2,$P$2,HLOOKUP(Table2[[#This Row],[Date]],Funds!$C$10:$GV$11,2,FALSE)))</f>
        <v/>
      </c>
      <c r="J8851" s="215" t="str">
        <f>IF(Table2[[#This Row],[Description]]="","",Table2[[#This Row],[Value]]/Table2[[#This Row],[Conversion]])</f>
        <v/>
      </c>
      <c r="K8851" s="45" t="str">
        <f>IF(Table2[[#This Row],[Description]]="","",DATE(Table2[[#This Row],[Year]],Table2[[#This Row],[Month]],1))</f>
        <v/>
      </c>
    </row>
    <row r="8852" spans="7:11" x14ac:dyDescent="0.25">
      <c r="G8852" s="1" t="str">
        <f>IF(Table2[[#This Row],[Description]]="","",VLOOKUP(Table2[[#This Row],[Description]],$Q$1:$S$101,2,FALSE))</f>
        <v/>
      </c>
      <c r="H8852" s="1" t="str">
        <f>IF(Table2[[#This Row],[Description]]="","",VLOOKUP(Table2[[#This Row],[Description]],$Q$1:$S$101,3,FALSE))</f>
        <v/>
      </c>
      <c r="I8852" s="1" t="str">
        <f>IF(Table2[[#This Row],[Description]]="","",IF(Table2[[#This Row],[Currency]]=$O$2,$P$2,HLOOKUP(Table2[[#This Row],[Date]],Funds!$C$10:$GV$11,2,FALSE)))</f>
        <v/>
      </c>
      <c r="J8852" s="215" t="str">
        <f>IF(Table2[[#This Row],[Description]]="","",Table2[[#This Row],[Value]]/Table2[[#This Row],[Conversion]])</f>
        <v/>
      </c>
      <c r="K8852" s="45" t="str">
        <f>IF(Table2[[#This Row],[Description]]="","",DATE(Table2[[#This Row],[Year]],Table2[[#This Row],[Month]],1))</f>
        <v/>
      </c>
    </row>
    <row r="8853" spans="7:11" x14ac:dyDescent="0.25">
      <c r="G8853" s="1" t="str">
        <f>IF(Table2[[#This Row],[Description]]="","",VLOOKUP(Table2[[#This Row],[Description]],$Q$1:$S$101,2,FALSE))</f>
        <v/>
      </c>
      <c r="H8853" s="1" t="str">
        <f>IF(Table2[[#This Row],[Description]]="","",VLOOKUP(Table2[[#This Row],[Description]],$Q$1:$S$101,3,FALSE))</f>
        <v/>
      </c>
      <c r="I8853" s="1" t="str">
        <f>IF(Table2[[#This Row],[Description]]="","",IF(Table2[[#This Row],[Currency]]=$O$2,$P$2,HLOOKUP(Table2[[#This Row],[Date]],Funds!$C$10:$GV$11,2,FALSE)))</f>
        <v/>
      </c>
      <c r="J8853" s="215" t="str">
        <f>IF(Table2[[#This Row],[Description]]="","",Table2[[#This Row],[Value]]/Table2[[#This Row],[Conversion]])</f>
        <v/>
      </c>
      <c r="K8853" s="45" t="str">
        <f>IF(Table2[[#This Row],[Description]]="","",DATE(Table2[[#This Row],[Year]],Table2[[#This Row],[Month]],1))</f>
        <v/>
      </c>
    </row>
    <row r="8854" spans="7:11" x14ac:dyDescent="0.25">
      <c r="G8854" s="1" t="str">
        <f>IF(Table2[[#This Row],[Description]]="","",VLOOKUP(Table2[[#This Row],[Description]],$Q$1:$S$101,2,FALSE))</f>
        <v/>
      </c>
      <c r="H8854" s="1" t="str">
        <f>IF(Table2[[#This Row],[Description]]="","",VLOOKUP(Table2[[#This Row],[Description]],$Q$1:$S$101,3,FALSE))</f>
        <v/>
      </c>
      <c r="I8854" s="1" t="str">
        <f>IF(Table2[[#This Row],[Description]]="","",IF(Table2[[#This Row],[Currency]]=$O$2,$P$2,HLOOKUP(Table2[[#This Row],[Date]],Funds!$C$10:$GV$11,2,FALSE)))</f>
        <v/>
      </c>
      <c r="J8854" s="215" t="str">
        <f>IF(Table2[[#This Row],[Description]]="","",Table2[[#This Row],[Value]]/Table2[[#This Row],[Conversion]])</f>
        <v/>
      </c>
      <c r="K8854" s="45" t="str">
        <f>IF(Table2[[#This Row],[Description]]="","",DATE(Table2[[#This Row],[Year]],Table2[[#This Row],[Month]],1))</f>
        <v/>
      </c>
    </row>
    <row r="8855" spans="7:11" x14ac:dyDescent="0.25">
      <c r="G8855" s="1" t="str">
        <f>IF(Table2[[#This Row],[Description]]="","",VLOOKUP(Table2[[#This Row],[Description]],$Q$1:$S$101,2,FALSE))</f>
        <v/>
      </c>
      <c r="H8855" s="1" t="str">
        <f>IF(Table2[[#This Row],[Description]]="","",VLOOKUP(Table2[[#This Row],[Description]],$Q$1:$S$101,3,FALSE))</f>
        <v/>
      </c>
      <c r="I8855" s="1" t="str">
        <f>IF(Table2[[#This Row],[Description]]="","",IF(Table2[[#This Row],[Currency]]=$O$2,$P$2,HLOOKUP(Table2[[#This Row],[Date]],Funds!$C$10:$GV$11,2,FALSE)))</f>
        <v/>
      </c>
      <c r="J8855" s="215" t="str">
        <f>IF(Table2[[#This Row],[Description]]="","",Table2[[#This Row],[Value]]/Table2[[#This Row],[Conversion]])</f>
        <v/>
      </c>
      <c r="K8855" s="45" t="str">
        <f>IF(Table2[[#This Row],[Description]]="","",DATE(Table2[[#This Row],[Year]],Table2[[#This Row],[Month]],1))</f>
        <v/>
      </c>
    </row>
    <row r="8856" spans="7:11" x14ac:dyDescent="0.25">
      <c r="G8856" s="1" t="str">
        <f>IF(Table2[[#This Row],[Description]]="","",VLOOKUP(Table2[[#This Row],[Description]],$Q$1:$S$101,2,FALSE))</f>
        <v/>
      </c>
      <c r="H8856" s="1" t="str">
        <f>IF(Table2[[#This Row],[Description]]="","",VLOOKUP(Table2[[#This Row],[Description]],$Q$1:$S$101,3,FALSE))</f>
        <v/>
      </c>
      <c r="I8856" s="1" t="str">
        <f>IF(Table2[[#This Row],[Description]]="","",IF(Table2[[#This Row],[Currency]]=$O$2,$P$2,HLOOKUP(Table2[[#This Row],[Date]],Funds!$C$10:$GV$11,2,FALSE)))</f>
        <v/>
      </c>
      <c r="J8856" s="215" t="str">
        <f>IF(Table2[[#This Row],[Description]]="","",Table2[[#This Row],[Value]]/Table2[[#This Row],[Conversion]])</f>
        <v/>
      </c>
      <c r="K8856" s="45" t="str">
        <f>IF(Table2[[#This Row],[Description]]="","",DATE(Table2[[#This Row],[Year]],Table2[[#This Row],[Month]],1))</f>
        <v/>
      </c>
    </row>
    <row r="8857" spans="7:11" x14ac:dyDescent="0.25">
      <c r="G8857" s="1" t="str">
        <f>IF(Table2[[#This Row],[Description]]="","",VLOOKUP(Table2[[#This Row],[Description]],$Q$1:$S$101,2,FALSE))</f>
        <v/>
      </c>
      <c r="H8857" s="1" t="str">
        <f>IF(Table2[[#This Row],[Description]]="","",VLOOKUP(Table2[[#This Row],[Description]],$Q$1:$S$101,3,FALSE))</f>
        <v/>
      </c>
      <c r="I8857" s="1" t="str">
        <f>IF(Table2[[#This Row],[Description]]="","",IF(Table2[[#This Row],[Currency]]=$O$2,$P$2,HLOOKUP(Table2[[#This Row],[Date]],Funds!$C$10:$GV$11,2,FALSE)))</f>
        <v/>
      </c>
      <c r="J8857" s="215" t="str">
        <f>IF(Table2[[#This Row],[Description]]="","",Table2[[#This Row],[Value]]/Table2[[#This Row],[Conversion]])</f>
        <v/>
      </c>
      <c r="K8857" s="45" t="str">
        <f>IF(Table2[[#This Row],[Description]]="","",DATE(Table2[[#This Row],[Year]],Table2[[#This Row],[Month]],1))</f>
        <v/>
      </c>
    </row>
    <row r="8858" spans="7:11" x14ac:dyDescent="0.25">
      <c r="G8858" s="1" t="str">
        <f>IF(Table2[[#This Row],[Description]]="","",VLOOKUP(Table2[[#This Row],[Description]],$Q$1:$S$101,2,FALSE))</f>
        <v/>
      </c>
      <c r="H8858" s="1" t="str">
        <f>IF(Table2[[#This Row],[Description]]="","",VLOOKUP(Table2[[#This Row],[Description]],$Q$1:$S$101,3,FALSE))</f>
        <v/>
      </c>
      <c r="I8858" s="1" t="str">
        <f>IF(Table2[[#This Row],[Description]]="","",IF(Table2[[#This Row],[Currency]]=$O$2,$P$2,HLOOKUP(Table2[[#This Row],[Date]],Funds!$C$10:$GV$11,2,FALSE)))</f>
        <v/>
      </c>
      <c r="J8858" s="215" t="str">
        <f>IF(Table2[[#This Row],[Description]]="","",Table2[[#This Row],[Value]]/Table2[[#This Row],[Conversion]])</f>
        <v/>
      </c>
      <c r="K8858" s="45" t="str">
        <f>IF(Table2[[#This Row],[Description]]="","",DATE(Table2[[#This Row],[Year]],Table2[[#This Row],[Month]],1))</f>
        <v/>
      </c>
    </row>
    <row r="8859" spans="7:11" x14ac:dyDescent="0.25">
      <c r="G8859" s="1" t="str">
        <f>IF(Table2[[#This Row],[Description]]="","",VLOOKUP(Table2[[#This Row],[Description]],$Q$1:$S$101,2,FALSE))</f>
        <v/>
      </c>
      <c r="H8859" s="1" t="str">
        <f>IF(Table2[[#This Row],[Description]]="","",VLOOKUP(Table2[[#This Row],[Description]],$Q$1:$S$101,3,FALSE))</f>
        <v/>
      </c>
      <c r="I8859" s="1" t="str">
        <f>IF(Table2[[#This Row],[Description]]="","",IF(Table2[[#This Row],[Currency]]=$O$2,$P$2,HLOOKUP(Table2[[#This Row],[Date]],Funds!$C$10:$GV$11,2,FALSE)))</f>
        <v/>
      </c>
      <c r="J8859" s="215" t="str">
        <f>IF(Table2[[#This Row],[Description]]="","",Table2[[#This Row],[Value]]/Table2[[#This Row],[Conversion]])</f>
        <v/>
      </c>
      <c r="K8859" s="45" t="str">
        <f>IF(Table2[[#This Row],[Description]]="","",DATE(Table2[[#This Row],[Year]],Table2[[#This Row],[Month]],1))</f>
        <v/>
      </c>
    </row>
    <row r="8860" spans="7:11" x14ac:dyDescent="0.25">
      <c r="G8860" s="1" t="str">
        <f>IF(Table2[[#This Row],[Description]]="","",VLOOKUP(Table2[[#This Row],[Description]],$Q$1:$S$101,2,FALSE))</f>
        <v/>
      </c>
      <c r="H8860" s="1" t="str">
        <f>IF(Table2[[#This Row],[Description]]="","",VLOOKUP(Table2[[#This Row],[Description]],$Q$1:$S$101,3,FALSE))</f>
        <v/>
      </c>
      <c r="I8860" s="1" t="str">
        <f>IF(Table2[[#This Row],[Description]]="","",IF(Table2[[#This Row],[Currency]]=$O$2,$P$2,HLOOKUP(Table2[[#This Row],[Date]],Funds!$C$10:$GV$11,2,FALSE)))</f>
        <v/>
      </c>
      <c r="J8860" s="215" t="str">
        <f>IF(Table2[[#This Row],[Description]]="","",Table2[[#This Row],[Value]]/Table2[[#This Row],[Conversion]])</f>
        <v/>
      </c>
      <c r="K8860" s="45" t="str">
        <f>IF(Table2[[#This Row],[Description]]="","",DATE(Table2[[#This Row],[Year]],Table2[[#This Row],[Month]],1))</f>
        <v/>
      </c>
    </row>
    <row r="8861" spans="7:11" x14ac:dyDescent="0.25">
      <c r="G8861" s="1" t="str">
        <f>IF(Table2[[#This Row],[Description]]="","",VLOOKUP(Table2[[#This Row],[Description]],$Q$1:$S$101,2,FALSE))</f>
        <v/>
      </c>
      <c r="H8861" s="1" t="str">
        <f>IF(Table2[[#This Row],[Description]]="","",VLOOKUP(Table2[[#This Row],[Description]],$Q$1:$S$101,3,FALSE))</f>
        <v/>
      </c>
      <c r="I8861" s="1" t="str">
        <f>IF(Table2[[#This Row],[Description]]="","",IF(Table2[[#This Row],[Currency]]=$O$2,$P$2,HLOOKUP(Table2[[#This Row],[Date]],Funds!$C$10:$GV$11,2,FALSE)))</f>
        <v/>
      </c>
      <c r="J8861" s="215" t="str">
        <f>IF(Table2[[#This Row],[Description]]="","",Table2[[#This Row],[Value]]/Table2[[#This Row],[Conversion]])</f>
        <v/>
      </c>
      <c r="K8861" s="45" t="str">
        <f>IF(Table2[[#This Row],[Description]]="","",DATE(Table2[[#This Row],[Year]],Table2[[#This Row],[Month]],1))</f>
        <v/>
      </c>
    </row>
    <row r="8862" spans="7:11" x14ac:dyDescent="0.25">
      <c r="G8862" s="1" t="str">
        <f>IF(Table2[[#This Row],[Description]]="","",VLOOKUP(Table2[[#This Row],[Description]],$Q$1:$S$101,2,FALSE))</f>
        <v/>
      </c>
      <c r="H8862" s="1" t="str">
        <f>IF(Table2[[#This Row],[Description]]="","",VLOOKUP(Table2[[#This Row],[Description]],$Q$1:$S$101,3,FALSE))</f>
        <v/>
      </c>
      <c r="I8862" s="1" t="str">
        <f>IF(Table2[[#This Row],[Description]]="","",IF(Table2[[#This Row],[Currency]]=$O$2,$P$2,HLOOKUP(Table2[[#This Row],[Date]],Funds!$C$10:$GV$11,2,FALSE)))</f>
        <v/>
      </c>
      <c r="J8862" s="215" t="str">
        <f>IF(Table2[[#This Row],[Description]]="","",Table2[[#This Row],[Value]]/Table2[[#This Row],[Conversion]])</f>
        <v/>
      </c>
      <c r="K8862" s="45" t="str">
        <f>IF(Table2[[#This Row],[Description]]="","",DATE(Table2[[#This Row],[Year]],Table2[[#This Row],[Month]],1))</f>
        <v/>
      </c>
    </row>
    <row r="8863" spans="7:11" x14ac:dyDescent="0.25">
      <c r="G8863" s="1" t="str">
        <f>IF(Table2[[#This Row],[Description]]="","",VLOOKUP(Table2[[#This Row],[Description]],$Q$1:$S$101,2,FALSE))</f>
        <v/>
      </c>
      <c r="H8863" s="1" t="str">
        <f>IF(Table2[[#This Row],[Description]]="","",VLOOKUP(Table2[[#This Row],[Description]],$Q$1:$S$101,3,FALSE))</f>
        <v/>
      </c>
      <c r="I8863" s="1" t="str">
        <f>IF(Table2[[#This Row],[Description]]="","",IF(Table2[[#This Row],[Currency]]=$O$2,$P$2,HLOOKUP(Table2[[#This Row],[Date]],Funds!$C$10:$GV$11,2,FALSE)))</f>
        <v/>
      </c>
      <c r="J8863" s="215" t="str">
        <f>IF(Table2[[#This Row],[Description]]="","",Table2[[#This Row],[Value]]/Table2[[#This Row],[Conversion]])</f>
        <v/>
      </c>
      <c r="K8863" s="45" t="str">
        <f>IF(Table2[[#This Row],[Description]]="","",DATE(Table2[[#This Row],[Year]],Table2[[#This Row],[Month]],1))</f>
        <v/>
      </c>
    </row>
    <row r="8864" spans="7:11" x14ac:dyDescent="0.25">
      <c r="G8864" s="1" t="str">
        <f>IF(Table2[[#This Row],[Description]]="","",VLOOKUP(Table2[[#This Row],[Description]],$Q$1:$S$101,2,FALSE))</f>
        <v/>
      </c>
      <c r="H8864" s="1" t="str">
        <f>IF(Table2[[#This Row],[Description]]="","",VLOOKUP(Table2[[#This Row],[Description]],$Q$1:$S$101,3,FALSE))</f>
        <v/>
      </c>
      <c r="I8864" s="1" t="str">
        <f>IF(Table2[[#This Row],[Description]]="","",IF(Table2[[#This Row],[Currency]]=$O$2,$P$2,HLOOKUP(Table2[[#This Row],[Date]],Funds!$C$10:$GV$11,2,FALSE)))</f>
        <v/>
      </c>
      <c r="J8864" s="215" t="str">
        <f>IF(Table2[[#This Row],[Description]]="","",Table2[[#This Row],[Value]]/Table2[[#This Row],[Conversion]])</f>
        <v/>
      </c>
      <c r="K8864" s="45" t="str">
        <f>IF(Table2[[#This Row],[Description]]="","",DATE(Table2[[#This Row],[Year]],Table2[[#This Row],[Month]],1))</f>
        <v/>
      </c>
    </row>
    <row r="8865" spans="7:11" x14ac:dyDescent="0.25">
      <c r="G8865" s="1" t="str">
        <f>IF(Table2[[#This Row],[Description]]="","",VLOOKUP(Table2[[#This Row],[Description]],$Q$1:$S$101,2,FALSE))</f>
        <v/>
      </c>
      <c r="H8865" s="1" t="str">
        <f>IF(Table2[[#This Row],[Description]]="","",VLOOKUP(Table2[[#This Row],[Description]],$Q$1:$S$101,3,FALSE))</f>
        <v/>
      </c>
      <c r="I8865" s="1" t="str">
        <f>IF(Table2[[#This Row],[Description]]="","",IF(Table2[[#This Row],[Currency]]=$O$2,$P$2,HLOOKUP(Table2[[#This Row],[Date]],Funds!$C$10:$GV$11,2,FALSE)))</f>
        <v/>
      </c>
      <c r="J8865" s="215" t="str">
        <f>IF(Table2[[#This Row],[Description]]="","",Table2[[#This Row],[Value]]/Table2[[#This Row],[Conversion]])</f>
        <v/>
      </c>
      <c r="K8865" s="45" t="str">
        <f>IF(Table2[[#This Row],[Description]]="","",DATE(Table2[[#This Row],[Year]],Table2[[#This Row],[Month]],1))</f>
        <v/>
      </c>
    </row>
    <row r="8866" spans="7:11" x14ac:dyDescent="0.25">
      <c r="G8866" s="1" t="str">
        <f>IF(Table2[[#This Row],[Description]]="","",VLOOKUP(Table2[[#This Row],[Description]],$Q$1:$S$101,2,FALSE))</f>
        <v/>
      </c>
      <c r="H8866" s="1" t="str">
        <f>IF(Table2[[#This Row],[Description]]="","",VLOOKUP(Table2[[#This Row],[Description]],$Q$1:$S$101,3,FALSE))</f>
        <v/>
      </c>
      <c r="I8866" s="1" t="str">
        <f>IF(Table2[[#This Row],[Description]]="","",IF(Table2[[#This Row],[Currency]]=$O$2,$P$2,HLOOKUP(Table2[[#This Row],[Date]],Funds!$C$10:$GV$11,2,FALSE)))</f>
        <v/>
      </c>
      <c r="J8866" s="215" t="str">
        <f>IF(Table2[[#This Row],[Description]]="","",Table2[[#This Row],[Value]]/Table2[[#This Row],[Conversion]])</f>
        <v/>
      </c>
      <c r="K8866" s="45" t="str">
        <f>IF(Table2[[#This Row],[Description]]="","",DATE(Table2[[#This Row],[Year]],Table2[[#This Row],[Month]],1))</f>
        <v/>
      </c>
    </row>
    <row r="8867" spans="7:11" x14ac:dyDescent="0.25">
      <c r="G8867" s="1" t="str">
        <f>IF(Table2[[#This Row],[Description]]="","",VLOOKUP(Table2[[#This Row],[Description]],$Q$1:$S$101,2,FALSE))</f>
        <v/>
      </c>
      <c r="H8867" s="1" t="str">
        <f>IF(Table2[[#This Row],[Description]]="","",VLOOKUP(Table2[[#This Row],[Description]],$Q$1:$S$101,3,FALSE))</f>
        <v/>
      </c>
      <c r="I8867" s="1" t="str">
        <f>IF(Table2[[#This Row],[Description]]="","",IF(Table2[[#This Row],[Currency]]=$O$2,$P$2,HLOOKUP(Table2[[#This Row],[Date]],Funds!$C$10:$GV$11,2,FALSE)))</f>
        <v/>
      </c>
      <c r="J8867" s="215" t="str">
        <f>IF(Table2[[#This Row],[Description]]="","",Table2[[#This Row],[Value]]/Table2[[#This Row],[Conversion]])</f>
        <v/>
      </c>
      <c r="K8867" s="45" t="str">
        <f>IF(Table2[[#This Row],[Description]]="","",DATE(Table2[[#This Row],[Year]],Table2[[#This Row],[Month]],1))</f>
        <v/>
      </c>
    </row>
    <row r="8868" spans="7:11" x14ac:dyDescent="0.25">
      <c r="G8868" s="1" t="str">
        <f>IF(Table2[[#This Row],[Description]]="","",VLOOKUP(Table2[[#This Row],[Description]],$Q$1:$S$101,2,FALSE))</f>
        <v/>
      </c>
      <c r="H8868" s="1" t="str">
        <f>IF(Table2[[#This Row],[Description]]="","",VLOOKUP(Table2[[#This Row],[Description]],$Q$1:$S$101,3,FALSE))</f>
        <v/>
      </c>
      <c r="I8868" s="1" t="str">
        <f>IF(Table2[[#This Row],[Description]]="","",IF(Table2[[#This Row],[Currency]]=$O$2,$P$2,HLOOKUP(Table2[[#This Row],[Date]],Funds!$C$10:$GV$11,2,FALSE)))</f>
        <v/>
      </c>
      <c r="J8868" s="215" t="str">
        <f>IF(Table2[[#This Row],[Description]]="","",Table2[[#This Row],[Value]]/Table2[[#This Row],[Conversion]])</f>
        <v/>
      </c>
      <c r="K8868" s="45" t="str">
        <f>IF(Table2[[#This Row],[Description]]="","",DATE(Table2[[#This Row],[Year]],Table2[[#This Row],[Month]],1))</f>
        <v/>
      </c>
    </row>
    <row r="8869" spans="7:11" x14ac:dyDescent="0.25">
      <c r="G8869" s="1" t="str">
        <f>IF(Table2[[#This Row],[Description]]="","",VLOOKUP(Table2[[#This Row],[Description]],$Q$1:$S$101,2,FALSE))</f>
        <v/>
      </c>
      <c r="H8869" s="1" t="str">
        <f>IF(Table2[[#This Row],[Description]]="","",VLOOKUP(Table2[[#This Row],[Description]],$Q$1:$S$101,3,FALSE))</f>
        <v/>
      </c>
      <c r="I8869" s="1" t="str">
        <f>IF(Table2[[#This Row],[Description]]="","",IF(Table2[[#This Row],[Currency]]=$O$2,$P$2,HLOOKUP(Table2[[#This Row],[Date]],Funds!$C$10:$GV$11,2,FALSE)))</f>
        <v/>
      </c>
      <c r="J8869" s="215" t="str">
        <f>IF(Table2[[#This Row],[Description]]="","",Table2[[#This Row],[Value]]/Table2[[#This Row],[Conversion]])</f>
        <v/>
      </c>
      <c r="K8869" s="45" t="str">
        <f>IF(Table2[[#This Row],[Description]]="","",DATE(Table2[[#This Row],[Year]],Table2[[#This Row],[Month]],1))</f>
        <v/>
      </c>
    </row>
    <row r="8870" spans="7:11" x14ac:dyDescent="0.25">
      <c r="G8870" s="1" t="str">
        <f>IF(Table2[[#This Row],[Description]]="","",VLOOKUP(Table2[[#This Row],[Description]],$Q$1:$S$101,2,FALSE))</f>
        <v/>
      </c>
      <c r="H8870" s="1" t="str">
        <f>IF(Table2[[#This Row],[Description]]="","",VLOOKUP(Table2[[#This Row],[Description]],$Q$1:$S$101,3,FALSE))</f>
        <v/>
      </c>
      <c r="I8870" s="1" t="str">
        <f>IF(Table2[[#This Row],[Description]]="","",IF(Table2[[#This Row],[Currency]]=$O$2,$P$2,HLOOKUP(Table2[[#This Row],[Date]],Funds!$C$10:$GV$11,2,FALSE)))</f>
        <v/>
      </c>
      <c r="J8870" s="215" t="str">
        <f>IF(Table2[[#This Row],[Description]]="","",Table2[[#This Row],[Value]]/Table2[[#This Row],[Conversion]])</f>
        <v/>
      </c>
      <c r="K8870" s="45" t="str">
        <f>IF(Table2[[#This Row],[Description]]="","",DATE(Table2[[#This Row],[Year]],Table2[[#This Row],[Month]],1))</f>
        <v/>
      </c>
    </row>
    <row r="8871" spans="7:11" x14ac:dyDescent="0.25">
      <c r="G8871" s="1" t="str">
        <f>IF(Table2[[#This Row],[Description]]="","",VLOOKUP(Table2[[#This Row],[Description]],$Q$1:$S$101,2,FALSE))</f>
        <v/>
      </c>
      <c r="H8871" s="1" t="str">
        <f>IF(Table2[[#This Row],[Description]]="","",VLOOKUP(Table2[[#This Row],[Description]],$Q$1:$S$101,3,FALSE))</f>
        <v/>
      </c>
      <c r="I8871" s="1" t="str">
        <f>IF(Table2[[#This Row],[Description]]="","",IF(Table2[[#This Row],[Currency]]=$O$2,$P$2,HLOOKUP(Table2[[#This Row],[Date]],Funds!$C$10:$GV$11,2,FALSE)))</f>
        <v/>
      </c>
      <c r="J8871" s="215" t="str">
        <f>IF(Table2[[#This Row],[Description]]="","",Table2[[#This Row],[Value]]/Table2[[#This Row],[Conversion]])</f>
        <v/>
      </c>
      <c r="K8871" s="45" t="str">
        <f>IF(Table2[[#This Row],[Description]]="","",DATE(Table2[[#This Row],[Year]],Table2[[#This Row],[Month]],1))</f>
        <v/>
      </c>
    </row>
    <row r="8872" spans="7:11" x14ac:dyDescent="0.25">
      <c r="G8872" s="1" t="str">
        <f>IF(Table2[[#This Row],[Description]]="","",VLOOKUP(Table2[[#This Row],[Description]],$Q$1:$S$101,2,FALSE))</f>
        <v/>
      </c>
      <c r="H8872" s="1" t="str">
        <f>IF(Table2[[#This Row],[Description]]="","",VLOOKUP(Table2[[#This Row],[Description]],$Q$1:$S$101,3,FALSE))</f>
        <v/>
      </c>
      <c r="I8872" s="1" t="str">
        <f>IF(Table2[[#This Row],[Description]]="","",IF(Table2[[#This Row],[Currency]]=$O$2,$P$2,HLOOKUP(Table2[[#This Row],[Date]],Funds!$C$10:$GV$11,2,FALSE)))</f>
        <v/>
      </c>
      <c r="J8872" s="215" t="str">
        <f>IF(Table2[[#This Row],[Description]]="","",Table2[[#This Row],[Value]]/Table2[[#This Row],[Conversion]])</f>
        <v/>
      </c>
      <c r="K8872" s="45" t="str">
        <f>IF(Table2[[#This Row],[Description]]="","",DATE(Table2[[#This Row],[Year]],Table2[[#This Row],[Month]],1))</f>
        <v/>
      </c>
    </row>
    <row r="8873" spans="7:11" x14ac:dyDescent="0.25">
      <c r="G8873" s="1" t="str">
        <f>IF(Table2[[#This Row],[Description]]="","",VLOOKUP(Table2[[#This Row],[Description]],$Q$1:$S$101,2,FALSE))</f>
        <v/>
      </c>
      <c r="H8873" s="1" t="str">
        <f>IF(Table2[[#This Row],[Description]]="","",VLOOKUP(Table2[[#This Row],[Description]],$Q$1:$S$101,3,FALSE))</f>
        <v/>
      </c>
      <c r="I8873" s="1" t="str">
        <f>IF(Table2[[#This Row],[Description]]="","",IF(Table2[[#This Row],[Currency]]=$O$2,$P$2,HLOOKUP(Table2[[#This Row],[Date]],Funds!$C$10:$GV$11,2,FALSE)))</f>
        <v/>
      </c>
      <c r="J8873" s="215" t="str">
        <f>IF(Table2[[#This Row],[Description]]="","",Table2[[#This Row],[Value]]/Table2[[#This Row],[Conversion]])</f>
        <v/>
      </c>
      <c r="K8873" s="45" t="str">
        <f>IF(Table2[[#This Row],[Description]]="","",DATE(Table2[[#This Row],[Year]],Table2[[#This Row],[Month]],1))</f>
        <v/>
      </c>
    </row>
    <row r="8874" spans="7:11" x14ac:dyDescent="0.25">
      <c r="G8874" s="1" t="str">
        <f>IF(Table2[[#This Row],[Description]]="","",VLOOKUP(Table2[[#This Row],[Description]],$Q$1:$S$101,2,FALSE))</f>
        <v/>
      </c>
      <c r="H8874" s="1" t="str">
        <f>IF(Table2[[#This Row],[Description]]="","",VLOOKUP(Table2[[#This Row],[Description]],$Q$1:$S$101,3,FALSE))</f>
        <v/>
      </c>
      <c r="I8874" s="1" t="str">
        <f>IF(Table2[[#This Row],[Description]]="","",IF(Table2[[#This Row],[Currency]]=$O$2,$P$2,HLOOKUP(Table2[[#This Row],[Date]],Funds!$C$10:$GV$11,2,FALSE)))</f>
        <v/>
      </c>
      <c r="J8874" s="215" t="str">
        <f>IF(Table2[[#This Row],[Description]]="","",Table2[[#This Row],[Value]]/Table2[[#This Row],[Conversion]])</f>
        <v/>
      </c>
      <c r="K8874" s="45" t="str">
        <f>IF(Table2[[#This Row],[Description]]="","",DATE(Table2[[#This Row],[Year]],Table2[[#This Row],[Month]],1))</f>
        <v/>
      </c>
    </row>
    <row r="8875" spans="7:11" x14ac:dyDescent="0.25">
      <c r="G8875" s="1" t="str">
        <f>IF(Table2[[#This Row],[Description]]="","",VLOOKUP(Table2[[#This Row],[Description]],$Q$1:$S$101,2,FALSE))</f>
        <v/>
      </c>
      <c r="H8875" s="1" t="str">
        <f>IF(Table2[[#This Row],[Description]]="","",VLOOKUP(Table2[[#This Row],[Description]],$Q$1:$S$101,3,FALSE))</f>
        <v/>
      </c>
      <c r="I8875" s="1" t="str">
        <f>IF(Table2[[#This Row],[Description]]="","",IF(Table2[[#This Row],[Currency]]=$O$2,$P$2,HLOOKUP(Table2[[#This Row],[Date]],Funds!$C$10:$GV$11,2,FALSE)))</f>
        <v/>
      </c>
      <c r="J8875" s="215" t="str">
        <f>IF(Table2[[#This Row],[Description]]="","",Table2[[#This Row],[Value]]/Table2[[#This Row],[Conversion]])</f>
        <v/>
      </c>
      <c r="K8875" s="45" t="str">
        <f>IF(Table2[[#This Row],[Description]]="","",DATE(Table2[[#This Row],[Year]],Table2[[#This Row],[Month]],1))</f>
        <v/>
      </c>
    </row>
    <row r="8876" spans="7:11" x14ac:dyDescent="0.25">
      <c r="G8876" s="1" t="str">
        <f>IF(Table2[[#This Row],[Description]]="","",VLOOKUP(Table2[[#This Row],[Description]],$Q$1:$S$101,2,FALSE))</f>
        <v/>
      </c>
      <c r="H8876" s="1" t="str">
        <f>IF(Table2[[#This Row],[Description]]="","",VLOOKUP(Table2[[#This Row],[Description]],$Q$1:$S$101,3,FALSE))</f>
        <v/>
      </c>
      <c r="I8876" s="1" t="str">
        <f>IF(Table2[[#This Row],[Description]]="","",IF(Table2[[#This Row],[Currency]]=$O$2,$P$2,HLOOKUP(Table2[[#This Row],[Date]],Funds!$C$10:$GV$11,2,FALSE)))</f>
        <v/>
      </c>
      <c r="J8876" s="215" t="str">
        <f>IF(Table2[[#This Row],[Description]]="","",Table2[[#This Row],[Value]]/Table2[[#This Row],[Conversion]])</f>
        <v/>
      </c>
      <c r="K8876" s="45" t="str">
        <f>IF(Table2[[#This Row],[Description]]="","",DATE(Table2[[#This Row],[Year]],Table2[[#This Row],[Month]],1))</f>
        <v/>
      </c>
    </row>
    <row r="8877" spans="7:11" x14ac:dyDescent="0.25">
      <c r="G8877" s="1" t="str">
        <f>IF(Table2[[#This Row],[Description]]="","",VLOOKUP(Table2[[#This Row],[Description]],$Q$1:$S$101,2,FALSE))</f>
        <v/>
      </c>
      <c r="H8877" s="1" t="str">
        <f>IF(Table2[[#This Row],[Description]]="","",VLOOKUP(Table2[[#This Row],[Description]],$Q$1:$S$101,3,FALSE))</f>
        <v/>
      </c>
      <c r="I8877" s="1" t="str">
        <f>IF(Table2[[#This Row],[Description]]="","",IF(Table2[[#This Row],[Currency]]=$O$2,$P$2,HLOOKUP(Table2[[#This Row],[Date]],Funds!$C$10:$GV$11,2,FALSE)))</f>
        <v/>
      </c>
      <c r="J8877" s="215" t="str">
        <f>IF(Table2[[#This Row],[Description]]="","",Table2[[#This Row],[Value]]/Table2[[#This Row],[Conversion]])</f>
        <v/>
      </c>
      <c r="K8877" s="45" t="str">
        <f>IF(Table2[[#This Row],[Description]]="","",DATE(Table2[[#This Row],[Year]],Table2[[#This Row],[Month]],1))</f>
        <v/>
      </c>
    </row>
    <row r="8878" spans="7:11" x14ac:dyDescent="0.25">
      <c r="G8878" s="1" t="str">
        <f>IF(Table2[[#This Row],[Description]]="","",VLOOKUP(Table2[[#This Row],[Description]],$Q$1:$S$101,2,FALSE))</f>
        <v/>
      </c>
      <c r="H8878" s="1" t="str">
        <f>IF(Table2[[#This Row],[Description]]="","",VLOOKUP(Table2[[#This Row],[Description]],$Q$1:$S$101,3,FALSE))</f>
        <v/>
      </c>
      <c r="I8878" s="1" t="str">
        <f>IF(Table2[[#This Row],[Description]]="","",IF(Table2[[#This Row],[Currency]]=$O$2,$P$2,HLOOKUP(Table2[[#This Row],[Date]],Funds!$C$10:$GV$11,2,FALSE)))</f>
        <v/>
      </c>
      <c r="J8878" s="215" t="str">
        <f>IF(Table2[[#This Row],[Description]]="","",Table2[[#This Row],[Value]]/Table2[[#This Row],[Conversion]])</f>
        <v/>
      </c>
      <c r="K8878" s="45" t="str">
        <f>IF(Table2[[#This Row],[Description]]="","",DATE(Table2[[#This Row],[Year]],Table2[[#This Row],[Month]],1))</f>
        <v/>
      </c>
    </row>
    <row r="8879" spans="7:11" x14ac:dyDescent="0.25">
      <c r="G8879" s="1" t="str">
        <f>IF(Table2[[#This Row],[Description]]="","",VLOOKUP(Table2[[#This Row],[Description]],$Q$1:$S$101,2,FALSE))</f>
        <v/>
      </c>
      <c r="H8879" s="1" t="str">
        <f>IF(Table2[[#This Row],[Description]]="","",VLOOKUP(Table2[[#This Row],[Description]],$Q$1:$S$101,3,FALSE))</f>
        <v/>
      </c>
      <c r="I8879" s="1" t="str">
        <f>IF(Table2[[#This Row],[Description]]="","",IF(Table2[[#This Row],[Currency]]=$O$2,$P$2,HLOOKUP(Table2[[#This Row],[Date]],Funds!$C$10:$GV$11,2,FALSE)))</f>
        <v/>
      </c>
      <c r="J8879" s="215" t="str">
        <f>IF(Table2[[#This Row],[Description]]="","",Table2[[#This Row],[Value]]/Table2[[#This Row],[Conversion]])</f>
        <v/>
      </c>
      <c r="K8879" s="45" t="str">
        <f>IF(Table2[[#This Row],[Description]]="","",DATE(Table2[[#This Row],[Year]],Table2[[#This Row],[Month]],1))</f>
        <v/>
      </c>
    </row>
    <row r="8880" spans="7:11" x14ac:dyDescent="0.25">
      <c r="G8880" s="1" t="str">
        <f>IF(Table2[[#This Row],[Description]]="","",VLOOKUP(Table2[[#This Row],[Description]],$Q$1:$S$101,2,FALSE))</f>
        <v/>
      </c>
      <c r="H8880" s="1" t="str">
        <f>IF(Table2[[#This Row],[Description]]="","",VLOOKUP(Table2[[#This Row],[Description]],$Q$1:$S$101,3,FALSE))</f>
        <v/>
      </c>
      <c r="I8880" s="1" t="str">
        <f>IF(Table2[[#This Row],[Description]]="","",IF(Table2[[#This Row],[Currency]]=$O$2,$P$2,HLOOKUP(Table2[[#This Row],[Date]],Funds!$C$10:$GV$11,2,FALSE)))</f>
        <v/>
      </c>
      <c r="J8880" s="215" t="str">
        <f>IF(Table2[[#This Row],[Description]]="","",Table2[[#This Row],[Value]]/Table2[[#This Row],[Conversion]])</f>
        <v/>
      </c>
      <c r="K8880" s="45" t="str">
        <f>IF(Table2[[#This Row],[Description]]="","",DATE(Table2[[#This Row],[Year]],Table2[[#This Row],[Month]],1))</f>
        <v/>
      </c>
    </row>
    <row r="8881" spans="7:11" x14ac:dyDescent="0.25">
      <c r="G8881" s="1" t="str">
        <f>IF(Table2[[#This Row],[Description]]="","",VLOOKUP(Table2[[#This Row],[Description]],$Q$1:$S$101,2,FALSE))</f>
        <v/>
      </c>
      <c r="H8881" s="1" t="str">
        <f>IF(Table2[[#This Row],[Description]]="","",VLOOKUP(Table2[[#This Row],[Description]],$Q$1:$S$101,3,FALSE))</f>
        <v/>
      </c>
      <c r="I8881" s="1" t="str">
        <f>IF(Table2[[#This Row],[Description]]="","",IF(Table2[[#This Row],[Currency]]=$O$2,$P$2,HLOOKUP(Table2[[#This Row],[Date]],Funds!$C$10:$GV$11,2,FALSE)))</f>
        <v/>
      </c>
      <c r="J8881" s="215" t="str">
        <f>IF(Table2[[#This Row],[Description]]="","",Table2[[#This Row],[Value]]/Table2[[#This Row],[Conversion]])</f>
        <v/>
      </c>
      <c r="K8881" s="45" t="str">
        <f>IF(Table2[[#This Row],[Description]]="","",DATE(Table2[[#This Row],[Year]],Table2[[#This Row],[Month]],1))</f>
        <v/>
      </c>
    </row>
    <row r="8882" spans="7:11" x14ac:dyDescent="0.25">
      <c r="G8882" s="1" t="str">
        <f>IF(Table2[[#This Row],[Description]]="","",VLOOKUP(Table2[[#This Row],[Description]],$Q$1:$S$101,2,FALSE))</f>
        <v/>
      </c>
      <c r="H8882" s="1" t="str">
        <f>IF(Table2[[#This Row],[Description]]="","",VLOOKUP(Table2[[#This Row],[Description]],$Q$1:$S$101,3,FALSE))</f>
        <v/>
      </c>
      <c r="I8882" s="1" t="str">
        <f>IF(Table2[[#This Row],[Description]]="","",IF(Table2[[#This Row],[Currency]]=$O$2,$P$2,HLOOKUP(Table2[[#This Row],[Date]],Funds!$C$10:$GV$11,2,FALSE)))</f>
        <v/>
      </c>
      <c r="J8882" s="215" t="str">
        <f>IF(Table2[[#This Row],[Description]]="","",Table2[[#This Row],[Value]]/Table2[[#This Row],[Conversion]])</f>
        <v/>
      </c>
      <c r="K8882" s="45" t="str">
        <f>IF(Table2[[#This Row],[Description]]="","",DATE(Table2[[#This Row],[Year]],Table2[[#This Row],[Month]],1))</f>
        <v/>
      </c>
    </row>
    <row r="8883" spans="7:11" x14ac:dyDescent="0.25">
      <c r="G8883" s="1" t="str">
        <f>IF(Table2[[#This Row],[Description]]="","",VLOOKUP(Table2[[#This Row],[Description]],$Q$1:$S$101,2,FALSE))</f>
        <v/>
      </c>
      <c r="H8883" s="1" t="str">
        <f>IF(Table2[[#This Row],[Description]]="","",VLOOKUP(Table2[[#This Row],[Description]],$Q$1:$S$101,3,FALSE))</f>
        <v/>
      </c>
      <c r="I8883" s="1" t="str">
        <f>IF(Table2[[#This Row],[Description]]="","",IF(Table2[[#This Row],[Currency]]=$O$2,$P$2,HLOOKUP(Table2[[#This Row],[Date]],Funds!$C$10:$GV$11,2,FALSE)))</f>
        <v/>
      </c>
      <c r="J8883" s="215" t="str">
        <f>IF(Table2[[#This Row],[Description]]="","",Table2[[#This Row],[Value]]/Table2[[#This Row],[Conversion]])</f>
        <v/>
      </c>
      <c r="K8883" s="45" t="str">
        <f>IF(Table2[[#This Row],[Description]]="","",DATE(Table2[[#This Row],[Year]],Table2[[#This Row],[Month]],1))</f>
        <v/>
      </c>
    </row>
    <row r="8884" spans="7:11" x14ac:dyDescent="0.25">
      <c r="G8884" s="1" t="str">
        <f>IF(Table2[[#This Row],[Description]]="","",VLOOKUP(Table2[[#This Row],[Description]],$Q$1:$S$101,2,FALSE))</f>
        <v/>
      </c>
      <c r="H8884" s="1" t="str">
        <f>IF(Table2[[#This Row],[Description]]="","",VLOOKUP(Table2[[#This Row],[Description]],$Q$1:$S$101,3,FALSE))</f>
        <v/>
      </c>
      <c r="I8884" s="1" t="str">
        <f>IF(Table2[[#This Row],[Description]]="","",IF(Table2[[#This Row],[Currency]]=$O$2,$P$2,HLOOKUP(Table2[[#This Row],[Date]],Funds!$C$10:$GV$11,2,FALSE)))</f>
        <v/>
      </c>
      <c r="J8884" s="215" t="str">
        <f>IF(Table2[[#This Row],[Description]]="","",Table2[[#This Row],[Value]]/Table2[[#This Row],[Conversion]])</f>
        <v/>
      </c>
      <c r="K8884" s="45" t="str">
        <f>IF(Table2[[#This Row],[Description]]="","",DATE(Table2[[#This Row],[Year]],Table2[[#This Row],[Month]],1))</f>
        <v/>
      </c>
    </row>
    <row r="8885" spans="7:11" x14ac:dyDescent="0.25">
      <c r="G8885" s="1" t="str">
        <f>IF(Table2[[#This Row],[Description]]="","",VLOOKUP(Table2[[#This Row],[Description]],$Q$1:$S$101,2,FALSE))</f>
        <v/>
      </c>
      <c r="H8885" s="1" t="str">
        <f>IF(Table2[[#This Row],[Description]]="","",VLOOKUP(Table2[[#This Row],[Description]],$Q$1:$S$101,3,FALSE))</f>
        <v/>
      </c>
      <c r="I8885" s="1" t="str">
        <f>IF(Table2[[#This Row],[Description]]="","",IF(Table2[[#This Row],[Currency]]=$O$2,$P$2,HLOOKUP(Table2[[#This Row],[Date]],Funds!$C$10:$GV$11,2,FALSE)))</f>
        <v/>
      </c>
      <c r="J8885" s="215" t="str">
        <f>IF(Table2[[#This Row],[Description]]="","",Table2[[#This Row],[Value]]/Table2[[#This Row],[Conversion]])</f>
        <v/>
      </c>
      <c r="K8885" s="45" t="str">
        <f>IF(Table2[[#This Row],[Description]]="","",DATE(Table2[[#This Row],[Year]],Table2[[#This Row],[Month]],1))</f>
        <v/>
      </c>
    </row>
    <row r="8886" spans="7:11" x14ac:dyDescent="0.25">
      <c r="G8886" s="1" t="str">
        <f>IF(Table2[[#This Row],[Description]]="","",VLOOKUP(Table2[[#This Row],[Description]],$Q$1:$S$101,2,FALSE))</f>
        <v/>
      </c>
      <c r="H8886" s="1" t="str">
        <f>IF(Table2[[#This Row],[Description]]="","",VLOOKUP(Table2[[#This Row],[Description]],$Q$1:$S$101,3,FALSE))</f>
        <v/>
      </c>
      <c r="I8886" s="1" t="str">
        <f>IF(Table2[[#This Row],[Description]]="","",IF(Table2[[#This Row],[Currency]]=$O$2,$P$2,HLOOKUP(Table2[[#This Row],[Date]],Funds!$C$10:$GV$11,2,FALSE)))</f>
        <v/>
      </c>
      <c r="J8886" s="215" t="str">
        <f>IF(Table2[[#This Row],[Description]]="","",Table2[[#This Row],[Value]]/Table2[[#This Row],[Conversion]])</f>
        <v/>
      </c>
      <c r="K8886" s="45" t="str">
        <f>IF(Table2[[#This Row],[Description]]="","",DATE(Table2[[#This Row],[Year]],Table2[[#This Row],[Month]],1))</f>
        <v/>
      </c>
    </row>
    <row r="8887" spans="7:11" x14ac:dyDescent="0.25">
      <c r="G8887" s="1" t="str">
        <f>IF(Table2[[#This Row],[Description]]="","",VLOOKUP(Table2[[#This Row],[Description]],$Q$1:$S$101,2,FALSE))</f>
        <v/>
      </c>
      <c r="H8887" s="1" t="str">
        <f>IF(Table2[[#This Row],[Description]]="","",VLOOKUP(Table2[[#This Row],[Description]],$Q$1:$S$101,3,FALSE))</f>
        <v/>
      </c>
      <c r="I8887" s="1" t="str">
        <f>IF(Table2[[#This Row],[Description]]="","",IF(Table2[[#This Row],[Currency]]=$O$2,$P$2,HLOOKUP(Table2[[#This Row],[Date]],Funds!$C$10:$GV$11,2,FALSE)))</f>
        <v/>
      </c>
      <c r="J8887" s="215" t="str">
        <f>IF(Table2[[#This Row],[Description]]="","",Table2[[#This Row],[Value]]/Table2[[#This Row],[Conversion]])</f>
        <v/>
      </c>
      <c r="K8887" s="45" t="str">
        <f>IF(Table2[[#This Row],[Description]]="","",DATE(Table2[[#This Row],[Year]],Table2[[#This Row],[Month]],1))</f>
        <v/>
      </c>
    </row>
    <row r="8888" spans="7:11" x14ac:dyDescent="0.25">
      <c r="G8888" s="1" t="str">
        <f>IF(Table2[[#This Row],[Description]]="","",VLOOKUP(Table2[[#This Row],[Description]],$Q$1:$S$101,2,FALSE))</f>
        <v/>
      </c>
      <c r="H8888" s="1" t="str">
        <f>IF(Table2[[#This Row],[Description]]="","",VLOOKUP(Table2[[#This Row],[Description]],$Q$1:$S$101,3,FALSE))</f>
        <v/>
      </c>
      <c r="I8888" s="1" t="str">
        <f>IF(Table2[[#This Row],[Description]]="","",IF(Table2[[#This Row],[Currency]]=$O$2,$P$2,HLOOKUP(Table2[[#This Row],[Date]],Funds!$C$10:$GV$11,2,FALSE)))</f>
        <v/>
      </c>
      <c r="J8888" s="215" t="str">
        <f>IF(Table2[[#This Row],[Description]]="","",Table2[[#This Row],[Value]]/Table2[[#This Row],[Conversion]])</f>
        <v/>
      </c>
      <c r="K8888" s="45" t="str">
        <f>IF(Table2[[#This Row],[Description]]="","",DATE(Table2[[#This Row],[Year]],Table2[[#This Row],[Month]],1))</f>
        <v/>
      </c>
    </row>
    <row r="8889" spans="7:11" x14ac:dyDescent="0.25">
      <c r="G8889" s="1" t="str">
        <f>IF(Table2[[#This Row],[Description]]="","",VLOOKUP(Table2[[#This Row],[Description]],$Q$1:$S$101,2,FALSE))</f>
        <v/>
      </c>
      <c r="H8889" s="1" t="str">
        <f>IF(Table2[[#This Row],[Description]]="","",VLOOKUP(Table2[[#This Row],[Description]],$Q$1:$S$101,3,FALSE))</f>
        <v/>
      </c>
      <c r="I8889" s="1" t="str">
        <f>IF(Table2[[#This Row],[Description]]="","",IF(Table2[[#This Row],[Currency]]=$O$2,$P$2,HLOOKUP(Table2[[#This Row],[Date]],Funds!$C$10:$GV$11,2,FALSE)))</f>
        <v/>
      </c>
      <c r="J8889" s="215" t="str">
        <f>IF(Table2[[#This Row],[Description]]="","",Table2[[#This Row],[Value]]/Table2[[#This Row],[Conversion]])</f>
        <v/>
      </c>
      <c r="K8889" s="45" t="str">
        <f>IF(Table2[[#This Row],[Description]]="","",DATE(Table2[[#This Row],[Year]],Table2[[#This Row],[Month]],1))</f>
        <v/>
      </c>
    </row>
    <row r="8890" spans="7:11" x14ac:dyDescent="0.25">
      <c r="G8890" s="1" t="str">
        <f>IF(Table2[[#This Row],[Description]]="","",VLOOKUP(Table2[[#This Row],[Description]],$Q$1:$S$101,2,FALSE))</f>
        <v/>
      </c>
      <c r="H8890" s="1" t="str">
        <f>IF(Table2[[#This Row],[Description]]="","",VLOOKUP(Table2[[#This Row],[Description]],$Q$1:$S$101,3,FALSE))</f>
        <v/>
      </c>
      <c r="I8890" s="1" t="str">
        <f>IF(Table2[[#This Row],[Description]]="","",IF(Table2[[#This Row],[Currency]]=$O$2,$P$2,HLOOKUP(Table2[[#This Row],[Date]],Funds!$C$10:$GV$11,2,FALSE)))</f>
        <v/>
      </c>
      <c r="J8890" s="215" t="str">
        <f>IF(Table2[[#This Row],[Description]]="","",Table2[[#This Row],[Value]]/Table2[[#This Row],[Conversion]])</f>
        <v/>
      </c>
      <c r="K8890" s="45" t="str">
        <f>IF(Table2[[#This Row],[Description]]="","",DATE(Table2[[#This Row],[Year]],Table2[[#This Row],[Month]],1))</f>
        <v/>
      </c>
    </row>
    <row r="8891" spans="7:11" x14ac:dyDescent="0.25">
      <c r="G8891" s="1" t="str">
        <f>IF(Table2[[#This Row],[Description]]="","",VLOOKUP(Table2[[#This Row],[Description]],$Q$1:$S$101,2,FALSE))</f>
        <v/>
      </c>
      <c r="H8891" s="1" t="str">
        <f>IF(Table2[[#This Row],[Description]]="","",VLOOKUP(Table2[[#This Row],[Description]],$Q$1:$S$101,3,FALSE))</f>
        <v/>
      </c>
      <c r="I8891" s="1" t="str">
        <f>IF(Table2[[#This Row],[Description]]="","",IF(Table2[[#This Row],[Currency]]=$O$2,$P$2,HLOOKUP(Table2[[#This Row],[Date]],Funds!$C$10:$GV$11,2,FALSE)))</f>
        <v/>
      </c>
      <c r="J8891" s="215" t="str">
        <f>IF(Table2[[#This Row],[Description]]="","",Table2[[#This Row],[Value]]/Table2[[#This Row],[Conversion]])</f>
        <v/>
      </c>
      <c r="K8891" s="45" t="str">
        <f>IF(Table2[[#This Row],[Description]]="","",DATE(Table2[[#This Row],[Year]],Table2[[#This Row],[Month]],1))</f>
        <v/>
      </c>
    </row>
    <row r="8892" spans="7:11" x14ac:dyDescent="0.25">
      <c r="G8892" s="1" t="str">
        <f>IF(Table2[[#This Row],[Description]]="","",VLOOKUP(Table2[[#This Row],[Description]],$Q$1:$S$101,2,FALSE))</f>
        <v/>
      </c>
      <c r="H8892" s="1" t="str">
        <f>IF(Table2[[#This Row],[Description]]="","",VLOOKUP(Table2[[#This Row],[Description]],$Q$1:$S$101,3,FALSE))</f>
        <v/>
      </c>
      <c r="I8892" s="1" t="str">
        <f>IF(Table2[[#This Row],[Description]]="","",IF(Table2[[#This Row],[Currency]]=$O$2,$P$2,HLOOKUP(Table2[[#This Row],[Date]],Funds!$C$10:$GV$11,2,FALSE)))</f>
        <v/>
      </c>
      <c r="J8892" s="215" t="str">
        <f>IF(Table2[[#This Row],[Description]]="","",Table2[[#This Row],[Value]]/Table2[[#This Row],[Conversion]])</f>
        <v/>
      </c>
      <c r="K8892" s="45" t="str">
        <f>IF(Table2[[#This Row],[Description]]="","",DATE(Table2[[#This Row],[Year]],Table2[[#This Row],[Month]],1))</f>
        <v/>
      </c>
    </row>
    <row r="8893" spans="7:11" x14ac:dyDescent="0.25">
      <c r="G8893" s="1" t="str">
        <f>IF(Table2[[#This Row],[Description]]="","",VLOOKUP(Table2[[#This Row],[Description]],$Q$1:$S$101,2,FALSE))</f>
        <v/>
      </c>
      <c r="H8893" s="1" t="str">
        <f>IF(Table2[[#This Row],[Description]]="","",VLOOKUP(Table2[[#This Row],[Description]],$Q$1:$S$101,3,FALSE))</f>
        <v/>
      </c>
      <c r="I8893" s="1" t="str">
        <f>IF(Table2[[#This Row],[Description]]="","",IF(Table2[[#This Row],[Currency]]=$O$2,$P$2,HLOOKUP(Table2[[#This Row],[Date]],Funds!$C$10:$GV$11,2,FALSE)))</f>
        <v/>
      </c>
      <c r="J8893" s="215" t="str">
        <f>IF(Table2[[#This Row],[Description]]="","",Table2[[#This Row],[Value]]/Table2[[#This Row],[Conversion]])</f>
        <v/>
      </c>
      <c r="K8893" s="45" t="str">
        <f>IF(Table2[[#This Row],[Description]]="","",DATE(Table2[[#This Row],[Year]],Table2[[#This Row],[Month]],1))</f>
        <v/>
      </c>
    </row>
    <row r="8894" spans="7:11" x14ac:dyDescent="0.25">
      <c r="G8894" s="1" t="str">
        <f>IF(Table2[[#This Row],[Description]]="","",VLOOKUP(Table2[[#This Row],[Description]],$Q$1:$S$101,2,FALSE))</f>
        <v/>
      </c>
      <c r="H8894" s="1" t="str">
        <f>IF(Table2[[#This Row],[Description]]="","",VLOOKUP(Table2[[#This Row],[Description]],$Q$1:$S$101,3,FALSE))</f>
        <v/>
      </c>
      <c r="I8894" s="1" t="str">
        <f>IF(Table2[[#This Row],[Description]]="","",IF(Table2[[#This Row],[Currency]]=$O$2,$P$2,HLOOKUP(Table2[[#This Row],[Date]],Funds!$C$10:$GV$11,2,FALSE)))</f>
        <v/>
      </c>
      <c r="J8894" s="215" t="str">
        <f>IF(Table2[[#This Row],[Description]]="","",Table2[[#This Row],[Value]]/Table2[[#This Row],[Conversion]])</f>
        <v/>
      </c>
      <c r="K8894" s="45" t="str">
        <f>IF(Table2[[#This Row],[Description]]="","",DATE(Table2[[#This Row],[Year]],Table2[[#This Row],[Month]],1))</f>
        <v/>
      </c>
    </row>
    <row r="8895" spans="7:11" x14ac:dyDescent="0.25">
      <c r="G8895" s="1" t="str">
        <f>IF(Table2[[#This Row],[Description]]="","",VLOOKUP(Table2[[#This Row],[Description]],$Q$1:$S$101,2,FALSE))</f>
        <v/>
      </c>
      <c r="H8895" s="1" t="str">
        <f>IF(Table2[[#This Row],[Description]]="","",VLOOKUP(Table2[[#This Row],[Description]],$Q$1:$S$101,3,FALSE))</f>
        <v/>
      </c>
      <c r="I8895" s="1" t="str">
        <f>IF(Table2[[#This Row],[Description]]="","",IF(Table2[[#This Row],[Currency]]=$O$2,$P$2,HLOOKUP(Table2[[#This Row],[Date]],Funds!$C$10:$GV$11,2,FALSE)))</f>
        <v/>
      </c>
      <c r="J8895" s="215" t="str">
        <f>IF(Table2[[#This Row],[Description]]="","",Table2[[#This Row],[Value]]/Table2[[#This Row],[Conversion]])</f>
        <v/>
      </c>
      <c r="K8895" s="45" t="str">
        <f>IF(Table2[[#This Row],[Description]]="","",DATE(Table2[[#This Row],[Year]],Table2[[#This Row],[Month]],1))</f>
        <v/>
      </c>
    </row>
    <row r="8896" spans="7:11" x14ac:dyDescent="0.25">
      <c r="G8896" s="1" t="str">
        <f>IF(Table2[[#This Row],[Description]]="","",VLOOKUP(Table2[[#This Row],[Description]],$Q$1:$S$101,2,FALSE))</f>
        <v/>
      </c>
      <c r="H8896" s="1" t="str">
        <f>IF(Table2[[#This Row],[Description]]="","",VLOOKUP(Table2[[#This Row],[Description]],$Q$1:$S$101,3,FALSE))</f>
        <v/>
      </c>
      <c r="I8896" s="1" t="str">
        <f>IF(Table2[[#This Row],[Description]]="","",IF(Table2[[#This Row],[Currency]]=$O$2,$P$2,HLOOKUP(Table2[[#This Row],[Date]],Funds!$C$10:$GV$11,2,FALSE)))</f>
        <v/>
      </c>
      <c r="J8896" s="215" t="str">
        <f>IF(Table2[[#This Row],[Description]]="","",Table2[[#This Row],[Value]]/Table2[[#This Row],[Conversion]])</f>
        <v/>
      </c>
      <c r="K8896" s="45" t="str">
        <f>IF(Table2[[#This Row],[Description]]="","",DATE(Table2[[#This Row],[Year]],Table2[[#This Row],[Month]],1))</f>
        <v/>
      </c>
    </row>
    <row r="8897" spans="7:11" x14ac:dyDescent="0.25">
      <c r="G8897" s="1" t="str">
        <f>IF(Table2[[#This Row],[Description]]="","",VLOOKUP(Table2[[#This Row],[Description]],$Q$1:$S$101,2,FALSE))</f>
        <v/>
      </c>
      <c r="H8897" s="1" t="str">
        <f>IF(Table2[[#This Row],[Description]]="","",VLOOKUP(Table2[[#This Row],[Description]],$Q$1:$S$101,3,FALSE))</f>
        <v/>
      </c>
      <c r="I8897" s="1" t="str">
        <f>IF(Table2[[#This Row],[Description]]="","",IF(Table2[[#This Row],[Currency]]=$O$2,$P$2,HLOOKUP(Table2[[#This Row],[Date]],Funds!$C$10:$GV$11,2,FALSE)))</f>
        <v/>
      </c>
      <c r="J8897" s="215" t="str">
        <f>IF(Table2[[#This Row],[Description]]="","",Table2[[#This Row],[Value]]/Table2[[#This Row],[Conversion]])</f>
        <v/>
      </c>
      <c r="K8897" s="45" t="str">
        <f>IF(Table2[[#This Row],[Description]]="","",DATE(Table2[[#This Row],[Year]],Table2[[#This Row],[Month]],1))</f>
        <v/>
      </c>
    </row>
    <row r="8898" spans="7:11" x14ac:dyDescent="0.25">
      <c r="G8898" s="1" t="str">
        <f>IF(Table2[[#This Row],[Description]]="","",VLOOKUP(Table2[[#This Row],[Description]],$Q$1:$S$101,2,FALSE))</f>
        <v/>
      </c>
      <c r="H8898" s="1" t="str">
        <f>IF(Table2[[#This Row],[Description]]="","",VLOOKUP(Table2[[#This Row],[Description]],$Q$1:$S$101,3,FALSE))</f>
        <v/>
      </c>
      <c r="I8898" s="1" t="str">
        <f>IF(Table2[[#This Row],[Description]]="","",IF(Table2[[#This Row],[Currency]]=$O$2,$P$2,HLOOKUP(Table2[[#This Row],[Date]],Funds!$C$10:$GV$11,2,FALSE)))</f>
        <v/>
      </c>
      <c r="J8898" s="215" t="str">
        <f>IF(Table2[[#This Row],[Description]]="","",Table2[[#This Row],[Value]]/Table2[[#This Row],[Conversion]])</f>
        <v/>
      </c>
      <c r="K8898" s="45" t="str">
        <f>IF(Table2[[#This Row],[Description]]="","",DATE(Table2[[#This Row],[Year]],Table2[[#This Row],[Month]],1))</f>
        <v/>
      </c>
    </row>
    <row r="8899" spans="7:11" x14ac:dyDescent="0.25">
      <c r="G8899" s="1" t="str">
        <f>IF(Table2[[#This Row],[Description]]="","",VLOOKUP(Table2[[#This Row],[Description]],$Q$1:$S$101,2,FALSE))</f>
        <v/>
      </c>
      <c r="H8899" s="1" t="str">
        <f>IF(Table2[[#This Row],[Description]]="","",VLOOKUP(Table2[[#This Row],[Description]],$Q$1:$S$101,3,FALSE))</f>
        <v/>
      </c>
      <c r="I8899" s="1" t="str">
        <f>IF(Table2[[#This Row],[Description]]="","",IF(Table2[[#This Row],[Currency]]=$O$2,$P$2,HLOOKUP(Table2[[#This Row],[Date]],Funds!$C$10:$GV$11,2,FALSE)))</f>
        <v/>
      </c>
      <c r="J8899" s="215" t="str">
        <f>IF(Table2[[#This Row],[Description]]="","",Table2[[#This Row],[Value]]/Table2[[#This Row],[Conversion]])</f>
        <v/>
      </c>
      <c r="K8899" s="45" t="str">
        <f>IF(Table2[[#This Row],[Description]]="","",DATE(Table2[[#This Row],[Year]],Table2[[#This Row],[Month]],1))</f>
        <v/>
      </c>
    </row>
    <row r="8900" spans="7:11" x14ac:dyDescent="0.25">
      <c r="G8900" s="1" t="str">
        <f>IF(Table2[[#This Row],[Description]]="","",VLOOKUP(Table2[[#This Row],[Description]],$Q$1:$S$101,2,FALSE))</f>
        <v/>
      </c>
      <c r="H8900" s="1" t="str">
        <f>IF(Table2[[#This Row],[Description]]="","",VLOOKUP(Table2[[#This Row],[Description]],$Q$1:$S$101,3,FALSE))</f>
        <v/>
      </c>
      <c r="I8900" s="1" t="str">
        <f>IF(Table2[[#This Row],[Description]]="","",IF(Table2[[#This Row],[Currency]]=$O$2,$P$2,HLOOKUP(Table2[[#This Row],[Date]],Funds!$C$10:$GV$11,2,FALSE)))</f>
        <v/>
      </c>
      <c r="J8900" s="215" t="str">
        <f>IF(Table2[[#This Row],[Description]]="","",Table2[[#This Row],[Value]]/Table2[[#This Row],[Conversion]])</f>
        <v/>
      </c>
      <c r="K8900" s="45" t="str">
        <f>IF(Table2[[#This Row],[Description]]="","",DATE(Table2[[#This Row],[Year]],Table2[[#This Row],[Month]],1))</f>
        <v/>
      </c>
    </row>
    <row r="8901" spans="7:11" x14ac:dyDescent="0.25">
      <c r="G8901" s="1" t="str">
        <f>IF(Table2[[#This Row],[Description]]="","",VLOOKUP(Table2[[#This Row],[Description]],$Q$1:$S$101,2,FALSE))</f>
        <v/>
      </c>
      <c r="H8901" s="1" t="str">
        <f>IF(Table2[[#This Row],[Description]]="","",VLOOKUP(Table2[[#This Row],[Description]],$Q$1:$S$101,3,FALSE))</f>
        <v/>
      </c>
      <c r="I8901" s="1" t="str">
        <f>IF(Table2[[#This Row],[Description]]="","",IF(Table2[[#This Row],[Currency]]=$O$2,$P$2,HLOOKUP(Table2[[#This Row],[Date]],Funds!$C$10:$GV$11,2,FALSE)))</f>
        <v/>
      </c>
      <c r="J8901" s="215" t="str">
        <f>IF(Table2[[#This Row],[Description]]="","",Table2[[#This Row],[Value]]/Table2[[#This Row],[Conversion]])</f>
        <v/>
      </c>
      <c r="K8901" s="45" t="str">
        <f>IF(Table2[[#This Row],[Description]]="","",DATE(Table2[[#This Row],[Year]],Table2[[#This Row],[Month]],1))</f>
        <v/>
      </c>
    </row>
    <row r="8902" spans="7:11" x14ac:dyDescent="0.25">
      <c r="G8902" s="1" t="str">
        <f>IF(Table2[[#This Row],[Description]]="","",VLOOKUP(Table2[[#This Row],[Description]],$Q$1:$S$101,2,FALSE))</f>
        <v/>
      </c>
      <c r="H8902" s="1" t="str">
        <f>IF(Table2[[#This Row],[Description]]="","",VLOOKUP(Table2[[#This Row],[Description]],$Q$1:$S$101,3,FALSE))</f>
        <v/>
      </c>
      <c r="I8902" s="1" t="str">
        <f>IF(Table2[[#This Row],[Description]]="","",IF(Table2[[#This Row],[Currency]]=$O$2,$P$2,HLOOKUP(Table2[[#This Row],[Date]],Funds!$C$10:$GV$11,2,FALSE)))</f>
        <v/>
      </c>
      <c r="J8902" s="215" t="str">
        <f>IF(Table2[[#This Row],[Description]]="","",Table2[[#This Row],[Value]]/Table2[[#This Row],[Conversion]])</f>
        <v/>
      </c>
      <c r="K8902" s="45" t="str">
        <f>IF(Table2[[#This Row],[Description]]="","",DATE(Table2[[#This Row],[Year]],Table2[[#This Row],[Month]],1))</f>
        <v/>
      </c>
    </row>
    <row r="8903" spans="7:11" x14ac:dyDescent="0.25">
      <c r="G8903" s="1" t="str">
        <f>IF(Table2[[#This Row],[Description]]="","",VLOOKUP(Table2[[#This Row],[Description]],$Q$1:$S$101,2,FALSE))</f>
        <v/>
      </c>
      <c r="H8903" s="1" t="str">
        <f>IF(Table2[[#This Row],[Description]]="","",VLOOKUP(Table2[[#This Row],[Description]],$Q$1:$S$101,3,FALSE))</f>
        <v/>
      </c>
      <c r="I8903" s="1" t="str">
        <f>IF(Table2[[#This Row],[Description]]="","",IF(Table2[[#This Row],[Currency]]=$O$2,$P$2,HLOOKUP(Table2[[#This Row],[Date]],Funds!$C$10:$GV$11,2,FALSE)))</f>
        <v/>
      </c>
      <c r="J8903" s="215" t="str">
        <f>IF(Table2[[#This Row],[Description]]="","",Table2[[#This Row],[Value]]/Table2[[#This Row],[Conversion]])</f>
        <v/>
      </c>
      <c r="K8903" s="45" t="str">
        <f>IF(Table2[[#This Row],[Description]]="","",DATE(Table2[[#This Row],[Year]],Table2[[#This Row],[Month]],1))</f>
        <v/>
      </c>
    </row>
    <row r="8904" spans="7:11" x14ac:dyDescent="0.25">
      <c r="G8904" s="1" t="str">
        <f>IF(Table2[[#This Row],[Description]]="","",VLOOKUP(Table2[[#This Row],[Description]],$Q$1:$S$101,2,FALSE))</f>
        <v/>
      </c>
      <c r="H8904" s="1" t="str">
        <f>IF(Table2[[#This Row],[Description]]="","",VLOOKUP(Table2[[#This Row],[Description]],$Q$1:$S$101,3,FALSE))</f>
        <v/>
      </c>
      <c r="I8904" s="1" t="str">
        <f>IF(Table2[[#This Row],[Description]]="","",IF(Table2[[#This Row],[Currency]]=$O$2,$P$2,HLOOKUP(Table2[[#This Row],[Date]],Funds!$C$10:$GV$11,2,FALSE)))</f>
        <v/>
      </c>
      <c r="J8904" s="215" t="str">
        <f>IF(Table2[[#This Row],[Description]]="","",Table2[[#This Row],[Value]]/Table2[[#This Row],[Conversion]])</f>
        <v/>
      </c>
      <c r="K8904" s="45" t="str">
        <f>IF(Table2[[#This Row],[Description]]="","",DATE(Table2[[#This Row],[Year]],Table2[[#This Row],[Month]],1))</f>
        <v/>
      </c>
    </row>
    <row r="8905" spans="7:11" x14ac:dyDescent="0.25">
      <c r="G8905" s="1" t="str">
        <f>IF(Table2[[#This Row],[Description]]="","",VLOOKUP(Table2[[#This Row],[Description]],$Q$1:$S$101,2,FALSE))</f>
        <v/>
      </c>
      <c r="H8905" s="1" t="str">
        <f>IF(Table2[[#This Row],[Description]]="","",VLOOKUP(Table2[[#This Row],[Description]],$Q$1:$S$101,3,FALSE))</f>
        <v/>
      </c>
      <c r="I8905" s="1" t="str">
        <f>IF(Table2[[#This Row],[Description]]="","",IF(Table2[[#This Row],[Currency]]=$O$2,$P$2,HLOOKUP(Table2[[#This Row],[Date]],Funds!$C$10:$GV$11,2,FALSE)))</f>
        <v/>
      </c>
      <c r="J8905" s="215" t="str">
        <f>IF(Table2[[#This Row],[Description]]="","",Table2[[#This Row],[Value]]/Table2[[#This Row],[Conversion]])</f>
        <v/>
      </c>
      <c r="K8905" s="45" t="str">
        <f>IF(Table2[[#This Row],[Description]]="","",DATE(Table2[[#This Row],[Year]],Table2[[#This Row],[Month]],1))</f>
        <v/>
      </c>
    </row>
    <row r="8906" spans="7:11" x14ac:dyDescent="0.25">
      <c r="G8906" s="1" t="str">
        <f>IF(Table2[[#This Row],[Description]]="","",VLOOKUP(Table2[[#This Row],[Description]],$Q$1:$S$101,2,FALSE))</f>
        <v/>
      </c>
      <c r="H8906" s="1" t="str">
        <f>IF(Table2[[#This Row],[Description]]="","",VLOOKUP(Table2[[#This Row],[Description]],$Q$1:$S$101,3,FALSE))</f>
        <v/>
      </c>
      <c r="I8906" s="1" t="str">
        <f>IF(Table2[[#This Row],[Description]]="","",IF(Table2[[#This Row],[Currency]]=$O$2,$P$2,HLOOKUP(Table2[[#This Row],[Date]],Funds!$C$10:$GV$11,2,FALSE)))</f>
        <v/>
      </c>
      <c r="J8906" s="215" t="str">
        <f>IF(Table2[[#This Row],[Description]]="","",Table2[[#This Row],[Value]]/Table2[[#This Row],[Conversion]])</f>
        <v/>
      </c>
      <c r="K8906" s="45" t="str">
        <f>IF(Table2[[#This Row],[Description]]="","",DATE(Table2[[#This Row],[Year]],Table2[[#This Row],[Month]],1))</f>
        <v/>
      </c>
    </row>
    <row r="8907" spans="7:11" x14ac:dyDescent="0.25">
      <c r="G8907" s="1" t="str">
        <f>IF(Table2[[#This Row],[Description]]="","",VLOOKUP(Table2[[#This Row],[Description]],$Q$1:$S$101,2,FALSE))</f>
        <v/>
      </c>
      <c r="H8907" s="1" t="str">
        <f>IF(Table2[[#This Row],[Description]]="","",VLOOKUP(Table2[[#This Row],[Description]],$Q$1:$S$101,3,FALSE))</f>
        <v/>
      </c>
      <c r="I8907" s="1" t="str">
        <f>IF(Table2[[#This Row],[Description]]="","",IF(Table2[[#This Row],[Currency]]=$O$2,$P$2,HLOOKUP(Table2[[#This Row],[Date]],Funds!$C$10:$GV$11,2,FALSE)))</f>
        <v/>
      </c>
      <c r="J8907" s="215" t="str">
        <f>IF(Table2[[#This Row],[Description]]="","",Table2[[#This Row],[Value]]/Table2[[#This Row],[Conversion]])</f>
        <v/>
      </c>
      <c r="K8907" s="45" t="str">
        <f>IF(Table2[[#This Row],[Description]]="","",DATE(Table2[[#This Row],[Year]],Table2[[#This Row],[Month]],1))</f>
        <v/>
      </c>
    </row>
    <row r="8908" spans="7:11" x14ac:dyDescent="0.25">
      <c r="G8908" s="1" t="str">
        <f>IF(Table2[[#This Row],[Description]]="","",VLOOKUP(Table2[[#This Row],[Description]],$Q$1:$S$101,2,FALSE))</f>
        <v/>
      </c>
      <c r="H8908" s="1" t="str">
        <f>IF(Table2[[#This Row],[Description]]="","",VLOOKUP(Table2[[#This Row],[Description]],$Q$1:$S$101,3,FALSE))</f>
        <v/>
      </c>
      <c r="I8908" s="1" t="str">
        <f>IF(Table2[[#This Row],[Description]]="","",IF(Table2[[#This Row],[Currency]]=$O$2,$P$2,HLOOKUP(Table2[[#This Row],[Date]],Funds!$C$10:$GV$11,2,FALSE)))</f>
        <v/>
      </c>
      <c r="J8908" s="215" t="str">
        <f>IF(Table2[[#This Row],[Description]]="","",Table2[[#This Row],[Value]]/Table2[[#This Row],[Conversion]])</f>
        <v/>
      </c>
      <c r="K8908" s="45" t="str">
        <f>IF(Table2[[#This Row],[Description]]="","",DATE(Table2[[#This Row],[Year]],Table2[[#This Row],[Month]],1))</f>
        <v/>
      </c>
    </row>
    <row r="8909" spans="7:11" x14ac:dyDescent="0.25">
      <c r="G8909" s="1" t="str">
        <f>IF(Table2[[#This Row],[Description]]="","",VLOOKUP(Table2[[#This Row],[Description]],$Q$1:$S$101,2,FALSE))</f>
        <v/>
      </c>
      <c r="H8909" s="1" t="str">
        <f>IF(Table2[[#This Row],[Description]]="","",VLOOKUP(Table2[[#This Row],[Description]],$Q$1:$S$101,3,FALSE))</f>
        <v/>
      </c>
      <c r="I8909" s="1" t="str">
        <f>IF(Table2[[#This Row],[Description]]="","",IF(Table2[[#This Row],[Currency]]=$O$2,$P$2,HLOOKUP(Table2[[#This Row],[Date]],Funds!$C$10:$GV$11,2,FALSE)))</f>
        <v/>
      </c>
      <c r="J8909" s="215" t="str">
        <f>IF(Table2[[#This Row],[Description]]="","",Table2[[#This Row],[Value]]/Table2[[#This Row],[Conversion]])</f>
        <v/>
      </c>
      <c r="K8909" s="45" t="str">
        <f>IF(Table2[[#This Row],[Description]]="","",DATE(Table2[[#This Row],[Year]],Table2[[#This Row],[Month]],1))</f>
        <v/>
      </c>
    </row>
    <row r="8910" spans="7:11" x14ac:dyDescent="0.25">
      <c r="G8910" s="1" t="str">
        <f>IF(Table2[[#This Row],[Description]]="","",VLOOKUP(Table2[[#This Row],[Description]],$Q$1:$S$101,2,FALSE))</f>
        <v/>
      </c>
      <c r="H8910" s="1" t="str">
        <f>IF(Table2[[#This Row],[Description]]="","",VLOOKUP(Table2[[#This Row],[Description]],$Q$1:$S$101,3,FALSE))</f>
        <v/>
      </c>
      <c r="I8910" s="1" t="str">
        <f>IF(Table2[[#This Row],[Description]]="","",IF(Table2[[#This Row],[Currency]]=$O$2,$P$2,HLOOKUP(Table2[[#This Row],[Date]],Funds!$C$10:$GV$11,2,FALSE)))</f>
        <v/>
      </c>
      <c r="J8910" s="215" t="str">
        <f>IF(Table2[[#This Row],[Description]]="","",Table2[[#This Row],[Value]]/Table2[[#This Row],[Conversion]])</f>
        <v/>
      </c>
      <c r="K8910" s="45" t="str">
        <f>IF(Table2[[#This Row],[Description]]="","",DATE(Table2[[#This Row],[Year]],Table2[[#This Row],[Month]],1))</f>
        <v/>
      </c>
    </row>
    <row r="8911" spans="7:11" x14ac:dyDescent="0.25">
      <c r="G8911" s="1" t="str">
        <f>IF(Table2[[#This Row],[Description]]="","",VLOOKUP(Table2[[#This Row],[Description]],$Q$1:$S$101,2,FALSE))</f>
        <v/>
      </c>
      <c r="H8911" s="1" t="str">
        <f>IF(Table2[[#This Row],[Description]]="","",VLOOKUP(Table2[[#This Row],[Description]],$Q$1:$S$101,3,FALSE))</f>
        <v/>
      </c>
      <c r="I8911" s="1" t="str">
        <f>IF(Table2[[#This Row],[Description]]="","",IF(Table2[[#This Row],[Currency]]=$O$2,$P$2,HLOOKUP(Table2[[#This Row],[Date]],Funds!$C$10:$GV$11,2,FALSE)))</f>
        <v/>
      </c>
      <c r="J8911" s="215" t="str">
        <f>IF(Table2[[#This Row],[Description]]="","",Table2[[#This Row],[Value]]/Table2[[#This Row],[Conversion]])</f>
        <v/>
      </c>
      <c r="K8911" s="45" t="str">
        <f>IF(Table2[[#This Row],[Description]]="","",DATE(Table2[[#This Row],[Year]],Table2[[#This Row],[Month]],1))</f>
        <v/>
      </c>
    </row>
    <row r="8912" spans="7:11" x14ac:dyDescent="0.25">
      <c r="G8912" s="1" t="str">
        <f>IF(Table2[[#This Row],[Description]]="","",VLOOKUP(Table2[[#This Row],[Description]],$Q$1:$S$101,2,FALSE))</f>
        <v/>
      </c>
      <c r="H8912" s="1" t="str">
        <f>IF(Table2[[#This Row],[Description]]="","",VLOOKUP(Table2[[#This Row],[Description]],$Q$1:$S$101,3,FALSE))</f>
        <v/>
      </c>
      <c r="I8912" s="1" t="str">
        <f>IF(Table2[[#This Row],[Description]]="","",IF(Table2[[#This Row],[Currency]]=$O$2,$P$2,HLOOKUP(Table2[[#This Row],[Date]],Funds!$C$10:$GV$11,2,FALSE)))</f>
        <v/>
      </c>
      <c r="J8912" s="215" t="str">
        <f>IF(Table2[[#This Row],[Description]]="","",Table2[[#This Row],[Value]]/Table2[[#This Row],[Conversion]])</f>
        <v/>
      </c>
      <c r="K8912" s="45" t="str">
        <f>IF(Table2[[#This Row],[Description]]="","",DATE(Table2[[#This Row],[Year]],Table2[[#This Row],[Month]],1))</f>
        <v/>
      </c>
    </row>
    <row r="8913" spans="7:11" x14ac:dyDescent="0.25">
      <c r="G8913" s="1" t="str">
        <f>IF(Table2[[#This Row],[Description]]="","",VLOOKUP(Table2[[#This Row],[Description]],$Q$1:$S$101,2,FALSE))</f>
        <v/>
      </c>
      <c r="H8913" s="1" t="str">
        <f>IF(Table2[[#This Row],[Description]]="","",VLOOKUP(Table2[[#This Row],[Description]],$Q$1:$S$101,3,FALSE))</f>
        <v/>
      </c>
      <c r="I8913" s="1" t="str">
        <f>IF(Table2[[#This Row],[Description]]="","",IF(Table2[[#This Row],[Currency]]=$O$2,$P$2,HLOOKUP(Table2[[#This Row],[Date]],Funds!$C$10:$GV$11,2,FALSE)))</f>
        <v/>
      </c>
      <c r="J8913" s="215" t="str">
        <f>IF(Table2[[#This Row],[Description]]="","",Table2[[#This Row],[Value]]/Table2[[#This Row],[Conversion]])</f>
        <v/>
      </c>
      <c r="K8913" s="45" t="str">
        <f>IF(Table2[[#This Row],[Description]]="","",DATE(Table2[[#This Row],[Year]],Table2[[#This Row],[Month]],1))</f>
        <v/>
      </c>
    </row>
    <row r="8914" spans="7:11" x14ac:dyDescent="0.25">
      <c r="G8914" s="1" t="str">
        <f>IF(Table2[[#This Row],[Description]]="","",VLOOKUP(Table2[[#This Row],[Description]],$Q$1:$S$101,2,FALSE))</f>
        <v/>
      </c>
      <c r="H8914" s="1" t="str">
        <f>IF(Table2[[#This Row],[Description]]="","",VLOOKUP(Table2[[#This Row],[Description]],$Q$1:$S$101,3,FALSE))</f>
        <v/>
      </c>
      <c r="I8914" s="1" t="str">
        <f>IF(Table2[[#This Row],[Description]]="","",IF(Table2[[#This Row],[Currency]]=$O$2,$P$2,HLOOKUP(Table2[[#This Row],[Date]],Funds!$C$10:$GV$11,2,FALSE)))</f>
        <v/>
      </c>
      <c r="J8914" s="215" t="str">
        <f>IF(Table2[[#This Row],[Description]]="","",Table2[[#This Row],[Value]]/Table2[[#This Row],[Conversion]])</f>
        <v/>
      </c>
      <c r="K8914" s="45" t="str">
        <f>IF(Table2[[#This Row],[Description]]="","",DATE(Table2[[#This Row],[Year]],Table2[[#This Row],[Month]],1))</f>
        <v/>
      </c>
    </row>
    <row r="8915" spans="7:11" x14ac:dyDescent="0.25">
      <c r="G8915" s="1" t="str">
        <f>IF(Table2[[#This Row],[Description]]="","",VLOOKUP(Table2[[#This Row],[Description]],$Q$1:$S$101,2,FALSE))</f>
        <v/>
      </c>
      <c r="H8915" s="1" t="str">
        <f>IF(Table2[[#This Row],[Description]]="","",VLOOKUP(Table2[[#This Row],[Description]],$Q$1:$S$101,3,FALSE))</f>
        <v/>
      </c>
      <c r="I8915" s="1" t="str">
        <f>IF(Table2[[#This Row],[Description]]="","",IF(Table2[[#This Row],[Currency]]=$O$2,$P$2,HLOOKUP(Table2[[#This Row],[Date]],Funds!$C$10:$GV$11,2,FALSE)))</f>
        <v/>
      </c>
      <c r="J8915" s="215" t="str">
        <f>IF(Table2[[#This Row],[Description]]="","",Table2[[#This Row],[Value]]/Table2[[#This Row],[Conversion]])</f>
        <v/>
      </c>
      <c r="K8915" s="45" t="str">
        <f>IF(Table2[[#This Row],[Description]]="","",DATE(Table2[[#This Row],[Year]],Table2[[#This Row],[Month]],1))</f>
        <v/>
      </c>
    </row>
    <row r="8916" spans="7:11" x14ac:dyDescent="0.25">
      <c r="G8916" s="1" t="str">
        <f>IF(Table2[[#This Row],[Description]]="","",VLOOKUP(Table2[[#This Row],[Description]],$Q$1:$S$101,2,FALSE))</f>
        <v/>
      </c>
      <c r="H8916" s="1" t="str">
        <f>IF(Table2[[#This Row],[Description]]="","",VLOOKUP(Table2[[#This Row],[Description]],$Q$1:$S$101,3,FALSE))</f>
        <v/>
      </c>
      <c r="I8916" s="1" t="str">
        <f>IF(Table2[[#This Row],[Description]]="","",IF(Table2[[#This Row],[Currency]]=$O$2,$P$2,HLOOKUP(Table2[[#This Row],[Date]],Funds!$C$10:$GV$11,2,FALSE)))</f>
        <v/>
      </c>
      <c r="J8916" s="215" t="str">
        <f>IF(Table2[[#This Row],[Description]]="","",Table2[[#This Row],[Value]]/Table2[[#This Row],[Conversion]])</f>
        <v/>
      </c>
      <c r="K8916" s="45" t="str">
        <f>IF(Table2[[#This Row],[Description]]="","",DATE(Table2[[#This Row],[Year]],Table2[[#This Row],[Month]],1))</f>
        <v/>
      </c>
    </row>
    <row r="8917" spans="7:11" x14ac:dyDescent="0.25">
      <c r="G8917" s="1" t="str">
        <f>IF(Table2[[#This Row],[Description]]="","",VLOOKUP(Table2[[#This Row],[Description]],$Q$1:$S$101,2,FALSE))</f>
        <v/>
      </c>
      <c r="H8917" s="1" t="str">
        <f>IF(Table2[[#This Row],[Description]]="","",VLOOKUP(Table2[[#This Row],[Description]],$Q$1:$S$101,3,FALSE))</f>
        <v/>
      </c>
      <c r="I8917" s="1" t="str">
        <f>IF(Table2[[#This Row],[Description]]="","",IF(Table2[[#This Row],[Currency]]=$O$2,$P$2,HLOOKUP(Table2[[#This Row],[Date]],Funds!$C$10:$GV$11,2,FALSE)))</f>
        <v/>
      </c>
      <c r="J8917" s="215" t="str">
        <f>IF(Table2[[#This Row],[Description]]="","",Table2[[#This Row],[Value]]/Table2[[#This Row],[Conversion]])</f>
        <v/>
      </c>
      <c r="K8917" s="45" t="str">
        <f>IF(Table2[[#This Row],[Description]]="","",DATE(Table2[[#This Row],[Year]],Table2[[#This Row],[Month]],1))</f>
        <v/>
      </c>
    </row>
    <row r="8918" spans="7:11" x14ac:dyDescent="0.25">
      <c r="G8918" s="1" t="str">
        <f>IF(Table2[[#This Row],[Description]]="","",VLOOKUP(Table2[[#This Row],[Description]],$Q$1:$S$101,2,FALSE))</f>
        <v/>
      </c>
      <c r="H8918" s="1" t="str">
        <f>IF(Table2[[#This Row],[Description]]="","",VLOOKUP(Table2[[#This Row],[Description]],$Q$1:$S$101,3,FALSE))</f>
        <v/>
      </c>
      <c r="I8918" s="1" t="str">
        <f>IF(Table2[[#This Row],[Description]]="","",IF(Table2[[#This Row],[Currency]]=$O$2,$P$2,HLOOKUP(Table2[[#This Row],[Date]],Funds!$C$10:$GV$11,2,FALSE)))</f>
        <v/>
      </c>
      <c r="J8918" s="215" t="str">
        <f>IF(Table2[[#This Row],[Description]]="","",Table2[[#This Row],[Value]]/Table2[[#This Row],[Conversion]])</f>
        <v/>
      </c>
      <c r="K8918" s="45" t="str">
        <f>IF(Table2[[#This Row],[Description]]="","",DATE(Table2[[#This Row],[Year]],Table2[[#This Row],[Month]],1))</f>
        <v/>
      </c>
    </row>
    <row r="8919" spans="7:11" x14ac:dyDescent="0.25">
      <c r="G8919" s="1" t="str">
        <f>IF(Table2[[#This Row],[Description]]="","",VLOOKUP(Table2[[#This Row],[Description]],$Q$1:$S$101,2,FALSE))</f>
        <v/>
      </c>
      <c r="H8919" s="1" t="str">
        <f>IF(Table2[[#This Row],[Description]]="","",VLOOKUP(Table2[[#This Row],[Description]],$Q$1:$S$101,3,FALSE))</f>
        <v/>
      </c>
      <c r="I8919" s="1" t="str">
        <f>IF(Table2[[#This Row],[Description]]="","",IF(Table2[[#This Row],[Currency]]=$O$2,$P$2,HLOOKUP(Table2[[#This Row],[Date]],Funds!$C$10:$GV$11,2,FALSE)))</f>
        <v/>
      </c>
      <c r="J8919" s="215" t="str">
        <f>IF(Table2[[#This Row],[Description]]="","",Table2[[#This Row],[Value]]/Table2[[#This Row],[Conversion]])</f>
        <v/>
      </c>
      <c r="K8919" s="45" t="str">
        <f>IF(Table2[[#This Row],[Description]]="","",DATE(Table2[[#This Row],[Year]],Table2[[#This Row],[Month]],1))</f>
        <v/>
      </c>
    </row>
    <row r="8920" spans="7:11" x14ac:dyDescent="0.25">
      <c r="G8920" s="1" t="str">
        <f>IF(Table2[[#This Row],[Description]]="","",VLOOKUP(Table2[[#This Row],[Description]],$Q$1:$S$101,2,FALSE))</f>
        <v/>
      </c>
      <c r="H8920" s="1" t="str">
        <f>IF(Table2[[#This Row],[Description]]="","",VLOOKUP(Table2[[#This Row],[Description]],$Q$1:$S$101,3,FALSE))</f>
        <v/>
      </c>
      <c r="I8920" s="1" t="str">
        <f>IF(Table2[[#This Row],[Description]]="","",IF(Table2[[#This Row],[Currency]]=$O$2,$P$2,HLOOKUP(Table2[[#This Row],[Date]],Funds!$C$10:$GV$11,2,FALSE)))</f>
        <v/>
      </c>
      <c r="J8920" s="215" t="str">
        <f>IF(Table2[[#This Row],[Description]]="","",Table2[[#This Row],[Value]]/Table2[[#This Row],[Conversion]])</f>
        <v/>
      </c>
      <c r="K8920" s="45" t="str">
        <f>IF(Table2[[#This Row],[Description]]="","",DATE(Table2[[#This Row],[Year]],Table2[[#This Row],[Month]],1))</f>
        <v/>
      </c>
    </row>
    <row r="8921" spans="7:11" x14ac:dyDescent="0.25">
      <c r="G8921" s="1" t="str">
        <f>IF(Table2[[#This Row],[Description]]="","",VLOOKUP(Table2[[#This Row],[Description]],$Q$1:$S$101,2,FALSE))</f>
        <v/>
      </c>
      <c r="H8921" s="1" t="str">
        <f>IF(Table2[[#This Row],[Description]]="","",VLOOKUP(Table2[[#This Row],[Description]],$Q$1:$S$101,3,FALSE))</f>
        <v/>
      </c>
      <c r="I8921" s="1" t="str">
        <f>IF(Table2[[#This Row],[Description]]="","",IF(Table2[[#This Row],[Currency]]=$O$2,$P$2,HLOOKUP(Table2[[#This Row],[Date]],Funds!$C$10:$GV$11,2,FALSE)))</f>
        <v/>
      </c>
      <c r="J8921" s="215" t="str">
        <f>IF(Table2[[#This Row],[Description]]="","",Table2[[#This Row],[Value]]/Table2[[#This Row],[Conversion]])</f>
        <v/>
      </c>
      <c r="K8921" s="45" t="str">
        <f>IF(Table2[[#This Row],[Description]]="","",DATE(Table2[[#This Row],[Year]],Table2[[#This Row],[Month]],1))</f>
        <v/>
      </c>
    </row>
    <row r="8922" spans="7:11" x14ac:dyDescent="0.25">
      <c r="G8922" s="1" t="str">
        <f>IF(Table2[[#This Row],[Description]]="","",VLOOKUP(Table2[[#This Row],[Description]],$Q$1:$S$101,2,FALSE))</f>
        <v/>
      </c>
      <c r="H8922" s="1" t="str">
        <f>IF(Table2[[#This Row],[Description]]="","",VLOOKUP(Table2[[#This Row],[Description]],$Q$1:$S$101,3,FALSE))</f>
        <v/>
      </c>
      <c r="I8922" s="1" t="str">
        <f>IF(Table2[[#This Row],[Description]]="","",IF(Table2[[#This Row],[Currency]]=$O$2,$P$2,HLOOKUP(Table2[[#This Row],[Date]],Funds!$C$10:$GV$11,2,FALSE)))</f>
        <v/>
      </c>
      <c r="J8922" s="215" t="str">
        <f>IF(Table2[[#This Row],[Description]]="","",Table2[[#This Row],[Value]]/Table2[[#This Row],[Conversion]])</f>
        <v/>
      </c>
      <c r="K8922" s="45" t="str">
        <f>IF(Table2[[#This Row],[Description]]="","",DATE(Table2[[#This Row],[Year]],Table2[[#This Row],[Month]],1))</f>
        <v/>
      </c>
    </row>
    <row r="8923" spans="7:11" x14ac:dyDescent="0.25">
      <c r="G8923" s="1" t="str">
        <f>IF(Table2[[#This Row],[Description]]="","",VLOOKUP(Table2[[#This Row],[Description]],$Q$1:$S$101,2,FALSE))</f>
        <v/>
      </c>
      <c r="H8923" s="1" t="str">
        <f>IF(Table2[[#This Row],[Description]]="","",VLOOKUP(Table2[[#This Row],[Description]],$Q$1:$S$101,3,FALSE))</f>
        <v/>
      </c>
      <c r="I8923" s="1" t="str">
        <f>IF(Table2[[#This Row],[Description]]="","",IF(Table2[[#This Row],[Currency]]=$O$2,$P$2,HLOOKUP(Table2[[#This Row],[Date]],Funds!$C$10:$GV$11,2,FALSE)))</f>
        <v/>
      </c>
      <c r="J8923" s="215" t="str">
        <f>IF(Table2[[#This Row],[Description]]="","",Table2[[#This Row],[Value]]/Table2[[#This Row],[Conversion]])</f>
        <v/>
      </c>
      <c r="K8923" s="45" t="str">
        <f>IF(Table2[[#This Row],[Description]]="","",DATE(Table2[[#This Row],[Year]],Table2[[#This Row],[Month]],1))</f>
        <v/>
      </c>
    </row>
    <row r="8924" spans="7:11" x14ac:dyDescent="0.25">
      <c r="G8924" s="1" t="str">
        <f>IF(Table2[[#This Row],[Description]]="","",VLOOKUP(Table2[[#This Row],[Description]],$Q$1:$S$101,2,FALSE))</f>
        <v/>
      </c>
      <c r="H8924" s="1" t="str">
        <f>IF(Table2[[#This Row],[Description]]="","",VLOOKUP(Table2[[#This Row],[Description]],$Q$1:$S$101,3,FALSE))</f>
        <v/>
      </c>
      <c r="I8924" s="1" t="str">
        <f>IF(Table2[[#This Row],[Description]]="","",IF(Table2[[#This Row],[Currency]]=$O$2,$P$2,HLOOKUP(Table2[[#This Row],[Date]],Funds!$C$10:$GV$11,2,FALSE)))</f>
        <v/>
      </c>
      <c r="J8924" s="215" t="str">
        <f>IF(Table2[[#This Row],[Description]]="","",Table2[[#This Row],[Value]]/Table2[[#This Row],[Conversion]])</f>
        <v/>
      </c>
      <c r="K8924" s="45" t="str">
        <f>IF(Table2[[#This Row],[Description]]="","",DATE(Table2[[#This Row],[Year]],Table2[[#This Row],[Month]],1))</f>
        <v/>
      </c>
    </row>
    <row r="8925" spans="7:11" x14ac:dyDescent="0.25">
      <c r="G8925" s="1" t="str">
        <f>IF(Table2[[#This Row],[Description]]="","",VLOOKUP(Table2[[#This Row],[Description]],$Q$1:$S$101,2,FALSE))</f>
        <v/>
      </c>
      <c r="H8925" s="1" t="str">
        <f>IF(Table2[[#This Row],[Description]]="","",VLOOKUP(Table2[[#This Row],[Description]],$Q$1:$S$101,3,FALSE))</f>
        <v/>
      </c>
      <c r="I8925" s="1" t="str">
        <f>IF(Table2[[#This Row],[Description]]="","",IF(Table2[[#This Row],[Currency]]=$O$2,$P$2,HLOOKUP(Table2[[#This Row],[Date]],Funds!$C$10:$GV$11,2,FALSE)))</f>
        <v/>
      </c>
      <c r="J8925" s="215" t="str">
        <f>IF(Table2[[#This Row],[Description]]="","",Table2[[#This Row],[Value]]/Table2[[#This Row],[Conversion]])</f>
        <v/>
      </c>
      <c r="K8925" s="45" t="str">
        <f>IF(Table2[[#This Row],[Description]]="","",DATE(Table2[[#This Row],[Year]],Table2[[#This Row],[Month]],1))</f>
        <v/>
      </c>
    </row>
    <row r="8926" spans="7:11" x14ac:dyDescent="0.25">
      <c r="G8926" s="1" t="str">
        <f>IF(Table2[[#This Row],[Description]]="","",VLOOKUP(Table2[[#This Row],[Description]],$Q$1:$S$101,2,FALSE))</f>
        <v/>
      </c>
      <c r="H8926" s="1" t="str">
        <f>IF(Table2[[#This Row],[Description]]="","",VLOOKUP(Table2[[#This Row],[Description]],$Q$1:$S$101,3,FALSE))</f>
        <v/>
      </c>
      <c r="I8926" s="1" t="str">
        <f>IF(Table2[[#This Row],[Description]]="","",IF(Table2[[#This Row],[Currency]]=$O$2,$P$2,HLOOKUP(Table2[[#This Row],[Date]],Funds!$C$10:$GV$11,2,FALSE)))</f>
        <v/>
      </c>
      <c r="J8926" s="215" t="str">
        <f>IF(Table2[[#This Row],[Description]]="","",Table2[[#This Row],[Value]]/Table2[[#This Row],[Conversion]])</f>
        <v/>
      </c>
      <c r="K8926" s="45" t="str">
        <f>IF(Table2[[#This Row],[Description]]="","",DATE(Table2[[#This Row],[Year]],Table2[[#This Row],[Month]],1))</f>
        <v/>
      </c>
    </row>
    <row r="8927" spans="7:11" x14ac:dyDescent="0.25">
      <c r="G8927" s="1" t="str">
        <f>IF(Table2[[#This Row],[Description]]="","",VLOOKUP(Table2[[#This Row],[Description]],$Q$1:$S$101,2,FALSE))</f>
        <v/>
      </c>
      <c r="H8927" s="1" t="str">
        <f>IF(Table2[[#This Row],[Description]]="","",VLOOKUP(Table2[[#This Row],[Description]],$Q$1:$S$101,3,FALSE))</f>
        <v/>
      </c>
      <c r="I8927" s="1" t="str">
        <f>IF(Table2[[#This Row],[Description]]="","",IF(Table2[[#This Row],[Currency]]=$O$2,$P$2,HLOOKUP(Table2[[#This Row],[Date]],Funds!$C$10:$GV$11,2,FALSE)))</f>
        <v/>
      </c>
      <c r="J8927" s="215" t="str">
        <f>IF(Table2[[#This Row],[Description]]="","",Table2[[#This Row],[Value]]/Table2[[#This Row],[Conversion]])</f>
        <v/>
      </c>
      <c r="K8927" s="45" t="str">
        <f>IF(Table2[[#This Row],[Description]]="","",DATE(Table2[[#This Row],[Year]],Table2[[#This Row],[Month]],1))</f>
        <v/>
      </c>
    </row>
    <row r="8928" spans="7:11" x14ac:dyDescent="0.25">
      <c r="G8928" s="1" t="str">
        <f>IF(Table2[[#This Row],[Description]]="","",VLOOKUP(Table2[[#This Row],[Description]],$Q$1:$S$101,2,FALSE))</f>
        <v/>
      </c>
      <c r="H8928" s="1" t="str">
        <f>IF(Table2[[#This Row],[Description]]="","",VLOOKUP(Table2[[#This Row],[Description]],$Q$1:$S$101,3,FALSE))</f>
        <v/>
      </c>
      <c r="I8928" s="1" t="str">
        <f>IF(Table2[[#This Row],[Description]]="","",IF(Table2[[#This Row],[Currency]]=$O$2,$P$2,HLOOKUP(Table2[[#This Row],[Date]],Funds!$C$10:$GV$11,2,FALSE)))</f>
        <v/>
      </c>
      <c r="J8928" s="215" t="str">
        <f>IF(Table2[[#This Row],[Description]]="","",Table2[[#This Row],[Value]]/Table2[[#This Row],[Conversion]])</f>
        <v/>
      </c>
      <c r="K8928" s="45" t="str">
        <f>IF(Table2[[#This Row],[Description]]="","",DATE(Table2[[#This Row],[Year]],Table2[[#This Row],[Month]],1))</f>
        <v/>
      </c>
    </row>
    <row r="8929" spans="7:11" x14ac:dyDescent="0.25">
      <c r="G8929" s="1" t="str">
        <f>IF(Table2[[#This Row],[Description]]="","",VLOOKUP(Table2[[#This Row],[Description]],$Q$1:$S$101,2,FALSE))</f>
        <v/>
      </c>
      <c r="H8929" s="1" t="str">
        <f>IF(Table2[[#This Row],[Description]]="","",VLOOKUP(Table2[[#This Row],[Description]],$Q$1:$S$101,3,FALSE))</f>
        <v/>
      </c>
      <c r="I8929" s="1" t="str">
        <f>IF(Table2[[#This Row],[Description]]="","",IF(Table2[[#This Row],[Currency]]=$O$2,$P$2,HLOOKUP(Table2[[#This Row],[Date]],Funds!$C$10:$GV$11,2,FALSE)))</f>
        <v/>
      </c>
      <c r="J8929" s="215" t="str">
        <f>IF(Table2[[#This Row],[Description]]="","",Table2[[#This Row],[Value]]/Table2[[#This Row],[Conversion]])</f>
        <v/>
      </c>
      <c r="K8929" s="45" t="str">
        <f>IF(Table2[[#This Row],[Description]]="","",DATE(Table2[[#This Row],[Year]],Table2[[#This Row],[Month]],1))</f>
        <v/>
      </c>
    </row>
    <row r="8930" spans="7:11" x14ac:dyDescent="0.25">
      <c r="G8930" s="1" t="str">
        <f>IF(Table2[[#This Row],[Description]]="","",VLOOKUP(Table2[[#This Row],[Description]],$Q$1:$S$101,2,FALSE))</f>
        <v/>
      </c>
      <c r="H8930" s="1" t="str">
        <f>IF(Table2[[#This Row],[Description]]="","",VLOOKUP(Table2[[#This Row],[Description]],$Q$1:$S$101,3,FALSE))</f>
        <v/>
      </c>
      <c r="I8930" s="1" t="str">
        <f>IF(Table2[[#This Row],[Description]]="","",IF(Table2[[#This Row],[Currency]]=$O$2,$P$2,HLOOKUP(Table2[[#This Row],[Date]],Funds!$C$10:$GV$11,2,FALSE)))</f>
        <v/>
      </c>
      <c r="J8930" s="215" t="str">
        <f>IF(Table2[[#This Row],[Description]]="","",Table2[[#This Row],[Value]]/Table2[[#This Row],[Conversion]])</f>
        <v/>
      </c>
      <c r="K8930" s="45" t="str">
        <f>IF(Table2[[#This Row],[Description]]="","",DATE(Table2[[#This Row],[Year]],Table2[[#This Row],[Month]],1))</f>
        <v/>
      </c>
    </row>
    <row r="8931" spans="7:11" x14ac:dyDescent="0.25">
      <c r="G8931" s="1" t="str">
        <f>IF(Table2[[#This Row],[Description]]="","",VLOOKUP(Table2[[#This Row],[Description]],$Q$1:$S$101,2,FALSE))</f>
        <v/>
      </c>
      <c r="H8931" s="1" t="str">
        <f>IF(Table2[[#This Row],[Description]]="","",VLOOKUP(Table2[[#This Row],[Description]],$Q$1:$S$101,3,FALSE))</f>
        <v/>
      </c>
      <c r="I8931" s="1" t="str">
        <f>IF(Table2[[#This Row],[Description]]="","",IF(Table2[[#This Row],[Currency]]=$O$2,$P$2,HLOOKUP(Table2[[#This Row],[Date]],Funds!$C$10:$GV$11,2,FALSE)))</f>
        <v/>
      </c>
      <c r="J8931" s="215" t="str">
        <f>IF(Table2[[#This Row],[Description]]="","",Table2[[#This Row],[Value]]/Table2[[#This Row],[Conversion]])</f>
        <v/>
      </c>
      <c r="K8931" s="45" t="str">
        <f>IF(Table2[[#This Row],[Description]]="","",DATE(Table2[[#This Row],[Year]],Table2[[#This Row],[Month]],1))</f>
        <v/>
      </c>
    </row>
    <row r="8932" spans="7:11" x14ac:dyDescent="0.25">
      <c r="G8932" s="1" t="str">
        <f>IF(Table2[[#This Row],[Description]]="","",VLOOKUP(Table2[[#This Row],[Description]],$Q$1:$S$101,2,FALSE))</f>
        <v/>
      </c>
      <c r="H8932" s="1" t="str">
        <f>IF(Table2[[#This Row],[Description]]="","",VLOOKUP(Table2[[#This Row],[Description]],$Q$1:$S$101,3,FALSE))</f>
        <v/>
      </c>
      <c r="I8932" s="1" t="str">
        <f>IF(Table2[[#This Row],[Description]]="","",IF(Table2[[#This Row],[Currency]]=$O$2,$P$2,HLOOKUP(Table2[[#This Row],[Date]],Funds!$C$10:$GV$11,2,FALSE)))</f>
        <v/>
      </c>
      <c r="J8932" s="215" t="str">
        <f>IF(Table2[[#This Row],[Description]]="","",Table2[[#This Row],[Value]]/Table2[[#This Row],[Conversion]])</f>
        <v/>
      </c>
      <c r="K8932" s="45" t="str">
        <f>IF(Table2[[#This Row],[Description]]="","",DATE(Table2[[#This Row],[Year]],Table2[[#This Row],[Month]],1))</f>
        <v/>
      </c>
    </row>
    <row r="8933" spans="7:11" x14ac:dyDescent="0.25">
      <c r="G8933" s="1" t="str">
        <f>IF(Table2[[#This Row],[Description]]="","",VLOOKUP(Table2[[#This Row],[Description]],$Q$1:$S$101,2,FALSE))</f>
        <v/>
      </c>
      <c r="H8933" s="1" t="str">
        <f>IF(Table2[[#This Row],[Description]]="","",VLOOKUP(Table2[[#This Row],[Description]],$Q$1:$S$101,3,FALSE))</f>
        <v/>
      </c>
      <c r="I8933" s="1" t="str">
        <f>IF(Table2[[#This Row],[Description]]="","",IF(Table2[[#This Row],[Currency]]=$O$2,$P$2,HLOOKUP(Table2[[#This Row],[Date]],Funds!$C$10:$GV$11,2,FALSE)))</f>
        <v/>
      </c>
      <c r="J8933" s="215" t="str">
        <f>IF(Table2[[#This Row],[Description]]="","",Table2[[#This Row],[Value]]/Table2[[#This Row],[Conversion]])</f>
        <v/>
      </c>
      <c r="K8933" s="45" t="str">
        <f>IF(Table2[[#This Row],[Description]]="","",DATE(Table2[[#This Row],[Year]],Table2[[#This Row],[Month]],1))</f>
        <v/>
      </c>
    </row>
    <row r="8934" spans="7:11" x14ac:dyDescent="0.25">
      <c r="G8934" s="1" t="str">
        <f>IF(Table2[[#This Row],[Description]]="","",VLOOKUP(Table2[[#This Row],[Description]],$Q$1:$S$101,2,FALSE))</f>
        <v/>
      </c>
      <c r="H8934" s="1" t="str">
        <f>IF(Table2[[#This Row],[Description]]="","",VLOOKUP(Table2[[#This Row],[Description]],$Q$1:$S$101,3,FALSE))</f>
        <v/>
      </c>
      <c r="I8934" s="1" t="str">
        <f>IF(Table2[[#This Row],[Description]]="","",IF(Table2[[#This Row],[Currency]]=$O$2,$P$2,HLOOKUP(Table2[[#This Row],[Date]],Funds!$C$10:$GV$11,2,FALSE)))</f>
        <v/>
      </c>
      <c r="J8934" s="215" t="str">
        <f>IF(Table2[[#This Row],[Description]]="","",Table2[[#This Row],[Value]]/Table2[[#This Row],[Conversion]])</f>
        <v/>
      </c>
      <c r="K8934" s="45" t="str">
        <f>IF(Table2[[#This Row],[Description]]="","",DATE(Table2[[#This Row],[Year]],Table2[[#This Row],[Month]],1))</f>
        <v/>
      </c>
    </row>
    <row r="8935" spans="7:11" x14ac:dyDescent="0.25">
      <c r="G8935" s="1" t="str">
        <f>IF(Table2[[#This Row],[Description]]="","",VLOOKUP(Table2[[#This Row],[Description]],$Q$1:$S$101,2,FALSE))</f>
        <v/>
      </c>
      <c r="H8935" s="1" t="str">
        <f>IF(Table2[[#This Row],[Description]]="","",VLOOKUP(Table2[[#This Row],[Description]],$Q$1:$S$101,3,FALSE))</f>
        <v/>
      </c>
      <c r="I8935" s="1" t="str">
        <f>IF(Table2[[#This Row],[Description]]="","",IF(Table2[[#This Row],[Currency]]=$O$2,$P$2,HLOOKUP(Table2[[#This Row],[Date]],Funds!$C$10:$GV$11,2,FALSE)))</f>
        <v/>
      </c>
      <c r="J8935" s="215" t="str">
        <f>IF(Table2[[#This Row],[Description]]="","",Table2[[#This Row],[Value]]/Table2[[#This Row],[Conversion]])</f>
        <v/>
      </c>
      <c r="K8935" s="45" t="str">
        <f>IF(Table2[[#This Row],[Description]]="","",DATE(Table2[[#This Row],[Year]],Table2[[#This Row],[Month]],1))</f>
        <v/>
      </c>
    </row>
    <row r="8936" spans="7:11" x14ac:dyDescent="0.25">
      <c r="G8936" s="1" t="str">
        <f>IF(Table2[[#This Row],[Description]]="","",VLOOKUP(Table2[[#This Row],[Description]],$Q$1:$S$101,2,FALSE))</f>
        <v/>
      </c>
      <c r="H8936" s="1" t="str">
        <f>IF(Table2[[#This Row],[Description]]="","",VLOOKUP(Table2[[#This Row],[Description]],$Q$1:$S$101,3,FALSE))</f>
        <v/>
      </c>
      <c r="I8936" s="1" t="str">
        <f>IF(Table2[[#This Row],[Description]]="","",IF(Table2[[#This Row],[Currency]]=$O$2,$P$2,HLOOKUP(Table2[[#This Row],[Date]],Funds!$C$10:$GV$11,2,FALSE)))</f>
        <v/>
      </c>
      <c r="J8936" s="215" t="str">
        <f>IF(Table2[[#This Row],[Description]]="","",Table2[[#This Row],[Value]]/Table2[[#This Row],[Conversion]])</f>
        <v/>
      </c>
      <c r="K8936" s="45" t="str">
        <f>IF(Table2[[#This Row],[Description]]="","",DATE(Table2[[#This Row],[Year]],Table2[[#This Row],[Month]],1))</f>
        <v/>
      </c>
    </row>
    <row r="8937" spans="7:11" x14ac:dyDescent="0.25">
      <c r="G8937" s="1" t="str">
        <f>IF(Table2[[#This Row],[Description]]="","",VLOOKUP(Table2[[#This Row],[Description]],$Q$1:$S$101,2,FALSE))</f>
        <v/>
      </c>
      <c r="H8937" s="1" t="str">
        <f>IF(Table2[[#This Row],[Description]]="","",VLOOKUP(Table2[[#This Row],[Description]],$Q$1:$S$101,3,FALSE))</f>
        <v/>
      </c>
      <c r="I8937" s="1" t="str">
        <f>IF(Table2[[#This Row],[Description]]="","",IF(Table2[[#This Row],[Currency]]=$O$2,$P$2,HLOOKUP(Table2[[#This Row],[Date]],Funds!$C$10:$GV$11,2,FALSE)))</f>
        <v/>
      </c>
      <c r="J8937" s="215" t="str">
        <f>IF(Table2[[#This Row],[Description]]="","",Table2[[#This Row],[Value]]/Table2[[#This Row],[Conversion]])</f>
        <v/>
      </c>
      <c r="K8937" s="45" t="str">
        <f>IF(Table2[[#This Row],[Description]]="","",DATE(Table2[[#This Row],[Year]],Table2[[#This Row],[Month]],1))</f>
        <v/>
      </c>
    </row>
    <row r="8938" spans="7:11" x14ac:dyDescent="0.25">
      <c r="G8938" s="1" t="str">
        <f>IF(Table2[[#This Row],[Description]]="","",VLOOKUP(Table2[[#This Row],[Description]],$Q$1:$S$101,2,FALSE))</f>
        <v/>
      </c>
      <c r="H8938" s="1" t="str">
        <f>IF(Table2[[#This Row],[Description]]="","",VLOOKUP(Table2[[#This Row],[Description]],$Q$1:$S$101,3,FALSE))</f>
        <v/>
      </c>
      <c r="I8938" s="1" t="str">
        <f>IF(Table2[[#This Row],[Description]]="","",IF(Table2[[#This Row],[Currency]]=$O$2,$P$2,HLOOKUP(Table2[[#This Row],[Date]],Funds!$C$10:$GV$11,2,FALSE)))</f>
        <v/>
      </c>
      <c r="J8938" s="215" t="str">
        <f>IF(Table2[[#This Row],[Description]]="","",Table2[[#This Row],[Value]]/Table2[[#This Row],[Conversion]])</f>
        <v/>
      </c>
      <c r="K8938" s="45" t="str">
        <f>IF(Table2[[#This Row],[Description]]="","",DATE(Table2[[#This Row],[Year]],Table2[[#This Row],[Month]],1))</f>
        <v/>
      </c>
    </row>
    <row r="8939" spans="7:11" x14ac:dyDescent="0.25">
      <c r="G8939" s="1" t="str">
        <f>IF(Table2[[#This Row],[Description]]="","",VLOOKUP(Table2[[#This Row],[Description]],$Q$1:$S$101,2,FALSE))</f>
        <v/>
      </c>
      <c r="H8939" s="1" t="str">
        <f>IF(Table2[[#This Row],[Description]]="","",VLOOKUP(Table2[[#This Row],[Description]],$Q$1:$S$101,3,FALSE))</f>
        <v/>
      </c>
      <c r="I8939" s="1" t="str">
        <f>IF(Table2[[#This Row],[Description]]="","",IF(Table2[[#This Row],[Currency]]=$O$2,$P$2,HLOOKUP(Table2[[#This Row],[Date]],Funds!$C$10:$GV$11,2,FALSE)))</f>
        <v/>
      </c>
      <c r="J8939" s="215" t="str">
        <f>IF(Table2[[#This Row],[Description]]="","",Table2[[#This Row],[Value]]/Table2[[#This Row],[Conversion]])</f>
        <v/>
      </c>
      <c r="K8939" s="45" t="str">
        <f>IF(Table2[[#This Row],[Description]]="","",DATE(Table2[[#This Row],[Year]],Table2[[#This Row],[Month]],1))</f>
        <v/>
      </c>
    </row>
    <row r="8940" spans="7:11" x14ac:dyDescent="0.25">
      <c r="G8940" s="1" t="str">
        <f>IF(Table2[[#This Row],[Description]]="","",VLOOKUP(Table2[[#This Row],[Description]],$Q$1:$S$101,2,FALSE))</f>
        <v/>
      </c>
      <c r="H8940" s="1" t="str">
        <f>IF(Table2[[#This Row],[Description]]="","",VLOOKUP(Table2[[#This Row],[Description]],$Q$1:$S$101,3,FALSE))</f>
        <v/>
      </c>
      <c r="I8940" s="1" t="str">
        <f>IF(Table2[[#This Row],[Description]]="","",IF(Table2[[#This Row],[Currency]]=$O$2,$P$2,HLOOKUP(Table2[[#This Row],[Date]],Funds!$C$10:$GV$11,2,FALSE)))</f>
        <v/>
      </c>
      <c r="J8940" s="215" t="str">
        <f>IF(Table2[[#This Row],[Description]]="","",Table2[[#This Row],[Value]]/Table2[[#This Row],[Conversion]])</f>
        <v/>
      </c>
      <c r="K8940" s="45" t="str">
        <f>IF(Table2[[#This Row],[Description]]="","",DATE(Table2[[#This Row],[Year]],Table2[[#This Row],[Month]],1))</f>
        <v/>
      </c>
    </row>
    <row r="8941" spans="7:11" x14ac:dyDescent="0.25">
      <c r="G8941" s="1" t="str">
        <f>IF(Table2[[#This Row],[Description]]="","",VLOOKUP(Table2[[#This Row],[Description]],$Q$1:$S$101,2,FALSE))</f>
        <v/>
      </c>
      <c r="H8941" s="1" t="str">
        <f>IF(Table2[[#This Row],[Description]]="","",VLOOKUP(Table2[[#This Row],[Description]],$Q$1:$S$101,3,FALSE))</f>
        <v/>
      </c>
      <c r="I8941" s="1" t="str">
        <f>IF(Table2[[#This Row],[Description]]="","",IF(Table2[[#This Row],[Currency]]=$O$2,$P$2,HLOOKUP(Table2[[#This Row],[Date]],Funds!$C$10:$GV$11,2,FALSE)))</f>
        <v/>
      </c>
      <c r="J8941" s="215" t="str">
        <f>IF(Table2[[#This Row],[Description]]="","",Table2[[#This Row],[Value]]/Table2[[#This Row],[Conversion]])</f>
        <v/>
      </c>
      <c r="K8941" s="45" t="str">
        <f>IF(Table2[[#This Row],[Description]]="","",DATE(Table2[[#This Row],[Year]],Table2[[#This Row],[Month]],1))</f>
        <v/>
      </c>
    </row>
    <row r="8942" spans="7:11" x14ac:dyDescent="0.25">
      <c r="G8942" s="1" t="str">
        <f>IF(Table2[[#This Row],[Description]]="","",VLOOKUP(Table2[[#This Row],[Description]],$Q$1:$S$101,2,FALSE))</f>
        <v/>
      </c>
      <c r="H8942" s="1" t="str">
        <f>IF(Table2[[#This Row],[Description]]="","",VLOOKUP(Table2[[#This Row],[Description]],$Q$1:$S$101,3,FALSE))</f>
        <v/>
      </c>
      <c r="I8942" s="1" t="str">
        <f>IF(Table2[[#This Row],[Description]]="","",IF(Table2[[#This Row],[Currency]]=$O$2,$P$2,HLOOKUP(Table2[[#This Row],[Date]],Funds!$C$10:$GV$11,2,FALSE)))</f>
        <v/>
      </c>
      <c r="J8942" s="215" t="str">
        <f>IF(Table2[[#This Row],[Description]]="","",Table2[[#This Row],[Value]]/Table2[[#This Row],[Conversion]])</f>
        <v/>
      </c>
      <c r="K8942" s="45" t="str">
        <f>IF(Table2[[#This Row],[Description]]="","",DATE(Table2[[#This Row],[Year]],Table2[[#This Row],[Month]],1))</f>
        <v/>
      </c>
    </row>
    <row r="8943" spans="7:11" x14ac:dyDescent="0.25">
      <c r="G8943" s="1" t="str">
        <f>IF(Table2[[#This Row],[Description]]="","",VLOOKUP(Table2[[#This Row],[Description]],$Q$1:$S$101,2,FALSE))</f>
        <v/>
      </c>
      <c r="H8943" s="1" t="str">
        <f>IF(Table2[[#This Row],[Description]]="","",VLOOKUP(Table2[[#This Row],[Description]],$Q$1:$S$101,3,FALSE))</f>
        <v/>
      </c>
      <c r="I8943" s="1" t="str">
        <f>IF(Table2[[#This Row],[Description]]="","",IF(Table2[[#This Row],[Currency]]=$O$2,$P$2,HLOOKUP(Table2[[#This Row],[Date]],Funds!$C$10:$GV$11,2,FALSE)))</f>
        <v/>
      </c>
      <c r="J8943" s="215" t="str">
        <f>IF(Table2[[#This Row],[Description]]="","",Table2[[#This Row],[Value]]/Table2[[#This Row],[Conversion]])</f>
        <v/>
      </c>
      <c r="K8943" s="45" t="str">
        <f>IF(Table2[[#This Row],[Description]]="","",DATE(Table2[[#This Row],[Year]],Table2[[#This Row],[Month]],1))</f>
        <v/>
      </c>
    </row>
    <row r="8944" spans="7:11" x14ac:dyDescent="0.25">
      <c r="G8944" s="1" t="str">
        <f>IF(Table2[[#This Row],[Description]]="","",VLOOKUP(Table2[[#This Row],[Description]],$Q$1:$S$101,2,FALSE))</f>
        <v/>
      </c>
      <c r="H8944" s="1" t="str">
        <f>IF(Table2[[#This Row],[Description]]="","",VLOOKUP(Table2[[#This Row],[Description]],$Q$1:$S$101,3,FALSE))</f>
        <v/>
      </c>
      <c r="I8944" s="1" t="str">
        <f>IF(Table2[[#This Row],[Description]]="","",IF(Table2[[#This Row],[Currency]]=$O$2,$P$2,HLOOKUP(Table2[[#This Row],[Date]],Funds!$C$10:$GV$11,2,FALSE)))</f>
        <v/>
      </c>
      <c r="J8944" s="215" t="str">
        <f>IF(Table2[[#This Row],[Description]]="","",Table2[[#This Row],[Value]]/Table2[[#This Row],[Conversion]])</f>
        <v/>
      </c>
      <c r="K8944" s="45" t="str">
        <f>IF(Table2[[#This Row],[Description]]="","",DATE(Table2[[#This Row],[Year]],Table2[[#This Row],[Month]],1))</f>
        <v/>
      </c>
    </row>
    <row r="8945" spans="7:11" x14ac:dyDescent="0.25">
      <c r="G8945" s="1" t="str">
        <f>IF(Table2[[#This Row],[Description]]="","",VLOOKUP(Table2[[#This Row],[Description]],$Q$1:$S$101,2,FALSE))</f>
        <v/>
      </c>
      <c r="H8945" s="1" t="str">
        <f>IF(Table2[[#This Row],[Description]]="","",VLOOKUP(Table2[[#This Row],[Description]],$Q$1:$S$101,3,FALSE))</f>
        <v/>
      </c>
      <c r="I8945" s="1" t="str">
        <f>IF(Table2[[#This Row],[Description]]="","",IF(Table2[[#This Row],[Currency]]=$O$2,$P$2,HLOOKUP(Table2[[#This Row],[Date]],Funds!$C$10:$GV$11,2,FALSE)))</f>
        <v/>
      </c>
      <c r="J8945" s="215" t="str">
        <f>IF(Table2[[#This Row],[Description]]="","",Table2[[#This Row],[Value]]/Table2[[#This Row],[Conversion]])</f>
        <v/>
      </c>
      <c r="K8945" s="45" t="str">
        <f>IF(Table2[[#This Row],[Description]]="","",DATE(Table2[[#This Row],[Year]],Table2[[#This Row],[Month]],1))</f>
        <v/>
      </c>
    </row>
    <row r="8946" spans="7:11" x14ac:dyDescent="0.25">
      <c r="G8946" s="1" t="str">
        <f>IF(Table2[[#This Row],[Description]]="","",VLOOKUP(Table2[[#This Row],[Description]],$Q$1:$S$101,2,FALSE))</f>
        <v/>
      </c>
      <c r="H8946" s="1" t="str">
        <f>IF(Table2[[#This Row],[Description]]="","",VLOOKUP(Table2[[#This Row],[Description]],$Q$1:$S$101,3,FALSE))</f>
        <v/>
      </c>
      <c r="I8946" s="1" t="str">
        <f>IF(Table2[[#This Row],[Description]]="","",IF(Table2[[#This Row],[Currency]]=$O$2,$P$2,HLOOKUP(Table2[[#This Row],[Date]],Funds!$C$10:$GV$11,2,FALSE)))</f>
        <v/>
      </c>
      <c r="J8946" s="215" t="str">
        <f>IF(Table2[[#This Row],[Description]]="","",Table2[[#This Row],[Value]]/Table2[[#This Row],[Conversion]])</f>
        <v/>
      </c>
      <c r="K8946" s="45" t="str">
        <f>IF(Table2[[#This Row],[Description]]="","",DATE(Table2[[#This Row],[Year]],Table2[[#This Row],[Month]],1))</f>
        <v/>
      </c>
    </row>
    <row r="8947" spans="7:11" x14ac:dyDescent="0.25">
      <c r="G8947" s="1" t="str">
        <f>IF(Table2[[#This Row],[Description]]="","",VLOOKUP(Table2[[#This Row],[Description]],$Q$1:$S$101,2,FALSE))</f>
        <v/>
      </c>
      <c r="H8947" s="1" t="str">
        <f>IF(Table2[[#This Row],[Description]]="","",VLOOKUP(Table2[[#This Row],[Description]],$Q$1:$S$101,3,FALSE))</f>
        <v/>
      </c>
      <c r="I8947" s="1" t="str">
        <f>IF(Table2[[#This Row],[Description]]="","",IF(Table2[[#This Row],[Currency]]=$O$2,$P$2,HLOOKUP(Table2[[#This Row],[Date]],Funds!$C$10:$GV$11,2,FALSE)))</f>
        <v/>
      </c>
      <c r="J8947" s="215" t="str">
        <f>IF(Table2[[#This Row],[Description]]="","",Table2[[#This Row],[Value]]/Table2[[#This Row],[Conversion]])</f>
        <v/>
      </c>
      <c r="K8947" s="45" t="str">
        <f>IF(Table2[[#This Row],[Description]]="","",DATE(Table2[[#This Row],[Year]],Table2[[#This Row],[Month]],1))</f>
        <v/>
      </c>
    </row>
    <row r="8948" spans="7:11" x14ac:dyDescent="0.25">
      <c r="G8948" s="1" t="str">
        <f>IF(Table2[[#This Row],[Description]]="","",VLOOKUP(Table2[[#This Row],[Description]],$Q$1:$S$101,2,FALSE))</f>
        <v/>
      </c>
      <c r="H8948" s="1" t="str">
        <f>IF(Table2[[#This Row],[Description]]="","",VLOOKUP(Table2[[#This Row],[Description]],$Q$1:$S$101,3,FALSE))</f>
        <v/>
      </c>
      <c r="I8948" s="1" t="str">
        <f>IF(Table2[[#This Row],[Description]]="","",IF(Table2[[#This Row],[Currency]]=$O$2,$P$2,HLOOKUP(Table2[[#This Row],[Date]],Funds!$C$10:$GV$11,2,FALSE)))</f>
        <v/>
      </c>
      <c r="J8948" s="215" t="str">
        <f>IF(Table2[[#This Row],[Description]]="","",Table2[[#This Row],[Value]]/Table2[[#This Row],[Conversion]])</f>
        <v/>
      </c>
      <c r="K8948" s="45" t="str">
        <f>IF(Table2[[#This Row],[Description]]="","",DATE(Table2[[#This Row],[Year]],Table2[[#This Row],[Month]],1))</f>
        <v/>
      </c>
    </row>
    <row r="8949" spans="7:11" x14ac:dyDescent="0.25">
      <c r="G8949" s="1" t="str">
        <f>IF(Table2[[#This Row],[Description]]="","",VLOOKUP(Table2[[#This Row],[Description]],$Q$1:$S$101,2,FALSE))</f>
        <v/>
      </c>
      <c r="H8949" s="1" t="str">
        <f>IF(Table2[[#This Row],[Description]]="","",VLOOKUP(Table2[[#This Row],[Description]],$Q$1:$S$101,3,FALSE))</f>
        <v/>
      </c>
      <c r="I8949" s="1" t="str">
        <f>IF(Table2[[#This Row],[Description]]="","",IF(Table2[[#This Row],[Currency]]=$O$2,$P$2,HLOOKUP(Table2[[#This Row],[Date]],Funds!$C$10:$GV$11,2,FALSE)))</f>
        <v/>
      </c>
      <c r="J8949" s="215" t="str">
        <f>IF(Table2[[#This Row],[Description]]="","",Table2[[#This Row],[Value]]/Table2[[#This Row],[Conversion]])</f>
        <v/>
      </c>
      <c r="K8949" s="45" t="str">
        <f>IF(Table2[[#This Row],[Description]]="","",DATE(Table2[[#This Row],[Year]],Table2[[#This Row],[Month]],1))</f>
        <v/>
      </c>
    </row>
    <row r="8950" spans="7:11" x14ac:dyDescent="0.25">
      <c r="G8950" s="1" t="str">
        <f>IF(Table2[[#This Row],[Description]]="","",VLOOKUP(Table2[[#This Row],[Description]],$Q$1:$S$101,2,FALSE))</f>
        <v/>
      </c>
      <c r="H8950" s="1" t="str">
        <f>IF(Table2[[#This Row],[Description]]="","",VLOOKUP(Table2[[#This Row],[Description]],$Q$1:$S$101,3,FALSE))</f>
        <v/>
      </c>
      <c r="I8950" s="1" t="str">
        <f>IF(Table2[[#This Row],[Description]]="","",IF(Table2[[#This Row],[Currency]]=$O$2,$P$2,HLOOKUP(Table2[[#This Row],[Date]],Funds!$C$10:$GV$11,2,FALSE)))</f>
        <v/>
      </c>
      <c r="J8950" s="215" t="str">
        <f>IF(Table2[[#This Row],[Description]]="","",Table2[[#This Row],[Value]]/Table2[[#This Row],[Conversion]])</f>
        <v/>
      </c>
      <c r="K8950" s="45" t="str">
        <f>IF(Table2[[#This Row],[Description]]="","",DATE(Table2[[#This Row],[Year]],Table2[[#This Row],[Month]],1))</f>
        <v/>
      </c>
    </row>
    <row r="8951" spans="7:11" x14ac:dyDescent="0.25">
      <c r="G8951" s="1" t="str">
        <f>IF(Table2[[#This Row],[Description]]="","",VLOOKUP(Table2[[#This Row],[Description]],$Q$1:$S$101,2,FALSE))</f>
        <v/>
      </c>
      <c r="H8951" s="1" t="str">
        <f>IF(Table2[[#This Row],[Description]]="","",VLOOKUP(Table2[[#This Row],[Description]],$Q$1:$S$101,3,FALSE))</f>
        <v/>
      </c>
      <c r="I8951" s="1" t="str">
        <f>IF(Table2[[#This Row],[Description]]="","",IF(Table2[[#This Row],[Currency]]=$O$2,$P$2,HLOOKUP(Table2[[#This Row],[Date]],Funds!$C$10:$GV$11,2,FALSE)))</f>
        <v/>
      </c>
      <c r="J8951" s="215" t="str">
        <f>IF(Table2[[#This Row],[Description]]="","",Table2[[#This Row],[Value]]/Table2[[#This Row],[Conversion]])</f>
        <v/>
      </c>
      <c r="K8951" s="45" t="str">
        <f>IF(Table2[[#This Row],[Description]]="","",DATE(Table2[[#This Row],[Year]],Table2[[#This Row],[Month]],1))</f>
        <v/>
      </c>
    </row>
    <row r="8952" spans="7:11" x14ac:dyDescent="0.25">
      <c r="G8952" s="1" t="str">
        <f>IF(Table2[[#This Row],[Description]]="","",VLOOKUP(Table2[[#This Row],[Description]],$Q$1:$S$101,2,FALSE))</f>
        <v/>
      </c>
      <c r="H8952" s="1" t="str">
        <f>IF(Table2[[#This Row],[Description]]="","",VLOOKUP(Table2[[#This Row],[Description]],$Q$1:$S$101,3,FALSE))</f>
        <v/>
      </c>
      <c r="I8952" s="1" t="str">
        <f>IF(Table2[[#This Row],[Description]]="","",IF(Table2[[#This Row],[Currency]]=$O$2,$P$2,HLOOKUP(Table2[[#This Row],[Date]],Funds!$C$10:$GV$11,2,FALSE)))</f>
        <v/>
      </c>
      <c r="J8952" s="215" t="str">
        <f>IF(Table2[[#This Row],[Description]]="","",Table2[[#This Row],[Value]]/Table2[[#This Row],[Conversion]])</f>
        <v/>
      </c>
      <c r="K8952" s="45" t="str">
        <f>IF(Table2[[#This Row],[Description]]="","",DATE(Table2[[#This Row],[Year]],Table2[[#This Row],[Month]],1))</f>
        <v/>
      </c>
    </row>
    <row r="8953" spans="7:11" x14ac:dyDescent="0.25">
      <c r="G8953" s="1" t="str">
        <f>IF(Table2[[#This Row],[Description]]="","",VLOOKUP(Table2[[#This Row],[Description]],$Q$1:$S$101,2,FALSE))</f>
        <v/>
      </c>
      <c r="H8953" s="1" t="str">
        <f>IF(Table2[[#This Row],[Description]]="","",VLOOKUP(Table2[[#This Row],[Description]],$Q$1:$S$101,3,FALSE))</f>
        <v/>
      </c>
      <c r="I8953" s="1" t="str">
        <f>IF(Table2[[#This Row],[Description]]="","",IF(Table2[[#This Row],[Currency]]=$O$2,$P$2,HLOOKUP(Table2[[#This Row],[Date]],Funds!$C$10:$GV$11,2,FALSE)))</f>
        <v/>
      </c>
      <c r="J8953" s="215" t="str">
        <f>IF(Table2[[#This Row],[Description]]="","",Table2[[#This Row],[Value]]/Table2[[#This Row],[Conversion]])</f>
        <v/>
      </c>
      <c r="K8953" s="45" t="str">
        <f>IF(Table2[[#This Row],[Description]]="","",DATE(Table2[[#This Row],[Year]],Table2[[#This Row],[Month]],1))</f>
        <v/>
      </c>
    </row>
    <row r="8954" spans="7:11" x14ac:dyDescent="0.25">
      <c r="G8954" s="1" t="str">
        <f>IF(Table2[[#This Row],[Description]]="","",VLOOKUP(Table2[[#This Row],[Description]],$Q$1:$S$101,2,FALSE))</f>
        <v/>
      </c>
      <c r="H8954" s="1" t="str">
        <f>IF(Table2[[#This Row],[Description]]="","",VLOOKUP(Table2[[#This Row],[Description]],$Q$1:$S$101,3,FALSE))</f>
        <v/>
      </c>
      <c r="I8954" s="1" t="str">
        <f>IF(Table2[[#This Row],[Description]]="","",IF(Table2[[#This Row],[Currency]]=$O$2,$P$2,HLOOKUP(Table2[[#This Row],[Date]],Funds!$C$10:$GV$11,2,FALSE)))</f>
        <v/>
      </c>
      <c r="J8954" s="215" t="str">
        <f>IF(Table2[[#This Row],[Description]]="","",Table2[[#This Row],[Value]]/Table2[[#This Row],[Conversion]])</f>
        <v/>
      </c>
      <c r="K8954" s="45" t="str">
        <f>IF(Table2[[#This Row],[Description]]="","",DATE(Table2[[#This Row],[Year]],Table2[[#This Row],[Month]],1))</f>
        <v/>
      </c>
    </row>
    <row r="8955" spans="7:11" x14ac:dyDescent="0.25">
      <c r="G8955" s="1" t="str">
        <f>IF(Table2[[#This Row],[Description]]="","",VLOOKUP(Table2[[#This Row],[Description]],$Q$1:$S$101,2,FALSE))</f>
        <v/>
      </c>
      <c r="H8955" s="1" t="str">
        <f>IF(Table2[[#This Row],[Description]]="","",VLOOKUP(Table2[[#This Row],[Description]],$Q$1:$S$101,3,FALSE))</f>
        <v/>
      </c>
      <c r="I8955" s="1" t="str">
        <f>IF(Table2[[#This Row],[Description]]="","",IF(Table2[[#This Row],[Currency]]=$O$2,$P$2,HLOOKUP(Table2[[#This Row],[Date]],Funds!$C$10:$GV$11,2,FALSE)))</f>
        <v/>
      </c>
      <c r="J8955" s="215" t="str">
        <f>IF(Table2[[#This Row],[Description]]="","",Table2[[#This Row],[Value]]/Table2[[#This Row],[Conversion]])</f>
        <v/>
      </c>
      <c r="K8955" s="45" t="str">
        <f>IF(Table2[[#This Row],[Description]]="","",DATE(Table2[[#This Row],[Year]],Table2[[#This Row],[Month]],1))</f>
        <v/>
      </c>
    </row>
    <row r="8956" spans="7:11" x14ac:dyDescent="0.25">
      <c r="G8956" s="1" t="str">
        <f>IF(Table2[[#This Row],[Description]]="","",VLOOKUP(Table2[[#This Row],[Description]],$Q$1:$S$101,2,FALSE))</f>
        <v/>
      </c>
      <c r="H8956" s="1" t="str">
        <f>IF(Table2[[#This Row],[Description]]="","",VLOOKUP(Table2[[#This Row],[Description]],$Q$1:$S$101,3,FALSE))</f>
        <v/>
      </c>
      <c r="I8956" s="1" t="str">
        <f>IF(Table2[[#This Row],[Description]]="","",IF(Table2[[#This Row],[Currency]]=$O$2,$P$2,HLOOKUP(Table2[[#This Row],[Date]],Funds!$C$10:$GV$11,2,FALSE)))</f>
        <v/>
      </c>
      <c r="J8956" s="215" t="str">
        <f>IF(Table2[[#This Row],[Description]]="","",Table2[[#This Row],[Value]]/Table2[[#This Row],[Conversion]])</f>
        <v/>
      </c>
      <c r="K8956" s="45" t="str">
        <f>IF(Table2[[#This Row],[Description]]="","",DATE(Table2[[#This Row],[Year]],Table2[[#This Row],[Month]],1))</f>
        <v/>
      </c>
    </row>
    <row r="8957" spans="7:11" x14ac:dyDescent="0.25">
      <c r="G8957" s="1" t="str">
        <f>IF(Table2[[#This Row],[Description]]="","",VLOOKUP(Table2[[#This Row],[Description]],$Q$1:$S$101,2,FALSE))</f>
        <v/>
      </c>
      <c r="H8957" s="1" t="str">
        <f>IF(Table2[[#This Row],[Description]]="","",VLOOKUP(Table2[[#This Row],[Description]],$Q$1:$S$101,3,FALSE))</f>
        <v/>
      </c>
      <c r="I8957" s="1" t="str">
        <f>IF(Table2[[#This Row],[Description]]="","",IF(Table2[[#This Row],[Currency]]=$O$2,$P$2,HLOOKUP(Table2[[#This Row],[Date]],Funds!$C$10:$GV$11,2,FALSE)))</f>
        <v/>
      </c>
      <c r="J8957" s="215" t="str">
        <f>IF(Table2[[#This Row],[Description]]="","",Table2[[#This Row],[Value]]/Table2[[#This Row],[Conversion]])</f>
        <v/>
      </c>
      <c r="K8957" s="45" t="str">
        <f>IF(Table2[[#This Row],[Description]]="","",DATE(Table2[[#This Row],[Year]],Table2[[#This Row],[Month]],1))</f>
        <v/>
      </c>
    </row>
    <row r="8958" spans="7:11" x14ac:dyDescent="0.25">
      <c r="G8958" s="1" t="str">
        <f>IF(Table2[[#This Row],[Description]]="","",VLOOKUP(Table2[[#This Row],[Description]],$Q$1:$S$101,2,FALSE))</f>
        <v/>
      </c>
      <c r="H8958" s="1" t="str">
        <f>IF(Table2[[#This Row],[Description]]="","",VLOOKUP(Table2[[#This Row],[Description]],$Q$1:$S$101,3,FALSE))</f>
        <v/>
      </c>
      <c r="I8958" s="1" t="str">
        <f>IF(Table2[[#This Row],[Description]]="","",IF(Table2[[#This Row],[Currency]]=$O$2,$P$2,HLOOKUP(Table2[[#This Row],[Date]],Funds!$C$10:$GV$11,2,FALSE)))</f>
        <v/>
      </c>
      <c r="J8958" s="215" t="str">
        <f>IF(Table2[[#This Row],[Description]]="","",Table2[[#This Row],[Value]]/Table2[[#This Row],[Conversion]])</f>
        <v/>
      </c>
      <c r="K8958" s="45" t="str">
        <f>IF(Table2[[#This Row],[Description]]="","",DATE(Table2[[#This Row],[Year]],Table2[[#This Row],[Month]],1))</f>
        <v/>
      </c>
    </row>
    <row r="8959" spans="7:11" x14ac:dyDescent="0.25">
      <c r="G8959" s="1" t="str">
        <f>IF(Table2[[#This Row],[Description]]="","",VLOOKUP(Table2[[#This Row],[Description]],$Q$1:$S$101,2,FALSE))</f>
        <v/>
      </c>
      <c r="H8959" s="1" t="str">
        <f>IF(Table2[[#This Row],[Description]]="","",VLOOKUP(Table2[[#This Row],[Description]],$Q$1:$S$101,3,FALSE))</f>
        <v/>
      </c>
      <c r="I8959" s="1" t="str">
        <f>IF(Table2[[#This Row],[Description]]="","",IF(Table2[[#This Row],[Currency]]=$O$2,$P$2,HLOOKUP(Table2[[#This Row],[Date]],Funds!$C$10:$GV$11,2,FALSE)))</f>
        <v/>
      </c>
      <c r="J8959" s="215" t="str">
        <f>IF(Table2[[#This Row],[Description]]="","",Table2[[#This Row],[Value]]/Table2[[#This Row],[Conversion]])</f>
        <v/>
      </c>
      <c r="K8959" s="45" t="str">
        <f>IF(Table2[[#This Row],[Description]]="","",DATE(Table2[[#This Row],[Year]],Table2[[#This Row],[Month]],1))</f>
        <v/>
      </c>
    </row>
    <row r="8960" spans="7:11" x14ac:dyDescent="0.25">
      <c r="G8960" s="1" t="str">
        <f>IF(Table2[[#This Row],[Description]]="","",VLOOKUP(Table2[[#This Row],[Description]],$Q$1:$S$101,2,FALSE))</f>
        <v/>
      </c>
      <c r="H8960" s="1" t="str">
        <f>IF(Table2[[#This Row],[Description]]="","",VLOOKUP(Table2[[#This Row],[Description]],$Q$1:$S$101,3,FALSE))</f>
        <v/>
      </c>
      <c r="I8960" s="1" t="str">
        <f>IF(Table2[[#This Row],[Description]]="","",IF(Table2[[#This Row],[Currency]]=$O$2,$P$2,HLOOKUP(Table2[[#This Row],[Date]],Funds!$C$10:$GV$11,2,FALSE)))</f>
        <v/>
      </c>
      <c r="J8960" s="215" t="str">
        <f>IF(Table2[[#This Row],[Description]]="","",Table2[[#This Row],[Value]]/Table2[[#This Row],[Conversion]])</f>
        <v/>
      </c>
      <c r="K8960" s="45" t="str">
        <f>IF(Table2[[#This Row],[Description]]="","",DATE(Table2[[#This Row],[Year]],Table2[[#This Row],[Month]],1))</f>
        <v/>
      </c>
    </row>
    <row r="8961" spans="7:11" x14ac:dyDescent="0.25">
      <c r="G8961" s="1" t="str">
        <f>IF(Table2[[#This Row],[Description]]="","",VLOOKUP(Table2[[#This Row],[Description]],$Q$1:$S$101,2,FALSE))</f>
        <v/>
      </c>
      <c r="H8961" s="1" t="str">
        <f>IF(Table2[[#This Row],[Description]]="","",VLOOKUP(Table2[[#This Row],[Description]],$Q$1:$S$101,3,FALSE))</f>
        <v/>
      </c>
      <c r="I8961" s="1" t="str">
        <f>IF(Table2[[#This Row],[Description]]="","",IF(Table2[[#This Row],[Currency]]=$O$2,$P$2,HLOOKUP(Table2[[#This Row],[Date]],Funds!$C$10:$GV$11,2,FALSE)))</f>
        <v/>
      </c>
      <c r="J8961" s="215" t="str">
        <f>IF(Table2[[#This Row],[Description]]="","",Table2[[#This Row],[Value]]/Table2[[#This Row],[Conversion]])</f>
        <v/>
      </c>
      <c r="K8961" s="45" t="str">
        <f>IF(Table2[[#This Row],[Description]]="","",DATE(Table2[[#This Row],[Year]],Table2[[#This Row],[Month]],1))</f>
        <v/>
      </c>
    </row>
    <row r="8962" spans="7:11" x14ac:dyDescent="0.25">
      <c r="G8962" s="1" t="str">
        <f>IF(Table2[[#This Row],[Description]]="","",VLOOKUP(Table2[[#This Row],[Description]],$Q$1:$S$101,2,FALSE))</f>
        <v/>
      </c>
      <c r="H8962" s="1" t="str">
        <f>IF(Table2[[#This Row],[Description]]="","",VLOOKUP(Table2[[#This Row],[Description]],$Q$1:$S$101,3,FALSE))</f>
        <v/>
      </c>
      <c r="I8962" s="1" t="str">
        <f>IF(Table2[[#This Row],[Description]]="","",IF(Table2[[#This Row],[Currency]]=$O$2,$P$2,HLOOKUP(Table2[[#This Row],[Date]],Funds!$C$10:$GV$11,2,FALSE)))</f>
        <v/>
      </c>
      <c r="J8962" s="215" t="str">
        <f>IF(Table2[[#This Row],[Description]]="","",Table2[[#This Row],[Value]]/Table2[[#This Row],[Conversion]])</f>
        <v/>
      </c>
      <c r="K8962" s="45" t="str">
        <f>IF(Table2[[#This Row],[Description]]="","",DATE(Table2[[#This Row],[Year]],Table2[[#This Row],[Month]],1))</f>
        <v/>
      </c>
    </row>
    <row r="8963" spans="7:11" x14ac:dyDescent="0.25">
      <c r="G8963" s="1" t="str">
        <f>IF(Table2[[#This Row],[Description]]="","",VLOOKUP(Table2[[#This Row],[Description]],$Q$1:$S$101,2,FALSE))</f>
        <v/>
      </c>
      <c r="H8963" s="1" t="str">
        <f>IF(Table2[[#This Row],[Description]]="","",VLOOKUP(Table2[[#This Row],[Description]],$Q$1:$S$101,3,FALSE))</f>
        <v/>
      </c>
      <c r="I8963" s="1" t="str">
        <f>IF(Table2[[#This Row],[Description]]="","",IF(Table2[[#This Row],[Currency]]=$O$2,$P$2,HLOOKUP(Table2[[#This Row],[Date]],Funds!$C$10:$GV$11,2,FALSE)))</f>
        <v/>
      </c>
      <c r="J8963" s="215" t="str">
        <f>IF(Table2[[#This Row],[Description]]="","",Table2[[#This Row],[Value]]/Table2[[#This Row],[Conversion]])</f>
        <v/>
      </c>
      <c r="K8963" s="45" t="str">
        <f>IF(Table2[[#This Row],[Description]]="","",DATE(Table2[[#This Row],[Year]],Table2[[#This Row],[Month]],1))</f>
        <v/>
      </c>
    </row>
    <row r="8964" spans="7:11" x14ac:dyDescent="0.25">
      <c r="G8964" s="1" t="str">
        <f>IF(Table2[[#This Row],[Description]]="","",VLOOKUP(Table2[[#This Row],[Description]],$Q$1:$S$101,2,FALSE))</f>
        <v/>
      </c>
      <c r="H8964" s="1" t="str">
        <f>IF(Table2[[#This Row],[Description]]="","",VLOOKUP(Table2[[#This Row],[Description]],$Q$1:$S$101,3,FALSE))</f>
        <v/>
      </c>
      <c r="I8964" s="1" t="str">
        <f>IF(Table2[[#This Row],[Description]]="","",IF(Table2[[#This Row],[Currency]]=$O$2,$P$2,HLOOKUP(Table2[[#This Row],[Date]],Funds!$C$10:$GV$11,2,FALSE)))</f>
        <v/>
      </c>
      <c r="J8964" s="215" t="str">
        <f>IF(Table2[[#This Row],[Description]]="","",Table2[[#This Row],[Value]]/Table2[[#This Row],[Conversion]])</f>
        <v/>
      </c>
      <c r="K8964" s="45" t="str">
        <f>IF(Table2[[#This Row],[Description]]="","",DATE(Table2[[#This Row],[Year]],Table2[[#This Row],[Month]],1))</f>
        <v/>
      </c>
    </row>
    <row r="8965" spans="7:11" x14ac:dyDescent="0.25">
      <c r="G8965" s="1" t="str">
        <f>IF(Table2[[#This Row],[Description]]="","",VLOOKUP(Table2[[#This Row],[Description]],$Q$1:$S$101,2,FALSE))</f>
        <v/>
      </c>
      <c r="H8965" s="1" t="str">
        <f>IF(Table2[[#This Row],[Description]]="","",VLOOKUP(Table2[[#This Row],[Description]],$Q$1:$S$101,3,FALSE))</f>
        <v/>
      </c>
      <c r="I8965" s="1" t="str">
        <f>IF(Table2[[#This Row],[Description]]="","",IF(Table2[[#This Row],[Currency]]=$O$2,$P$2,HLOOKUP(Table2[[#This Row],[Date]],Funds!$C$10:$GV$11,2,FALSE)))</f>
        <v/>
      </c>
      <c r="J8965" s="215" t="str">
        <f>IF(Table2[[#This Row],[Description]]="","",Table2[[#This Row],[Value]]/Table2[[#This Row],[Conversion]])</f>
        <v/>
      </c>
      <c r="K8965" s="45" t="str">
        <f>IF(Table2[[#This Row],[Description]]="","",DATE(Table2[[#This Row],[Year]],Table2[[#This Row],[Month]],1))</f>
        <v/>
      </c>
    </row>
    <row r="8966" spans="7:11" x14ac:dyDescent="0.25">
      <c r="G8966" s="1" t="str">
        <f>IF(Table2[[#This Row],[Description]]="","",VLOOKUP(Table2[[#This Row],[Description]],$Q$1:$S$101,2,FALSE))</f>
        <v/>
      </c>
      <c r="H8966" s="1" t="str">
        <f>IF(Table2[[#This Row],[Description]]="","",VLOOKUP(Table2[[#This Row],[Description]],$Q$1:$S$101,3,FALSE))</f>
        <v/>
      </c>
      <c r="I8966" s="1" t="str">
        <f>IF(Table2[[#This Row],[Description]]="","",IF(Table2[[#This Row],[Currency]]=$O$2,$P$2,HLOOKUP(Table2[[#This Row],[Date]],Funds!$C$10:$GV$11,2,FALSE)))</f>
        <v/>
      </c>
      <c r="J8966" s="215" t="str">
        <f>IF(Table2[[#This Row],[Description]]="","",Table2[[#This Row],[Value]]/Table2[[#This Row],[Conversion]])</f>
        <v/>
      </c>
      <c r="K8966" s="45" t="str">
        <f>IF(Table2[[#This Row],[Description]]="","",DATE(Table2[[#This Row],[Year]],Table2[[#This Row],[Month]],1))</f>
        <v/>
      </c>
    </row>
    <row r="8967" spans="7:11" x14ac:dyDescent="0.25">
      <c r="G8967" s="1" t="str">
        <f>IF(Table2[[#This Row],[Description]]="","",VLOOKUP(Table2[[#This Row],[Description]],$Q$1:$S$101,2,FALSE))</f>
        <v/>
      </c>
      <c r="H8967" s="1" t="str">
        <f>IF(Table2[[#This Row],[Description]]="","",VLOOKUP(Table2[[#This Row],[Description]],$Q$1:$S$101,3,FALSE))</f>
        <v/>
      </c>
      <c r="I8967" s="1" t="str">
        <f>IF(Table2[[#This Row],[Description]]="","",IF(Table2[[#This Row],[Currency]]=$O$2,$P$2,HLOOKUP(Table2[[#This Row],[Date]],Funds!$C$10:$GV$11,2,FALSE)))</f>
        <v/>
      </c>
      <c r="J8967" s="215" t="str">
        <f>IF(Table2[[#This Row],[Description]]="","",Table2[[#This Row],[Value]]/Table2[[#This Row],[Conversion]])</f>
        <v/>
      </c>
      <c r="K8967" s="45" t="str">
        <f>IF(Table2[[#This Row],[Description]]="","",DATE(Table2[[#This Row],[Year]],Table2[[#This Row],[Month]],1))</f>
        <v/>
      </c>
    </row>
    <row r="8968" spans="7:11" x14ac:dyDescent="0.25">
      <c r="G8968" s="1" t="str">
        <f>IF(Table2[[#This Row],[Description]]="","",VLOOKUP(Table2[[#This Row],[Description]],$Q$1:$S$101,2,FALSE))</f>
        <v/>
      </c>
      <c r="H8968" s="1" t="str">
        <f>IF(Table2[[#This Row],[Description]]="","",VLOOKUP(Table2[[#This Row],[Description]],$Q$1:$S$101,3,FALSE))</f>
        <v/>
      </c>
      <c r="I8968" s="1" t="str">
        <f>IF(Table2[[#This Row],[Description]]="","",IF(Table2[[#This Row],[Currency]]=$O$2,$P$2,HLOOKUP(Table2[[#This Row],[Date]],Funds!$C$10:$GV$11,2,FALSE)))</f>
        <v/>
      </c>
      <c r="J8968" s="215" t="str">
        <f>IF(Table2[[#This Row],[Description]]="","",Table2[[#This Row],[Value]]/Table2[[#This Row],[Conversion]])</f>
        <v/>
      </c>
      <c r="K8968" s="45" t="str">
        <f>IF(Table2[[#This Row],[Description]]="","",DATE(Table2[[#This Row],[Year]],Table2[[#This Row],[Month]],1))</f>
        <v/>
      </c>
    </row>
    <row r="8969" spans="7:11" x14ac:dyDescent="0.25">
      <c r="G8969" s="1" t="str">
        <f>IF(Table2[[#This Row],[Description]]="","",VLOOKUP(Table2[[#This Row],[Description]],$Q$1:$S$101,2,FALSE))</f>
        <v/>
      </c>
      <c r="H8969" s="1" t="str">
        <f>IF(Table2[[#This Row],[Description]]="","",VLOOKUP(Table2[[#This Row],[Description]],$Q$1:$S$101,3,FALSE))</f>
        <v/>
      </c>
      <c r="I8969" s="1" t="str">
        <f>IF(Table2[[#This Row],[Description]]="","",IF(Table2[[#This Row],[Currency]]=$O$2,$P$2,HLOOKUP(Table2[[#This Row],[Date]],Funds!$C$10:$GV$11,2,FALSE)))</f>
        <v/>
      </c>
      <c r="J8969" s="215" t="str">
        <f>IF(Table2[[#This Row],[Description]]="","",Table2[[#This Row],[Value]]/Table2[[#This Row],[Conversion]])</f>
        <v/>
      </c>
      <c r="K8969" s="45" t="str">
        <f>IF(Table2[[#This Row],[Description]]="","",DATE(Table2[[#This Row],[Year]],Table2[[#This Row],[Month]],1))</f>
        <v/>
      </c>
    </row>
    <row r="8970" spans="7:11" x14ac:dyDescent="0.25">
      <c r="G8970" s="1" t="str">
        <f>IF(Table2[[#This Row],[Description]]="","",VLOOKUP(Table2[[#This Row],[Description]],$Q$1:$S$101,2,FALSE))</f>
        <v/>
      </c>
      <c r="H8970" s="1" t="str">
        <f>IF(Table2[[#This Row],[Description]]="","",VLOOKUP(Table2[[#This Row],[Description]],$Q$1:$S$101,3,FALSE))</f>
        <v/>
      </c>
      <c r="I8970" s="1" t="str">
        <f>IF(Table2[[#This Row],[Description]]="","",IF(Table2[[#This Row],[Currency]]=$O$2,$P$2,HLOOKUP(Table2[[#This Row],[Date]],Funds!$C$10:$GV$11,2,FALSE)))</f>
        <v/>
      </c>
      <c r="J8970" s="215" t="str">
        <f>IF(Table2[[#This Row],[Description]]="","",Table2[[#This Row],[Value]]/Table2[[#This Row],[Conversion]])</f>
        <v/>
      </c>
      <c r="K8970" s="45" t="str">
        <f>IF(Table2[[#This Row],[Description]]="","",DATE(Table2[[#This Row],[Year]],Table2[[#This Row],[Month]],1))</f>
        <v/>
      </c>
    </row>
    <row r="8971" spans="7:11" x14ac:dyDescent="0.25">
      <c r="G8971" s="1" t="str">
        <f>IF(Table2[[#This Row],[Description]]="","",VLOOKUP(Table2[[#This Row],[Description]],$Q$1:$S$101,2,FALSE))</f>
        <v/>
      </c>
      <c r="H8971" s="1" t="str">
        <f>IF(Table2[[#This Row],[Description]]="","",VLOOKUP(Table2[[#This Row],[Description]],$Q$1:$S$101,3,FALSE))</f>
        <v/>
      </c>
      <c r="I8971" s="1" t="str">
        <f>IF(Table2[[#This Row],[Description]]="","",IF(Table2[[#This Row],[Currency]]=$O$2,$P$2,HLOOKUP(Table2[[#This Row],[Date]],Funds!$C$10:$GV$11,2,FALSE)))</f>
        <v/>
      </c>
      <c r="J8971" s="215" t="str">
        <f>IF(Table2[[#This Row],[Description]]="","",Table2[[#This Row],[Value]]/Table2[[#This Row],[Conversion]])</f>
        <v/>
      </c>
      <c r="K8971" s="45" t="str">
        <f>IF(Table2[[#This Row],[Description]]="","",DATE(Table2[[#This Row],[Year]],Table2[[#This Row],[Month]],1))</f>
        <v/>
      </c>
    </row>
    <row r="8972" spans="7:11" x14ac:dyDescent="0.25">
      <c r="G8972" s="1" t="str">
        <f>IF(Table2[[#This Row],[Description]]="","",VLOOKUP(Table2[[#This Row],[Description]],$Q$1:$S$101,2,FALSE))</f>
        <v/>
      </c>
      <c r="H8972" s="1" t="str">
        <f>IF(Table2[[#This Row],[Description]]="","",VLOOKUP(Table2[[#This Row],[Description]],$Q$1:$S$101,3,FALSE))</f>
        <v/>
      </c>
      <c r="I8972" s="1" t="str">
        <f>IF(Table2[[#This Row],[Description]]="","",IF(Table2[[#This Row],[Currency]]=$O$2,$P$2,HLOOKUP(Table2[[#This Row],[Date]],Funds!$C$10:$GV$11,2,FALSE)))</f>
        <v/>
      </c>
      <c r="J8972" s="215" t="str">
        <f>IF(Table2[[#This Row],[Description]]="","",Table2[[#This Row],[Value]]/Table2[[#This Row],[Conversion]])</f>
        <v/>
      </c>
      <c r="K8972" s="45" t="str">
        <f>IF(Table2[[#This Row],[Description]]="","",DATE(Table2[[#This Row],[Year]],Table2[[#This Row],[Month]],1))</f>
        <v/>
      </c>
    </row>
    <row r="8973" spans="7:11" x14ac:dyDescent="0.25">
      <c r="G8973" s="1" t="str">
        <f>IF(Table2[[#This Row],[Description]]="","",VLOOKUP(Table2[[#This Row],[Description]],$Q$1:$S$101,2,FALSE))</f>
        <v/>
      </c>
      <c r="H8973" s="1" t="str">
        <f>IF(Table2[[#This Row],[Description]]="","",VLOOKUP(Table2[[#This Row],[Description]],$Q$1:$S$101,3,FALSE))</f>
        <v/>
      </c>
      <c r="I8973" s="1" t="str">
        <f>IF(Table2[[#This Row],[Description]]="","",IF(Table2[[#This Row],[Currency]]=$O$2,$P$2,HLOOKUP(Table2[[#This Row],[Date]],Funds!$C$10:$GV$11,2,FALSE)))</f>
        <v/>
      </c>
      <c r="J8973" s="215" t="str">
        <f>IF(Table2[[#This Row],[Description]]="","",Table2[[#This Row],[Value]]/Table2[[#This Row],[Conversion]])</f>
        <v/>
      </c>
      <c r="K8973" s="45" t="str">
        <f>IF(Table2[[#This Row],[Description]]="","",DATE(Table2[[#This Row],[Year]],Table2[[#This Row],[Month]],1))</f>
        <v/>
      </c>
    </row>
    <row r="8974" spans="7:11" x14ac:dyDescent="0.25">
      <c r="G8974" s="1" t="str">
        <f>IF(Table2[[#This Row],[Description]]="","",VLOOKUP(Table2[[#This Row],[Description]],$Q$1:$S$101,2,FALSE))</f>
        <v/>
      </c>
      <c r="H8974" s="1" t="str">
        <f>IF(Table2[[#This Row],[Description]]="","",VLOOKUP(Table2[[#This Row],[Description]],$Q$1:$S$101,3,FALSE))</f>
        <v/>
      </c>
      <c r="I8974" s="1" t="str">
        <f>IF(Table2[[#This Row],[Description]]="","",IF(Table2[[#This Row],[Currency]]=$O$2,$P$2,HLOOKUP(Table2[[#This Row],[Date]],Funds!$C$10:$GV$11,2,FALSE)))</f>
        <v/>
      </c>
      <c r="J8974" s="215" t="str">
        <f>IF(Table2[[#This Row],[Description]]="","",Table2[[#This Row],[Value]]/Table2[[#This Row],[Conversion]])</f>
        <v/>
      </c>
      <c r="K8974" s="45" t="str">
        <f>IF(Table2[[#This Row],[Description]]="","",DATE(Table2[[#This Row],[Year]],Table2[[#This Row],[Month]],1))</f>
        <v/>
      </c>
    </row>
    <row r="8975" spans="7:11" x14ac:dyDescent="0.25">
      <c r="G8975" s="1" t="str">
        <f>IF(Table2[[#This Row],[Description]]="","",VLOOKUP(Table2[[#This Row],[Description]],$Q$1:$S$101,2,FALSE))</f>
        <v/>
      </c>
      <c r="H8975" s="1" t="str">
        <f>IF(Table2[[#This Row],[Description]]="","",VLOOKUP(Table2[[#This Row],[Description]],$Q$1:$S$101,3,FALSE))</f>
        <v/>
      </c>
      <c r="I8975" s="1" t="str">
        <f>IF(Table2[[#This Row],[Description]]="","",IF(Table2[[#This Row],[Currency]]=$O$2,$P$2,HLOOKUP(Table2[[#This Row],[Date]],Funds!$C$10:$GV$11,2,FALSE)))</f>
        <v/>
      </c>
      <c r="J8975" s="215" t="str">
        <f>IF(Table2[[#This Row],[Description]]="","",Table2[[#This Row],[Value]]/Table2[[#This Row],[Conversion]])</f>
        <v/>
      </c>
      <c r="K8975" s="45" t="str">
        <f>IF(Table2[[#This Row],[Description]]="","",DATE(Table2[[#This Row],[Year]],Table2[[#This Row],[Month]],1))</f>
        <v/>
      </c>
    </row>
    <row r="8976" spans="7:11" x14ac:dyDescent="0.25">
      <c r="G8976" s="1" t="str">
        <f>IF(Table2[[#This Row],[Description]]="","",VLOOKUP(Table2[[#This Row],[Description]],$Q$1:$S$101,2,FALSE))</f>
        <v/>
      </c>
      <c r="H8976" s="1" t="str">
        <f>IF(Table2[[#This Row],[Description]]="","",VLOOKUP(Table2[[#This Row],[Description]],$Q$1:$S$101,3,FALSE))</f>
        <v/>
      </c>
      <c r="I8976" s="1" t="str">
        <f>IF(Table2[[#This Row],[Description]]="","",IF(Table2[[#This Row],[Currency]]=$O$2,$P$2,HLOOKUP(Table2[[#This Row],[Date]],Funds!$C$10:$GV$11,2,FALSE)))</f>
        <v/>
      </c>
      <c r="J8976" s="215" t="str">
        <f>IF(Table2[[#This Row],[Description]]="","",Table2[[#This Row],[Value]]/Table2[[#This Row],[Conversion]])</f>
        <v/>
      </c>
      <c r="K8976" s="45" t="str">
        <f>IF(Table2[[#This Row],[Description]]="","",DATE(Table2[[#This Row],[Year]],Table2[[#This Row],[Month]],1))</f>
        <v/>
      </c>
    </row>
    <row r="8977" spans="7:11" x14ac:dyDescent="0.25">
      <c r="G8977" s="1" t="str">
        <f>IF(Table2[[#This Row],[Description]]="","",VLOOKUP(Table2[[#This Row],[Description]],$Q$1:$S$101,2,FALSE))</f>
        <v/>
      </c>
      <c r="H8977" s="1" t="str">
        <f>IF(Table2[[#This Row],[Description]]="","",VLOOKUP(Table2[[#This Row],[Description]],$Q$1:$S$101,3,FALSE))</f>
        <v/>
      </c>
      <c r="I8977" s="1" t="str">
        <f>IF(Table2[[#This Row],[Description]]="","",IF(Table2[[#This Row],[Currency]]=$O$2,$P$2,HLOOKUP(Table2[[#This Row],[Date]],Funds!$C$10:$GV$11,2,FALSE)))</f>
        <v/>
      </c>
      <c r="J8977" s="215" t="str">
        <f>IF(Table2[[#This Row],[Description]]="","",Table2[[#This Row],[Value]]/Table2[[#This Row],[Conversion]])</f>
        <v/>
      </c>
      <c r="K8977" s="45" t="str">
        <f>IF(Table2[[#This Row],[Description]]="","",DATE(Table2[[#This Row],[Year]],Table2[[#This Row],[Month]],1))</f>
        <v/>
      </c>
    </row>
    <row r="8978" spans="7:11" x14ac:dyDescent="0.25">
      <c r="G8978" s="1" t="str">
        <f>IF(Table2[[#This Row],[Description]]="","",VLOOKUP(Table2[[#This Row],[Description]],$Q$1:$S$101,2,FALSE))</f>
        <v/>
      </c>
      <c r="H8978" s="1" t="str">
        <f>IF(Table2[[#This Row],[Description]]="","",VLOOKUP(Table2[[#This Row],[Description]],$Q$1:$S$101,3,FALSE))</f>
        <v/>
      </c>
      <c r="I8978" s="1" t="str">
        <f>IF(Table2[[#This Row],[Description]]="","",IF(Table2[[#This Row],[Currency]]=$O$2,$P$2,HLOOKUP(Table2[[#This Row],[Date]],Funds!$C$10:$GV$11,2,FALSE)))</f>
        <v/>
      </c>
      <c r="J8978" s="215" t="str">
        <f>IF(Table2[[#This Row],[Description]]="","",Table2[[#This Row],[Value]]/Table2[[#This Row],[Conversion]])</f>
        <v/>
      </c>
      <c r="K8978" s="45" t="str">
        <f>IF(Table2[[#This Row],[Description]]="","",DATE(Table2[[#This Row],[Year]],Table2[[#This Row],[Month]],1))</f>
        <v/>
      </c>
    </row>
    <row r="8979" spans="7:11" x14ac:dyDescent="0.25">
      <c r="G8979" s="1" t="str">
        <f>IF(Table2[[#This Row],[Description]]="","",VLOOKUP(Table2[[#This Row],[Description]],$Q$1:$S$101,2,FALSE))</f>
        <v/>
      </c>
      <c r="H8979" s="1" t="str">
        <f>IF(Table2[[#This Row],[Description]]="","",VLOOKUP(Table2[[#This Row],[Description]],$Q$1:$S$101,3,FALSE))</f>
        <v/>
      </c>
      <c r="I8979" s="1" t="str">
        <f>IF(Table2[[#This Row],[Description]]="","",IF(Table2[[#This Row],[Currency]]=$O$2,$P$2,HLOOKUP(Table2[[#This Row],[Date]],Funds!$C$10:$GV$11,2,FALSE)))</f>
        <v/>
      </c>
      <c r="J8979" s="215" t="str">
        <f>IF(Table2[[#This Row],[Description]]="","",Table2[[#This Row],[Value]]/Table2[[#This Row],[Conversion]])</f>
        <v/>
      </c>
      <c r="K8979" s="45" t="str">
        <f>IF(Table2[[#This Row],[Description]]="","",DATE(Table2[[#This Row],[Year]],Table2[[#This Row],[Month]],1))</f>
        <v/>
      </c>
    </row>
    <row r="8980" spans="7:11" x14ac:dyDescent="0.25">
      <c r="G8980" s="1" t="str">
        <f>IF(Table2[[#This Row],[Description]]="","",VLOOKUP(Table2[[#This Row],[Description]],$Q$1:$S$101,2,FALSE))</f>
        <v/>
      </c>
      <c r="H8980" s="1" t="str">
        <f>IF(Table2[[#This Row],[Description]]="","",VLOOKUP(Table2[[#This Row],[Description]],$Q$1:$S$101,3,FALSE))</f>
        <v/>
      </c>
      <c r="I8980" s="1" t="str">
        <f>IF(Table2[[#This Row],[Description]]="","",IF(Table2[[#This Row],[Currency]]=$O$2,$P$2,HLOOKUP(Table2[[#This Row],[Date]],Funds!$C$10:$GV$11,2,FALSE)))</f>
        <v/>
      </c>
      <c r="J8980" s="215" t="str">
        <f>IF(Table2[[#This Row],[Description]]="","",Table2[[#This Row],[Value]]/Table2[[#This Row],[Conversion]])</f>
        <v/>
      </c>
      <c r="K8980" s="45" t="str">
        <f>IF(Table2[[#This Row],[Description]]="","",DATE(Table2[[#This Row],[Year]],Table2[[#This Row],[Month]],1))</f>
        <v/>
      </c>
    </row>
    <row r="8981" spans="7:11" x14ac:dyDescent="0.25">
      <c r="G8981" s="1" t="str">
        <f>IF(Table2[[#This Row],[Description]]="","",VLOOKUP(Table2[[#This Row],[Description]],$Q$1:$S$101,2,FALSE))</f>
        <v/>
      </c>
      <c r="H8981" s="1" t="str">
        <f>IF(Table2[[#This Row],[Description]]="","",VLOOKUP(Table2[[#This Row],[Description]],$Q$1:$S$101,3,FALSE))</f>
        <v/>
      </c>
      <c r="I8981" s="1" t="str">
        <f>IF(Table2[[#This Row],[Description]]="","",IF(Table2[[#This Row],[Currency]]=$O$2,$P$2,HLOOKUP(Table2[[#This Row],[Date]],Funds!$C$10:$GV$11,2,FALSE)))</f>
        <v/>
      </c>
      <c r="J8981" s="215" t="str">
        <f>IF(Table2[[#This Row],[Description]]="","",Table2[[#This Row],[Value]]/Table2[[#This Row],[Conversion]])</f>
        <v/>
      </c>
      <c r="K8981" s="45" t="str">
        <f>IF(Table2[[#This Row],[Description]]="","",DATE(Table2[[#This Row],[Year]],Table2[[#This Row],[Month]],1))</f>
        <v/>
      </c>
    </row>
    <row r="8982" spans="7:11" x14ac:dyDescent="0.25">
      <c r="G8982" s="1" t="str">
        <f>IF(Table2[[#This Row],[Description]]="","",VLOOKUP(Table2[[#This Row],[Description]],$Q$1:$S$101,2,FALSE))</f>
        <v/>
      </c>
      <c r="H8982" s="1" t="str">
        <f>IF(Table2[[#This Row],[Description]]="","",VLOOKUP(Table2[[#This Row],[Description]],$Q$1:$S$101,3,FALSE))</f>
        <v/>
      </c>
      <c r="I8982" s="1" t="str">
        <f>IF(Table2[[#This Row],[Description]]="","",IF(Table2[[#This Row],[Currency]]=$O$2,$P$2,HLOOKUP(Table2[[#This Row],[Date]],Funds!$C$10:$GV$11,2,FALSE)))</f>
        <v/>
      </c>
      <c r="J8982" s="215" t="str">
        <f>IF(Table2[[#This Row],[Description]]="","",Table2[[#This Row],[Value]]/Table2[[#This Row],[Conversion]])</f>
        <v/>
      </c>
      <c r="K8982" s="45" t="str">
        <f>IF(Table2[[#This Row],[Description]]="","",DATE(Table2[[#This Row],[Year]],Table2[[#This Row],[Month]],1))</f>
        <v/>
      </c>
    </row>
    <row r="8983" spans="7:11" x14ac:dyDescent="0.25">
      <c r="G8983" s="1" t="str">
        <f>IF(Table2[[#This Row],[Description]]="","",VLOOKUP(Table2[[#This Row],[Description]],$Q$1:$S$101,2,FALSE))</f>
        <v/>
      </c>
      <c r="H8983" s="1" t="str">
        <f>IF(Table2[[#This Row],[Description]]="","",VLOOKUP(Table2[[#This Row],[Description]],$Q$1:$S$101,3,FALSE))</f>
        <v/>
      </c>
      <c r="I8983" s="1" t="str">
        <f>IF(Table2[[#This Row],[Description]]="","",IF(Table2[[#This Row],[Currency]]=$O$2,$P$2,HLOOKUP(Table2[[#This Row],[Date]],Funds!$C$10:$GV$11,2,FALSE)))</f>
        <v/>
      </c>
      <c r="J8983" s="215" t="str">
        <f>IF(Table2[[#This Row],[Description]]="","",Table2[[#This Row],[Value]]/Table2[[#This Row],[Conversion]])</f>
        <v/>
      </c>
      <c r="K8983" s="45" t="str">
        <f>IF(Table2[[#This Row],[Description]]="","",DATE(Table2[[#This Row],[Year]],Table2[[#This Row],[Month]],1))</f>
        <v/>
      </c>
    </row>
    <row r="8984" spans="7:11" x14ac:dyDescent="0.25">
      <c r="G8984" s="1" t="str">
        <f>IF(Table2[[#This Row],[Description]]="","",VLOOKUP(Table2[[#This Row],[Description]],$Q$1:$S$101,2,FALSE))</f>
        <v/>
      </c>
      <c r="H8984" s="1" t="str">
        <f>IF(Table2[[#This Row],[Description]]="","",VLOOKUP(Table2[[#This Row],[Description]],$Q$1:$S$101,3,FALSE))</f>
        <v/>
      </c>
      <c r="I8984" s="1" t="str">
        <f>IF(Table2[[#This Row],[Description]]="","",IF(Table2[[#This Row],[Currency]]=$O$2,$P$2,HLOOKUP(Table2[[#This Row],[Date]],Funds!$C$10:$GV$11,2,FALSE)))</f>
        <v/>
      </c>
      <c r="J8984" s="215" t="str">
        <f>IF(Table2[[#This Row],[Description]]="","",Table2[[#This Row],[Value]]/Table2[[#This Row],[Conversion]])</f>
        <v/>
      </c>
      <c r="K8984" s="45" t="str">
        <f>IF(Table2[[#This Row],[Description]]="","",DATE(Table2[[#This Row],[Year]],Table2[[#This Row],[Month]],1))</f>
        <v/>
      </c>
    </row>
    <row r="8985" spans="7:11" x14ac:dyDescent="0.25">
      <c r="G8985" s="1" t="str">
        <f>IF(Table2[[#This Row],[Description]]="","",VLOOKUP(Table2[[#This Row],[Description]],$Q$1:$S$101,2,FALSE))</f>
        <v/>
      </c>
      <c r="H8985" s="1" t="str">
        <f>IF(Table2[[#This Row],[Description]]="","",VLOOKUP(Table2[[#This Row],[Description]],$Q$1:$S$101,3,FALSE))</f>
        <v/>
      </c>
      <c r="I8985" s="1" t="str">
        <f>IF(Table2[[#This Row],[Description]]="","",IF(Table2[[#This Row],[Currency]]=$O$2,$P$2,HLOOKUP(Table2[[#This Row],[Date]],Funds!$C$10:$GV$11,2,FALSE)))</f>
        <v/>
      </c>
      <c r="J8985" s="215" t="str">
        <f>IF(Table2[[#This Row],[Description]]="","",Table2[[#This Row],[Value]]/Table2[[#This Row],[Conversion]])</f>
        <v/>
      </c>
      <c r="K8985" s="45" t="str">
        <f>IF(Table2[[#This Row],[Description]]="","",DATE(Table2[[#This Row],[Year]],Table2[[#This Row],[Month]],1))</f>
        <v/>
      </c>
    </row>
    <row r="8986" spans="7:11" x14ac:dyDescent="0.25">
      <c r="G8986" s="1" t="str">
        <f>IF(Table2[[#This Row],[Description]]="","",VLOOKUP(Table2[[#This Row],[Description]],$Q$1:$S$101,2,FALSE))</f>
        <v/>
      </c>
      <c r="H8986" s="1" t="str">
        <f>IF(Table2[[#This Row],[Description]]="","",VLOOKUP(Table2[[#This Row],[Description]],$Q$1:$S$101,3,FALSE))</f>
        <v/>
      </c>
      <c r="I8986" s="1" t="str">
        <f>IF(Table2[[#This Row],[Description]]="","",IF(Table2[[#This Row],[Currency]]=$O$2,$P$2,HLOOKUP(Table2[[#This Row],[Date]],Funds!$C$10:$GV$11,2,FALSE)))</f>
        <v/>
      </c>
      <c r="J8986" s="215" t="str">
        <f>IF(Table2[[#This Row],[Description]]="","",Table2[[#This Row],[Value]]/Table2[[#This Row],[Conversion]])</f>
        <v/>
      </c>
      <c r="K8986" s="45" t="str">
        <f>IF(Table2[[#This Row],[Description]]="","",DATE(Table2[[#This Row],[Year]],Table2[[#This Row],[Month]],1))</f>
        <v/>
      </c>
    </row>
    <row r="8987" spans="7:11" x14ac:dyDescent="0.25">
      <c r="G8987" s="1" t="str">
        <f>IF(Table2[[#This Row],[Description]]="","",VLOOKUP(Table2[[#This Row],[Description]],$Q$1:$S$101,2,FALSE))</f>
        <v/>
      </c>
      <c r="H8987" s="1" t="str">
        <f>IF(Table2[[#This Row],[Description]]="","",VLOOKUP(Table2[[#This Row],[Description]],$Q$1:$S$101,3,FALSE))</f>
        <v/>
      </c>
      <c r="I8987" s="1" t="str">
        <f>IF(Table2[[#This Row],[Description]]="","",IF(Table2[[#This Row],[Currency]]=$O$2,$P$2,HLOOKUP(Table2[[#This Row],[Date]],Funds!$C$10:$GV$11,2,FALSE)))</f>
        <v/>
      </c>
      <c r="J8987" s="215" t="str">
        <f>IF(Table2[[#This Row],[Description]]="","",Table2[[#This Row],[Value]]/Table2[[#This Row],[Conversion]])</f>
        <v/>
      </c>
      <c r="K8987" s="45" t="str">
        <f>IF(Table2[[#This Row],[Description]]="","",DATE(Table2[[#This Row],[Year]],Table2[[#This Row],[Month]],1))</f>
        <v/>
      </c>
    </row>
    <row r="8988" spans="7:11" x14ac:dyDescent="0.25">
      <c r="G8988" s="1" t="str">
        <f>IF(Table2[[#This Row],[Description]]="","",VLOOKUP(Table2[[#This Row],[Description]],$Q$1:$S$101,2,FALSE))</f>
        <v/>
      </c>
      <c r="H8988" s="1" t="str">
        <f>IF(Table2[[#This Row],[Description]]="","",VLOOKUP(Table2[[#This Row],[Description]],$Q$1:$S$101,3,FALSE))</f>
        <v/>
      </c>
      <c r="I8988" s="1" t="str">
        <f>IF(Table2[[#This Row],[Description]]="","",IF(Table2[[#This Row],[Currency]]=$O$2,$P$2,HLOOKUP(Table2[[#This Row],[Date]],Funds!$C$10:$GV$11,2,FALSE)))</f>
        <v/>
      </c>
      <c r="J8988" s="215" t="str">
        <f>IF(Table2[[#This Row],[Description]]="","",Table2[[#This Row],[Value]]/Table2[[#This Row],[Conversion]])</f>
        <v/>
      </c>
      <c r="K8988" s="45" t="str">
        <f>IF(Table2[[#This Row],[Description]]="","",DATE(Table2[[#This Row],[Year]],Table2[[#This Row],[Month]],1))</f>
        <v/>
      </c>
    </row>
    <row r="8989" spans="7:11" x14ac:dyDescent="0.25">
      <c r="G8989" s="1" t="str">
        <f>IF(Table2[[#This Row],[Description]]="","",VLOOKUP(Table2[[#This Row],[Description]],$Q$1:$S$101,2,FALSE))</f>
        <v/>
      </c>
      <c r="H8989" s="1" t="str">
        <f>IF(Table2[[#This Row],[Description]]="","",VLOOKUP(Table2[[#This Row],[Description]],$Q$1:$S$101,3,FALSE))</f>
        <v/>
      </c>
      <c r="I8989" s="1" t="str">
        <f>IF(Table2[[#This Row],[Description]]="","",IF(Table2[[#This Row],[Currency]]=$O$2,$P$2,HLOOKUP(Table2[[#This Row],[Date]],Funds!$C$10:$GV$11,2,FALSE)))</f>
        <v/>
      </c>
      <c r="J8989" s="215" t="str">
        <f>IF(Table2[[#This Row],[Description]]="","",Table2[[#This Row],[Value]]/Table2[[#This Row],[Conversion]])</f>
        <v/>
      </c>
      <c r="K8989" s="45" t="str">
        <f>IF(Table2[[#This Row],[Description]]="","",DATE(Table2[[#This Row],[Year]],Table2[[#This Row],[Month]],1))</f>
        <v/>
      </c>
    </row>
    <row r="8990" spans="7:11" x14ac:dyDescent="0.25">
      <c r="G8990" s="1" t="str">
        <f>IF(Table2[[#This Row],[Description]]="","",VLOOKUP(Table2[[#This Row],[Description]],$Q$1:$S$101,2,FALSE))</f>
        <v/>
      </c>
      <c r="H8990" s="1" t="str">
        <f>IF(Table2[[#This Row],[Description]]="","",VLOOKUP(Table2[[#This Row],[Description]],$Q$1:$S$101,3,FALSE))</f>
        <v/>
      </c>
      <c r="I8990" s="1" t="str">
        <f>IF(Table2[[#This Row],[Description]]="","",IF(Table2[[#This Row],[Currency]]=$O$2,$P$2,HLOOKUP(Table2[[#This Row],[Date]],Funds!$C$10:$GV$11,2,FALSE)))</f>
        <v/>
      </c>
      <c r="J8990" s="215" t="str">
        <f>IF(Table2[[#This Row],[Description]]="","",Table2[[#This Row],[Value]]/Table2[[#This Row],[Conversion]])</f>
        <v/>
      </c>
      <c r="K8990" s="45" t="str">
        <f>IF(Table2[[#This Row],[Description]]="","",DATE(Table2[[#This Row],[Year]],Table2[[#This Row],[Month]],1))</f>
        <v/>
      </c>
    </row>
    <row r="8991" spans="7:11" x14ac:dyDescent="0.25">
      <c r="G8991" s="1" t="str">
        <f>IF(Table2[[#This Row],[Description]]="","",VLOOKUP(Table2[[#This Row],[Description]],$Q$1:$S$101,2,FALSE))</f>
        <v/>
      </c>
      <c r="H8991" s="1" t="str">
        <f>IF(Table2[[#This Row],[Description]]="","",VLOOKUP(Table2[[#This Row],[Description]],$Q$1:$S$101,3,FALSE))</f>
        <v/>
      </c>
      <c r="I8991" s="1" t="str">
        <f>IF(Table2[[#This Row],[Description]]="","",IF(Table2[[#This Row],[Currency]]=$O$2,$P$2,HLOOKUP(Table2[[#This Row],[Date]],Funds!$C$10:$GV$11,2,FALSE)))</f>
        <v/>
      </c>
      <c r="J8991" s="215" t="str">
        <f>IF(Table2[[#This Row],[Description]]="","",Table2[[#This Row],[Value]]/Table2[[#This Row],[Conversion]])</f>
        <v/>
      </c>
      <c r="K8991" s="45" t="str">
        <f>IF(Table2[[#This Row],[Description]]="","",DATE(Table2[[#This Row],[Year]],Table2[[#This Row],[Month]],1))</f>
        <v/>
      </c>
    </row>
    <row r="8992" spans="7:11" x14ac:dyDescent="0.25">
      <c r="G8992" s="1" t="str">
        <f>IF(Table2[[#This Row],[Description]]="","",VLOOKUP(Table2[[#This Row],[Description]],$Q$1:$S$101,2,FALSE))</f>
        <v/>
      </c>
      <c r="H8992" s="1" t="str">
        <f>IF(Table2[[#This Row],[Description]]="","",VLOOKUP(Table2[[#This Row],[Description]],$Q$1:$S$101,3,FALSE))</f>
        <v/>
      </c>
      <c r="I8992" s="1" t="str">
        <f>IF(Table2[[#This Row],[Description]]="","",IF(Table2[[#This Row],[Currency]]=$O$2,$P$2,HLOOKUP(Table2[[#This Row],[Date]],Funds!$C$10:$GV$11,2,FALSE)))</f>
        <v/>
      </c>
      <c r="J8992" s="215" t="str">
        <f>IF(Table2[[#This Row],[Description]]="","",Table2[[#This Row],[Value]]/Table2[[#This Row],[Conversion]])</f>
        <v/>
      </c>
      <c r="K8992" s="45" t="str">
        <f>IF(Table2[[#This Row],[Description]]="","",DATE(Table2[[#This Row],[Year]],Table2[[#This Row],[Month]],1))</f>
        <v/>
      </c>
    </row>
    <row r="8993" spans="7:11" x14ac:dyDescent="0.25">
      <c r="G8993" s="1" t="str">
        <f>IF(Table2[[#This Row],[Description]]="","",VLOOKUP(Table2[[#This Row],[Description]],$Q$1:$S$101,2,FALSE))</f>
        <v/>
      </c>
      <c r="H8993" s="1" t="str">
        <f>IF(Table2[[#This Row],[Description]]="","",VLOOKUP(Table2[[#This Row],[Description]],$Q$1:$S$101,3,FALSE))</f>
        <v/>
      </c>
      <c r="I8993" s="1" t="str">
        <f>IF(Table2[[#This Row],[Description]]="","",IF(Table2[[#This Row],[Currency]]=$O$2,$P$2,HLOOKUP(Table2[[#This Row],[Date]],Funds!$C$10:$GV$11,2,FALSE)))</f>
        <v/>
      </c>
      <c r="J8993" s="215" t="str">
        <f>IF(Table2[[#This Row],[Description]]="","",Table2[[#This Row],[Value]]/Table2[[#This Row],[Conversion]])</f>
        <v/>
      </c>
      <c r="K8993" s="45" t="str">
        <f>IF(Table2[[#This Row],[Description]]="","",DATE(Table2[[#This Row],[Year]],Table2[[#This Row],[Month]],1))</f>
        <v/>
      </c>
    </row>
    <row r="8994" spans="7:11" x14ac:dyDescent="0.25">
      <c r="G8994" s="1" t="str">
        <f>IF(Table2[[#This Row],[Description]]="","",VLOOKUP(Table2[[#This Row],[Description]],$Q$1:$S$101,2,FALSE))</f>
        <v/>
      </c>
      <c r="H8994" s="1" t="str">
        <f>IF(Table2[[#This Row],[Description]]="","",VLOOKUP(Table2[[#This Row],[Description]],$Q$1:$S$101,3,FALSE))</f>
        <v/>
      </c>
      <c r="I8994" s="1" t="str">
        <f>IF(Table2[[#This Row],[Description]]="","",IF(Table2[[#This Row],[Currency]]=$O$2,$P$2,HLOOKUP(Table2[[#This Row],[Date]],Funds!$C$10:$GV$11,2,FALSE)))</f>
        <v/>
      </c>
      <c r="J8994" s="215" t="str">
        <f>IF(Table2[[#This Row],[Description]]="","",Table2[[#This Row],[Value]]/Table2[[#This Row],[Conversion]])</f>
        <v/>
      </c>
      <c r="K8994" s="45" t="str">
        <f>IF(Table2[[#This Row],[Description]]="","",DATE(Table2[[#This Row],[Year]],Table2[[#This Row],[Month]],1))</f>
        <v/>
      </c>
    </row>
    <row r="8995" spans="7:11" x14ac:dyDescent="0.25">
      <c r="G8995" s="1" t="str">
        <f>IF(Table2[[#This Row],[Description]]="","",VLOOKUP(Table2[[#This Row],[Description]],$Q$1:$S$101,2,FALSE))</f>
        <v/>
      </c>
      <c r="H8995" s="1" t="str">
        <f>IF(Table2[[#This Row],[Description]]="","",VLOOKUP(Table2[[#This Row],[Description]],$Q$1:$S$101,3,FALSE))</f>
        <v/>
      </c>
      <c r="I8995" s="1" t="str">
        <f>IF(Table2[[#This Row],[Description]]="","",IF(Table2[[#This Row],[Currency]]=$O$2,$P$2,HLOOKUP(Table2[[#This Row],[Date]],Funds!$C$10:$GV$11,2,FALSE)))</f>
        <v/>
      </c>
      <c r="J8995" s="215" t="str">
        <f>IF(Table2[[#This Row],[Description]]="","",Table2[[#This Row],[Value]]/Table2[[#This Row],[Conversion]])</f>
        <v/>
      </c>
      <c r="K8995" s="45" t="str">
        <f>IF(Table2[[#This Row],[Description]]="","",DATE(Table2[[#This Row],[Year]],Table2[[#This Row],[Month]],1))</f>
        <v/>
      </c>
    </row>
    <row r="8996" spans="7:11" x14ac:dyDescent="0.25">
      <c r="G8996" s="1" t="str">
        <f>IF(Table2[[#This Row],[Description]]="","",VLOOKUP(Table2[[#This Row],[Description]],$Q$1:$S$101,2,FALSE))</f>
        <v/>
      </c>
      <c r="H8996" s="1" t="str">
        <f>IF(Table2[[#This Row],[Description]]="","",VLOOKUP(Table2[[#This Row],[Description]],$Q$1:$S$101,3,FALSE))</f>
        <v/>
      </c>
      <c r="I8996" s="1" t="str">
        <f>IF(Table2[[#This Row],[Description]]="","",IF(Table2[[#This Row],[Currency]]=$O$2,$P$2,HLOOKUP(Table2[[#This Row],[Date]],Funds!$C$10:$GV$11,2,FALSE)))</f>
        <v/>
      </c>
      <c r="J8996" s="215" t="str">
        <f>IF(Table2[[#This Row],[Description]]="","",Table2[[#This Row],[Value]]/Table2[[#This Row],[Conversion]])</f>
        <v/>
      </c>
      <c r="K8996" s="45" t="str">
        <f>IF(Table2[[#This Row],[Description]]="","",DATE(Table2[[#This Row],[Year]],Table2[[#This Row],[Month]],1))</f>
        <v/>
      </c>
    </row>
    <row r="8997" spans="7:11" x14ac:dyDescent="0.25">
      <c r="G8997" s="1" t="str">
        <f>IF(Table2[[#This Row],[Description]]="","",VLOOKUP(Table2[[#This Row],[Description]],$Q$1:$S$101,2,FALSE))</f>
        <v/>
      </c>
      <c r="H8997" s="1" t="str">
        <f>IF(Table2[[#This Row],[Description]]="","",VLOOKUP(Table2[[#This Row],[Description]],$Q$1:$S$101,3,FALSE))</f>
        <v/>
      </c>
      <c r="I8997" s="1" t="str">
        <f>IF(Table2[[#This Row],[Description]]="","",IF(Table2[[#This Row],[Currency]]=$O$2,$P$2,HLOOKUP(Table2[[#This Row],[Date]],Funds!$C$10:$GV$11,2,FALSE)))</f>
        <v/>
      </c>
      <c r="J8997" s="215" t="str">
        <f>IF(Table2[[#This Row],[Description]]="","",Table2[[#This Row],[Value]]/Table2[[#This Row],[Conversion]])</f>
        <v/>
      </c>
      <c r="K8997" s="45" t="str">
        <f>IF(Table2[[#This Row],[Description]]="","",DATE(Table2[[#This Row],[Year]],Table2[[#This Row],[Month]],1))</f>
        <v/>
      </c>
    </row>
    <row r="8998" spans="7:11" x14ac:dyDescent="0.25">
      <c r="G8998" s="1" t="str">
        <f>IF(Table2[[#This Row],[Description]]="","",VLOOKUP(Table2[[#This Row],[Description]],$Q$1:$S$101,2,FALSE))</f>
        <v/>
      </c>
      <c r="H8998" s="1" t="str">
        <f>IF(Table2[[#This Row],[Description]]="","",VLOOKUP(Table2[[#This Row],[Description]],$Q$1:$S$101,3,FALSE))</f>
        <v/>
      </c>
      <c r="I8998" s="1" t="str">
        <f>IF(Table2[[#This Row],[Description]]="","",IF(Table2[[#This Row],[Currency]]=$O$2,$P$2,HLOOKUP(Table2[[#This Row],[Date]],Funds!$C$10:$GV$11,2,FALSE)))</f>
        <v/>
      </c>
      <c r="J8998" s="215" t="str">
        <f>IF(Table2[[#This Row],[Description]]="","",Table2[[#This Row],[Value]]/Table2[[#This Row],[Conversion]])</f>
        <v/>
      </c>
      <c r="K8998" s="45" t="str">
        <f>IF(Table2[[#This Row],[Description]]="","",DATE(Table2[[#This Row],[Year]],Table2[[#This Row],[Month]],1))</f>
        <v/>
      </c>
    </row>
    <row r="8999" spans="7:11" x14ac:dyDescent="0.25">
      <c r="G8999" s="1" t="str">
        <f>IF(Table2[[#This Row],[Description]]="","",VLOOKUP(Table2[[#This Row],[Description]],$Q$1:$S$101,2,FALSE))</f>
        <v/>
      </c>
      <c r="H8999" s="1" t="str">
        <f>IF(Table2[[#This Row],[Description]]="","",VLOOKUP(Table2[[#This Row],[Description]],$Q$1:$S$101,3,FALSE))</f>
        <v/>
      </c>
      <c r="I8999" s="1" t="str">
        <f>IF(Table2[[#This Row],[Description]]="","",IF(Table2[[#This Row],[Currency]]=$O$2,$P$2,HLOOKUP(Table2[[#This Row],[Date]],Funds!$C$10:$GV$11,2,FALSE)))</f>
        <v/>
      </c>
      <c r="J8999" s="215" t="str">
        <f>IF(Table2[[#This Row],[Description]]="","",Table2[[#This Row],[Value]]/Table2[[#This Row],[Conversion]])</f>
        <v/>
      </c>
      <c r="K8999" s="45" t="str">
        <f>IF(Table2[[#This Row],[Description]]="","",DATE(Table2[[#This Row],[Year]],Table2[[#This Row],[Month]],1))</f>
        <v/>
      </c>
    </row>
    <row r="9000" spans="7:11" x14ac:dyDescent="0.25">
      <c r="G9000" s="1" t="str">
        <f>IF(Table2[[#This Row],[Description]]="","",VLOOKUP(Table2[[#This Row],[Description]],$Q$1:$S$101,2,FALSE))</f>
        <v/>
      </c>
      <c r="H9000" s="1" t="str">
        <f>IF(Table2[[#This Row],[Description]]="","",VLOOKUP(Table2[[#This Row],[Description]],$Q$1:$S$101,3,FALSE))</f>
        <v/>
      </c>
      <c r="I9000" s="1" t="str">
        <f>IF(Table2[[#This Row],[Description]]="","",IF(Table2[[#This Row],[Currency]]=$O$2,$P$2,HLOOKUP(Table2[[#This Row],[Date]],Funds!$C$10:$GV$11,2,FALSE)))</f>
        <v/>
      </c>
      <c r="J9000" s="215" t="str">
        <f>IF(Table2[[#This Row],[Description]]="","",Table2[[#This Row],[Value]]/Table2[[#This Row],[Conversion]])</f>
        <v/>
      </c>
      <c r="K9000" s="45" t="str">
        <f>IF(Table2[[#This Row],[Description]]="","",DATE(Table2[[#This Row],[Year]],Table2[[#This Row],[Month]],1))</f>
        <v/>
      </c>
    </row>
    <row r="9001" spans="7:11" x14ac:dyDescent="0.25">
      <c r="G9001" s="1" t="str">
        <f>IF(Table2[[#This Row],[Description]]="","",VLOOKUP(Table2[[#This Row],[Description]],$Q$1:$S$101,2,FALSE))</f>
        <v/>
      </c>
      <c r="H9001" s="1" t="str">
        <f>IF(Table2[[#This Row],[Description]]="","",VLOOKUP(Table2[[#This Row],[Description]],$Q$1:$S$101,3,FALSE))</f>
        <v/>
      </c>
      <c r="I9001" s="1" t="str">
        <f>IF(Table2[[#This Row],[Description]]="","",IF(Table2[[#This Row],[Currency]]=$O$2,$P$2,HLOOKUP(Table2[[#This Row],[Date]],Funds!$C$10:$GV$11,2,FALSE)))</f>
        <v/>
      </c>
      <c r="J9001" s="215" t="str">
        <f>IF(Table2[[#This Row],[Description]]="","",Table2[[#This Row],[Value]]/Table2[[#This Row],[Conversion]])</f>
        <v/>
      </c>
      <c r="K9001" s="45" t="str">
        <f>IF(Table2[[#This Row],[Description]]="","",DATE(Table2[[#This Row],[Year]],Table2[[#This Row],[Month]],1))</f>
        <v/>
      </c>
    </row>
    <row r="9002" spans="7:11" x14ac:dyDescent="0.25">
      <c r="G9002" s="1" t="str">
        <f>IF(Table2[[#This Row],[Description]]="","",VLOOKUP(Table2[[#This Row],[Description]],$Q$1:$S$101,2,FALSE))</f>
        <v/>
      </c>
      <c r="H9002" s="1" t="str">
        <f>IF(Table2[[#This Row],[Description]]="","",VLOOKUP(Table2[[#This Row],[Description]],$Q$1:$S$101,3,FALSE))</f>
        <v/>
      </c>
      <c r="I9002" s="1" t="str">
        <f>IF(Table2[[#This Row],[Description]]="","",IF(Table2[[#This Row],[Currency]]=$O$2,$P$2,HLOOKUP(Table2[[#This Row],[Date]],Funds!$C$10:$GV$11,2,FALSE)))</f>
        <v/>
      </c>
      <c r="J9002" s="215" t="str">
        <f>IF(Table2[[#This Row],[Description]]="","",Table2[[#This Row],[Value]]/Table2[[#This Row],[Conversion]])</f>
        <v/>
      </c>
      <c r="K9002" s="45" t="str">
        <f>IF(Table2[[#This Row],[Description]]="","",DATE(Table2[[#This Row],[Year]],Table2[[#This Row],[Month]],1))</f>
        <v/>
      </c>
    </row>
    <row r="9003" spans="7:11" x14ac:dyDescent="0.25">
      <c r="G9003" s="1" t="str">
        <f>IF(Table2[[#This Row],[Description]]="","",VLOOKUP(Table2[[#This Row],[Description]],$Q$1:$S$101,2,FALSE))</f>
        <v/>
      </c>
      <c r="H9003" s="1" t="str">
        <f>IF(Table2[[#This Row],[Description]]="","",VLOOKUP(Table2[[#This Row],[Description]],$Q$1:$S$101,3,FALSE))</f>
        <v/>
      </c>
      <c r="I9003" s="1" t="str">
        <f>IF(Table2[[#This Row],[Description]]="","",IF(Table2[[#This Row],[Currency]]=$O$2,$P$2,HLOOKUP(Table2[[#This Row],[Date]],Funds!$C$10:$GV$11,2,FALSE)))</f>
        <v/>
      </c>
      <c r="J9003" s="215" t="str">
        <f>IF(Table2[[#This Row],[Description]]="","",Table2[[#This Row],[Value]]/Table2[[#This Row],[Conversion]])</f>
        <v/>
      </c>
      <c r="K9003" s="45" t="str">
        <f>IF(Table2[[#This Row],[Description]]="","",DATE(Table2[[#This Row],[Year]],Table2[[#This Row],[Month]],1))</f>
        <v/>
      </c>
    </row>
    <row r="9004" spans="7:11" x14ac:dyDescent="0.25">
      <c r="G9004" s="1" t="str">
        <f>IF(Table2[[#This Row],[Description]]="","",VLOOKUP(Table2[[#This Row],[Description]],$Q$1:$S$101,2,FALSE))</f>
        <v/>
      </c>
      <c r="H9004" s="1" t="str">
        <f>IF(Table2[[#This Row],[Description]]="","",VLOOKUP(Table2[[#This Row],[Description]],$Q$1:$S$101,3,FALSE))</f>
        <v/>
      </c>
      <c r="I9004" s="1" t="str">
        <f>IF(Table2[[#This Row],[Description]]="","",IF(Table2[[#This Row],[Currency]]=$O$2,$P$2,HLOOKUP(Table2[[#This Row],[Date]],Funds!$C$10:$GV$11,2,FALSE)))</f>
        <v/>
      </c>
      <c r="J9004" s="215" t="str">
        <f>IF(Table2[[#This Row],[Description]]="","",Table2[[#This Row],[Value]]/Table2[[#This Row],[Conversion]])</f>
        <v/>
      </c>
      <c r="K9004" s="45" t="str">
        <f>IF(Table2[[#This Row],[Description]]="","",DATE(Table2[[#This Row],[Year]],Table2[[#This Row],[Month]],1))</f>
        <v/>
      </c>
    </row>
    <row r="9005" spans="7:11" x14ac:dyDescent="0.25">
      <c r="G9005" s="1" t="str">
        <f>IF(Table2[[#This Row],[Description]]="","",VLOOKUP(Table2[[#This Row],[Description]],$Q$1:$S$101,2,FALSE))</f>
        <v/>
      </c>
      <c r="H9005" s="1" t="str">
        <f>IF(Table2[[#This Row],[Description]]="","",VLOOKUP(Table2[[#This Row],[Description]],$Q$1:$S$101,3,FALSE))</f>
        <v/>
      </c>
      <c r="I9005" s="1" t="str">
        <f>IF(Table2[[#This Row],[Description]]="","",IF(Table2[[#This Row],[Currency]]=$O$2,$P$2,HLOOKUP(Table2[[#This Row],[Date]],Funds!$C$10:$GV$11,2,FALSE)))</f>
        <v/>
      </c>
      <c r="J9005" s="215" t="str">
        <f>IF(Table2[[#This Row],[Description]]="","",Table2[[#This Row],[Value]]/Table2[[#This Row],[Conversion]])</f>
        <v/>
      </c>
      <c r="K9005" s="45" t="str">
        <f>IF(Table2[[#This Row],[Description]]="","",DATE(Table2[[#This Row],[Year]],Table2[[#This Row],[Month]],1))</f>
        <v/>
      </c>
    </row>
    <row r="9006" spans="7:11" x14ac:dyDescent="0.25">
      <c r="G9006" s="1" t="str">
        <f>IF(Table2[[#This Row],[Description]]="","",VLOOKUP(Table2[[#This Row],[Description]],$Q$1:$S$101,2,FALSE))</f>
        <v/>
      </c>
      <c r="H9006" s="1" t="str">
        <f>IF(Table2[[#This Row],[Description]]="","",VLOOKUP(Table2[[#This Row],[Description]],$Q$1:$S$101,3,FALSE))</f>
        <v/>
      </c>
      <c r="I9006" s="1" t="str">
        <f>IF(Table2[[#This Row],[Description]]="","",IF(Table2[[#This Row],[Currency]]=$O$2,$P$2,HLOOKUP(Table2[[#This Row],[Date]],Funds!$C$10:$GV$11,2,FALSE)))</f>
        <v/>
      </c>
      <c r="J9006" s="215" t="str">
        <f>IF(Table2[[#This Row],[Description]]="","",Table2[[#This Row],[Value]]/Table2[[#This Row],[Conversion]])</f>
        <v/>
      </c>
      <c r="K9006" s="45" t="str">
        <f>IF(Table2[[#This Row],[Description]]="","",DATE(Table2[[#This Row],[Year]],Table2[[#This Row],[Month]],1))</f>
        <v/>
      </c>
    </row>
    <row r="9007" spans="7:11" x14ac:dyDescent="0.25">
      <c r="G9007" s="1" t="str">
        <f>IF(Table2[[#This Row],[Description]]="","",VLOOKUP(Table2[[#This Row],[Description]],$Q$1:$S$101,2,FALSE))</f>
        <v/>
      </c>
      <c r="H9007" s="1" t="str">
        <f>IF(Table2[[#This Row],[Description]]="","",VLOOKUP(Table2[[#This Row],[Description]],$Q$1:$S$101,3,FALSE))</f>
        <v/>
      </c>
      <c r="I9007" s="1" t="str">
        <f>IF(Table2[[#This Row],[Description]]="","",IF(Table2[[#This Row],[Currency]]=$O$2,$P$2,HLOOKUP(Table2[[#This Row],[Date]],Funds!$C$10:$GV$11,2,FALSE)))</f>
        <v/>
      </c>
      <c r="J9007" s="215" t="str">
        <f>IF(Table2[[#This Row],[Description]]="","",Table2[[#This Row],[Value]]/Table2[[#This Row],[Conversion]])</f>
        <v/>
      </c>
      <c r="K9007" s="45" t="str">
        <f>IF(Table2[[#This Row],[Description]]="","",DATE(Table2[[#This Row],[Year]],Table2[[#This Row],[Month]],1))</f>
        <v/>
      </c>
    </row>
    <row r="9008" spans="7:11" x14ac:dyDescent="0.25">
      <c r="G9008" s="1" t="str">
        <f>IF(Table2[[#This Row],[Description]]="","",VLOOKUP(Table2[[#This Row],[Description]],$Q$1:$S$101,2,FALSE))</f>
        <v/>
      </c>
      <c r="H9008" s="1" t="str">
        <f>IF(Table2[[#This Row],[Description]]="","",VLOOKUP(Table2[[#This Row],[Description]],$Q$1:$S$101,3,FALSE))</f>
        <v/>
      </c>
      <c r="I9008" s="1" t="str">
        <f>IF(Table2[[#This Row],[Description]]="","",IF(Table2[[#This Row],[Currency]]=$O$2,$P$2,HLOOKUP(Table2[[#This Row],[Date]],Funds!$C$10:$GV$11,2,FALSE)))</f>
        <v/>
      </c>
      <c r="J9008" s="215" t="str">
        <f>IF(Table2[[#This Row],[Description]]="","",Table2[[#This Row],[Value]]/Table2[[#This Row],[Conversion]])</f>
        <v/>
      </c>
      <c r="K9008" s="45" t="str">
        <f>IF(Table2[[#This Row],[Description]]="","",DATE(Table2[[#This Row],[Year]],Table2[[#This Row],[Month]],1))</f>
        <v/>
      </c>
    </row>
    <row r="9009" spans="7:11" x14ac:dyDescent="0.25">
      <c r="G9009" s="1" t="str">
        <f>IF(Table2[[#This Row],[Description]]="","",VLOOKUP(Table2[[#This Row],[Description]],$Q$1:$S$101,2,FALSE))</f>
        <v/>
      </c>
      <c r="H9009" s="1" t="str">
        <f>IF(Table2[[#This Row],[Description]]="","",VLOOKUP(Table2[[#This Row],[Description]],$Q$1:$S$101,3,FALSE))</f>
        <v/>
      </c>
      <c r="I9009" s="1" t="str">
        <f>IF(Table2[[#This Row],[Description]]="","",IF(Table2[[#This Row],[Currency]]=$O$2,$P$2,HLOOKUP(Table2[[#This Row],[Date]],Funds!$C$10:$GV$11,2,FALSE)))</f>
        <v/>
      </c>
      <c r="J9009" s="215" t="str">
        <f>IF(Table2[[#This Row],[Description]]="","",Table2[[#This Row],[Value]]/Table2[[#This Row],[Conversion]])</f>
        <v/>
      </c>
      <c r="K9009" s="45" t="str">
        <f>IF(Table2[[#This Row],[Description]]="","",DATE(Table2[[#This Row],[Year]],Table2[[#This Row],[Month]],1))</f>
        <v/>
      </c>
    </row>
    <row r="9010" spans="7:11" x14ac:dyDescent="0.25">
      <c r="G9010" s="1" t="str">
        <f>IF(Table2[[#This Row],[Description]]="","",VLOOKUP(Table2[[#This Row],[Description]],$Q$1:$S$101,2,FALSE))</f>
        <v/>
      </c>
      <c r="H9010" s="1" t="str">
        <f>IF(Table2[[#This Row],[Description]]="","",VLOOKUP(Table2[[#This Row],[Description]],$Q$1:$S$101,3,FALSE))</f>
        <v/>
      </c>
      <c r="I9010" s="1" t="str">
        <f>IF(Table2[[#This Row],[Description]]="","",IF(Table2[[#This Row],[Currency]]=$O$2,$P$2,HLOOKUP(Table2[[#This Row],[Date]],Funds!$C$10:$GV$11,2,FALSE)))</f>
        <v/>
      </c>
      <c r="J9010" s="215" t="str">
        <f>IF(Table2[[#This Row],[Description]]="","",Table2[[#This Row],[Value]]/Table2[[#This Row],[Conversion]])</f>
        <v/>
      </c>
      <c r="K9010" s="45" t="str">
        <f>IF(Table2[[#This Row],[Description]]="","",DATE(Table2[[#This Row],[Year]],Table2[[#This Row],[Month]],1))</f>
        <v/>
      </c>
    </row>
    <row r="9011" spans="7:11" x14ac:dyDescent="0.25">
      <c r="G9011" s="1" t="str">
        <f>IF(Table2[[#This Row],[Description]]="","",VLOOKUP(Table2[[#This Row],[Description]],$Q$1:$S$101,2,FALSE))</f>
        <v/>
      </c>
      <c r="H9011" s="1" t="str">
        <f>IF(Table2[[#This Row],[Description]]="","",VLOOKUP(Table2[[#This Row],[Description]],$Q$1:$S$101,3,FALSE))</f>
        <v/>
      </c>
      <c r="I9011" s="1" t="str">
        <f>IF(Table2[[#This Row],[Description]]="","",IF(Table2[[#This Row],[Currency]]=$O$2,$P$2,HLOOKUP(Table2[[#This Row],[Date]],Funds!$C$10:$GV$11,2,FALSE)))</f>
        <v/>
      </c>
      <c r="J9011" s="215" t="str">
        <f>IF(Table2[[#This Row],[Description]]="","",Table2[[#This Row],[Value]]/Table2[[#This Row],[Conversion]])</f>
        <v/>
      </c>
      <c r="K9011" s="45" t="str">
        <f>IF(Table2[[#This Row],[Description]]="","",DATE(Table2[[#This Row],[Year]],Table2[[#This Row],[Month]],1))</f>
        <v/>
      </c>
    </row>
    <row r="9012" spans="7:11" x14ac:dyDescent="0.25">
      <c r="G9012" s="1" t="str">
        <f>IF(Table2[[#This Row],[Description]]="","",VLOOKUP(Table2[[#This Row],[Description]],$Q$1:$S$101,2,FALSE))</f>
        <v/>
      </c>
      <c r="H9012" s="1" t="str">
        <f>IF(Table2[[#This Row],[Description]]="","",VLOOKUP(Table2[[#This Row],[Description]],$Q$1:$S$101,3,FALSE))</f>
        <v/>
      </c>
      <c r="I9012" s="1" t="str">
        <f>IF(Table2[[#This Row],[Description]]="","",IF(Table2[[#This Row],[Currency]]=$O$2,$P$2,HLOOKUP(Table2[[#This Row],[Date]],Funds!$C$10:$GV$11,2,FALSE)))</f>
        <v/>
      </c>
      <c r="J9012" s="215" t="str">
        <f>IF(Table2[[#This Row],[Description]]="","",Table2[[#This Row],[Value]]/Table2[[#This Row],[Conversion]])</f>
        <v/>
      </c>
      <c r="K9012" s="45" t="str">
        <f>IF(Table2[[#This Row],[Description]]="","",DATE(Table2[[#This Row],[Year]],Table2[[#This Row],[Month]],1))</f>
        <v/>
      </c>
    </row>
    <row r="9013" spans="7:11" x14ac:dyDescent="0.25">
      <c r="G9013" s="1" t="str">
        <f>IF(Table2[[#This Row],[Description]]="","",VLOOKUP(Table2[[#This Row],[Description]],$Q$1:$S$101,2,FALSE))</f>
        <v/>
      </c>
      <c r="H9013" s="1" t="str">
        <f>IF(Table2[[#This Row],[Description]]="","",VLOOKUP(Table2[[#This Row],[Description]],$Q$1:$S$101,3,FALSE))</f>
        <v/>
      </c>
      <c r="I9013" s="1" t="str">
        <f>IF(Table2[[#This Row],[Description]]="","",IF(Table2[[#This Row],[Currency]]=$O$2,$P$2,HLOOKUP(Table2[[#This Row],[Date]],Funds!$C$10:$GV$11,2,FALSE)))</f>
        <v/>
      </c>
      <c r="J9013" s="215" t="str">
        <f>IF(Table2[[#This Row],[Description]]="","",Table2[[#This Row],[Value]]/Table2[[#This Row],[Conversion]])</f>
        <v/>
      </c>
      <c r="K9013" s="45" t="str">
        <f>IF(Table2[[#This Row],[Description]]="","",DATE(Table2[[#This Row],[Year]],Table2[[#This Row],[Month]],1))</f>
        <v/>
      </c>
    </row>
    <row r="9014" spans="7:11" x14ac:dyDescent="0.25">
      <c r="G9014" s="1" t="str">
        <f>IF(Table2[[#This Row],[Description]]="","",VLOOKUP(Table2[[#This Row],[Description]],$Q$1:$S$101,2,FALSE))</f>
        <v/>
      </c>
      <c r="H9014" s="1" t="str">
        <f>IF(Table2[[#This Row],[Description]]="","",VLOOKUP(Table2[[#This Row],[Description]],$Q$1:$S$101,3,FALSE))</f>
        <v/>
      </c>
      <c r="I9014" s="1" t="str">
        <f>IF(Table2[[#This Row],[Description]]="","",IF(Table2[[#This Row],[Currency]]=$O$2,$P$2,HLOOKUP(Table2[[#This Row],[Date]],Funds!$C$10:$GV$11,2,FALSE)))</f>
        <v/>
      </c>
      <c r="J9014" s="215" t="str">
        <f>IF(Table2[[#This Row],[Description]]="","",Table2[[#This Row],[Value]]/Table2[[#This Row],[Conversion]])</f>
        <v/>
      </c>
      <c r="K9014" s="45" t="str">
        <f>IF(Table2[[#This Row],[Description]]="","",DATE(Table2[[#This Row],[Year]],Table2[[#This Row],[Month]],1))</f>
        <v/>
      </c>
    </row>
    <row r="9015" spans="7:11" x14ac:dyDescent="0.25">
      <c r="G9015" s="1" t="str">
        <f>IF(Table2[[#This Row],[Description]]="","",VLOOKUP(Table2[[#This Row],[Description]],$Q$1:$S$101,2,FALSE))</f>
        <v/>
      </c>
      <c r="H9015" s="1" t="str">
        <f>IF(Table2[[#This Row],[Description]]="","",VLOOKUP(Table2[[#This Row],[Description]],$Q$1:$S$101,3,FALSE))</f>
        <v/>
      </c>
      <c r="I9015" s="1" t="str">
        <f>IF(Table2[[#This Row],[Description]]="","",IF(Table2[[#This Row],[Currency]]=$O$2,$P$2,HLOOKUP(Table2[[#This Row],[Date]],Funds!$C$10:$GV$11,2,FALSE)))</f>
        <v/>
      </c>
      <c r="J9015" s="215" t="str">
        <f>IF(Table2[[#This Row],[Description]]="","",Table2[[#This Row],[Value]]/Table2[[#This Row],[Conversion]])</f>
        <v/>
      </c>
      <c r="K9015" s="45" t="str">
        <f>IF(Table2[[#This Row],[Description]]="","",DATE(Table2[[#This Row],[Year]],Table2[[#This Row],[Month]],1))</f>
        <v/>
      </c>
    </row>
    <row r="9016" spans="7:11" x14ac:dyDescent="0.25">
      <c r="G9016" s="1" t="str">
        <f>IF(Table2[[#This Row],[Description]]="","",VLOOKUP(Table2[[#This Row],[Description]],$Q$1:$S$101,2,FALSE))</f>
        <v/>
      </c>
      <c r="H9016" s="1" t="str">
        <f>IF(Table2[[#This Row],[Description]]="","",VLOOKUP(Table2[[#This Row],[Description]],$Q$1:$S$101,3,FALSE))</f>
        <v/>
      </c>
      <c r="I9016" s="1" t="str">
        <f>IF(Table2[[#This Row],[Description]]="","",IF(Table2[[#This Row],[Currency]]=$O$2,$P$2,HLOOKUP(Table2[[#This Row],[Date]],Funds!$C$10:$GV$11,2,FALSE)))</f>
        <v/>
      </c>
      <c r="J9016" s="215" t="str">
        <f>IF(Table2[[#This Row],[Description]]="","",Table2[[#This Row],[Value]]/Table2[[#This Row],[Conversion]])</f>
        <v/>
      </c>
      <c r="K9016" s="45" t="str">
        <f>IF(Table2[[#This Row],[Description]]="","",DATE(Table2[[#This Row],[Year]],Table2[[#This Row],[Month]],1))</f>
        <v/>
      </c>
    </row>
    <row r="9017" spans="7:11" x14ac:dyDescent="0.25">
      <c r="G9017" s="1" t="str">
        <f>IF(Table2[[#This Row],[Description]]="","",VLOOKUP(Table2[[#This Row],[Description]],$Q$1:$S$101,2,FALSE))</f>
        <v/>
      </c>
      <c r="H9017" s="1" t="str">
        <f>IF(Table2[[#This Row],[Description]]="","",VLOOKUP(Table2[[#This Row],[Description]],$Q$1:$S$101,3,FALSE))</f>
        <v/>
      </c>
      <c r="I9017" s="1" t="str">
        <f>IF(Table2[[#This Row],[Description]]="","",IF(Table2[[#This Row],[Currency]]=$O$2,$P$2,HLOOKUP(Table2[[#This Row],[Date]],Funds!$C$10:$GV$11,2,FALSE)))</f>
        <v/>
      </c>
      <c r="J9017" s="215" t="str">
        <f>IF(Table2[[#This Row],[Description]]="","",Table2[[#This Row],[Value]]/Table2[[#This Row],[Conversion]])</f>
        <v/>
      </c>
      <c r="K9017" s="45" t="str">
        <f>IF(Table2[[#This Row],[Description]]="","",DATE(Table2[[#This Row],[Year]],Table2[[#This Row],[Month]],1))</f>
        <v/>
      </c>
    </row>
    <row r="9018" spans="7:11" x14ac:dyDescent="0.25">
      <c r="G9018" s="1" t="str">
        <f>IF(Table2[[#This Row],[Description]]="","",VLOOKUP(Table2[[#This Row],[Description]],$Q$1:$S$101,2,FALSE))</f>
        <v/>
      </c>
      <c r="H9018" s="1" t="str">
        <f>IF(Table2[[#This Row],[Description]]="","",VLOOKUP(Table2[[#This Row],[Description]],$Q$1:$S$101,3,FALSE))</f>
        <v/>
      </c>
      <c r="I9018" s="1" t="str">
        <f>IF(Table2[[#This Row],[Description]]="","",IF(Table2[[#This Row],[Currency]]=$O$2,$P$2,HLOOKUP(Table2[[#This Row],[Date]],Funds!$C$10:$GV$11,2,FALSE)))</f>
        <v/>
      </c>
      <c r="J9018" s="215" t="str">
        <f>IF(Table2[[#This Row],[Description]]="","",Table2[[#This Row],[Value]]/Table2[[#This Row],[Conversion]])</f>
        <v/>
      </c>
      <c r="K9018" s="45" t="str">
        <f>IF(Table2[[#This Row],[Description]]="","",DATE(Table2[[#This Row],[Year]],Table2[[#This Row],[Month]],1))</f>
        <v/>
      </c>
    </row>
    <row r="9019" spans="7:11" x14ac:dyDescent="0.25">
      <c r="G9019" s="1" t="str">
        <f>IF(Table2[[#This Row],[Description]]="","",VLOOKUP(Table2[[#This Row],[Description]],$Q$1:$S$101,2,FALSE))</f>
        <v/>
      </c>
      <c r="H9019" s="1" t="str">
        <f>IF(Table2[[#This Row],[Description]]="","",VLOOKUP(Table2[[#This Row],[Description]],$Q$1:$S$101,3,FALSE))</f>
        <v/>
      </c>
      <c r="I9019" s="1" t="str">
        <f>IF(Table2[[#This Row],[Description]]="","",IF(Table2[[#This Row],[Currency]]=$O$2,$P$2,HLOOKUP(Table2[[#This Row],[Date]],Funds!$C$10:$GV$11,2,FALSE)))</f>
        <v/>
      </c>
      <c r="J9019" s="215" t="str">
        <f>IF(Table2[[#This Row],[Description]]="","",Table2[[#This Row],[Value]]/Table2[[#This Row],[Conversion]])</f>
        <v/>
      </c>
      <c r="K9019" s="45" t="str">
        <f>IF(Table2[[#This Row],[Description]]="","",DATE(Table2[[#This Row],[Year]],Table2[[#This Row],[Month]],1))</f>
        <v/>
      </c>
    </row>
    <row r="9020" spans="7:11" x14ac:dyDescent="0.25">
      <c r="G9020" s="1" t="str">
        <f>IF(Table2[[#This Row],[Description]]="","",VLOOKUP(Table2[[#This Row],[Description]],$Q$1:$S$101,2,FALSE))</f>
        <v/>
      </c>
      <c r="H9020" s="1" t="str">
        <f>IF(Table2[[#This Row],[Description]]="","",VLOOKUP(Table2[[#This Row],[Description]],$Q$1:$S$101,3,FALSE))</f>
        <v/>
      </c>
      <c r="I9020" s="1" t="str">
        <f>IF(Table2[[#This Row],[Description]]="","",IF(Table2[[#This Row],[Currency]]=$O$2,$P$2,HLOOKUP(Table2[[#This Row],[Date]],Funds!$C$10:$GV$11,2,FALSE)))</f>
        <v/>
      </c>
      <c r="J9020" s="215" t="str">
        <f>IF(Table2[[#This Row],[Description]]="","",Table2[[#This Row],[Value]]/Table2[[#This Row],[Conversion]])</f>
        <v/>
      </c>
      <c r="K9020" s="45" t="str">
        <f>IF(Table2[[#This Row],[Description]]="","",DATE(Table2[[#This Row],[Year]],Table2[[#This Row],[Month]],1))</f>
        <v/>
      </c>
    </row>
    <row r="9021" spans="7:11" x14ac:dyDescent="0.25">
      <c r="G9021" s="1" t="str">
        <f>IF(Table2[[#This Row],[Description]]="","",VLOOKUP(Table2[[#This Row],[Description]],$Q$1:$S$101,2,FALSE))</f>
        <v/>
      </c>
      <c r="H9021" s="1" t="str">
        <f>IF(Table2[[#This Row],[Description]]="","",VLOOKUP(Table2[[#This Row],[Description]],$Q$1:$S$101,3,FALSE))</f>
        <v/>
      </c>
      <c r="I9021" s="1" t="str">
        <f>IF(Table2[[#This Row],[Description]]="","",IF(Table2[[#This Row],[Currency]]=$O$2,$P$2,HLOOKUP(Table2[[#This Row],[Date]],Funds!$C$10:$GV$11,2,FALSE)))</f>
        <v/>
      </c>
      <c r="J9021" s="215" t="str">
        <f>IF(Table2[[#This Row],[Description]]="","",Table2[[#This Row],[Value]]/Table2[[#This Row],[Conversion]])</f>
        <v/>
      </c>
      <c r="K9021" s="45" t="str">
        <f>IF(Table2[[#This Row],[Description]]="","",DATE(Table2[[#This Row],[Year]],Table2[[#This Row],[Month]],1))</f>
        <v/>
      </c>
    </row>
    <row r="9022" spans="7:11" x14ac:dyDescent="0.25">
      <c r="G9022" s="1" t="str">
        <f>IF(Table2[[#This Row],[Description]]="","",VLOOKUP(Table2[[#This Row],[Description]],$Q$1:$S$101,2,FALSE))</f>
        <v/>
      </c>
      <c r="H9022" s="1" t="str">
        <f>IF(Table2[[#This Row],[Description]]="","",VLOOKUP(Table2[[#This Row],[Description]],$Q$1:$S$101,3,FALSE))</f>
        <v/>
      </c>
      <c r="I9022" s="1" t="str">
        <f>IF(Table2[[#This Row],[Description]]="","",IF(Table2[[#This Row],[Currency]]=$O$2,$P$2,HLOOKUP(Table2[[#This Row],[Date]],Funds!$C$10:$GV$11,2,FALSE)))</f>
        <v/>
      </c>
      <c r="J9022" s="215" t="str">
        <f>IF(Table2[[#This Row],[Description]]="","",Table2[[#This Row],[Value]]/Table2[[#This Row],[Conversion]])</f>
        <v/>
      </c>
      <c r="K9022" s="45" t="str">
        <f>IF(Table2[[#This Row],[Description]]="","",DATE(Table2[[#This Row],[Year]],Table2[[#This Row],[Month]],1))</f>
        <v/>
      </c>
    </row>
    <row r="9023" spans="7:11" x14ac:dyDescent="0.25">
      <c r="G9023" s="1" t="str">
        <f>IF(Table2[[#This Row],[Description]]="","",VLOOKUP(Table2[[#This Row],[Description]],$Q$1:$S$101,2,FALSE))</f>
        <v/>
      </c>
      <c r="H9023" s="1" t="str">
        <f>IF(Table2[[#This Row],[Description]]="","",VLOOKUP(Table2[[#This Row],[Description]],$Q$1:$S$101,3,FALSE))</f>
        <v/>
      </c>
      <c r="I9023" s="1" t="str">
        <f>IF(Table2[[#This Row],[Description]]="","",IF(Table2[[#This Row],[Currency]]=$O$2,$P$2,HLOOKUP(Table2[[#This Row],[Date]],Funds!$C$10:$GV$11,2,FALSE)))</f>
        <v/>
      </c>
      <c r="J9023" s="215" t="str">
        <f>IF(Table2[[#This Row],[Description]]="","",Table2[[#This Row],[Value]]/Table2[[#This Row],[Conversion]])</f>
        <v/>
      </c>
      <c r="K9023" s="45" t="str">
        <f>IF(Table2[[#This Row],[Description]]="","",DATE(Table2[[#This Row],[Year]],Table2[[#This Row],[Month]],1))</f>
        <v/>
      </c>
    </row>
    <row r="9024" spans="7:11" x14ac:dyDescent="0.25">
      <c r="G9024" s="1" t="str">
        <f>IF(Table2[[#This Row],[Description]]="","",VLOOKUP(Table2[[#This Row],[Description]],$Q$1:$S$101,2,FALSE))</f>
        <v/>
      </c>
      <c r="H9024" s="1" t="str">
        <f>IF(Table2[[#This Row],[Description]]="","",VLOOKUP(Table2[[#This Row],[Description]],$Q$1:$S$101,3,FALSE))</f>
        <v/>
      </c>
      <c r="I9024" s="1" t="str">
        <f>IF(Table2[[#This Row],[Description]]="","",IF(Table2[[#This Row],[Currency]]=$O$2,$P$2,HLOOKUP(Table2[[#This Row],[Date]],Funds!$C$10:$GV$11,2,FALSE)))</f>
        <v/>
      </c>
      <c r="J9024" s="215" t="str">
        <f>IF(Table2[[#This Row],[Description]]="","",Table2[[#This Row],[Value]]/Table2[[#This Row],[Conversion]])</f>
        <v/>
      </c>
      <c r="K9024" s="45" t="str">
        <f>IF(Table2[[#This Row],[Description]]="","",DATE(Table2[[#This Row],[Year]],Table2[[#This Row],[Month]],1))</f>
        <v/>
      </c>
    </row>
    <row r="9025" spans="7:11" x14ac:dyDescent="0.25">
      <c r="G9025" s="1" t="str">
        <f>IF(Table2[[#This Row],[Description]]="","",VLOOKUP(Table2[[#This Row],[Description]],$Q$1:$S$101,2,FALSE))</f>
        <v/>
      </c>
      <c r="H9025" s="1" t="str">
        <f>IF(Table2[[#This Row],[Description]]="","",VLOOKUP(Table2[[#This Row],[Description]],$Q$1:$S$101,3,FALSE))</f>
        <v/>
      </c>
      <c r="I9025" s="1" t="str">
        <f>IF(Table2[[#This Row],[Description]]="","",IF(Table2[[#This Row],[Currency]]=$O$2,$P$2,HLOOKUP(Table2[[#This Row],[Date]],Funds!$C$10:$GV$11,2,FALSE)))</f>
        <v/>
      </c>
      <c r="J9025" s="215" t="str">
        <f>IF(Table2[[#This Row],[Description]]="","",Table2[[#This Row],[Value]]/Table2[[#This Row],[Conversion]])</f>
        <v/>
      </c>
      <c r="K9025" s="45" t="str">
        <f>IF(Table2[[#This Row],[Description]]="","",DATE(Table2[[#This Row],[Year]],Table2[[#This Row],[Month]],1))</f>
        <v/>
      </c>
    </row>
    <row r="9026" spans="7:11" x14ac:dyDescent="0.25">
      <c r="G9026" s="1" t="str">
        <f>IF(Table2[[#This Row],[Description]]="","",VLOOKUP(Table2[[#This Row],[Description]],$Q$1:$S$101,2,FALSE))</f>
        <v/>
      </c>
      <c r="H9026" s="1" t="str">
        <f>IF(Table2[[#This Row],[Description]]="","",VLOOKUP(Table2[[#This Row],[Description]],$Q$1:$S$101,3,FALSE))</f>
        <v/>
      </c>
      <c r="I9026" s="1" t="str">
        <f>IF(Table2[[#This Row],[Description]]="","",IF(Table2[[#This Row],[Currency]]=$O$2,$P$2,HLOOKUP(Table2[[#This Row],[Date]],Funds!$C$10:$GV$11,2,FALSE)))</f>
        <v/>
      </c>
      <c r="J9026" s="215" t="str">
        <f>IF(Table2[[#This Row],[Description]]="","",Table2[[#This Row],[Value]]/Table2[[#This Row],[Conversion]])</f>
        <v/>
      </c>
      <c r="K9026" s="45" t="str">
        <f>IF(Table2[[#This Row],[Description]]="","",DATE(Table2[[#This Row],[Year]],Table2[[#This Row],[Month]],1))</f>
        <v/>
      </c>
    </row>
    <row r="9027" spans="7:11" x14ac:dyDescent="0.25">
      <c r="G9027" s="1" t="str">
        <f>IF(Table2[[#This Row],[Description]]="","",VLOOKUP(Table2[[#This Row],[Description]],$Q$1:$S$101,2,FALSE))</f>
        <v/>
      </c>
      <c r="H9027" s="1" t="str">
        <f>IF(Table2[[#This Row],[Description]]="","",VLOOKUP(Table2[[#This Row],[Description]],$Q$1:$S$101,3,FALSE))</f>
        <v/>
      </c>
      <c r="I9027" s="1" t="str">
        <f>IF(Table2[[#This Row],[Description]]="","",IF(Table2[[#This Row],[Currency]]=$O$2,$P$2,HLOOKUP(Table2[[#This Row],[Date]],Funds!$C$10:$GV$11,2,FALSE)))</f>
        <v/>
      </c>
      <c r="J9027" s="215" t="str">
        <f>IF(Table2[[#This Row],[Description]]="","",Table2[[#This Row],[Value]]/Table2[[#This Row],[Conversion]])</f>
        <v/>
      </c>
      <c r="K9027" s="45" t="str">
        <f>IF(Table2[[#This Row],[Description]]="","",DATE(Table2[[#This Row],[Year]],Table2[[#This Row],[Month]],1))</f>
        <v/>
      </c>
    </row>
    <row r="9028" spans="7:11" x14ac:dyDescent="0.25">
      <c r="G9028" s="1" t="str">
        <f>IF(Table2[[#This Row],[Description]]="","",VLOOKUP(Table2[[#This Row],[Description]],$Q$1:$S$101,2,FALSE))</f>
        <v/>
      </c>
      <c r="H9028" s="1" t="str">
        <f>IF(Table2[[#This Row],[Description]]="","",VLOOKUP(Table2[[#This Row],[Description]],$Q$1:$S$101,3,FALSE))</f>
        <v/>
      </c>
      <c r="I9028" s="1" t="str">
        <f>IF(Table2[[#This Row],[Description]]="","",IF(Table2[[#This Row],[Currency]]=$O$2,$P$2,HLOOKUP(Table2[[#This Row],[Date]],Funds!$C$10:$GV$11,2,FALSE)))</f>
        <v/>
      </c>
      <c r="J9028" s="215" t="str">
        <f>IF(Table2[[#This Row],[Description]]="","",Table2[[#This Row],[Value]]/Table2[[#This Row],[Conversion]])</f>
        <v/>
      </c>
      <c r="K9028" s="45" t="str">
        <f>IF(Table2[[#This Row],[Description]]="","",DATE(Table2[[#This Row],[Year]],Table2[[#This Row],[Month]],1))</f>
        <v/>
      </c>
    </row>
    <row r="9029" spans="7:11" x14ac:dyDescent="0.25">
      <c r="G9029" s="1" t="str">
        <f>IF(Table2[[#This Row],[Description]]="","",VLOOKUP(Table2[[#This Row],[Description]],$Q$1:$S$101,2,FALSE))</f>
        <v/>
      </c>
      <c r="H9029" s="1" t="str">
        <f>IF(Table2[[#This Row],[Description]]="","",VLOOKUP(Table2[[#This Row],[Description]],$Q$1:$S$101,3,FALSE))</f>
        <v/>
      </c>
      <c r="I9029" s="1" t="str">
        <f>IF(Table2[[#This Row],[Description]]="","",IF(Table2[[#This Row],[Currency]]=$O$2,$P$2,HLOOKUP(Table2[[#This Row],[Date]],Funds!$C$10:$GV$11,2,FALSE)))</f>
        <v/>
      </c>
      <c r="J9029" s="215" t="str">
        <f>IF(Table2[[#This Row],[Description]]="","",Table2[[#This Row],[Value]]/Table2[[#This Row],[Conversion]])</f>
        <v/>
      </c>
      <c r="K9029" s="45" t="str">
        <f>IF(Table2[[#This Row],[Description]]="","",DATE(Table2[[#This Row],[Year]],Table2[[#This Row],[Month]],1))</f>
        <v/>
      </c>
    </row>
    <row r="9030" spans="7:11" x14ac:dyDescent="0.25">
      <c r="G9030" s="1" t="str">
        <f>IF(Table2[[#This Row],[Description]]="","",VLOOKUP(Table2[[#This Row],[Description]],$Q$1:$S$101,2,FALSE))</f>
        <v/>
      </c>
      <c r="H9030" s="1" t="str">
        <f>IF(Table2[[#This Row],[Description]]="","",VLOOKUP(Table2[[#This Row],[Description]],$Q$1:$S$101,3,FALSE))</f>
        <v/>
      </c>
      <c r="I9030" s="1" t="str">
        <f>IF(Table2[[#This Row],[Description]]="","",IF(Table2[[#This Row],[Currency]]=$O$2,$P$2,HLOOKUP(Table2[[#This Row],[Date]],Funds!$C$10:$GV$11,2,FALSE)))</f>
        <v/>
      </c>
      <c r="J9030" s="215" t="str">
        <f>IF(Table2[[#This Row],[Description]]="","",Table2[[#This Row],[Value]]/Table2[[#This Row],[Conversion]])</f>
        <v/>
      </c>
      <c r="K9030" s="45" t="str">
        <f>IF(Table2[[#This Row],[Description]]="","",DATE(Table2[[#This Row],[Year]],Table2[[#This Row],[Month]],1))</f>
        <v/>
      </c>
    </row>
    <row r="9031" spans="7:11" x14ac:dyDescent="0.25">
      <c r="G9031" s="1" t="str">
        <f>IF(Table2[[#This Row],[Description]]="","",VLOOKUP(Table2[[#This Row],[Description]],$Q$1:$S$101,2,FALSE))</f>
        <v/>
      </c>
      <c r="H9031" s="1" t="str">
        <f>IF(Table2[[#This Row],[Description]]="","",VLOOKUP(Table2[[#This Row],[Description]],$Q$1:$S$101,3,FALSE))</f>
        <v/>
      </c>
      <c r="I9031" s="1" t="str">
        <f>IF(Table2[[#This Row],[Description]]="","",IF(Table2[[#This Row],[Currency]]=$O$2,$P$2,HLOOKUP(Table2[[#This Row],[Date]],Funds!$C$10:$GV$11,2,FALSE)))</f>
        <v/>
      </c>
      <c r="J9031" s="215" t="str">
        <f>IF(Table2[[#This Row],[Description]]="","",Table2[[#This Row],[Value]]/Table2[[#This Row],[Conversion]])</f>
        <v/>
      </c>
      <c r="K9031" s="45" t="str">
        <f>IF(Table2[[#This Row],[Description]]="","",DATE(Table2[[#This Row],[Year]],Table2[[#This Row],[Month]],1))</f>
        <v/>
      </c>
    </row>
    <row r="9032" spans="7:11" x14ac:dyDescent="0.25">
      <c r="G9032" s="1" t="str">
        <f>IF(Table2[[#This Row],[Description]]="","",VLOOKUP(Table2[[#This Row],[Description]],$Q$1:$S$101,2,FALSE))</f>
        <v/>
      </c>
      <c r="H9032" s="1" t="str">
        <f>IF(Table2[[#This Row],[Description]]="","",VLOOKUP(Table2[[#This Row],[Description]],$Q$1:$S$101,3,FALSE))</f>
        <v/>
      </c>
      <c r="I9032" s="1" t="str">
        <f>IF(Table2[[#This Row],[Description]]="","",IF(Table2[[#This Row],[Currency]]=$O$2,$P$2,HLOOKUP(Table2[[#This Row],[Date]],Funds!$C$10:$GV$11,2,FALSE)))</f>
        <v/>
      </c>
      <c r="J9032" s="215" t="str">
        <f>IF(Table2[[#This Row],[Description]]="","",Table2[[#This Row],[Value]]/Table2[[#This Row],[Conversion]])</f>
        <v/>
      </c>
      <c r="K9032" s="45" t="str">
        <f>IF(Table2[[#This Row],[Description]]="","",DATE(Table2[[#This Row],[Year]],Table2[[#This Row],[Month]],1))</f>
        <v/>
      </c>
    </row>
    <row r="9033" spans="7:11" x14ac:dyDescent="0.25">
      <c r="G9033" s="1" t="str">
        <f>IF(Table2[[#This Row],[Description]]="","",VLOOKUP(Table2[[#This Row],[Description]],$Q$1:$S$101,2,FALSE))</f>
        <v/>
      </c>
      <c r="H9033" s="1" t="str">
        <f>IF(Table2[[#This Row],[Description]]="","",VLOOKUP(Table2[[#This Row],[Description]],$Q$1:$S$101,3,FALSE))</f>
        <v/>
      </c>
      <c r="I9033" s="1" t="str">
        <f>IF(Table2[[#This Row],[Description]]="","",IF(Table2[[#This Row],[Currency]]=$O$2,$P$2,HLOOKUP(Table2[[#This Row],[Date]],Funds!$C$10:$GV$11,2,FALSE)))</f>
        <v/>
      </c>
      <c r="J9033" s="215" t="str">
        <f>IF(Table2[[#This Row],[Description]]="","",Table2[[#This Row],[Value]]/Table2[[#This Row],[Conversion]])</f>
        <v/>
      </c>
      <c r="K9033" s="45" t="str">
        <f>IF(Table2[[#This Row],[Description]]="","",DATE(Table2[[#This Row],[Year]],Table2[[#This Row],[Month]],1))</f>
        <v/>
      </c>
    </row>
    <row r="9034" spans="7:11" x14ac:dyDescent="0.25">
      <c r="G9034" s="1" t="str">
        <f>IF(Table2[[#This Row],[Description]]="","",VLOOKUP(Table2[[#This Row],[Description]],$Q$1:$S$101,2,FALSE))</f>
        <v/>
      </c>
      <c r="H9034" s="1" t="str">
        <f>IF(Table2[[#This Row],[Description]]="","",VLOOKUP(Table2[[#This Row],[Description]],$Q$1:$S$101,3,FALSE))</f>
        <v/>
      </c>
      <c r="I9034" s="1" t="str">
        <f>IF(Table2[[#This Row],[Description]]="","",IF(Table2[[#This Row],[Currency]]=$O$2,$P$2,HLOOKUP(Table2[[#This Row],[Date]],Funds!$C$10:$GV$11,2,FALSE)))</f>
        <v/>
      </c>
      <c r="J9034" s="215" t="str">
        <f>IF(Table2[[#This Row],[Description]]="","",Table2[[#This Row],[Value]]/Table2[[#This Row],[Conversion]])</f>
        <v/>
      </c>
      <c r="K9034" s="45" t="str">
        <f>IF(Table2[[#This Row],[Description]]="","",DATE(Table2[[#This Row],[Year]],Table2[[#This Row],[Month]],1))</f>
        <v/>
      </c>
    </row>
    <row r="9035" spans="7:11" x14ac:dyDescent="0.25">
      <c r="G9035" s="1" t="str">
        <f>IF(Table2[[#This Row],[Description]]="","",VLOOKUP(Table2[[#This Row],[Description]],$Q$1:$S$101,2,FALSE))</f>
        <v/>
      </c>
      <c r="H9035" s="1" t="str">
        <f>IF(Table2[[#This Row],[Description]]="","",VLOOKUP(Table2[[#This Row],[Description]],$Q$1:$S$101,3,FALSE))</f>
        <v/>
      </c>
      <c r="I9035" s="1" t="str">
        <f>IF(Table2[[#This Row],[Description]]="","",IF(Table2[[#This Row],[Currency]]=$O$2,$P$2,HLOOKUP(Table2[[#This Row],[Date]],Funds!$C$10:$GV$11,2,FALSE)))</f>
        <v/>
      </c>
      <c r="J9035" s="215" t="str">
        <f>IF(Table2[[#This Row],[Description]]="","",Table2[[#This Row],[Value]]/Table2[[#This Row],[Conversion]])</f>
        <v/>
      </c>
      <c r="K9035" s="45" t="str">
        <f>IF(Table2[[#This Row],[Description]]="","",DATE(Table2[[#This Row],[Year]],Table2[[#This Row],[Month]],1))</f>
        <v/>
      </c>
    </row>
    <row r="9036" spans="7:11" x14ac:dyDescent="0.25">
      <c r="G9036" s="1" t="str">
        <f>IF(Table2[[#This Row],[Description]]="","",VLOOKUP(Table2[[#This Row],[Description]],$Q$1:$S$101,2,FALSE))</f>
        <v/>
      </c>
      <c r="H9036" s="1" t="str">
        <f>IF(Table2[[#This Row],[Description]]="","",VLOOKUP(Table2[[#This Row],[Description]],$Q$1:$S$101,3,FALSE))</f>
        <v/>
      </c>
      <c r="I9036" s="1" t="str">
        <f>IF(Table2[[#This Row],[Description]]="","",IF(Table2[[#This Row],[Currency]]=$O$2,$P$2,HLOOKUP(Table2[[#This Row],[Date]],Funds!$C$10:$GV$11,2,FALSE)))</f>
        <v/>
      </c>
      <c r="J9036" s="215" t="str">
        <f>IF(Table2[[#This Row],[Description]]="","",Table2[[#This Row],[Value]]/Table2[[#This Row],[Conversion]])</f>
        <v/>
      </c>
      <c r="K9036" s="45" t="str">
        <f>IF(Table2[[#This Row],[Description]]="","",DATE(Table2[[#This Row],[Year]],Table2[[#This Row],[Month]],1))</f>
        <v/>
      </c>
    </row>
    <row r="9037" spans="7:11" x14ac:dyDescent="0.25">
      <c r="G9037" s="1" t="str">
        <f>IF(Table2[[#This Row],[Description]]="","",VLOOKUP(Table2[[#This Row],[Description]],$Q$1:$S$101,2,FALSE))</f>
        <v/>
      </c>
      <c r="H9037" s="1" t="str">
        <f>IF(Table2[[#This Row],[Description]]="","",VLOOKUP(Table2[[#This Row],[Description]],$Q$1:$S$101,3,FALSE))</f>
        <v/>
      </c>
      <c r="I9037" s="1" t="str">
        <f>IF(Table2[[#This Row],[Description]]="","",IF(Table2[[#This Row],[Currency]]=$O$2,$P$2,HLOOKUP(Table2[[#This Row],[Date]],Funds!$C$10:$GV$11,2,FALSE)))</f>
        <v/>
      </c>
      <c r="J9037" s="215" t="str">
        <f>IF(Table2[[#This Row],[Description]]="","",Table2[[#This Row],[Value]]/Table2[[#This Row],[Conversion]])</f>
        <v/>
      </c>
      <c r="K9037" s="45" t="str">
        <f>IF(Table2[[#This Row],[Description]]="","",DATE(Table2[[#This Row],[Year]],Table2[[#This Row],[Month]],1))</f>
        <v/>
      </c>
    </row>
    <row r="9038" spans="7:11" x14ac:dyDescent="0.25">
      <c r="G9038" s="1" t="str">
        <f>IF(Table2[[#This Row],[Description]]="","",VLOOKUP(Table2[[#This Row],[Description]],$Q$1:$S$101,2,FALSE))</f>
        <v/>
      </c>
      <c r="H9038" s="1" t="str">
        <f>IF(Table2[[#This Row],[Description]]="","",VLOOKUP(Table2[[#This Row],[Description]],$Q$1:$S$101,3,FALSE))</f>
        <v/>
      </c>
      <c r="I9038" s="1" t="str">
        <f>IF(Table2[[#This Row],[Description]]="","",IF(Table2[[#This Row],[Currency]]=$O$2,$P$2,HLOOKUP(Table2[[#This Row],[Date]],Funds!$C$10:$GV$11,2,FALSE)))</f>
        <v/>
      </c>
      <c r="J9038" s="215" t="str">
        <f>IF(Table2[[#This Row],[Description]]="","",Table2[[#This Row],[Value]]/Table2[[#This Row],[Conversion]])</f>
        <v/>
      </c>
      <c r="K9038" s="45" t="str">
        <f>IF(Table2[[#This Row],[Description]]="","",DATE(Table2[[#This Row],[Year]],Table2[[#This Row],[Month]],1))</f>
        <v/>
      </c>
    </row>
    <row r="9039" spans="7:11" x14ac:dyDescent="0.25">
      <c r="G9039" s="1" t="str">
        <f>IF(Table2[[#This Row],[Description]]="","",VLOOKUP(Table2[[#This Row],[Description]],$Q$1:$S$101,2,FALSE))</f>
        <v/>
      </c>
      <c r="H9039" s="1" t="str">
        <f>IF(Table2[[#This Row],[Description]]="","",VLOOKUP(Table2[[#This Row],[Description]],$Q$1:$S$101,3,FALSE))</f>
        <v/>
      </c>
      <c r="I9039" s="1" t="str">
        <f>IF(Table2[[#This Row],[Description]]="","",IF(Table2[[#This Row],[Currency]]=$O$2,$P$2,HLOOKUP(Table2[[#This Row],[Date]],Funds!$C$10:$GV$11,2,FALSE)))</f>
        <v/>
      </c>
      <c r="J9039" s="215" t="str">
        <f>IF(Table2[[#This Row],[Description]]="","",Table2[[#This Row],[Value]]/Table2[[#This Row],[Conversion]])</f>
        <v/>
      </c>
      <c r="K9039" s="45" t="str">
        <f>IF(Table2[[#This Row],[Description]]="","",DATE(Table2[[#This Row],[Year]],Table2[[#This Row],[Month]],1))</f>
        <v/>
      </c>
    </row>
    <row r="9040" spans="7:11" x14ac:dyDescent="0.25">
      <c r="G9040" s="1" t="str">
        <f>IF(Table2[[#This Row],[Description]]="","",VLOOKUP(Table2[[#This Row],[Description]],$Q$1:$S$101,2,FALSE))</f>
        <v/>
      </c>
      <c r="H9040" s="1" t="str">
        <f>IF(Table2[[#This Row],[Description]]="","",VLOOKUP(Table2[[#This Row],[Description]],$Q$1:$S$101,3,FALSE))</f>
        <v/>
      </c>
      <c r="I9040" s="1" t="str">
        <f>IF(Table2[[#This Row],[Description]]="","",IF(Table2[[#This Row],[Currency]]=$O$2,$P$2,HLOOKUP(Table2[[#This Row],[Date]],Funds!$C$10:$GV$11,2,FALSE)))</f>
        <v/>
      </c>
      <c r="J9040" s="215" t="str">
        <f>IF(Table2[[#This Row],[Description]]="","",Table2[[#This Row],[Value]]/Table2[[#This Row],[Conversion]])</f>
        <v/>
      </c>
      <c r="K9040" s="45" t="str">
        <f>IF(Table2[[#This Row],[Description]]="","",DATE(Table2[[#This Row],[Year]],Table2[[#This Row],[Month]],1))</f>
        <v/>
      </c>
    </row>
    <row r="9041" spans="7:11" x14ac:dyDescent="0.25">
      <c r="G9041" s="1" t="str">
        <f>IF(Table2[[#This Row],[Description]]="","",VLOOKUP(Table2[[#This Row],[Description]],$Q$1:$S$101,2,FALSE))</f>
        <v/>
      </c>
      <c r="H9041" s="1" t="str">
        <f>IF(Table2[[#This Row],[Description]]="","",VLOOKUP(Table2[[#This Row],[Description]],$Q$1:$S$101,3,FALSE))</f>
        <v/>
      </c>
      <c r="I9041" s="1" t="str">
        <f>IF(Table2[[#This Row],[Description]]="","",IF(Table2[[#This Row],[Currency]]=$O$2,$P$2,HLOOKUP(Table2[[#This Row],[Date]],Funds!$C$10:$GV$11,2,FALSE)))</f>
        <v/>
      </c>
      <c r="J9041" s="215" t="str">
        <f>IF(Table2[[#This Row],[Description]]="","",Table2[[#This Row],[Value]]/Table2[[#This Row],[Conversion]])</f>
        <v/>
      </c>
      <c r="K9041" s="45" t="str">
        <f>IF(Table2[[#This Row],[Description]]="","",DATE(Table2[[#This Row],[Year]],Table2[[#This Row],[Month]],1))</f>
        <v/>
      </c>
    </row>
    <row r="9042" spans="7:11" x14ac:dyDescent="0.25">
      <c r="G9042" s="1" t="str">
        <f>IF(Table2[[#This Row],[Description]]="","",VLOOKUP(Table2[[#This Row],[Description]],$Q$1:$S$101,2,FALSE))</f>
        <v/>
      </c>
      <c r="H9042" s="1" t="str">
        <f>IF(Table2[[#This Row],[Description]]="","",VLOOKUP(Table2[[#This Row],[Description]],$Q$1:$S$101,3,FALSE))</f>
        <v/>
      </c>
      <c r="I9042" s="1" t="str">
        <f>IF(Table2[[#This Row],[Description]]="","",IF(Table2[[#This Row],[Currency]]=$O$2,$P$2,HLOOKUP(Table2[[#This Row],[Date]],Funds!$C$10:$GV$11,2,FALSE)))</f>
        <v/>
      </c>
      <c r="J9042" s="215" t="str">
        <f>IF(Table2[[#This Row],[Description]]="","",Table2[[#This Row],[Value]]/Table2[[#This Row],[Conversion]])</f>
        <v/>
      </c>
      <c r="K9042" s="45" t="str">
        <f>IF(Table2[[#This Row],[Description]]="","",DATE(Table2[[#This Row],[Year]],Table2[[#This Row],[Month]],1))</f>
        <v/>
      </c>
    </row>
    <row r="9043" spans="7:11" x14ac:dyDescent="0.25">
      <c r="G9043" s="1" t="str">
        <f>IF(Table2[[#This Row],[Description]]="","",VLOOKUP(Table2[[#This Row],[Description]],$Q$1:$S$101,2,FALSE))</f>
        <v/>
      </c>
      <c r="H9043" s="1" t="str">
        <f>IF(Table2[[#This Row],[Description]]="","",VLOOKUP(Table2[[#This Row],[Description]],$Q$1:$S$101,3,FALSE))</f>
        <v/>
      </c>
      <c r="I9043" s="1" t="str">
        <f>IF(Table2[[#This Row],[Description]]="","",IF(Table2[[#This Row],[Currency]]=$O$2,$P$2,HLOOKUP(Table2[[#This Row],[Date]],Funds!$C$10:$GV$11,2,FALSE)))</f>
        <v/>
      </c>
      <c r="J9043" s="215" t="str">
        <f>IF(Table2[[#This Row],[Description]]="","",Table2[[#This Row],[Value]]/Table2[[#This Row],[Conversion]])</f>
        <v/>
      </c>
      <c r="K9043" s="45" t="str">
        <f>IF(Table2[[#This Row],[Description]]="","",DATE(Table2[[#This Row],[Year]],Table2[[#This Row],[Month]],1))</f>
        <v/>
      </c>
    </row>
    <row r="9044" spans="7:11" x14ac:dyDescent="0.25">
      <c r="G9044" s="1" t="str">
        <f>IF(Table2[[#This Row],[Description]]="","",VLOOKUP(Table2[[#This Row],[Description]],$Q$1:$S$101,2,FALSE))</f>
        <v/>
      </c>
      <c r="H9044" s="1" t="str">
        <f>IF(Table2[[#This Row],[Description]]="","",VLOOKUP(Table2[[#This Row],[Description]],$Q$1:$S$101,3,FALSE))</f>
        <v/>
      </c>
      <c r="I9044" s="1" t="str">
        <f>IF(Table2[[#This Row],[Description]]="","",IF(Table2[[#This Row],[Currency]]=$O$2,$P$2,HLOOKUP(Table2[[#This Row],[Date]],Funds!$C$10:$GV$11,2,FALSE)))</f>
        <v/>
      </c>
      <c r="J9044" s="215" t="str">
        <f>IF(Table2[[#This Row],[Description]]="","",Table2[[#This Row],[Value]]/Table2[[#This Row],[Conversion]])</f>
        <v/>
      </c>
      <c r="K9044" s="45" t="str">
        <f>IF(Table2[[#This Row],[Description]]="","",DATE(Table2[[#This Row],[Year]],Table2[[#This Row],[Month]],1))</f>
        <v/>
      </c>
    </row>
    <row r="9045" spans="7:11" x14ac:dyDescent="0.25">
      <c r="G9045" s="1" t="str">
        <f>IF(Table2[[#This Row],[Description]]="","",VLOOKUP(Table2[[#This Row],[Description]],$Q$1:$S$101,2,FALSE))</f>
        <v/>
      </c>
      <c r="H9045" s="1" t="str">
        <f>IF(Table2[[#This Row],[Description]]="","",VLOOKUP(Table2[[#This Row],[Description]],$Q$1:$S$101,3,FALSE))</f>
        <v/>
      </c>
      <c r="I9045" s="1" t="str">
        <f>IF(Table2[[#This Row],[Description]]="","",IF(Table2[[#This Row],[Currency]]=$O$2,$P$2,HLOOKUP(Table2[[#This Row],[Date]],Funds!$C$10:$GV$11,2,FALSE)))</f>
        <v/>
      </c>
      <c r="J9045" s="215" t="str">
        <f>IF(Table2[[#This Row],[Description]]="","",Table2[[#This Row],[Value]]/Table2[[#This Row],[Conversion]])</f>
        <v/>
      </c>
      <c r="K9045" s="45" t="str">
        <f>IF(Table2[[#This Row],[Description]]="","",DATE(Table2[[#This Row],[Year]],Table2[[#This Row],[Month]],1))</f>
        <v/>
      </c>
    </row>
    <row r="9046" spans="7:11" x14ac:dyDescent="0.25">
      <c r="G9046" s="1" t="str">
        <f>IF(Table2[[#This Row],[Description]]="","",VLOOKUP(Table2[[#This Row],[Description]],$Q$1:$S$101,2,FALSE))</f>
        <v/>
      </c>
      <c r="H9046" s="1" t="str">
        <f>IF(Table2[[#This Row],[Description]]="","",VLOOKUP(Table2[[#This Row],[Description]],$Q$1:$S$101,3,FALSE))</f>
        <v/>
      </c>
      <c r="I9046" s="1" t="str">
        <f>IF(Table2[[#This Row],[Description]]="","",IF(Table2[[#This Row],[Currency]]=$O$2,$P$2,HLOOKUP(Table2[[#This Row],[Date]],Funds!$C$10:$GV$11,2,FALSE)))</f>
        <v/>
      </c>
      <c r="J9046" s="215" t="str">
        <f>IF(Table2[[#This Row],[Description]]="","",Table2[[#This Row],[Value]]/Table2[[#This Row],[Conversion]])</f>
        <v/>
      </c>
      <c r="K9046" s="45" t="str">
        <f>IF(Table2[[#This Row],[Description]]="","",DATE(Table2[[#This Row],[Year]],Table2[[#This Row],[Month]],1))</f>
        <v/>
      </c>
    </row>
    <row r="9047" spans="7:11" x14ac:dyDescent="0.25">
      <c r="G9047" s="1" t="str">
        <f>IF(Table2[[#This Row],[Description]]="","",VLOOKUP(Table2[[#This Row],[Description]],$Q$1:$S$101,2,FALSE))</f>
        <v/>
      </c>
      <c r="H9047" s="1" t="str">
        <f>IF(Table2[[#This Row],[Description]]="","",VLOOKUP(Table2[[#This Row],[Description]],$Q$1:$S$101,3,FALSE))</f>
        <v/>
      </c>
      <c r="I9047" s="1" t="str">
        <f>IF(Table2[[#This Row],[Description]]="","",IF(Table2[[#This Row],[Currency]]=$O$2,$P$2,HLOOKUP(Table2[[#This Row],[Date]],Funds!$C$10:$GV$11,2,FALSE)))</f>
        <v/>
      </c>
      <c r="J9047" s="215" t="str">
        <f>IF(Table2[[#This Row],[Description]]="","",Table2[[#This Row],[Value]]/Table2[[#This Row],[Conversion]])</f>
        <v/>
      </c>
      <c r="K9047" s="45" t="str">
        <f>IF(Table2[[#This Row],[Description]]="","",DATE(Table2[[#This Row],[Year]],Table2[[#This Row],[Month]],1))</f>
        <v/>
      </c>
    </row>
    <row r="9048" spans="7:11" x14ac:dyDescent="0.25">
      <c r="G9048" s="1" t="str">
        <f>IF(Table2[[#This Row],[Description]]="","",VLOOKUP(Table2[[#This Row],[Description]],$Q$1:$S$101,2,FALSE))</f>
        <v/>
      </c>
      <c r="H9048" s="1" t="str">
        <f>IF(Table2[[#This Row],[Description]]="","",VLOOKUP(Table2[[#This Row],[Description]],$Q$1:$S$101,3,FALSE))</f>
        <v/>
      </c>
      <c r="I9048" s="1" t="str">
        <f>IF(Table2[[#This Row],[Description]]="","",IF(Table2[[#This Row],[Currency]]=$O$2,$P$2,HLOOKUP(Table2[[#This Row],[Date]],Funds!$C$10:$GV$11,2,FALSE)))</f>
        <v/>
      </c>
      <c r="J9048" s="215" t="str">
        <f>IF(Table2[[#This Row],[Description]]="","",Table2[[#This Row],[Value]]/Table2[[#This Row],[Conversion]])</f>
        <v/>
      </c>
      <c r="K9048" s="45" t="str">
        <f>IF(Table2[[#This Row],[Description]]="","",DATE(Table2[[#This Row],[Year]],Table2[[#This Row],[Month]],1))</f>
        <v/>
      </c>
    </row>
    <row r="9049" spans="7:11" x14ac:dyDescent="0.25">
      <c r="G9049" s="1" t="str">
        <f>IF(Table2[[#This Row],[Description]]="","",VLOOKUP(Table2[[#This Row],[Description]],$Q$1:$S$101,2,FALSE))</f>
        <v/>
      </c>
      <c r="H9049" s="1" t="str">
        <f>IF(Table2[[#This Row],[Description]]="","",VLOOKUP(Table2[[#This Row],[Description]],$Q$1:$S$101,3,FALSE))</f>
        <v/>
      </c>
      <c r="I9049" s="1" t="str">
        <f>IF(Table2[[#This Row],[Description]]="","",IF(Table2[[#This Row],[Currency]]=$O$2,$P$2,HLOOKUP(Table2[[#This Row],[Date]],Funds!$C$10:$GV$11,2,FALSE)))</f>
        <v/>
      </c>
      <c r="J9049" s="215" t="str">
        <f>IF(Table2[[#This Row],[Description]]="","",Table2[[#This Row],[Value]]/Table2[[#This Row],[Conversion]])</f>
        <v/>
      </c>
      <c r="K9049" s="45" t="str">
        <f>IF(Table2[[#This Row],[Description]]="","",DATE(Table2[[#This Row],[Year]],Table2[[#This Row],[Month]],1))</f>
        <v/>
      </c>
    </row>
    <row r="9050" spans="7:11" x14ac:dyDescent="0.25">
      <c r="G9050" s="1" t="str">
        <f>IF(Table2[[#This Row],[Description]]="","",VLOOKUP(Table2[[#This Row],[Description]],$Q$1:$S$101,2,FALSE))</f>
        <v/>
      </c>
      <c r="H9050" s="1" t="str">
        <f>IF(Table2[[#This Row],[Description]]="","",VLOOKUP(Table2[[#This Row],[Description]],$Q$1:$S$101,3,FALSE))</f>
        <v/>
      </c>
      <c r="I9050" s="1" t="str">
        <f>IF(Table2[[#This Row],[Description]]="","",IF(Table2[[#This Row],[Currency]]=$O$2,$P$2,HLOOKUP(Table2[[#This Row],[Date]],Funds!$C$10:$GV$11,2,FALSE)))</f>
        <v/>
      </c>
      <c r="J9050" s="215" t="str">
        <f>IF(Table2[[#This Row],[Description]]="","",Table2[[#This Row],[Value]]/Table2[[#This Row],[Conversion]])</f>
        <v/>
      </c>
      <c r="K9050" s="45" t="str">
        <f>IF(Table2[[#This Row],[Description]]="","",DATE(Table2[[#This Row],[Year]],Table2[[#This Row],[Month]],1))</f>
        <v/>
      </c>
    </row>
    <row r="9051" spans="7:11" x14ac:dyDescent="0.25">
      <c r="G9051" s="1" t="str">
        <f>IF(Table2[[#This Row],[Description]]="","",VLOOKUP(Table2[[#This Row],[Description]],$Q$1:$S$101,2,FALSE))</f>
        <v/>
      </c>
      <c r="H9051" s="1" t="str">
        <f>IF(Table2[[#This Row],[Description]]="","",VLOOKUP(Table2[[#This Row],[Description]],$Q$1:$S$101,3,FALSE))</f>
        <v/>
      </c>
      <c r="I9051" s="1" t="str">
        <f>IF(Table2[[#This Row],[Description]]="","",IF(Table2[[#This Row],[Currency]]=$O$2,$P$2,HLOOKUP(Table2[[#This Row],[Date]],Funds!$C$10:$GV$11,2,FALSE)))</f>
        <v/>
      </c>
      <c r="J9051" s="215" t="str">
        <f>IF(Table2[[#This Row],[Description]]="","",Table2[[#This Row],[Value]]/Table2[[#This Row],[Conversion]])</f>
        <v/>
      </c>
      <c r="K9051" s="45" t="str">
        <f>IF(Table2[[#This Row],[Description]]="","",DATE(Table2[[#This Row],[Year]],Table2[[#This Row],[Month]],1))</f>
        <v/>
      </c>
    </row>
    <row r="9052" spans="7:11" x14ac:dyDescent="0.25">
      <c r="G9052" s="1" t="str">
        <f>IF(Table2[[#This Row],[Description]]="","",VLOOKUP(Table2[[#This Row],[Description]],$Q$1:$S$101,2,FALSE))</f>
        <v/>
      </c>
      <c r="H9052" s="1" t="str">
        <f>IF(Table2[[#This Row],[Description]]="","",VLOOKUP(Table2[[#This Row],[Description]],$Q$1:$S$101,3,FALSE))</f>
        <v/>
      </c>
      <c r="I9052" s="1" t="str">
        <f>IF(Table2[[#This Row],[Description]]="","",IF(Table2[[#This Row],[Currency]]=$O$2,$P$2,HLOOKUP(Table2[[#This Row],[Date]],Funds!$C$10:$GV$11,2,FALSE)))</f>
        <v/>
      </c>
      <c r="J9052" s="215" t="str">
        <f>IF(Table2[[#This Row],[Description]]="","",Table2[[#This Row],[Value]]/Table2[[#This Row],[Conversion]])</f>
        <v/>
      </c>
      <c r="K9052" s="45" t="str">
        <f>IF(Table2[[#This Row],[Description]]="","",DATE(Table2[[#This Row],[Year]],Table2[[#This Row],[Month]],1))</f>
        <v/>
      </c>
    </row>
    <row r="9053" spans="7:11" x14ac:dyDescent="0.25">
      <c r="G9053" s="1" t="str">
        <f>IF(Table2[[#This Row],[Description]]="","",VLOOKUP(Table2[[#This Row],[Description]],$Q$1:$S$101,2,FALSE))</f>
        <v/>
      </c>
      <c r="H9053" s="1" t="str">
        <f>IF(Table2[[#This Row],[Description]]="","",VLOOKUP(Table2[[#This Row],[Description]],$Q$1:$S$101,3,FALSE))</f>
        <v/>
      </c>
      <c r="I9053" s="1" t="str">
        <f>IF(Table2[[#This Row],[Description]]="","",IF(Table2[[#This Row],[Currency]]=$O$2,$P$2,HLOOKUP(Table2[[#This Row],[Date]],Funds!$C$10:$GV$11,2,FALSE)))</f>
        <v/>
      </c>
      <c r="J9053" s="215" t="str">
        <f>IF(Table2[[#This Row],[Description]]="","",Table2[[#This Row],[Value]]/Table2[[#This Row],[Conversion]])</f>
        <v/>
      </c>
      <c r="K9053" s="45" t="str">
        <f>IF(Table2[[#This Row],[Description]]="","",DATE(Table2[[#This Row],[Year]],Table2[[#This Row],[Month]],1))</f>
        <v/>
      </c>
    </row>
    <row r="9054" spans="7:11" x14ac:dyDescent="0.25">
      <c r="G9054" s="1" t="str">
        <f>IF(Table2[[#This Row],[Description]]="","",VLOOKUP(Table2[[#This Row],[Description]],$Q$1:$S$101,2,FALSE))</f>
        <v/>
      </c>
      <c r="H9054" s="1" t="str">
        <f>IF(Table2[[#This Row],[Description]]="","",VLOOKUP(Table2[[#This Row],[Description]],$Q$1:$S$101,3,FALSE))</f>
        <v/>
      </c>
      <c r="I9054" s="1" t="str">
        <f>IF(Table2[[#This Row],[Description]]="","",IF(Table2[[#This Row],[Currency]]=$O$2,$P$2,HLOOKUP(Table2[[#This Row],[Date]],Funds!$C$10:$GV$11,2,FALSE)))</f>
        <v/>
      </c>
      <c r="J9054" s="215" t="str">
        <f>IF(Table2[[#This Row],[Description]]="","",Table2[[#This Row],[Value]]/Table2[[#This Row],[Conversion]])</f>
        <v/>
      </c>
      <c r="K9054" s="45" t="str">
        <f>IF(Table2[[#This Row],[Description]]="","",DATE(Table2[[#This Row],[Year]],Table2[[#This Row],[Month]],1))</f>
        <v/>
      </c>
    </row>
    <row r="9055" spans="7:11" x14ac:dyDescent="0.25">
      <c r="G9055" s="1" t="str">
        <f>IF(Table2[[#This Row],[Description]]="","",VLOOKUP(Table2[[#This Row],[Description]],$Q$1:$S$101,2,FALSE))</f>
        <v/>
      </c>
      <c r="H9055" s="1" t="str">
        <f>IF(Table2[[#This Row],[Description]]="","",VLOOKUP(Table2[[#This Row],[Description]],$Q$1:$S$101,3,FALSE))</f>
        <v/>
      </c>
      <c r="I9055" s="1" t="str">
        <f>IF(Table2[[#This Row],[Description]]="","",IF(Table2[[#This Row],[Currency]]=$O$2,$P$2,HLOOKUP(Table2[[#This Row],[Date]],Funds!$C$10:$GV$11,2,FALSE)))</f>
        <v/>
      </c>
      <c r="J9055" s="215" t="str">
        <f>IF(Table2[[#This Row],[Description]]="","",Table2[[#This Row],[Value]]/Table2[[#This Row],[Conversion]])</f>
        <v/>
      </c>
      <c r="K9055" s="45" t="str">
        <f>IF(Table2[[#This Row],[Description]]="","",DATE(Table2[[#This Row],[Year]],Table2[[#This Row],[Month]],1))</f>
        <v/>
      </c>
    </row>
    <row r="9056" spans="7:11" x14ac:dyDescent="0.25">
      <c r="G9056" s="1" t="str">
        <f>IF(Table2[[#This Row],[Description]]="","",VLOOKUP(Table2[[#This Row],[Description]],$Q$1:$S$101,2,FALSE))</f>
        <v/>
      </c>
      <c r="H9056" s="1" t="str">
        <f>IF(Table2[[#This Row],[Description]]="","",VLOOKUP(Table2[[#This Row],[Description]],$Q$1:$S$101,3,FALSE))</f>
        <v/>
      </c>
      <c r="I9056" s="1" t="str">
        <f>IF(Table2[[#This Row],[Description]]="","",IF(Table2[[#This Row],[Currency]]=$O$2,$P$2,HLOOKUP(Table2[[#This Row],[Date]],Funds!$C$10:$GV$11,2,FALSE)))</f>
        <v/>
      </c>
      <c r="J9056" s="215" t="str">
        <f>IF(Table2[[#This Row],[Description]]="","",Table2[[#This Row],[Value]]/Table2[[#This Row],[Conversion]])</f>
        <v/>
      </c>
      <c r="K9056" s="45" t="str">
        <f>IF(Table2[[#This Row],[Description]]="","",DATE(Table2[[#This Row],[Year]],Table2[[#This Row],[Month]],1))</f>
        <v/>
      </c>
    </row>
    <row r="9057" spans="7:11" x14ac:dyDescent="0.25">
      <c r="G9057" s="1" t="str">
        <f>IF(Table2[[#This Row],[Description]]="","",VLOOKUP(Table2[[#This Row],[Description]],$Q$1:$S$101,2,FALSE))</f>
        <v/>
      </c>
      <c r="H9057" s="1" t="str">
        <f>IF(Table2[[#This Row],[Description]]="","",VLOOKUP(Table2[[#This Row],[Description]],$Q$1:$S$101,3,FALSE))</f>
        <v/>
      </c>
      <c r="I9057" s="1" t="str">
        <f>IF(Table2[[#This Row],[Description]]="","",IF(Table2[[#This Row],[Currency]]=$O$2,$P$2,HLOOKUP(Table2[[#This Row],[Date]],Funds!$C$10:$GV$11,2,FALSE)))</f>
        <v/>
      </c>
      <c r="J9057" s="215" t="str">
        <f>IF(Table2[[#This Row],[Description]]="","",Table2[[#This Row],[Value]]/Table2[[#This Row],[Conversion]])</f>
        <v/>
      </c>
      <c r="K9057" s="45" t="str">
        <f>IF(Table2[[#This Row],[Description]]="","",DATE(Table2[[#This Row],[Year]],Table2[[#This Row],[Month]],1))</f>
        <v/>
      </c>
    </row>
    <row r="9058" spans="7:11" x14ac:dyDescent="0.25">
      <c r="G9058" s="1" t="str">
        <f>IF(Table2[[#This Row],[Description]]="","",VLOOKUP(Table2[[#This Row],[Description]],$Q$1:$S$101,2,FALSE))</f>
        <v/>
      </c>
      <c r="H9058" s="1" t="str">
        <f>IF(Table2[[#This Row],[Description]]="","",VLOOKUP(Table2[[#This Row],[Description]],$Q$1:$S$101,3,FALSE))</f>
        <v/>
      </c>
      <c r="I9058" s="1" t="str">
        <f>IF(Table2[[#This Row],[Description]]="","",IF(Table2[[#This Row],[Currency]]=$O$2,$P$2,HLOOKUP(Table2[[#This Row],[Date]],Funds!$C$10:$GV$11,2,FALSE)))</f>
        <v/>
      </c>
      <c r="J9058" s="215" t="str">
        <f>IF(Table2[[#This Row],[Description]]="","",Table2[[#This Row],[Value]]/Table2[[#This Row],[Conversion]])</f>
        <v/>
      </c>
      <c r="K9058" s="45" t="str">
        <f>IF(Table2[[#This Row],[Description]]="","",DATE(Table2[[#This Row],[Year]],Table2[[#This Row],[Month]],1))</f>
        <v/>
      </c>
    </row>
    <row r="9059" spans="7:11" x14ac:dyDescent="0.25">
      <c r="G9059" s="1" t="str">
        <f>IF(Table2[[#This Row],[Description]]="","",VLOOKUP(Table2[[#This Row],[Description]],$Q$1:$S$101,2,FALSE))</f>
        <v/>
      </c>
      <c r="H9059" s="1" t="str">
        <f>IF(Table2[[#This Row],[Description]]="","",VLOOKUP(Table2[[#This Row],[Description]],$Q$1:$S$101,3,FALSE))</f>
        <v/>
      </c>
      <c r="I9059" s="1" t="str">
        <f>IF(Table2[[#This Row],[Description]]="","",IF(Table2[[#This Row],[Currency]]=$O$2,$P$2,HLOOKUP(Table2[[#This Row],[Date]],Funds!$C$10:$GV$11,2,FALSE)))</f>
        <v/>
      </c>
      <c r="J9059" s="215" t="str">
        <f>IF(Table2[[#This Row],[Description]]="","",Table2[[#This Row],[Value]]/Table2[[#This Row],[Conversion]])</f>
        <v/>
      </c>
      <c r="K9059" s="45" t="str">
        <f>IF(Table2[[#This Row],[Description]]="","",DATE(Table2[[#This Row],[Year]],Table2[[#This Row],[Month]],1))</f>
        <v/>
      </c>
    </row>
    <row r="9060" spans="7:11" x14ac:dyDescent="0.25">
      <c r="G9060" s="1" t="str">
        <f>IF(Table2[[#This Row],[Description]]="","",VLOOKUP(Table2[[#This Row],[Description]],$Q$1:$S$101,2,FALSE))</f>
        <v/>
      </c>
      <c r="H9060" s="1" t="str">
        <f>IF(Table2[[#This Row],[Description]]="","",VLOOKUP(Table2[[#This Row],[Description]],$Q$1:$S$101,3,FALSE))</f>
        <v/>
      </c>
      <c r="I9060" s="1" t="str">
        <f>IF(Table2[[#This Row],[Description]]="","",IF(Table2[[#This Row],[Currency]]=$O$2,$P$2,HLOOKUP(Table2[[#This Row],[Date]],Funds!$C$10:$GV$11,2,FALSE)))</f>
        <v/>
      </c>
      <c r="J9060" s="215" t="str">
        <f>IF(Table2[[#This Row],[Description]]="","",Table2[[#This Row],[Value]]/Table2[[#This Row],[Conversion]])</f>
        <v/>
      </c>
      <c r="K9060" s="45" t="str">
        <f>IF(Table2[[#This Row],[Description]]="","",DATE(Table2[[#This Row],[Year]],Table2[[#This Row],[Month]],1))</f>
        <v/>
      </c>
    </row>
    <row r="9061" spans="7:11" x14ac:dyDescent="0.25">
      <c r="G9061" s="1" t="str">
        <f>IF(Table2[[#This Row],[Description]]="","",VLOOKUP(Table2[[#This Row],[Description]],$Q$1:$S$101,2,FALSE))</f>
        <v/>
      </c>
      <c r="H9061" s="1" t="str">
        <f>IF(Table2[[#This Row],[Description]]="","",VLOOKUP(Table2[[#This Row],[Description]],$Q$1:$S$101,3,FALSE))</f>
        <v/>
      </c>
      <c r="I9061" s="1" t="str">
        <f>IF(Table2[[#This Row],[Description]]="","",IF(Table2[[#This Row],[Currency]]=$O$2,$P$2,HLOOKUP(Table2[[#This Row],[Date]],Funds!$C$10:$GV$11,2,FALSE)))</f>
        <v/>
      </c>
      <c r="J9061" s="215" t="str">
        <f>IF(Table2[[#This Row],[Description]]="","",Table2[[#This Row],[Value]]/Table2[[#This Row],[Conversion]])</f>
        <v/>
      </c>
      <c r="K9061" s="45" t="str">
        <f>IF(Table2[[#This Row],[Description]]="","",DATE(Table2[[#This Row],[Year]],Table2[[#This Row],[Month]],1))</f>
        <v/>
      </c>
    </row>
    <row r="9062" spans="7:11" x14ac:dyDescent="0.25">
      <c r="G9062" s="1" t="str">
        <f>IF(Table2[[#This Row],[Description]]="","",VLOOKUP(Table2[[#This Row],[Description]],$Q$1:$S$101,2,FALSE))</f>
        <v/>
      </c>
      <c r="H9062" s="1" t="str">
        <f>IF(Table2[[#This Row],[Description]]="","",VLOOKUP(Table2[[#This Row],[Description]],$Q$1:$S$101,3,FALSE))</f>
        <v/>
      </c>
      <c r="I9062" s="1" t="str">
        <f>IF(Table2[[#This Row],[Description]]="","",IF(Table2[[#This Row],[Currency]]=$O$2,$P$2,HLOOKUP(Table2[[#This Row],[Date]],Funds!$C$10:$GV$11,2,FALSE)))</f>
        <v/>
      </c>
      <c r="J9062" s="215" t="str">
        <f>IF(Table2[[#This Row],[Description]]="","",Table2[[#This Row],[Value]]/Table2[[#This Row],[Conversion]])</f>
        <v/>
      </c>
      <c r="K9062" s="45" t="str">
        <f>IF(Table2[[#This Row],[Description]]="","",DATE(Table2[[#This Row],[Year]],Table2[[#This Row],[Month]],1))</f>
        <v/>
      </c>
    </row>
    <row r="9063" spans="7:11" x14ac:dyDescent="0.25">
      <c r="G9063" s="1" t="str">
        <f>IF(Table2[[#This Row],[Description]]="","",VLOOKUP(Table2[[#This Row],[Description]],$Q$1:$S$101,2,FALSE))</f>
        <v/>
      </c>
      <c r="H9063" s="1" t="str">
        <f>IF(Table2[[#This Row],[Description]]="","",VLOOKUP(Table2[[#This Row],[Description]],$Q$1:$S$101,3,FALSE))</f>
        <v/>
      </c>
      <c r="I9063" s="1" t="str">
        <f>IF(Table2[[#This Row],[Description]]="","",IF(Table2[[#This Row],[Currency]]=$O$2,$P$2,HLOOKUP(Table2[[#This Row],[Date]],Funds!$C$10:$GV$11,2,FALSE)))</f>
        <v/>
      </c>
      <c r="J9063" s="215" t="str">
        <f>IF(Table2[[#This Row],[Description]]="","",Table2[[#This Row],[Value]]/Table2[[#This Row],[Conversion]])</f>
        <v/>
      </c>
      <c r="K9063" s="45" t="str">
        <f>IF(Table2[[#This Row],[Description]]="","",DATE(Table2[[#This Row],[Year]],Table2[[#This Row],[Month]],1))</f>
        <v/>
      </c>
    </row>
    <row r="9064" spans="7:11" x14ac:dyDescent="0.25">
      <c r="G9064" s="1" t="str">
        <f>IF(Table2[[#This Row],[Description]]="","",VLOOKUP(Table2[[#This Row],[Description]],$Q$1:$S$101,2,FALSE))</f>
        <v/>
      </c>
      <c r="H9064" s="1" t="str">
        <f>IF(Table2[[#This Row],[Description]]="","",VLOOKUP(Table2[[#This Row],[Description]],$Q$1:$S$101,3,FALSE))</f>
        <v/>
      </c>
      <c r="I9064" s="1" t="str">
        <f>IF(Table2[[#This Row],[Description]]="","",IF(Table2[[#This Row],[Currency]]=$O$2,$P$2,HLOOKUP(Table2[[#This Row],[Date]],Funds!$C$10:$GV$11,2,FALSE)))</f>
        <v/>
      </c>
      <c r="J9064" s="215" t="str">
        <f>IF(Table2[[#This Row],[Description]]="","",Table2[[#This Row],[Value]]/Table2[[#This Row],[Conversion]])</f>
        <v/>
      </c>
      <c r="K9064" s="45" t="str">
        <f>IF(Table2[[#This Row],[Description]]="","",DATE(Table2[[#This Row],[Year]],Table2[[#This Row],[Month]],1))</f>
        <v/>
      </c>
    </row>
    <row r="9065" spans="7:11" x14ac:dyDescent="0.25">
      <c r="G9065" s="1" t="str">
        <f>IF(Table2[[#This Row],[Description]]="","",VLOOKUP(Table2[[#This Row],[Description]],$Q$1:$S$101,2,FALSE))</f>
        <v/>
      </c>
      <c r="H9065" s="1" t="str">
        <f>IF(Table2[[#This Row],[Description]]="","",VLOOKUP(Table2[[#This Row],[Description]],$Q$1:$S$101,3,FALSE))</f>
        <v/>
      </c>
      <c r="I9065" s="1" t="str">
        <f>IF(Table2[[#This Row],[Description]]="","",IF(Table2[[#This Row],[Currency]]=$O$2,$P$2,HLOOKUP(Table2[[#This Row],[Date]],Funds!$C$10:$GV$11,2,FALSE)))</f>
        <v/>
      </c>
      <c r="J9065" s="215" t="str">
        <f>IF(Table2[[#This Row],[Description]]="","",Table2[[#This Row],[Value]]/Table2[[#This Row],[Conversion]])</f>
        <v/>
      </c>
      <c r="K9065" s="45" t="str">
        <f>IF(Table2[[#This Row],[Description]]="","",DATE(Table2[[#This Row],[Year]],Table2[[#This Row],[Month]],1))</f>
        <v/>
      </c>
    </row>
    <row r="9066" spans="7:11" x14ac:dyDescent="0.25">
      <c r="G9066" s="1" t="str">
        <f>IF(Table2[[#This Row],[Description]]="","",VLOOKUP(Table2[[#This Row],[Description]],$Q$1:$S$101,2,FALSE))</f>
        <v/>
      </c>
      <c r="H9066" s="1" t="str">
        <f>IF(Table2[[#This Row],[Description]]="","",VLOOKUP(Table2[[#This Row],[Description]],$Q$1:$S$101,3,FALSE))</f>
        <v/>
      </c>
      <c r="I9066" s="1" t="str">
        <f>IF(Table2[[#This Row],[Description]]="","",IF(Table2[[#This Row],[Currency]]=$O$2,$P$2,HLOOKUP(Table2[[#This Row],[Date]],Funds!$C$10:$GV$11,2,FALSE)))</f>
        <v/>
      </c>
      <c r="J9066" s="215" t="str">
        <f>IF(Table2[[#This Row],[Description]]="","",Table2[[#This Row],[Value]]/Table2[[#This Row],[Conversion]])</f>
        <v/>
      </c>
      <c r="K9066" s="45" t="str">
        <f>IF(Table2[[#This Row],[Description]]="","",DATE(Table2[[#This Row],[Year]],Table2[[#This Row],[Month]],1))</f>
        <v/>
      </c>
    </row>
    <row r="9067" spans="7:11" x14ac:dyDescent="0.25">
      <c r="G9067" s="1" t="str">
        <f>IF(Table2[[#This Row],[Description]]="","",VLOOKUP(Table2[[#This Row],[Description]],$Q$1:$S$101,2,FALSE))</f>
        <v/>
      </c>
      <c r="H9067" s="1" t="str">
        <f>IF(Table2[[#This Row],[Description]]="","",VLOOKUP(Table2[[#This Row],[Description]],$Q$1:$S$101,3,FALSE))</f>
        <v/>
      </c>
      <c r="I9067" s="1" t="str">
        <f>IF(Table2[[#This Row],[Description]]="","",IF(Table2[[#This Row],[Currency]]=$O$2,$P$2,HLOOKUP(Table2[[#This Row],[Date]],Funds!$C$10:$GV$11,2,FALSE)))</f>
        <v/>
      </c>
      <c r="J9067" s="215" t="str">
        <f>IF(Table2[[#This Row],[Description]]="","",Table2[[#This Row],[Value]]/Table2[[#This Row],[Conversion]])</f>
        <v/>
      </c>
      <c r="K9067" s="45" t="str">
        <f>IF(Table2[[#This Row],[Description]]="","",DATE(Table2[[#This Row],[Year]],Table2[[#This Row],[Month]],1))</f>
        <v/>
      </c>
    </row>
    <row r="9068" spans="7:11" x14ac:dyDescent="0.25">
      <c r="G9068" s="1" t="str">
        <f>IF(Table2[[#This Row],[Description]]="","",VLOOKUP(Table2[[#This Row],[Description]],$Q$1:$S$101,2,FALSE))</f>
        <v/>
      </c>
      <c r="H9068" s="1" t="str">
        <f>IF(Table2[[#This Row],[Description]]="","",VLOOKUP(Table2[[#This Row],[Description]],$Q$1:$S$101,3,FALSE))</f>
        <v/>
      </c>
      <c r="I9068" s="1" t="str">
        <f>IF(Table2[[#This Row],[Description]]="","",IF(Table2[[#This Row],[Currency]]=$O$2,$P$2,HLOOKUP(Table2[[#This Row],[Date]],Funds!$C$10:$GV$11,2,FALSE)))</f>
        <v/>
      </c>
      <c r="J9068" s="215" t="str">
        <f>IF(Table2[[#This Row],[Description]]="","",Table2[[#This Row],[Value]]/Table2[[#This Row],[Conversion]])</f>
        <v/>
      </c>
      <c r="K9068" s="45" t="str">
        <f>IF(Table2[[#This Row],[Description]]="","",DATE(Table2[[#This Row],[Year]],Table2[[#This Row],[Month]],1))</f>
        <v/>
      </c>
    </row>
    <row r="9069" spans="7:11" x14ac:dyDescent="0.25">
      <c r="G9069" s="1" t="str">
        <f>IF(Table2[[#This Row],[Description]]="","",VLOOKUP(Table2[[#This Row],[Description]],$Q$1:$S$101,2,FALSE))</f>
        <v/>
      </c>
      <c r="H9069" s="1" t="str">
        <f>IF(Table2[[#This Row],[Description]]="","",VLOOKUP(Table2[[#This Row],[Description]],$Q$1:$S$101,3,FALSE))</f>
        <v/>
      </c>
      <c r="I9069" s="1" t="str">
        <f>IF(Table2[[#This Row],[Description]]="","",IF(Table2[[#This Row],[Currency]]=$O$2,$P$2,HLOOKUP(Table2[[#This Row],[Date]],Funds!$C$10:$GV$11,2,FALSE)))</f>
        <v/>
      </c>
      <c r="J9069" s="215" t="str">
        <f>IF(Table2[[#This Row],[Description]]="","",Table2[[#This Row],[Value]]/Table2[[#This Row],[Conversion]])</f>
        <v/>
      </c>
      <c r="K9069" s="45" t="str">
        <f>IF(Table2[[#This Row],[Description]]="","",DATE(Table2[[#This Row],[Year]],Table2[[#This Row],[Month]],1))</f>
        <v/>
      </c>
    </row>
    <row r="9070" spans="7:11" x14ac:dyDescent="0.25">
      <c r="G9070" s="1" t="str">
        <f>IF(Table2[[#This Row],[Description]]="","",VLOOKUP(Table2[[#This Row],[Description]],$Q$1:$S$101,2,FALSE))</f>
        <v/>
      </c>
      <c r="H9070" s="1" t="str">
        <f>IF(Table2[[#This Row],[Description]]="","",VLOOKUP(Table2[[#This Row],[Description]],$Q$1:$S$101,3,FALSE))</f>
        <v/>
      </c>
      <c r="I9070" s="1" t="str">
        <f>IF(Table2[[#This Row],[Description]]="","",IF(Table2[[#This Row],[Currency]]=$O$2,$P$2,HLOOKUP(Table2[[#This Row],[Date]],Funds!$C$10:$GV$11,2,FALSE)))</f>
        <v/>
      </c>
      <c r="J9070" s="215" t="str">
        <f>IF(Table2[[#This Row],[Description]]="","",Table2[[#This Row],[Value]]/Table2[[#This Row],[Conversion]])</f>
        <v/>
      </c>
      <c r="K9070" s="45" t="str">
        <f>IF(Table2[[#This Row],[Description]]="","",DATE(Table2[[#This Row],[Year]],Table2[[#This Row],[Month]],1))</f>
        <v/>
      </c>
    </row>
    <row r="9071" spans="7:11" x14ac:dyDescent="0.25">
      <c r="G9071" s="1" t="str">
        <f>IF(Table2[[#This Row],[Description]]="","",VLOOKUP(Table2[[#This Row],[Description]],$Q$1:$S$101,2,FALSE))</f>
        <v/>
      </c>
      <c r="H9071" s="1" t="str">
        <f>IF(Table2[[#This Row],[Description]]="","",VLOOKUP(Table2[[#This Row],[Description]],$Q$1:$S$101,3,FALSE))</f>
        <v/>
      </c>
      <c r="I9071" s="1" t="str">
        <f>IF(Table2[[#This Row],[Description]]="","",IF(Table2[[#This Row],[Currency]]=$O$2,$P$2,HLOOKUP(Table2[[#This Row],[Date]],Funds!$C$10:$GV$11,2,FALSE)))</f>
        <v/>
      </c>
      <c r="J9071" s="215" t="str">
        <f>IF(Table2[[#This Row],[Description]]="","",Table2[[#This Row],[Value]]/Table2[[#This Row],[Conversion]])</f>
        <v/>
      </c>
      <c r="K9071" s="45" t="str">
        <f>IF(Table2[[#This Row],[Description]]="","",DATE(Table2[[#This Row],[Year]],Table2[[#This Row],[Month]],1))</f>
        <v/>
      </c>
    </row>
    <row r="9072" spans="7:11" x14ac:dyDescent="0.25">
      <c r="G9072" s="1" t="str">
        <f>IF(Table2[[#This Row],[Description]]="","",VLOOKUP(Table2[[#This Row],[Description]],$Q$1:$S$101,2,FALSE))</f>
        <v/>
      </c>
      <c r="H9072" s="1" t="str">
        <f>IF(Table2[[#This Row],[Description]]="","",VLOOKUP(Table2[[#This Row],[Description]],$Q$1:$S$101,3,FALSE))</f>
        <v/>
      </c>
      <c r="I9072" s="1" t="str">
        <f>IF(Table2[[#This Row],[Description]]="","",IF(Table2[[#This Row],[Currency]]=$O$2,$P$2,HLOOKUP(Table2[[#This Row],[Date]],Funds!$C$10:$GV$11,2,FALSE)))</f>
        <v/>
      </c>
      <c r="J9072" s="215" t="str">
        <f>IF(Table2[[#This Row],[Description]]="","",Table2[[#This Row],[Value]]/Table2[[#This Row],[Conversion]])</f>
        <v/>
      </c>
      <c r="K9072" s="45" t="str">
        <f>IF(Table2[[#This Row],[Description]]="","",DATE(Table2[[#This Row],[Year]],Table2[[#This Row],[Month]],1))</f>
        <v/>
      </c>
    </row>
    <row r="9073" spans="7:11" x14ac:dyDescent="0.25">
      <c r="G9073" s="1" t="str">
        <f>IF(Table2[[#This Row],[Description]]="","",VLOOKUP(Table2[[#This Row],[Description]],$Q$1:$S$101,2,FALSE))</f>
        <v/>
      </c>
      <c r="H9073" s="1" t="str">
        <f>IF(Table2[[#This Row],[Description]]="","",VLOOKUP(Table2[[#This Row],[Description]],$Q$1:$S$101,3,FALSE))</f>
        <v/>
      </c>
      <c r="I9073" s="1" t="str">
        <f>IF(Table2[[#This Row],[Description]]="","",IF(Table2[[#This Row],[Currency]]=$O$2,$P$2,HLOOKUP(Table2[[#This Row],[Date]],Funds!$C$10:$GV$11,2,FALSE)))</f>
        <v/>
      </c>
      <c r="J9073" s="215" t="str">
        <f>IF(Table2[[#This Row],[Description]]="","",Table2[[#This Row],[Value]]/Table2[[#This Row],[Conversion]])</f>
        <v/>
      </c>
      <c r="K9073" s="45" t="str">
        <f>IF(Table2[[#This Row],[Description]]="","",DATE(Table2[[#This Row],[Year]],Table2[[#This Row],[Month]],1))</f>
        <v/>
      </c>
    </row>
    <row r="9074" spans="7:11" x14ac:dyDescent="0.25">
      <c r="G9074" s="1" t="str">
        <f>IF(Table2[[#This Row],[Description]]="","",VLOOKUP(Table2[[#This Row],[Description]],$Q$1:$S$101,2,FALSE))</f>
        <v/>
      </c>
      <c r="H9074" s="1" t="str">
        <f>IF(Table2[[#This Row],[Description]]="","",VLOOKUP(Table2[[#This Row],[Description]],$Q$1:$S$101,3,FALSE))</f>
        <v/>
      </c>
      <c r="I9074" s="1" t="str">
        <f>IF(Table2[[#This Row],[Description]]="","",IF(Table2[[#This Row],[Currency]]=$O$2,$P$2,HLOOKUP(Table2[[#This Row],[Date]],Funds!$C$10:$GV$11,2,FALSE)))</f>
        <v/>
      </c>
      <c r="J9074" s="215" t="str">
        <f>IF(Table2[[#This Row],[Description]]="","",Table2[[#This Row],[Value]]/Table2[[#This Row],[Conversion]])</f>
        <v/>
      </c>
      <c r="K9074" s="45" t="str">
        <f>IF(Table2[[#This Row],[Description]]="","",DATE(Table2[[#This Row],[Year]],Table2[[#This Row],[Month]],1))</f>
        <v/>
      </c>
    </row>
    <row r="9075" spans="7:11" x14ac:dyDescent="0.25">
      <c r="G9075" s="1" t="str">
        <f>IF(Table2[[#This Row],[Description]]="","",VLOOKUP(Table2[[#This Row],[Description]],$Q$1:$S$101,2,FALSE))</f>
        <v/>
      </c>
      <c r="H9075" s="1" t="str">
        <f>IF(Table2[[#This Row],[Description]]="","",VLOOKUP(Table2[[#This Row],[Description]],$Q$1:$S$101,3,FALSE))</f>
        <v/>
      </c>
      <c r="I9075" s="1" t="str">
        <f>IF(Table2[[#This Row],[Description]]="","",IF(Table2[[#This Row],[Currency]]=$O$2,$P$2,HLOOKUP(Table2[[#This Row],[Date]],Funds!$C$10:$GV$11,2,FALSE)))</f>
        <v/>
      </c>
      <c r="J9075" s="215" t="str">
        <f>IF(Table2[[#This Row],[Description]]="","",Table2[[#This Row],[Value]]/Table2[[#This Row],[Conversion]])</f>
        <v/>
      </c>
      <c r="K9075" s="45" t="str">
        <f>IF(Table2[[#This Row],[Description]]="","",DATE(Table2[[#This Row],[Year]],Table2[[#This Row],[Month]],1))</f>
        <v/>
      </c>
    </row>
    <row r="9076" spans="7:11" x14ac:dyDescent="0.25">
      <c r="G9076" s="1" t="str">
        <f>IF(Table2[[#This Row],[Description]]="","",VLOOKUP(Table2[[#This Row],[Description]],$Q$1:$S$101,2,FALSE))</f>
        <v/>
      </c>
      <c r="H9076" s="1" t="str">
        <f>IF(Table2[[#This Row],[Description]]="","",VLOOKUP(Table2[[#This Row],[Description]],$Q$1:$S$101,3,FALSE))</f>
        <v/>
      </c>
      <c r="I9076" s="1" t="str">
        <f>IF(Table2[[#This Row],[Description]]="","",IF(Table2[[#This Row],[Currency]]=$O$2,$P$2,HLOOKUP(Table2[[#This Row],[Date]],Funds!$C$10:$GV$11,2,FALSE)))</f>
        <v/>
      </c>
      <c r="J9076" s="215" t="str">
        <f>IF(Table2[[#This Row],[Description]]="","",Table2[[#This Row],[Value]]/Table2[[#This Row],[Conversion]])</f>
        <v/>
      </c>
      <c r="K9076" s="45" t="str">
        <f>IF(Table2[[#This Row],[Description]]="","",DATE(Table2[[#This Row],[Year]],Table2[[#This Row],[Month]],1))</f>
        <v/>
      </c>
    </row>
    <row r="9077" spans="7:11" x14ac:dyDescent="0.25">
      <c r="G9077" s="1" t="str">
        <f>IF(Table2[[#This Row],[Description]]="","",VLOOKUP(Table2[[#This Row],[Description]],$Q$1:$S$101,2,FALSE))</f>
        <v/>
      </c>
      <c r="H9077" s="1" t="str">
        <f>IF(Table2[[#This Row],[Description]]="","",VLOOKUP(Table2[[#This Row],[Description]],$Q$1:$S$101,3,FALSE))</f>
        <v/>
      </c>
      <c r="I9077" s="1" t="str">
        <f>IF(Table2[[#This Row],[Description]]="","",IF(Table2[[#This Row],[Currency]]=$O$2,$P$2,HLOOKUP(Table2[[#This Row],[Date]],Funds!$C$10:$GV$11,2,FALSE)))</f>
        <v/>
      </c>
      <c r="J9077" s="215" t="str">
        <f>IF(Table2[[#This Row],[Description]]="","",Table2[[#This Row],[Value]]/Table2[[#This Row],[Conversion]])</f>
        <v/>
      </c>
      <c r="K9077" s="45" t="str">
        <f>IF(Table2[[#This Row],[Description]]="","",DATE(Table2[[#This Row],[Year]],Table2[[#This Row],[Month]],1))</f>
        <v/>
      </c>
    </row>
    <row r="9078" spans="7:11" x14ac:dyDescent="0.25">
      <c r="G9078" s="1" t="str">
        <f>IF(Table2[[#This Row],[Description]]="","",VLOOKUP(Table2[[#This Row],[Description]],$Q$1:$S$101,2,FALSE))</f>
        <v/>
      </c>
      <c r="H9078" s="1" t="str">
        <f>IF(Table2[[#This Row],[Description]]="","",VLOOKUP(Table2[[#This Row],[Description]],$Q$1:$S$101,3,FALSE))</f>
        <v/>
      </c>
      <c r="I9078" s="1" t="str">
        <f>IF(Table2[[#This Row],[Description]]="","",IF(Table2[[#This Row],[Currency]]=$O$2,$P$2,HLOOKUP(Table2[[#This Row],[Date]],Funds!$C$10:$GV$11,2,FALSE)))</f>
        <v/>
      </c>
      <c r="J9078" s="215" t="str">
        <f>IF(Table2[[#This Row],[Description]]="","",Table2[[#This Row],[Value]]/Table2[[#This Row],[Conversion]])</f>
        <v/>
      </c>
      <c r="K9078" s="45" t="str">
        <f>IF(Table2[[#This Row],[Description]]="","",DATE(Table2[[#This Row],[Year]],Table2[[#This Row],[Month]],1))</f>
        <v/>
      </c>
    </row>
    <row r="9079" spans="7:11" x14ac:dyDescent="0.25">
      <c r="G9079" s="1" t="str">
        <f>IF(Table2[[#This Row],[Description]]="","",VLOOKUP(Table2[[#This Row],[Description]],$Q$1:$S$101,2,FALSE))</f>
        <v/>
      </c>
      <c r="H9079" s="1" t="str">
        <f>IF(Table2[[#This Row],[Description]]="","",VLOOKUP(Table2[[#This Row],[Description]],$Q$1:$S$101,3,FALSE))</f>
        <v/>
      </c>
      <c r="I9079" s="1" t="str">
        <f>IF(Table2[[#This Row],[Description]]="","",IF(Table2[[#This Row],[Currency]]=$O$2,$P$2,HLOOKUP(Table2[[#This Row],[Date]],Funds!$C$10:$GV$11,2,FALSE)))</f>
        <v/>
      </c>
      <c r="J9079" s="215" t="str">
        <f>IF(Table2[[#This Row],[Description]]="","",Table2[[#This Row],[Value]]/Table2[[#This Row],[Conversion]])</f>
        <v/>
      </c>
      <c r="K9079" s="45" t="str">
        <f>IF(Table2[[#This Row],[Description]]="","",DATE(Table2[[#This Row],[Year]],Table2[[#This Row],[Month]],1))</f>
        <v/>
      </c>
    </row>
    <row r="9080" spans="7:11" x14ac:dyDescent="0.25">
      <c r="G9080" s="1" t="str">
        <f>IF(Table2[[#This Row],[Description]]="","",VLOOKUP(Table2[[#This Row],[Description]],$Q$1:$S$101,2,FALSE))</f>
        <v/>
      </c>
      <c r="H9080" s="1" t="str">
        <f>IF(Table2[[#This Row],[Description]]="","",VLOOKUP(Table2[[#This Row],[Description]],$Q$1:$S$101,3,FALSE))</f>
        <v/>
      </c>
      <c r="I9080" s="1" t="str">
        <f>IF(Table2[[#This Row],[Description]]="","",IF(Table2[[#This Row],[Currency]]=$O$2,$P$2,HLOOKUP(Table2[[#This Row],[Date]],Funds!$C$10:$GV$11,2,FALSE)))</f>
        <v/>
      </c>
      <c r="J9080" s="215" t="str">
        <f>IF(Table2[[#This Row],[Description]]="","",Table2[[#This Row],[Value]]/Table2[[#This Row],[Conversion]])</f>
        <v/>
      </c>
      <c r="K9080" s="45" t="str">
        <f>IF(Table2[[#This Row],[Description]]="","",DATE(Table2[[#This Row],[Year]],Table2[[#This Row],[Month]],1))</f>
        <v/>
      </c>
    </row>
    <row r="9081" spans="7:11" x14ac:dyDescent="0.25">
      <c r="G9081" s="1" t="str">
        <f>IF(Table2[[#This Row],[Description]]="","",VLOOKUP(Table2[[#This Row],[Description]],$Q$1:$S$101,2,FALSE))</f>
        <v/>
      </c>
      <c r="H9081" s="1" t="str">
        <f>IF(Table2[[#This Row],[Description]]="","",VLOOKUP(Table2[[#This Row],[Description]],$Q$1:$S$101,3,FALSE))</f>
        <v/>
      </c>
      <c r="I9081" s="1" t="str">
        <f>IF(Table2[[#This Row],[Description]]="","",IF(Table2[[#This Row],[Currency]]=$O$2,$P$2,HLOOKUP(Table2[[#This Row],[Date]],Funds!$C$10:$GV$11,2,FALSE)))</f>
        <v/>
      </c>
      <c r="J9081" s="215" t="str">
        <f>IF(Table2[[#This Row],[Description]]="","",Table2[[#This Row],[Value]]/Table2[[#This Row],[Conversion]])</f>
        <v/>
      </c>
      <c r="K9081" s="45" t="str">
        <f>IF(Table2[[#This Row],[Description]]="","",DATE(Table2[[#This Row],[Year]],Table2[[#This Row],[Month]],1))</f>
        <v/>
      </c>
    </row>
    <row r="9082" spans="7:11" x14ac:dyDescent="0.25">
      <c r="G9082" s="1" t="str">
        <f>IF(Table2[[#This Row],[Description]]="","",VLOOKUP(Table2[[#This Row],[Description]],$Q$1:$S$101,2,FALSE))</f>
        <v/>
      </c>
      <c r="H9082" s="1" t="str">
        <f>IF(Table2[[#This Row],[Description]]="","",VLOOKUP(Table2[[#This Row],[Description]],$Q$1:$S$101,3,FALSE))</f>
        <v/>
      </c>
      <c r="I9082" s="1" t="str">
        <f>IF(Table2[[#This Row],[Description]]="","",IF(Table2[[#This Row],[Currency]]=$O$2,$P$2,HLOOKUP(Table2[[#This Row],[Date]],Funds!$C$10:$GV$11,2,FALSE)))</f>
        <v/>
      </c>
      <c r="J9082" s="215" t="str">
        <f>IF(Table2[[#This Row],[Description]]="","",Table2[[#This Row],[Value]]/Table2[[#This Row],[Conversion]])</f>
        <v/>
      </c>
      <c r="K9082" s="45" t="str">
        <f>IF(Table2[[#This Row],[Description]]="","",DATE(Table2[[#This Row],[Year]],Table2[[#This Row],[Month]],1))</f>
        <v/>
      </c>
    </row>
    <row r="9083" spans="7:11" x14ac:dyDescent="0.25">
      <c r="G9083" s="1" t="str">
        <f>IF(Table2[[#This Row],[Description]]="","",VLOOKUP(Table2[[#This Row],[Description]],$Q$1:$S$101,2,FALSE))</f>
        <v/>
      </c>
      <c r="H9083" s="1" t="str">
        <f>IF(Table2[[#This Row],[Description]]="","",VLOOKUP(Table2[[#This Row],[Description]],$Q$1:$S$101,3,FALSE))</f>
        <v/>
      </c>
      <c r="I9083" s="1" t="str">
        <f>IF(Table2[[#This Row],[Description]]="","",IF(Table2[[#This Row],[Currency]]=$O$2,$P$2,HLOOKUP(Table2[[#This Row],[Date]],Funds!$C$10:$GV$11,2,FALSE)))</f>
        <v/>
      </c>
      <c r="J9083" s="215" t="str">
        <f>IF(Table2[[#This Row],[Description]]="","",Table2[[#This Row],[Value]]/Table2[[#This Row],[Conversion]])</f>
        <v/>
      </c>
      <c r="K9083" s="45" t="str">
        <f>IF(Table2[[#This Row],[Description]]="","",DATE(Table2[[#This Row],[Year]],Table2[[#This Row],[Month]],1))</f>
        <v/>
      </c>
    </row>
    <row r="9084" spans="7:11" x14ac:dyDescent="0.25">
      <c r="G9084" s="1" t="str">
        <f>IF(Table2[[#This Row],[Description]]="","",VLOOKUP(Table2[[#This Row],[Description]],$Q$1:$S$101,2,FALSE))</f>
        <v/>
      </c>
      <c r="H9084" s="1" t="str">
        <f>IF(Table2[[#This Row],[Description]]="","",VLOOKUP(Table2[[#This Row],[Description]],$Q$1:$S$101,3,FALSE))</f>
        <v/>
      </c>
      <c r="I9084" s="1" t="str">
        <f>IF(Table2[[#This Row],[Description]]="","",IF(Table2[[#This Row],[Currency]]=$O$2,$P$2,HLOOKUP(Table2[[#This Row],[Date]],Funds!$C$10:$GV$11,2,FALSE)))</f>
        <v/>
      </c>
      <c r="J9084" s="215" t="str">
        <f>IF(Table2[[#This Row],[Description]]="","",Table2[[#This Row],[Value]]/Table2[[#This Row],[Conversion]])</f>
        <v/>
      </c>
      <c r="K9084" s="45" t="str">
        <f>IF(Table2[[#This Row],[Description]]="","",DATE(Table2[[#This Row],[Year]],Table2[[#This Row],[Month]],1))</f>
        <v/>
      </c>
    </row>
    <row r="9085" spans="7:11" x14ac:dyDescent="0.25">
      <c r="G9085" s="1" t="str">
        <f>IF(Table2[[#This Row],[Description]]="","",VLOOKUP(Table2[[#This Row],[Description]],$Q$1:$S$101,2,FALSE))</f>
        <v/>
      </c>
      <c r="H9085" s="1" t="str">
        <f>IF(Table2[[#This Row],[Description]]="","",VLOOKUP(Table2[[#This Row],[Description]],$Q$1:$S$101,3,FALSE))</f>
        <v/>
      </c>
      <c r="I9085" s="1" t="str">
        <f>IF(Table2[[#This Row],[Description]]="","",IF(Table2[[#This Row],[Currency]]=$O$2,$P$2,HLOOKUP(Table2[[#This Row],[Date]],Funds!$C$10:$GV$11,2,FALSE)))</f>
        <v/>
      </c>
      <c r="J9085" s="215" t="str">
        <f>IF(Table2[[#This Row],[Description]]="","",Table2[[#This Row],[Value]]/Table2[[#This Row],[Conversion]])</f>
        <v/>
      </c>
      <c r="K9085" s="45" t="str">
        <f>IF(Table2[[#This Row],[Description]]="","",DATE(Table2[[#This Row],[Year]],Table2[[#This Row],[Month]],1))</f>
        <v/>
      </c>
    </row>
    <row r="9086" spans="7:11" x14ac:dyDescent="0.25">
      <c r="G9086" s="1" t="str">
        <f>IF(Table2[[#This Row],[Description]]="","",VLOOKUP(Table2[[#This Row],[Description]],$Q$1:$S$101,2,FALSE))</f>
        <v/>
      </c>
      <c r="H9086" s="1" t="str">
        <f>IF(Table2[[#This Row],[Description]]="","",VLOOKUP(Table2[[#This Row],[Description]],$Q$1:$S$101,3,FALSE))</f>
        <v/>
      </c>
      <c r="I9086" s="1" t="str">
        <f>IF(Table2[[#This Row],[Description]]="","",IF(Table2[[#This Row],[Currency]]=$O$2,$P$2,HLOOKUP(Table2[[#This Row],[Date]],Funds!$C$10:$GV$11,2,FALSE)))</f>
        <v/>
      </c>
      <c r="J9086" s="215" t="str">
        <f>IF(Table2[[#This Row],[Description]]="","",Table2[[#This Row],[Value]]/Table2[[#This Row],[Conversion]])</f>
        <v/>
      </c>
      <c r="K9086" s="45" t="str">
        <f>IF(Table2[[#This Row],[Description]]="","",DATE(Table2[[#This Row],[Year]],Table2[[#This Row],[Month]],1))</f>
        <v/>
      </c>
    </row>
    <row r="9087" spans="7:11" x14ac:dyDescent="0.25">
      <c r="G9087" s="1" t="str">
        <f>IF(Table2[[#This Row],[Description]]="","",VLOOKUP(Table2[[#This Row],[Description]],$Q$1:$S$101,2,FALSE))</f>
        <v/>
      </c>
      <c r="H9087" s="1" t="str">
        <f>IF(Table2[[#This Row],[Description]]="","",VLOOKUP(Table2[[#This Row],[Description]],$Q$1:$S$101,3,FALSE))</f>
        <v/>
      </c>
      <c r="I9087" s="1" t="str">
        <f>IF(Table2[[#This Row],[Description]]="","",IF(Table2[[#This Row],[Currency]]=$O$2,$P$2,HLOOKUP(Table2[[#This Row],[Date]],Funds!$C$10:$GV$11,2,FALSE)))</f>
        <v/>
      </c>
      <c r="J9087" s="215" t="str">
        <f>IF(Table2[[#This Row],[Description]]="","",Table2[[#This Row],[Value]]/Table2[[#This Row],[Conversion]])</f>
        <v/>
      </c>
      <c r="K9087" s="45" t="str">
        <f>IF(Table2[[#This Row],[Description]]="","",DATE(Table2[[#This Row],[Year]],Table2[[#This Row],[Month]],1))</f>
        <v/>
      </c>
    </row>
    <row r="9088" spans="7:11" x14ac:dyDescent="0.25">
      <c r="G9088" s="1" t="str">
        <f>IF(Table2[[#This Row],[Description]]="","",VLOOKUP(Table2[[#This Row],[Description]],$Q$1:$S$101,2,FALSE))</f>
        <v/>
      </c>
      <c r="H9088" s="1" t="str">
        <f>IF(Table2[[#This Row],[Description]]="","",VLOOKUP(Table2[[#This Row],[Description]],$Q$1:$S$101,3,FALSE))</f>
        <v/>
      </c>
      <c r="I9088" s="1" t="str">
        <f>IF(Table2[[#This Row],[Description]]="","",IF(Table2[[#This Row],[Currency]]=$O$2,$P$2,HLOOKUP(Table2[[#This Row],[Date]],Funds!$C$10:$GV$11,2,FALSE)))</f>
        <v/>
      </c>
      <c r="J9088" s="215" t="str">
        <f>IF(Table2[[#This Row],[Description]]="","",Table2[[#This Row],[Value]]/Table2[[#This Row],[Conversion]])</f>
        <v/>
      </c>
      <c r="K9088" s="45" t="str">
        <f>IF(Table2[[#This Row],[Description]]="","",DATE(Table2[[#This Row],[Year]],Table2[[#This Row],[Month]],1))</f>
        <v/>
      </c>
    </row>
    <row r="9089" spans="7:11" x14ac:dyDescent="0.25">
      <c r="G9089" s="1" t="str">
        <f>IF(Table2[[#This Row],[Description]]="","",VLOOKUP(Table2[[#This Row],[Description]],$Q$1:$S$101,2,FALSE))</f>
        <v/>
      </c>
      <c r="H9089" s="1" t="str">
        <f>IF(Table2[[#This Row],[Description]]="","",VLOOKUP(Table2[[#This Row],[Description]],$Q$1:$S$101,3,FALSE))</f>
        <v/>
      </c>
      <c r="I9089" s="1" t="str">
        <f>IF(Table2[[#This Row],[Description]]="","",IF(Table2[[#This Row],[Currency]]=$O$2,$P$2,HLOOKUP(Table2[[#This Row],[Date]],Funds!$C$10:$GV$11,2,FALSE)))</f>
        <v/>
      </c>
      <c r="J9089" s="215" t="str">
        <f>IF(Table2[[#This Row],[Description]]="","",Table2[[#This Row],[Value]]/Table2[[#This Row],[Conversion]])</f>
        <v/>
      </c>
      <c r="K9089" s="45" t="str">
        <f>IF(Table2[[#This Row],[Description]]="","",DATE(Table2[[#This Row],[Year]],Table2[[#This Row],[Month]],1))</f>
        <v/>
      </c>
    </row>
    <row r="9090" spans="7:11" x14ac:dyDescent="0.25">
      <c r="G9090" s="1" t="str">
        <f>IF(Table2[[#This Row],[Description]]="","",VLOOKUP(Table2[[#This Row],[Description]],$Q$1:$S$101,2,FALSE))</f>
        <v/>
      </c>
      <c r="H9090" s="1" t="str">
        <f>IF(Table2[[#This Row],[Description]]="","",VLOOKUP(Table2[[#This Row],[Description]],$Q$1:$S$101,3,FALSE))</f>
        <v/>
      </c>
      <c r="I9090" s="1" t="str">
        <f>IF(Table2[[#This Row],[Description]]="","",IF(Table2[[#This Row],[Currency]]=$O$2,$P$2,HLOOKUP(Table2[[#This Row],[Date]],Funds!$C$10:$GV$11,2,FALSE)))</f>
        <v/>
      </c>
      <c r="J9090" s="215" t="str">
        <f>IF(Table2[[#This Row],[Description]]="","",Table2[[#This Row],[Value]]/Table2[[#This Row],[Conversion]])</f>
        <v/>
      </c>
      <c r="K9090" s="45" t="str">
        <f>IF(Table2[[#This Row],[Description]]="","",DATE(Table2[[#This Row],[Year]],Table2[[#This Row],[Month]],1))</f>
        <v/>
      </c>
    </row>
    <row r="9091" spans="7:11" x14ac:dyDescent="0.25">
      <c r="G9091" s="1" t="str">
        <f>IF(Table2[[#This Row],[Description]]="","",VLOOKUP(Table2[[#This Row],[Description]],$Q$1:$S$101,2,FALSE))</f>
        <v/>
      </c>
      <c r="H9091" s="1" t="str">
        <f>IF(Table2[[#This Row],[Description]]="","",VLOOKUP(Table2[[#This Row],[Description]],$Q$1:$S$101,3,FALSE))</f>
        <v/>
      </c>
      <c r="I9091" s="1" t="str">
        <f>IF(Table2[[#This Row],[Description]]="","",IF(Table2[[#This Row],[Currency]]=$O$2,$P$2,HLOOKUP(Table2[[#This Row],[Date]],Funds!$C$10:$GV$11,2,FALSE)))</f>
        <v/>
      </c>
      <c r="J9091" s="215" t="str">
        <f>IF(Table2[[#This Row],[Description]]="","",Table2[[#This Row],[Value]]/Table2[[#This Row],[Conversion]])</f>
        <v/>
      </c>
      <c r="K9091" s="45" t="str">
        <f>IF(Table2[[#This Row],[Description]]="","",DATE(Table2[[#This Row],[Year]],Table2[[#This Row],[Month]],1))</f>
        <v/>
      </c>
    </row>
    <row r="9092" spans="7:11" x14ac:dyDescent="0.25">
      <c r="G9092" s="1" t="str">
        <f>IF(Table2[[#This Row],[Description]]="","",VLOOKUP(Table2[[#This Row],[Description]],$Q$1:$S$101,2,FALSE))</f>
        <v/>
      </c>
      <c r="H9092" s="1" t="str">
        <f>IF(Table2[[#This Row],[Description]]="","",VLOOKUP(Table2[[#This Row],[Description]],$Q$1:$S$101,3,FALSE))</f>
        <v/>
      </c>
      <c r="I9092" s="1" t="str">
        <f>IF(Table2[[#This Row],[Description]]="","",IF(Table2[[#This Row],[Currency]]=$O$2,$P$2,HLOOKUP(Table2[[#This Row],[Date]],Funds!$C$10:$GV$11,2,FALSE)))</f>
        <v/>
      </c>
      <c r="J9092" s="215" t="str">
        <f>IF(Table2[[#This Row],[Description]]="","",Table2[[#This Row],[Value]]/Table2[[#This Row],[Conversion]])</f>
        <v/>
      </c>
      <c r="K9092" s="45" t="str">
        <f>IF(Table2[[#This Row],[Description]]="","",DATE(Table2[[#This Row],[Year]],Table2[[#This Row],[Month]],1))</f>
        <v/>
      </c>
    </row>
    <row r="9093" spans="7:11" x14ac:dyDescent="0.25">
      <c r="G9093" s="1" t="str">
        <f>IF(Table2[[#This Row],[Description]]="","",VLOOKUP(Table2[[#This Row],[Description]],$Q$1:$S$101,2,FALSE))</f>
        <v/>
      </c>
      <c r="H9093" s="1" t="str">
        <f>IF(Table2[[#This Row],[Description]]="","",VLOOKUP(Table2[[#This Row],[Description]],$Q$1:$S$101,3,FALSE))</f>
        <v/>
      </c>
      <c r="I9093" s="1" t="str">
        <f>IF(Table2[[#This Row],[Description]]="","",IF(Table2[[#This Row],[Currency]]=$O$2,$P$2,HLOOKUP(Table2[[#This Row],[Date]],Funds!$C$10:$GV$11,2,FALSE)))</f>
        <v/>
      </c>
      <c r="J9093" s="215" t="str">
        <f>IF(Table2[[#This Row],[Description]]="","",Table2[[#This Row],[Value]]/Table2[[#This Row],[Conversion]])</f>
        <v/>
      </c>
      <c r="K9093" s="45" t="str">
        <f>IF(Table2[[#This Row],[Description]]="","",DATE(Table2[[#This Row],[Year]],Table2[[#This Row],[Month]],1))</f>
        <v/>
      </c>
    </row>
    <row r="9094" spans="7:11" x14ac:dyDescent="0.25">
      <c r="G9094" s="1" t="str">
        <f>IF(Table2[[#This Row],[Description]]="","",VLOOKUP(Table2[[#This Row],[Description]],$Q$1:$S$101,2,FALSE))</f>
        <v/>
      </c>
      <c r="H9094" s="1" t="str">
        <f>IF(Table2[[#This Row],[Description]]="","",VLOOKUP(Table2[[#This Row],[Description]],$Q$1:$S$101,3,FALSE))</f>
        <v/>
      </c>
      <c r="I9094" s="1" t="str">
        <f>IF(Table2[[#This Row],[Description]]="","",IF(Table2[[#This Row],[Currency]]=$O$2,$P$2,HLOOKUP(Table2[[#This Row],[Date]],Funds!$C$10:$GV$11,2,FALSE)))</f>
        <v/>
      </c>
      <c r="J9094" s="215" t="str">
        <f>IF(Table2[[#This Row],[Description]]="","",Table2[[#This Row],[Value]]/Table2[[#This Row],[Conversion]])</f>
        <v/>
      </c>
      <c r="K9094" s="45" t="str">
        <f>IF(Table2[[#This Row],[Description]]="","",DATE(Table2[[#This Row],[Year]],Table2[[#This Row],[Month]],1))</f>
        <v/>
      </c>
    </row>
    <row r="9095" spans="7:11" x14ac:dyDescent="0.25">
      <c r="G9095" s="1" t="str">
        <f>IF(Table2[[#This Row],[Description]]="","",VLOOKUP(Table2[[#This Row],[Description]],$Q$1:$S$101,2,FALSE))</f>
        <v/>
      </c>
      <c r="H9095" s="1" t="str">
        <f>IF(Table2[[#This Row],[Description]]="","",VLOOKUP(Table2[[#This Row],[Description]],$Q$1:$S$101,3,FALSE))</f>
        <v/>
      </c>
      <c r="I9095" s="1" t="str">
        <f>IF(Table2[[#This Row],[Description]]="","",IF(Table2[[#This Row],[Currency]]=$O$2,$P$2,HLOOKUP(Table2[[#This Row],[Date]],Funds!$C$10:$GV$11,2,FALSE)))</f>
        <v/>
      </c>
      <c r="J9095" s="215" t="str">
        <f>IF(Table2[[#This Row],[Description]]="","",Table2[[#This Row],[Value]]/Table2[[#This Row],[Conversion]])</f>
        <v/>
      </c>
      <c r="K9095" s="45" t="str">
        <f>IF(Table2[[#This Row],[Description]]="","",DATE(Table2[[#This Row],[Year]],Table2[[#This Row],[Month]],1))</f>
        <v/>
      </c>
    </row>
    <row r="9096" spans="7:11" x14ac:dyDescent="0.25">
      <c r="G9096" s="1" t="str">
        <f>IF(Table2[[#This Row],[Description]]="","",VLOOKUP(Table2[[#This Row],[Description]],$Q$1:$S$101,2,FALSE))</f>
        <v/>
      </c>
      <c r="H9096" s="1" t="str">
        <f>IF(Table2[[#This Row],[Description]]="","",VLOOKUP(Table2[[#This Row],[Description]],$Q$1:$S$101,3,FALSE))</f>
        <v/>
      </c>
      <c r="I9096" s="1" t="str">
        <f>IF(Table2[[#This Row],[Description]]="","",IF(Table2[[#This Row],[Currency]]=$O$2,$P$2,HLOOKUP(Table2[[#This Row],[Date]],Funds!$C$10:$GV$11,2,FALSE)))</f>
        <v/>
      </c>
      <c r="J9096" s="215" t="str">
        <f>IF(Table2[[#This Row],[Description]]="","",Table2[[#This Row],[Value]]/Table2[[#This Row],[Conversion]])</f>
        <v/>
      </c>
      <c r="K9096" s="45" t="str">
        <f>IF(Table2[[#This Row],[Description]]="","",DATE(Table2[[#This Row],[Year]],Table2[[#This Row],[Month]],1))</f>
        <v/>
      </c>
    </row>
    <row r="9097" spans="7:11" x14ac:dyDescent="0.25">
      <c r="G9097" s="1" t="str">
        <f>IF(Table2[[#This Row],[Description]]="","",VLOOKUP(Table2[[#This Row],[Description]],$Q$1:$S$101,2,FALSE))</f>
        <v/>
      </c>
      <c r="H9097" s="1" t="str">
        <f>IF(Table2[[#This Row],[Description]]="","",VLOOKUP(Table2[[#This Row],[Description]],$Q$1:$S$101,3,FALSE))</f>
        <v/>
      </c>
      <c r="I9097" s="1" t="str">
        <f>IF(Table2[[#This Row],[Description]]="","",IF(Table2[[#This Row],[Currency]]=$O$2,$P$2,HLOOKUP(Table2[[#This Row],[Date]],Funds!$C$10:$GV$11,2,FALSE)))</f>
        <v/>
      </c>
      <c r="J9097" s="215" t="str">
        <f>IF(Table2[[#This Row],[Description]]="","",Table2[[#This Row],[Value]]/Table2[[#This Row],[Conversion]])</f>
        <v/>
      </c>
      <c r="K9097" s="45" t="str">
        <f>IF(Table2[[#This Row],[Description]]="","",DATE(Table2[[#This Row],[Year]],Table2[[#This Row],[Month]],1))</f>
        <v/>
      </c>
    </row>
    <row r="9098" spans="7:11" x14ac:dyDescent="0.25">
      <c r="G9098" s="1" t="str">
        <f>IF(Table2[[#This Row],[Description]]="","",VLOOKUP(Table2[[#This Row],[Description]],$Q$1:$S$101,2,FALSE))</f>
        <v/>
      </c>
      <c r="H9098" s="1" t="str">
        <f>IF(Table2[[#This Row],[Description]]="","",VLOOKUP(Table2[[#This Row],[Description]],$Q$1:$S$101,3,FALSE))</f>
        <v/>
      </c>
      <c r="I9098" s="1" t="str">
        <f>IF(Table2[[#This Row],[Description]]="","",IF(Table2[[#This Row],[Currency]]=$O$2,$P$2,HLOOKUP(Table2[[#This Row],[Date]],Funds!$C$10:$GV$11,2,FALSE)))</f>
        <v/>
      </c>
      <c r="J9098" s="215" t="str">
        <f>IF(Table2[[#This Row],[Description]]="","",Table2[[#This Row],[Value]]/Table2[[#This Row],[Conversion]])</f>
        <v/>
      </c>
      <c r="K9098" s="45" t="str">
        <f>IF(Table2[[#This Row],[Description]]="","",DATE(Table2[[#This Row],[Year]],Table2[[#This Row],[Month]],1))</f>
        <v/>
      </c>
    </row>
    <row r="9099" spans="7:11" x14ac:dyDescent="0.25">
      <c r="G9099" s="1" t="str">
        <f>IF(Table2[[#This Row],[Description]]="","",VLOOKUP(Table2[[#This Row],[Description]],$Q$1:$S$101,2,FALSE))</f>
        <v/>
      </c>
      <c r="H9099" s="1" t="str">
        <f>IF(Table2[[#This Row],[Description]]="","",VLOOKUP(Table2[[#This Row],[Description]],$Q$1:$S$101,3,FALSE))</f>
        <v/>
      </c>
      <c r="I9099" s="1" t="str">
        <f>IF(Table2[[#This Row],[Description]]="","",IF(Table2[[#This Row],[Currency]]=$O$2,$P$2,HLOOKUP(Table2[[#This Row],[Date]],Funds!$C$10:$GV$11,2,FALSE)))</f>
        <v/>
      </c>
      <c r="J9099" s="215" t="str">
        <f>IF(Table2[[#This Row],[Description]]="","",Table2[[#This Row],[Value]]/Table2[[#This Row],[Conversion]])</f>
        <v/>
      </c>
      <c r="K9099" s="45" t="str">
        <f>IF(Table2[[#This Row],[Description]]="","",DATE(Table2[[#This Row],[Year]],Table2[[#This Row],[Month]],1))</f>
        <v/>
      </c>
    </row>
    <row r="9100" spans="7:11" x14ac:dyDescent="0.25">
      <c r="G9100" s="1" t="str">
        <f>IF(Table2[[#This Row],[Description]]="","",VLOOKUP(Table2[[#This Row],[Description]],$Q$1:$S$101,2,FALSE))</f>
        <v/>
      </c>
      <c r="H9100" s="1" t="str">
        <f>IF(Table2[[#This Row],[Description]]="","",VLOOKUP(Table2[[#This Row],[Description]],$Q$1:$S$101,3,FALSE))</f>
        <v/>
      </c>
      <c r="I9100" s="1" t="str">
        <f>IF(Table2[[#This Row],[Description]]="","",IF(Table2[[#This Row],[Currency]]=$O$2,$P$2,HLOOKUP(Table2[[#This Row],[Date]],Funds!$C$10:$GV$11,2,FALSE)))</f>
        <v/>
      </c>
      <c r="J9100" s="215" t="str">
        <f>IF(Table2[[#This Row],[Description]]="","",Table2[[#This Row],[Value]]/Table2[[#This Row],[Conversion]])</f>
        <v/>
      </c>
      <c r="K9100" s="45" t="str">
        <f>IF(Table2[[#This Row],[Description]]="","",DATE(Table2[[#This Row],[Year]],Table2[[#This Row],[Month]],1))</f>
        <v/>
      </c>
    </row>
    <row r="9101" spans="7:11" x14ac:dyDescent="0.25">
      <c r="G9101" s="1" t="str">
        <f>IF(Table2[[#This Row],[Description]]="","",VLOOKUP(Table2[[#This Row],[Description]],$Q$1:$S$101,2,FALSE))</f>
        <v/>
      </c>
      <c r="H9101" s="1" t="str">
        <f>IF(Table2[[#This Row],[Description]]="","",VLOOKUP(Table2[[#This Row],[Description]],$Q$1:$S$101,3,FALSE))</f>
        <v/>
      </c>
      <c r="I9101" s="1" t="str">
        <f>IF(Table2[[#This Row],[Description]]="","",IF(Table2[[#This Row],[Currency]]=$O$2,$P$2,HLOOKUP(Table2[[#This Row],[Date]],Funds!$C$10:$GV$11,2,FALSE)))</f>
        <v/>
      </c>
      <c r="J9101" s="215" t="str">
        <f>IF(Table2[[#This Row],[Description]]="","",Table2[[#This Row],[Value]]/Table2[[#This Row],[Conversion]])</f>
        <v/>
      </c>
      <c r="K9101" s="45" t="str">
        <f>IF(Table2[[#This Row],[Description]]="","",DATE(Table2[[#This Row],[Year]],Table2[[#This Row],[Month]],1))</f>
        <v/>
      </c>
    </row>
    <row r="9102" spans="7:11" x14ac:dyDescent="0.25">
      <c r="G9102" s="1" t="str">
        <f>IF(Table2[[#This Row],[Description]]="","",VLOOKUP(Table2[[#This Row],[Description]],$Q$1:$S$101,2,FALSE))</f>
        <v/>
      </c>
      <c r="H9102" s="1" t="str">
        <f>IF(Table2[[#This Row],[Description]]="","",VLOOKUP(Table2[[#This Row],[Description]],$Q$1:$S$101,3,FALSE))</f>
        <v/>
      </c>
      <c r="I9102" s="1" t="str">
        <f>IF(Table2[[#This Row],[Description]]="","",IF(Table2[[#This Row],[Currency]]=$O$2,$P$2,HLOOKUP(Table2[[#This Row],[Date]],Funds!$C$10:$GV$11,2,FALSE)))</f>
        <v/>
      </c>
      <c r="J9102" s="215" t="str">
        <f>IF(Table2[[#This Row],[Description]]="","",Table2[[#This Row],[Value]]/Table2[[#This Row],[Conversion]])</f>
        <v/>
      </c>
      <c r="K9102" s="45" t="str">
        <f>IF(Table2[[#This Row],[Description]]="","",DATE(Table2[[#This Row],[Year]],Table2[[#This Row],[Month]],1))</f>
        <v/>
      </c>
    </row>
    <row r="9103" spans="7:11" x14ac:dyDescent="0.25">
      <c r="G9103" s="1" t="str">
        <f>IF(Table2[[#This Row],[Description]]="","",VLOOKUP(Table2[[#This Row],[Description]],$Q$1:$S$101,2,FALSE))</f>
        <v/>
      </c>
      <c r="H9103" s="1" t="str">
        <f>IF(Table2[[#This Row],[Description]]="","",VLOOKUP(Table2[[#This Row],[Description]],$Q$1:$S$101,3,FALSE))</f>
        <v/>
      </c>
      <c r="I9103" s="1" t="str">
        <f>IF(Table2[[#This Row],[Description]]="","",IF(Table2[[#This Row],[Currency]]=$O$2,$P$2,HLOOKUP(Table2[[#This Row],[Date]],Funds!$C$10:$GV$11,2,FALSE)))</f>
        <v/>
      </c>
      <c r="J9103" s="215" t="str">
        <f>IF(Table2[[#This Row],[Description]]="","",Table2[[#This Row],[Value]]/Table2[[#This Row],[Conversion]])</f>
        <v/>
      </c>
      <c r="K9103" s="45" t="str">
        <f>IF(Table2[[#This Row],[Description]]="","",DATE(Table2[[#This Row],[Year]],Table2[[#This Row],[Month]],1))</f>
        <v/>
      </c>
    </row>
    <row r="9104" spans="7:11" x14ac:dyDescent="0.25">
      <c r="G9104" s="1" t="str">
        <f>IF(Table2[[#This Row],[Description]]="","",VLOOKUP(Table2[[#This Row],[Description]],$Q$1:$S$101,2,FALSE))</f>
        <v/>
      </c>
      <c r="H9104" s="1" t="str">
        <f>IF(Table2[[#This Row],[Description]]="","",VLOOKUP(Table2[[#This Row],[Description]],$Q$1:$S$101,3,FALSE))</f>
        <v/>
      </c>
      <c r="I9104" s="1" t="str">
        <f>IF(Table2[[#This Row],[Description]]="","",IF(Table2[[#This Row],[Currency]]=$O$2,$P$2,HLOOKUP(Table2[[#This Row],[Date]],Funds!$C$10:$GV$11,2,FALSE)))</f>
        <v/>
      </c>
      <c r="J9104" s="215" t="str">
        <f>IF(Table2[[#This Row],[Description]]="","",Table2[[#This Row],[Value]]/Table2[[#This Row],[Conversion]])</f>
        <v/>
      </c>
      <c r="K9104" s="45" t="str">
        <f>IF(Table2[[#This Row],[Description]]="","",DATE(Table2[[#This Row],[Year]],Table2[[#This Row],[Month]],1))</f>
        <v/>
      </c>
    </row>
    <row r="9105" spans="7:11" x14ac:dyDescent="0.25">
      <c r="G9105" s="1" t="str">
        <f>IF(Table2[[#This Row],[Description]]="","",VLOOKUP(Table2[[#This Row],[Description]],$Q$1:$S$101,2,FALSE))</f>
        <v/>
      </c>
      <c r="H9105" s="1" t="str">
        <f>IF(Table2[[#This Row],[Description]]="","",VLOOKUP(Table2[[#This Row],[Description]],$Q$1:$S$101,3,FALSE))</f>
        <v/>
      </c>
      <c r="I9105" s="1" t="str">
        <f>IF(Table2[[#This Row],[Description]]="","",IF(Table2[[#This Row],[Currency]]=$O$2,$P$2,HLOOKUP(Table2[[#This Row],[Date]],Funds!$C$10:$GV$11,2,FALSE)))</f>
        <v/>
      </c>
      <c r="J9105" s="215" t="str">
        <f>IF(Table2[[#This Row],[Description]]="","",Table2[[#This Row],[Value]]/Table2[[#This Row],[Conversion]])</f>
        <v/>
      </c>
      <c r="K9105" s="45" t="str">
        <f>IF(Table2[[#This Row],[Description]]="","",DATE(Table2[[#This Row],[Year]],Table2[[#This Row],[Month]],1))</f>
        <v/>
      </c>
    </row>
    <row r="9106" spans="7:11" x14ac:dyDescent="0.25">
      <c r="G9106" s="1" t="str">
        <f>IF(Table2[[#This Row],[Description]]="","",VLOOKUP(Table2[[#This Row],[Description]],$Q$1:$S$101,2,FALSE))</f>
        <v/>
      </c>
      <c r="H9106" s="1" t="str">
        <f>IF(Table2[[#This Row],[Description]]="","",VLOOKUP(Table2[[#This Row],[Description]],$Q$1:$S$101,3,FALSE))</f>
        <v/>
      </c>
      <c r="I9106" s="1" t="str">
        <f>IF(Table2[[#This Row],[Description]]="","",IF(Table2[[#This Row],[Currency]]=$O$2,$P$2,HLOOKUP(Table2[[#This Row],[Date]],Funds!$C$10:$GV$11,2,FALSE)))</f>
        <v/>
      </c>
      <c r="J9106" s="215" t="str">
        <f>IF(Table2[[#This Row],[Description]]="","",Table2[[#This Row],[Value]]/Table2[[#This Row],[Conversion]])</f>
        <v/>
      </c>
      <c r="K9106" s="45" t="str">
        <f>IF(Table2[[#This Row],[Description]]="","",DATE(Table2[[#This Row],[Year]],Table2[[#This Row],[Month]],1))</f>
        <v/>
      </c>
    </row>
    <row r="9107" spans="7:11" x14ac:dyDescent="0.25">
      <c r="G9107" s="1" t="str">
        <f>IF(Table2[[#This Row],[Description]]="","",VLOOKUP(Table2[[#This Row],[Description]],$Q$1:$S$101,2,FALSE))</f>
        <v/>
      </c>
      <c r="H9107" s="1" t="str">
        <f>IF(Table2[[#This Row],[Description]]="","",VLOOKUP(Table2[[#This Row],[Description]],$Q$1:$S$101,3,FALSE))</f>
        <v/>
      </c>
      <c r="I9107" s="1" t="str">
        <f>IF(Table2[[#This Row],[Description]]="","",IF(Table2[[#This Row],[Currency]]=$O$2,$P$2,HLOOKUP(Table2[[#This Row],[Date]],Funds!$C$10:$GV$11,2,FALSE)))</f>
        <v/>
      </c>
      <c r="J9107" s="215" t="str">
        <f>IF(Table2[[#This Row],[Description]]="","",Table2[[#This Row],[Value]]/Table2[[#This Row],[Conversion]])</f>
        <v/>
      </c>
      <c r="K9107" s="45" t="str">
        <f>IF(Table2[[#This Row],[Description]]="","",DATE(Table2[[#This Row],[Year]],Table2[[#This Row],[Month]],1))</f>
        <v/>
      </c>
    </row>
    <row r="9108" spans="7:11" x14ac:dyDescent="0.25">
      <c r="G9108" s="1" t="str">
        <f>IF(Table2[[#This Row],[Description]]="","",VLOOKUP(Table2[[#This Row],[Description]],$Q$1:$S$101,2,FALSE))</f>
        <v/>
      </c>
      <c r="H9108" s="1" t="str">
        <f>IF(Table2[[#This Row],[Description]]="","",VLOOKUP(Table2[[#This Row],[Description]],$Q$1:$S$101,3,FALSE))</f>
        <v/>
      </c>
      <c r="I9108" s="1" t="str">
        <f>IF(Table2[[#This Row],[Description]]="","",IF(Table2[[#This Row],[Currency]]=$O$2,$P$2,HLOOKUP(Table2[[#This Row],[Date]],Funds!$C$10:$GV$11,2,FALSE)))</f>
        <v/>
      </c>
      <c r="J9108" s="215" t="str">
        <f>IF(Table2[[#This Row],[Description]]="","",Table2[[#This Row],[Value]]/Table2[[#This Row],[Conversion]])</f>
        <v/>
      </c>
      <c r="K9108" s="45" t="str">
        <f>IF(Table2[[#This Row],[Description]]="","",DATE(Table2[[#This Row],[Year]],Table2[[#This Row],[Month]],1))</f>
        <v/>
      </c>
    </row>
    <row r="9109" spans="7:11" x14ac:dyDescent="0.25">
      <c r="G9109" s="1" t="str">
        <f>IF(Table2[[#This Row],[Description]]="","",VLOOKUP(Table2[[#This Row],[Description]],$Q$1:$S$101,2,FALSE))</f>
        <v/>
      </c>
      <c r="H9109" s="1" t="str">
        <f>IF(Table2[[#This Row],[Description]]="","",VLOOKUP(Table2[[#This Row],[Description]],$Q$1:$S$101,3,FALSE))</f>
        <v/>
      </c>
      <c r="I9109" s="1" t="str">
        <f>IF(Table2[[#This Row],[Description]]="","",IF(Table2[[#This Row],[Currency]]=$O$2,$P$2,HLOOKUP(Table2[[#This Row],[Date]],Funds!$C$10:$GV$11,2,FALSE)))</f>
        <v/>
      </c>
      <c r="J9109" s="215" t="str">
        <f>IF(Table2[[#This Row],[Description]]="","",Table2[[#This Row],[Value]]/Table2[[#This Row],[Conversion]])</f>
        <v/>
      </c>
      <c r="K9109" s="45" t="str">
        <f>IF(Table2[[#This Row],[Description]]="","",DATE(Table2[[#This Row],[Year]],Table2[[#This Row],[Month]],1))</f>
        <v/>
      </c>
    </row>
    <row r="9110" spans="7:11" x14ac:dyDescent="0.25">
      <c r="G9110" s="1" t="str">
        <f>IF(Table2[[#This Row],[Description]]="","",VLOOKUP(Table2[[#This Row],[Description]],$Q$1:$S$101,2,FALSE))</f>
        <v/>
      </c>
      <c r="H9110" s="1" t="str">
        <f>IF(Table2[[#This Row],[Description]]="","",VLOOKUP(Table2[[#This Row],[Description]],$Q$1:$S$101,3,FALSE))</f>
        <v/>
      </c>
      <c r="I9110" s="1" t="str">
        <f>IF(Table2[[#This Row],[Description]]="","",IF(Table2[[#This Row],[Currency]]=$O$2,$P$2,HLOOKUP(Table2[[#This Row],[Date]],Funds!$C$10:$GV$11,2,FALSE)))</f>
        <v/>
      </c>
      <c r="J9110" s="215" t="str">
        <f>IF(Table2[[#This Row],[Description]]="","",Table2[[#This Row],[Value]]/Table2[[#This Row],[Conversion]])</f>
        <v/>
      </c>
      <c r="K9110" s="45" t="str">
        <f>IF(Table2[[#This Row],[Description]]="","",DATE(Table2[[#This Row],[Year]],Table2[[#This Row],[Month]],1))</f>
        <v/>
      </c>
    </row>
    <row r="9111" spans="7:11" x14ac:dyDescent="0.25">
      <c r="G9111" s="1" t="str">
        <f>IF(Table2[[#This Row],[Description]]="","",VLOOKUP(Table2[[#This Row],[Description]],$Q$1:$S$101,2,FALSE))</f>
        <v/>
      </c>
      <c r="H9111" s="1" t="str">
        <f>IF(Table2[[#This Row],[Description]]="","",VLOOKUP(Table2[[#This Row],[Description]],$Q$1:$S$101,3,FALSE))</f>
        <v/>
      </c>
      <c r="I9111" s="1" t="str">
        <f>IF(Table2[[#This Row],[Description]]="","",IF(Table2[[#This Row],[Currency]]=$O$2,$P$2,HLOOKUP(Table2[[#This Row],[Date]],Funds!$C$10:$GV$11,2,FALSE)))</f>
        <v/>
      </c>
      <c r="J9111" s="215" t="str">
        <f>IF(Table2[[#This Row],[Description]]="","",Table2[[#This Row],[Value]]/Table2[[#This Row],[Conversion]])</f>
        <v/>
      </c>
      <c r="K9111" s="45" t="str">
        <f>IF(Table2[[#This Row],[Description]]="","",DATE(Table2[[#This Row],[Year]],Table2[[#This Row],[Month]],1))</f>
        <v/>
      </c>
    </row>
    <row r="9112" spans="7:11" x14ac:dyDescent="0.25">
      <c r="G9112" s="1" t="str">
        <f>IF(Table2[[#This Row],[Description]]="","",VLOOKUP(Table2[[#This Row],[Description]],$Q$1:$S$101,2,FALSE))</f>
        <v/>
      </c>
      <c r="H9112" s="1" t="str">
        <f>IF(Table2[[#This Row],[Description]]="","",VLOOKUP(Table2[[#This Row],[Description]],$Q$1:$S$101,3,FALSE))</f>
        <v/>
      </c>
      <c r="I9112" s="1" t="str">
        <f>IF(Table2[[#This Row],[Description]]="","",IF(Table2[[#This Row],[Currency]]=$O$2,$P$2,HLOOKUP(Table2[[#This Row],[Date]],Funds!$C$10:$GV$11,2,FALSE)))</f>
        <v/>
      </c>
      <c r="J9112" s="215" t="str">
        <f>IF(Table2[[#This Row],[Description]]="","",Table2[[#This Row],[Value]]/Table2[[#This Row],[Conversion]])</f>
        <v/>
      </c>
      <c r="K9112" s="45" t="str">
        <f>IF(Table2[[#This Row],[Description]]="","",DATE(Table2[[#This Row],[Year]],Table2[[#This Row],[Month]],1))</f>
        <v/>
      </c>
    </row>
    <row r="9113" spans="7:11" x14ac:dyDescent="0.25">
      <c r="G9113" s="1" t="str">
        <f>IF(Table2[[#This Row],[Description]]="","",VLOOKUP(Table2[[#This Row],[Description]],$Q$1:$S$101,2,FALSE))</f>
        <v/>
      </c>
      <c r="H9113" s="1" t="str">
        <f>IF(Table2[[#This Row],[Description]]="","",VLOOKUP(Table2[[#This Row],[Description]],$Q$1:$S$101,3,FALSE))</f>
        <v/>
      </c>
      <c r="I9113" s="1" t="str">
        <f>IF(Table2[[#This Row],[Description]]="","",IF(Table2[[#This Row],[Currency]]=$O$2,$P$2,HLOOKUP(Table2[[#This Row],[Date]],Funds!$C$10:$GV$11,2,FALSE)))</f>
        <v/>
      </c>
      <c r="J9113" s="215" t="str">
        <f>IF(Table2[[#This Row],[Description]]="","",Table2[[#This Row],[Value]]/Table2[[#This Row],[Conversion]])</f>
        <v/>
      </c>
      <c r="K9113" s="45" t="str">
        <f>IF(Table2[[#This Row],[Description]]="","",DATE(Table2[[#This Row],[Year]],Table2[[#This Row],[Month]],1))</f>
        <v/>
      </c>
    </row>
    <row r="9114" spans="7:11" x14ac:dyDescent="0.25">
      <c r="G9114" s="1" t="str">
        <f>IF(Table2[[#This Row],[Description]]="","",VLOOKUP(Table2[[#This Row],[Description]],$Q$1:$S$101,2,FALSE))</f>
        <v/>
      </c>
      <c r="H9114" s="1" t="str">
        <f>IF(Table2[[#This Row],[Description]]="","",VLOOKUP(Table2[[#This Row],[Description]],$Q$1:$S$101,3,FALSE))</f>
        <v/>
      </c>
      <c r="I9114" s="1" t="str">
        <f>IF(Table2[[#This Row],[Description]]="","",IF(Table2[[#This Row],[Currency]]=$O$2,$P$2,HLOOKUP(Table2[[#This Row],[Date]],Funds!$C$10:$GV$11,2,FALSE)))</f>
        <v/>
      </c>
      <c r="J9114" s="215" t="str">
        <f>IF(Table2[[#This Row],[Description]]="","",Table2[[#This Row],[Value]]/Table2[[#This Row],[Conversion]])</f>
        <v/>
      </c>
      <c r="K9114" s="45" t="str">
        <f>IF(Table2[[#This Row],[Description]]="","",DATE(Table2[[#This Row],[Year]],Table2[[#This Row],[Month]],1))</f>
        <v/>
      </c>
    </row>
    <row r="9115" spans="7:11" x14ac:dyDescent="0.25">
      <c r="G9115" s="1" t="str">
        <f>IF(Table2[[#This Row],[Description]]="","",VLOOKUP(Table2[[#This Row],[Description]],$Q$1:$S$101,2,FALSE))</f>
        <v/>
      </c>
      <c r="H9115" s="1" t="str">
        <f>IF(Table2[[#This Row],[Description]]="","",VLOOKUP(Table2[[#This Row],[Description]],$Q$1:$S$101,3,FALSE))</f>
        <v/>
      </c>
      <c r="I9115" s="1" t="str">
        <f>IF(Table2[[#This Row],[Description]]="","",IF(Table2[[#This Row],[Currency]]=$O$2,$P$2,HLOOKUP(Table2[[#This Row],[Date]],Funds!$C$10:$GV$11,2,FALSE)))</f>
        <v/>
      </c>
      <c r="J9115" s="215" t="str">
        <f>IF(Table2[[#This Row],[Description]]="","",Table2[[#This Row],[Value]]/Table2[[#This Row],[Conversion]])</f>
        <v/>
      </c>
      <c r="K9115" s="45" t="str">
        <f>IF(Table2[[#This Row],[Description]]="","",DATE(Table2[[#This Row],[Year]],Table2[[#This Row],[Month]],1))</f>
        <v/>
      </c>
    </row>
    <row r="9116" spans="7:11" x14ac:dyDescent="0.25">
      <c r="G9116" s="1" t="str">
        <f>IF(Table2[[#This Row],[Description]]="","",VLOOKUP(Table2[[#This Row],[Description]],$Q$1:$S$101,2,FALSE))</f>
        <v/>
      </c>
      <c r="H9116" s="1" t="str">
        <f>IF(Table2[[#This Row],[Description]]="","",VLOOKUP(Table2[[#This Row],[Description]],$Q$1:$S$101,3,FALSE))</f>
        <v/>
      </c>
      <c r="I9116" s="1" t="str">
        <f>IF(Table2[[#This Row],[Description]]="","",IF(Table2[[#This Row],[Currency]]=$O$2,$P$2,HLOOKUP(Table2[[#This Row],[Date]],Funds!$C$10:$GV$11,2,FALSE)))</f>
        <v/>
      </c>
      <c r="J9116" s="215" t="str">
        <f>IF(Table2[[#This Row],[Description]]="","",Table2[[#This Row],[Value]]/Table2[[#This Row],[Conversion]])</f>
        <v/>
      </c>
      <c r="K9116" s="45" t="str">
        <f>IF(Table2[[#This Row],[Description]]="","",DATE(Table2[[#This Row],[Year]],Table2[[#This Row],[Month]],1))</f>
        <v/>
      </c>
    </row>
    <row r="9117" spans="7:11" x14ac:dyDescent="0.25">
      <c r="G9117" s="1" t="str">
        <f>IF(Table2[[#This Row],[Description]]="","",VLOOKUP(Table2[[#This Row],[Description]],$Q$1:$S$101,2,FALSE))</f>
        <v/>
      </c>
      <c r="H9117" s="1" t="str">
        <f>IF(Table2[[#This Row],[Description]]="","",VLOOKUP(Table2[[#This Row],[Description]],$Q$1:$S$101,3,FALSE))</f>
        <v/>
      </c>
      <c r="I9117" s="1" t="str">
        <f>IF(Table2[[#This Row],[Description]]="","",IF(Table2[[#This Row],[Currency]]=$O$2,$P$2,HLOOKUP(Table2[[#This Row],[Date]],Funds!$C$10:$GV$11,2,FALSE)))</f>
        <v/>
      </c>
      <c r="J9117" s="215" t="str">
        <f>IF(Table2[[#This Row],[Description]]="","",Table2[[#This Row],[Value]]/Table2[[#This Row],[Conversion]])</f>
        <v/>
      </c>
      <c r="K9117" s="45" t="str">
        <f>IF(Table2[[#This Row],[Description]]="","",DATE(Table2[[#This Row],[Year]],Table2[[#This Row],[Month]],1))</f>
        <v/>
      </c>
    </row>
    <row r="9118" spans="7:11" x14ac:dyDescent="0.25">
      <c r="G9118" s="1" t="str">
        <f>IF(Table2[[#This Row],[Description]]="","",VLOOKUP(Table2[[#This Row],[Description]],$Q$1:$S$101,2,FALSE))</f>
        <v/>
      </c>
      <c r="H9118" s="1" t="str">
        <f>IF(Table2[[#This Row],[Description]]="","",VLOOKUP(Table2[[#This Row],[Description]],$Q$1:$S$101,3,FALSE))</f>
        <v/>
      </c>
      <c r="I9118" s="1" t="str">
        <f>IF(Table2[[#This Row],[Description]]="","",IF(Table2[[#This Row],[Currency]]=$O$2,$P$2,HLOOKUP(Table2[[#This Row],[Date]],Funds!$C$10:$GV$11,2,FALSE)))</f>
        <v/>
      </c>
      <c r="J9118" s="215" t="str">
        <f>IF(Table2[[#This Row],[Description]]="","",Table2[[#This Row],[Value]]/Table2[[#This Row],[Conversion]])</f>
        <v/>
      </c>
      <c r="K9118" s="45" t="str">
        <f>IF(Table2[[#This Row],[Description]]="","",DATE(Table2[[#This Row],[Year]],Table2[[#This Row],[Month]],1))</f>
        <v/>
      </c>
    </row>
    <row r="9119" spans="7:11" x14ac:dyDescent="0.25">
      <c r="G9119" s="1" t="str">
        <f>IF(Table2[[#This Row],[Description]]="","",VLOOKUP(Table2[[#This Row],[Description]],$Q$1:$S$101,2,FALSE))</f>
        <v/>
      </c>
      <c r="H9119" s="1" t="str">
        <f>IF(Table2[[#This Row],[Description]]="","",VLOOKUP(Table2[[#This Row],[Description]],$Q$1:$S$101,3,FALSE))</f>
        <v/>
      </c>
      <c r="I9119" s="1" t="str">
        <f>IF(Table2[[#This Row],[Description]]="","",IF(Table2[[#This Row],[Currency]]=$O$2,$P$2,HLOOKUP(Table2[[#This Row],[Date]],Funds!$C$10:$GV$11,2,FALSE)))</f>
        <v/>
      </c>
      <c r="J9119" s="215" t="str">
        <f>IF(Table2[[#This Row],[Description]]="","",Table2[[#This Row],[Value]]/Table2[[#This Row],[Conversion]])</f>
        <v/>
      </c>
      <c r="K9119" s="45" t="str">
        <f>IF(Table2[[#This Row],[Description]]="","",DATE(Table2[[#This Row],[Year]],Table2[[#This Row],[Month]],1))</f>
        <v/>
      </c>
    </row>
    <row r="9120" spans="7:11" x14ac:dyDescent="0.25">
      <c r="G9120" s="1" t="str">
        <f>IF(Table2[[#This Row],[Description]]="","",VLOOKUP(Table2[[#This Row],[Description]],$Q$1:$S$101,2,FALSE))</f>
        <v/>
      </c>
      <c r="H9120" s="1" t="str">
        <f>IF(Table2[[#This Row],[Description]]="","",VLOOKUP(Table2[[#This Row],[Description]],$Q$1:$S$101,3,FALSE))</f>
        <v/>
      </c>
      <c r="I9120" s="1" t="str">
        <f>IF(Table2[[#This Row],[Description]]="","",IF(Table2[[#This Row],[Currency]]=$O$2,$P$2,HLOOKUP(Table2[[#This Row],[Date]],Funds!$C$10:$GV$11,2,FALSE)))</f>
        <v/>
      </c>
      <c r="J9120" s="215" t="str">
        <f>IF(Table2[[#This Row],[Description]]="","",Table2[[#This Row],[Value]]/Table2[[#This Row],[Conversion]])</f>
        <v/>
      </c>
      <c r="K9120" s="45" t="str">
        <f>IF(Table2[[#This Row],[Description]]="","",DATE(Table2[[#This Row],[Year]],Table2[[#This Row],[Month]],1))</f>
        <v/>
      </c>
    </row>
    <row r="9121" spans="7:11" x14ac:dyDescent="0.25">
      <c r="G9121" s="1" t="str">
        <f>IF(Table2[[#This Row],[Description]]="","",VLOOKUP(Table2[[#This Row],[Description]],$Q$1:$S$101,2,FALSE))</f>
        <v/>
      </c>
      <c r="H9121" s="1" t="str">
        <f>IF(Table2[[#This Row],[Description]]="","",VLOOKUP(Table2[[#This Row],[Description]],$Q$1:$S$101,3,FALSE))</f>
        <v/>
      </c>
      <c r="I9121" s="1" t="str">
        <f>IF(Table2[[#This Row],[Description]]="","",IF(Table2[[#This Row],[Currency]]=$O$2,$P$2,HLOOKUP(Table2[[#This Row],[Date]],Funds!$C$10:$GV$11,2,FALSE)))</f>
        <v/>
      </c>
      <c r="J9121" s="215" t="str">
        <f>IF(Table2[[#This Row],[Description]]="","",Table2[[#This Row],[Value]]/Table2[[#This Row],[Conversion]])</f>
        <v/>
      </c>
      <c r="K9121" s="45" t="str">
        <f>IF(Table2[[#This Row],[Description]]="","",DATE(Table2[[#This Row],[Year]],Table2[[#This Row],[Month]],1))</f>
        <v/>
      </c>
    </row>
    <row r="9122" spans="7:11" x14ac:dyDescent="0.25">
      <c r="G9122" s="1" t="str">
        <f>IF(Table2[[#This Row],[Description]]="","",VLOOKUP(Table2[[#This Row],[Description]],$Q$1:$S$101,2,FALSE))</f>
        <v/>
      </c>
      <c r="H9122" s="1" t="str">
        <f>IF(Table2[[#This Row],[Description]]="","",VLOOKUP(Table2[[#This Row],[Description]],$Q$1:$S$101,3,FALSE))</f>
        <v/>
      </c>
      <c r="I9122" s="1" t="str">
        <f>IF(Table2[[#This Row],[Description]]="","",IF(Table2[[#This Row],[Currency]]=$O$2,$P$2,HLOOKUP(Table2[[#This Row],[Date]],Funds!$C$10:$GV$11,2,FALSE)))</f>
        <v/>
      </c>
      <c r="J9122" s="215" t="str">
        <f>IF(Table2[[#This Row],[Description]]="","",Table2[[#This Row],[Value]]/Table2[[#This Row],[Conversion]])</f>
        <v/>
      </c>
      <c r="K9122" s="45" t="str">
        <f>IF(Table2[[#This Row],[Description]]="","",DATE(Table2[[#This Row],[Year]],Table2[[#This Row],[Month]],1))</f>
        <v/>
      </c>
    </row>
    <row r="9123" spans="7:11" x14ac:dyDescent="0.25">
      <c r="G9123" s="1" t="str">
        <f>IF(Table2[[#This Row],[Description]]="","",VLOOKUP(Table2[[#This Row],[Description]],$Q$1:$S$101,2,FALSE))</f>
        <v/>
      </c>
      <c r="H9123" s="1" t="str">
        <f>IF(Table2[[#This Row],[Description]]="","",VLOOKUP(Table2[[#This Row],[Description]],$Q$1:$S$101,3,FALSE))</f>
        <v/>
      </c>
      <c r="I9123" s="1" t="str">
        <f>IF(Table2[[#This Row],[Description]]="","",IF(Table2[[#This Row],[Currency]]=$O$2,$P$2,HLOOKUP(Table2[[#This Row],[Date]],Funds!$C$10:$GV$11,2,FALSE)))</f>
        <v/>
      </c>
      <c r="J9123" s="215" t="str">
        <f>IF(Table2[[#This Row],[Description]]="","",Table2[[#This Row],[Value]]/Table2[[#This Row],[Conversion]])</f>
        <v/>
      </c>
      <c r="K9123" s="45" t="str">
        <f>IF(Table2[[#This Row],[Description]]="","",DATE(Table2[[#This Row],[Year]],Table2[[#This Row],[Month]],1))</f>
        <v/>
      </c>
    </row>
    <row r="9124" spans="7:11" x14ac:dyDescent="0.25">
      <c r="G9124" s="1" t="str">
        <f>IF(Table2[[#This Row],[Description]]="","",VLOOKUP(Table2[[#This Row],[Description]],$Q$1:$S$101,2,FALSE))</f>
        <v/>
      </c>
      <c r="H9124" s="1" t="str">
        <f>IF(Table2[[#This Row],[Description]]="","",VLOOKUP(Table2[[#This Row],[Description]],$Q$1:$S$101,3,FALSE))</f>
        <v/>
      </c>
      <c r="I9124" s="1" t="str">
        <f>IF(Table2[[#This Row],[Description]]="","",IF(Table2[[#This Row],[Currency]]=$O$2,$P$2,HLOOKUP(Table2[[#This Row],[Date]],Funds!$C$10:$GV$11,2,FALSE)))</f>
        <v/>
      </c>
      <c r="J9124" s="215" t="str">
        <f>IF(Table2[[#This Row],[Description]]="","",Table2[[#This Row],[Value]]/Table2[[#This Row],[Conversion]])</f>
        <v/>
      </c>
      <c r="K9124" s="45" t="str">
        <f>IF(Table2[[#This Row],[Description]]="","",DATE(Table2[[#This Row],[Year]],Table2[[#This Row],[Month]],1))</f>
        <v/>
      </c>
    </row>
    <row r="9125" spans="7:11" x14ac:dyDescent="0.25">
      <c r="G9125" s="1" t="str">
        <f>IF(Table2[[#This Row],[Description]]="","",VLOOKUP(Table2[[#This Row],[Description]],$Q$1:$S$101,2,FALSE))</f>
        <v/>
      </c>
      <c r="H9125" s="1" t="str">
        <f>IF(Table2[[#This Row],[Description]]="","",VLOOKUP(Table2[[#This Row],[Description]],$Q$1:$S$101,3,FALSE))</f>
        <v/>
      </c>
      <c r="I9125" s="1" t="str">
        <f>IF(Table2[[#This Row],[Description]]="","",IF(Table2[[#This Row],[Currency]]=$O$2,$P$2,HLOOKUP(Table2[[#This Row],[Date]],Funds!$C$10:$GV$11,2,FALSE)))</f>
        <v/>
      </c>
      <c r="J9125" s="215" t="str">
        <f>IF(Table2[[#This Row],[Description]]="","",Table2[[#This Row],[Value]]/Table2[[#This Row],[Conversion]])</f>
        <v/>
      </c>
      <c r="K9125" s="45" t="str">
        <f>IF(Table2[[#This Row],[Description]]="","",DATE(Table2[[#This Row],[Year]],Table2[[#This Row],[Month]],1))</f>
        <v/>
      </c>
    </row>
    <row r="9126" spans="7:11" x14ac:dyDescent="0.25">
      <c r="G9126" s="1" t="str">
        <f>IF(Table2[[#This Row],[Description]]="","",VLOOKUP(Table2[[#This Row],[Description]],$Q$1:$S$101,2,FALSE))</f>
        <v/>
      </c>
      <c r="H9126" s="1" t="str">
        <f>IF(Table2[[#This Row],[Description]]="","",VLOOKUP(Table2[[#This Row],[Description]],$Q$1:$S$101,3,FALSE))</f>
        <v/>
      </c>
      <c r="I9126" s="1" t="str">
        <f>IF(Table2[[#This Row],[Description]]="","",IF(Table2[[#This Row],[Currency]]=$O$2,$P$2,HLOOKUP(Table2[[#This Row],[Date]],Funds!$C$10:$GV$11,2,FALSE)))</f>
        <v/>
      </c>
      <c r="J9126" s="215" t="str">
        <f>IF(Table2[[#This Row],[Description]]="","",Table2[[#This Row],[Value]]/Table2[[#This Row],[Conversion]])</f>
        <v/>
      </c>
      <c r="K9126" s="45" t="str">
        <f>IF(Table2[[#This Row],[Description]]="","",DATE(Table2[[#This Row],[Year]],Table2[[#This Row],[Month]],1))</f>
        <v/>
      </c>
    </row>
    <row r="9127" spans="7:11" x14ac:dyDescent="0.25">
      <c r="G9127" s="1" t="str">
        <f>IF(Table2[[#This Row],[Description]]="","",VLOOKUP(Table2[[#This Row],[Description]],$Q$1:$S$101,2,FALSE))</f>
        <v/>
      </c>
      <c r="H9127" s="1" t="str">
        <f>IF(Table2[[#This Row],[Description]]="","",VLOOKUP(Table2[[#This Row],[Description]],$Q$1:$S$101,3,FALSE))</f>
        <v/>
      </c>
      <c r="I9127" s="1" t="str">
        <f>IF(Table2[[#This Row],[Description]]="","",IF(Table2[[#This Row],[Currency]]=$O$2,$P$2,HLOOKUP(Table2[[#This Row],[Date]],Funds!$C$10:$GV$11,2,FALSE)))</f>
        <v/>
      </c>
      <c r="J9127" s="215" t="str">
        <f>IF(Table2[[#This Row],[Description]]="","",Table2[[#This Row],[Value]]/Table2[[#This Row],[Conversion]])</f>
        <v/>
      </c>
      <c r="K9127" s="45" t="str">
        <f>IF(Table2[[#This Row],[Description]]="","",DATE(Table2[[#This Row],[Year]],Table2[[#This Row],[Month]],1))</f>
        <v/>
      </c>
    </row>
    <row r="9128" spans="7:11" x14ac:dyDescent="0.25">
      <c r="G9128" s="1" t="str">
        <f>IF(Table2[[#This Row],[Description]]="","",VLOOKUP(Table2[[#This Row],[Description]],$Q$1:$S$101,2,FALSE))</f>
        <v/>
      </c>
      <c r="H9128" s="1" t="str">
        <f>IF(Table2[[#This Row],[Description]]="","",VLOOKUP(Table2[[#This Row],[Description]],$Q$1:$S$101,3,FALSE))</f>
        <v/>
      </c>
      <c r="I9128" s="1" t="str">
        <f>IF(Table2[[#This Row],[Description]]="","",IF(Table2[[#This Row],[Currency]]=$O$2,$P$2,HLOOKUP(Table2[[#This Row],[Date]],Funds!$C$10:$GV$11,2,FALSE)))</f>
        <v/>
      </c>
      <c r="J9128" s="215" t="str">
        <f>IF(Table2[[#This Row],[Description]]="","",Table2[[#This Row],[Value]]/Table2[[#This Row],[Conversion]])</f>
        <v/>
      </c>
      <c r="K9128" s="45" t="str">
        <f>IF(Table2[[#This Row],[Description]]="","",DATE(Table2[[#This Row],[Year]],Table2[[#This Row],[Month]],1))</f>
        <v/>
      </c>
    </row>
    <row r="9129" spans="7:11" x14ac:dyDescent="0.25">
      <c r="G9129" s="1" t="str">
        <f>IF(Table2[[#This Row],[Description]]="","",VLOOKUP(Table2[[#This Row],[Description]],$Q$1:$S$101,2,FALSE))</f>
        <v/>
      </c>
      <c r="H9129" s="1" t="str">
        <f>IF(Table2[[#This Row],[Description]]="","",VLOOKUP(Table2[[#This Row],[Description]],$Q$1:$S$101,3,FALSE))</f>
        <v/>
      </c>
      <c r="I9129" s="1" t="str">
        <f>IF(Table2[[#This Row],[Description]]="","",IF(Table2[[#This Row],[Currency]]=$O$2,$P$2,HLOOKUP(Table2[[#This Row],[Date]],Funds!$C$10:$GV$11,2,FALSE)))</f>
        <v/>
      </c>
      <c r="J9129" s="215" t="str">
        <f>IF(Table2[[#This Row],[Description]]="","",Table2[[#This Row],[Value]]/Table2[[#This Row],[Conversion]])</f>
        <v/>
      </c>
      <c r="K9129" s="45" t="str">
        <f>IF(Table2[[#This Row],[Description]]="","",DATE(Table2[[#This Row],[Year]],Table2[[#This Row],[Month]],1))</f>
        <v/>
      </c>
    </row>
    <row r="9130" spans="7:11" x14ac:dyDescent="0.25">
      <c r="G9130" s="1" t="str">
        <f>IF(Table2[[#This Row],[Description]]="","",VLOOKUP(Table2[[#This Row],[Description]],$Q$1:$S$101,2,FALSE))</f>
        <v/>
      </c>
      <c r="H9130" s="1" t="str">
        <f>IF(Table2[[#This Row],[Description]]="","",VLOOKUP(Table2[[#This Row],[Description]],$Q$1:$S$101,3,FALSE))</f>
        <v/>
      </c>
      <c r="I9130" s="1" t="str">
        <f>IF(Table2[[#This Row],[Description]]="","",IF(Table2[[#This Row],[Currency]]=$O$2,$P$2,HLOOKUP(Table2[[#This Row],[Date]],Funds!$C$10:$GV$11,2,FALSE)))</f>
        <v/>
      </c>
      <c r="J9130" s="215" t="str">
        <f>IF(Table2[[#This Row],[Description]]="","",Table2[[#This Row],[Value]]/Table2[[#This Row],[Conversion]])</f>
        <v/>
      </c>
      <c r="K9130" s="45" t="str">
        <f>IF(Table2[[#This Row],[Description]]="","",DATE(Table2[[#This Row],[Year]],Table2[[#This Row],[Month]],1))</f>
        <v/>
      </c>
    </row>
    <row r="9131" spans="7:11" x14ac:dyDescent="0.25">
      <c r="G9131" s="1" t="str">
        <f>IF(Table2[[#This Row],[Description]]="","",VLOOKUP(Table2[[#This Row],[Description]],$Q$1:$S$101,2,FALSE))</f>
        <v/>
      </c>
      <c r="H9131" s="1" t="str">
        <f>IF(Table2[[#This Row],[Description]]="","",VLOOKUP(Table2[[#This Row],[Description]],$Q$1:$S$101,3,FALSE))</f>
        <v/>
      </c>
      <c r="I9131" s="1" t="str">
        <f>IF(Table2[[#This Row],[Description]]="","",IF(Table2[[#This Row],[Currency]]=$O$2,$P$2,HLOOKUP(Table2[[#This Row],[Date]],Funds!$C$10:$GV$11,2,FALSE)))</f>
        <v/>
      </c>
      <c r="J9131" s="215" t="str">
        <f>IF(Table2[[#This Row],[Description]]="","",Table2[[#This Row],[Value]]/Table2[[#This Row],[Conversion]])</f>
        <v/>
      </c>
      <c r="K9131" s="45" t="str">
        <f>IF(Table2[[#This Row],[Description]]="","",DATE(Table2[[#This Row],[Year]],Table2[[#This Row],[Month]],1))</f>
        <v/>
      </c>
    </row>
    <row r="9132" spans="7:11" x14ac:dyDescent="0.25">
      <c r="G9132" s="1" t="str">
        <f>IF(Table2[[#This Row],[Description]]="","",VLOOKUP(Table2[[#This Row],[Description]],$Q$1:$S$101,2,FALSE))</f>
        <v/>
      </c>
      <c r="H9132" s="1" t="str">
        <f>IF(Table2[[#This Row],[Description]]="","",VLOOKUP(Table2[[#This Row],[Description]],$Q$1:$S$101,3,FALSE))</f>
        <v/>
      </c>
      <c r="I9132" s="1" t="str">
        <f>IF(Table2[[#This Row],[Description]]="","",IF(Table2[[#This Row],[Currency]]=$O$2,$P$2,HLOOKUP(Table2[[#This Row],[Date]],Funds!$C$10:$GV$11,2,FALSE)))</f>
        <v/>
      </c>
      <c r="J9132" s="215" t="str">
        <f>IF(Table2[[#This Row],[Description]]="","",Table2[[#This Row],[Value]]/Table2[[#This Row],[Conversion]])</f>
        <v/>
      </c>
      <c r="K9132" s="45" t="str">
        <f>IF(Table2[[#This Row],[Description]]="","",DATE(Table2[[#This Row],[Year]],Table2[[#This Row],[Month]],1))</f>
        <v/>
      </c>
    </row>
    <row r="9133" spans="7:11" x14ac:dyDescent="0.25">
      <c r="G9133" s="1" t="str">
        <f>IF(Table2[[#This Row],[Description]]="","",VLOOKUP(Table2[[#This Row],[Description]],$Q$1:$S$101,2,FALSE))</f>
        <v/>
      </c>
      <c r="H9133" s="1" t="str">
        <f>IF(Table2[[#This Row],[Description]]="","",VLOOKUP(Table2[[#This Row],[Description]],$Q$1:$S$101,3,FALSE))</f>
        <v/>
      </c>
      <c r="I9133" s="1" t="str">
        <f>IF(Table2[[#This Row],[Description]]="","",IF(Table2[[#This Row],[Currency]]=$O$2,$P$2,HLOOKUP(Table2[[#This Row],[Date]],Funds!$C$10:$GV$11,2,FALSE)))</f>
        <v/>
      </c>
      <c r="J9133" s="215" t="str">
        <f>IF(Table2[[#This Row],[Description]]="","",Table2[[#This Row],[Value]]/Table2[[#This Row],[Conversion]])</f>
        <v/>
      </c>
      <c r="K9133" s="45" t="str">
        <f>IF(Table2[[#This Row],[Description]]="","",DATE(Table2[[#This Row],[Year]],Table2[[#This Row],[Month]],1))</f>
        <v/>
      </c>
    </row>
    <row r="9134" spans="7:11" x14ac:dyDescent="0.25">
      <c r="G9134" s="1" t="str">
        <f>IF(Table2[[#This Row],[Description]]="","",VLOOKUP(Table2[[#This Row],[Description]],$Q$1:$S$101,2,FALSE))</f>
        <v/>
      </c>
      <c r="H9134" s="1" t="str">
        <f>IF(Table2[[#This Row],[Description]]="","",VLOOKUP(Table2[[#This Row],[Description]],$Q$1:$S$101,3,FALSE))</f>
        <v/>
      </c>
      <c r="I9134" s="1" t="str">
        <f>IF(Table2[[#This Row],[Description]]="","",IF(Table2[[#This Row],[Currency]]=$O$2,$P$2,HLOOKUP(Table2[[#This Row],[Date]],Funds!$C$10:$GV$11,2,FALSE)))</f>
        <v/>
      </c>
      <c r="J9134" s="215" t="str">
        <f>IF(Table2[[#This Row],[Description]]="","",Table2[[#This Row],[Value]]/Table2[[#This Row],[Conversion]])</f>
        <v/>
      </c>
      <c r="K9134" s="45" t="str">
        <f>IF(Table2[[#This Row],[Description]]="","",DATE(Table2[[#This Row],[Year]],Table2[[#This Row],[Month]],1))</f>
        <v/>
      </c>
    </row>
    <row r="9135" spans="7:11" x14ac:dyDescent="0.25">
      <c r="G9135" s="1" t="str">
        <f>IF(Table2[[#This Row],[Description]]="","",VLOOKUP(Table2[[#This Row],[Description]],$Q$1:$S$101,2,FALSE))</f>
        <v/>
      </c>
      <c r="H9135" s="1" t="str">
        <f>IF(Table2[[#This Row],[Description]]="","",VLOOKUP(Table2[[#This Row],[Description]],$Q$1:$S$101,3,FALSE))</f>
        <v/>
      </c>
      <c r="I9135" s="1" t="str">
        <f>IF(Table2[[#This Row],[Description]]="","",IF(Table2[[#This Row],[Currency]]=$O$2,$P$2,HLOOKUP(Table2[[#This Row],[Date]],Funds!$C$10:$GV$11,2,FALSE)))</f>
        <v/>
      </c>
      <c r="J9135" s="215" t="str">
        <f>IF(Table2[[#This Row],[Description]]="","",Table2[[#This Row],[Value]]/Table2[[#This Row],[Conversion]])</f>
        <v/>
      </c>
      <c r="K9135" s="45" t="str">
        <f>IF(Table2[[#This Row],[Description]]="","",DATE(Table2[[#This Row],[Year]],Table2[[#This Row],[Month]],1))</f>
        <v/>
      </c>
    </row>
    <row r="9136" spans="7:11" x14ac:dyDescent="0.25">
      <c r="G9136" s="1" t="str">
        <f>IF(Table2[[#This Row],[Description]]="","",VLOOKUP(Table2[[#This Row],[Description]],$Q$1:$S$101,2,FALSE))</f>
        <v/>
      </c>
      <c r="H9136" s="1" t="str">
        <f>IF(Table2[[#This Row],[Description]]="","",VLOOKUP(Table2[[#This Row],[Description]],$Q$1:$S$101,3,FALSE))</f>
        <v/>
      </c>
      <c r="I9136" s="1" t="str">
        <f>IF(Table2[[#This Row],[Description]]="","",IF(Table2[[#This Row],[Currency]]=$O$2,$P$2,HLOOKUP(Table2[[#This Row],[Date]],Funds!$C$10:$GV$11,2,FALSE)))</f>
        <v/>
      </c>
      <c r="J9136" s="215" t="str">
        <f>IF(Table2[[#This Row],[Description]]="","",Table2[[#This Row],[Value]]/Table2[[#This Row],[Conversion]])</f>
        <v/>
      </c>
      <c r="K9136" s="45" t="str">
        <f>IF(Table2[[#This Row],[Description]]="","",DATE(Table2[[#This Row],[Year]],Table2[[#This Row],[Month]],1))</f>
        <v/>
      </c>
    </row>
    <row r="9137" spans="7:11" x14ac:dyDescent="0.25">
      <c r="G9137" s="1" t="str">
        <f>IF(Table2[[#This Row],[Description]]="","",VLOOKUP(Table2[[#This Row],[Description]],$Q$1:$S$101,2,FALSE))</f>
        <v/>
      </c>
      <c r="H9137" s="1" t="str">
        <f>IF(Table2[[#This Row],[Description]]="","",VLOOKUP(Table2[[#This Row],[Description]],$Q$1:$S$101,3,FALSE))</f>
        <v/>
      </c>
      <c r="I9137" s="1" t="str">
        <f>IF(Table2[[#This Row],[Description]]="","",IF(Table2[[#This Row],[Currency]]=$O$2,$P$2,HLOOKUP(Table2[[#This Row],[Date]],Funds!$C$10:$GV$11,2,FALSE)))</f>
        <v/>
      </c>
      <c r="J9137" s="215" t="str">
        <f>IF(Table2[[#This Row],[Description]]="","",Table2[[#This Row],[Value]]/Table2[[#This Row],[Conversion]])</f>
        <v/>
      </c>
      <c r="K9137" s="45" t="str">
        <f>IF(Table2[[#This Row],[Description]]="","",DATE(Table2[[#This Row],[Year]],Table2[[#This Row],[Month]],1))</f>
        <v/>
      </c>
    </row>
    <row r="9138" spans="7:11" x14ac:dyDescent="0.25">
      <c r="G9138" s="1" t="str">
        <f>IF(Table2[[#This Row],[Description]]="","",VLOOKUP(Table2[[#This Row],[Description]],$Q$1:$S$101,2,FALSE))</f>
        <v/>
      </c>
      <c r="H9138" s="1" t="str">
        <f>IF(Table2[[#This Row],[Description]]="","",VLOOKUP(Table2[[#This Row],[Description]],$Q$1:$S$101,3,FALSE))</f>
        <v/>
      </c>
      <c r="I9138" s="1" t="str">
        <f>IF(Table2[[#This Row],[Description]]="","",IF(Table2[[#This Row],[Currency]]=$O$2,$P$2,HLOOKUP(Table2[[#This Row],[Date]],Funds!$C$10:$GV$11,2,FALSE)))</f>
        <v/>
      </c>
      <c r="J9138" s="215" t="str">
        <f>IF(Table2[[#This Row],[Description]]="","",Table2[[#This Row],[Value]]/Table2[[#This Row],[Conversion]])</f>
        <v/>
      </c>
      <c r="K9138" s="45" t="str">
        <f>IF(Table2[[#This Row],[Description]]="","",DATE(Table2[[#This Row],[Year]],Table2[[#This Row],[Month]],1))</f>
        <v/>
      </c>
    </row>
    <row r="9139" spans="7:11" x14ac:dyDescent="0.25">
      <c r="G9139" s="1" t="str">
        <f>IF(Table2[[#This Row],[Description]]="","",VLOOKUP(Table2[[#This Row],[Description]],$Q$1:$S$101,2,FALSE))</f>
        <v/>
      </c>
      <c r="H9139" s="1" t="str">
        <f>IF(Table2[[#This Row],[Description]]="","",VLOOKUP(Table2[[#This Row],[Description]],$Q$1:$S$101,3,FALSE))</f>
        <v/>
      </c>
      <c r="I9139" s="1" t="str">
        <f>IF(Table2[[#This Row],[Description]]="","",IF(Table2[[#This Row],[Currency]]=$O$2,$P$2,HLOOKUP(Table2[[#This Row],[Date]],Funds!$C$10:$GV$11,2,FALSE)))</f>
        <v/>
      </c>
      <c r="J9139" s="215" t="str">
        <f>IF(Table2[[#This Row],[Description]]="","",Table2[[#This Row],[Value]]/Table2[[#This Row],[Conversion]])</f>
        <v/>
      </c>
      <c r="K9139" s="45" t="str">
        <f>IF(Table2[[#This Row],[Description]]="","",DATE(Table2[[#This Row],[Year]],Table2[[#This Row],[Month]],1))</f>
        <v/>
      </c>
    </row>
    <row r="9140" spans="7:11" x14ac:dyDescent="0.25">
      <c r="G9140" s="1" t="str">
        <f>IF(Table2[[#This Row],[Description]]="","",VLOOKUP(Table2[[#This Row],[Description]],$Q$1:$S$101,2,FALSE))</f>
        <v/>
      </c>
      <c r="H9140" s="1" t="str">
        <f>IF(Table2[[#This Row],[Description]]="","",VLOOKUP(Table2[[#This Row],[Description]],$Q$1:$S$101,3,FALSE))</f>
        <v/>
      </c>
      <c r="I9140" s="1" t="str">
        <f>IF(Table2[[#This Row],[Description]]="","",IF(Table2[[#This Row],[Currency]]=$O$2,$P$2,HLOOKUP(Table2[[#This Row],[Date]],Funds!$C$10:$GV$11,2,FALSE)))</f>
        <v/>
      </c>
      <c r="J9140" s="215" t="str">
        <f>IF(Table2[[#This Row],[Description]]="","",Table2[[#This Row],[Value]]/Table2[[#This Row],[Conversion]])</f>
        <v/>
      </c>
      <c r="K9140" s="45" t="str">
        <f>IF(Table2[[#This Row],[Description]]="","",DATE(Table2[[#This Row],[Year]],Table2[[#This Row],[Month]],1))</f>
        <v/>
      </c>
    </row>
    <row r="9141" spans="7:11" x14ac:dyDescent="0.25">
      <c r="G9141" s="1" t="str">
        <f>IF(Table2[[#This Row],[Description]]="","",VLOOKUP(Table2[[#This Row],[Description]],$Q$1:$S$101,2,FALSE))</f>
        <v/>
      </c>
      <c r="H9141" s="1" t="str">
        <f>IF(Table2[[#This Row],[Description]]="","",VLOOKUP(Table2[[#This Row],[Description]],$Q$1:$S$101,3,FALSE))</f>
        <v/>
      </c>
      <c r="I9141" s="1" t="str">
        <f>IF(Table2[[#This Row],[Description]]="","",IF(Table2[[#This Row],[Currency]]=$O$2,$P$2,HLOOKUP(Table2[[#This Row],[Date]],Funds!$C$10:$GV$11,2,FALSE)))</f>
        <v/>
      </c>
      <c r="J9141" s="215" t="str">
        <f>IF(Table2[[#This Row],[Description]]="","",Table2[[#This Row],[Value]]/Table2[[#This Row],[Conversion]])</f>
        <v/>
      </c>
      <c r="K9141" s="45" t="str">
        <f>IF(Table2[[#This Row],[Description]]="","",DATE(Table2[[#This Row],[Year]],Table2[[#This Row],[Month]],1))</f>
        <v/>
      </c>
    </row>
    <row r="9142" spans="7:11" x14ac:dyDescent="0.25">
      <c r="G9142" s="1" t="str">
        <f>IF(Table2[[#This Row],[Description]]="","",VLOOKUP(Table2[[#This Row],[Description]],$Q$1:$S$101,2,FALSE))</f>
        <v/>
      </c>
      <c r="H9142" s="1" t="str">
        <f>IF(Table2[[#This Row],[Description]]="","",VLOOKUP(Table2[[#This Row],[Description]],$Q$1:$S$101,3,FALSE))</f>
        <v/>
      </c>
      <c r="I9142" s="1" t="str">
        <f>IF(Table2[[#This Row],[Description]]="","",IF(Table2[[#This Row],[Currency]]=$O$2,$P$2,HLOOKUP(Table2[[#This Row],[Date]],Funds!$C$10:$GV$11,2,FALSE)))</f>
        <v/>
      </c>
      <c r="J9142" s="215" t="str">
        <f>IF(Table2[[#This Row],[Description]]="","",Table2[[#This Row],[Value]]/Table2[[#This Row],[Conversion]])</f>
        <v/>
      </c>
      <c r="K9142" s="45" t="str">
        <f>IF(Table2[[#This Row],[Description]]="","",DATE(Table2[[#This Row],[Year]],Table2[[#This Row],[Month]],1))</f>
        <v/>
      </c>
    </row>
    <row r="9143" spans="7:11" x14ac:dyDescent="0.25">
      <c r="G9143" s="1" t="str">
        <f>IF(Table2[[#This Row],[Description]]="","",VLOOKUP(Table2[[#This Row],[Description]],$Q$1:$S$101,2,FALSE))</f>
        <v/>
      </c>
      <c r="H9143" s="1" t="str">
        <f>IF(Table2[[#This Row],[Description]]="","",VLOOKUP(Table2[[#This Row],[Description]],$Q$1:$S$101,3,FALSE))</f>
        <v/>
      </c>
      <c r="I9143" s="1" t="str">
        <f>IF(Table2[[#This Row],[Description]]="","",IF(Table2[[#This Row],[Currency]]=$O$2,$P$2,HLOOKUP(Table2[[#This Row],[Date]],Funds!$C$10:$GV$11,2,FALSE)))</f>
        <v/>
      </c>
      <c r="J9143" s="215" t="str">
        <f>IF(Table2[[#This Row],[Description]]="","",Table2[[#This Row],[Value]]/Table2[[#This Row],[Conversion]])</f>
        <v/>
      </c>
      <c r="K9143" s="45" t="str">
        <f>IF(Table2[[#This Row],[Description]]="","",DATE(Table2[[#This Row],[Year]],Table2[[#This Row],[Month]],1))</f>
        <v/>
      </c>
    </row>
    <row r="9144" spans="7:11" x14ac:dyDescent="0.25">
      <c r="G9144" s="1" t="str">
        <f>IF(Table2[[#This Row],[Description]]="","",VLOOKUP(Table2[[#This Row],[Description]],$Q$1:$S$101,2,FALSE))</f>
        <v/>
      </c>
      <c r="H9144" s="1" t="str">
        <f>IF(Table2[[#This Row],[Description]]="","",VLOOKUP(Table2[[#This Row],[Description]],$Q$1:$S$101,3,FALSE))</f>
        <v/>
      </c>
      <c r="I9144" s="1" t="str">
        <f>IF(Table2[[#This Row],[Description]]="","",IF(Table2[[#This Row],[Currency]]=$O$2,$P$2,HLOOKUP(Table2[[#This Row],[Date]],Funds!$C$10:$GV$11,2,FALSE)))</f>
        <v/>
      </c>
      <c r="J9144" s="215" t="str">
        <f>IF(Table2[[#This Row],[Description]]="","",Table2[[#This Row],[Value]]/Table2[[#This Row],[Conversion]])</f>
        <v/>
      </c>
      <c r="K9144" s="45" t="str">
        <f>IF(Table2[[#This Row],[Description]]="","",DATE(Table2[[#This Row],[Year]],Table2[[#This Row],[Month]],1))</f>
        <v/>
      </c>
    </row>
    <row r="9145" spans="7:11" x14ac:dyDescent="0.25">
      <c r="G9145" s="1" t="str">
        <f>IF(Table2[[#This Row],[Description]]="","",VLOOKUP(Table2[[#This Row],[Description]],$Q$1:$S$101,2,FALSE))</f>
        <v/>
      </c>
      <c r="H9145" s="1" t="str">
        <f>IF(Table2[[#This Row],[Description]]="","",VLOOKUP(Table2[[#This Row],[Description]],$Q$1:$S$101,3,FALSE))</f>
        <v/>
      </c>
      <c r="I9145" s="1" t="str">
        <f>IF(Table2[[#This Row],[Description]]="","",IF(Table2[[#This Row],[Currency]]=$O$2,$P$2,HLOOKUP(Table2[[#This Row],[Date]],Funds!$C$10:$GV$11,2,FALSE)))</f>
        <v/>
      </c>
      <c r="J9145" s="215" t="str">
        <f>IF(Table2[[#This Row],[Description]]="","",Table2[[#This Row],[Value]]/Table2[[#This Row],[Conversion]])</f>
        <v/>
      </c>
      <c r="K9145" s="45" t="str">
        <f>IF(Table2[[#This Row],[Description]]="","",DATE(Table2[[#This Row],[Year]],Table2[[#This Row],[Month]],1))</f>
        <v/>
      </c>
    </row>
    <row r="9146" spans="7:11" x14ac:dyDescent="0.25">
      <c r="G9146" s="1" t="str">
        <f>IF(Table2[[#This Row],[Description]]="","",VLOOKUP(Table2[[#This Row],[Description]],$Q$1:$S$101,2,FALSE))</f>
        <v/>
      </c>
      <c r="H9146" s="1" t="str">
        <f>IF(Table2[[#This Row],[Description]]="","",VLOOKUP(Table2[[#This Row],[Description]],$Q$1:$S$101,3,FALSE))</f>
        <v/>
      </c>
      <c r="I9146" s="1" t="str">
        <f>IF(Table2[[#This Row],[Description]]="","",IF(Table2[[#This Row],[Currency]]=$O$2,$P$2,HLOOKUP(Table2[[#This Row],[Date]],Funds!$C$10:$GV$11,2,FALSE)))</f>
        <v/>
      </c>
      <c r="J9146" s="215" t="str">
        <f>IF(Table2[[#This Row],[Description]]="","",Table2[[#This Row],[Value]]/Table2[[#This Row],[Conversion]])</f>
        <v/>
      </c>
      <c r="K9146" s="45" t="str">
        <f>IF(Table2[[#This Row],[Description]]="","",DATE(Table2[[#This Row],[Year]],Table2[[#This Row],[Month]],1))</f>
        <v/>
      </c>
    </row>
    <row r="9147" spans="7:11" x14ac:dyDescent="0.25">
      <c r="G9147" s="1" t="str">
        <f>IF(Table2[[#This Row],[Description]]="","",VLOOKUP(Table2[[#This Row],[Description]],$Q$1:$S$101,2,FALSE))</f>
        <v/>
      </c>
      <c r="H9147" s="1" t="str">
        <f>IF(Table2[[#This Row],[Description]]="","",VLOOKUP(Table2[[#This Row],[Description]],$Q$1:$S$101,3,FALSE))</f>
        <v/>
      </c>
      <c r="I9147" s="1" t="str">
        <f>IF(Table2[[#This Row],[Description]]="","",IF(Table2[[#This Row],[Currency]]=$O$2,$P$2,HLOOKUP(Table2[[#This Row],[Date]],Funds!$C$10:$GV$11,2,FALSE)))</f>
        <v/>
      </c>
      <c r="J9147" s="215" t="str">
        <f>IF(Table2[[#This Row],[Description]]="","",Table2[[#This Row],[Value]]/Table2[[#This Row],[Conversion]])</f>
        <v/>
      </c>
      <c r="K9147" s="45" t="str">
        <f>IF(Table2[[#This Row],[Description]]="","",DATE(Table2[[#This Row],[Year]],Table2[[#This Row],[Month]],1))</f>
        <v/>
      </c>
    </row>
    <row r="9148" spans="7:11" x14ac:dyDescent="0.25">
      <c r="G9148" s="1" t="str">
        <f>IF(Table2[[#This Row],[Description]]="","",VLOOKUP(Table2[[#This Row],[Description]],$Q$1:$S$101,2,FALSE))</f>
        <v/>
      </c>
      <c r="H9148" s="1" t="str">
        <f>IF(Table2[[#This Row],[Description]]="","",VLOOKUP(Table2[[#This Row],[Description]],$Q$1:$S$101,3,FALSE))</f>
        <v/>
      </c>
      <c r="I9148" s="1" t="str">
        <f>IF(Table2[[#This Row],[Description]]="","",IF(Table2[[#This Row],[Currency]]=$O$2,$P$2,HLOOKUP(Table2[[#This Row],[Date]],Funds!$C$10:$GV$11,2,FALSE)))</f>
        <v/>
      </c>
      <c r="J9148" s="215" t="str">
        <f>IF(Table2[[#This Row],[Description]]="","",Table2[[#This Row],[Value]]/Table2[[#This Row],[Conversion]])</f>
        <v/>
      </c>
      <c r="K9148" s="45" t="str">
        <f>IF(Table2[[#This Row],[Description]]="","",DATE(Table2[[#This Row],[Year]],Table2[[#This Row],[Month]],1))</f>
        <v/>
      </c>
    </row>
    <row r="9149" spans="7:11" x14ac:dyDescent="0.25">
      <c r="G9149" s="1" t="str">
        <f>IF(Table2[[#This Row],[Description]]="","",VLOOKUP(Table2[[#This Row],[Description]],$Q$1:$S$101,2,FALSE))</f>
        <v/>
      </c>
      <c r="H9149" s="1" t="str">
        <f>IF(Table2[[#This Row],[Description]]="","",VLOOKUP(Table2[[#This Row],[Description]],$Q$1:$S$101,3,FALSE))</f>
        <v/>
      </c>
      <c r="I9149" s="1" t="str">
        <f>IF(Table2[[#This Row],[Description]]="","",IF(Table2[[#This Row],[Currency]]=$O$2,$P$2,HLOOKUP(Table2[[#This Row],[Date]],Funds!$C$10:$GV$11,2,FALSE)))</f>
        <v/>
      </c>
      <c r="J9149" s="215" t="str">
        <f>IF(Table2[[#This Row],[Description]]="","",Table2[[#This Row],[Value]]/Table2[[#This Row],[Conversion]])</f>
        <v/>
      </c>
      <c r="K9149" s="45" t="str">
        <f>IF(Table2[[#This Row],[Description]]="","",DATE(Table2[[#This Row],[Year]],Table2[[#This Row],[Month]],1))</f>
        <v/>
      </c>
    </row>
    <row r="9150" spans="7:11" x14ac:dyDescent="0.25">
      <c r="G9150" s="1" t="str">
        <f>IF(Table2[[#This Row],[Description]]="","",VLOOKUP(Table2[[#This Row],[Description]],$Q$1:$S$101,2,FALSE))</f>
        <v/>
      </c>
      <c r="H9150" s="1" t="str">
        <f>IF(Table2[[#This Row],[Description]]="","",VLOOKUP(Table2[[#This Row],[Description]],$Q$1:$S$101,3,FALSE))</f>
        <v/>
      </c>
      <c r="I9150" s="1" t="str">
        <f>IF(Table2[[#This Row],[Description]]="","",IF(Table2[[#This Row],[Currency]]=$O$2,$P$2,HLOOKUP(Table2[[#This Row],[Date]],Funds!$C$10:$GV$11,2,FALSE)))</f>
        <v/>
      </c>
      <c r="J9150" s="215" t="str">
        <f>IF(Table2[[#This Row],[Description]]="","",Table2[[#This Row],[Value]]/Table2[[#This Row],[Conversion]])</f>
        <v/>
      </c>
      <c r="K9150" s="45" t="str">
        <f>IF(Table2[[#This Row],[Description]]="","",DATE(Table2[[#This Row],[Year]],Table2[[#This Row],[Month]],1))</f>
        <v/>
      </c>
    </row>
    <row r="9151" spans="7:11" x14ac:dyDescent="0.25">
      <c r="G9151" s="1" t="str">
        <f>IF(Table2[[#This Row],[Description]]="","",VLOOKUP(Table2[[#This Row],[Description]],$Q$1:$S$101,2,FALSE))</f>
        <v/>
      </c>
      <c r="H9151" s="1" t="str">
        <f>IF(Table2[[#This Row],[Description]]="","",VLOOKUP(Table2[[#This Row],[Description]],$Q$1:$S$101,3,FALSE))</f>
        <v/>
      </c>
      <c r="I9151" s="1" t="str">
        <f>IF(Table2[[#This Row],[Description]]="","",IF(Table2[[#This Row],[Currency]]=$O$2,$P$2,HLOOKUP(Table2[[#This Row],[Date]],Funds!$C$10:$GV$11,2,FALSE)))</f>
        <v/>
      </c>
      <c r="J9151" s="215" t="str">
        <f>IF(Table2[[#This Row],[Description]]="","",Table2[[#This Row],[Value]]/Table2[[#This Row],[Conversion]])</f>
        <v/>
      </c>
      <c r="K9151" s="45" t="str">
        <f>IF(Table2[[#This Row],[Description]]="","",DATE(Table2[[#This Row],[Year]],Table2[[#This Row],[Month]],1))</f>
        <v/>
      </c>
    </row>
    <row r="9152" spans="7:11" x14ac:dyDescent="0.25">
      <c r="G9152" s="1" t="str">
        <f>IF(Table2[[#This Row],[Description]]="","",VLOOKUP(Table2[[#This Row],[Description]],$Q$1:$S$101,2,FALSE))</f>
        <v/>
      </c>
      <c r="H9152" s="1" t="str">
        <f>IF(Table2[[#This Row],[Description]]="","",VLOOKUP(Table2[[#This Row],[Description]],$Q$1:$S$101,3,FALSE))</f>
        <v/>
      </c>
      <c r="I9152" s="1" t="str">
        <f>IF(Table2[[#This Row],[Description]]="","",IF(Table2[[#This Row],[Currency]]=$O$2,$P$2,HLOOKUP(Table2[[#This Row],[Date]],Funds!$C$10:$GV$11,2,FALSE)))</f>
        <v/>
      </c>
      <c r="J9152" s="215" t="str">
        <f>IF(Table2[[#This Row],[Description]]="","",Table2[[#This Row],[Value]]/Table2[[#This Row],[Conversion]])</f>
        <v/>
      </c>
      <c r="K9152" s="45" t="str">
        <f>IF(Table2[[#This Row],[Description]]="","",DATE(Table2[[#This Row],[Year]],Table2[[#This Row],[Month]],1))</f>
        <v/>
      </c>
    </row>
    <row r="9153" spans="7:11" x14ac:dyDescent="0.25">
      <c r="G9153" s="1" t="str">
        <f>IF(Table2[[#This Row],[Description]]="","",VLOOKUP(Table2[[#This Row],[Description]],$Q$1:$S$101,2,FALSE))</f>
        <v/>
      </c>
      <c r="H9153" s="1" t="str">
        <f>IF(Table2[[#This Row],[Description]]="","",VLOOKUP(Table2[[#This Row],[Description]],$Q$1:$S$101,3,FALSE))</f>
        <v/>
      </c>
      <c r="I9153" s="1" t="str">
        <f>IF(Table2[[#This Row],[Description]]="","",IF(Table2[[#This Row],[Currency]]=$O$2,$P$2,HLOOKUP(Table2[[#This Row],[Date]],Funds!$C$10:$GV$11,2,FALSE)))</f>
        <v/>
      </c>
      <c r="J9153" s="215" t="str">
        <f>IF(Table2[[#This Row],[Description]]="","",Table2[[#This Row],[Value]]/Table2[[#This Row],[Conversion]])</f>
        <v/>
      </c>
      <c r="K9153" s="45" t="str">
        <f>IF(Table2[[#This Row],[Description]]="","",DATE(Table2[[#This Row],[Year]],Table2[[#This Row],[Month]],1))</f>
        <v/>
      </c>
    </row>
    <row r="9154" spans="7:11" x14ac:dyDescent="0.25">
      <c r="G9154" s="1" t="str">
        <f>IF(Table2[[#This Row],[Description]]="","",VLOOKUP(Table2[[#This Row],[Description]],$Q$1:$S$101,2,FALSE))</f>
        <v/>
      </c>
      <c r="H9154" s="1" t="str">
        <f>IF(Table2[[#This Row],[Description]]="","",VLOOKUP(Table2[[#This Row],[Description]],$Q$1:$S$101,3,FALSE))</f>
        <v/>
      </c>
      <c r="I9154" s="1" t="str">
        <f>IF(Table2[[#This Row],[Description]]="","",IF(Table2[[#This Row],[Currency]]=$O$2,$P$2,HLOOKUP(Table2[[#This Row],[Date]],Funds!$C$10:$GV$11,2,FALSE)))</f>
        <v/>
      </c>
      <c r="J9154" s="215" t="str">
        <f>IF(Table2[[#This Row],[Description]]="","",Table2[[#This Row],[Value]]/Table2[[#This Row],[Conversion]])</f>
        <v/>
      </c>
      <c r="K9154" s="45" t="str">
        <f>IF(Table2[[#This Row],[Description]]="","",DATE(Table2[[#This Row],[Year]],Table2[[#This Row],[Month]],1))</f>
        <v/>
      </c>
    </row>
    <row r="9155" spans="7:11" x14ac:dyDescent="0.25">
      <c r="G9155" s="1" t="str">
        <f>IF(Table2[[#This Row],[Description]]="","",VLOOKUP(Table2[[#This Row],[Description]],$Q$1:$S$101,2,FALSE))</f>
        <v/>
      </c>
      <c r="H9155" s="1" t="str">
        <f>IF(Table2[[#This Row],[Description]]="","",VLOOKUP(Table2[[#This Row],[Description]],$Q$1:$S$101,3,FALSE))</f>
        <v/>
      </c>
      <c r="I9155" s="1" t="str">
        <f>IF(Table2[[#This Row],[Description]]="","",IF(Table2[[#This Row],[Currency]]=$O$2,$P$2,HLOOKUP(Table2[[#This Row],[Date]],Funds!$C$10:$GV$11,2,FALSE)))</f>
        <v/>
      </c>
      <c r="J9155" s="215" t="str">
        <f>IF(Table2[[#This Row],[Description]]="","",Table2[[#This Row],[Value]]/Table2[[#This Row],[Conversion]])</f>
        <v/>
      </c>
      <c r="K9155" s="45" t="str">
        <f>IF(Table2[[#This Row],[Description]]="","",DATE(Table2[[#This Row],[Year]],Table2[[#This Row],[Month]],1))</f>
        <v/>
      </c>
    </row>
    <row r="9156" spans="7:11" x14ac:dyDescent="0.25">
      <c r="G9156" s="1" t="str">
        <f>IF(Table2[[#This Row],[Description]]="","",VLOOKUP(Table2[[#This Row],[Description]],$Q$1:$S$101,2,FALSE))</f>
        <v/>
      </c>
      <c r="H9156" s="1" t="str">
        <f>IF(Table2[[#This Row],[Description]]="","",VLOOKUP(Table2[[#This Row],[Description]],$Q$1:$S$101,3,FALSE))</f>
        <v/>
      </c>
      <c r="I9156" s="1" t="str">
        <f>IF(Table2[[#This Row],[Description]]="","",IF(Table2[[#This Row],[Currency]]=$O$2,$P$2,HLOOKUP(Table2[[#This Row],[Date]],Funds!$C$10:$GV$11,2,FALSE)))</f>
        <v/>
      </c>
      <c r="J9156" s="215" t="str">
        <f>IF(Table2[[#This Row],[Description]]="","",Table2[[#This Row],[Value]]/Table2[[#This Row],[Conversion]])</f>
        <v/>
      </c>
      <c r="K9156" s="45" t="str">
        <f>IF(Table2[[#This Row],[Description]]="","",DATE(Table2[[#This Row],[Year]],Table2[[#This Row],[Month]],1))</f>
        <v/>
      </c>
    </row>
    <row r="9157" spans="7:11" x14ac:dyDescent="0.25">
      <c r="G9157" s="1" t="str">
        <f>IF(Table2[[#This Row],[Description]]="","",VLOOKUP(Table2[[#This Row],[Description]],$Q$1:$S$101,2,FALSE))</f>
        <v/>
      </c>
      <c r="H9157" s="1" t="str">
        <f>IF(Table2[[#This Row],[Description]]="","",VLOOKUP(Table2[[#This Row],[Description]],$Q$1:$S$101,3,FALSE))</f>
        <v/>
      </c>
      <c r="I9157" s="1" t="str">
        <f>IF(Table2[[#This Row],[Description]]="","",IF(Table2[[#This Row],[Currency]]=$O$2,$P$2,HLOOKUP(Table2[[#This Row],[Date]],Funds!$C$10:$GV$11,2,FALSE)))</f>
        <v/>
      </c>
      <c r="J9157" s="215" t="str">
        <f>IF(Table2[[#This Row],[Description]]="","",Table2[[#This Row],[Value]]/Table2[[#This Row],[Conversion]])</f>
        <v/>
      </c>
      <c r="K9157" s="45" t="str">
        <f>IF(Table2[[#This Row],[Description]]="","",DATE(Table2[[#This Row],[Year]],Table2[[#This Row],[Month]],1))</f>
        <v/>
      </c>
    </row>
    <row r="9158" spans="7:11" x14ac:dyDescent="0.25">
      <c r="G9158" s="1" t="str">
        <f>IF(Table2[[#This Row],[Description]]="","",VLOOKUP(Table2[[#This Row],[Description]],$Q$1:$S$101,2,FALSE))</f>
        <v/>
      </c>
      <c r="H9158" s="1" t="str">
        <f>IF(Table2[[#This Row],[Description]]="","",VLOOKUP(Table2[[#This Row],[Description]],$Q$1:$S$101,3,FALSE))</f>
        <v/>
      </c>
      <c r="I9158" s="1" t="str">
        <f>IF(Table2[[#This Row],[Description]]="","",IF(Table2[[#This Row],[Currency]]=$O$2,$P$2,HLOOKUP(Table2[[#This Row],[Date]],Funds!$C$10:$GV$11,2,FALSE)))</f>
        <v/>
      </c>
      <c r="J9158" s="215" t="str">
        <f>IF(Table2[[#This Row],[Description]]="","",Table2[[#This Row],[Value]]/Table2[[#This Row],[Conversion]])</f>
        <v/>
      </c>
      <c r="K9158" s="45" t="str">
        <f>IF(Table2[[#This Row],[Description]]="","",DATE(Table2[[#This Row],[Year]],Table2[[#This Row],[Month]],1))</f>
        <v/>
      </c>
    </row>
    <row r="9159" spans="7:11" x14ac:dyDescent="0.25">
      <c r="G9159" s="1" t="str">
        <f>IF(Table2[[#This Row],[Description]]="","",VLOOKUP(Table2[[#This Row],[Description]],$Q$1:$S$101,2,FALSE))</f>
        <v/>
      </c>
      <c r="H9159" s="1" t="str">
        <f>IF(Table2[[#This Row],[Description]]="","",VLOOKUP(Table2[[#This Row],[Description]],$Q$1:$S$101,3,FALSE))</f>
        <v/>
      </c>
      <c r="I9159" s="1" t="str">
        <f>IF(Table2[[#This Row],[Description]]="","",IF(Table2[[#This Row],[Currency]]=$O$2,$P$2,HLOOKUP(Table2[[#This Row],[Date]],Funds!$C$10:$GV$11,2,FALSE)))</f>
        <v/>
      </c>
      <c r="J9159" s="215" t="str">
        <f>IF(Table2[[#This Row],[Description]]="","",Table2[[#This Row],[Value]]/Table2[[#This Row],[Conversion]])</f>
        <v/>
      </c>
      <c r="K9159" s="45" t="str">
        <f>IF(Table2[[#This Row],[Description]]="","",DATE(Table2[[#This Row],[Year]],Table2[[#This Row],[Month]],1))</f>
        <v/>
      </c>
    </row>
    <row r="9160" spans="7:11" x14ac:dyDescent="0.25">
      <c r="G9160" s="1" t="str">
        <f>IF(Table2[[#This Row],[Description]]="","",VLOOKUP(Table2[[#This Row],[Description]],$Q$1:$S$101,2,FALSE))</f>
        <v/>
      </c>
      <c r="H9160" s="1" t="str">
        <f>IF(Table2[[#This Row],[Description]]="","",VLOOKUP(Table2[[#This Row],[Description]],$Q$1:$S$101,3,FALSE))</f>
        <v/>
      </c>
      <c r="I9160" s="1" t="str">
        <f>IF(Table2[[#This Row],[Description]]="","",IF(Table2[[#This Row],[Currency]]=$O$2,$P$2,HLOOKUP(Table2[[#This Row],[Date]],Funds!$C$10:$GV$11,2,FALSE)))</f>
        <v/>
      </c>
      <c r="J9160" s="215" t="str">
        <f>IF(Table2[[#This Row],[Description]]="","",Table2[[#This Row],[Value]]/Table2[[#This Row],[Conversion]])</f>
        <v/>
      </c>
      <c r="K9160" s="45" t="str">
        <f>IF(Table2[[#This Row],[Description]]="","",DATE(Table2[[#This Row],[Year]],Table2[[#This Row],[Month]],1))</f>
        <v/>
      </c>
    </row>
    <row r="9161" spans="7:11" x14ac:dyDescent="0.25">
      <c r="G9161" s="1" t="str">
        <f>IF(Table2[[#This Row],[Description]]="","",VLOOKUP(Table2[[#This Row],[Description]],$Q$1:$S$101,2,FALSE))</f>
        <v/>
      </c>
      <c r="H9161" s="1" t="str">
        <f>IF(Table2[[#This Row],[Description]]="","",VLOOKUP(Table2[[#This Row],[Description]],$Q$1:$S$101,3,FALSE))</f>
        <v/>
      </c>
      <c r="I9161" s="1" t="str">
        <f>IF(Table2[[#This Row],[Description]]="","",IF(Table2[[#This Row],[Currency]]=$O$2,$P$2,HLOOKUP(Table2[[#This Row],[Date]],Funds!$C$10:$GV$11,2,FALSE)))</f>
        <v/>
      </c>
      <c r="J9161" s="215" t="str">
        <f>IF(Table2[[#This Row],[Description]]="","",Table2[[#This Row],[Value]]/Table2[[#This Row],[Conversion]])</f>
        <v/>
      </c>
      <c r="K9161" s="45" t="str">
        <f>IF(Table2[[#This Row],[Description]]="","",DATE(Table2[[#This Row],[Year]],Table2[[#This Row],[Month]],1))</f>
        <v/>
      </c>
    </row>
    <row r="9162" spans="7:11" x14ac:dyDescent="0.25">
      <c r="G9162" s="1" t="str">
        <f>IF(Table2[[#This Row],[Description]]="","",VLOOKUP(Table2[[#This Row],[Description]],$Q$1:$S$101,2,FALSE))</f>
        <v/>
      </c>
      <c r="H9162" s="1" t="str">
        <f>IF(Table2[[#This Row],[Description]]="","",VLOOKUP(Table2[[#This Row],[Description]],$Q$1:$S$101,3,FALSE))</f>
        <v/>
      </c>
      <c r="I9162" s="1" t="str">
        <f>IF(Table2[[#This Row],[Description]]="","",IF(Table2[[#This Row],[Currency]]=$O$2,$P$2,HLOOKUP(Table2[[#This Row],[Date]],Funds!$C$10:$GV$11,2,FALSE)))</f>
        <v/>
      </c>
      <c r="J9162" s="215" t="str">
        <f>IF(Table2[[#This Row],[Description]]="","",Table2[[#This Row],[Value]]/Table2[[#This Row],[Conversion]])</f>
        <v/>
      </c>
      <c r="K9162" s="45" t="str">
        <f>IF(Table2[[#This Row],[Description]]="","",DATE(Table2[[#This Row],[Year]],Table2[[#This Row],[Month]],1))</f>
        <v/>
      </c>
    </row>
    <row r="9163" spans="7:11" x14ac:dyDescent="0.25">
      <c r="G9163" s="1" t="str">
        <f>IF(Table2[[#This Row],[Description]]="","",VLOOKUP(Table2[[#This Row],[Description]],$Q$1:$S$101,2,FALSE))</f>
        <v/>
      </c>
      <c r="H9163" s="1" t="str">
        <f>IF(Table2[[#This Row],[Description]]="","",VLOOKUP(Table2[[#This Row],[Description]],$Q$1:$S$101,3,FALSE))</f>
        <v/>
      </c>
      <c r="I9163" s="1" t="str">
        <f>IF(Table2[[#This Row],[Description]]="","",IF(Table2[[#This Row],[Currency]]=$O$2,$P$2,HLOOKUP(Table2[[#This Row],[Date]],Funds!$C$10:$GV$11,2,FALSE)))</f>
        <v/>
      </c>
      <c r="J9163" s="215" t="str">
        <f>IF(Table2[[#This Row],[Description]]="","",Table2[[#This Row],[Value]]/Table2[[#This Row],[Conversion]])</f>
        <v/>
      </c>
      <c r="K9163" s="45" t="str">
        <f>IF(Table2[[#This Row],[Description]]="","",DATE(Table2[[#This Row],[Year]],Table2[[#This Row],[Month]],1))</f>
        <v/>
      </c>
    </row>
    <row r="9164" spans="7:11" x14ac:dyDescent="0.25">
      <c r="G9164" s="1" t="str">
        <f>IF(Table2[[#This Row],[Description]]="","",VLOOKUP(Table2[[#This Row],[Description]],$Q$1:$S$101,2,FALSE))</f>
        <v/>
      </c>
      <c r="H9164" s="1" t="str">
        <f>IF(Table2[[#This Row],[Description]]="","",VLOOKUP(Table2[[#This Row],[Description]],$Q$1:$S$101,3,FALSE))</f>
        <v/>
      </c>
      <c r="I9164" s="1" t="str">
        <f>IF(Table2[[#This Row],[Description]]="","",IF(Table2[[#This Row],[Currency]]=$O$2,$P$2,HLOOKUP(Table2[[#This Row],[Date]],Funds!$C$10:$GV$11,2,FALSE)))</f>
        <v/>
      </c>
      <c r="J9164" s="215" t="str">
        <f>IF(Table2[[#This Row],[Description]]="","",Table2[[#This Row],[Value]]/Table2[[#This Row],[Conversion]])</f>
        <v/>
      </c>
      <c r="K9164" s="45" t="str">
        <f>IF(Table2[[#This Row],[Description]]="","",DATE(Table2[[#This Row],[Year]],Table2[[#This Row],[Month]],1))</f>
        <v/>
      </c>
    </row>
    <row r="9165" spans="7:11" x14ac:dyDescent="0.25">
      <c r="G9165" s="1" t="str">
        <f>IF(Table2[[#This Row],[Description]]="","",VLOOKUP(Table2[[#This Row],[Description]],$Q$1:$S$101,2,FALSE))</f>
        <v/>
      </c>
      <c r="H9165" s="1" t="str">
        <f>IF(Table2[[#This Row],[Description]]="","",VLOOKUP(Table2[[#This Row],[Description]],$Q$1:$S$101,3,FALSE))</f>
        <v/>
      </c>
      <c r="I9165" s="1" t="str">
        <f>IF(Table2[[#This Row],[Description]]="","",IF(Table2[[#This Row],[Currency]]=$O$2,$P$2,HLOOKUP(Table2[[#This Row],[Date]],Funds!$C$10:$GV$11,2,FALSE)))</f>
        <v/>
      </c>
      <c r="J9165" s="215" t="str">
        <f>IF(Table2[[#This Row],[Description]]="","",Table2[[#This Row],[Value]]/Table2[[#This Row],[Conversion]])</f>
        <v/>
      </c>
      <c r="K9165" s="45" t="str">
        <f>IF(Table2[[#This Row],[Description]]="","",DATE(Table2[[#This Row],[Year]],Table2[[#This Row],[Month]],1))</f>
        <v/>
      </c>
    </row>
    <row r="9166" spans="7:11" x14ac:dyDescent="0.25">
      <c r="G9166" s="1" t="str">
        <f>IF(Table2[[#This Row],[Description]]="","",VLOOKUP(Table2[[#This Row],[Description]],$Q$1:$S$101,2,FALSE))</f>
        <v/>
      </c>
      <c r="H9166" s="1" t="str">
        <f>IF(Table2[[#This Row],[Description]]="","",VLOOKUP(Table2[[#This Row],[Description]],$Q$1:$S$101,3,FALSE))</f>
        <v/>
      </c>
      <c r="I9166" s="1" t="str">
        <f>IF(Table2[[#This Row],[Description]]="","",IF(Table2[[#This Row],[Currency]]=$O$2,$P$2,HLOOKUP(Table2[[#This Row],[Date]],Funds!$C$10:$GV$11,2,FALSE)))</f>
        <v/>
      </c>
      <c r="J9166" s="215" t="str">
        <f>IF(Table2[[#This Row],[Description]]="","",Table2[[#This Row],[Value]]/Table2[[#This Row],[Conversion]])</f>
        <v/>
      </c>
      <c r="K9166" s="45" t="str">
        <f>IF(Table2[[#This Row],[Description]]="","",DATE(Table2[[#This Row],[Year]],Table2[[#This Row],[Month]],1))</f>
        <v/>
      </c>
    </row>
    <row r="9167" spans="7:11" x14ac:dyDescent="0.25">
      <c r="G9167" s="1" t="str">
        <f>IF(Table2[[#This Row],[Description]]="","",VLOOKUP(Table2[[#This Row],[Description]],$Q$1:$S$101,2,FALSE))</f>
        <v/>
      </c>
      <c r="H9167" s="1" t="str">
        <f>IF(Table2[[#This Row],[Description]]="","",VLOOKUP(Table2[[#This Row],[Description]],$Q$1:$S$101,3,FALSE))</f>
        <v/>
      </c>
      <c r="I9167" s="1" t="str">
        <f>IF(Table2[[#This Row],[Description]]="","",IF(Table2[[#This Row],[Currency]]=$O$2,$P$2,HLOOKUP(Table2[[#This Row],[Date]],Funds!$C$10:$GV$11,2,FALSE)))</f>
        <v/>
      </c>
      <c r="J9167" s="215" t="str">
        <f>IF(Table2[[#This Row],[Description]]="","",Table2[[#This Row],[Value]]/Table2[[#This Row],[Conversion]])</f>
        <v/>
      </c>
      <c r="K9167" s="45" t="str">
        <f>IF(Table2[[#This Row],[Description]]="","",DATE(Table2[[#This Row],[Year]],Table2[[#This Row],[Month]],1))</f>
        <v/>
      </c>
    </row>
    <row r="9168" spans="7:11" x14ac:dyDescent="0.25">
      <c r="G9168" s="1" t="str">
        <f>IF(Table2[[#This Row],[Description]]="","",VLOOKUP(Table2[[#This Row],[Description]],$Q$1:$S$101,2,FALSE))</f>
        <v/>
      </c>
      <c r="H9168" s="1" t="str">
        <f>IF(Table2[[#This Row],[Description]]="","",VLOOKUP(Table2[[#This Row],[Description]],$Q$1:$S$101,3,FALSE))</f>
        <v/>
      </c>
      <c r="I9168" s="1" t="str">
        <f>IF(Table2[[#This Row],[Description]]="","",IF(Table2[[#This Row],[Currency]]=$O$2,$P$2,HLOOKUP(Table2[[#This Row],[Date]],Funds!$C$10:$GV$11,2,FALSE)))</f>
        <v/>
      </c>
      <c r="J9168" s="215" t="str">
        <f>IF(Table2[[#This Row],[Description]]="","",Table2[[#This Row],[Value]]/Table2[[#This Row],[Conversion]])</f>
        <v/>
      </c>
      <c r="K9168" s="45" t="str">
        <f>IF(Table2[[#This Row],[Description]]="","",DATE(Table2[[#This Row],[Year]],Table2[[#This Row],[Month]],1))</f>
        <v/>
      </c>
    </row>
    <row r="9169" spans="7:11" x14ac:dyDescent="0.25">
      <c r="G9169" s="1" t="str">
        <f>IF(Table2[[#This Row],[Description]]="","",VLOOKUP(Table2[[#This Row],[Description]],$Q$1:$S$101,2,FALSE))</f>
        <v/>
      </c>
      <c r="H9169" s="1" t="str">
        <f>IF(Table2[[#This Row],[Description]]="","",VLOOKUP(Table2[[#This Row],[Description]],$Q$1:$S$101,3,FALSE))</f>
        <v/>
      </c>
      <c r="I9169" s="1" t="str">
        <f>IF(Table2[[#This Row],[Description]]="","",IF(Table2[[#This Row],[Currency]]=$O$2,$P$2,HLOOKUP(Table2[[#This Row],[Date]],Funds!$C$10:$GV$11,2,FALSE)))</f>
        <v/>
      </c>
      <c r="J9169" s="215" t="str">
        <f>IF(Table2[[#This Row],[Description]]="","",Table2[[#This Row],[Value]]/Table2[[#This Row],[Conversion]])</f>
        <v/>
      </c>
      <c r="K9169" s="45" t="str">
        <f>IF(Table2[[#This Row],[Description]]="","",DATE(Table2[[#This Row],[Year]],Table2[[#This Row],[Month]],1))</f>
        <v/>
      </c>
    </row>
    <row r="9170" spans="7:11" x14ac:dyDescent="0.25">
      <c r="G9170" s="1" t="str">
        <f>IF(Table2[[#This Row],[Description]]="","",VLOOKUP(Table2[[#This Row],[Description]],$Q$1:$S$101,2,FALSE))</f>
        <v/>
      </c>
      <c r="H9170" s="1" t="str">
        <f>IF(Table2[[#This Row],[Description]]="","",VLOOKUP(Table2[[#This Row],[Description]],$Q$1:$S$101,3,FALSE))</f>
        <v/>
      </c>
      <c r="I9170" s="1" t="str">
        <f>IF(Table2[[#This Row],[Description]]="","",IF(Table2[[#This Row],[Currency]]=$O$2,$P$2,HLOOKUP(Table2[[#This Row],[Date]],Funds!$C$10:$GV$11,2,FALSE)))</f>
        <v/>
      </c>
      <c r="J9170" s="215" t="str">
        <f>IF(Table2[[#This Row],[Description]]="","",Table2[[#This Row],[Value]]/Table2[[#This Row],[Conversion]])</f>
        <v/>
      </c>
      <c r="K9170" s="45" t="str">
        <f>IF(Table2[[#This Row],[Description]]="","",DATE(Table2[[#This Row],[Year]],Table2[[#This Row],[Month]],1))</f>
        <v/>
      </c>
    </row>
    <row r="9171" spans="7:11" x14ac:dyDescent="0.25">
      <c r="G9171" s="1" t="str">
        <f>IF(Table2[[#This Row],[Description]]="","",VLOOKUP(Table2[[#This Row],[Description]],$Q$1:$S$101,2,FALSE))</f>
        <v/>
      </c>
      <c r="H9171" s="1" t="str">
        <f>IF(Table2[[#This Row],[Description]]="","",VLOOKUP(Table2[[#This Row],[Description]],$Q$1:$S$101,3,FALSE))</f>
        <v/>
      </c>
      <c r="I9171" s="1" t="str">
        <f>IF(Table2[[#This Row],[Description]]="","",IF(Table2[[#This Row],[Currency]]=$O$2,$P$2,HLOOKUP(Table2[[#This Row],[Date]],Funds!$C$10:$GV$11,2,FALSE)))</f>
        <v/>
      </c>
      <c r="J9171" s="215" t="str">
        <f>IF(Table2[[#This Row],[Description]]="","",Table2[[#This Row],[Value]]/Table2[[#This Row],[Conversion]])</f>
        <v/>
      </c>
      <c r="K9171" s="45" t="str">
        <f>IF(Table2[[#This Row],[Description]]="","",DATE(Table2[[#This Row],[Year]],Table2[[#This Row],[Month]],1))</f>
        <v/>
      </c>
    </row>
    <row r="9172" spans="7:11" x14ac:dyDescent="0.25">
      <c r="G9172" s="1" t="str">
        <f>IF(Table2[[#This Row],[Description]]="","",VLOOKUP(Table2[[#This Row],[Description]],$Q$1:$S$101,2,FALSE))</f>
        <v/>
      </c>
      <c r="H9172" s="1" t="str">
        <f>IF(Table2[[#This Row],[Description]]="","",VLOOKUP(Table2[[#This Row],[Description]],$Q$1:$S$101,3,FALSE))</f>
        <v/>
      </c>
      <c r="I9172" s="1" t="str">
        <f>IF(Table2[[#This Row],[Description]]="","",IF(Table2[[#This Row],[Currency]]=$O$2,$P$2,HLOOKUP(Table2[[#This Row],[Date]],Funds!$C$10:$GV$11,2,FALSE)))</f>
        <v/>
      </c>
      <c r="J9172" s="215" t="str">
        <f>IF(Table2[[#This Row],[Description]]="","",Table2[[#This Row],[Value]]/Table2[[#This Row],[Conversion]])</f>
        <v/>
      </c>
      <c r="K9172" s="45" t="str">
        <f>IF(Table2[[#This Row],[Description]]="","",DATE(Table2[[#This Row],[Year]],Table2[[#This Row],[Month]],1))</f>
        <v/>
      </c>
    </row>
    <row r="9173" spans="7:11" x14ac:dyDescent="0.25">
      <c r="G9173" s="1" t="str">
        <f>IF(Table2[[#This Row],[Description]]="","",VLOOKUP(Table2[[#This Row],[Description]],$Q$1:$S$101,2,FALSE))</f>
        <v/>
      </c>
      <c r="H9173" s="1" t="str">
        <f>IF(Table2[[#This Row],[Description]]="","",VLOOKUP(Table2[[#This Row],[Description]],$Q$1:$S$101,3,FALSE))</f>
        <v/>
      </c>
      <c r="I9173" s="1" t="str">
        <f>IF(Table2[[#This Row],[Description]]="","",IF(Table2[[#This Row],[Currency]]=$O$2,$P$2,HLOOKUP(Table2[[#This Row],[Date]],Funds!$C$10:$GV$11,2,FALSE)))</f>
        <v/>
      </c>
      <c r="J9173" s="215" t="str">
        <f>IF(Table2[[#This Row],[Description]]="","",Table2[[#This Row],[Value]]/Table2[[#This Row],[Conversion]])</f>
        <v/>
      </c>
      <c r="K9173" s="45" t="str">
        <f>IF(Table2[[#This Row],[Description]]="","",DATE(Table2[[#This Row],[Year]],Table2[[#This Row],[Month]],1))</f>
        <v/>
      </c>
    </row>
    <row r="9174" spans="7:11" x14ac:dyDescent="0.25">
      <c r="G9174" s="1" t="str">
        <f>IF(Table2[[#This Row],[Description]]="","",VLOOKUP(Table2[[#This Row],[Description]],$Q$1:$S$101,2,FALSE))</f>
        <v/>
      </c>
      <c r="H9174" s="1" t="str">
        <f>IF(Table2[[#This Row],[Description]]="","",VLOOKUP(Table2[[#This Row],[Description]],$Q$1:$S$101,3,FALSE))</f>
        <v/>
      </c>
      <c r="I9174" s="1" t="str">
        <f>IF(Table2[[#This Row],[Description]]="","",IF(Table2[[#This Row],[Currency]]=$O$2,$P$2,HLOOKUP(Table2[[#This Row],[Date]],Funds!$C$10:$GV$11,2,FALSE)))</f>
        <v/>
      </c>
      <c r="J9174" s="215" t="str">
        <f>IF(Table2[[#This Row],[Description]]="","",Table2[[#This Row],[Value]]/Table2[[#This Row],[Conversion]])</f>
        <v/>
      </c>
      <c r="K9174" s="45" t="str">
        <f>IF(Table2[[#This Row],[Description]]="","",DATE(Table2[[#This Row],[Year]],Table2[[#This Row],[Month]],1))</f>
        <v/>
      </c>
    </row>
    <row r="9175" spans="7:11" x14ac:dyDescent="0.25">
      <c r="G9175" s="1" t="str">
        <f>IF(Table2[[#This Row],[Description]]="","",VLOOKUP(Table2[[#This Row],[Description]],$Q$1:$S$101,2,FALSE))</f>
        <v/>
      </c>
      <c r="H9175" s="1" t="str">
        <f>IF(Table2[[#This Row],[Description]]="","",VLOOKUP(Table2[[#This Row],[Description]],$Q$1:$S$101,3,FALSE))</f>
        <v/>
      </c>
      <c r="I9175" s="1" t="str">
        <f>IF(Table2[[#This Row],[Description]]="","",IF(Table2[[#This Row],[Currency]]=$O$2,$P$2,HLOOKUP(Table2[[#This Row],[Date]],Funds!$C$10:$GV$11,2,FALSE)))</f>
        <v/>
      </c>
      <c r="J9175" s="215" t="str">
        <f>IF(Table2[[#This Row],[Description]]="","",Table2[[#This Row],[Value]]/Table2[[#This Row],[Conversion]])</f>
        <v/>
      </c>
      <c r="K9175" s="45" t="str">
        <f>IF(Table2[[#This Row],[Description]]="","",DATE(Table2[[#This Row],[Year]],Table2[[#This Row],[Month]],1))</f>
        <v/>
      </c>
    </row>
    <row r="9176" spans="7:11" x14ac:dyDescent="0.25">
      <c r="G9176" s="1" t="str">
        <f>IF(Table2[[#This Row],[Description]]="","",VLOOKUP(Table2[[#This Row],[Description]],$Q$1:$S$101,2,FALSE))</f>
        <v/>
      </c>
      <c r="H9176" s="1" t="str">
        <f>IF(Table2[[#This Row],[Description]]="","",VLOOKUP(Table2[[#This Row],[Description]],$Q$1:$S$101,3,FALSE))</f>
        <v/>
      </c>
      <c r="I9176" s="1" t="str">
        <f>IF(Table2[[#This Row],[Description]]="","",IF(Table2[[#This Row],[Currency]]=$O$2,$P$2,HLOOKUP(Table2[[#This Row],[Date]],Funds!$C$10:$GV$11,2,FALSE)))</f>
        <v/>
      </c>
      <c r="J9176" s="215" t="str">
        <f>IF(Table2[[#This Row],[Description]]="","",Table2[[#This Row],[Value]]/Table2[[#This Row],[Conversion]])</f>
        <v/>
      </c>
      <c r="K9176" s="45" t="str">
        <f>IF(Table2[[#This Row],[Description]]="","",DATE(Table2[[#This Row],[Year]],Table2[[#This Row],[Month]],1))</f>
        <v/>
      </c>
    </row>
    <row r="9177" spans="7:11" x14ac:dyDescent="0.25">
      <c r="G9177" s="1" t="str">
        <f>IF(Table2[[#This Row],[Description]]="","",VLOOKUP(Table2[[#This Row],[Description]],$Q$1:$S$101,2,FALSE))</f>
        <v/>
      </c>
      <c r="H9177" s="1" t="str">
        <f>IF(Table2[[#This Row],[Description]]="","",VLOOKUP(Table2[[#This Row],[Description]],$Q$1:$S$101,3,FALSE))</f>
        <v/>
      </c>
      <c r="I9177" s="1" t="str">
        <f>IF(Table2[[#This Row],[Description]]="","",IF(Table2[[#This Row],[Currency]]=$O$2,$P$2,HLOOKUP(Table2[[#This Row],[Date]],Funds!$C$10:$GV$11,2,FALSE)))</f>
        <v/>
      </c>
      <c r="J9177" s="215" t="str">
        <f>IF(Table2[[#This Row],[Description]]="","",Table2[[#This Row],[Value]]/Table2[[#This Row],[Conversion]])</f>
        <v/>
      </c>
      <c r="K9177" s="45" t="str">
        <f>IF(Table2[[#This Row],[Description]]="","",DATE(Table2[[#This Row],[Year]],Table2[[#This Row],[Month]],1))</f>
        <v/>
      </c>
    </row>
    <row r="9178" spans="7:11" x14ac:dyDescent="0.25">
      <c r="G9178" s="1" t="str">
        <f>IF(Table2[[#This Row],[Description]]="","",VLOOKUP(Table2[[#This Row],[Description]],$Q$1:$S$101,2,FALSE))</f>
        <v/>
      </c>
      <c r="H9178" s="1" t="str">
        <f>IF(Table2[[#This Row],[Description]]="","",VLOOKUP(Table2[[#This Row],[Description]],$Q$1:$S$101,3,FALSE))</f>
        <v/>
      </c>
      <c r="I9178" s="1" t="str">
        <f>IF(Table2[[#This Row],[Description]]="","",IF(Table2[[#This Row],[Currency]]=$O$2,$P$2,HLOOKUP(Table2[[#This Row],[Date]],Funds!$C$10:$GV$11,2,FALSE)))</f>
        <v/>
      </c>
      <c r="J9178" s="215" t="str">
        <f>IF(Table2[[#This Row],[Description]]="","",Table2[[#This Row],[Value]]/Table2[[#This Row],[Conversion]])</f>
        <v/>
      </c>
      <c r="K9178" s="45" t="str">
        <f>IF(Table2[[#This Row],[Description]]="","",DATE(Table2[[#This Row],[Year]],Table2[[#This Row],[Month]],1))</f>
        <v/>
      </c>
    </row>
    <row r="9179" spans="7:11" x14ac:dyDescent="0.25">
      <c r="G9179" s="1" t="str">
        <f>IF(Table2[[#This Row],[Description]]="","",VLOOKUP(Table2[[#This Row],[Description]],$Q$1:$S$101,2,FALSE))</f>
        <v/>
      </c>
      <c r="H9179" s="1" t="str">
        <f>IF(Table2[[#This Row],[Description]]="","",VLOOKUP(Table2[[#This Row],[Description]],$Q$1:$S$101,3,FALSE))</f>
        <v/>
      </c>
      <c r="I9179" s="1" t="str">
        <f>IF(Table2[[#This Row],[Description]]="","",IF(Table2[[#This Row],[Currency]]=$O$2,$P$2,HLOOKUP(Table2[[#This Row],[Date]],Funds!$C$10:$GV$11,2,FALSE)))</f>
        <v/>
      </c>
      <c r="J9179" s="215" t="str">
        <f>IF(Table2[[#This Row],[Description]]="","",Table2[[#This Row],[Value]]/Table2[[#This Row],[Conversion]])</f>
        <v/>
      </c>
      <c r="K9179" s="45" t="str">
        <f>IF(Table2[[#This Row],[Description]]="","",DATE(Table2[[#This Row],[Year]],Table2[[#This Row],[Month]],1))</f>
        <v/>
      </c>
    </row>
    <row r="9180" spans="7:11" x14ac:dyDescent="0.25">
      <c r="G9180" s="1" t="str">
        <f>IF(Table2[[#This Row],[Description]]="","",VLOOKUP(Table2[[#This Row],[Description]],$Q$1:$S$101,2,FALSE))</f>
        <v/>
      </c>
      <c r="H9180" s="1" t="str">
        <f>IF(Table2[[#This Row],[Description]]="","",VLOOKUP(Table2[[#This Row],[Description]],$Q$1:$S$101,3,FALSE))</f>
        <v/>
      </c>
      <c r="I9180" s="1" t="str">
        <f>IF(Table2[[#This Row],[Description]]="","",IF(Table2[[#This Row],[Currency]]=$O$2,$P$2,HLOOKUP(Table2[[#This Row],[Date]],Funds!$C$10:$GV$11,2,FALSE)))</f>
        <v/>
      </c>
      <c r="J9180" s="215" t="str">
        <f>IF(Table2[[#This Row],[Description]]="","",Table2[[#This Row],[Value]]/Table2[[#This Row],[Conversion]])</f>
        <v/>
      </c>
      <c r="K9180" s="45" t="str">
        <f>IF(Table2[[#This Row],[Description]]="","",DATE(Table2[[#This Row],[Year]],Table2[[#This Row],[Month]],1))</f>
        <v/>
      </c>
    </row>
    <row r="9181" spans="7:11" x14ac:dyDescent="0.25">
      <c r="G9181" s="1" t="str">
        <f>IF(Table2[[#This Row],[Description]]="","",VLOOKUP(Table2[[#This Row],[Description]],$Q$1:$S$101,2,FALSE))</f>
        <v/>
      </c>
      <c r="H9181" s="1" t="str">
        <f>IF(Table2[[#This Row],[Description]]="","",VLOOKUP(Table2[[#This Row],[Description]],$Q$1:$S$101,3,FALSE))</f>
        <v/>
      </c>
      <c r="I9181" s="1" t="str">
        <f>IF(Table2[[#This Row],[Description]]="","",IF(Table2[[#This Row],[Currency]]=$O$2,$P$2,HLOOKUP(Table2[[#This Row],[Date]],Funds!$C$10:$GV$11,2,FALSE)))</f>
        <v/>
      </c>
      <c r="J9181" s="215" t="str">
        <f>IF(Table2[[#This Row],[Description]]="","",Table2[[#This Row],[Value]]/Table2[[#This Row],[Conversion]])</f>
        <v/>
      </c>
      <c r="K9181" s="45" t="str">
        <f>IF(Table2[[#This Row],[Description]]="","",DATE(Table2[[#This Row],[Year]],Table2[[#This Row],[Month]],1))</f>
        <v/>
      </c>
    </row>
    <row r="9182" spans="7:11" x14ac:dyDescent="0.25">
      <c r="G9182" s="1" t="str">
        <f>IF(Table2[[#This Row],[Description]]="","",VLOOKUP(Table2[[#This Row],[Description]],$Q$1:$S$101,2,FALSE))</f>
        <v/>
      </c>
      <c r="H9182" s="1" t="str">
        <f>IF(Table2[[#This Row],[Description]]="","",VLOOKUP(Table2[[#This Row],[Description]],$Q$1:$S$101,3,FALSE))</f>
        <v/>
      </c>
      <c r="I9182" s="1" t="str">
        <f>IF(Table2[[#This Row],[Description]]="","",IF(Table2[[#This Row],[Currency]]=$O$2,$P$2,HLOOKUP(Table2[[#This Row],[Date]],Funds!$C$10:$GV$11,2,FALSE)))</f>
        <v/>
      </c>
      <c r="J9182" s="215" t="str">
        <f>IF(Table2[[#This Row],[Description]]="","",Table2[[#This Row],[Value]]/Table2[[#This Row],[Conversion]])</f>
        <v/>
      </c>
      <c r="K9182" s="45" t="str">
        <f>IF(Table2[[#This Row],[Description]]="","",DATE(Table2[[#This Row],[Year]],Table2[[#This Row],[Month]],1))</f>
        <v/>
      </c>
    </row>
    <row r="9183" spans="7:11" x14ac:dyDescent="0.25">
      <c r="G9183" s="1" t="str">
        <f>IF(Table2[[#This Row],[Description]]="","",VLOOKUP(Table2[[#This Row],[Description]],$Q$1:$S$101,2,FALSE))</f>
        <v/>
      </c>
      <c r="H9183" s="1" t="str">
        <f>IF(Table2[[#This Row],[Description]]="","",VLOOKUP(Table2[[#This Row],[Description]],$Q$1:$S$101,3,FALSE))</f>
        <v/>
      </c>
      <c r="I9183" s="1" t="str">
        <f>IF(Table2[[#This Row],[Description]]="","",IF(Table2[[#This Row],[Currency]]=$O$2,$P$2,HLOOKUP(Table2[[#This Row],[Date]],Funds!$C$10:$GV$11,2,FALSE)))</f>
        <v/>
      </c>
      <c r="J9183" s="215" t="str">
        <f>IF(Table2[[#This Row],[Description]]="","",Table2[[#This Row],[Value]]/Table2[[#This Row],[Conversion]])</f>
        <v/>
      </c>
      <c r="K9183" s="45" t="str">
        <f>IF(Table2[[#This Row],[Description]]="","",DATE(Table2[[#This Row],[Year]],Table2[[#This Row],[Month]],1))</f>
        <v/>
      </c>
    </row>
    <row r="9184" spans="7:11" x14ac:dyDescent="0.25">
      <c r="G9184" s="1" t="str">
        <f>IF(Table2[[#This Row],[Description]]="","",VLOOKUP(Table2[[#This Row],[Description]],$Q$1:$S$101,2,FALSE))</f>
        <v/>
      </c>
      <c r="H9184" s="1" t="str">
        <f>IF(Table2[[#This Row],[Description]]="","",VLOOKUP(Table2[[#This Row],[Description]],$Q$1:$S$101,3,FALSE))</f>
        <v/>
      </c>
      <c r="I9184" s="1" t="str">
        <f>IF(Table2[[#This Row],[Description]]="","",IF(Table2[[#This Row],[Currency]]=$O$2,$P$2,HLOOKUP(Table2[[#This Row],[Date]],Funds!$C$10:$GV$11,2,FALSE)))</f>
        <v/>
      </c>
      <c r="J9184" s="215" t="str">
        <f>IF(Table2[[#This Row],[Description]]="","",Table2[[#This Row],[Value]]/Table2[[#This Row],[Conversion]])</f>
        <v/>
      </c>
      <c r="K9184" s="45" t="str">
        <f>IF(Table2[[#This Row],[Description]]="","",DATE(Table2[[#This Row],[Year]],Table2[[#This Row],[Month]],1))</f>
        <v/>
      </c>
    </row>
    <row r="9185" spans="7:11" x14ac:dyDescent="0.25">
      <c r="G9185" s="1" t="str">
        <f>IF(Table2[[#This Row],[Description]]="","",VLOOKUP(Table2[[#This Row],[Description]],$Q$1:$S$101,2,FALSE))</f>
        <v/>
      </c>
      <c r="H9185" s="1" t="str">
        <f>IF(Table2[[#This Row],[Description]]="","",VLOOKUP(Table2[[#This Row],[Description]],$Q$1:$S$101,3,FALSE))</f>
        <v/>
      </c>
      <c r="I9185" s="1" t="str">
        <f>IF(Table2[[#This Row],[Description]]="","",IF(Table2[[#This Row],[Currency]]=$O$2,$P$2,HLOOKUP(Table2[[#This Row],[Date]],Funds!$C$10:$GV$11,2,FALSE)))</f>
        <v/>
      </c>
      <c r="J9185" s="215" t="str">
        <f>IF(Table2[[#This Row],[Description]]="","",Table2[[#This Row],[Value]]/Table2[[#This Row],[Conversion]])</f>
        <v/>
      </c>
      <c r="K9185" s="45" t="str">
        <f>IF(Table2[[#This Row],[Description]]="","",DATE(Table2[[#This Row],[Year]],Table2[[#This Row],[Month]],1))</f>
        <v/>
      </c>
    </row>
    <row r="9186" spans="7:11" x14ac:dyDescent="0.25">
      <c r="G9186" s="1" t="str">
        <f>IF(Table2[[#This Row],[Description]]="","",VLOOKUP(Table2[[#This Row],[Description]],$Q$1:$S$101,2,FALSE))</f>
        <v/>
      </c>
      <c r="H9186" s="1" t="str">
        <f>IF(Table2[[#This Row],[Description]]="","",VLOOKUP(Table2[[#This Row],[Description]],$Q$1:$S$101,3,FALSE))</f>
        <v/>
      </c>
      <c r="I9186" s="1" t="str">
        <f>IF(Table2[[#This Row],[Description]]="","",IF(Table2[[#This Row],[Currency]]=$O$2,$P$2,HLOOKUP(Table2[[#This Row],[Date]],Funds!$C$10:$GV$11,2,FALSE)))</f>
        <v/>
      </c>
      <c r="J9186" s="215" t="str">
        <f>IF(Table2[[#This Row],[Description]]="","",Table2[[#This Row],[Value]]/Table2[[#This Row],[Conversion]])</f>
        <v/>
      </c>
      <c r="K9186" s="45" t="str">
        <f>IF(Table2[[#This Row],[Description]]="","",DATE(Table2[[#This Row],[Year]],Table2[[#This Row],[Month]],1))</f>
        <v/>
      </c>
    </row>
    <row r="9187" spans="7:11" x14ac:dyDescent="0.25">
      <c r="G9187" s="1" t="str">
        <f>IF(Table2[[#This Row],[Description]]="","",VLOOKUP(Table2[[#This Row],[Description]],$Q$1:$S$101,2,FALSE))</f>
        <v/>
      </c>
      <c r="H9187" s="1" t="str">
        <f>IF(Table2[[#This Row],[Description]]="","",VLOOKUP(Table2[[#This Row],[Description]],$Q$1:$S$101,3,FALSE))</f>
        <v/>
      </c>
      <c r="I9187" s="1" t="str">
        <f>IF(Table2[[#This Row],[Description]]="","",IF(Table2[[#This Row],[Currency]]=$O$2,$P$2,HLOOKUP(Table2[[#This Row],[Date]],Funds!$C$10:$GV$11,2,FALSE)))</f>
        <v/>
      </c>
      <c r="J9187" s="215" t="str">
        <f>IF(Table2[[#This Row],[Description]]="","",Table2[[#This Row],[Value]]/Table2[[#This Row],[Conversion]])</f>
        <v/>
      </c>
      <c r="K9187" s="45" t="str">
        <f>IF(Table2[[#This Row],[Description]]="","",DATE(Table2[[#This Row],[Year]],Table2[[#This Row],[Month]],1))</f>
        <v/>
      </c>
    </row>
    <row r="9188" spans="7:11" x14ac:dyDescent="0.25">
      <c r="G9188" s="1" t="str">
        <f>IF(Table2[[#This Row],[Description]]="","",VLOOKUP(Table2[[#This Row],[Description]],$Q$1:$S$101,2,FALSE))</f>
        <v/>
      </c>
      <c r="H9188" s="1" t="str">
        <f>IF(Table2[[#This Row],[Description]]="","",VLOOKUP(Table2[[#This Row],[Description]],$Q$1:$S$101,3,FALSE))</f>
        <v/>
      </c>
      <c r="I9188" s="1" t="str">
        <f>IF(Table2[[#This Row],[Description]]="","",IF(Table2[[#This Row],[Currency]]=$O$2,$P$2,HLOOKUP(Table2[[#This Row],[Date]],Funds!$C$10:$GV$11,2,FALSE)))</f>
        <v/>
      </c>
      <c r="J9188" s="215" t="str">
        <f>IF(Table2[[#This Row],[Description]]="","",Table2[[#This Row],[Value]]/Table2[[#This Row],[Conversion]])</f>
        <v/>
      </c>
      <c r="K9188" s="45" t="str">
        <f>IF(Table2[[#This Row],[Description]]="","",DATE(Table2[[#This Row],[Year]],Table2[[#This Row],[Month]],1))</f>
        <v/>
      </c>
    </row>
    <row r="9189" spans="7:11" x14ac:dyDescent="0.25">
      <c r="G9189" s="1" t="str">
        <f>IF(Table2[[#This Row],[Description]]="","",VLOOKUP(Table2[[#This Row],[Description]],$Q$1:$S$101,2,FALSE))</f>
        <v/>
      </c>
      <c r="H9189" s="1" t="str">
        <f>IF(Table2[[#This Row],[Description]]="","",VLOOKUP(Table2[[#This Row],[Description]],$Q$1:$S$101,3,FALSE))</f>
        <v/>
      </c>
      <c r="I9189" s="1" t="str">
        <f>IF(Table2[[#This Row],[Description]]="","",IF(Table2[[#This Row],[Currency]]=$O$2,$P$2,HLOOKUP(Table2[[#This Row],[Date]],Funds!$C$10:$GV$11,2,FALSE)))</f>
        <v/>
      </c>
      <c r="J9189" s="215" t="str">
        <f>IF(Table2[[#This Row],[Description]]="","",Table2[[#This Row],[Value]]/Table2[[#This Row],[Conversion]])</f>
        <v/>
      </c>
      <c r="K9189" s="45" t="str">
        <f>IF(Table2[[#This Row],[Description]]="","",DATE(Table2[[#This Row],[Year]],Table2[[#This Row],[Month]],1))</f>
        <v/>
      </c>
    </row>
    <row r="9190" spans="7:11" x14ac:dyDescent="0.25">
      <c r="G9190" s="1" t="str">
        <f>IF(Table2[[#This Row],[Description]]="","",VLOOKUP(Table2[[#This Row],[Description]],$Q$1:$S$101,2,FALSE))</f>
        <v/>
      </c>
      <c r="H9190" s="1" t="str">
        <f>IF(Table2[[#This Row],[Description]]="","",VLOOKUP(Table2[[#This Row],[Description]],$Q$1:$S$101,3,FALSE))</f>
        <v/>
      </c>
      <c r="I9190" s="1" t="str">
        <f>IF(Table2[[#This Row],[Description]]="","",IF(Table2[[#This Row],[Currency]]=$O$2,$P$2,HLOOKUP(Table2[[#This Row],[Date]],Funds!$C$10:$GV$11,2,FALSE)))</f>
        <v/>
      </c>
      <c r="J9190" s="215" t="str">
        <f>IF(Table2[[#This Row],[Description]]="","",Table2[[#This Row],[Value]]/Table2[[#This Row],[Conversion]])</f>
        <v/>
      </c>
      <c r="K9190" s="45" t="str">
        <f>IF(Table2[[#This Row],[Description]]="","",DATE(Table2[[#This Row],[Year]],Table2[[#This Row],[Month]],1))</f>
        <v/>
      </c>
    </row>
    <row r="9191" spans="7:11" x14ac:dyDescent="0.25">
      <c r="G9191" s="1" t="str">
        <f>IF(Table2[[#This Row],[Description]]="","",VLOOKUP(Table2[[#This Row],[Description]],$Q$1:$S$101,2,FALSE))</f>
        <v/>
      </c>
      <c r="H9191" s="1" t="str">
        <f>IF(Table2[[#This Row],[Description]]="","",VLOOKUP(Table2[[#This Row],[Description]],$Q$1:$S$101,3,FALSE))</f>
        <v/>
      </c>
      <c r="I9191" s="1" t="str">
        <f>IF(Table2[[#This Row],[Description]]="","",IF(Table2[[#This Row],[Currency]]=$O$2,$P$2,HLOOKUP(Table2[[#This Row],[Date]],Funds!$C$10:$GV$11,2,FALSE)))</f>
        <v/>
      </c>
      <c r="J9191" s="215" t="str">
        <f>IF(Table2[[#This Row],[Description]]="","",Table2[[#This Row],[Value]]/Table2[[#This Row],[Conversion]])</f>
        <v/>
      </c>
      <c r="K9191" s="45" t="str">
        <f>IF(Table2[[#This Row],[Description]]="","",DATE(Table2[[#This Row],[Year]],Table2[[#This Row],[Month]],1))</f>
        <v/>
      </c>
    </row>
    <row r="9192" spans="7:11" x14ac:dyDescent="0.25">
      <c r="G9192" s="1" t="str">
        <f>IF(Table2[[#This Row],[Description]]="","",VLOOKUP(Table2[[#This Row],[Description]],$Q$1:$S$101,2,FALSE))</f>
        <v/>
      </c>
      <c r="H9192" s="1" t="str">
        <f>IF(Table2[[#This Row],[Description]]="","",VLOOKUP(Table2[[#This Row],[Description]],$Q$1:$S$101,3,FALSE))</f>
        <v/>
      </c>
      <c r="I9192" s="1" t="str">
        <f>IF(Table2[[#This Row],[Description]]="","",IF(Table2[[#This Row],[Currency]]=$O$2,$P$2,HLOOKUP(Table2[[#This Row],[Date]],Funds!$C$10:$GV$11,2,FALSE)))</f>
        <v/>
      </c>
      <c r="J9192" s="215" t="str">
        <f>IF(Table2[[#This Row],[Description]]="","",Table2[[#This Row],[Value]]/Table2[[#This Row],[Conversion]])</f>
        <v/>
      </c>
      <c r="K9192" s="45" t="str">
        <f>IF(Table2[[#This Row],[Description]]="","",DATE(Table2[[#This Row],[Year]],Table2[[#This Row],[Month]],1))</f>
        <v/>
      </c>
    </row>
    <row r="9193" spans="7:11" x14ac:dyDescent="0.25">
      <c r="G9193" s="1" t="str">
        <f>IF(Table2[[#This Row],[Description]]="","",VLOOKUP(Table2[[#This Row],[Description]],$Q$1:$S$101,2,FALSE))</f>
        <v/>
      </c>
      <c r="H9193" s="1" t="str">
        <f>IF(Table2[[#This Row],[Description]]="","",VLOOKUP(Table2[[#This Row],[Description]],$Q$1:$S$101,3,FALSE))</f>
        <v/>
      </c>
      <c r="I9193" s="1" t="str">
        <f>IF(Table2[[#This Row],[Description]]="","",IF(Table2[[#This Row],[Currency]]=$O$2,$P$2,HLOOKUP(Table2[[#This Row],[Date]],Funds!$C$10:$GV$11,2,FALSE)))</f>
        <v/>
      </c>
      <c r="J9193" s="215" t="str">
        <f>IF(Table2[[#This Row],[Description]]="","",Table2[[#This Row],[Value]]/Table2[[#This Row],[Conversion]])</f>
        <v/>
      </c>
      <c r="K9193" s="45" t="str">
        <f>IF(Table2[[#This Row],[Description]]="","",DATE(Table2[[#This Row],[Year]],Table2[[#This Row],[Month]],1))</f>
        <v/>
      </c>
    </row>
    <row r="9194" spans="7:11" x14ac:dyDescent="0.25">
      <c r="G9194" s="1" t="str">
        <f>IF(Table2[[#This Row],[Description]]="","",VLOOKUP(Table2[[#This Row],[Description]],$Q$1:$S$101,2,FALSE))</f>
        <v/>
      </c>
      <c r="H9194" s="1" t="str">
        <f>IF(Table2[[#This Row],[Description]]="","",VLOOKUP(Table2[[#This Row],[Description]],$Q$1:$S$101,3,FALSE))</f>
        <v/>
      </c>
      <c r="I9194" s="1" t="str">
        <f>IF(Table2[[#This Row],[Description]]="","",IF(Table2[[#This Row],[Currency]]=$O$2,$P$2,HLOOKUP(Table2[[#This Row],[Date]],Funds!$C$10:$GV$11,2,FALSE)))</f>
        <v/>
      </c>
      <c r="J9194" s="215" t="str">
        <f>IF(Table2[[#This Row],[Description]]="","",Table2[[#This Row],[Value]]/Table2[[#This Row],[Conversion]])</f>
        <v/>
      </c>
      <c r="K9194" s="45" t="str">
        <f>IF(Table2[[#This Row],[Description]]="","",DATE(Table2[[#This Row],[Year]],Table2[[#This Row],[Month]],1))</f>
        <v/>
      </c>
    </row>
    <row r="9195" spans="7:11" x14ac:dyDescent="0.25">
      <c r="G9195" s="1" t="str">
        <f>IF(Table2[[#This Row],[Description]]="","",VLOOKUP(Table2[[#This Row],[Description]],$Q$1:$S$101,2,FALSE))</f>
        <v/>
      </c>
      <c r="H9195" s="1" t="str">
        <f>IF(Table2[[#This Row],[Description]]="","",VLOOKUP(Table2[[#This Row],[Description]],$Q$1:$S$101,3,FALSE))</f>
        <v/>
      </c>
      <c r="I9195" s="1" t="str">
        <f>IF(Table2[[#This Row],[Description]]="","",IF(Table2[[#This Row],[Currency]]=$O$2,$P$2,HLOOKUP(Table2[[#This Row],[Date]],Funds!$C$10:$GV$11,2,FALSE)))</f>
        <v/>
      </c>
      <c r="J9195" s="215" t="str">
        <f>IF(Table2[[#This Row],[Description]]="","",Table2[[#This Row],[Value]]/Table2[[#This Row],[Conversion]])</f>
        <v/>
      </c>
      <c r="K9195" s="45" t="str">
        <f>IF(Table2[[#This Row],[Description]]="","",DATE(Table2[[#This Row],[Year]],Table2[[#This Row],[Month]],1))</f>
        <v/>
      </c>
    </row>
    <row r="9196" spans="7:11" x14ac:dyDescent="0.25">
      <c r="G9196" s="1" t="str">
        <f>IF(Table2[[#This Row],[Description]]="","",VLOOKUP(Table2[[#This Row],[Description]],$Q$1:$S$101,2,FALSE))</f>
        <v/>
      </c>
      <c r="H9196" s="1" t="str">
        <f>IF(Table2[[#This Row],[Description]]="","",VLOOKUP(Table2[[#This Row],[Description]],$Q$1:$S$101,3,FALSE))</f>
        <v/>
      </c>
      <c r="I9196" s="1" t="str">
        <f>IF(Table2[[#This Row],[Description]]="","",IF(Table2[[#This Row],[Currency]]=$O$2,$P$2,HLOOKUP(Table2[[#This Row],[Date]],Funds!$C$10:$GV$11,2,FALSE)))</f>
        <v/>
      </c>
      <c r="J9196" s="215" t="str">
        <f>IF(Table2[[#This Row],[Description]]="","",Table2[[#This Row],[Value]]/Table2[[#This Row],[Conversion]])</f>
        <v/>
      </c>
      <c r="K9196" s="45" t="str">
        <f>IF(Table2[[#This Row],[Description]]="","",DATE(Table2[[#This Row],[Year]],Table2[[#This Row],[Month]],1))</f>
        <v/>
      </c>
    </row>
    <row r="9197" spans="7:11" x14ac:dyDescent="0.25">
      <c r="G9197" s="1" t="str">
        <f>IF(Table2[[#This Row],[Description]]="","",VLOOKUP(Table2[[#This Row],[Description]],$Q$1:$S$101,2,FALSE))</f>
        <v/>
      </c>
      <c r="H9197" s="1" t="str">
        <f>IF(Table2[[#This Row],[Description]]="","",VLOOKUP(Table2[[#This Row],[Description]],$Q$1:$S$101,3,FALSE))</f>
        <v/>
      </c>
      <c r="I9197" s="1" t="str">
        <f>IF(Table2[[#This Row],[Description]]="","",IF(Table2[[#This Row],[Currency]]=$O$2,$P$2,HLOOKUP(Table2[[#This Row],[Date]],Funds!$C$10:$GV$11,2,FALSE)))</f>
        <v/>
      </c>
      <c r="J9197" s="215" t="str">
        <f>IF(Table2[[#This Row],[Description]]="","",Table2[[#This Row],[Value]]/Table2[[#This Row],[Conversion]])</f>
        <v/>
      </c>
      <c r="K9197" s="45" t="str">
        <f>IF(Table2[[#This Row],[Description]]="","",DATE(Table2[[#This Row],[Year]],Table2[[#This Row],[Month]],1))</f>
        <v/>
      </c>
    </row>
    <row r="9198" spans="7:11" x14ac:dyDescent="0.25">
      <c r="G9198" s="1" t="str">
        <f>IF(Table2[[#This Row],[Description]]="","",VLOOKUP(Table2[[#This Row],[Description]],$Q$1:$S$101,2,FALSE))</f>
        <v/>
      </c>
      <c r="H9198" s="1" t="str">
        <f>IF(Table2[[#This Row],[Description]]="","",VLOOKUP(Table2[[#This Row],[Description]],$Q$1:$S$101,3,FALSE))</f>
        <v/>
      </c>
      <c r="I9198" s="1" t="str">
        <f>IF(Table2[[#This Row],[Description]]="","",IF(Table2[[#This Row],[Currency]]=$O$2,$P$2,HLOOKUP(Table2[[#This Row],[Date]],Funds!$C$10:$GV$11,2,FALSE)))</f>
        <v/>
      </c>
      <c r="J9198" s="215" t="str">
        <f>IF(Table2[[#This Row],[Description]]="","",Table2[[#This Row],[Value]]/Table2[[#This Row],[Conversion]])</f>
        <v/>
      </c>
      <c r="K9198" s="45" t="str">
        <f>IF(Table2[[#This Row],[Description]]="","",DATE(Table2[[#This Row],[Year]],Table2[[#This Row],[Month]],1))</f>
        <v/>
      </c>
    </row>
    <row r="9199" spans="7:11" x14ac:dyDescent="0.25">
      <c r="G9199" s="1" t="str">
        <f>IF(Table2[[#This Row],[Description]]="","",VLOOKUP(Table2[[#This Row],[Description]],$Q$1:$S$101,2,FALSE))</f>
        <v/>
      </c>
      <c r="H9199" s="1" t="str">
        <f>IF(Table2[[#This Row],[Description]]="","",VLOOKUP(Table2[[#This Row],[Description]],$Q$1:$S$101,3,FALSE))</f>
        <v/>
      </c>
      <c r="I9199" s="1" t="str">
        <f>IF(Table2[[#This Row],[Description]]="","",IF(Table2[[#This Row],[Currency]]=$O$2,$P$2,HLOOKUP(Table2[[#This Row],[Date]],Funds!$C$10:$GV$11,2,FALSE)))</f>
        <v/>
      </c>
      <c r="J9199" s="215" t="str">
        <f>IF(Table2[[#This Row],[Description]]="","",Table2[[#This Row],[Value]]/Table2[[#This Row],[Conversion]])</f>
        <v/>
      </c>
      <c r="K9199" s="45" t="str">
        <f>IF(Table2[[#This Row],[Description]]="","",DATE(Table2[[#This Row],[Year]],Table2[[#This Row],[Month]],1))</f>
        <v/>
      </c>
    </row>
    <row r="9200" spans="7:11" x14ac:dyDescent="0.25">
      <c r="G9200" s="1" t="str">
        <f>IF(Table2[[#This Row],[Description]]="","",VLOOKUP(Table2[[#This Row],[Description]],$Q$1:$S$101,2,FALSE))</f>
        <v/>
      </c>
      <c r="H9200" s="1" t="str">
        <f>IF(Table2[[#This Row],[Description]]="","",VLOOKUP(Table2[[#This Row],[Description]],$Q$1:$S$101,3,FALSE))</f>
        <v/>
      </c>
      <c r="I9200" s="1" t="str">
        <f>IF(Table2[[#This Row],[Description]]="","",IF(Table2[[#This Row],[Currency]]=$O$2,$P$2,HLOOKUP(Table2[[#This Row],[Date]],Funds!$C$10:$GV$11,2,FALSE)))</f>
        <v/>
      </c>
      <c r="J9200" s="215" t="str">
        <f>IF(Table2[[#This Row],[Description]]="","",Table2[[#This Row],[Value]]/Table2[[#This Row],[Conversion]])</f>
        <v/>
      </c>
      <c r="K9200" s="45" t="str">
        <f>IF(Table2[[#This Row],[Description]]="","",DATE(Table2[[#This Row],[Year]],Table2[[#This Row],[Month]],1))</f>
        <v/>
      </c>
    </row>
    <row r="9201" spans="7:11" x14ac:dyDescent="0.25">
      <c r="G9201" s="1" t="str">
        <f>IF(Table2[[#This Row],[Description]]="","",VLOOKUP(Table2[[#This Row],[Description]],$Q$1:$S$101,2,FALSE))</f>
        <v/>
      </c>
      <c r="H9201" s="1" t="str">
        <f>IF(Table2[[#This Row],[Description]]="","",VLOOKUP(Table2[[#This Row],[Description]],$Q$1:$S$101,3,FALSE))</f>
        <v/>
      </c>
      <c r="I9201" s="1" t="str">
        <f>IF(Table2[[#This Row],[Description]]="","",IF(Table2[[#This Row],[Currency]]=$O$2,$P$2,HLOOKUP(Table2[[#This Row],[Date]],Funds!$C$10:$GV$11,2,FALSE)))</f>
        <v/>
      </c>
      <c r="J9201" s="215" t="str">
        <f>IF(Table2[[#This Row],[Description]]="","",Table2[[#This Row],[Value]]/Table2[[#This Row],[Conversion]])</f>
        <v/>
      </c>
      <c r="K9201" s="45" t="str">
        <f>IF(Table2[[#This Row],[Description]]="","",DATE(Table2[[#This Row],[Year]],Table2[[#This Row],[Month]],1))</f>
        <v/>
      </c>
    </row>
    <row r="9202" spans="7:11" x14ac:dyDescent="0.25">
      <c r="G9202" s="1" t="str">
        <f>IF(Table2[[#This Row],[Description]]="","",VLOOKUP(Table2[[#This Row],[Description]],$Q$1:$S$101,2,FALSE))</f>
        <v/>
      </c>
      <c r="H9202" s="1" t="str">
        <f>IF(Table2[[#This Row],[Description]]="","",VLOOKUP(Table2[[#This Row],[Description]],$Q$1:$S$101,3,FALSE))</f>
        <v/>
      </c>
      <c r="I9202" s="1" t="str">
        <f>IF(Table2[[#This Row],[Description]]="","",IF(Table2[[#This Row],[Currency]]=$O$2,$P$2,HLOOKUP(Table2[[#This Row],[Date]],Funds!$C$10:$GV$11,2,FALSE)))</f>
        <v/>
      </c>
      <c r="J9202" s="215" t="str">
        <f>IF(Table2[[#This Row],[Description]]="","",Table2[[#This Row],[Value]]/Table2[[#This Row],[Conversion]])</f>
        <v/>
      </c>
      <c r="K9202" s="45" t="str">
        <f>IF(Table2[[#This Row],[Description]]="","",DATE(Table2[[#This Row],[Year]],Table2[[#This Row],[Month]],1))</f>
        <v/>
      </c>
    </row>
    <row r="9203" spans="7:11" x14ac:dyDescent="0.25">
      <c r="G9203" s="1" t="str">
        <f>IF(Table2[[#This Row],[Description]]="","",VLOOKUP(Table2[[#This Row],[Description]],$Q$1:$S$101,2,FALSE))</f>
        <v/>
      </c>
      <c r="H9203" s="1" t="str">
        <f>IF(Table2[[#This Row],[Description]]="","",VLOOKUP(Table2[[#This Row],[Description]],$Q$1:$S$101,3,FALSE))</f>
        <v/>
      </c>
      <c r="I9203" s="1" t="str">
        <f>IF(Table2[[#This Row],[Description]]="","",IF(Table2[[#This Row],[Currency]]=$O$2,$P$2,HLOOKUP(Table2[[#This Row],[Date]],Funds!$C$10:$GV$11,2,FALSE)))</f>
        <v/>
      </c>
      <c r="J9203" s="215" t="str">
        <f>IF(Table2[[#This Row],[Description]]="","",Table2[[#This Row],[Value]]/Table2[[#This Row],[Conversion]])</f>
        <v/>
      </c>
      <c r="K9203" s="45" t="str">
        <f>IF(Table2[[#This Row],[Description]]="","",DATE(Table2[[#This Row],[Year]],Table2[[#This Row],[Month]],1))</f>
        <v/>
      </c>
    </row>
    <row r="9204" spans="7:11" x14ac:dyDescent="0.25">
      <c r="G9204" s="1" t="str">
        <f>IF(Table2[[#This Row],[Description]]="","",VLOOKUP(Table2[[#This Row],[Description]],$Q$1:$S$101,2,FALSE))</f>
        <v/>
      </c>
      <c r="H9204" s="1" t="str">
        <f>IF(Table2[[#This Row],[Description]]="","",VLOOKUP(Table2[[#This Row],[Description]],$Q$1:$S$101,3,FALSE))</f>
        <v/>
      </c>
      <c r="I9204" s="1" t="str">
        <f>IF(Table2[[#This Row],[Description]]="","",IF(Table2[[#This Row],[Currency]]=$O$2,$P$2,HLOOKUP(Table2[[#This Row],[Date]],Funds!$C$10:$GV$11,2,FALSE)))</f>
        <v/>
      </c>
      <c r="J9204" s="215" t="str">
        <f>IF(Table2[[#This Row],[Description]]="","",Table2[[#This Row],[Value]]/Table2[[#This Row],[Conversion]])</f>
        <v/>
      </c>
      <c r="K9204" s="45" t="str">
        <f>IF(Table2[[#This Row],[Description]]="","",DATE(Table2[[#This Row],[Year]],Table2[[#This Row],[Month]],1))</f>
        <v/>
      </c>
    </row>
    <row r="9205" spans="7:11" x14ac:dyDescent="0.25">
      <c r="G9205" s="1" t="str">
        <f>IF(Table2[[#This Row],[Description]]="","",VLOOKUP(Table2[[#This Row],[Description]],$Q$1:$S$101,2,FALSE))</f>
        <v/>
      </c>
      <c r="H9205" s="1" t="str">
        <f>IF(Table2[[#This Row],[Description]]="","",VLOOKUP(Table2[[#This Row],[Description]],$Q$1:$S$101,3,FALSE))</f>
        <v/>
      </c>
      <c r="I9205" s="1" t="str">
        <f>IF(Table2[[#This Row],[Description]]="","",IF(Table2[[#This Row],[Currency]]=$O$2,$P$2,HLOOKUP(Table2[[#This Row],[Date]],Funds!$C$10:$GV$11,2,FALSE)))</f>
        <v/>
      </c>
      <c r="J9205" s="215" t="str">
        <f>IF(Table2[[#This Row],[Description]]="","",Table2[[#This Row],[Value]]/Table2[[#This Row],[Conversion]])</f>
        <v/>
      </c>
      <c r="K9205" s="45" t="str">
        <f>IF(Table2[[#This Row],[Description]]="","",DATE(Table2[[#This Row],[Year]],Table2[[#This Row],[Month]],1))</f>
        <v/>
      </c>
    </row>
    <row r="9206" spans="7:11" x14ac:dyDescent="0.25">
      <c r="G9206" s="1" t="str">
        <f>IF(Table2[[#This Row],[Description]]="","",VLOOKUP(Table2[[#This Row],[Description]],$Q$1:$S$101,2,FALSE))</f>
        <v/>
      </c>
      <c r="H9206" s="1" t="str">
        <f>IF(Table2[[#This Row],[Description]]="","",VLOOKUP(Table2[[#This Row],[Description]],$Q$1:$S$101,3,FALSE))</f>
        <v/>
      </c>
      <c r="I9206" s="1" t="str">
        <f>IF(Table2[[#This Row],[Description]]="","",IF(Table2[[#This Row],[Currency]]=$O$2,$P$2,HLOOKUP(Table2[[#This Row],[Date]],Funds!$C$10:$GV$11,2,FALSE)))</f>
        <v/>
      </c>
      <c r="J9206" s="215" t="str">
        <f>IF(Table2[[#This Row],[Description]]="","",Table2[[#This Row],[Value]]/Table2[[#This Row],[Conversion]])</f>
        <v/>
      </c>
      <c r="K9206" s="45" t="str">
        <f>IF(Table2[[#This Row],[Description]]="","",DATE(Table2[[#This Row],[Year]],Table2[[#This Row],[Month]],1))</f>
        <v/>
      </c>
    </row>
    <row r="9207" spans="7:11" x14ac:dyDescent="0.25">
      <c r="G9207" s="1" t="str">
        <f>IF(Table2[[#This Row],[Description]]="","",VLOOKUP(Table2[[#This Row],[Description]],$Q$1:$S$101,2,FALSE))</f>
        <v/>
      </c>
      <c r="H9207" s="1" t="str">
        <f>IF(Table2[[#This Row],[Description]]="","",VLOOKUP(Table2[[#This Row],[Description]],$Q$1:$S$101,3,FALSE))</f>
        <v/>
      </c>
      <c r="I9207" s="1" t="str">
        <f>IF(Table2[[#This Row],[Description]]="","",IF(Table2[[#This Row],[Currency]]=$O$2,$P$2,HLOOKUP(Table2[[#This Row],[Date]],Funds!$C$10:$GV$11,2,FALSE)))</f>
        <v/>
      </c>
      <c r="J9207" s="215" t="str">
        <f>IF(Table2[[#This Row],[Description]]="","",Table2[[#This Row],[Value]]/Table2[[#This Row],[Conversion]])</f>
        <v/>
      </c>
      <c r="K9207" s="45" t="str">
        <f>IF(Table2[[#This Row],[Description]]="","",DATE(Table2[[#This Row],[Year]],Table2[[#This Row],[Month]],1))</f>
        <v/>
      </c>
    </row>
    <row r="9208" spans="7:11" x14ac:dyDescent="0.25">
      <c r="G9208" s="1" t="str">
        <f>IF(Table2[[#This Row],[Description]]="","",VLOOKUP(Table2[[#This Row],[Description]],$Q$1:$S$101,2,FALSE))</f>
        <v/>
      </c>
      <c r="H9208" s="1" t="str">
        <f>IF(Table2[[#This Row],[Description]]="","",VLOOKUP(Table2[[#This Row],[Description]],$Q$1:$S$101,3,FALSE))</f>
        <v/>
      </c>
      <c r="I9208" s="1" t="str">
        <f>IF(Table2[[#This Row],[Description]]="","",IF(Table2[[#This Row],[Currency]]=$O$2,$P$2,HLOOKUP(Table2[[#This Row],[Date]],Funds!$C$10:$GV$11,2,FALSE)))</f>
        <v/>
      </c>
      <c r="J9208" s="215" t="str">
        <f>IF(Table2[[#This Row],[Description]]="","",Table2[[#This Row],[Value]]/Table2[[#This Row],[Conversion]])</f>
        <v/>
      </c>
      <c r="K9208" s="45" t="str">
        <f>IF(Table2[[#This Row],[Description]]="","",DATE(Table2[[#This Row],[Year]],Table2[[#This Row],[Month]],1))</f>
        <v/>
      </c>
    </row>
    <row r="9209" spans="7:11" x14ac:dyDescent="0.25">
      <c r="G9209" s="1" t="str">
        <f>IF(Table2[[#This Row],[Description]]="","",VLOOKUP(Table2[[#This Row],[Description]],$Q$1:$S$101,2,FALSE))</f>
        <v/>
      </c>
      <c r="H9209" s="1" t="str">
        <f>IF(Table2[[#This Row],[Description]]="","",VLOOKUP(Table2[[#This Row],[Description]],$Q$1:$S$101,3,FALSE))</f>
        <v/>
      </c>
      <c r="I9209" s="1" t="str">
        <f>IF(Table2[[#This Row],[Description]]="","",IF(Table2[[#This Row],[Currency]]=$O$2,$P$2,HLOOKUP(Table2[[#This Row],[Date]],Funds!$C$10:$GV$11,2,FALSE)))</f>
        <v/>
      </c>
      <c r="J9209" s="215" t="str">
        <f>IF(Table2[[#This Row],[Description]]="","",Table2[[#This Row],[Value]]/Table2[[#This Row],[Conversion]])</f>
        <v/>
      </c>
      <c r="K9209" s="45" t="str">
        <f>IF(Table2[[#This Row],[Description]]="","",DATE(Table2[[#This Row],[Year]],Table2[[#This Row],[Month]],1))</f>
        <v/>
      </c>
    </row>
    <row r="9210" spans="7:11" x14ac:dyDescent="0.25">
      <c r="G9210" s="1" t="str">
        <f>IF(Table2[[#This Row],[Description]]="","",VLOOKUP(Table2[[#This Row],[Description]],$Q$1:$S$101,2,FALSE))</f>
        <v/>
      </c>
      <c r="H9210" s="1" t="str">
        <f>IF(Table2[[#This Row],[Description]]="","",VLOOKUP(Table2[[#This Row],[Description]],$Q$1:$S$101,3,FALSE))</f>
        <v/>
      </c>
      <c r="I9210" s="1" t="str">
        <f>IF(Table2[[#This Row],[Description]]="","",IF(Table2[[#This Row],[Currency]]=$O$2,$P$2,HLOOKUP(Table2[[#This Row],[Date]],Funds!$C$10:$GV$11,2,FALSE)))</f>
        <v/>
      </c>
      <c r="J9210" s="215" t="str">
        <f>IF(Table2[[#This Row],[Description]]="","",Table2[[#This Row],[Value]]/Table2[[#This Row],[Conversion]])</f>
        <v/>
      </c>
      <c r="K9210" s="45" t="str">
        <f>IF(Table2[[#This Row],[Description]]="","",DATE(Table2[[#This Row],[Year]],Table2[[#This Row],[Month]],1))</f>
        <v/>
      </c>
    </row>
    <row r="9211" spans="7:11" x14ac:dyDescent="0.25">
      <c r="G9211" s="1" t="str">
        <f>IF(Table2[[#This Row],[Description]]="","",VLOOKUP(Table2[[#This Row],[Description]],$Q$1:$S$101,2,FALSE))</f>
        <v/>
      </c>
      <c r="H9211" s="1" t="str">
        <f>IF(Table2[[#This Row],[Description]]="","",VLOOKUP(Table2[[#This Row],[Description]],$Q$1:$S$101,3,FALSE))</f>
        <v/>
      </c>
      <c r="I9211" s="1" t="str">
        <f>IF(Table2[[#This Row],[Description]]="","",IF(Table2[[#This Row],[Currency]]=$O$2,$P$2,HLOOKUP(Table2[[#This Row],[Date]],Funds!$C$10:$GV$11,2,FALSE)))</f>
        <v/>
      </c>
      <c r="J9211" s="215" t="str">
        <f>IF(Table2[[#This Row],[Description]]="","",Table2[[#This Row],[Value]]/Table2[[#This Row],[Conversion]])</f>
        <v/>
      </c>
      <c r="K9211" s="45" t="str">
        <f>IF(Table2[[#This Row],[Description]]="","",DATE(Table2[[#This Row],[Year]],Table2[[#This Row],[Month]],1))</f>
        <v/>
      </c>
    </row>
    <row r="9212" spans="7:11" x14ac:dyDescent="0.25">
      <c r="G9212" s="1" t="str">
        <f>IF(Table2[[#This Row],[Description]]="","",VLOOKUP(Table2[[#This Row],[Description]],$Q$1:$S$101,2,FALSE))</f>
        <v/>
      </c>
      <c r="H9212" s="1" t="str">
        <f>IF(Table2[[#This Row],[Description]]="","",VLOOKUP(Table2[[#This Row],[Description]],$Q$1:$S$101,3,FALSE))</f>
        <v/>
      </c>
      <c r="I9212" s="1" t="str">
        <f>IF(Table2[[#This Row],[Description]]="","",IF(Table2[[#This Row],[Currency]]=$O$2,$P$2,HLOOKUP(Table2[[#This Row],[Date]],Funds!$C$10:$GV$11,2,FALSE)))</f>
        <v/>
      </c>
      <c r="J9212" s="215" t="str">
        <f>IF(Table2[[#This Row],[Description]]="","",Table2[[#This Row],[Value]]/Table2[[#This Row],[Conversion]])</f>
        <v/>
      </c>
      <c r="K9212" s="45" t="str">
        <f>IF(Table2[[#This Row],[Description]]="","",DATE(Table2[[#This Row],[Year]],Table2[[#This Row],[Month]],1))</f>
        <v/>
      </c>
    </row>
    <row r="9213" spans="7:11" x14ac:dyDescent="0.25">
      <c r="G9213" s="1" t="str">
        <f>IF(Table2[[#This Row],[Description]]="","",VLOOKUP(Table2[[#This Row],[Description]],$Q$1:$S$101,2,FALSE))</f>
        <v/>
      </c>
      <c r="H9213" s="1" t="str">
        <f>IF(Table2[[#This Row],[Description]]="","",VLOOKUP(Table2[[#This Row],[Description]],$Q$1:$S$101,3,FALSE))</f>
        <v/>
      </c>
      <c r="I9213" s="1" t="str">
        <f>IF(Table2[[#This Row],[Description]]="","",IF(Table2[[#This Row],[Currency]]=$O$2,$P$2,HLOOKUP(Table2[[#This Row],[Date]],Funds!$C$10:$GV$11,2,FALSE)))</f>
        <v/>
      </c>
      <c r="J9213" s="215" t="str">
        <f>IF(Table2[[#This Row],[Description]]="","",Table2[[#This Row],[Value]]/Table2[[#This Row],[Conversion]])</f>
        <v/>
      </c>
      <c r="K9213" s="45" t="str">
        <f>IF(Table2[[#This Row],[Description]]="","",DATE(Table2[[#This Row],[Year]],Table2[[#This Row],[Month]],1))</f>
        <v/>
      </c>
    </row>
    <row r="9214" spans="7:11" x14ac:dyDescent="0.25">
      <c r="G9214" s="1" t="str">
        <f>IF(Table2[[#This Row],[Description]]="","",VLOOKUP(Table2[[#This Row],[Description]],$Q$1:$S$101,2,FALSE))</f>
        <v/>
      </c>
      <c r="H9214" s="1" t="str">
        <f>IF(Table2[[#This Row],[Description]]="","",VLOOKUP(Table2[[#This Row],[Description]],$Q$1:$S$101,3,FALSE))</f>
        <v/>
      </c>
      <c r="I9214" s="1" t="str">
        <f>IF(Table2[[#This Row],[Description]]="","",IF(Table2[[#This Row],[Currency]]=$O$2,$P$2,HLOOKUP(Table2[[#This Row],[Date]],Funds!$C$10:$GV$11,2,FALSE)))</f>
        <v/>
      </c>
      <c r="J9214" s="215" t="str">
        <f>IF(Table2[[#This Row],[Description]]="","",Table2[[#This Row],[Value]]/Table2[[#This Row],[Conversion]])</f>
        <v/>
      </c>
      <c r="K9214" s="45" t="str">
        <f>IF(Table2[[#This Row],[Description]]="","",DATE(Table2[[#This Row],[Year]],Table2[[#This Row],[Month]],1))</f>
        <v/>
      </c>
    </row>
    <row r="9215" spans="7:11" x14ac:dyDescent="0.25">
      <c r="G9215" s="1" t="str">
        <f>IF(Table2[[#This Row],[Description]]="","",VLOOKUP(Table2[[#This Row],[Description]],$Q$1:$S$101,2,FALSE))</f>
        <v/>
      </c>
      <c r="H9215" s="1" t="str">
        <f>IF(Table2[[#This Row],[Description]]="","",VLOOKUP(Table2[[#This Row],[Description]],$Q$1:$S$101,3,FALSE))</f>
        <v/>
      </c>
      <c r="I9215" s="1" t="str">
        <f>IF(Table2[[#This Row],[Description]]="","",IF(Table2[[#This Row],[Currency]]=$O$2,$P$2,HLOOKUP(Table2[[#This Row],[Date]],Funds!$C$10:$GV$11,2,FALSE)))</f>
        <v/>
      </c>
      <c r="J9215" s="215" t="str">
        <f>IF(Table2[[#This Row],[Description]]="","",Table2[[#This Row],[Value]]/Table2[[#This Row],[Conversion]])</f>
        <v/>
      </c>
      <c r="K9215" s="45" t="str">
        <f>IF(Table2[[#This Row],[Description]]="","",DATE(Table2[[#This Row],[Year]],Table2[[#This Row],[Month]],1))</f>
        <v/>
      </c>
    </row>
    <row r="9216" spans="7:11" x14ac:dyDescent="0.25">
      <c r="G9216" s="1" t="str">
        <f>IF(Table2[[#This Row],[Description]]="","",VLOOKUP(Table2[[#This Row],[Description]],$Q$1:$S$101,2,FALSE))</f>
        <v/>
      </c>
      <c r="H9216" s="1" t="str">
        <f>IF(Table2[[#This Row],[Description]]="","",VLOOKUP(Table2[[#This Row],[Description]],$Q$1:$S$101,3,FALSE))</f>
        <v/>
      </c>
      <c r="I9216" s="1" t="str">
        <f>IF(Table2[[#This Row],[Description]]="","",IF(Table2[[#This Row],[Currency]]=$O$2,$P$2,HLOOKUP(Table2[[#This Row],[Date]],Funds!$C$10:$GV$11,2,FALSE)))</f>
        <v/>
      </c>
      <c r="J9216" s="215" t="str">
        <f>IF(Table2[[#This Row],[Description]]="","",Table2[[#This Row],[Value]]/Table2[[#This Row],[Conversion]])</f>
        <v/>
      </c>
      <c r="K9216" s="45" t="str">
        <f>IF(Table2[[#This Row],[Description]]="","",DATE(Table2[[#This Row],[Year]],Table2[[#This Row],[Month]],1))</f>
        <v/>
      </c>
    </row>
    <row r="9217" spans="7:11" x14ac:dyDescent="0.25">
      <c r="G9217" s="1" t="str">
        <f>IF(Table2[[#This Row],[Description]]="","",VLOOKUP(Table2[[#This Row],[Description]],$Q$1:$S$101,2,FALSE))</f>
        <v/>
      </c>
      <c r="H9217" s="1" t="str">
        <f>IF(Table2[[#This Row],[Description]]="","",VLOOKUP(Table2[[#This Row],[Description]],$Q$1:$S$101,3,FALSE))</f>
        <v/>
      </c>
      <c r="I9217" s="1" t="str">
        <f>IF(Table2[[#This Row],[Description]]="","",IF(Table2[[#This Row],[Currency]]=$O$2,$P$2,HLOOKUP(Table2[[#This Row],[Date]],Funds!$C$10:$GV$11,2,FALSE)))</f>
        <v/>
      </c>
      <c r="J9217" s="215" t="str">
        <f>IF(Table2[[#This Row],[Description]]="","",Table2[[#This Row],[Value]]/Table2[[#This Row],[Conversion]])</f>
        <v/>
      </c>
      <c r="K9217" s="45" t="str">
        <f>IF(Table2[[#This Row],[Description]]="","",DATE(Table2[[#This Row],[Year]],Table2[[#This Row],[Month]],1))</f>
        <v/>
      </c>
    </row>
    <row r="9218" spans="7:11" x14ac:dyDescent="0.25">
      <c r="G9218" s="1" t="str">
        <f>IF(Table2[[#This Row],[Description]]="","",VLOOKUP(Table2[[#This Row],[Description]],$Q$1:$S$101,2,FALSE))</f>
        <v/>
      </c>
      <c r="H9218" s="1" t="str">
        <f>IF(Table2[[#This Row],[Description]]="","",VLOOKUP(Table2[[#This Row],[Description]],$Q$1:$S$101,3,FALSE))</f>
        <v/>
      </c>
      <c r="I9218" s="1" t="str">
        <f>IF(Table2[[#This Row],[Description]]="","",IF(Table2[[#This Row],[Currency]]=$O$2,$P$2,HLOOKUP(Table2[[#This Row],[Date]],Funds!$C$10:$GV$11,2,FALSE)))</f>
        <v/>
      </c>
      <c r="J9218" s="215" t="str">
        <f>IF(Table2[[#This Row],[Description]]="","",Table2[[#This Row],[Value]]/Table2[[#This Row],[Conversion]])</f>
        <v/>
      </c>
      <c r="K9218" s="45" t="str">
        <f>IF(Table2[[#This Row],[Description]]="","",DATE(Table2[[#This Row],[Year]],Table2[[#This Row],[Month]],1))</f>
        <v/>
      </c>
    </row>
    <row r="9219" spans="7:11" x14ac:dyDescent="0.25">
      <c r="G9219" s="1" t="str">
        <f>IF(Table2[[#This Row],[Description]]="","",VLOOKUP(Table2[[#This Row],[Description]],$Q$1:$S$101,2,FALSE))</f>
        <v/>
      </c>
      <c r="H9219" s="1" t="str">
        <f>IF(Table2[[#This Row],[Description]]="","",VLOOKUP(Table2[[#This Row],[Description]],$Q$1:$S$101,3,FALSE))</f>
        <v/>
      </c>
      <c r="I9219" s="1" t="str">
        <f>IF(Table2[[#This Row],[Description]]="","",IF(Table2[[#This Row],[Currency]]=$O$2,$P$2,HLOOKUP(Table2[[#This Row],[Date]],Funds!$C$10:$GV$11,2,FALSE)))</f>
        <v/>
      </c>
      <c r="J9219" s="215" t="str">
        <f>IF(Table2[[#This Row],[Description]]="","",Table2[[#This Row],[Value]]/Table2[[#This Row],[Conversion]])</f>
        <v/>
      </c>
      <c r="K9219" s="45" t="str">
        <f>IF(Table2[[#This Row],[Description]]="","",DATE(Table2[[#This Row],[Year]],Table2[[#This Row],[Month]],1))</f>
        <v/>
      </c>
    </row>
    <row r="9220" spans="7:11" x14ac:dyDescent="0.25">
      <c r="G9220" s="1" t="str">
        <f>IF(Table2[[#This Row],[Description]]="","",VLOOKUP(Table2[[#This Row],[Description]],$Q$1:$S$101,2,FALSE))</f>
        <v/>
      </c>
      <c r="H9220" s="1" t="str">
        <f>IF(Table2[[#This Row],[Description]]="","",VLOOKUP(Table2[[#This Row],[Description]],$Q$1:$S$101,3,FALSE))</f>
        <v/>
      </c>
      <c r="I9220" s="1" t="str">
        <f>IF(Table2[[#This Row],[Description]]="","",IF(Table2[[#This Row],[Currency]]=$O$2,$P$2,HLOOKUP(Table2[[#This Row],[Date]],Funds!$C$10:$GV$11,2,FALSE)))</f>
        <v/>
      </c>
      <c r="J9220" s="215" t="str">
        <f>IF(Table2[[#This Row],[Description]]="","",Table2[[#This Row],[Value]]/Table2[[#This Row],[Conversion]])</f>
        <v/>
      </c>
      <c r="K9220" s="45" t="str">
        <f>IF(Table2[[#This Row],[Description]]="","",DATE(Table2[[#This Row],[Year]],Table2[[#This Row],[Month]],1))</f>
        <v/>
      </c>
    </row>
    <row r="9221" spans="7:11" x14ac:dyDescent="0.25">
      <c r="G9221" s="1" t="str">
        <f>IF(Table2[[#This Row],[Description]]="","",VLOOKUP(Table2[[#This Row],[Description]],$Q$1:$S$101,2,FALSE))</f>
        <v/>
      </c>
      <c r="H9221" s="1" t="str">
        <f>IF(Table2[[#This Row],[Description]]="","",VLOOKUP(Table2[[#This Row],[Description]],$Q$1:$S$101,3,FALSE))</f>
        <v/>
      </c>
      <c r="I9221" s="1" t="str">
        <f>IF(Table2[[#This Row],[Description]]="","",IF(Table2[[#This Row],[Currency]]=$O$2,$P$2,HLOOKUP(Table2[[#This Row],[Date]],Funds!$C$10:$GV$11,2,FALSE)))</f>
        <v/>
      </c>
      <c r="J9221" s="215" t="str">
        <f>IF(Table2[[#This Row],[Description]]="","",Table2[[#This Row],[Value]]/Table2[[#This Row],[Conversion]])</f>
        <v/>
      </c>
      <c r="K9221" s="45" t="str">
        <f>IF(Table2[[#This Row],[Description]]="","",DATE(Table2[[#This Row],[Year]],Table2[[#This Row],[Month]],1))</f>
        <v/>
      </c>
    </row>
    <row r="9222" spans="7:11" x14ac:dyDescent="0.25">
      <c r="G9222" s="1" t="str">
        <f>IF(Table2[[#This Row],[Description]]="","",VLOOKUP(Table2[[#This Row],[Description]],$Q$1:$S$101,2,FALSE))</f>
        <v/>
      </c>
      <c r="H9222" s="1" t="str">
        <f>IF(Table2[[#This Row],[Description]]="","",VLOOKUP(Table2[[#This Row],[Description]],$Q$1:$S$101,3,FALSE))</f>
        <v/>
      </c>
      <c r="I9222" s="1" t="str">
        <f>IF(Table2[[#This Row],[Description]]="","",IF(Table2[[#This Row],[Currency]]=$O$2,$P$2,HLOOKUP(Table2[[#This Row],[Date]],Funds!$C$10:$GV$11,2,FALSE)))</f>
        <v/>
      </c>
      <c r="J9222" s="215" t="str">
        <f>IF(Table2[[#This Row],[Description]]="","",Table2[[#This Row],[Value]]/Table2[[#This Row],[Conversion]])</f>
        <v/>
      </c>
      <c r="K9222" s="45" t="str">
        <f>IF(Table2[[#This Row],[Description]]="","",DATE(Table2[[#This Row],[Year]],Table2[[#This Row],[Month]],1))</f>
        <v/>
      </c>
    </row>
    <row r="9223" spans="7:11" x14ac:dyDescent="0.25">
      <c r="G9223" s="1" t="str">
        <f>IF(Table2[[#This Row],[Description]]="","",VLOOKUP(Table2[[#This Row],[Description]],$Q$1:$S$101,2,FALSE))</f>
        <v/>
      </c>
      <c r="H9223" s="1" t="str">
        <f>IF(Table2[[#This Row],[Description]]="","",VLOOKUP(Table2[[#This Row],[Description]],$Q$1:$S$101,3,FALSE))</f>
        <v/>
      </c>
      <c r="I9223" s="1" t="str">
        <f>IF(Table2[[#This Row],[Description]]="","",IF(Table2[[#This Row],[Currency]]=$O$2,$P$2,HLOOKUP(Table2[[#This Row],[Date]],Funds!$C$10:$GV$11,2,FALSE)))</f>
        <v/>
      </c>
      <c r="J9223" s="215" t="str">
        <f>IF(Table2[[#This Row],[Description]]="","",Table2[[#This Row],[Value]]/Table2[[#This Row],[Conversion]])</f>
        <v/>
      </c>
      <c r="K9223" s="45" t="str">
        <f>IF(Table2[[#This Row],[Description]]="","",DATE(Table2[[#This Row],[Year]],Table2[[#This Row],[Month]],1))</f>
        <v/>
      </c>
    </row>
    <row r="9224" spans="7:11" x14ac:dyDescent="0.25">
      <c r="G9224" s="1" t="str">
        <f>IF(Table2[[#This Row],[Description]]="","",VLOOKUP(Table2[[#This Row],[Description]],$Q$1:$S$101,2,FALSE))</f>
        <v/>
      </c>
      <c r="H9224" s="1" t="str">
        <f>IF(Table2[[#This Row],[Description]]="","",VLOOKUP(Table2[[#This Row],[Description]],$Q$1:$S$101,3,FALSE))</f>
        <v/>
      </c>
      <c r="I9224" s="1" t="str">
        <f>IF(Table2[[#This Row],[Description]]="","",IF(Table2[[#This Row],[Currency]]=$O$2,$P$2,HLOOKUP(Table2[[#This Row],[Date]],Funds!$C$10:$GV$11,2,FALSE)))</f>
        <v/>
      </c>
      <c r="J9224" s="215" t="str">
        <f>IF(Table2[[#This Row],[Description]]="","",Table2[[#This Row],[Value]]/Table2[[#This Row],[Conversion]])</f>
        <v/>
      </c>
      <c r="K9224" s="45" t="str">
        <f>IF(Table2[[#This Row],[Description]]="","",DATE(Table2[[#This Row],[Year]],Table2[[#This Row],[Month]],1))</f>
        <v/>
      </c>
    </row>
    <row r="9225" spans="7:11" x14ac:dyDescent="0.25">
      <c r="G9225" s="1" t="str">
        <f>IF(Table2[[#This Row],[Description]]="","",VLOOKUP(Table2[[#This Row],[Description]],$Q$1:$S$101,2,FALSE))</f>
        <v/>
      </c>
      <c r="H9225" s="1" t="str">
        <f>IF(Table2[[#This Row],[Description]]="","",VLOOKUP(Table2[[#This Row],[Description]],$Q$1:$S$101,3,FALSE))</f>
        <v/>
      </c>
      <c r="I9225" s="1" t="str">
        <f>IF(Table2[[#This Row],[Description]]="","",IF(Table2[[#This Row],[Currency]]=$O$2,$P$2,HLOOKUP(Table2[[#This Row],[Date]],Funds!$C$10:$GV$11,2,FALSE)))</f>
        <v/>
      </c>
      <c r="J9225" s="215" t="str">
        <f>IF(Table2[[#This Row],[Description]]="","",Table2[[#This Row],[Value]]/Table2[[#This Row],[Conversion]])</f>
        <v/>
      </c>
      <c r="K9225" s="45" t="str">
        <f>IF(Table2[[#This Row],[Description]]="","",DATE(Table2[[#This Row],[Year]],Table2[[#This Row],[Month]],1))</f>
        <v/>
      </c>
    </row>
    <row r="9226" spans="7:11" x14ac:dyDescent="0.25">
      <c r="G9226" s="1" t="str">
        <f>IF(Table2[[#This Row],[Description]]="","",VLOOKUP(Table2[[#This Row],[Description]],$Q$1:$S$101,2,FALSE))</f>
        <v/>
      </c>
      <c r="H9226" s="1" t="str">
        <f>IF(Table2[[#This Row],[Description]]="","",VLOOKUP(Table2[[#This Row],[Description]],$Q$1:$S$101,3,FALSE))</f>
        <v/>
      </c>
      <c r="I9226" s="1" t="str">
        <f>IF(Table2[[#This Row],[Description]]="","",IF(Table2[[#This Row],[Currency]]=$O$2,$P$2,HLOOKUP(Table2[[#This Row],[Date]],Funds!$C$10:$GV$11,2,FALSE)))</f>
        <v/>
      </c>
      <c r="J9226" s="215" t="str">
        <f>IF(Table2[[#This Row],[Description]]="","",Table2[[#This Row],[Value]]/Table2[[#This Row],[Conversion]])</f>
        <v/>
      </c>
      <c r="K9226" s="45" t="str">
        <f>IF(Table2[[#This Row],[Description]]="","",DATE(Table2[[#This Row],[Year]],Table2[[#This Row],[Month]],1))</f>
        <v/>
      </c>
    </row>
    <row r="9227" spans="7:11" x14ac:dyDescent="0.25">
      <c r="G9227" s="1" t="str">
        <f>IF(Table2[[#This Row],[Description]]="","",VLOOKUP(Table2[[#This Row],[Description]],$Q$1:$S$101,2,FALSE))</f>
        <v/>
      </c>
      <c r="H9227" s="1" t="str">
        <f>IF(Table2[[#This Row],[Description]]="","",VLOOKUP(Table2[[#This Row],[Description]],$Q$1:$S$101,3,FALSE))</f>
        <v/>
      </c>
      <c r="I9227" s="1" t="str">
        <f>IF(Table2[[#This Row],[Description]]="","",IF(Table2[[#This Row],[Currency]]=$O$2,$P$2,HLOOKUP(Table2[[#This Row],[Date]],Funds!$C$10:$GV$11,2,FALSE)))</f>
        <v/>
      </c>
      <c r="J9227" s="215" t="str">
        <f>IF(Table2[[#This Row],[Description]]="","",Table2[[#This Row],[Value]]/Table2[[#This Row],[Conversion]])</f>
        <v/>
      </c>
      <c r="K9227" s="45" t="str">
        <f>IF(Table2[[#This Row],[Description]]="","",DATE(Table2[[#This Row],[Year]],Table2[[#This Row],[Month]],1))</f>
        <v/>
      </c>
    </row>
    <row r="9228" spans="7:11" x14ac:dyDescent="0.25">
      <c r="G9228" s="1" t="str">
        <f>IF(Table2[[#This Row],[Description]]="","",VLOOKUP(Table2[[#This Row],[Description]],$Q$1:$S$101,2,FALSE))</f>
        <v/>
      </c>
      <c r="H9228" s="1" t="str">
        <f>IF(Table2[[#This Row],[Description]]="","",VLOOKUP(Table2[[#This Row],[Description]],$Q$1:$S$101,3,FALSE))</f>
        <v/>
      </c>
      <c r="I9228" s="1" t="str">
        <f>IF(Table2[[#This Row],[Description]]="","",IF(Table2[[#This Row],[Currency]]=$O$2,$P$2,HLOOKUP(Table2[[#This Row],[Date]],Funds!$C$10:$GV$11,2,FALSE)))</f>
        <v/>
      </c>
      <c r="J9228" s="215" t="str">
        <f>IF(Table2[[#This Row],[Description]]="","",Table2[[#This Row],[Value]]/Table2[[#This Row],[Conversion]])</f>
        <v/>
      </c>
      <c r="K9228" s="45" t="str">
        <f>IF(Table2[[#This Row],[Description]]="","",DATE(Table2[[#This Row],[Year]],Table2[[#This Row],[Month]],1))</f>
        <v/>
      </c>
    </row>
    <row r="9229" spans="7:11" x14ac:dyDescent="0.25">
      <c r="G9229" s="1" t="str">
        <f>IF(Table2[[#This Row],[Description]]="","",VLOOKUP(Table2[[#This Row],[Description]],$Q$1:$S$101,2,FALSE))</f>
        <v/>
      </c>
      <c r="H9229" s="1" t="str">
        <f>IF(Table2[[#This Row],[Description]]="","",VLOOKUP(Table2[[#This Row],[Description]],$Q$1:$S$101,3,FALSE))</f>
        <v/>
      </c>
      <c r="I9229" s="1" t="str">
        <f>IF(Table2[[#This Row],[Description]]="","",IF(Table2[[#This Row],[Currency]]=$O$2,$P$2,HLOOKUP(Table2[[#This Row],[Date]],Funds!$C$10:$GV$11,2,FALSE)))</f>
        <v/>
      </c>
      <c r="J9229" s="215" t="str">
        <f>IF(Table2[[#This Row],[Description]]="","",Table2[[#This Row],[Value]]/Table2[[#This Row],[Conversion]])</f>
        <v/>
      </c>
      <c r="K9229" s="45" t="str">
        <f>IF(Table2[[#This Row],[Description]]="","",DATE(Table2[[#This Row],[Year]],Table2[[#This Row],[Month]],1))</f>
        <v/>
      </c>
    </row>
    <row r="9230" spans="7:11" x14ac:dyDescent="0.25">
      <c r="G9230" s="1" t="str">
        <f>IF(Table2[[#This Row],[Description]]="","",VLOOKUP(Table2[[#This Row],[Description]],$Q$1:$S$101,2,FALSE))</f>
        <v/>
      </c>
      <c r="H9230" s="1" t="str">
        <f>IF(Table2[[#This Row],[Description]]="","",VLOOKUP(Table2[[#This Row],[Description]],$Q$1:$S$101,3,FALSE))</f>
        <v/>
      </c>
      <c r="I9230" s="1" t="str">
        <f>IF(Table2[[#This Row],[Description]]="","",IF(Table2[[#This Row],[Currency]]=$O$2,$P$2,HLOOKUP(Table2[[#This Row],[Date]],Funds!$C$10:$GV$11,2,FALSE)))</f>
        <v/>
      </c>
      <c r="J9230" s="215" t="str">
        <f>IF(Table2[[#This Row],[Description]]="","",Table2[[#This Row],[Value]]/Table2[[#This Row],[Conversion]])</f>
        <v/>
      </c>
      <c r="K9230" s="45" t="str">
        <f>IF(Table2[[#This Row],[Description]]="","",DATE(Table2[[#This Row],[Year]],Table2[[#This Row],[Month]],1))</f>
        <v/>
      </c>
    </row>
    <row r="9231" spans="7:11" x14ac:dyDescent="0.25">
      <c r="G9231" s="1" t="str">
        <f>IF(Table2[[#This Row],[Description]]="","",VLOOKUP(Table2[[#This Row],[Description]],$Q$1:$S$101,2,FALSE))</f>
        <v/>
      </c>
      <c r="H9231" s="1" t="str">
        <f>IF(Table2[[#This Row],[Description]]="","",VLOOKUP(Table2[[#This Row],[Description]],$Q$1:$S$101,3,FALSE))</f>
        <v/>
      </c>
      <c r="I9231" s="1" t="str">
        <f>IF(Table2[[#This Row],[Description]]="","",IF(Table2[[#This Row],[Currency]]=$O$2,$P$2,HLOOKUP(Table2[[#This Row],[Date]],Funds!$C$10:$GV$11,2,FALSE)))</f>
        <v/>
      </c>
      <c r="J9231" s="215" t="str">
        <f>IF(Table2[[#This Row],[Description]]="","",Table2[[#This Row],[Value]]/Table2[[#This Row],[Conversion]])</f>
        <v/>
      </c>
      <c r="K9231" s="45" t="str">
        <f>IF(Table2[[#This Row],[Description]]="","",DATE(Table2[[#This Row],[Year]],Table2[[#This Row],[Month]],1))</f>
        <v/>
      </c>
    </row>
    <row r="9232" spans="7:11" x14ac:dyDescent="0.25">
      <c r="G9232" s="1" t="str">
        <f>IF(Table2[[#This Row],[Description]]="","",VLOOKUP(Table2[[#This Row],[Description]],$Q$1:$S$101,2,FALSE))</f>
        <v/>
      </c>
      <c r="H9232" s="1" t="str">
        <f>IF(Table2[[#This Row],[Description]]="","",VLOOKUP(Table2[[#This Row],[Description]],$Q$1:$S$101,3,FALSE))</f>
        <v/>
      </c>
      <c r="I9232" s="1" t="str">
        <f>IF(Table2[[#This Row],[Description]]="","",IF(Table2[[#This Row],[Currency]]=$O$2,$P$2,HLOOKUP(Table2[[#This Row],[Date]],Funds!$C$10:$GV$11,2,FALSE)))</f>
        <v/>
      </c>
      <c r="J9232" s="215" t="str">
        <f>IF(Table2[[#This Row],[Description]]="","",Table2[[#This Row],[Value]]/Table2[[#This Row],[Conversion]])</f>
        <v/>
      </c>
      <c r="K9232" s="45" t="str">
        <f>IF(Table2[[#This Row],[Description]]="","",DATE(Table2[[#This Row],[Year]],Table2[[#This Row],[Month]],1))</f>
        <v/>
      </c>
    </row>
    <row r="9233" spans="7:11" x14ac:dyDescent="0.25">
      <c r="G9233" s="1" t="str">
        <f>IF(Table2[[#This Row],[Description]]="","",VLOOKUP(Table2[[#This Row],[Description]],$Q$1:$S$101,2,FALSE))</f>
        <v/>
      </c>
      <c r="H9233" s="1" t="str">
        <f>IF(Table2[[#This Row],[Description]]="","",VLOOKUP(Table2[[#This Row],[Description]],$Q$1:$S$101,3,FALSE))</f>
        <v/>
      </c>
      <c r="I9233" s="1" t="str">
        <f>IF(Table2[[#This Row],[Description]]="","",IF(Table2[[#This Row],[Currency]]=$O$2,$P$2,HLOOKUP(Table2[[#This Row],[Date]],Funds!$C$10:$GV$11,2,FALSE)))</f>
        <v/>
      </c>
      <c r="J9233" s="215" t="str">
        <f>IF(Table2[[#This Row],[Description]]="","",Table2[[#This Row],[Value]]/Table2[[#This Row],[Conversion]])</f>
        <v/>
      </c>
      <c r="K9233" s="45" t="str">
        <f>IF(Table2[[#This Row],[Description]]="","",DATE(Table2[[#This Row],[Year]],Table2[[#This Row],[Month]],1))</f>
        <v/>
      </c>
    </row>
    <row r="9234" spans="7:11" x14ac:dyDescent="0.25">
      <c r="G9234" s="1" t="str">
        <f>IF(Table2[[#This Row],[Description]]="","",VLOOKUP(Table2[[#This Row],[Description]],$Q$1:$S$101,2,FALSE))</f>
        <v/>
      </c>
      <c r="H9234" s="1" t="str">
        <f>IF(Table2[[#This Row],[Description]]="","",VLOOKUP(Table2[[#This Row],[Description]],$Q$1:$S$101,3,FALSE))</f>
        <v/>
      </c>
      <c r="I9234" s="1" t="str">
        <f>IF(Table2[[#This Row],[Description]]="","",IF(Table2[[#This Row],[Currency]]=$O$2,$P$2,HLOOKUP(Table2[[#This Row],[Date]],Funds!$C$10:$GV$11,2,FALSE)))</f>
        <v/>
      </c>
      <c r="J9234" s="215" t="str">
        <f>IF(Table2[[#This Row],[Description]]="","",Table2[[#This Row],[Value]]/Table2[[#This Row],[Conversion]])</f>
        <v/>
      </c>
      <c r="K9234" s="45" t="str">
        <f>IF(Table2[[#This Row],[Description]]="","",DATE(Table2[[#This Row],[Year]],Table2[[#This Row],[Month]],1))</f>
        <v/>
      </c>
    </row>
    <row r="9235" spans="7:11" x14ac:dyDescent="0.25">
      <c r="G9235" s="1" t="str">
        <f>IF(Table2[[#This Row],[Description]]="","",VLOOKUP(Table2[[#This Row],[Description]],$Q$1:$S$101,2,FALSE))</f>
        <v/>
      </c>
      <c r="H9235" s="1" t="str">
        <f>IF(Table2[[#This Row],[Description]]="","",VLOOKUP(Table2[[#This Row],[Description]],$Q$1:$S$101,3,FALSE))</f>
        <v/>
      </c>
      <c r="I9235" s="1" t="str">
        <f>IF(Table2[[#This Row],[Description]]="","",IF(Table2[[#This Row],[Currency]]=$O$2,$P$2,HLOOKUP(Table2[[#This Row],[Date]],Funds!$C$10:$GV$11,2,FALSE)))</f>
        <v/>
      </c>
      <c r="J9235" s="215" t="str">
        <f>IF(Table2[[#This Row],[Description]]="","",Table2[[#This Row],[Value]]/Table2[[#This Row],[Conversion]])</f>
        <v/>
      </c>
      <c r="K9235" s="45" t="str">
        <f>IF(Table2[[#This Row],[Description]]="","",DATE(Table2[[#This Row],[Year]],Table2[[#This Row],[Month]],1))</f>
        <v/>
      </c>
    </row>
    <row r="9236" spans="7:11" x14ac:dyDescent="0.25">
      <c r="G9236" s="1" t="str">
        <f>IF(Table2[[#This Row],[Description]]="","",VLOOKUP(Table2[[#This Row],[Description]],$Q$1:$S$101,2,FALSE))</f>
        <v/>
      </c>
      <c r="H9236" s="1" t="str">
        <f>IF(Table2[[#This Row],[Description]]="","",VLOOKUP(Table2[[#This Row],[Description]],$Q$1:$S$101,3,FALSE))</f>
        <v/>
      </c>
      <c r="I9236" s="1" t="str">
        <f>IF(Table2[[#This Row],[Description]]="","",IF(Table2[[#This Row],[Currency]]=$O$2,$P$2,HLOOKUP(Table2[[#This Row],[Date]],Funds!$C$10:$GV$11,2,FALSE)))</f>
        <v/>
      </c>
      <c r="J9236" s="215" t="str">
        <f>IF(Table2[[#This Row],[Description]]="","",Table2[[#This Row],[Value]]/Table2[[#This Row],[Conversion]])</f>
        <v/>
      </c>
      <c r="K9236" s="45" t="str">
        <f>IF(Table2[[#This Row],[Description]]="","",DATE(Table2[[#This Row],[Year]],Table2[[#This Row],[Month]],1))</f>
        <v/>
      </c>
    </row>
    <row r="9237" spans="7:11" x14ac:dyDescent="0.25">
      <c r="G9237" s="1" t="str">
        <f>IF(Table2[[#This Row],[Description]]="","",VLOOKUP(Table2[[#This Row],[Description]],$Q$1:$S$101,2,FALSE))</f>
        <v/>
      </c>
      <c r="H9237" s="1" t="str">
        <f>IF(Table2[[#This Row],[Description]]="","",VLOOKUP(Table2[[#This Row],[Description]],$Q$1:$S$101,3,FALSE))</f>
        <v/>
      </c>
      <c r="I9237" s="1" t="str">
        <f>IF(Table2[[#This Row],[Description]]="","",IF(Table2[[#This Row],[Currency]]=$O$2,$P$2,HLOOKUP(Table2[[#This Row],[Date]],Funds!$C$10:$GV$11,2,FALSE)))</f>
        <v/>
      </c>
      <c r="J9237" s="215" t="str">
        <f>IF(Table2[[#This Row],[Description]]="","",Table2[[#This Row],[Value]]/Table2[[#This Row],[Conversion]])</f>
        <v/>
      </c>
      <c r="K9237" s="45" t="str">
        <f>IF(Table2[[#This Row],[Description]]="","",DATE(Table2[[#This Row],[Year]],Table2[[#This Row],[Month]],1))</f>
        <v/>
      </c>
    </row>
    <row r="9238" spans="7:11" x14ac:dyDescent="0.25">
      <c r="G9238" s="1" t="str">
        <f>IF(Table2[[#This Row],[Description]]="","",VLOOKUP(Table2[[#This Row],[Description]],$Q$1:$S$101,2,FALSE))</f>
        <v/>
      </c>
      <c r="H9238" s="1" t="str">
        <f>IF(Table2[[#This Row],[Description]]="","",VLOOKUP(Table2[[#This Row],[Description]],$Q$1:$S$101,3,FALSE))</f>
        <v/>
      </c>
      <c r="I9238" s="1" t="str">
        <f>IF(Table2[[#This Row],[Description]]="","",IF(Table2[[#This Row],[Currency]]=$O$2,$P$2,HLOOKUP(Table2[[#This Row],[Date]],Funds!$C$10:$GV$11,2,FALSE)))</f>
        <v/>
      </c>
      <c r="J9238" s="215" t="str">
        <f>IF(Table2[[#This Row],[Description]]="","",Table2[[#This Row],[Value]]/Table2[[#This Row],[Conversion]])</f>
        <v/>
      </c>
      <c r="K9238" s="45" t="str">
        <f>IF(Table2[[#This Row],[Description]]="","",DATE(Table2[[#This Row],[Year]],Table2[[#This Row],[Month]],1))</f>
        <v/>
      </c>
    </row>
    <row r="9239" spans="7:11" x14ac:dyDescent="0.25">
      <c r="G9239" s="1" t="str">
        <f>IF(Table2[[#This Row],[Description]]="","",VLOOKUP(Table2[[#This Row],[Description]],$Q$1:$S$101,2,FALSE))</f>
        <v/>
      </c>
      <c r="H9239" s="1" t="str">
        <f>IF(Table2[[#This Row],[Description]]="","",VLOOKUP(Table2[[#This Row],[Description]],$Q$1:$S$101,3,FALSE))</f>
        <v/>
      </c>
      <c r="I9239" s="1" t="str">
        <f>IF(Table2[[#This Row],[Description]]="","",IF(Table2[[#This Row],[Currency]]=$O$2,$P$2,HLOOKUP(Table2[[#This Row],[Date]],Funds!$C$10:$GV$11,2,FALSE)))</f>
        <v/>
      </c>
      <c r="J9239" s="215" t="str">
        <f>IF(Table2[[#This Row],[Description]]="","",Table2[[#This Row],[Value]]/Table2[[#This Row],[Conversion]])</f>
        <v/>
      </c>
      <c r="K9239" s="45" t="str">
        <f>IF(Table2[[#This Row],[Description]]="","",DATE(Table2[[#This Row],[Year]],Table2[[#This Row],[Month]],1))</f>
        <v/>
      </c>
    </row>
    <row r="9240" spans="7:11" x14ac:dyDescent="0.25">
      <c r="G9240" s="1" t="str">
        <f>IF(Table2[[#This Row],[Description]]="","",VLOOKUP(Table2[[#This Row],[Description]],$Q$1:$S$101,2,FALSE))</f>
        <v/>
      </c>
      <c r="H9240" s="1" t="str">
        <f>IF(Table2[[#This Row],[Description]]="","",VLOOKUP(Table2[[#This Row],[Description]],$Q$1:$S$101,3,FALSE))</f>
        <v/>
      </c>
      <c r="I9240" s="1" t="str">
        <f>IF(Table2[[#This Row],[Description]]="","",IF(Table2[[#This Row],[Currency]]=$O$2,$P$2,HLOOKUP(Table2[[#This Row],[Date]],Funds!$C$10:$GV$11,2,FALSE)))</f>
        <v/>
      </c>
      <c r="J9240" s="215" t="str">
        <f>IF(Table2[[#This Row],[Description]]="","",Table2[[#This Row],[Value]]/Table2[[#This Row],[Conversion]])</f>
        <v/>
      </c>
      <c r="K9240" s="45" t="str">
        <f>IF(Table2[[#This Row],[Description]]="","",DATE(Table2[[#This Row],[Year]],Table2[[#This Row],[Month]],1))</f>
        <v/>
      </c>
    </row>
    <row r="9241" spans="7:11" x14ac:dyDescent="0.25">
      <c r="G9241" s="1" t="str">
        <f>IF(Table2[[#This Row],[Description]]="","",VLOOKUP(Table2[[#This Row],[Description]],$Q$1:$S$101,2,FALSE))</f>
        <v/>
      </c>
      <c r="H9241" s="1" t="str">
        <f>IF(Table2[[#This Row],[Description]]="","",VLOOKUP(Table2[[#This Row],[Description]],$Q$1:$S$101,3,FALSE))</f>
        <v/>
      </c>
      <c r="I9241" s="1" t="str">
        <f>IF(Table2[[#This Row],[Description]]="","",IF(Table2[[#This Row],[Currency]]=$O$2,$P$2,HLOOKUP(Table2[[#This Row],[Date]],Funds!$C$10:$GV$11,2,FALSE)))</f>
        <v/>
      </c>
      <c r="J9241" s="215" t="str">
        <f>IF(Table2[[#This Row],[Description]]="","",Table2[[#This Row],[Value]]/Table2[[#This Row],[Conversion]])</f>
        <v/>
      </c>
      <c r="K9241" s="45" t="str">
        <f>IF(Table2[[#This Row],[Description]]="","",DATE(Table2[[#This Row],[Year]],Table2[[#This Row],[Month]],1))</f>
        <v/>
      </c>
    </row>
    <row r="9242" spans="7:11" x14ac:dyDescent="0.25">
      <c r="G9242" s="1" t="str">
        <f>IF(Table2[[#This Row],[Description]]="","",VLOOKUP(Table2[[#This Row],[Description]],$Q$1:$S$101,2,FALSE))</f>
        <v/>
      </c>
      <c r="H9242" s="1" t="str">
        <f>IF(Table2[[#This Row],[Description]]="","",VLOOKUP(Table2[[#This Row],[Description]],$Q$1:$S$101,3,FALSE))</f>
        <v/>
      </c>
      <c r="I9242" s="1" t="str">
        <f>IF(Table2[[#This Row],[Description]]="","",IF(Table2[[#This Row],[Currency]]=$O$2,$P$2,HLOOKUP(Table2[[#This Row],[Date]],Funds!$C$10:$GV$11,2,FALSE)))</f>
        <v/>
      </c>
      <c r="J9242" s="215" t="str">
        <f>IF(Table2[[#This Row],[Description]]="","",Table2[[#This Row],[Value]]/Table2[[#This Row],[Conversion]])</f>
        <v/>
      </c>
      <c r="K9242" s="45" t="str">
        <f>IF(Table2[[#This Row],[Description]]="","",DATE(Table2[[#This Row],[Year]],Table2[[#This Row],[Month]],1))</f>
        <v/>
      </c>
    </row>
    <row r="9243" spans="7:11" x14ac:dyDescent="0.25">
      <c r="G9243" s="1" t="str">
        <f>IF(Table2[[#This Row],[Description]]="","",VLOOKUP(Table2[[#This Row],[Description]],$Q$1:$S$101,2,FALSE))</f>
        <v/>
      </c>
      <c r="H9243" s="1" t="str">
        <f>IF(Table2[[#This Row],[Description]]="","",VLOOKUP(Table2[[#This Row],[Description]],$Q$1:$S$101,3,FALSE))</f>
        <v/>
      </c>
      <c r="I9243" s="1" t="str">
        <f>IF(Table2[[#This Row],[Description]]="","",IF(Table2[[#This Row],[Currency]]=$O$2,$P$2,HLOOKUP(Table2[[#This Row],[Date]],Funds!$C$10:$GV$11,2,FALSE)))</f>
        <v/>
      </c>
      <c r="J9243" s="215" t="str">
        <f>IF(Table2[[#This Row],[Description]]="","",Table2[[#This Row],[Value]]/Table2[[#This Row],[Conversion]])</f>
        <v/>
      </c>
      <c r="K9243" s="45" t="str">
        <f>IF(Table2[[#This Row],[Description]]="","",DATE(Table2[[#This Row],[Year]],Table2[[#This Row],[Month]],1))</f>
        <v/>
      </c>
    </row>
    <row r="9244" spans="7:11" x14ac:dyDescent="0.25">
      <c r="G9244" s="1" t="str">
        <f>IF(Table2[[#This Row],[Description]]="","",VLOOKUP(Table2[[#This Row],[Description]],$Q$1:$S$101,2,FALSE))</f>
        <v/>
      </c>
      <c r="H9244" s="1" t="str">
        <f>IF(Table2[[#This Row],[Description]]="","",VLOOKUP(Table2[[#This Row],[Description]],$Q$1:$S$101,3,FALSE))</f>
        <v/>
      </c>
      <c r="I9244" s="1" t="str">
        <f>IF(Table2[[#This Row],[Description]]="","",IF(Table2[[#This Row],[Currency]]=$O$2,$P$2,HLOOKUP(Table2[[#This Row],[Date]],Funds!$C$10:$GV$11,2,FALSE)))</f>
        <v/>
      </c>
      <c r="J9244" s="215" t="str">
        <f>IF(Table2[[#This Row],[Description]]="","",Table2[[#This Row],[Value]]/Table2[[#This Row],[Conversion]])</f>
        <v/>
      </c>
      <c r="K9244" s="45" t="str">
        <f>IF(Table2[[#This Row],[Description]]="","",DATE(Table2[[#This Row],[Year]],Table2[[#This Row],[Month]],1))</f>
        <v/>
      </c>
    </row>
    <row r="9245" spans="7:11" x14ac:dyDescent="0.25">
      <c r="G9245" s="1" t="str">
        <f>IF(Table2[[#This Row],[Description]]="","",VLOOKUP(Table2[[#This Row],[Description]],$Q$1:$S$101,2,FALSE))</f>
        <v/>
      </c>
      <c r="H9245" s="1" t="str">
        <f>IF(Table2[[#This Row],[Description]]="","",VLOOKUP(Table2[[#This Row],[Description]],$Q$1:$S$101,3,FALSE))</f>
        <v/>
      </c>
      <c r="I9245" s="1" t="str">
        <f>IF(Table2[[#This Row],[Description]]="","",IF(Table2[[#This Row],[Currency]]=$O$2,$P$2,HLOOKUP(Table2[[#This Row],[Date]],Funds!$C$10:$GV$11,2,FALSE)))</f>
        <v/>
      </c>
      <c r="J9245" s="215" t="str">
        <f>IF(Table2[[#This Row],[Description]]="","",Table2[[#This Row],[Value]]/Table2[[#This Row],[Conversion]])</f>
        <v/>
      </c>
      <c r="K9245" s="45" t="str">
        <f>IF(Table2[[#This Row],[Description]]="","",DATE(Table2[[#This Row],[Year]],Table2[[#This Row],[Month]],1))</f>
        <v/>
      </c>
    </row>
    <row r="9246" spans="7:11" x14ac:dyDescent="0.25">
      <c r="G9246" s="1" t="str">
        <f>IF(Table2[[#This Row],[Description]]="","",VLOOKUP(Table2[[#This Row],[Description]],$Q$1:$S$101,2,FALSE))</f>
        <v/>
      </c>
      <c r="H9246" s="1" t="str">
        <f>IF(Table2[[#This Row],[Description]]="","",VLOOKUP(Table2[[#This Row],[Description]],$Q$1:$S$101,3,FALSE))</f>
        <v/>
      </c>
      <c r="I9246" s="1" t="str">
        <f>IF(Table2[[#This Row],[Description]]="","",IF(Table2[[#This Row],[Currency]]=$O$2,$P$2,HLOOKUP(Table2[[#This Row],[Date]],Funds!$C$10:$GV$11,2,FALSE)))</f>
        <v/>
      </c>
      <c r="J9246" s="215" t="str">
        <f>IF(Table2[[#This Row],[Description]]="","",Table2[[#This Row],[Value]]/Table2[[#This Row],[Conversion]])</f>
        <v/>
      </c>
      <c r="K9246" s="45" t="str">
        <f>IF(Table2[[#This Row],[Description]]="","",DATE(Table2[[#This Row],[Year]],Table2[[#This Row],[Month]],1))</f>
        <v/>
      </c>
    </row>
    <row r="9247" spans="7:11" x14ac:dyDescent="0.25">
      <c r="G9247" s="1" t="str">
        <f>IF(Table2[[#This Row],[Description]]="","",VLOOKUP(Table2[[#This Row],[Description]],$Q$1:$S$101,2,FALSE))</f>
        <v/>
      </c>
      <c r="H9247" s="1" t="str">
        <f>IF(Table2[[#This Row],[Description]]="","",VLOOKUP(Table2[[#This Row],[Description]],$Q$1:$S$101,3,FALSE))</f>
        <v/>
      </c>
      <c r="I9247" s="1" t="str">
        <f>IF(Table2[[#This Row],[Description]]="","",IF(Table2[[#This Row],[Currency]]=$O$2,$P$2,HLOOKUP(Table2[[#This Row],[Date]],Funds!$C$10:$GV$11,2,FALSE)))</f>
        <v/>
      </c>
      <c r="J9247" s="215" t="str">
        <f>IF(Table2[[#This Row],[Description]]="","",Table2[[#This Row],[Value]]/Table2[[#This Row],[Conversion]])</f>
        <v/>
      </c>
      <c r="K9247" s="45" t="str">
        <f>IF(Table2[[#This Row],[Description]]="","",DATE(Table2[[#This Row],[Year]],Table2[[#This Row],[Month]],1))</f>
        <v/>
      </c>
    </row>
    <row r="9248" spans="7:11" x14ac:dyDescent="0.25">
      <c r="G9248" s="1" t="str">
        <f>IF(Table2[[#This Row],[Description]]="","",VLOOKUP(Table2[[#This Row],[Description]],$Q$1:$S$101,2,FALSE))</f>
        <v/>
      </c>
      <c r="H9248" s="1" t="str">
        <f>IF(Table2[[#This Row],[Description]]="","",VLOOKUP(Table2[[#This Row],[Description]],$Q$1:$S$101,3,FALSE))</f>
        <v/>
      </c>
      <c r="I9248" s="1" t="str">
        <f>IF(Table2[[#This Row],[Description]]="","",IF(Table2[[#This Row],[Currency]]=$O$2,$P$2,HLOOKUP(Table2[[#This Row],[Date]],Funds!$C$10:$GV$11,2,FALSE)))</f>
        <v/>
      </c>
      <c r="J9248" s="215" t="str">
        <f>IF(Table2[[#This Row],[Description]]="","",Table2[[#This Row],[Value]]/Table2[[#This Row],[Conversion]])</f>
        <v/>
      </c>
      <c r="K9248" s="45" t="str">
        <f>IF(Table2[[#This Row],[Description]]="","",DATE(Table2[[#This Row],[Year]],Table2[[#This Row],[Month]],1))</f>
        <v/>
      </c>
    </row>
    <row r="9249" spans="7:11" x14ac:dyDescent="0.25">
      <c r="G9249" s="1" t="str">
        <f>IF(Table2[[#This Row],[Description]]="","",VLOOKUP(Table2[[#This Row],[Description]],$Q$1:$S$101,2,FALSE))</f>
        <v/>
      </c>
      <c r="H9249" s="1" t="str">
        <f>IF(Table2[[#This Row],[Description]]="","",VLOOKUP(Table2[[#This Row],[Description]],$Q$1:$S$101,3,FALSE))</f>
        <v/>
      </c>
      <c r="I9249" s="1" t="str">
        <f>IF(Table2[[#This Row],[Description]]="","",IF(Table2[[#This Row],[Currency]]=$O$2,$P$2,HLOOKUP(Table2[[#This Row],[Date]],Funds!$C$10:$GV$11,2,FALSE)))</f>
        <v/>
      </c>
      <c r="J9249" s="215" t="str">
        <f>IF(Table2[[#This Row],[Description]]="","",Table2[[#This Row],[Value]]/Table2[[#This Row],[Conversion]])</f>
        <v/>
      </c>
      <c r="K9249" s="45" t="str">
        <f>IF(Table2[[#This Row],[Description]]="","",DATE(Table2[[#This Row],[Year]],Table2[[#This Row],[Month]],1))</f>
        <v/>
      </c>
    </row>
    <row r="9250" spans="7:11" x14ac:dyDescent="0.25">
      <c r="G9250" s="1" t="str">
        <f>IF(Table2[[#This Row],[Description]]="","",VLOOKUP(Table2[[#This Row],[Description]],$Q$1:$S$101,2,FALSE))</f>
        <v/>
      </c>
      <c r="H9250" s="1" t="str">
        <f>IF(Table2[[#This Row],[Description]]="","",VLOOKUP(Table2[[#This Row],[Description]],$Q$1:$S$101,3,FALSE))</f>
        <v/>
      </c>
      <c r="I9250" s="1" t="str">
        <f>IF(Table2[[#This Row],[Description]]="","",IF(Table2[[#This Row],[Currency]]=$O$2,$P$2,HLOOKUP(Table2[[#This Row],[Date]],Funds!$C$10:$GV$11,2,FALSE)))</f>
        <v/>
      </c>
      <c r="J9250" s="215" t="str">
        <f>IF(Table2[[#This Row],[Description]]="","",Table2[[#This Row],[Value]]/Table2[[#This Row],[Conversion]])</f>
        <v/>
      </c>
      <c r="K9250" s="45" t="str">
        <f>IF(Table2[[#This Row],[Description]]="","",DATE(Table2[[#This Row],[Year]],Table2[[#This Row],[Month]],1))</f>
        <v/>
      </c>
    </row>
    <row r="9251" spans="7:11" x14ac:dyDescent="0.25">
      <c r="G9251" s="1" t="str">
        <f>IF(Table2[[#This Row],[Description]]="","",VLOOKUP(Table2[[#This Row],[Description]],$Q$1:$S$101,2,FALSE))</f>
        <v/>
      </c>
      <c r="H9251" s="1" t="str">
        <f>IF(Table2[[#This Row],[Description]]="","",VLOOKUP(Table2[[#This Row],[Description]],$Q$1:$S$101,3,FALSE))</f>
        <v/>
      </c>
      <c r="I9251" s="1" t="str">
        <f>IF(Table2[[#This Row],[Description]]="","",IF(Table2[[#This Row],[Currency]]=$O$2,$P$2,HLOOKUP(Table2[[#This Row],[Date]],Funds!$C$10:$GV$11,2,FALSE)))</f>
        <v/>
      </c>
      <c r="J9251" s="215" t="str">
        <f>IF(Table2[[#This Row],[Description]]="","",Table2[[#This Row],[Value]]/Table2[[#This Row],[Conversion]])</f>
        <v/>
      </c>
      <c r="K9251" s="45" t="str">
        <f>IF(Table2[[#This Row],[Description]]="","",DATE(Table2[[#This Row],[Year]],Table2[[#This Row],[Month]],1))</f>
        <v/>
      </c>
    </row>
    <row r="9252" spans="7:11" x14ac:dyDescent="0.25">
      <c r="G9252" s="1" t="str">
        <f>IF(Table2[[#This Row],[Description]]="","",VLOOKUP(Table2[[#This Row],[Description]],$Q$1:$S$101,2,FALSE))</f>
        <v/>
      </c>
      <c r="H9252" s="1" t="str">
        <f>IF(Table2[[#This Row],[Description]]="","",VLOOKUP(Table2[[#This Row],[Description]],$Q$1:$S$101,3,FALSE))</f>
        <v/>
      </c>
      <c r="I9252" s="1" t="str">
        <f>IF(Table2[[#This Row],[Description]]="","",IF(Table2[[#This Row],[Currency]]=$O$2,$P$2,HLOOKUP(Table2[[#This Row],[Date]],Funds!$C$10:$GV$11,2,FALSE)))</f>
        <v/>
      </c>
      <c r="J9252" s="215" t="str">
        <f>IF(Table2[[#This Row],[Description]]="","",Table2[[#This Row],[Value]]/Table2[[#This Row],[Conversion]])</f>
        <v/>
      </c>
      <c r="K9252" s="45" t="str">
        <f>IF(Table2[[#This Row],[Description]]="","",DATE(Table2[[#This Row],[Year]],Table2[[#This Row],[Month]],1))</f>
        <v/>
      </c>
    </row>
    <row r="9253" spans="7:11" x14ac:dyDescent="0.25">
      <c r="G9253" s="1" t="str">
        <f>IF(Table2[[#This Row],[Description]]="","",VLOOKUP(Table2[[#This Row],[Description]],$Q$1:$S$101,2,FALSE))</f>
        <v/>
      </c>
      <c r="H9253" s="1" t="str">
        <f>IF(Table2[[#This Row],[Description]]="","",VLOOKUP(Table2[[#This Row],[Description]],$Q$1:$S$101,3,FALSE))</f>
        <v/>
      </c>
      <c r="I9253" s="1" t="str">
        <f>IF(Table2[[#This Row],[Description]]="","",IF(Table2[[#This Row],[Currency]]=$O$2,$P$2,HLOOKUP(Table2[[#This Row],[Date]],Funds!$C$10:$GV$11,2,FALSE)))</f>
        <v/>
      </c>
      <c r="J9253" s="215" t="str">
        <f>IF(Table2[[#This Row],[Description]]="","",Table2[[#This Row],[Value]]/Table2[[#This Row],[Conversion]])</f>
        <v/>
      </c>
      <c r="K9253" s="45" t="str">
        <f>IF(Table2[[#This Row],[Description]]="","",DATE(Table2[[#This Row],[Year]],Table2[[#This Row],[Month]],1))</f>
        <v/>
      </c>
    </row>
    <row r="9254" spans="7:11" x14ac:dyDescent="0.25">
      <c r="G9254" s="1" t="str">
        <f>IF(Table2[[#This Row],[Description]]="","",VLOOKUP(Table2[[#This Row],[Description]],$Q$1:$S$101,2,FALSE))</f>
        <v/>
      </c>
      <c r="H9254" s="1" t="str">
        <f>IF(Table2[[#This Row],[Description]]="","",VLOOKUP(Table2[[#This Row],[Description]],$Q$1:$S$101,3,FALSE))</f>
        <v/>
      </c>
      <c r="I9254" s="1" t="str">
        <f>IF(Table2[[#This Row],[Description]]="","",IF(Table2[[#This Row],[Currency]]=$O$2,$P$2,HLOOKUP(Table2[[#This Row],[Date]],Funds!$C$10:$GV$11,2,FALSE)))</f>
        <v/>
      </c>
      <c r="J9254" s="215" t="str">
        <f>IF(Table2[[#This Row],[Description]]="","",Table2[[#This Row],[Value]]/Table2[[#This Row],[Conversion]])</f>
        <v/>
      </c>
      <c r="K9254" s="45" t="str">
        <f>IF(Table2[[#This Row],[Description]]="","",DATE(Table2[[#This Row],[Year]],Table2[[#This Row],[Month]],1))</f>
        <v/>
      </c>
    </row>
    <row r="9255" spans="7:11" x14ac:dyDescent="0.25">
      <c r="G9255" s="1" t="str">
        <f>IF(Table2[[#This Row],[Description]]="","",VLOOKUP(Table2[[#This Row],[Description]],$Q$1:$S$101,2,FALSE))</f>
        <v/>
      </c>
      <c r="H9255" s="1" t="str">
        <f>IF(Table2[[#This Row],[Description]]="","",VLOOKUP(Table2[[#This Row],[Description]],$Q$1:$S$101,3,FALSE))</f>
        <v/>
      </c>
      <c r="I9255" s="1" t="str">
        <f>IF(Table2[[#This Row],[Description]]="","",IF(Table2[[#This Row],[Currency]]=$O$2,$P$2,HLOOKUP(Table2[[#This Row],[Date]],Funds!$C$10:$GV$11,2,FALSE)))</f>
        <v/>
      </c>
      <c r="J9255" s="215" t="str">
        <f>IF(Table2[[#This Row],[Description]]="","",Table2[[#This Row],[Value]]/Table2[[#This Row],[Conversion]])</f>
        <v/>
      </c>
      <c r="K9255" s="45" t="str">
        <f>IF(Table2[[#This Row],[Description]]="","",DATE(Table2[[#This Row],[Year]],Table2[[#This Row],[Month]],1))</f>
        <v/>
      </c>
    </row>
    <row r="9256" spans="7:11" x14ac:dyDescent="0.25">
      <c r="G9256" s="1" t="str">
        <f>IF(Table2[[#This Row],[Description]]="","",VLOOKUP(Table2[[#This Row],[Description]],$Q$1:$S$101,2,FALSE))</f>
        <v/>
      </c>
      <c r="H9256" s="1" t="str">
        <f>IF(Table2[[#This Row],[Description]]="","",VLOOKUP(Table2[[#This Row],[Description]],$Q$1:$S$101,3,FALSE))</f>
        <v/>
      </c>
      <c r="I9256" s="1" t="str">
        <f>IF(Table2[[#This Row],[Description]]="","",IF(Table2[[#This Row],[Currency]]=$O$2,$P$2,HLOOKUP(Table2[[#This Row],[Date]],Funds!$C$10:$GV$11,2,FALSE)))</f>
        <v/>
      </c>
      <c r="J9256" s="215" t="str">
        <f>IF(Table2[[#This Row],[Description]]="","",Table2[[#This Row],[Value]]/Table2[[#This Row],[Conversion]])</f>
        <v/>
      </c>
      <c r="K9256" s="45" t="str">
        <f>IF(Table2[[#This Row],[Description]]="","",DATE(Table2[[#This Row],[Year]],Table2[[#This Row],[Month]],1))</f>
        <v/>
      </c>
    </row>
    <row r="9257" spans="7:11" x14ac:dyDescent="0.25">
      <c r="G9257" s="1" t="str">
        <f>IF(Table2[[#This Row],[Description]]="","",VLOOKUP(Table2[[#This Row],[Description]],$Q$1:$S$101,2,FALSE))</f>
        <v/>
      </c>
      <c r="H9257" s="1" t="str">
        <f>IF(Table2[[#This Row],[Description]]="","",VLOOKUP(Table2[[#This Row],[Description]],$Q$1:$S$101,3,FALSE))</f>
        <v/>
      </c>
      <c r="I9257" s="1" t="str">
        <f>IF(Table2[[#This Row],[Description]]="","",IF(Table2[[#This Row],[Currency]]=$O$2,$P$2,HLOOKUP(Table2[[#This Row],[Date]],Funds!$C$10:$GV$11,2,FALSE)))</f>
        <v/>
      </c>
      <c r="J9257" s="215" t="str">
        <f>IF(Table2[[#This Row],[Description]]="","",Table2[[#This Row],[Value]]/Table2[[#This Row],[Conversion]])</f>
        <v/>
      </c>
      <c r="K9257" s="45" t="str">
        <f>IF(Table2[[#This Row],[Description]]="","",DATE(Table2[[#This Row],[Year]],Table2[[#This Row],[Month]],1))</f>
        <v/>
      </c>
    </row>
    <row r="9258" spans="7:11" x14ac:dyDescent="0.25">
      <c r="G9258" s="1" t="str">
        <f>IF(Table2[[#This Row],[Description]]="","",VLOOKUP(Table2[[#This Row],[Description]],$Q$1:$S$101,2,FALSE))</f>
        <v/>
      </c>
      <c r="H9258" s="1" t="str">
        <f>IF(Table2[[#This Row],[Description]]="","",VLOOKUP(Table2[[#This Row],[Description]],$Q$1:$S$101,3,FALSE))</f>
        <v/>
      </c>
      <c r="I9258" s="1" t="str">
        <f>IF(Table2[[#This Row],[Description]]="","",IF(Table2[[#This Row],[Currency]]=$O$2,$P$2,HLOOKUP(Table2[[#This Row],[Date]],Funds!$C$10:$GV$11,2,FALSE)))</f>
        <v/>
      </c>
      <c r="J9258" s="215" t="str">
        <f>IF(Table2[[#This Row],[Description]]="","",Table2[[#This Row],[Value]]/Table2[[#This Row],[Conversion]])</f>
        <v/>
      </c>
      <c r="K9258" s="45" t="str">
        <f>IF(Table2[[#This Row],[Description]]="","",DATE(Table2[[#This Row],[Year]],Table2[[#This Row],[Month]],1))</f>
        <v/>
      </c>
    </row>
    <row r="9259" spans="7:11" x14ac:dyDescent="0.25">
      <c r="G9259" s="1" t="str">
        <f>IF(Table2[[#This Row],[Description]]="","",VLOOKUP(Table2[[#This Row],[Description]],$Q$1:$S$101,2,FALSE))</f>
        <v/>
      </c>
      <c r="H9259" s="1" t="str">
        <f>IF(Table2[[#This Row],[Description]]="","",VLOOKUP(Table2[[#This Row],[Description]],$Q$1:$S$101,3,FALSE))</f>
        <v/>
      </c>
      <c r="I9259" s="1" t="str">
        <f>IF(Table2[[#This Row],[Description]]="","",IF(Table2[[#This Row],[Currency]]=$O$2,$P$2,HLOOKUP(Table2[[#This Row],[Date]],Funds!$C$10:$GV$11,2,FALSE)))</f>
        <v/>
      </c>
      <c r="J9259" s="215" t="str">
        <f>IF(Table2[[#This Row],[Description]]="","",Table2[[#This Row],[Value]]/Table2[[#This Row],[Conversion]])</f>
        <v/>
      </c>
      <c r="K9259" s="45" t="str">
        <f>IF(Table2[[#This Row],[Description]]="","",DATE(Table2[[#This Row],[Year]],Table2[[#This Row],[Month]],1))</f>
        <v/>
      </c>
    </row>
    <row r="9260" spans="7:11" x14ac:dyDescent="0.25">
      <c r="G9260" s="1" t="str">
        <f>IF(Table2[[#This Row],[Description]]="","",VLOOKUP(Table2[[#This Row],[Description]],$Q$1:$S$101,2,FALSE))</f>
        <v/>
      </c>
      <c r="H9260" s="1" t="str">
        <f>IF(Table2[[#This Row],[Description]]="","",VLOOKUP(Table2[[#This Row],[Description]],$Q$1:$S$101,3,FALSE))</f>
        <v/>
      </c>
      <c r="I9260" s="1" t="str">
        <f>IF(Table2[[#This Row],[Description]]="","",IF(Table2[[#This Row],[Currency]]=$O$2,$P$2,HLOOKUP(Table2[[#This Row],[Date]],Funds!$C$10:$GV$11,2,FALSE)))</f>
        <v/>
      </c>
      <c r="J9260" s="215" t="str">
        <f>IF(Table2[[#This Row],[Description]]="","",Table2[[#This Row],[Value]]/Table2[[#This Row],[Conversion]])</f>
        <v/>
      </c>
      <c r="K9260" s="45" t="str">
        <f>IF(Table2[[#This Row],[Description]]="","",DATE(Table2[[#This Row],[Year]],Table2[[#This Row],[Month]],1))</f>
        <v/>
      </c>
    </row>
    <row r="9261" spans="7:11" x14ac:dyDescent="0.25">
      <c r="G9261" s="1" t="str">
        <f>IF(Table2[[#This Row],[Description]]="","",VLOOKUP(Table2[[#This Row],[Description]],$Q$1:$S$101,2,FALSE))</f>
        <v/>
      </c>
      <c r="H9261" s="1" t="str">
        <f>IF(Table2[[#This Row],[Description]]="","",VLOOKUP(Table2[[#This Row],[Description]],$Q$1:$S$101,3,FALSE))</f>
        <v/>
      </c>
      <c r="I9261" s="1" t="str">
        <f>IF(Table2[[#This Row],[Description]]="","",IF(Table2[[#This Row],[Currency]]=$O$2,$P$2,HLOOKUP(Table2[[#This Row],[Date]],Funds!$C$10:$GV$11,2,FALSE)))</f>
        <v/>
      </c>
      <c r="J9261" s="215" t="str">
        <f>IF(Table2[[#This Row],[Description]]="","",Table2[[#This Row],[Value]]/Table2[[#This Row],[Conversion]])</f>
        <v/>
      </c>
      <c r="K9261" s="45" t="str">
        <f>IF(Table2[[#This Row],[Description]]="","",DATE(Table2[[#This Row],[Year]],Table2[[#This Row],[Month]],1))</f>
        <v/>
      </c>
    </row>
    <row r="9262" spans="7:11" x14ac:dyDescent="0.25">
      <c r="G9262" s="1" t="str">
        <f>IF(Table2[[#This Row],[Description]]="","",VLOOKUP(Table2[[#This Row],[Description]],$Q$1:$S$101,2,FALSE))</f>
        <v/>
      </c>
      <c r="H9262" s="1" t="str">
        <f>IF(Table2[[#This Row],[Description]]="","",VLOOKUP(Table2[[#This Row],[Description]],$Q$1:$S$101,3,FALSE))</f>
        <v/>
      </c>
      <c r="I9262" s="1" t="str">
        <f>IF(Table2[[#This Row],[Description]]="","",IF(Table2[[#This Row],[Currency]]=$O$2,$P$2,HLOOKUP(Table2[[#This Row],[Date]],Funds!$C$10:$GV$11,2,FALSE)))</f>
        <v/>
      </c>
      <c r="J9262" s="215" t="str">
        <f>IF(Table2[[#This Row],[Description]]="","",Table2[[#This Row],[Value]]/Table2[[#This Row],[Conversion]])</f>
        <v/>
      </c>
      <c r="K9262" s="45" t="str">
        <f>IF(Table2[[#This Row],[Description]]="","",DATE(Table2[[#This Row],[Year]],Table2[[#This Row],[Month]],1))</f>
        <v/>
      </c>
    </row>
    <row r="9263" spans="7:11" x14ac:dyDescent="0.25">
      <c r="G9263" s="1" t="str">
        <f>IF(Table2[[#This Row],[Description]]="","",VLOOKUP(Table2[[#This Row],[Description]],$Q$1:$S$101,2,FALSE))</f>
        <v/>
      </c>
      <c r="H9263" s="1" t="str">
        <f>IF(Table2[[#This Row],[Description]]="","",VLOOKUP(Table2[[#This Row],[Description]],$Q$1:$S$101,3,FALSE))</f>
        <v/>
      </c>
      <c r="I9263" s="1" t="str">
        <f>IF(Table2[[#This Row],[Description]]="","",IF(Table2[[#This Row],[Currency]]=$O$2,$P$2,HLOOKUP(Table2[[#This Row],[Date]],Funds!$C$10:$GV$11,2,FALSE)))</f>
        <v/>
      </c>
      <c r="J9263" s="215" t="str">
        <f>IF(Table2[[#This Row],[Description]]="","",Table2[[#This Row],[Value]]/Table2[[#This Row],[Conversion]])</f>
        <v/>
      </c>
      <c r="K9263" s="45" t="str">
        <f>IF(Table2[[#This Row],[Description]]="","",DATE(Table2[[#This Row],[Year]],Table2[[#This Row],[Month]],1))</f>
        <v/>
      </c>
    </row>
    <row r="9264" spans="7:11" x14ac:dyDescent="0.25">
      <c r="G9264" s="1" t="str">
        <f>IF(Table2[[#This Row],[Description]]="","",VLOOKUP(Table2[[#This Row],[Description]],$Q$1:$S$101,2,FALSE))</f>
        <v/>
      </c>
      <c r="H9264" s="1" t="str">
        <f>IF(Table2[[#This Row],[Description]]="","",VLOOKUP(Table2[[#This Row],[Description]],$Q$1:$S$101,3,FALSE))</f>
        <v/>
      </c>
      <c r="I9264" s="1" t="str">
        <f>IF(Table2[[#This Row],[Description]]="","",IF(Table2[[#This Row],[Currency]]=$O$2,$P$2,HLOOKUP(Table2[[#This Row],[Date]],Funds!$C$10:$GV$11,2,FALSE)))</f>
        <v/>
      </c>
      <c r="J9264" s="215" t="str">
        <f>IF(Table2[[#This Row],[Description]]="","",Table2[[#This Row],[Value]]/Table2[[#This Row],[Conversion]])</f>
        <v/>
      </c>
      <c r="K9264" s="45" t="str">
        <f>IF(Table2[[#This Row],[Description]]="","",DATE(Table2[[#This Row],[Year]],Table2[[#This Row],[Month]],1))</f>
        <v/>
      </c>
    </row>
    <row r="9265" spans="7:11" x14ac:dyDescent="0.25">
      <c r="G9265" s="1" t="str">
        <f>IF(Table2[[#This Row],[Description]]="","",VLOOKUP(Table2[[#This Row],[Description]],$Q$1:$S$101,2,FALSE))</f>
        <v/>
      </c>
      <c r="H9265" s="1" t="str">
        <f>IF(Table2[[#This Row],[Description]]="","",VLOOKUP(Table2[[#This Row],[Description]],$Q$1:$S$101,3,FALSE))</f>
        <v/>
      </c>
      <c r="I9265" s="1" t="str">
        <f>IF(Table2[[#This Row],[Description]]="","",IF(Table2[[#This Row],[Currency]]=$O$2,$P$2,HLOOKUP(Table2[[#This Row],[Date]],Funds!$C$10:$GV$11,2,FALSE)))</f>
        <v/>
      </c>
      <c r="J9265" s="215" t="str">
        <f>IF(Table2[[#This Row],[Description]]="","",Table2[[#This Row],[Value]]/Table2[[#This Row],[Conversion]])</f>
        <v/>
      </c>
      <c r="K9265" s="45" t="str">
        <f>IF(Table2[[#This Row],[Description]]="","",DATE(Table2[[#This Row],[Year]],Table2[[#This Row],[Month]],1))</f>
        <v/>
      </c>
    </row>
    <row r="9266" spans="7:11" x14ac:dyDescent="0.25">
      <c r="G9266" s="1" t="str">
        <f>IF(Table2[[#This Row],[Description]]="","",VLOOKUP(Table2[[#This Row],[Description]],$Q$1:$S$101,2,FALSE))</f>
        <v/>
      </c>
      <c r="H9266" s="1" t="str">
        <f>IF(Table2[[#This Row],[Description]]="","",VLOOKUP(Table2[[#This Row],[Description]],$Q$1:$S$101,3,FALSE))</f>
        <v/>
      </c>
      <c r="I9266" s="1" t="str">
        <f>IF(Table2[[#This Row],[Description]]="","",IF(Table2[[#This Row],[Currency]]=$O$2,$P$2,HLOOKUP(Table2[[#This Row],[Date]],Funds!$C$10:$GV$11,2,FALSE)))</f>
        <v/>
      </c>
      <c r="J9266" s="215" t="str">
        <f>IF(Table2[[#This Row],[Description]]="","",Table2[[#This Row],[Value]]/Table2[[#This Row],[Conversion]])</f>
        <v/>
      </c>
      <c r="K9266" s="45" t="str">
        <f>IF(Table2[[#This Row],[Description]]="","",DATE(Table2[[#This Row],[Year]],Table2[[#This Row],[Month]],1))</f>
        <v/>
      </c>
    </row>
    <row r="9267" spans="7:11" x14ac:dyDescent="0.25">
      <c r="G9267" s="1" t="str">
        <f>IF(Table2[[#This Row],[Description]]="","",VLOOKUP(Table2[[#This Row],[Description]],$Q$1:$S$101,2,FALSE))</f>
        <v/>
      </c>
      <c r="H9267" s="1" t="str">
        <f>IF(Table2[[#This Row],[Description]]="","",VLOOKUP(Table2[[#This Row],[Description]],$Q$1:$S$101,3,FALSE))</f>
        <v/>
      </c>
      <c r="I9267" s="1" t="str">
        <f>IF(Table2[[#This Row],[Description]]="","",IF(Table2[[#This Row],[Currency]]=$O$2,$P$2,HLOOKUP(Table2[[#This Row],[Date]],Funds!$C$10:$GV$11,2,FALSE)))</f>
        <v/>
      </c>
      <c r="J9267" s="215" t="str">
        <f>IF(Table2[[#This Row],[Description]]="","",Table2[[#This Row],[Value]]/Table2[[#This Row],[Conversion]])</f>
        <v/>
      </c>
      <c r="K9267" s="45" t="str">
        <f>IF(Table2[[#This Row],[Description]]="","",DATE(Table2[[#This Row],[Year]],Table2[[#This Row],[Month]],1))</f>
        <v/>
      </c>
    </row>
    <row r="9268" spans="7:11" x14ac:dyDescent="0.25">
      <c r="G9268" s="1" t="str">
        <f>IF(Table2[[#This Row],[Description]]="","",VLOOKUP(Table2[[#This Row],[Description]],$Q$1:$S$101,2,FALSE))</f>
        <v/>
      </c>
      <c r="H9268" s="1" t="str">
        <f>IF(Table2[[#This Row],[Description]]="","",VLOOKUP(Table2[[#This Row],[Description]],$Q$1:$S$101,3,FALSE))</f>
        <v/>
      </c>
      <c r="I9268" s="1" t="str">
        <f>IF(Table2[[#This Row],[Description]]="","",IF(Table2[[#This Row],[Currency]]=$O$2,$P$2,HLOOKUP(Table2[[#This Row],[Date]],Funds!$C$10:$GV$11,2,FALSE)))</f>
        <v/>
      </c>
      <c r="J9268" s="215" t="str">
        <f>IF(Table2[[#This Row],[Description]]="","",Table2[[#This Row],[Value]]/Table2[[#This Row],[Conversion]])</f>
        <v/>
      </c>
      <c r="K9268" s="45" t="str">
        <f>IF(Table2[[#This Row],[Description]]="","",DATE(Table2[[#This Row],[Year]],Table2[[#This Row],[Month]],1))</f>
        <v/>
      </c>
    </row>
    <row r="9269" spans="7:11" x14ac:dyDescent="0.25">
      <c r="G9269" s="1" t="str">
        <f>IF(Table2[[#This Row],[Description]]="","",VLOOKUP(Table2[[#This Row],[Description]],$Q$1:$S$101,2,FALSE))</f>
        <v/>
      </c>
      <c r="H9269" s="1" t="str">
        <f>IF(Table2[[#This Row],[Description]]="","",VLOOKUP(Table2[[#This Row],[Description]],$Q$1:$S$101,3,FALSE))</f>
        <v/>
      </c>
      <c r="I9269" s="1" t="str">
        <f>IF(Table2[[#This Row],[Description]]="","",IF(Table2[[#This Row],[Currency]]=$O$2,$P$2,HLOOKUP(Table2[[#This Row],[Date]],Funds!$C$10:$GV$11,2,FALSE)))</f>
        <v/>
      </c>
      <c r="J9269" s="215" t="str">
        <f>IF(Table2[[#This Row],[Description]]="","",Table2[[#This Row],[Value]]/Table2[[#This Row],[Conversion]])</f>
        <v/>
      </c>
      <c r="K9269" s="45" t="str">
        <f>IF(Table2[[#This Row],[Description]]="","",DATE(Table2[[#This Row],[Year]],Table2[[#This Row],[Month]],1))</f>
        <v/>
      </c>
    </row>
    <row r="9270" spans="7:11" x14ac:dyDescent="0.25">
      <c r="G9270" s="1" t="str">
        <f>IF(Table2[[#This Row],[Description]]="","",VLOOKUP(Table2[[#This Row],[Description]],$Q$1:$S$101,2,FALSE))</f>
        <v/>
      </c>
      <c r="H9270" s="1" t="str">
        <f>IF(Table2[[#This Row],[Description]]="","",VLOOKUP(Table2[[#This Row],[Description]],$Q$1:$S$101,3,FALSE))</f>
        <v/>
      </c>
      <c r="I9270" s="1" t="str">
        <f>IF(Table2[[#This Row],[Description]]="","",IF(Table2[[#This Row],[Currency]]=$O$2,$P$2,HLOOKUP(Table2[[#This Row],[Date]],Funds!$C$10:$GV$11,2,FALSE)))</f>
        <v/>
      </c>
      <c r="J9270" s="215" t="str">
        <f>IF(Table2[[#This Row],[Description]]="","",Table2[[#This Row],[Value]]/Table2[[#This Row],[Conversion]])</f>
        <v/>
      </c>
      <c r="K9270" s="45" t="str">
        <f>IF(Table2[[#This Row],[Description]]="","",DATE(Table2[[#This Row],[Year]],Table2[[#This Row],[Month]],1))</f>
        <v/>
      </c>
    </row>
    <row r="9271" spans="7:11" x14ac:dyDescent="0.25">
      <c r="G9271" s="1" t="str">
        <f>IF(Table2[[#This Row],[Description]]="","",VLOOKUP(Table2[[#This Row],[Description]],$Q$1:$S$101,2,FALSE))</f>
        <v/>
      </c>
      <c r="H9271" s="1" t="str">
        <f>IF(Table2[[#This Row],[Description]]="","",VLOOKUP(Table2[[#This Row],[Description]],$Q$1:$S$101,3,FALSE))</f>
        <v/>
      </c>
      <c r="I9271" s="1" t="str">
        <f>IF(Table2[[#This Row],[Description]]="","",IF(Table2[[#This Row],[Currency]]=$O$2,$P$2,HLOOKUP(Table2[[#This Row],[Date]],Funds!$C$10:$GV$11,2,FALSE)))</f>
        <v/>
      </c>
      <c r="J9271" s="215" t="str">
        <f>IF(Table2[[#This Row],[Description]]="","",Table2[[#This Row],[Value]]/Table2[[#This Row],[Conversion]])</f>
        <v/>
      </c>
      <c r="K9271" s="45" t="str">
        <f>IF(Table2[[#This Row],[Description]]="","",DATE(Table2[[#This Row],[Year]],Table2[[#This Row],[Month]],1))</f>
        <v/>
      </c>
    </row>
    <row r="9272" spans="7:11" x14ac:dyDescent="0.25">
      <c r="G9272" s="1" t="str">
        <f>IF(Table2[[#This Row],[Description]]="","",VLOOKUP(Table2[[#This Row],[Description]],$Q$1:$S$101,2,FALSE))</f>
        <v/>
      </c>
      <c r="H9272" s="1" t="str">
        <f>IF(Table2[[#This Row],[Description]]="","",VLOOKUP(Table2[[#This Row],[Description]],$Q$1:$S$101,3,FALSE))</f>
        <v/>
      </c>
      <c r="I9272" s="1" t="str">
        <f>IF(Table2[[#This Row],[Description]]="","",IF(Table2[[#This Row],[Currency]]=$O$2,$P$2,HLOOKUP(Table2[[#This Row],[Date]],Funds!$C$10:$GV$11,2,FALSE)))</f>
        <v/>
      </c>
      <c r="J9272" s="215" t="str">
        <f>IF(Table2[[#This Row],[Description]]="","",Table2[[#This Row],[Value]]/Table2[[#This Row],[Conversion]])</f>
        <v/>
      </c>
      <c r="K9272" s="45" t="str">
        <f>IF(Table2[[#This Row],[Description]]="","",DATE(Table2[[#This Row],[Year]],Table2[[#This Row],[Month]],1))</f>
        <v/>
      </c>
    </row>
    <row r="9273" spans="7:11" x14ac:dyDescent="0.25">
      <c r="G9273" s="1" t="str">
        <f>IF(Table2[[#This Row],[Description]]="","",VLOOKUP(Table2[[#This Row],[Description]],$Q$1:$S$101,2,FALSE))</f>
        <v/>
      </c>
      <c r="H9273" s="1" t="str">
        <f>IF(Table2[[#This Row],[Description]]="","",VLOOKUP(Table2[[#This Row],[Description]],$Q$1:$S$101,3,FALSE))</f>
        <v/>
      </c>
      <c r="I9273" s="1" t="str">
        <f>IF(Table2[[#This Row],[Description]]="","",IF(Table2[[#This Row],[Currency]]=$O$2,$P$2,HLOOKUP(Table2[[#This Row],[Date]],Funds!$C$10:$GV$11,2,FALSE)))</f>
        <v/>
      </c>
      <c r="J9273" s="215" t="str">
        <f>IF(Table2[[#This Row],[Description]]="","",Table2[[#This Row],[Value]]/Table2[[#This Row],[Conversion]])</f>
        <v/>
      </c>
      <c r="K9273" s="45" t="str">
        <f>IF(Table2[[#This Row],[Description]]="","",DATE(Table2[[#This Row],[Year]],Table2[[#This Row],[Month]],1))</f>
        <v/>
      </c>
    </row>
    <row r="9274" spans="7:11" x14ac:dyDescent="0.25">
      <c r="G9274" s="1" t="str">
        <f>IF(Table2[[#This Row],[Description]]="","",VLOOKUP(Table2[[#This Row],[Description]],$Q$1:$S$101,2,FALSE))</f>
        <v/>
      </c>
      <c r="H9274" s="1" t="str">
        <f>IF(Table2[[#This Row],[Description]]="","",VLOOKUP(Table2[[#This Row],[Description]],$Q$1:$S$101,3,FALSE))</f>
        <v/>
      </c>
      <c r="I9274" s="1" t="str">
        <f>IF(Table2[[#This Row],[Description]]="","",IF(Table2[[#This Row],[Currency]]=$O$2,$P$2,HLOOKUP(Table2[[#This Row],[Date]],Funds!$C$10:$GV$11,2,FALSE)))</f>
        <v/>
      </c>
      <c r="J9274" s="215" t="str">
        <f>IF(Table2[[#This Row],[Description]]="","",Table2[[#This Row],[Value]]/Table2[[#This Row],[Conversion]])</f>
        <v/>
      </c>
      <c r="K9274" s="45" t="str">
        <f>IF(Table2[[#This Row],[Description]]="","",DATE(Table2[[#This Row],[Year]],Table2[[#This Row],[Month]],1))</f>
        <v/>
      </c>
    </row>
    <row r="9275" spans="7:11" x14ac:dyDescent="0.25">
      <c r="G9275" s="1" t="str">
        <f>IF(Table2[[#This Row],[Description]]="","",VLOOKUP(Table2[[#This Row],[Description]],$Q$1:$S$101,2,FALSE))</f>
        <v/>
      </c>
      <c r="H9275" s="1" t="str">
        <f>IF(Table2[[#This Row],[Description]]="","",VLOOKUP(Table2[[#This Row],[Description]],$Q$1:$S$101,3,FALSE))</f>
        <v/>
      </c>
      <c r="I9275" s="1" t="str">
        <f>IF(Table2[[#This Row],[Description]]="","",IF(Table2[[#This Row],[Currency]]=$O$2,$P$2,HLOOKUP(Table2[[#This Row],[Date]],Funds!$C$10:$GV$11,2,FALSE)))</f>
        <v/>
      </c>
      <c r="J9275" s="215" t="str">
        <f>IF(Table2[[#This Row],[Description]]="","",Table2[[#This Row],[Value]]/Table2[[#This Row],[Conversion]])</f>
        <v/>
      </c>
      <c r="K9275" s="45" t="str">
        <f>IF(Table2[[#This Row],[Description]]="","",DATE(Table2[[#This Row],[Year]],Table2[[#This Row],[Month]],1))</f>
        <v/>
      </c>
    </row>
    <row r="9276" spans="7:11" x14ac:dyDescent="0.25">
      <c r="G9276" s="1" t="str">
        <f>IF(Table2[[#This Row],[Description]]="","",VLOOKUP(Table2[[#This Row],[Description]],$Q$1:$S$101,2,FALSE))</f>
        <v/>
      </c>
      <c r="H9276" s="1" t="str">
        <f>IF(Table2[[#This Row],[Description]]="","",VLOOKUP(Table2[[#This Row],[Description]],$Q$1:$S$101,3,FALSE))</f>
        <v/>
      </c>
      <c r="I9276" s="1" t="str">
        <f>IF(Table2[[#This Row],[Description]]="","",IF(Table2[[#This Row],[Currency]]=$O$2,$P$2,HLOOKUP(Table2[[#This Row],[Date]],Funds!$C$10:$GV$11,2,FALSE)))</f>
        <v/>
      </c>
      <c r="J9276" s="215" t="str">
        <f>IF(Table2[[#This Row],[Description]]="","",Table2[[#This Row],[Value]]/Table2[[#This Row],[Conversion]])</f>
        <v/>
      </c>
      <c r="K9276" s="45" t="str">
        <f>IF(Table2[[#This Row],[Description]]="","",DATE(Table2[[#This Row],[Year]],Table2[[#This Row],[Month]],1))</f>
        <v/>
      </c>
    </row>
    <row r="9277" spans="7:11" x14ac:dyDescent="0.25">
      <c r="G9277" s="1" t="str">
        <f>IF(Table2[[#This Row],[Description]]="","",VLOOKUP(Table2[[#This Row],[Description]],$Q$1:$S$101,2,FALSE))</f>
        <v/>
      </c>
      <c r="H9277" s="1" t="str">
        <f>IF(Table2[[#This Row],[Description]]="","",VLOOKUP(Table2[[#This Row],[Description]],$Q$1:$S$101,3,FALSE))</f>
        <v/>
      </c>
      <c r="I9277" s="1" t="str">
        <f>IF(Table2[[#This Row],[Description]]="","",IF(Table2[[#This Row],[Currency]]=$O$2,$P$2,HLOOKUP(Table2[[#This Row],[Date]],Funds!$C$10:$GV$11,2,FALSE)))</f>
        <v/>
      </c>
      <c r="J9277" s="215" t="str">
        <f>IF(Table2[[#This Row],[Description]]="","",Table2[[#This Row],[Value]]/Table2[[#This Row],[Conversion]])</f>
        <v/>
      </c>
      <c r="K9277" s="45" t="str">
        <f>IF(Table2[[#This Row],[Description]]="","",DATE(Table2[[#This Row],[Year]],Table2[[#This Row],[Month]],1))</f>
        <v/>
      </c>
    </row>
    <row r="9278" spans="7:11" x14ac:dyDescent="0.25">
      <c r="G9278" s="1" t="str">
        <f>IF(Table2[[#This Row],[Description]]="","",VLOOKUP(Table2[[#This Row],[Description]],$Q$1:$S$101,2,FALSE))</f>
        <v/>
      </c>
      <c r="H9278" s="1" t="str">
        <f>IF(Table2[[#This Row],[Description]]="","",VLOOKUP(Table2[[#This Row],[Description]],$Q$1:$S$101,3,FALSE))</f>
        <v/>
      </c>
      <c r="I9278" s="1" t="str">
        <f>IF(Table2[[#This Row],[Description]]="","",IF(Table2[[#This Row],[Currency]]=$O$2,$P$2,HLOOKUP(Table2[[#This Row],[Date]],Funds!$C$10:$GV$11,2,FALSE)))</f>
        <v/>
      </c>
      <c r="J9278" s="215" t="str">
        <f>IF(Table2[[#This Row],[Description]]="","",Table2[[#This Row],[Value]]/Table2[[#This Row],[Conversion]])</f>
        <v/>
      </c>
      <c r="K9278" s="45" t="str">
        <f>IF(Table2[[#This Row],[Description]]="","",DATE(Table2[[#This Row],[Year]],Table2[[#This Row],[Month]],1))</f>
        <v/>
      </c>
    </row>
    <row r="9279" spans="7:11" x14ac:dyDescent="0.25">
      <c r="G9279" s="1" t="str">
        <f>IF(Table2[[#This Row],[Description]]="","",VLOOKUP(Table2[[#This Row],[Description]],$Q$1:$S$101,2,FALSE))</f>
        <v/>
      </c>
      <c r="H9279" s="1" t="str">
        <f>IF(Table2[[#This Row],[Description]]="","",VLOOKUP(Table2[[#This Row],[Description]],$Q$1:$S$101,3,FALSE))</f>
        <v/>
      </c>
      <c r="I9279" s="1" t="str">
        <f>IF(Table2[[#This Row],[Description]]="","",IF(Table2[[#This Row],[Currency]]=$O$2,$P$2,HLOOKUP(Table2[[#This Row],[Date]],Funds!$C$10:$GV$11,2,FALSE)))</f>
        <v/>
      </c>
      <c r="J9279" s="215" t="str">
        <f>IF(Table2[[#This Row],[Description]]="","",Table2[[#This Row],[Value]]/Table2[[#This Row],[Conversion]])</f>
        <v/>
      </c>
      <c r="K9279" s="45" t="str">
        <f>IF(Table2[[#This Row],[Description]]="","",DATE(Table2[[#This Row],[Year]],Table2[[#This Row],[Month]],1))</f>
        <v/>
      </c>
    </row>
    <row r="9280" spans="7:11" x14ac:dyDescent="0.25">
      <c r="G9280" s="1" t="str">
        <f>IF(Table2[[#This Row],[Description]]="","",VLOOKUP(Table2[[#This Row],[Description]],$Q$1:$S$101,2,FALSE))</f>
        <v/>
      </c>
      <c r="H9280" s="1" t="str">
        <f>IF(Table2[[#This Row],[Description]]="","",VLOOKUP(Table2[[#This Row],[Description]],$Q$1:$S$101,3,FALSE))</f>
        <v/>
      </c>
      <c r="I9280" s="1" t="str">
        <f>IF(Table2[[#This Row],[Description]]="","",IF(Table2[[#This Row],[Currency]]=$O$2,$P$2,HLOOKUP(Table2[[#This Row],[Date]],Funds!$C$10:$GV$11,2,FALSE)))</f>
        <v/>
      </c>
      <c r="J9280" s="215" t="str">
        <f>IF(Table2[[#This Row],[Description]]="","",Table2[[#This Row],[Value]]/Table2[[#This Row],[Conversion]])</f>
        <v/>
      </c>
      <c r="K9280" s="45" t="str">
        <f>IF(Table2[[#This Row],[Description]]="","",DATE(Table2[[#This Row],[Year]],Table2[[#This Row],[Month]],1))</f>
        <v/>
      </c>
    </row>
    <row r="9281" spans="7:11" x14ac:dyDescent="0.25">
      <c r="G9281" s="1" t="str">
        <f>IF(Table2[[#This Row],[Description]]="","",VLOOKUP(Table2[[#This Row],[Description]],$Q$1:$S$101,2,FALSE))</f>
        <v/>
      </c>
      <c r="H9281" s="1" t="str">
        <f>IF(Table2[[#This Row],[Description]]="","",VLOOKUP(Table2[[#This Row],[Description]],$Q$1:$S$101,3,FALSE))</f>
        <v/>
      </c>
      <c r="I9281" s="1" t="str">
        <f>IF(Table2[[#This Row],[Description]]="","",IF(Table2[[#This Row],[Currency]]=$O$2,$P$2,HLOOKUP(Table2[[#This Row],[Date]],Funds!$C$10:$GV$11,2,FALSE)))</f>
        <v/>
      </c>
      <c r="J9281" s="215" t="str">
        <f>IF(Table2[[#This Row],[Description]]="","",Table2[[#This Row],[Value]]/Table2[[#This Row],[Conversion]])</f>
        <v/>
      </c>
      <c r="K9281" s="45" t="str">
        <f>IF(Table2[[#This Row],[Description]]="","",DATE(Table2[[#This Row],[Year]],Table2[[#This Row],[Month]],1))</f>
        <v/>
      </c>
    </row>
    <row r="9282" spans="7:11" x14ac:dyDescent="0.25">
      <c r="G9282" s="1" t="str">
        <f>IF(Table2[[#This Row],[Description]]="","",VLOOKUP(Table2[[#This Row],[Description]],$Q$1:$S$101,2,FALSE))</f>
        <v/>
      </c>
      <c r="H9282" s="1" t="str">
        <f>IF(Table2[[#This Row],[Description]]="","",VLOOKUP(Table2[[#This Row],[Description]],$Q$1:$S$101,3,FALSE))</f>
        <v/>
      </c>
      <c r="I9282" s="1" t="str">
        <f>IF(Table2[[#This Row],[Description]]="","",IF(Table2[[#This Row],[Currency]]=$O$2,$P$2,HLOOKUP(Table2[[#This Row],[Date]],Funds!$C$10:$GV$11,2,FALSE)))</f>
        <v/>
      </c>
      <c r="J9282" s="215" t="str">
        <f>IF(Table2[[#This Row],[Description]]="","",Table2[[#This Row],[Value]]/Table2[[#This Row],[Conversion]])</f>
        <v/>
      </c>
      <c r="K9282" s="45" t="str">
        <f>IF(Table2[[#This Row],[Description]]="","",DATE(Table2[[#This Row],[Year]],Table2[[#This Row],[Month]],1))</f>
        <v/>
      </c>
    </row>
    <row r="9283" spans="7:11" x14ac:dyDescent="0.25">
      <c r="G9283" s="1" t="str">
        <f>IF(Table2[[#This Row],[Description]]="","",VLOOKUP(Table2[[#This Row],[Description]],$Q$1:$S$101,2,FALSE))</f>
        <v/>
      </c>
      <c r="H9283" s="1" t="str">
        <f>IF(Table2[[#This Row],[Description]]="","",VLOOKUP(Table2[[#This Row],[Description]],$Q$1:$S$101,3,FALSE))</f>
        <v/>
      </c>
      <c r="I9283" s="1" t="str">
        <f>IF(Table2[[#This Row],[Description]]="","",IF(Table2[[#This Row],[Currency]]=$O$2,$P$2,HLOOKUP(Table2[[#This Row],[Date]],Funds!$C$10:$GV$11,2,FALSE)))</f>
        <v/>
      </c>
      <c r="J9283" s="215" t="str">
        <f>IF(Table2[[#This Row],[Description]]="","",Table2[[#This Row],[Value]]/Table2[[#This Row],[Conversion]])</f>
        <v/>
      </c>
      <c r="K9283" s="45" t="str">
        <f>IF(Table2[[#This Row],[Description]]="","",DATE(Table2[[#This Row],[Year]],Table2[[#This Row],[Month]],1))</f>
        <v/>
      </c>
    </row>
    <row r="9284" spans="7:11" x14ac:dyDescent="0.25">
      <c r="G9284" s="1" t="str">
        <f>IF(Table2[[#This Row],[Description]]="","",VLOOKUP(Table2[[#This Row],[Description]],$Q$1:$S$101,2,FALSE))</f>
        <v/>
      </c>
      <c r="H9284" s="1" t="str">
        <f>IF(Table2[[#This Row],[Description]]="","",VLOOKUP(Table2[[#This Row],[Description]],$Q$1:$S$101,3,FALSE))</f>
        <v/>
      </c>
      <c r="I9284" s="1" t="str">
        <f>IF(Table2[[#This Row],[Description]]="","",IF(Table2[[#This Row],[Currency]]=$O$2,$P$2,HLOOKUP(Table2[[#This Row],[Date]],Funds!$C$10:$GV$11,2,FALSE)))</f>
        <v/>
      </c>
      <c r="J9284" s="215" t="str">
        <f>IF(Table2[[#This Row],[Description]]="","",Table2[[#This Row],[Value]]/Table2[[#This Row],[Conversion]])</f>
        <v/>
      </c>
      <c r="K9284" s="45" t="str">
        <f>IF(Table2[[#This Row],[Description]]="","",DATE(Table2[[#This Row],[Year]],Table2[[#This Row],[Month]],1))</f>
        <v/>
      </c>
    </row>
    <row r="9285" spans="7:11" x14ac:dyDescent="0.25">
      <c r="G9285" s="1" t="str">
        <f>IF(Table2[[#This Row],[Description]]="","",VLOOKUP(Table2[[#This Row],[Description]],$Q$1:$S$101,2,FALSE))</f>
        <v/>
      </c>
      <c r="H9285" s="1" t="str">
        <f>IF(Table2[[#This Row],[Description]]="","",VLOOKUP(Table2[[#This Row],[Description]],$Q$1:$S$101,3,FALSE))</f>
        <v/>
      </c>
      <c r="I9285" s="1" t="str">
        <f>IF(Table2[[#This Row],[Description]]="","",IF(Table2[[#This Row],[Currency]]=$O$2,$P$2,HLOOKUP(Table2[[#This Row],[Date]],Funds!$C$10:$GV$11,2,FALSE)))</f>
        <v/>
      </c>
      <c r="J9285" s="215" t="str">
        <f>IF(Table2[[#This Row],[Description]]="","",Table2[[#This Row],[Value]]/Table2[[#This Row],[Conversion]])</f>
        <v/>
      </c>
      <c r="K9285" s="45" t="str">
        <f>IF(Table2[[#This Row],[Description]]="","",DATE(Table2[[#This Row],[Year]],Table2[[#This Row],[Month]],1))</f>
        <v/>
      </c>
    </row>
    <row r="9286" spans="7:11" x14ac:dyDescent="0.25">
      <c r="G9286" s="1" t="str">
        <f>IF(Table2[[#This Row],[Description]]="","",VLOOKUP(Table2[[#This Row],[Description]],$Q$1:$S$101,2,FALSE))</f>
        <v/>
      </c>
      <c r="H9286" s="1" t="str">
        <f>IF(Table2[[#This Row],[Description]]="","",VLOOKUP(Table2[[#This Row],[Description]],$Q$1:$S$101,3,FALSE))</f>
        <v/>
      </c>
      <c r="I9286" s="1" t="str">
        <f>IF(Table2[[#This Row],[Description]]="","",IF(Table2[[#This Row],[Currency]]=$O$2,$P$2,HLOOKUP(Table2[[#This Row],[Date]],Funds!$C$10:$GV$11,2,FALSE)))</f>
        <v/>
      </c>
      <c r="J9286" s="215" t="str">
        <f>IF(Table2[[#This Row],[Description]]="","",Table2[[#This Row],[Value]]/Table2[[#This Row],[Conversion]])</f>
        <v/>
      </c>
      <c r="K9286" s="45" t="str">
        <f>IF(Table2[[#This Row],[Description]]="","",DATE(Table2[[#This Row],[Year]],Table2[[#This Row],[Month]],1))</f>
        <v/>
      </c>
    </row>
    <row r="9287" spans="7:11" x14ac:dyDescent="0.25">
      <c r="G9287" s="1" t="str">
        <f>IF(Table2[[#This Row],[Description]]="","",VLOOKUP(Table2[[#This Row],[Description]],$Q$1:$S$101,2,FALSE))</f>
        <v/>
      </c>
      <c r="H9287" s="1" t="str">
        <f>IF(Table2[[#This Row],[Description]]="","",VLOOKUP(Table2[[#This Row],[Description]],$Q$1:$S$101,3,FALSE))</f>
        <v/>
      </c>
      <c r="I9287" s="1" t="str">
        <f>IF(Table2[[#This Row],[Description]]="","",IF(Table2[[#This Row],[Currency]]=$O$2,$P$2,HLOOKUP(Table2[[#This Row],[Date]],Funds!$C$10:$GV$11,2,FALSE)))</f>
        <v/>
      </c>
      <c r="J9287" s="215" t="str">
        <f>IF(Table2[[#This Row],[Description]]="","",Table2[[#This Row],[Value]]/Table2[[#This Row],[Conversion]])</f>
        <v/>
      </c>
      <c r="K9287" s="45" t="str">
        <f>IF(Table2[[#This Row],[Description]]="","",DATE(Table2[[#This Row],[Year]],Table2[[#This Row],[Month]],1))</f>
        <v/>
      </c>
    </row>
    <row r="9288" spans="7:11" x14ac:dyDescent="0.25">
      <c r="G9288" s="1" t="str">
        <f>IF(Table2[[#This Row],[Description]]="","",VLOOKUP(Table2[[#This Row],[Description]],$Q$1:$S$101,2,FALSE))</f>
        <v/>
      </c>
      <c r="H9288" s="1" t="str">
        <f>IF(Table2[[#This Row],[Description]]="","",VLOOKUP(Table2[[#This Row],[Description]],$Q$1:$S$101,3,FALSE))</f>
        <v/>
      </c>
      <c r="I9288" s="1" t="str">
        <f>IF(Table2[[#This Row],[Description]]="","",IF(Table2[[#This Row],[Currency]]=$O$2,$P$2,HLOOKUP(Table2[[#This Row],[Date]],Funds!$C$10:$GV$11,2,FALSE)))</f>
        <v/>
      </c>
      <c r="J9288" s="215" t="str">
        <f>IF(Table2[[#This Row],[Description]]="","",Table2[[#This Row],[Value]]/Table2[[#This Row],[Conversion]])</f>
        <v/>
      </c>
      <c r="K9288" s="45" t="str">
        <f>IF(Table2[[#This Row],[Description]]="","",DATE(Table2[[#This Row],[Year]],Table2[[#This Row],[Month]],1))</f>
        <v/>
      </c>
    </row>
    <row r="9289" spans="7:11" x14ac:dyDescent="0.25">
      <c r="G9289" s="1" t="str">
        <f>IF(Table2[[#This Row],[Description]]="","",VLOOKUP(Table2[[#This Row],[Description]],$Q$1:$S$101,2,FALSE))</f>
        <v/>
      </c>
      <c r="H9289" s="1" t="str">
        <f>IF(Table2[[#This Row],[Description]]="","",VLOOKUP(Table2[[#This Row],[Description]],$Q$1:$S$101,3,FALSE))</f>
        <v/>
      </c>
      <c r="I9289" s="1" t="str">
        <f>IF(Table2[[#This Row],[Description]]="","",IF(Table2[[#This Row],[Currency]]=$O$2,$P$2,HLOOKUP(Table2[[#This Row],[Date]],Funds!$C$10:$GV$11,2,FALSE)))</f>
        <v/>
      </c>
      <c r="J9289" s="215" t="str">
        <f>IF(Table2[[#This Row],[Description]]="","",Table2[[#This Row],[Value]]/Table2[[#This Row],[Conversion]])</f>
        <v/>
      </c>
      <c r="K9289" s="45" t="str">
        <f>IF(Table2[[#This Row],[Description]]="","",DATE(Table2[[#This Row],[Year]],Table2[[#This Row],[Month]],1))</f>
        <v/>
      </c>
    </row>
    <row r="9290" spans="7:11" x14ac:dyDescent="0.25">
      <c r="G9290" s="1" t="str">
        <f>IF(Table2[[#This Row],[Description]]="","",VLOOKUP(Table2[[#This Row],[Description]],$Q$1:$S$101,2,FALSE))</f>
        <v/>
      </c>
      <c r="H9290" s="1" t="str">
        <f>IF(Table2[[#This Row],[Description]]="","",VLOOKUP(Table2[[#This Row],[Description]],$Q$1:$S$101,3,FALSE))</f>
        <v/>
      </c>
      <c r="I9290" s="1" t="str">
        <f>IF(Table2[[#This Row],[Description]]="","",IF(Table2[[#This Row],[Currency]]=$O$2,$P$2,HLOOKUP(Table2[[#This Row],[Date]],Funds!$C$10:$GV$11,2,FALSE)))</f>
        <v/>
      </c>
      <c r="J9290" s="215" t="str">
        <f>IF(Table2[[#This Row],[Description]]="","",Table2[[#This Row],[Value]]/Table2[[#This Row],[Conversion]])</f>
        <v/>
      </c>
      <c r="K9290" s="45" t="str">
        <f>IF(Table2[[#This Row],[Description]]="","",DATE(Table2[[#This Row],[Year]],Table2[[#This Row],[Month]],1))</f>
        <v/>
      </c>
    </row>
    <row r="9291" spans="7:11" x14ac:dyDescent="0.25">
      <c r="G9291" s="1" t="str">
        <f>IF(Table2[[#This Row],[Description]]="","",VLOOKUP(Table2[[#This Row],[Description]],$Q$1:$S$101,2,FALSE))</f>
        <v/>
      </c>
      <c r="H9291" s="1" t="str">
        <f>IF(Table2[[#This Row],[Description]]="","",VLOOKUP(Table2[[#This Row],[Description]],$Q$1:$S$101,3,FALSE))</f>
        <v/>
      </c>
      <c r="I9291" s="1" t="str">
        <f>IF(Table2[[#This Row],[Description]]="","",IF(Table2[[#This Row],[Currency]]=$O$2,$P$2,HLOOKUP(Table2[[#This Row],[Date]],Funds!$C$10:$GV$11,2,FALSE)))</f>
        <v/>
      </c>
      <c r="J9291" s="215" t="str">
        <f>IF(Table2[[#This Row],[Description]]="","",Table2[[#This Row],[Value]]/Table2[[#This Row],[Conversion]])</f>
        <v/>
      </c>
      <c r="K9291" s="45" t="str">
        <f>IF(Table2[[#This Row],[Description]]="","",DATE(Table2[[#This Row],[Year]],Table2[[#This Row],[Month]],1))</f>
        <v/>
      </c>
    </row>
    <row r="9292" spans="7:11" x14ac:dyDescent="0.25">
      <c r="G9292" s="1" t="str">
        <f>IF(Table2[[#This Row],[Description]]="","",VLOOKUP(Table2[[#This Row],[Description]],$Q$1:$S$101,2,FALSE))</f>
        <v/>
      </c>
      <c r="H9292" s="1" t="str">
        <f>IF(Table2[[#This Row],[Description]]="","",VLOOKUP(Table2[[#This Row],[Description]],$Q$1:$S$101,3,FALSE))</f>
        <v/>
      </c>
      <c r="I9292" s="1" t="str">
        <f>IF(Table2[[#This Row],[Description]]="","",IF(Table2[[#This Row],[Currency]]=$O$2,$P$2,HLOOKUP(Table2[[#This Row],[Date]],Funds!$C$10:$GV$11,2,FALSE)))</f>
        <v/>
      </c>
      <c r="J9292" s="215" t="str">
        <f>IF(Table2[[#This Row],[Description]]="","",Table2[[#This Row],[Value]]/Table2[[#This Row],[Conversion]])</f>
        <v/>
      </c>
      <c r="K9292" s="45" t="str">
        <f>IF(Table2[[#This Row],[Description]]="","",DATE(Table2[[#This Row],[Year]],Table2[[#This Row],[Month]],1))</f>
        <v/>
      </c>
    </row>
    <row r="9293" spans="7:11" x14ac:dyDescent="0.25">
      <c r="G9293" s="1" t="str">
        <f>IF(Table2[[#This Row],[Description]]="","",VLOOKUP(Table2[[#This Row],[Description]],$Q$1:$S$101,2,FALSE))</f>
        <v/>
      </c>
      <c r="H9293" s="1" t="str">
        <f>IF(Table2[[#This Row],[Description]]="","",VLOOKUP(Table2[[#This Row],[Description]],$Q$1:$S$101,3,FALSE))</f>
        <v/>
      </c>
      <c r="I9293" s="1" t="str">
        <f>IF(Table2[[#This Row],[Description]]="","",IF(Table2[[#This Row],[Currency]]=$O$2,$P$2,HLOOKUP(Table2[[#This Row],[Date]],Funds!$C$10:$GV$11,2,FALSE)))</f>
        <v/>
      </c>
      <c r="J9293" s="215" t="str">
        <f>IF(Table2[[#This Row],[Description]]="","",Table2[[#This Row],[Value]]/Table2[[#This Row],[Conversion]])</f>
        <v/>
      </c>
      <c r="K9293" s="45" t="str">
        <f>IF(Table2[[#This Row],[Description]]="","",DATE(Table2[[#This Row],[Year]],Table2[[#This Row],[Month]],1))</f>
        <v/>
      </c>
    </row>
    <row r="9294" spans="7:11" x14ac:dyDescent="0.25">
      <c r="G9294" s="1" t="str">
        <f>IF(Table2[[#This Row],[Description]]="","",VLOOKUP(Table2[[#This Row],[Description]],$Q$1:$S$101,2,FALSE))</f>
        <v/>
      </c>
      <c r="H9294" s="1" t="str">
        <f>IF(Table2[[#This Row],[Description]]="","",VLOOKUP(Table2[[#This Row],[Description]],$Q$1:$S$101,3,FALSE))</f>
        <v/>
      </c>
      <c r="I9294" s="1" t="str">
        <f>IF(Table2[[#This Row],[Description]]="","",IF(Table2[[#This Row],[Currency]]=$O$2,$P$2,HLOOKUP(Table2[[#This Row],[Date]],Funds!$C$10:$GV$11,2,FALSE)))</f>
        <v/>
      </c>
      <c r="J9294" s="215" t="str">
        <f>IF(Table2[[#This Row],[Description]]="","",Table2[[#This Row],[Value]]/Table2[[#This Row],[Conversion]])</f>
        <v/>
      </c>
      <c r="K9294" s="45" t="str">
        <f>IF(Table2[[#This Row],[Description]]="","",DATE(Table2[[#This Row],[Year]],Table2[[#This Row],[Month]],1))</f>
        <v/>
      </c>
    </row>
    <row r="9295" spans="7:11" x14ac:dyDescent="0.25">
      <c r="G9295" s="1" t="str">
        <f>IF(Table2[[#This Row],[Description]]="","",VLOOKUP(Table2[[#This Row],[Description]],$Q$1:$S$101,2,FALSE))</f>
        <v/>
      </c>
      <c r="H9295" s="1" t="str">
        <f>IF(Table2[[#This Row],[Description]]="","",VLOOKUP(Table2[[#This Row],[Description]],$Q$1:$S$101,3,FALSE))</f>
        <v/>
      </c>
      <c r="I9295" s="1" t="str">
        <f>IF(Table2[[#This Row],[Description]]="","",IF(Table2[[#This Row],[Currency]]=$O$2,$P$2,HLOOKUP(Table2[[#This Row],[Date]],Funds!$C$10:$GV$11,2,FALSE)))</f>
        <v/>
      </c>
      <c r="J9295" s="215" t="str">
        <f>IF(Table2[[#This Row],[Description]]="","",Table2[[#This Row],[Value]]/Table2[[#This Row],[Conversion]])</f>
        <v/>
      </c>
      <c r="K9295" s="45" t="str">
        <f>IF(Table2[[#This Row],[Description]]="","",DATE(Table2[[#This Row],[Year]],Table2[[#This Row],[Month]],1))</f>
        <v/>
      </c>
    </row>
    <row r="9296" spans="7:11" x14ac:dyDescent="0.25">
      <c r="G9296" s="1" t="str">
        <f>IF(Table2[[#This Row],[Description]]="","",VLOOKUP(Table2[[#This Row],[Description]],$Q$1:$S$101,2,FALSE))</f>
        <v/>
      </c>
      <c r="H9296" s="1" t="str">
        <f>IF(Table2[[#This Row],[Description]]="","",VLOOKUP(Table2[[#This Row],[Description]],$Q$1:$S$101,3,FALSE))</f>
        <v/>
      </c>
      <c r="I9296" s="1" t="str">
        <f>IF(Table2[[#This Row],[Description]]="","",IF(Table2[[#This Row],[Currency]]=$O$2,$P$2,HLOOKUP(Table2[[#This Row],[Date]],Funds!$C$10:$GV$11,2,FALSE)))</f>
        <v/>
      </c>
      <c r="J9296" s="215" t="str">
        <f>IF(Table2[[#This Row],[Description]]="","",Table2[[#This Row],[Value]]/Table2[[#This Row],[Conversion]])</f>
        <v/>
      </c>
      <c r="K9296" s="45" t="str">
        <f>IF(Table2[[#This Row],[Description]]="","",DATE(Table2[[#This Row],[Year]],Table2[[#This Row],[Month]],1))</f>
        <v/>
      </c>
    </row>
    <row r="9297" spans="7:11" x14ac:dyDescent="0.25">
      <c r="G9297" s="1" t="str">
        <f>IF(Table2[[#This Row],[Description]]="","",VLOOKUP(Table2[[#This Row],[Description]],$Q$1:$S$101,2,FALSE))</f>
        <v/>
      </c>
      <c r="H9297" s="1" t="str">
        <f>IF(Table2[[#This Row],[Description]]="","",VLOOKUP(Table2[[#This Row],[Description]],$Q$1:$S$101,3,FALSE))</f>
        <v/>
      </c>
      <c r="I9297" s="1" t="str">
        <f>IF(Table2[[#This Row],[Description]]="","",IF(Table2[[#This Row],[Currency]]=$O$2,$P$2,HLOOKUP(Table2[[#This Row],[Date]],Funds!$C$10:$GV$11,2,FALSE)))</f>
        <v/>
      </c>
      <c r="J9297" s="215" t="str">
        <f>IF(Table2[[#This Row],[Description]]="","",Table2[[#This Row],[Value]]/Table2[[#This Row],[Conversion]])</f>
        <v/>
      </c>
      <c r="K9297" s="45" t="str">
        <f>IF(Table2[[#This Row],[Description]]="","",DATE(Table2[[#This Row],[Year]],Table2[[#This Row],[Month]],1))</f>
        <v/>
      </c>
    </row>
    <row r="9298" spans="7:11" x14ac:dyDescent="0.25">
      <c r="G9298" s="1" t="str">
        <f>IF(Table2[[#This Row],[Description]]="","",VLOOKUP(Table2[[#This Row],[Description]],$Q$1:$S$101,2,FALSE))</f>
        <v/>
      </c>
      <c r="H9298" s="1" t="str">
        <f>IF(Table2[[#This Row],[Description]]="","",VLOOKUP(Table2[[#This Row],[Description]],$Q$1:$S$101,3,FALSE))</f>
        <v/>
      </c>
      <c r="I9298" s="1" t="str">
        <f>IF(Table2[[#This Row],[Description]]="","",IF(Table2[[#This Row],[Currency]]=$O$2,$P$2,HLOOKUP(Table2[[#This Row],[Date]],Funds!$C$10:$GV$11,2,FALSE)))</f>
        <v/>
      </c>
      <c r="J9298" s="215" t="str">
        <f>IF(Table2[[#This Row],[Description]]="","",Table2[[#This Row],[Value]]/Table2[[#This Row],[Conversion]])</f>
        <v/>
      </c>
      <c r="K9298" s="45" t="str">
        <f>IF(Table2[[#This Row],[Description]]="","",DATE(Table2[[#This Row],[Year]],Table2[[#This Row],[Month]],1))</f>
        <v/>
      </c>
    </row>
    <row r="9299" spans="7:11" x14ac:dyDescent="0.25">
      <c r="G9299" s="1" t="str">
        <f>IF(Table2[[#This Row],[Description]]="","",VLOOKUP(Table2[[#This Row],[Description]],$Q$1:$S$101,2,FALSE))</f>
        <v/>
      </c>
      <c r="H9299" s="1" t="str">
        <f>IF(Table2[[#This Row],[Description]]="","",VLOOKUP(Table2[[#This Row],[Description]],$Q$1:$S$101,3,FALSE))</f>
        <v/>
      </c>
      <c r="I9299" s="1" t="str">
        <f>IF(Table2[[#This Row],[Description]]="","",IF(Table2[[#This Row],[Currency]]=$O$2,$P$2,HLOOKUP(Table2[[#This Row],[Date]],Funds!$C$10:$GV$11,2,FALSE)))</f>
        <v/>
      </c>
      <c r="J9299" s="215" t="str">
        <f>IF(Table2[[#This Row],[Description]]="","",Table2[[#This Row],[Value]]/Table2[[#This Row],[Conversion]])</f>
        <v/>
      </c>
      <c r="K9299" s="45" t="str">
        <f>IF(Table2[[#This Row],[Description]]="","",DATE(Table2[[#This Row],[Year]],Table2[[#This Row],[Month]],1))</f>
        <v/>
      </c>
    </row>
    <row r="9300" spans="7:11" x14ac:dyDescent="0.25">
      <c r="G9300" s="1" t="str">
        <f>IF(Table2[[#This Row],[Description]]="","",VLOOKUP(Table2[[#This Row],[Description]],$Q$1:$S$101,2,FALSE))</f>
        <v/>
      </c>
      <c r="H9300" s="1" t="str">
        <f>IF(Table2[[#This Row],[Description]]="","",VLOOKUP(Table2[[#This Row],[Description]],$Q$1:$S$101,3,FALSE))</f>
        <v/>
      </c>
      <c r="I9300" s="1" t="str">
        <f>IF(Table2[[#This Row],[Description]]="","",IF(Table2[[#This Row],[Currency]]=$O$2,$P$2,HLOOKUP(Table2[[#This Row],[Date]],Funds!$C$10:$GV$11,2,FALSE)))</f>
        <v/>
      </c>
      <c r="J9300" s="215" t="str">
        <f>IF(Table2[[#This Row],[Description]]="","",Table2[[#This Row],[Value]]/Table2[[#This Row],[Conversion]])</f>
        <v/>
      </c>
      <c r="K9300" s="45" t="str">
        <f>IF(Table2[[#This Row],[Description]]="","",DATE(Table2[[#This Row],[Year]],Table2[[#This Row],[Month]],1))</f>
        <v/>
      </c>
    </row>
    <row r="9301" spans="7:11" x14ac:dyDescent="0.25">
      <c r="G9301" s="1" t="str">
        <f>IF(Table2[[#This Row],[Description]]="","",VLOOKUP(Table2[[#This Row],[Description]],$Q$1:$S$101,2,FALSE))</f>
        <v/>
      </c>
      <c r="H9301" s="1" t="str">
        <f>IF(Table2[[#This Row],[Description]]="","",VLOOKUP(Table2[[#This Row],[Description]],$Q$1:$S$101,3,FALSE))</f>
        <v/>
      </c>
      <c r="I9301" s="1" t="str">
        <f>IF(Table2[[#This Row],[Description]]="","",IF(Table2[[#This Row],[Currency]]=$O$2,$P$2,HLOOKUP(Table2[[#This Row],[Date]],Funds!$C$10:$GV$11,2,FALSE)))</f>
        <v/>
      </c>
      <c r="J9301" s="215" t="str">
        <f>IF(Table2[[#This Row],[Description]]="","",Table2[[#This Row],[Value]]/Table2[[#This Row],[Conversion]])</f>
        <v/>
      </c>
      <c r="K9301" s="45" t="str">
        <f>IF(Table2[[#This Row],[Description]]="","",DATE(Table2[[#This Row],[Year]],Table2[[#This Row],[Month]],1))</f>
        <v/>
      </c>
    </row>
    <row r="9302" spans="7:11" x14ac:dyDescent="0.25">
      <c r="G9302" s="1" t="str">
        <f>IF(Table2[[#This Row],[Description]]="","",VLOOKUP(Table2[[#This Row],[Description]],$Q$1:$S$101,2,FALSE))</f>
        <v/>
      </c>
      <c r="H9302" s="1" t="str">
        <f>IF(Table2[[#This Row],[Description]]="","",VLOOKUP(Table2[[#This Row],[Description]],$Q$1:$S$101,3,FALSE))</f>
        <v/>
      </c>
      <c r="I9302" s="1" t="str">
        <f>IF(Table2[[#This Row],[Description]]="","",IF(Table2[[#This Row],[Currency]]=$O$2,$P$2,HLOOKUP(Table2[[#This Row],[Date]],Funds!$C$10:$GV$11,2,FALSE)))</f>
        <v/>
      </c>
      <c r="J9302" s="215" t="str">
        <f>IF(Table2[[#This Row],[Description]]="","",Table2[[#This Row],[Value]]/Table2[[#This Row],[Conversion]])</f>
        <v/>
      </c>
      <c r="K9302" s="45" t="str">
        <f>IF(Table2[[#This Row],[Description]]="","",DATE(Table2[[#This Row],[Year]],Table2[[#This Row],[Month]],1))</f>
        <v/>
      </c>
    </row>
    <row r="9303" spans="7:11" x14ac:dyDescent="0.25">
      <c r="G9303" s="1" t="str">
        <f>IF(Table2[[#This Row],[Description]]="","",VLOOKUP(Table2[[#This Row],[Description]],$Q$1:$S$101,2,FALSE))</f>
        <v/>
      </c>
      <c r="H9303" s="1" t="str">
        <f>IF(Table2[[#This Row],[Description]]="","",VLOOKUP(Table2[[#This Row],[Description]],$Q$1:$S$101,3,FALSE))</f>
        <v/>
      </c>
      <c r="I9303" s="1" t="str">
        <f>IF(Table2[[#This Row],[Description]]="","",IF(Table2[[#This Row],[Currency]]=$O$2,$P$2,HLOOKUP(Table2[[#This Row],[Date]],Funds!$C$10:$GV$11,2,FALSE)))</f>
        <v/>
      </c>
      <c r="J9303" s="215" t="str">
        <f>IF(Table2[[#This Row],[Description]]="","",Table2[[#This Row],[Value]]/Table2[[#This Row],[Conversion]])</f>
        <v/>
      </c>
      <c r="K9303" s="45" t="str">
        <f>IF(Table2[[#This Row],[Description]]="","",DATE(Table2[[#This Row],[Year]],Table2[[#This Row],[Month]],1))</f>
        <v/>
      </c>
    </row>
    <row r="9304" spans="7:11" x14ac:dyDescent="0.25">
      <c r="G9304" s="1" t="str">
        <f>IF(Table2[[#This Row],[Description]]="","",VLOOKUP(Table2[[#This Row],[Description]],$Q$1:$S$101,2,FALSE))</f>
        <v/>
      </c>
      <c r="H9304" s="1" t="str">
        <f>IF(Table2[[#This Row],[Description]]="","",VLOOKUP(Table2[[#This Row],[Description]],$Q$1:$S$101,3,FALSE))</f>
        <v/>
      </c>
      <c r="I9304" s="1" t="str">
        <f>IF(Table2[[#This Row],[Description]]="","",IF(Table2[[#This Row],[Currency]]=$O$2,$P$2,HLOOKUP(Table2[[#This Row],[Date]],Funds!$C$10:$GV$11,2,FALSE)))</f>
        <v/>
      </c>
      <c r="J9304" s="215" t="str">
        <f>IF(Table2[[#This Row],[Description]]="","",Table2[[#This Row],[Value]]/Table2[[#This Row],[Conversion]])</f>
        <v/>
      </c>
      <c r="K9304" s="45" t="str">
        <f>IF(Table2[[#This Row],[Description]]="","",DATE(Table2[[#This Row],[Year]],Table2[[#This Row],[Month]],1))</f>
        <v/>
      </c>
    </row>
    <row r="9305" spans="7:11" x14ac:dyDescent="0.25">
      <c r="G9305" s="1" t="str">
        <f>IF(Table2[[#This Row],[Description]]="","",VLOOKUP(Table2[[#This Row],[Description]],$Q$1:$S$101,2,FALSE))</f>
        <v/>
      </c>
      <c r="H9305" s="1" t="str">
        <f>IF(Table2[[#This Row],[Description]]="","",VLOOKUP(Table2[[#This Row],[Description]],$Q$1:$S$101,3,FALSE))</f>
        <v/>
      </c>
      <c r="I9305" s="1" t="str">
        <f>IF(Table2[[#This Row],[Description]]="","",IF(Table2[[#This Row],[Currency]]=$O$2,$P$2,HLOOKUP(Table2[[#This Row],[Date]],Funds!$C$10:$GV$11,2,FALSE)))</f>
        <v/>
      </c>
      <c r="J9305" s="215" t="str">
        <f>IF(Table2[[#This Row],[Description]]="","",Table2[[#This Row],[Value]]/Table2[[#This Row],[Conversion]])</f>
        <v/>
      </c>
      <c r="K9305" s="45" t="str">
        <f>IF(Table2[[#This Row],[Description]]="","",DATE(Table2[[#This Row],[Year]],Table2[[#This Row],[Month]],1))</f>
        <v/>
      </c>
    </row>
    <row r="9306" spans="7:11" x14ac:dyDescent="0.25">
      <c r="G9306" s="1" t="str">
        <f>IF(Table2[[#This Row],[Description]]="","",VLOOKUP(Table2[[#This Row],[Description]],$Q$1:$S$101,2,FALSE))</f>
        <v/>
      </c>
      <c r="H9306" s="1" t="str">
        <f>IF(Table2[[#This Row],[Description]]="","",VLOOKUP(Table2[[#This Row],[Description]],$Q$1:$S$101,3,FALSE))</f>
        <v/>
      </c>
      <c r="I9306" s="1" t="str">
        <f>IF(Table2[[#This Row],[Description]]="","",IF(Table2[[#This Row],[Currency]]=$O$2,$P$2,HLOOKUP(Table2[[#This Row],[Date]],Funds!$C$10:$GV$11,2,FALSE)))</f>
        <v/>
      </c>
      <c r="J9306" s="215" t="str">
        <f>IF(Table2[[#This Row],[Description]]="","",Table2[[#This Row],[Value]]/Table2[[#This Row],[Conversion]])</f>
        <v/>
      </c>
      <c r="K9306" s="45" t="str">
        <f>IF(Table2[[#This Row],[Description]]="","",DATE(Table2[[#This Row],[Year]],Table2[[#This Row],[Month]],1))</f>
        <v/>
      </c>
    </row>
    <row r="9307" spans="7:11" x14ac:dyDescent="0.25">
      <c r="G9307" s="1" t="str">
        <f>IF(Table2[[#This Row],[Description]]="","",VLOOKUP(Table2[[#This Row],[Description]],$Q$1:$S$101,2,FALSE))</f>
        <v/>
      </c>
      <c r="H9307" s="1" t="str">
        <f>IF(Table2[[#This Row],[Description]]="","",VLOOKUP(Table2[[#This Row],[Description]],$Q$1:$S$101,3,FALSE))</f>
        <v/>
      </c>
      <c r="I9307" s="1" t="str">
        <f>IF(Table2[[#This Row],[Description]]="","",IF(Table2[[#This Row],[Currency]]=$O$2,$P$2,HLOOKUP(Table2[[#This Row],[Date]],Funds!$C$10:$GV$11,2,FALSE)))</f>
        <v/>
      </c>
      <c r="J9307" s="215" t="str">
        <f>IF(Table2[[#This Row],[Description]]="","",Table2[[#This Row],[Value]]/Table2[[#This Row],[Conversion]])</f>
        <v/>
      </c>
      <c r="K9307" s="45" t="str">
        <f>IF(Table2[[#This Row],[Description]]="","",DATE(Table2[[#This Row],[Year]],Table2[[#This Row],[Month]],1))</f>
        <v/>
      </c>
    </row>
    <row r="9308" spans="7:11" x14ac:dyDescent="0.25">
      <c r="G9308" s="1" t="str">
        <f>IF(Table2[[#This Row],[Description]]="","",VLOOKUP(Table2[[#This Row],[Description]],$Q$1:$S$101,2,FALSE))</f>
        <v/>
      </c>
      <c r="H9308" s="1" t="str">
        <f>IF(Table2[[#This Row],[Description]]="","",VLOOKUP(Table2[[#This Row],[Description]],$Q$1:$S$101,3,FALSE))</f>
        <v/>
      </c>
      <c r="I9308" s="1" t="str">
        <f>IF(Table2[[#This Row],[Description]]="","",IF(Table2[[#This Row],[Currency]]=$O$2,$P$2,HLOOKUP(Table2[[#This Row],[Date]],Funds!$C$10:$GV$11,2,FALSE)))</f>
        <v/>
      </c>
      <c r="J9308" s="215" t="str">
        <f>IF(Table2[[#This Row],[Description]]="","",Table2[[#This Row],[Value]]/Table2[[#This Row],[Conversion]])</f>
        <v/>
      </c>
      <c r="K9308" s="45" t="str">
        <f>IF(Table2[[#This Row],[Description]]="","",DATE(Table2[[#This Row],[Year]],Table2[[#This Row],[Month]],1))</f>
        <v/>
      </c>
    </row>
    <row r="9309" spans="7:11" x14ac:dyDescent="0.25">
      <c r="G9309" s="1" t="str">
        <f>IF(Table2[[#This Row],[Description]]="","",VLOOKUP(Table2[[#This Row],[Description]],$Q$1:$S$101,2,FALSE))</f>
        <v/>
      </c>
      <c r="H9309" s="1" t="str">
        <f>IF(Table2[[#This Row],[Description]]="","",VLOOKUP(Table2[[#This Row],[Description]],$Q$1:$S$101,3,FALSE))</f>
        <v/>
      </c>
      <c r="I9309" s="1" t="str">
        <f>IF(Table2[[#This Row],[Description]]="","",IF(Table2[[#This Row],[Currency]]=$O$2,$P$2,HLOOKUP(Table2[[#This Row],[Date]],Funds!$C$10:$GV$11,2,FALSE)))</f>
        <v/>
      </c>
      <c r="J9309" s="215" t="str">
        <f>IF(Table2[[#This Row],[Description]]="","",Table2[[#This Row],[Value]]/Table2[[#This Row],[Conversion]])</f>
        <v/>
      </c>
      <c r="K9309" s="45" t="str">
        <f>IF(Table2[[#This Row],[Description]]="","",DATE(Table2[[#This Row],[Year]],Table2[[#This Row],[Month]],1))</f>
        <v/>
      </c>
    </row>
    <row r="9310" spans="7:11" x14ac:dyDescent="0.25">
      <c r="G9310" s="1" t="str">
        <f>IF(Table2[[#This Row],[Description]]="","",VLOOKUP(Table2[[#This Row],[Description]],$Q$1:$S$101,2,FALSE))</f>
        <v/>
      </c>
      <c r="H9310" s="1" t="str">
        <f>IF(Table2[[#This Row],[Description]]="","",VLOOKUP(Table2[[#This Row],[Description]],$Q$1:$S$101,3,FALSE))</f>
        <v/>
      </c>
      <c r="I9310" s="1" t="str">
        <f>IF(Table2[[#This Row],[Description]]="","",IF(Table2[[#This Row],[Currency]]=$O$2,$P$2,HLOOKUP(Table2[[#This Row],[Date]],Funds!$C$10:$GV$11,2,FALSE)))</f>
        <v/>
      </c>
      <c r="J9310" s="215" t="str">
        <f>IF(Table2[[#This Row],[Description]]="","",Table2[[#This Row],[Value]]/Table2[[#This Row],[Conversion]])</f>
        <v/>
      </c>
      <c r="K9310" s="45" t="str">
        <f>IF(Table2[[#This Row],[Description]]="","",DATE(Table2[[#This Row],[Year]],Table2[[#This Row],[Month]],1))</f>
        <v/>
      </c>
    </row>
    <row r="9311" spans="7:11" x14ac:dyDescent="0.25">
      <c r="G9311" s="1" t="str">
        <f>IF(Table2[[#This Row],[Description]]="","",VLOOKUP(Table2[[#This Row],[Description]],$Q$1:$S$101,2,FALSE))</f>
        <v/>
      </c>
      <c r="H9311" s="1" t="str">
        <f>IF(Table2[[#This Row],[Description]]="","",VLOOKUP(Table2[[#This Row],[Description]],$Q$1:$S$101,3,FALSE))</f>
        <v/>
      </c>
      <c r="I9311" s="1" t="str">
        <f>IF(Table2[[#This Row],[Description]]="","",IF(Table2[[#This Row],[Currency]]=$O$2,$P$2,HLOOKUP(Table2[[#This Row],[Date]],Funds!$C$10:$GV$11,2,FALSE)))</f>
        <v/>
      </c>
      <c r="J9311" s="215" t="str">
        <f>IF(Table2[[#This Row],[Description]]="","",Table2[[#This Row],[Value]]/Table2[[#This Row],[Conversion]])</f>
        <v/>
      </c>
      <c r="K9311" s="45" t="str">
        <f>IF(Table2[[#This Row],[Description]]="","",DATE(Table2[[#This Row],[Year]],Table2[[#This Row],[Month]],1))</f>
        <v/>
      </c>
    </row>
    <row r="9312" spans="7:11" x14ac:dyDescent="0.25">
      <c r="G9312" s="1" t="str">
        <f>IF(Table2[[#This Row],[Description]]="","",VLOOKUP(Table2[[#This Row],[Description]],$Q$1:$S$101,2,FALSE))</f>
        <v/>
      </c>
      <c r="H9312" s="1" t="str">
        <f>IF(Table2[[#This Row],[Description]]="","",VLOOKUP(Table2[[#This Row],[Description]],$Q$1:$S$101,3,FALSE))</f>
        <v/>
      </c>
      <c r="I9312" s="1" t="str">
        <f>IF(Table2[[#This Row],[Description]]="","",IF(Table2[[#This Row],[Currency]]=$O$2,$P$2,HLOOKUP(Table2[[#This Row],[Date]],Funds!$C$10:$GV$11,2,FALSE)))</f>
        <v/>
      </c>
      <c r="J9312" s="215" t="str">
        <f>IF(Table2[[#This Row],[Description]]="","",Table2[[#This Row],[Value]]/Table2[[#This Row],[Conversion]])</f>
        <v/>
      </c>
      <c r="K9312" s="45" t="str">
        <f>IF(Table2[[#This Row],[Description]]="","",DATE(Table2[[#This Row],[Year]],Table2[[#This Row],[Month]],1))</f>
        <v/>
      </c>
    </row>
    <row r="9313" spans="7:11" x14ac:dyDescent="0.25">
      <c r="G9313" s="1" t="str">
        <f>IF(Table2[[#This Row],[Description]]="","",VLOOKUP(Table2[[#This Row],[Description]],$Q$1:$S$101,2,FALSE))</f>
        <v/>
      </c>
      <c r="H9313" s="1" t="str">
        <f>IF(Table2[[#This Row],[Description]]="","",VLOOKUP(Table2[[#This Row],[Description]],$Q$1:$S$101,3,FALSE))</f>
        <v/>
      </c>
      <c r="I9313" s="1" t="str">
        <f>IF(Table2[[#This Row],[Description]]="","",IF(Table2[[#This Row],[Currency]]=$O$2,$P$2,HLOOKUP(Table2[[#This Row],[Date]],Funds!$C$10:$GV$11,2,FALSE)))</f>
        <v/>
      </c>
      <c r="J9313" s="215" t="str">
        <f>IF(Table2[[#This Row],[Description]]="","",Table2[[#This Row],[Value]]/Table2[[#This Row],[Conversion]])</f>
        <v/>
      </c>
      <c r="K9313" s="45" t="str">
        <f>IF(Table2[[#This Row],[Description]]="","",DATE(Table2[[#This Row],[Year]],Table2[[#This Row],[Month]],1))</f>
        <v/>
      </c>
    </row>
    <row r="9314" spans="7:11" x14ac:dyDescent="0.25">
      <c r="G9314" s="1" t="str">
        <f>IF(Table2[[#This Row],[Description]]="","",VLOOKUP(Table2[[#This Row],[Description]],$Q$1:$S$101,2,FALSE))</f>
        <v/>
      </c>
      <c r="H9314" s="1" t="str">
        <f>IF(Table2[[#This Row],[Description]]="","",VLOOKUP(Table2[[#This Row],[Description]],$Q$1:$S$101,3,FALSE))</f>
        <v/>
      </c>
      <c r="I9314" s="1" t="str">
        <f>IF(Table2[[#This Row],[Description]]="","",IF(Table2[[#This Row],[Currency]]=$O$2,$P$2,HLOOKUP(Table2[[#This Row],[Date]],Funds!$C$10:$GV$11,2,FALSE)))</f>
        <v/>
      </c>
      <c r="J9314" s="215" t="str">
        <f>IF(Table2[[#This Row],[Description]]="","",Table2[[#This Row],[Value]]/Table2[[#This Row],[Conversion]])</f>
        <v/>
      </c>
      <c r="K9314" s="45" t="str">
        <f>IF(Table2[[#This Row],[Description]]="","",DATE(Table2[[#This Row],[Year]],Table2[[#This Row],[Month]],1))</f>
        <v/>
      </c>
    </row>
    <row r="9315" spans="7:11" x14ac:dyDescent="0.25">
      <c r="G9315" s="1" t="str">
        <f>IF(Table2[[#This Row],[Description]]="","",VLOOKUP(Table2[[#This Row],[Description]],$Q$1:$S$101,2,FALSE))</f>
        <v/>
      </c>
      <c r="H9315" s="1" t="str">
        <f>IF(Table2[[#This Row],[Description]]="","",VLOOKUP(Table2[[#This Row],[Description]],$Q$1:$S$101,3,FALSE))</f>
        <v/>
      </c>
      <c r="I9315" s="1" t="str">
        <f>IF(Table2[[#This Row],[Description]]="","",IF(Table2[[#This Row],[Currency]]=$O$2,$P$2,HLOOKUP(Table2[[#This Row],[Date]],Funds!$C$10:$GV$11,2,FALSE)))</f>
        <v/>
      </c>
      <c r="J9315" s="215" t="str">
        <f>IF(Table2[[#This Row],[Description]]="","",Table2[[#This Row],[Value]]/Table2[[#This Row],[Conversion]])</f>
        <v/>
      </c>
      <c r="K9315" s="45" t="str">
        <f>IF(Table2[[#This Row],[Description]]="","",DATE(Table2[[#This Row],[Year]],Table2[[#This Row],[Month]],1))</f>
        <v/>
      </c>
    </row>
    <row r="9316" spans="7:11" x14ac:dyDescent="0.25">
      <c r="G9316" s="1" t="str">
        <f>IF(Table2[[#This Row],[Description]]="","",VLOOKUP(Table2[[#This Row],[Description]],$Q$1:$S$101,2,FALSE))</f>
        <v/>
      </c>
      <c r="H9316" s="1" t="str">
        <f>IF(Table2[[#This Row],[Description]]="","",VLOOKUP(Table2[[#This Row],[Description]],$Q$1:$S$101,3,FALSE))</f>
        <v/>
      </c>
      <c r="I9316" s="1" t="str">
        <f>IF(Table2[[#This Row],[Description]]="","",IF(Table2[[#This Row],[Currency]]=$O$2,$P$2,HLOOKUP(Table2[[#This Row],[Date]],Funds!$C$10:$GV$11,2,FALSE)))</f>
        <v/>
      </c>
      <c r="J9316" s="215" t="str">
        <f>IF(Table2[[#This Row],[Description]]="","",Table2[[#This Row],[Value]]/Table2[[#This Row],[Conversion]])</f>
        <v/>
      </c>
      <c r="K9316" s="45" t="str">
        <f>IF(Table2[[#This Row],[Description]]="","",DATE(Table2[[#This Row],[Year]],Table2[[#This Row],[Month]],1))</f>
        <v/>
      </c>
    </row>
    <row r="9317" spans="7:11" x14ac:dyDescent="0.25">
      <c r="G9317" s="1" t="str">
        <f>IF(Table2[[#This Row],[Description]]="","",VLOOKUP(Table2[[#This Row],[Description]],$Q$1:$S$101,2,FALSE))</f>
        <v/>
      </c>
      <c r="H9317" s="1" t="str">
        <f>IF(Table2[[#This Row],[Description]]="","",VLOOKUP(Table2[[#This Row],[Description]],$Q$1:$S$101,3,FALSE))</f>
        <v/>
      </c>
      <c r="I9317" s="1" t="str">
        <f>IF(Table2[[#This Row],[Description]]="","",IF(Table2[[#This Row],[Currency]]=$O$2,$P$2,HLOOKUP(Table2[[#This Row],[Date]],Funds!$C$10:$GV$11,2,FALSE)))</f>
        <v/>
      </c>
      <c r="J9317" s="215" t="str">
        <f>IF(Table2[[#This Row],[Description]]="","",Table2[[#This Row],[Value]]/Table2[[#This Row],[Conversion]])</f>
        <v/>
      </c>
      <c r="K9317" s="45" t="str">
        <f>IF(Table2[[#This Row],[Description]]="","",DATE(Table2[[#This Row],[Year]],Table2[[#This Row],[Month]],1))</f>
        <v/>
      </c>
    </row>
    <row r="9318" spans="7:11" x14ac:dyDescent="0.25">
      <c r="G9318" s="1" t="str">
        <f>IF(Table2[[#This Row],[Description]]="","",VLOOKUP(Table2[[#This Row],[Description]],$Q$1:$S$101,2,FALSE))</f>
        <v/>
      </c>
      <c r="H9318" s="1" t="str">
        <f>IF(Table2[[#This Row],[Description]]="","",VLOOKUP(Table2[[#This Row],[Description]],$Q$1:$S$101,3,FALSE))</f>
        <v/>
      </c>
      <c r="I9318" s="1" t="str">
        <f>IF(Table2[[#This Row],[Description]]="","",IF(Table2[[#This Row],[Currency]]=$O$2,$P$2,HLOOKUP(Table2[[#This Row],[Date]],Funds!$C$10:$GV$11,2,FALSE)))</f>
        <v/>
      </c>
      <c r="J9318" s="215" t="str">
        <f>IF(Table2[[#This Row],[Description]]="","",Table2[[#This Row],[Value]]/Table2[[#This Row],[Conversion]])</f>
        <v/>
      </c>
      <c r="K9318" s="45" t="str">
        <f>IF(Table2[[#This Row],[Description]]="","",DATE(Table2[[#This Row],[Year]],Table2[[#This Row],[Month]],1))</f>
        <v/>
      </c>
    </row>
    <row r="9319" spans="7:11" x14ac:dyDescent="0.25">
      <c r="G9319" s="1" t="str">
        <f>IF(Table2[[#This Row],[Description]]="","",VLOOKUP(Table2[[#This Row],[Description]],$Q$1:$S$101,2,FALSE))</f>
        <v/>
      </c>
      <c r="H9319" s="1" t="str">
        <f>IF(Table2[[#This Row],[Description]]="","",VLOOKUP(Table2[[#This Row],[Description]],$Q$1:$S$101,3,FALSE))</f>
        <v/>
      </c>
      <c r="I9319" s="1" t="str">
        <f>IF(Table2[[#This Row],[Description]]="","",IF(Table2[[#This Row],[Currency]]=$O$2,$P$2,HLOOKUP(Table2[[#This Row],[Date]],Funds!$C$10:$GV$11,2,FALSE)))</f>
        <v/>
      </c>
      <c r="J9319" s="215" t="str">
        <f>IF(Table2[[#This Row],[Description]]="","",Table2[[#This Row],[Value]]/Table2[[#This Row],[Conversion]])</f>
        <v/>
      </c>
      <c r="K9319" s="45" t="str">
        <f>IF(Table2[[#This Row],[Description]]="","",DATE(Table2[[#This Row],[Year]],Table2[[#This Row],[Month]],1))</f>
        <v/>
      </c>
    </row>
    <row r="9320" spans="7:11" x14ac:dyDescent="0.25">
      <c r="G9320" s="1" t="str">
        <f>IF(Table2[[#This Row],[Description]]="","",VLOOKUP(Table2[[#This Row],[Description]],$Q$1:$S$101,2,FALSE))</f>
        <v/>
      </c>
      <c r="H9320" s="1" t="str">
        <f>IF(Table2[[#This Row],[Description]]="","",VLOOKUP(Table2[[#This Row],[Description]],$Q$1:$S$101,3,FALSE))</f>
        <v/>
      </c>
      <c r="I9320" s="1" t="str">
        <f>IF(Table2[[#This Row],[Description]]="","",IF(Table2[[#This Row],[Currency]]=$O$2,$P$2,HLOOKUP(Table2[[#This Row],[Date]],Funds!$C$10:$GV$11,2,FALSE)))</f>
        <v/>
      </c>
      <c r="J9320" s="215" t="str">
        <f>IF(Table2[[#This Row],[Description]]="","",Table2[[#This Row],[Value]]/Table2[[#This Row],[Conversion]])</f>
        <v/>
      </c>
      <c r="K9320" s="45" t="str">
        <f>IF(Table2[[#This Row],[Description]]="","",DATE(Table2[[#This Row],[Year]],Table2[[#This Row],[Month]],1))</f>
        <v/>
      </c>
    </row>
    <row r="9321" spans="7:11" x14ac:dyDescent="0.25">
      <c r="G9321" s="1" t="str">
        <f>IF(Table2[[#This Row],[Description]]="","",VLOOKUP(Table2[[#This Row],[Description]],$Q$1:$S$101,2,FALSE))</f>
        <v/>
      </c>
      <c r="H9321" s="1" t="str">
        <f>IF(Table2[[#This Row],[Description]]="","",VLOOKUP(Table2[[#This Row],[Description]],$Q$1:$S$101,3,FALSE))</f>
        <v/>
      </c>
      <c r="I9321" s="1" t="str">
        <f>IF(Table2[[#This Row],[Description]]="","",IF(Table2[[#This Row],[Currency]]=$O$2,$P$2,HLOOKUP(Table2[[#This Row],[Date]],Funds!$C$10:$GV$11,2,FALSE)))</f>
        <v/>
      </c>
      <c r="J9321" s="215" t="str">
        <f>IF(Table2[[#This Row],[Description]]="","",Table2[[#This Row],[Value]]/Table2[[#This Row],[Conversion]])</f>
        <v/>
      </c>
      <c r="K9321" s="45" t="str">
        <f>IF(Table2[[#This Row],[Description]]="","",DATE(Table2[[#This Row],[Year]],Table2[[#This Row],[Month]],1))</f>
        <v/>
      </c>
    </row>
    <row r="9322" spans="7:11" x14ac:dyDescent="0.25">
      <c r="G9322" s="1" t="str">
        <f>IF(Table2[[#This Row],[Description]]="","",VLOOKUP(Table2[[#This Row],[Description]],$Q$1:$S$101,2,FALSE))</f>
        <v/>
      </c>
      <c r="H9322" s="1" t="str">
        <f>IF(Table2[[#This Row],[Description]]="","",VLOOKUP(Table2[[#This Row],[Description]],$Q$1:$S$101,3,FALSE))</f>
        <v/>
      </c>
      <c r="I9322" s="1" t="str">
        <f>IF(Table2[[#This Row],[Description]]="","",IF(Table2[[#This Row],[Currency]]=$O$2,$P$2,HLOOKUP(Table2[[#This Row],[Date]],Funds!$C$10:$GV$11,2,FALSE)))</f>
        <v/>
      </c>
      <c r="J9322" s="215" t="str">
        <f>IF(Table2[[#This Row],[Description]]="","",Table2[[#This Row],[Value]]/Table2[[#This Row],[Conversion]])</f>
        <v/>
      </c>
      <c r="K9322" s="45" t="str">
        <f>IF(Table2[[#This Row],[Description]]="","",DATE(Table2[[#This Row],[Year]],Table2[[#This Row],[Month]],1))</f>
        <v/>
      </c>
    </row>
    <row r="9323" spans="7:11" x14ac:dyDescent="0.25">
      <c r="G9323" s="1" t="str">
        <f>IF(Table2[[#This Row],[Description]]="","",VLOOKUP(Table2[[#This Row],[Description]],$Q$1:$S$101,2,FALSE))</f>
        <v/>
      </c>
      <c r="H9323" s="1" t="str">
        <f>IF(Table2[[#This Row],[Description]]="","",VLOOKUP(Table2[[#This Row],[Description]],$Q$1:$S$101,3,FALSE))</f>
        <v/>
      </c>
      <c r="I9323" s="1" t="str">
        <f>IF(Table2[[#This Row],[Description]]="","",IF(Table2[[#This Row],[Currency]]=$O$2,$P$2,HLOOKUP(Table2[[#This Row],[Date]],Funds!$C$10:$GV$11,2,FALSE)))</f>
        <v/>
      </c>
      <c r="J9323" s="215" t="str">
        <f>IF(Table2[[#This Row],[Description]]="","",Table2[[#This Row],[Value]]/Table2[[#This Row],[Conversion]])</f>
        <v/>
      </c>
      <c r="K9323" s="45" t="str">
        <f>IF(Table2[[#This Row],[Description]]="","",DATE(Table2[[#This Row],[Year]],Table2[[#This Row],[Month]],1))</f>
        <v/>
      </c>
    </row>
    <row r="9324" spans="7:11" x14ac:dyDescent="0.25">
      <c r="G9324" s="1" t="str">
        <f>IF(Table2[[#This Row],[Description]]="","",VLOOKUP(Table2[[#This Row],[Description]],$Q$1:$S$101,2,FALSE))</f>
        <v/>
      </c>
      <c r="H9324" s="1" t="str">
        <f>IF(Table2[[#This Row],[Description]]="","",VLOOKUP(Table2[[#This Row],[Description]],$Q$1:$S$101,3,FALSE))</f>
        <v/>
      </c>
      <c r="I9324" s="1" t="str">
        <f>IF(Table2[[#This Row],[Description]]="","",IF(Table2[[#This Row],[Currency]]=$O$2,$P$2,HLOOKUP(Table2[[#This Row],[Date]],Funds!$C$10:$GV$11,2,FALSE)))</f>
        <v/>
      </c>
      <c r="J9324" s="215" t="str">
        <f>IF(Table2[[#This Row],[Description]]="","",Table2[[#This Row],[Value]]/Table2[[#This Row],[Conversion]])</f>
        <v/>
      </c>
      <c r="K9324" s="45" t="str">
        <f>IF(Table2[[#This Row],[Description]]="","",DATE(Table2[[#This Row],[Year]],Table2[[#This Row],[Month]],1))</f>
        <v/>
      </c>
    </row>
    <row r="9325" spans="7:11" x14ac:dyDescent="0.25">
      <c r="G9325" s="1" t="str">
        <f>IF(Table2[[#This Row],[Description]]="","",VLOOKUP(Table2[[#This Row],[Description]],$Q$1:$S$101,2,FALSE))</f>
        <v/>
      </c>
      <c r="H9325" s="1" t="str">
        <f>IF(Table2[[#This Row],[Description]]="","",VLOOKUP(Table2[[#This Row],[Description]],$Q$1:$S$101,3,FALSE))</f>
        <v/>
      </c>
      <c r="I9325" s="1" t="str">
        <f>IF(Table2[[#This Row],[Description]]="","",IF(Table2[[#This Row],[Currency]]=$O$2,$P$2,HLOOKUP(Table2[[#This Row],[Date]],Funds!$C$10:$GV$11,2,FALSE)))</f>
        <v/>
      </c>
      <c r="J9325" s="215" t="str">
        <f>IF(Table2[[#This Row],[Description]]="","",Table2[[#This Row],[Value]]/Table2[[#This Row],[Conversion]])</f>
        <v/>
      </c>
      <c r="K9325" s="45" t="str">
        <f>IF(Table2[[#This Row],[Description]]="","",DATE(Table2[[#This Row],[Year]],Table2[[#This Row],[Month]],1))</f>
        <v/>
      </c>
    </row>
    <row r="9326" spans="7:11" x14ac:dyDescent="0.25">
      <c r="G9326" s="1" t="str">
        <f>IF(Table2[[#This Row],[Description]]="","",VLOOKUP(Table2[[#This Row],[Description]],$Q$1:$S$101,2,FALSE))</f>
        <v/>
      </c>
      <c r="H9326" s="1" t="str">
        <f>IF(Table2[[#This Row],[Description]]="","",VLOOKUP(Table2[[#This Row],[Description]],$Q$1:$S$101,3,FALSE))</f>
        <v/>
      </c>
      <c r="I9326" s="1" t="str">
        <f>IF(Table2[[#This Row],[Description]]="","",IF(Table2[[#This Row],[Currency]]=$O$2,$P$2,HLOOKUP(Table2[[#This Row],[Date]],Funds!$C$10:$GV$11,2,FALSE)))</f>
        <v/>
      </c>
      <c r="J9326" s="215" t="str">
        <f>IF(Table2[[#This Row],[Description]]="","",Table2[[#This Row],[Value]]/Table2[[#This Row],[Conversion]])</f>
        <v/>
      </c>
      <c r="K9326" s="45" t="str">
        <f>IF(Table2[[#This Row],[Description]]="","",DATE(Table2[[#This Row],[Year]],Table2[[#This Row],[Month]],1))</f>
        <v/>
      </c>
    </row>
    <row r="9327" spans="7:11" x14ac:dyDescent="0.25">
      <c r="G9327" s="1" t="str">
        <f>IF(Table2[[#This Row],[Description]]="","",VLOOKUP(Table2[[#This Row],[Description]],$Q$1:$S$101,2,FALSE))</f>
        <v/>
      </c>
      <c r="H9327" s="1" t="str">
        <f>IF(Table2[[#This Row],[Description]]="","",VLOOKUP(Table2[[#This Row],[Description]],$Q$1:$S$101,3,FALSE))</f>
        <v/>
      </c>
      <c r="I9327" s="1" t="str">
        <f>IF(Table2[[#This Row],[Description]]="","",IF(Table2[[#This Row],[Currency]]=$O$2,$P$2,HLOOKUP(Table2[[#This Row],[Date]],Funds!$C$10:$GV$11,2,FALSE)))</f>
        <v/>
      </c>
      <c r="J9327" s="215" t="str">
        <f>IF(Table2[[#This Row],[Description]]="","",Table2[[#This Row],[Value]]/Table2[[#This Row],[Conversion]])</f>
        <v/>
      </c>
      <c r="K9327" s="45" t="str">
        <f>IF(Table2[[#This Row],[Description]]="","",DATE(Table2[[#This Row],[Year]],Table2[[#This Row],[Month]],1))</f>
        <v/>
      </c>
    </row>
    <row r="9328" spans="7:11" x14ac:dyDescent="0.25">
      <c r="G9328" s="1" t="str">
        <f>IF(Table2[[#This Row],[Description]]="","",VLOOKUP(Table2[[#This Row],[Description]],$Q$1:$S$101,2,FALSE))</f>
        <v/>
      </c>
      <c r="H9328" s="1" t="str">
        <f>IF(Table2[[#This Row],[Description]]="","",VLOOKUP(Table2[[#This Row],[Description]],$Q$1:$S$101,3,FALSE))</f>
        <v/>
      </c>
      <c r="I9328" s="1" t="str">
        <f>IF(Table2[[#This Row],[Description]]="","",IF(Table2[[#This Row],[Currency]]=$O$2,$P$2,HLOOKUP(Table2[[#This Row],[Date]],Funds!$C$10:$GV$11,2,FALSE)))</f>
        <v/>
      </c>
      <c r="J9328" s="215" t="str">
        <f>IF(Table2[[#This Row],[Description]]="","",Table2[[#This Row],[Value]]/Table2[[#This Row],[Conversion]])</f>
        <v/>
      </c>
      <c r="K9328" s="45" t="str">
        <f>IF(Table2[[#This Row],[Description]]="","",DATE(Table2[[#This Row],[Year]],Table2[[#This Row],[Month]],1))</f>
        <v/>
      </c>
    </row>
    <row r="9329" spans="7:11" x14ac:dyDescent="0.25">
      <c r="G9329" s="1" t="str">
        <f>IF(Table2[[#This Row],[Description]]="","",VLOOKUP(Table2[[#This Row],[Description]],$Q$1:$S$101,2,FALSE))</f>
        <v/>
      </c>
      <c r="H9329" s="1" t="str">
        <f>IF(Table2[[#This Row],[Description]]="","",VLOOKUP(Table2[[#This Row],[Description]],$Q$1:$S$101,3,FALSE))</f>
        <v/>
      </c>
      <c r="I9329" s="1" t="str">
        <f>IF(Table2[[#This Row],[Description]]="","",IF(Table2[[#This Row],[Currency]]=$O$2,$P$2,HLOOKUP(Table2[[#This Row],[Date]],Funds!$C$10:$GV$11,2,FALSE)))</f>
        <v/>
      </c>
      <c r="J9329" s="215" t="str">
        <f>IF(Table2[[#This Row],[Description]]="","",Table2[[#This Row],[Value]]/Table2[[#This Row],[Conversion]])</f>
        <v/>
      </c>
      <c r="K9329" s="45" t="str">
        <f>IF(Table2[[#This Row],[Description]]="","",DATE(Table2[[#This Row],[Year]],Table2[[#This Row],[Month]],1))</f>
        <v/>
      </c>
    </row>
    <row r="9330" spans="7:11" x14ac:dyDescent="0.25">
      <c r="G9330" s="1" t="str">
        <f>IF(Table2[[#This Row],[Description]]="","",VLOOKUP(Table2[[#This Row],[Description]],$Q$1:$S$101,2,FALSE))</f>
        <v/>
      </c>
      <c r="H9330" s="1" t="str">
        <f>IF(Table2[[#This Row],[Description]]="","",VLOOKUP(Table2[[#This Row],[Description]],$Q$1:$S$101,3,FALSE))</f>
        <v/>
      </c>
      <c r="I9330" s="1" t="str">
        <f>IF(Table2[[#This Row],[Description]]="","",IF(Table2[[#This Row],[Currency]]=$O$2,$P$2,HLOOKUP(Table2[[#This Row],[Date]],Funds!$C$10:$GV$11,2,FALSE)))</f>
        <v/>
      </c>
      <c r="J9330" s="215" t="str">
        <f>IF(Table2[[#This Row],[Description]]="","",Table2[[#This Row],[Value]]/Table2[[#This Row],[Conversion]])</f>
        <v/>
      </c>
      <c r="K9330" s="45" t="str">
        <f>IF(Table2[[#This Row],[Description]]="","",DATE(Table2[[#This Row],[Year]],Table2[[#This Row],[Month]],1))</f>
        <v/>
      </c>
    </row>
    <row r="9331" spans="7:11" x14ac:dyDescent="0.25">
      <c r="G9331" s="1" t="str">
        <f>IF(Table2[[#This Row],[Description]]="","",VLOOKUP(Table2[[#This Row],[Description]],$Q$1:$S$101,2,FALSE))</f>
        <v/>
      </c>
      <c r="H9331" s="1" t="str">
        <f>IF(Table2[[#This Row],[Description]]="","",VLOOKUP(Table2[[#This Row],[Description]],$Q$1:$S$101,3,FALSE))</f>
        <v/>
      </c>
      <c r="I9331" s="1" t="str">
        <f>IF(Table2[[#This Row],[Description]]="","",IF(Table2[[#This Row],[Currency]]=$O$2,$P$2,HLOOKUP(Table2[[#This Row],[Date]],Funds!$C$10:$GV$11,2,FALSE)))</f>
        <v/>
      </c>
      <c r="J9331" s="215" t="str">
        <f>IF(Table2[[#This Row],[Description]]="","",Table2[[#This Row],[Value]]/Table2[[#This Row],[Conversion]])</f>
        <v/>
      </c>
      <c r="K9331" s="45" t="str">
        <f>IF(Table2[[#This Row],[Description]]="","",DATE(Table2[[#This Row],[Year]],Table2[[#This Row],[Month]],1))</f>
        <v/>
      </c>
    </row>
    <row r="9332" spans="7:11" x14ac:dyDescent="0.25">
      <c r="G9332" s="1" t="str">
        <f>IF(Table2[[#This Row],[Description]]="","",VLOOKUP(Table2[[#This Row],[Description]],$Q$1:$S$101,2,FALSE))</f>
        <v/>
      </c>
      <c r="H9332" s="1" t="str">
        <f>IF(Table2[[#This Row],[Description]]="","",VLOOKUP(Table2[[#This Row],[Description]],$Q$1:$S$101,3,FALSE))</f>
        <v/>
      </c>
      <c r="I9332" s="1" t="str">
        <f>IF(Table2[[#This Row],[Description]]="","",IF(Table2[[#This Row],[Currency]]=$O$2,$P$2,HLOOKUP(Table2[[#This Row],[Date]],Funds!$C$10:$GV$11,2,FALSE)))</f>
        <v/>
      </c>
      <c r="J9332" s="215" t="str">
        <f>IF(Table2[[#This Row],[Description]]="","",Table2[[#This Row],[Value]]/Table2[[#This Row],[Conversion]])</f>
        <v/>
      </c>
      <c r="K9332" s="45" t="str">
        <f>IF(Table2[[#This Row],[Description]]="","",DATE(Table2[[#This Row],[Year]],Table2[[#This Row],[Month]],1))</f>
        <v/>
      </c>
    </row>
    <row r="9333" spans="7:11" x14ac:dyDescent="0.25">
      <c r="G9333" s="1" t="str">
        <f>IF(Table2[[#This Row],[Description]]="","",VLOOKUP(Table2[[#This Row],[Description]],$Q$1:$S$101,2,FALSE))</f>
        <v/>
      </c>
      <c r="H9333" s="1" t="str">
        <f>IF(Table2[[#This Row],[Description]]="","",VLOOKUP(Table2[[#This Row],[Description]],$Q$1:$S$101,3,FALSE))</f>
        <v/>
      </c>
      <c r="I9333" s="1" t="str">
        <f>IF(Table2[[#This Row],[Description]]="","",IF(Table2[[#This Row],[Currency]]=$O$2,$P$2,HLOOKUP(Table2[[#This Row],[Date]],Funds!$C$10:$GV$11,2,FALSE)))</f>
        <v/>
      </c>
      <c r="J9333" s="215" t="str">
        <f>IF(Table2[[#This Row],[Description]]="","",Table2[[#This Row],[Value]]/Table2[[#This Row],[Conversion]])</f>
        <v/>
      </c>
      <c r="K9333" s="45" t="str">
        <f>IF(Table2[[#This Row],[Description]]="","",DATE(Table2[[#This Row],[Year]],Table2[[#This Row],[Month]],1))</f>
        <v/>
      </c>
    </row>
    <row r="9334" spans="7:11" x14ac:dyDescent="0.25">
      <c r="G9334" s="1" t="str">
        <f>IF(Table2[[#This Row],[Description]]="","",VLOOKUP(Table2[[#This Row],[Description]],$Q$1:$S$101,2,FALSE))</f>
        <v/>
      </c>
      <c r="H9334" s="1" t="str">
        <f>IF(Table2[[#This Row],[Description]]="","",VLOOKUP(Table2[[#This Row],[Description]],$Q$1:$S$101,3,FALSE))</f>
        <v/>
      </c>
      <c r="I9334" s="1" t="str">
        <f>IF(Table2[[#This Row],[Description]]="","",IF(Table2[[#This Row],[Currency]]=$O$2,$P$2,HLOOKUP(Table2[[#This Row],[Date]],Funds!$C$10:$GV$11,2,FALSE)))</f>
        <v/>
      </c>
      <c r="J9334" s="215" t="str">
        <f>IF(Table2[[#This Row],[Description]]="","",Table2[[#This Row],[Value]]/Table2[[#This Row],[Conversion]])</f>
        <v/>
      </c>
      <c r="K9334" s="45" t="str">
        <f>IF(Table2[[#This Row],[Description]]="","",DATE(Table2[[#This Row],[Year]],Table2[[#This Row],[Month]],1))</f>
        <v/>
      </c>
    </row>
    <row r="9335" spans="7:11" x14ac:dyDescent="0.25">
      <c r="G9335" s="1" t="str">
        <f>IF(Table2[[#This Row],[Description]]="","",VLOOKUP(Table2[[#This Row],[Description]],$Q$1:$S$101,2,FALSE))</f>
        <v/>
      </c>
      <c r="H9335" s="1" t="str">
        <f>IF(Table2[[#This Row],[Description]]="","",VLOOKUP(Table2[[#This Row],[Description]],$Q$1:$S$101,3,FALSE))</f>
        <v/>
      </c>
      <c r="I9335" s="1" t="str">
        <f>IF(Table2[[#This Row],[Description]]="","",IF(Table2[[#This Row],[Currency]]=$O$2,$P$2,HLOOKUP(Table2[[#This Row],[Date]],Funds!$C$10:$GV$11,2,FALSE)))</f>
        <v/>
      </c>
      <c r="J9335" s="215" t="str">
        <f>IF(Table2[[#This Row],[Description]]="","",Table2[[#This Row],[Value]]/Table2[[#This Row],[Conversion]])</f>
        <v/>
      </c>
      <c r="K9335" s="45" t="str">
        <f>IF(Table2[[#This Row],[Description]]="","",DATE(Table2[[#This Row],[Year]],Table2[[#This Row],[Month]],1))</f>
        <v/>
      </c>
    </row>
    <row r="9336" spans="7:11" x14ac:dyDescent="0.25">
      <c r="G9336" s="1" t="str">
        <f>IF(Table2[[#This Row],[Description]]="","",VLOOKUP(Table2[[#This Row],[Description]],$Q$1:$S$101,2,FALSE))</f>
        <v/>
      </c>
      <c r="H9336" s="1" t="str">
        <f>IF(Table2[[#This Row],[Description]]="","",VLOOKUP(Table2[[#This Row],[Description]],$Q$1:$S$101,3,FALSE))</f>
        <v/>
      </c>
      <c r="I9336" s="1" t="str">
        <f>IF(Table2[[#This Row],[Description]]="","",IF(Table2[[#This Row],[Currency]]=$O$2,$P$2,HLOOKUP(Table2[[#This Row],[Date]],Funds!$C$10:$GV$11,2,FALSE)))</f>
        <v/>
      </c>
      <c r="J9336" s="215" t="str">
        <f>IF(Table2[[#This Row],[Description]]="","",Table2[[#This Row],[Value]]/Table2[[#This Row],[Conversion]])</f>
        <v/>
      </c>
      <c r="K9336" s="45" t="str">
        <f>IF(Table2[[#This Row],[Description]]="","",DATE(Table2[[#This Row],[Year]],Table2[[#This Row],[Month]],1))</f>
        <v/>
      </c>
    </row>
    <row r="9337" spans="7:11" x14ac:dyDescent="0.25">
      <c r="G9337" s="1" t="str">
        <f>IF(Table2[[#This Row],[Description]]="","",VLOOKUP(Table2[[#This Row],[Description]],$Q$1:$S$101,2,FALSE))</f>
        <v/>
      </c>
      <c r="H9337" s="1" t="str">
        <f>IF(Table2[[#This Row],[Description]]="","",VLOOKUP(Table2[[#This Row],[Description]],$Q$1:$S$101,3,FALSE))</f>
        <v/>
      </c>
      <c r="I9337" s="1" t="str">
        <f>IF(Table2[[#This Row],[Description]]="","",IF(Table2[[#This Row],[Currency]]=$O$2,$P$2,HLOOKUP(Table2[[#This Row],[Date]],Funds!$C$10:$GV$11,2,FALSE)))</f>
        <v/>
      </c>
      <c r="J9337" s="215" t="str">
        <f>IF(Table2[[#This Row],[Description]]="","",Table2[[#This Row],[Value]]/Table2[[#This Row],[Conversion]])</f>
        <v/>
      </c>
      <c r="K9337" s="45" t="str">
        <f>IF(Table2[[#This Row],[Description]]="","",DATE(Table2[[#This Row],[Year]],Table2[[#This Row],[Month]],1))</f>
        <v/>
      </c>
    </row>
    <row r="9338" spans="7:11" x14ac:dyDescent="0.25">
      <c r="G9338" s="1" t="str">
        <f>IF(Table2[[#This Row],[Description]]="","",VLOOKUP(Table2[[#This Row],[Description]],$Q$1:$S$101,2,FALSE))</f>
        <v/>
      </c>
      <c r="H9338" s="1" t="str">
        <f>IF(Table2[[#This Row],[Description]]="","",VLOOKUP(Table2[[#This Row],[Description]],$Q$1:$S$101,3,FALSE))</f>
        <v/>
      </c>
      <c r="I9338" s="1" t="str">
        <f>IF(Table2[[#This Row],[Description]]="","",IF(Table2[[#This Row],[Currency]]=$O$2,$P$2,HLOOKUP(Table2[[#This Row],[Date]],Funds!$C$10:$GV$11,2,FALSE)))</f>
        <v/>
      </c>
      <c r="J9338" s="215" t="str">
        <f>IF(Table2[[#This Row],[Description]]="","",Table2[[#This Row],[Value]]/Table2[[#This Row],[Conversion]])</f>
        <v/>
      </c>
      <c r="K9338" s="45" t="str">
        <f>IF(Table2[[#This Row],[Description]]="","",DATE(Table2[[#This Row],[Year]],Table2[[#This Row],[Month]],1))</f>
        <v/>
      </c>
    </row>
    <row r="9339" spans="7:11" x14ac:dyDescent="0.25">
      <c r="G9339" s="1" t="str">
        <f>IF(Table2[[#This Row],[Description]]="","",VLOOKUP(Table2[[#This Row],[Description]],$Q$1:$S$101,2,FALSE))</f>
        <v/>
      </c>
      <c r="H9339" s="1" t="str">
        <f>IF(Table2[[#This Row],[Description]]="","",VLOOKUP(Table2[[#This Row],[Description]],$Q$1:$S$101,3,FALSE))</f>
        <v/>
      </c>
      <c r="I9339" s="1" t="str">
        <f>IF(Table2[[#This Row],[Description]]="","",IF(Table2[[#This Row],[Currency]]=$O$2,$P$2,HLOOKUP(Table2[[#This Row],[Date]],Funds!$C$10:$GV$11,2,FALSE)))</f>
        <v/>
      </c>
      <c r="J9339" s="215" t="str">
        <f>IF(Table2[[#This Row],[Description]]="","",Table2[[#This Row],[Value]]/Table2[[#This Row],[Conversion]])</f>
        <v/>
      </c>
      <c r="K9339" s="45" t="str">
        <f>IF(Table2[[#This Row],[Description]]="","",DATE(Table2[[#This Row],[Year]],Table2[[#This Row],[Month]],1))</f>
        <v/>
      </c>
    </row>
    <row r="9340" spans="7:11" x14ac:dyDescent="0.25">
      <c r="G9340" s="1" t="str">
        <f>IF(Table2[[#This Row],[Description]]="","",VLOOKUP(Table2[[#This Row],[Description]],$Q$1:$S$101,2,FALSE))</f>
        <v/>
      </c>
      <c r="H9340" s="1" t="str">
        <f>IF(Table2[[#This Row],[Description]]="","",VLOOKUP(Table2[[#This Row],[Description]],$Q$1:$S$101,3,FALSE))</f>
        <v/>
      </c>
      <c r="I9340" s="1" t="str">
        <f>IF(Table2[[#This Row],[Description]]="","",IF(Table2[[#This Row],[Currency]]=$O$2,$P$2,HLOOKUP(Table2[[#This Row],[Date]],Funds!$C$10:$GV$11,2,FALSE)))</f>
        <v/>
      </c>
      <c r="J9340" s="215" t="str">
        <f>IF(Table2[[#This Row],[Description]]="","",Table2[[#This Row],[Value]]/Table2[[#This Row],[Conversion]])</f>
        <v/>
      </c>
      <c r="K9340" s="45" t="str">
        <f>IF(Table2[[#This Row],[Description]]="","",DATE(Table2[[#This Row],[Year]],Table2[[#This Row],[Month]],1))</f>
        <v/>
      </c>
    </row>
    <row r="9341" spans="7:11" x14ac:dyDescent="0.25">
      <c r="G9341" s="1" t="str">
        <f>IF(Table2[[#This Row],[Description]]="","",VLOOKUP(Table2[[#This Row],[Description]],$Q$1:$S$101,2,FALSE))</f>
        <v/>
      </c>
      <c r="H9341" s="1" t="str">
        <f>IF(Table2[[#This Row],[Description]]="","",VLOOKUP(Table2[[#This Row],[Description]],$Q$1:$S$101,3,FALSE))</f>
        <v/>
      </c>
      <c r="I9341" s="1" t="str">
        <f>IF(Table2[[#This Row],[Description]]="","",IF(Table2[[#This Row],[Currency]]=$O$2,$P$2,HLOOKUP(Table2[[#This Row],[Date]],Funds!$C$10:$GV$11,2,FALSE)))</f>
        <v/>
      </c>
      <c r="J9341" s="215" t="str">
        <f>IF(Table2[[#This Row],[Description]]="","",Table2[[#This Row],[Value]]/Table2[[#This Row],[Conversion]])</f>
        <v/>
      </c>
      <c r="K9341" s="45" t="str">
        <f>IF(Table2[[#This Row],[Description]]="","",DATE(Table2[[#This Row],[Year]],Table2[[#This Row],[Month]],1))</f>
        <v/>
      </c>
    </row>
    <row r="9342" spans="7:11" x14ac:dyDescent="0.25">
      <c r="G9342" s="1" t="str">
        <f>IF(Table2[[#This Row],[Description]]="","",VLOOKUP(Table2[[#This Row],[Description]],$Q$1:$S$101,2,FALSE))</f>
        <v/>
      </c>
      <c r="H9342" s="1" t="str">
        <f>IF(Table2[[#This Row],[Description]]="","",VLOOKUP(Table2[[#This Row],[Description]],$Q$1:$S$101,3,FALSE))</f>
        <v/>
      </c>
      <c r="I9342" s="1" t="str">
        <f>IF(Table2[[#This Row],[Description]]="","",IF(Table2[[#This Row],[Currency]]=$O$2,$P$2,HLOOKUP(Table2[[#This Row],[Date]],Funds!$C$10:$GV$11,2,FALSE)))</f>
        <v/>
      </c>
      <c r="J9342" s="215" t="str">
        <f>IF(Table2[[#This Row],[Description]]="","",Table2[[#This Row],[Value]]/Table2[[#This Row],[Conversion]])</f>
        <v/>
      </c>
      <c r="K9342" s="45" t="str">
        <f>IF(Table2[[#This Row],[Description]]="","",DATE(Table2[[#This Row],[Year]],Table2[[#This Row],[Month]],1))</f>
        <v/>
      </c>
    </row>
    <row r="9343" spans="7:11" x14ac:dyDescent="0.25">
      <c r="G9343" s="1" t="str">
        <f>IF(Table2[[#This Row],[Description]]="","",VLOOKUP(Table2[[#This Row],[Description]],$Q$1:$S$101,2,FALSE))</f>
        <v/>
      </c>
      <c r="H9343" s="1" t="str">
        <f>IF(Table2[[#This Row],[Description]]="","",VLOOKUP(Table2[[#This Row],[Description]],$Q$1:$S$101,3,FALSE))</f>
        <v/>
      </c>
      <c r="I9343" s="1" t="str">
        <f>IF(Table2[[#This Row],[Description]]="","",IF(Table2[[#This Row],[Currency]]=$O$2,$P$2,HLOOKUP(Table2[[#This Row],[Date]],Funds!$C$10:$GV$11,2,FALSE)))</f>
        <v/>
      </c>
      <c r="J9343" s="215" t="str">
        <f>IF(Table2[[#This Row],[Description]]="","",Table2[[#This Row],[Value]]/Table2[[#This Row],[Conversion]])</f>
        <v/>
      </c>
      <c r="K9343" s="45" t="str">
        <f>IF(Table2[[#This Row],[Description]]="","",DATE(Table2[[#This Row],[Year]],Table2[[#This Row],[Month]],1))</f>
        <v/>
      </c>
    </row>
    <row r="9344" spans="7:11" x14ac:dyDescent="0.25">
      <c r="G9344" s="1" t="str">
        <f>IF(Table2[[#This Row],[Description]]="","",VLOOKUP(Table2[[#This Row],[Description]],$Q$1:$S$101,2,FALSE))</f>
        <v/>
      </c>
      <c r="H9344" s="1" t="str">
        <f>IF(Table2[[#This Row],[Description]]="","",VLOOKUP(Table2[[#This Row],[Description]],$Q$1:$S$101,3,FALSE))</f>
        <v/>
      </c>
      <c r="I9344" s="1" t="str">
        <f>IF(Table2[[#This Row],[Description]]="","",IF(Table2[[#This Row],[Currency]]=$O$2,$P$2,HLOOKUP(Table2[[#This Row],[Date]],Funds!$C$10:$GV$11,2,FALSE)))</f>
        <v/>
      </c>
      <c r="J9344" s="215" t="str">
        <f>IF(Table2[[#This Row],[Description]]="","",Table2[[#This Row],[Value]]/Table2[[#This Row],[Conversion]])</f>
        <v/>
      </c>
      <c r="K9344" s="45" t="str">
        <f>IF(Table2[[#This Row],[Description]]="","",DATE(Table2[[#This Row],[Year]],Table2[[#This Row],[Month]],1))</f>
        <v/>
      </c>
    </row>
    <row r="9345" spans="7:11" x14ac:dyDescent="0.25">
      <c r="G9345" s="1" t="str">
        <f>IF(Table2[[#This Row],[Description]]="","",VLOOKUP(Table2[[#This Row],[Description]],$Q$1:$S$101,2,FALSE))</f>
        <v/>
      </c>
      <c r="H9345" s="1" t="str">
        <f>IF(Table2[[#This Row],[Description]]="","",VLOOKUP(Table2[[#This Row],[Description]],$Q$1:$S$101,3,FALSE))</f>
        <v/>
      </c>
      <c r="I9345" s="1" t="str">
        <f>IF(Table2[[#This Row],[Description]]="","",IF(Table2[[#This Row],[Currency]]=$O$2,$P$2,HLOOKUP(Table2[[#This Row],[Date]],Funds!$C$10:$GV$11,2,FALSE)))</f>
        <v/>
      </c>
      <c r="J9345" s="215" t="str">
        <f>IF(Table2[[#This Row],[Description]]="","",Table2[[#This Row],[Value]]/Table2[[#This Row],[Conversion]])</f>
        <v/>
      </c>
      <c r="K9345" s="45" t="str">
        <f>IF(Table2[[#This Row],[Description]]="","",DATE(Table2[[#This Row],[Year]],Table2[[#This Row],[Month]],1))</f>
        <v/>
      </c>
    </row>
    <row r="9346" spans="7:11" x14ac:dyDescent="0.25">
      <c r="G9346" s="1" t="str">
        <f>IF(Table2[[#This Row],[Description]]="","",VLOOKUP(Table2[[#This Row],[Description]],$Q$1:$S$101,2,FALSE))</f>
        <v/>
      </c>
      <c r="H9346" s="1" t="str">
        <f>IF(Table2[[#This Row],[Description]]="","",VLOOKUP(Table2[[#This Row],[Description]],$Q$1:$S$101,3,FALSE))</f>
        <v/>
      </c>
      <c r="I9346" s="1" t="str">
        <f>IF(Table2[[#This Row],[Description]]="","",IF(Table2[[#This Row],[Currency]]=$O$2,$P$2,HLOOKUP(Table2[[#This Row],[Date]],Funds!$C$10:$GV$11,2,FALSE)))</f>
        <v/>
      </c>
      <c r="J9346" s="215" t="str">
        <f>IF(Table2[[#This Row],[Description]]="","",Table2[[#This Row],[Value]]/Table2[[#This Row],[Conversion]])</f>
        <v/>
      </c>
      <c r="K9346" s="45" t="str">
        <f>IF(Table2[[#This Row],[Description]]="","",DATE(Table2[[#This Row],[Year]],Table2[[#This Row],[Month]],1))</f>
        <v/>
      </c>
    </row>
    <row r="9347" spans="7:11" x14ac:dyDescent="0.25">
      <c r="G9347" s="1" t="str">
        <f>IF(Table2[[#This Row],[Description]]="","",VLOOKUP(Table2[[#This Row],[Description]],$Q$1:$S$101,2,FALSE))</f>
        <v/>
      </c>
      <c r="H9347" s="1" t="str">
        <f>IF(Table2[[#This Row],[Description]]="","",VLOOKUP(Table2[[#This Row],[Description]],$Q$1:$S$101,3,FALSE))</f>
        <v/>
      </c>
      <c r="I9347" s="1" t="str">
        <f>IF(Table2[[#This Row],[Description]]="","",IF(Table2[[#This Row],[Currency]]=$O$2,$P$2,HLOOKUP(Table2[[#This Row],[Date]],Funds!$C$10:$GV$11,2,FALSE)))</f>
        <v/>
      </c>
      <c r="J9347" s="215" t="str">
        <f>IF(Table2[[#This Row],[Description]]="","",Table2[[#This Row],[Value]]/Table2[[#This Row],[Conversion]])</f>
        <v/>
      </c>
      <c r="K9347" s="45" t="str">
        <f>IF(Table2[[#This Row],[Description]]="","",DATE(Table2[[#This Row],[Year]],Table2[[#This Row],[Month]],1))</f>
        <v/>
      </c>
    </row>
    <row r="9348" spans="7:11" x14ac:dyDescent="0.25">
      <c r="G9348" s="1" t="str">
        <f>IF(Table2[[#This Row],[Description]]="","",VLOOKUP(Table2[[#This Row],[Description]],$Q$1:$S$101,2,FALSE))</f>
        <v/>
      </c>
      <c r="H9348" s="1" t="str">
        <f>IF(Table2[[#This Row],[Description]]="","",VLOOKUP(Table2[[#This Row],[Description]],$Q$1:$S$101,3,FALSE))</f>
        <v/>
      </c>
      <c r="I9348" s="1" t="str">
        <f>IF(Table2[[#This Row],[Description]]="","",IF(Table2[[#This Row],[Currency]]=$O$2,$P$2,HLOOKUP(Table2[[#This Row],[Date]],Funds!$C$10:$GV$11,2,FALSE)))</f>
        <v/>
      </c>
      <c r="J9348" s="215" t="str">
        <f>IF(Table2[[#This Row],[Description]]="","",Table2[[#This Row],[Value]]/Table2[[#This Row],[Conversion]])</f>
        <v/>
      </c>
      <c r="K9348" s="45" t="str">
        <f>IF(Table2[[#This Row],[Description]]="","",DATE(Table2[[#This Row],[Year]],Table2[[#This Row],[Month]],1))</f>
        <v/>
      </c>
    </row>
    <row r="9349" spans="7:11" x14ac:dyDescent="0.25">
      <c r="G9349" s="1" t="str">
        <f>IF(Table2[[#This Row],[Description]]="","",VLOOKUP(Table2[[#This Row],[Description]],$Q$1:$S$101,2,FALSE))</f>
        <v/>
      </c>
      <c r="H9349" s="1" t="str">
        <f>IF(Table2[[#This Row],[Description]]="","",VLOOKUP(Table2[[#This Row],[Description]],$Q$1:$S$101,3,FALSE))</f>
        <v/>
      </c>
      <c r="I9349" s="1" t="str">
        <f>IF(Table2[[#This Row],[Description]]="","",IF(Table2[[#This Row],[Currency]]=$O$2,$P$2,HLOOKUP(Table2[[#This Row],[Date]],Funds!$C$10:$GV$11,2,FALSE)))</f>
        <v/>
      </c>
      <c r="J9349" s="215" t="str">
        <f>IF(Table2[[#This Row],[Description]]="","",Table2[[#This Row],[Value]]/Table2[[#This Row],[Conversion]])</f>
        <v/>
      </c>
      <c r="K9349" s="45" t="str">
        <f>IF(Table2[[#This Row],[Description]]="","",DATE(Table2[[#This Row],[Year]],Table2[[#This Row],[Month]],1))</f>
        <v/>
      </c>
    </row>
    <row r="9350" spans="7:11" x14ac:dyDescent="0.25">
      <c r="G9350" s="1" t="str">
        <f>IF(Table2[[#This Row],[Description]]="","",VLOOKUP(Table2[[#This Row],[Description]],$Q$1:$S$101,2,FALSE))</f>
        <v/>
      </c>
      <c r="H9350" s="1" t="str">
        <f>IF(Table2[[#This Row],[Description]]="","",VLOOKUP(Table2[[#This Row],[Description]],$Q$1:$S$101,3,FALSE))</f>
        <v/>
      </c>
      <c r="I9350" s="1" t="str">
        <f>IF(Table2[[#This Row],[Description]]="","",IF(Table2[[#This Row],[Currency]]=$O$2,$P$2,HLOOKUP(Table2[[#This Row],[Date]],Funds!$C$10:$GV$11,2,FALSE)))</f>
        <v/>
      </c>
      <c r="J9350" s="215" t="str">
        <f>IF(Table2[[#This Row],[Description]]="","",Table2[[#This Row],[Value]]/Table2[[#This Row],[Conversion]])</f>
        <v/>
      </c>
      <c r="K9350" s="45" t="str">
        <f>IF(Table2[[#This Row],[Description]]="","",DATE(Table2[[#This Row],[Year]],Table2[[#This Row],[Month]],1))</f>
        <v/>
      </c>
    </row>
    <row r="9351" spans="7:11" x14ac:dyDescent="0.25">
      <c r="G9351" s="1" t="str">
        <f>IF(Table2[[#This Row],[Description]]="","",VLOOKUP(Table2[[#This Row],[Description]],$Q$1:$S$101,2,FALSE))</f>
        <v/>
      </c>
      <c r="H9351" s="1" t="str">
        <f>IF(Table2[[#This Row],[Description]]="","",VLOOKUP(Table2[[#This Row],[Description]],$Q$1:$S$101,3,FALSE))</f>
        <v/>
      </c>
      <c r="I9351" s="1" t="str">
        <f>IF(Table2[[#This Row],[Description]]="","",IF(Table2[[#This Row],[Currency]]=$O$2,$P$2,HLOOKUP(Table2[[#This Row],[Date]],Funds!$C$10:$GV$11,2,FALSE)))</f>
        <v/>
      </c>
      <c r="J9351" s="215" t="str">
        <f>IF(Table2[[#This Row],[Description]]="","",Table2[[#This Row],[Value]]/Table2[[#This Row],[Conversion]])</f>
        <v/>
      </c>
      <c r="K9351" s="45" t="str">
        <f>IF(Table2[[#This Row],[Description]]="","",DATE(Table2[[#This Row],[Year]],Table2[[#This Row],[Month]],1))</f>
        <v/>
      </c>
    </row>
    <row r="9352" spans="7:11" x14ac:dyDescent="0.25">
      <c r="G9352" s="1" t="str">
        <f>IF(Table2[[#This Row],[Description]]="","",VLOOKUP(Table2[[#This Row],[Description]],$Q$1:$S$101,2,FALSE))</f>
        <v/>
      </c>
      <c r="H9352" s="1" t="str">
        <f>IF(Table2[[#This Row],[Description]]="","",VLOOKUP(Table2[[#This Row],[Description]],$Q$1:$S$101,3,FALSE))</f>
        <v/>
      </c>
      <c r="I9352" s="1" t="str">
        <f>IF(Table2[[#This Row],[Description]]="","",IF(Table2[[#This Row],[Currency]]=$O$2,$P$2,HLOOKUP(Table2[[#This Row],[Date]],Funds!$C$10:$GV$11,2,FALSE)))</f>
        <v/>
      </c>
      <c r="J9352" s="215" t="str">
        <f>IF(Table2[[#This Row],[Description]]="","",Table2[[#This Row],[Value]]/Table2[[#This Row],[Conversion]])</f>
        <v/>
      </c>
      <c r="K9352" s="45" t="str">
        <f>IF(Table2[[#This Row],[Description]]="","",DATE(Table2[[#This Row],[Year]],Table2[[#This Row],[Month]],1))</f>
        <v/>
      </c>
    </row>
    <row r="9353" spans="7:11" x14ac:dyDescent="0.25">
      <c r="G9353" s="1" t="str">
        <f>IF(Table2[[#This Row],[Description]]="","",VLOOKUP(Table2[[#This Row],[Description]],$Q$1:$S$101,2,FALSE))</f>
        <v/>
      </c>
      <c r="H9353" s="1" t="str">
        <f>IF(Table2[[#This Row],[Description]]="","",VLOOKUP(Table2[[#This Row],[Description]],$Q$1:$S$101,3,FALSE))</f>
        <v/>
      </c>
      <c r="I9353" s="1" t="str">
        <f>IF(Table2[[#This Row],[Description]]="","",IF(Table2[[#This Row],[Currency]]=$O$2,$P$2,HLOOKUP(Table2[[#This Row],[Date]],Funds!$C$10:$GV$11,2,FALSE)))</f>
        <v/>
      </c>
      <c r="J9353" s="215" t="str">
        <f>IF(Table2[[#This Row],[Description]]="","",Table2[[#This Row],[Value]]/Table2[[#This Row],[Conversion]])</f>
        <v/>
      </c>
      <c r="K9353" s="45" t="str">
        <f>IF(Table2[[#This Row],[Description]]="","",DATE(Table2[[#This Row],[Year]],Table2[[#This Row],[Month]],1))</f>
        <v/>
      </c>
    </row>
    <row r="9354" spans="7:11" x14ac:dyDescent="0.25">
      <c r="G9354" s="1" t="str">
        <f>IF(Table2[[#This Row],[Description]]="","",VLOOKUP(Table2[[#This Row],[Description]],$Q$1:$S$101,2,FALSE))</f>
        <v/>
      </c>
      <c r="H9354" s="1" t="str">
        <f>IF(Table2[[#This Row],[Description]]="","",VLOOKUP(Table2[[#This Row],[Description]],$Q$1:$S$101,3,FALSE))</f>
        <v/>
      </c>
      <c r="I9354" s="1" t="str">
        <f>IF(Table2[[#This Row],[Description]]="","",IF(Table2[[#This Row],[Currency]]=$O$2,$P$2,HLOOKUP(Table2[[#This Row],[Date]],Funds!$C$10:$GV$11,2,FALSE)))</f>
        <v/>
      </c>
      <c r="J9354" s="215" t="str">
        <f>IF(Table2[[#This Row],[Description]]="","",Table2[[#This Row],[Value]]/Table2[[#This Row],[Conversion]])</f>
        <v/>
      </c>
      <c r="K9354" s="45" t="str">
        <f>IF(Table2[[#This Row],[Description]]="","",DATE(Table2[[#This Row],[Year]],Table2[[#This Row],[Month]],1))</f>
        <v/>
      </c>
    </row>
    <row r="9355" spans="7:11" x14ac:dyDescent="0.25">
      <c r="G9355" s="1" t="str">
        <f>IF(Table2[[#This Row],[Description]]="","",VLOOKUP(Table2[[#This Row],[Description]],$Q$1:$S$101,2,FALSE))</f>
        <v/>
      </c>
      <c r="H9355" s="1" t="str">
        <f>IF(Table2[[#This Row],[Description]]="","",VLOOKUP(Table2[[#This Row],[Description]],$Q$1:$S$101,3,FALSE))</f>
        <v/>
      </c>
      <c r="I9355" s="1" t="str">
        <f>IF(Table2[[#This Row],[Description]]="","",IF(Table2[[#This Row],[Currency]]=$O$2,$P$2,HLOOKUP(Table2[[#This Row],[Date]],Funds!$C$10:$GV$11,2,FALSE)))</f>
        <v/>
      </c>
      <c r="J9355" s="215" t="str">
        <f>IF(Table2[[#This Row],[Description]]="","",Table2[[#This Row],[Value]]/Table2[[#This Row],[Conversion]])</f>
        <v/>
      </c>
      <c r="K9355" s="45" t="str">
        <f>IF(Table2[[#This Row],[Description]]="","",DATE(Table2[[#This Row],[Year]],Table2[[#This Row],[Month]],1))</f>
        <v/>
      </c>
    </row>
    <row r="9356" spans="7:11" x14ac:dyDescent="0.25">
      <c r="G9356" s="1" t="str">
        <f>IF(Table2[[#This Row],[Description]]="","",VLOOKUP(Table2[[#This Row],[Description]],$Q$1:$S$101,2,FALSE))</f>
        <v/>
      </c>
      <c r="H9356" s="1" t="str">
        <f>IF(Table2[[#This Row],[Description]]="","",VLOOKUP(Table2[[#This Row],[Description]],$Q$1:$S$101,3,FALSE))</f>
        <v/>
      </c>
      <c r="I9356" s="1" t="str">
        <f>IF(Table2[[#This Row],[Description]]="","",IF(Table2[[#This Row],[Currency]]=$O$2,$P$2,HLOOKUP(Table2[[#This Row],[Date]],Funds!$C$10:$GV$11,2,FALSE)))</f>
        <v/>
      </c>
      <c r="J9356" s="215" t="str">
        <f>IF(Table2[[#This Row],[Description]]="","",Table2[[#This Row],[Value]]/Table2[[#This Row],[Conversion]])</f>
        <v/>
      </c>
      <c r="K9356" s="45" t="str">
        <f>IF(Table2[[#This Row],[Description]]="","",DATE(Table2[[#This Row],[Year]],Table2[[#This Row],[Month]],1))</f>
        <v/>
      </c>
    </row>
    <row r="9357" spans="7:11" x14ac:dyDescent="0.25">
      <c r="G9357" s="1" t="str">
        <f>IF(Table2[[#This Row],[Description]]="","",VLOOKUP(Table2[[#This Row],[Description]],$Q$1:$S$101,2,FALSE))</f>
        <v/>
      </c>
      <c r="H9357" s="1" t="str">
        <f>IF(Table2[[#This Row],[Description]]="","",VLOOKUP(Table2[[#This Row],[Description]],$Q$1:$S$101,3,FALSE))</f>
        <v/>
      </c>
      <c r="I9357" s="1" t="str">
        <f>IF(Table2[[#This Row],[Description]]="","",IF(Table2[[#This Row],[Currency]]=$O$2,$P$2,HLOOKUP(Table2[[#This Row],[Date]],Funds!$C$10:$GV$11,2,FALSE)))</f>
        <v/>
      </c>
      <c r="J9357" s="215" t="str">
        <f>IF(Table2[[#This Row],[Description]]="","",Table2[[#This Row],[Value]]/Table2[[#This Row],[Conversion]])</f>
        <v/>
      </c>
      <c r="K9357" s="45" t="str">
        <f>IF(Table2[[#This Row],[Description]]="","",DATE(Table2[[#This Row],[Year]],Table2[[#This Row],[Month]],1))</f>
        <v/>
      </c>
    </row>
    <row r="9358" spans="7:11" x14ac:dyDescent="0.25">
      <c r="G9358" s="1" t="str">
        <f>IF(Table2[[#This Row],[Description]]="","",VLOOKUP(Table2[[#This Row],[Description]],$Q$1:$S$101,2,FALSE))</f>
        <v/>
      </c>
      <c r="H9358" s="1" t="str">
        <f>IF(Table2[[#This Row],[Description]]="","",VLOOKUP(Table2[[#This Row],[Description]],$Q$1:$S$101,3,FALSE))</f>
        <v/>
      </c>
      <c r="I9358" s="1" t="str">
        <f>IF(Table2[[#This Row],[Description]]="","",IF(Table2[[#This Row],[Currency]]=$O$2,$P$2,HLOOKUP(Table2[[#This Row],[Date]],Funds!$C$10:$GV$11,2,FALSE)))</f>
        <v/>
      </c>
      <c r="J9358" s="215" t="str">
        <f>IF(Table2[[#This Row],[Description]]="","",Table2[[#This Row],[Value]]/Table2[[#This Row],[Conversion]])</f>
        <v/>
      </c>
      <c r="K9358" s="45" t="str">
        <f>IF(Table2[[#This Row],[Description]]="","",DATE(Table2[[#This Row],[Year]],Table2[[#This Row],[Month]],1))</f>
        <v/>
      </c>
    </row>
    <row r="9359" spans="7:11" x14ac:dyDescent="0.25">
      <c r="G9359" s="1" t="str">
        <f>IF(Table2[[#This Row],[Description]]="","",VLOOKUP(Table2[[#This Row],[Description]],$Q$1:$S$101,2,FALSE))</f>
        <v/>
      </c>
      <c r="H9359" s="1" t="str">
        <f>IF(Table2[[#This Row],[Description]]="","",VLOOKUP(Table2[[#This Row],[Description]],$Q$1:$S$101,3,FALSE))</f>
        <v/>
      </c>
      <c r="I9359" s="1" t="str">
        <f>IF(Table2[[#This Row],[Description]]="","",IF(Table2[[#This Row],[Currency]]=$O$2,$P$2,HLOOKUP(Table2[[#This Row],[Date]],Funds!$C$10:$GV$11,2,FALSE)))</f>
        <v/>
      </c>
      <c r="J9359" s="215" t="str">
        <f>IF(Table2[[#This Row],[Description]]="","",Table2[[#This Row],[Value]]/Table2[[#This Row],[Conversion]])</f>
        <v/>
      </c>
      <c r="K9359" s="45" t="str">
        <f>IF(Table2[[#This Row],[Description]]="","",DATE(Table2[[#This Row],[Year]],Table2[[#This Row],[Month]],1))</f>
        <v/>
      </c>
    </row>
    <row r="9360" spans="7:11" x14ac:dyDescent="0.25">
      <c r="G9360" s="1" t="str">
        <f>IF(Table2[[#This Row],[Description]]="","",VLOOKUP(Table2[[#This Row],[Description]],$Q$1:$S$101,2,FALSE))</f>
        <v/>
      </c>
      <c r="H9360" s="1" t="str">
        <f>IF(Table2[[#This Row],[Description]]="","",VLOOKUP(Table2[[#This Row],[Description]],$Q$1:$S$101,3,FALSE))</f>
        <v/>
      </c>
      <c r="I9360" s="1" t="str">
        <f>IF(Table2[[#This Row],[Description]]="","",IF(Table2[[#This Row],[Currency]]=$O$2,$P$2,HLOOKUP(Table2[[#This Row],[Date]],Funds!$C$10:$GV$11,2,FALSE)))</f>
        <v/>
      </c>
      <c r="J9360" s="215" t="str">
        <f>IF(Table2[[#This Row],[Description]]="","",Table2[[#This Row],[Value]]/Table2[[#This Row],[Conversion]])</f>
        <v/>
      </c>
      <c r="K9360" s="45" t="str">
        <f>IF(Table2[[#This Row],[Description]]="","",DATE(Table2[[#This Row],[Year]],Table2[[#This Row],[Month]],1))</f>
        <v/>
      </c>
    </row>
    <row r="9361" spans="7:11" x14ac:dyDescent="0.25">
      <c r="G9361" s="1" t="str">
        <f>IF(Table2[[#This Row],[Description]]="","",VLOOKUP(Table2[[#This Row],[Description]],$Q$1:$S$101,2,FALSE))</f>
        <v/>
      </c>
      <c r="H9361" s="1" t="str">
        <f>IF(Table2[[#This Row],[Description]]="","",VLOOKUP(Table2[[#This Row],[Description]],$Q$1:$S$101,3,FALSE))</f>
        <v/>
      </c>
      <c r="I9361" s="1" t="str">
        <f>IF(Table2[[#This Row],[Description]]="","",IF(Table2[[#This Row],[Currency]]=$O$2,$P$2,HLOOKUP(Table2[[#This Row],[Date]],Funds!$C$10:$GV$11,2,FALSE)))</f>
        <v/>
      </c>
      <c r="J9361" s="215" t="str">
        <f>IF(Table2[[#This Row],[Description]]="","",Table2[[#This Row],[Value]]/Table2[[#This Row],[Conversion]])</f>
        <v/>
      </c>
      <c r="K9361" s="45" t="str">
        <f>IF(Table2[[#This Row],[Description]]="","",DATE(Table2[[#This Row],[Year]],Table2[[#This Row],[Month]],1))</f>
        <v/>
      </c>
    </row>
    <row r="9362" spans="7:11" x14ac:dyDescent="0.25">
      <c r="G9362" s="1" t="str">
        <f>IF(Table2[[#This Row],[Description]]="","",VLOOKUP(Table2[[#This Row],[Description]],$Q$1:$S$101,2,FALSE))</f>
        <v/>
      </c>
      <c r="H9362" s="1" t="str">
        <f>IF(Table2[[#This Row],[Description]]="","",VLOOKUP(Table2[[#This Row],[Description]],$Q$1:$S$101,3,FALSE))</f>
        <v/>
      </c>
      <c r="I9362" s="1" t="str">
        <f>IF(Table2[[#This Row],[Description]]="","",IF(Table2[[#This Row],[Currency]]=$O$2,$P$2,HLOOKUP(Table2[[#This Row],[Date]],Funds!$C$10:$GV$11,2,FALSE)))</f>
        <v/>
      </c>
      <c r="J9362" s="215" t="str">
        <f>IF(Table2[[#This Row],[Description]]="","",Table2[[#This Row],[Value]]/Table2[[#This Row],[Conversion]])</f>
        <v/>
      </c>
      <c r="K9362" s="45" t="str">
        <f>IF(Table2[[#This Row],[Description]]="","",DATE(Table2[[#This Row],[Year]],Table2[[#This Row],[Month]],1))</f>
        <v/>
      </c>
    </row>
    <row r="9363" spans="7:11" x14ac:dyDescent="0.25">
      <c r="G9363" s="1" t="str">
        <f>IF(Table2[[#This Row],[Description]]="","",VLOOKUP(Table2[[#This Row],[Description]],$Q$1:$S$101,2,FALSE))</f>
        <v/>
      </c>
      <c r="H9363" s="1" t="str">
        <f>IF(Table2[[#This Row],[Description]]="","",VLOOKUP(Table2[[#This Row],[Description]],$Q$1:$S$101,3,FALSE))</f>
        <v/>
      </c>
      <c r="I9363" s="1" t="str">
        <f>IF(Table2[[#This Row],[Description]]="","",IF(Table2[[#This Row],[Currency]]=$O$2,$P$2,HLOOKUP(Table2[[#This Row],[Date]],Funds!$C$10:$GV$11,2,FALSE)))</f>
        <v/>
      </c>
      <c r="J9363" s="215" t="str">
        <f>IF(Table2[[#This Row],[Description]]="","",Table2[[#This Row],[Value]]/Table2[[#This Row],[Conversion]])</f>
        <v/>
      </c>
      <c r="K9363" s="45" t="str">
        <f>IF(Table2[[#This Row],[Description]]="","",DATE(Table2[[#This Row],[Year]],Table2[[#This Row],[Month]],1))</f>
        <v/>
      </c>
    </row>
    <row r="9364" spans="7:11" x14ac:dyDescent="0.25">
      <c r="G9364" s="1" t="str">
        <f>IF(Table2[[#This Row],[Description]]="","",VLOOKUP(Table2[[#This Row],[Description]],$Q$1:$S$101,2,FALSE))</f>
        <v/>
      </c>
      <c r="H9364" s="1" t="str">
        <f>IF(Table2[[#This Row],[Description]]="","",VLOOKUP(Table2[[#This Row],[Description]],$Q$1:$S$101,3,FALSE))</f>
        <v/>
      </c>
      <c r="I9364" s="1" t="str">
        <f>IF(Table2[[#This Row],[Description]]="","",IF(Table2[[#This Row],[Currency]]=$O$2,$P$2,HLOOKUP(Table2[[#This Row],[Date]],Funds!$C$10:$GV$11,2,FALSE)))</f>
        <v/>
      </c>
      <c r="J9364" s="215" t="str">
        <f>IF(Table2[[#This Row],[Description]]="","",Table2[[#This Row],[Value]]/Table2[[#This Row],[Conversion]])</f>
        <v/>
      </c>
      <c r="K9364" s="45" t="str">
        <f>IF(Table2[[#This Row],[Description]]="","",DATE(Table2[[#This Row],[Year]],Table2[[#This Row],[Month]],1))</f>
        <v/>
      </c>
    </row>
    <row r="9365" spans="7:11" x14ac:dyDescent="0.25">
      <c r="G9365" s="1" t="str">
        <f>IF(Table2[[#This Row],[Description]]="","",VLOOKUP(Table2[[#This Row],[Description]],$Q$1:$S$101,2,FALSE))</f>
        <v/>
      </c>
      <c r="H9365" s="1" t="str">
        <f>IF(Table2[[#This Row],[Description]]="","",VLOOKUP(Table2[[#This Row],[Description]],$Q$1:$S$101,3,FALSE))</f>
        <v/>
      </c>
      <c r="I9365" s="1" t="str">
        <f>IF(Table2[[#This Row],[Description]]="","",IF(Table2[[#This Row],[Currency]]=$O$2,$P$2,HLOOKUP(Table2[[#This Row],[Date]],Funds!$C$10:$GV$11,2,FALSE)))</f>
        <v/>
      </c>
      <c r="J9365" s="215" t="str">
        <f>IF(Table2[[#This Row],[Description]]="","",Table2[[#This Row],[Value]]/Table2[[#This Row],[Conversion]])</f>
        <v/>
      </c>
      <c r="K9365" s="45" t="str">
        <f>IF(Table2[[#This Row],[Description]]="","",DATE(Table2[[#This Row],[Year]],Table2[[#This Row],[Month]],1))</f>
        <v/>
      </c>
    </row>
    <row r="9366" spans="7:11" x14ac:dyDescent="0.25">
      <c r="G9366" s="1" t="str">
        <f>IF(Table2[[#This Row],[Description]]="","",VLOOKUP(Table2[[#This Row],[Description]],$Q$1:$S$101,2,FALSE))</f>
        <v/>
      </c>
      <c r="H9366" s="1" t="str">
        <f>IF(Table2[[#This Row],[Description]]="","",VLOOKUP(Table2[[#This Row],[Description]],$Q$1:$S$101,3,FALSE))</f>
        <v/>
      </c>
      <c r="I9366" s="1" t="str">
        <f>IF(Table2[[#This Row],[Description]]="","",IF(Table2[[#This Row],[Currency]]=$O$2,$P$2,HLOOKUP(Table2[[#This Row],[Date]],Funds!$C$10:$GV$11,2,FALSE)))</f>
        <v/>
      </c>
      <c r="J9366" s="215" t="str">
        <f>IF(Table2[[#This Row],[Description]]="","",Table2[[#This Row],[Value]]/Table2[[#This Row],[Conversion]])</f>
        <v/>
      </c>
      <c r="K9366" s="45" t="str">
        <f>IF(Table2[[#This Row],[Description]]="","",DATE(Table2[[#This Row],[Year]],Table2[[#This Row],[Month]],1))</f>
        <v/>
      </c>
    </row>
    <row r="9367" spans="7:11" x14ac:dyDescent="0.25">
      <c r="G9367" s="1" t="str">
        <f>IF(Table2[[#This Row],[Description]]="","",VLOOKUP(Table2[[#This Row],[Description]],$Q$1:$S$101,2,FALSE))</f>
        <v/>
      </c>
      <c r="H9367" s="1" t="str">
        <f>IF(Table2[[#This Row],[Description]]="","",VLOOKUP(Table2[[#This Row],[Description]],$Q$1:$S$101,3,FALSE))</f>
        <v/>
      </c>
      <c r="I9367" s="1" t="str">
        <f>IF(Table2[[#This Row],[Description]]="","",IF(Table2[[#This Row],[Currency]]=$O$2,$P$2,HLOOKUP(Table2[[#This Row],[Date]],Funds!$C$10:$GV$11,2,FALSE)))</f>
        <v/>
      </c>
      <c r="J9367" s="215" t="str">
        <f>IF(Table2[[#This Row],[Description]]="","",Table2[[#This Row],[Value]]/Table2[[#This Row],[Conversion]])</f>
        <v/>
      </c>
      <c r="K9367" s="45" t="str">
        <f>IF(Table2[[#This Row],[Description]]="","",DATE(Table2[[#This Row],[Year]],Table2[[#This Row],[Month]],1))</f>
        <v/>
      </c>
    </row>
    <row r="9368" spans="7:11" x14ac:dyDescent="0.25">
      <c r="G9368" s="1" t="str">
        <f>IF(Table2[[#This Row],[Description]]="","",VLOOKUP(Table2[[#This Row],[Description]],$Q$1:$S$101,2,FALSE))</f>
        <v/>
      </c>
      <c r="H9368" s="1" t="str">
        <f>IF(Table2[[#This Row],[Description]]="","",VLOOKUP(Table2[[#This Row],[Description]],$Q$1:$S$101,3,FALSE))</f>
        <v/>
      </c>
      <c r="I9368" s="1" t="str">
        <f>IF(Table2[[#This Row],[Description]]="","",IF(Table2[[#This Row],[Currency]]=$O$2,$P$2,HLOOKUP(Table2[[#This Row],[Date]],Funds!$C$10:$GV$11,2,FALSE)))</f>
        <v/>
      </c>
      <c r="J9368" s="215" t="str">
        <f>IF(Table2[[#This Row],[Description]]="","",Table2[[#This Row],[Value]]/Table2[[#This Row],[Conversion]])</f>
        <v/>
      </c>
      <c r="K9368" s="45" t="str">
        <f>IF(Table2[[#This Row],[Description]]="","",DATE(Table2[[#This Row],[Year]],Table2[[#This Row],[Month]],1))</f>
        <v/>
      </c>
    </row>
    <row r="9369" spans="7:11" x14ac:dyDescent="0.25">
      <c r="G9369" s="1" t="str">
        <f>IF(Table2[[#This Row],[Description]]="","",VLOOKUP(Table2[[#This Row],[Description]],$Q$1:$S$101,2,FALSE))</f>
        <v/>
      </c>
      <c r="H9369" s="1" t="str">
        <f>IF(Table2[[#This Row],[Description]]="","",VLOOKUP(Table2[[#This Row],[Description]],$Q$1:$S$101,3,FALSE))</f>
        <v/>
      </c>
      <c r="I9369" s="1" t="str">
        <f>IF(Table2[[#This Row],[Description]]="","",IF(Table2[[#This Row],[Currency]]=$O$2,$P$2,HLOOKUP(Table2[[#This Row],[Date]],Funds!$C$10:$GV$11,2,FALSE)))</f>
        <v/>
      </c>
      <c r="J9369" s="215" t="str">
        <f>IF(Table2[[#This Row],[Description]]="","",Table2[[#This Row],[Value]]/Table2[[#This Row],[Conversion]])</f>
        <v/>
      </c>
      <c r="K9369" s="45" t="str">
        <f>IF(Table2[[#This Row],[Description]]="","",DATE(Table2[[#This Row],[Year]],Table2[[#This Row],[Month]],1))</f>
        <v/>
      </c>
    </row>
    <row r="9370" spans="7:11" x14ac:dyDescent="0.25">
      <c r="G9370" s="1" t="str">
        <f>IF(Table2[[#This Row],[Description]]="","",VLOOKUP(Table2[[#This Row],[Description]],$Q$1:$S$101,2,FALSE))</f>
        <v/>
      </c>
      <c r="H9370" s="1" t="str">
        <f>IF(Table2[[#This Row],[Description]]="","",VLOOKUP(Table2[[#This Row],[Description]],$Q$1:$S$101,3,FALSE))</f>
        <v/>
      </c>
      <c r="I9370" s="1" t="str">
        <f>IF(Table2[[#This Row],[Description]]="","",IF(Table2[[#This Row],[Currency]]=$O$2,$P$2,HLOOKUP(Table2[[#This Row],[Date]],Funds!$C$10:$GV$11,2,FALSE)))</f>
        <v/>
      </c>
      <c r="J9370" s="215" t="str">
        <f>IF(Table2[[#This Row],[Description]]="","",Table2[[#This Row],[Value]]/Table2[[#This Row],[Conversion]])</f>
        <v/>
      </c>
      <c r="K9370" s="45" t="str">
        <f>IF(Table2[[#This Row],[Description]]="","",DATE(Table2[[#This Row],[Year]],Table2[[#This Row],[Month]],1))</f>
        <v/>
      </c>
    </row>
    <row r="9371" spans="7:11" x14ac:dyDescent="0.25">
      <c r="G9371" s="1" t="str">
        <f>IF(Table2[[#This Row],[Description]]="","",VLOOKUP(Table2[[#This Row],[Description]],$Q$1:$S$101,2,FALSE))</f>
        <v/>
      </c>
      <c r="H9371" s="1" t="str">
        <f>IF(Table2[[#This Row],[Description]]="","",VLOOKUP(Table2[[#This Row],[Description]],$Q$1:$S$101,3,FALSE))</f>
        <v/>
      </c>
      <c r="I9371" s="1" t="str">
        <f>IF(Table2[[#This Row],[Description]]="","",IF(Table2[[#This Row],[Currency]]=$O$2,$P$2,HLOOKUP(Table2[[#This Row],[Date]],Funds!$C$10:$GV$11,2,FALSE)))</f>
        <v/>
      </c>
      <c r="J9371" s="215" t="str">
        <f>IF(Table2[[#This Row],[Description]]="","",Table2[[#This Row],[Value]]/Table2[[#This Row],[Conversion]])</f>
        <v/>
      </c>
      <c r="K9371" s="45" t="str">
        <f>IF(Table2[[#This Row],[Description]]="","",DATE(Table2[[#This Row],[Year]],Table2[[#This Row],[Month]],1))</f>
        <v/>
      </c>
    </row>
    <row r="9372" spans="7:11" x14ac:dyDescent="0.25">
      <c r="G9372" s="1" t="str">
        <f>IF(Table2[[#This Row],[Description]]="","",VLOOKUP(Table2[[#This Row],[Description]],$Q$1:$S$101,2,FALSE))</f>
        <v/>
      </c>
      <c r="H9372" s="1" t="str">
        <f>IF(Table2[[#This Row],[Description]]="","",VLOOKUP(Table2[[#This Row],[Description]],$Q$1:$S$101,3,FALSE))</f>
        <v/>
      </c>
      <c r="I9372" s="1" t="str">
        <f>IF(Table2[[#This Row],[Description]]="","",IF(Table2[[#This Row],[Currency]]=$O$2,$P$2,HLOOKUP(Table2[[#This Row],[Date]],Funds!$C$10:$GV$11,2,FALSE)))</f>
        <v/>
      </c>
      <c r="J9372" s="215" t="str">
        <f>IF(Table2[[#This Row],[Description]]="","",Table2[[#This Row],[Value]]/Table2[[#This Row],[Conversion]])</f>
        <v/>
      </c>
      <c r="K9372" s="45" t="str">
        <f>IF(Table2[[#This Row],[Description]]="","",DATE(Table2[[#This Row],[Year]],Table2[[#This Row],[Month]],1))</f>
        <v/>
      </c>
    </row>
    <row r="9373" spans="7:11" x14ac:dyDescent="0.25">
      <c r="G9373" s="1" t="str">
        <f>IF(Table2[[#This Row],[Description]]="","",VLOOKUP(Table2[[#This Row],[Description]],$Q$1:$S$101,2,FALSE))</f>
        <v/>
      </c>
      <c r="H9373" s="1" t="str">
        <f>IF(Table2[[#This Row],[Description]]="","",VLOOKUP(Table2[[#This Row],[Description]],$Q$1:$S$101,3,FALSE))</f>
        <v/>
      </c>
      <c r="I9373" s="1" t="str">
        <f>IF(Table2[[#This Row],[Description]]="","",IF(Table2[[#This Row],[Currency]]=$O$2,$P$2,HLOOKUP(Table2[[#This Row],[Date]],Funds!$C$10:$GV$11,2,FALSE)))</f>
        <v/>
      </c>
      <c r="J9373" s="215" t="str">
        <f>IF(Table2[[#This Row],[Description]]="","",Table2[[#This Row],[Value]]/Table2[[#This Row],[Conversion]])</f>
        <v/>
      </c>
      <c r="K9373" s="45" t="str">
        <f>IF(Table2[[#This Row],[Description]]="","",DATE(Table2[[#This Row],[Year]],Table2[[#This Row],[Month]],1))</f>
        <v/>
      </c>
    </row>
    <row r="9374" spans="7:11" x14ac:dyDescent="0.25">
      <c r="G9374" s="1" t="str">
        <f>IF(Table2[[#This Row],[Description]]="","",VLOOKUP(Table2[[#This Row],[Description]],$Q$1:$S$101,2,FALSE))</f>
        <v/>
      </c>
      <c r="H9374" s="1" t="str">
        <f>IF(Table2[[#This Row],[Description]]="","",VLOOKUP(Table2[[#This Row],[Description]],$Q$1:$S$101,3,FALSE))</f>
        <v/>
      </c>
      <c r="I9374" s="1" t="str">
        <f>IF(Table2[[#This Row],[Description]]="","",IF(Table2[[#This Row],[Currency]]=$O$2,$P$2,HLOOKUP(Table2[[#This Row],[Date]],Funds!$C$10:$GV$11,2,FALSE)))</f>
        <v/>
      </c>
      <c r="J9374" s="215" t="str">
        <f>IF(Table2[[#This Row],[Description]]="","",Table2[[#This Row],[Value]]/Table2[[#This Row],[Conversion]])</f>
        <v/>
      </c>
      <c r="K9374" s="45" t="str">
        <f>IF(Table2[[#This Row],[Description]]="","",DATE(Table2[[#This Row],[Year]],Table2[[#This Row],[Month]],1))</f>
        <v/>
      </c>
    </row>
    <row r="9375" spans="7:11" x14ac:dyDescent="0.25">
      <c r="G9375" s="1" t="str">
        <f>IF(Table2[[#This Row],[Description]]="","",VLOOKUP(Table2[[#This Row],[Description]],$Q$1:$S$101,2,FALSE))</f>
        <v/>
      </c>
      <c r="H9375" s="1" t="str">
        <f>IF(Table2[[#This Row],[Description]]="","",VLOOKUP(Table2[[#This Row],[Description]],$Q$1:$S$101,3,FALSE))</f>
        <v/>
      </c>
      <c r="I9375" s="1" t="str">
        <f>IF(Table2[[#This Row],[Description]]="","",IF(Table2[[#This Row],[Currency]]=$O$2,$P$2,HLOOKUP(Table2[[#This Row],[Date]],Funds!$C$10:$GV$11,2,FALSE)))</f>
        <v/>
      </c>
      <c r="J9375" s="215" t="str">
        <f>IF(Table2[[#This Row],[Description]]="","",Table2[[#This Row],[Value]]/Table2[[#This Row],[Conversion]])</f>
        <v/>
      </c>
      <c r="K9375" s="45" t="str">
        <f>IF(Table2[[#This Row],[Description]]="","",DATE(Table2[[#This Row],[Year]],Table2[[#This Row],[Month]],1))</f>
        <v/>
      </c>
    </row>
    <row r="9376" spans="7:11" x14ac:dyDescent="0.25">
      <c r="G9376" s="1" t="str">
        <f>IF(Table2[[#This Row],[Description]]="","",VLOOKUP(Table2[[#This Row],[Description]],$Q$1:$S$101,2,FALSE))</f>
        <v/>
      </c>
      <c r="H9376" s="1" t="str">
        <f>IF(Table2[[#This Row],[Description]]="","",VLOOKUP(Table2[[#This Row],[Description]],$Q$1:$S$101,3,FALSE))</f>
        <v/>
      </c>
      <c r="I9376" s="1" t="str">
        <f>IF(Table2[[#This Row],[Description]]="","",IF(Table2[[#This Row],[Currency]]=$O$2,$P$2,HLOOKUP(Table2[[#This Row],[Date]],Funds!$C$10:$GV$11,2,FALSE)))</f>
        <v/>
      </c>
      <c r="J9376" s="215" t="str">
        <f>IF(Table2[[#This Row],[Description]]="","",Table2[[#This Row],[Value]]/Table2[[#This Row],[Conversion]])</f>
        <v/>
      </c>
      <c r="K9376" s="45" t="str">
        <f>IF(Table2[[#This Row],[Description]]="","",DATE(Table2[[#This Row],[Year]],Table2[[#This Row],[Month]],1))</f>
        <v/>
      </c>
    </row>
    <row r="9377" spans="7:11" x14ac:dyDescent="0.25">
      <c r="G9377" s="1" t="str">
        <f>IF(Table2[[#This Row],[Description]]="","",VLOOKUP(Table2[[#This Row],[Description]],$Q$1:$S$101,2,FALSE))</f>
        <v/>
      </c>
      <c r="H9377" s="1" t="str">
        <f>IF(Table2[[#This Row],[Description]]="","",VLOOKUP(Table2[[#This Row],[Description]],$Q$1:$S$101,3,FALSE))</f>
        <v/>
      </c>
      <c r="I9377" s="1" t="str">
        <f>IF(Table2[[#This Row],[Description]]="","",IF(Table2[[#This Row],[Currency]]=$O$2,$P$2,HLOOKUP(Table2[[#This Row],[Date]],Funds!$C$10:$GV$11,2,FALSE)))</f>
        <v/>
      </c>
      <c r="J9377" s="215" t="str">
        <f>IF(Table2[[#This Row],[Description]]="","",Table2[[#This Row],[Value]]/Table2[[#This Row],[Conversion]])</f>
        <v/>
      </c>
      <c r="K9377" s="45" t="str">
        <f>IF(Table2[[#This Row],[Description]]="","",DATE(Table2[[#This Row],[Year]],Table2[[#This Row],[Month]],1))</f>
        <v/>
      </c>
    </row>
    <row r="9378" spans="7:11" x14ac:dyDescent="0.25">
      <c r="G9378" s="1" t="str">
        <f>IF(Table2[[#This Row],[Description]]="","",VLOOKUP(Table2[[#This Row],[Description]],$Q$1:$S$101,2,FALSE))</f>
        <v/>
      </c>
      <c r="H9378" s="1" t="str">
        <f>IF(Table2[[#This Row],[Description]]="","",VLOOKUP(Table2[[#This Row],[Description]],$Q$1:$S$101,3,FALSE))</f>
        <v/>
      </c>
      <c r="I9378" s="1" t="str">
        <f>IF(Table2[[#This Row],[Description]]="","",IF(Table2[[#This Row],[Currency]]=$O$2,$P$2,HLOOKUP(Table2[[#This Row],[Date]],Funds!$C$10:$GV$11,2,FALSE)))</f>
        <v/>
      </c>
      <c r="J9378" s="215" t="str">
        <f>IF(Table2[[#This Row],[Description]]="","",Table2[[#This Row],[Value]]/Table2[[#This Row],[Conversion]])</f>
        <v/>
      </c>
      <c r="K9378" s="45" t="str">
        <f>IF(Table2[[#This Row],[Description]]="","",DATE(Table2[[#This Row],[Year]],Table2[[#This Row],[Month]],1))</f>
        <v/>
      </c>
    </row>
    <row r="9379" spans="7:11" x14ac:dyDescent="0.25">
      <c r="G9379" s="1" t="str">
        <f>IF(Table2[[#This Row],[Description]]="","",VLOOKUP(Table2[[#This Row],[Description]],$Q$1:$S$101,2,FALSE))</f>
        <v/>
      </c>
      <c r="H9379" s="1" t="str">
        <f>IF(Table2[[#This Row],[Description]]="","",VLOOKUP(Table2[[#This Row],[Description]],$Q$1:$S$101,3,FALSE))</f>
        <v/>
      </c>
      <c r="I9379" s="1" t="str">
        <f>IF(Table2[[#This Row],[Description]]="","",IF(Table2[[#This Row],[Currency]]=$O$2,$P$2,HLOOKUP(Table2[[#This Row],[Date]],Funds!$C$10:$GV$11,2,FALSE)))</f>
        <v/>
      </c>
      <c r="J9379" s="215" t="str">
        <f>IF(Table2[[#This Row],[Description]]="","",Table2[[#This Row],[Value]]/Table2[[#This Row],[Conversion]])</f>
        <v/>
      </c>
      <c r="K9379" s="45" t="str">
        <f>IF(Table2[[#This Row],[Description]]="","",DATE(Table2[[#This Row],[Year]],Table2[[#This Row],[Month]],1))</f>
        <v/>
      </c>
    </row>
    <row r="9380" spans="7:11" x14ac:dyDescent="0.25">
      <c r="G9380" s="1" t="str">
        <f>IF(Table2[[#This Row],[Description]]="","",VLOOKUP(Table2[[#This Row],[Description]],$Q$1:$S$101,2,FALSE))</f>
        <v/>
      </c>
      <c r="H9380" s="1" t="str">
        <f>IF(Table2[[#This Row],[Description]]="","",VLOOKUP(Table2[[#This Row],[Description]],$Q$1:$S$101,3,FALSE))</f>
        <v/>
      </c>
      <c r="I9380" s="1" t="str">
        <f>IF(Table2[[#This Row],[Description]]="","",IF(Table2[[#This Row],[Currency]]=$O$2,$P$2,HLOOKUP(Table2[[#This Row],[Date]],Funds!$C$10:$GV$11,2,FALSE)))</f>
        <v/>
      </c>
      <c r="J9380" s="215" t="str">
        <f>IF(Table2[[#This Row],[Description]]="","",Table2[[#This Row],[Value]]/Table2[[#This Row],[Conversion]])</f>
        <v/>
      </c>
      <c r="K9380" s="45" t="str">
        <f>IF(Table2[[#This Row],[Description]]="","",DATE(Table2[[#This Row],[Year]],Table2[[#This Row],[Month]],1))</f>
        <v/>
      </c>
    </row>
    <row r="9381" spans="7:11" x14ac:dyDescent="0.25">
      <c r="G9381" s="1" t="str">
        <f>IF(Table2[[#This Row],[Description]]="","",VLOOKUP(Table2[[#This Row],[Description]],$Q$1:$S$101,2,FALSE))</f>
        <v/>
      </c>
      <c r="H9381" s="1" t="str">
        <f>IF(Table2[[#This Row],[Description]]="","",VLOOKUP(Table2[[#This Row],[Description]],$Q$1:$S$101,3,FALSE))</f>
        <v/>
      </c>
      <c r="I9381" s="1" t="str">
        <f>IF(Table2[[#This Row],[Description]]="","",IF(Table2[[#This Row],[Currency]]=$O$2,$P$2,HLOOKUP(Table2[[#This Row],[Date]],Funds!$C$10:$GV$11,2,FALSE)))</f>
        <v/>
      </c>
      <c r="J9381" s="215" t="str">
        <f>IF(Table2[[#This Row],[Description]]="","",Table2[[#This Row],[Value]]/Table2[[#This Row],[Conversion]])</f>
        <v/>
      </c>
      <c r="K9381" s="45" t="str">
        <f>IF(Table2[[#This Row],[Description]]="","",DATE(Table2[[#This Row],[Year]],Table2[[#This Row],[Month]],1))</f>
        <v/>
      </c>
    </row>
    <row r="9382" spans="7:11" x14ac:dyDescent="0.25">
      <c r="G9382" s="1" t="str">
        <f>IF(Table2[[#This Row],[Description]]="","",VLOOKUP(Table2[[#This Row],[Description]],$Q$1:$S$101,2,FALSE))</f>
        <v/>
      </c>
      <c r="H9382" s="1" t="str">
        <f>IF(Table2[[#This Row],[Description]]="","",VLOOKUP(Table2[[#This Row],[Description]],$Q$1:$S$101,3,FALSE))</f>
        <v/>
      </c>
      <c r="I9382" s="1" t="str">
        <f>IF(Table2[[#This Row],[Description]]="","",IF(Table2[[#This Row],[Currency]]=$O$2,$P$2,HLOOKUP(Table2[[#This Row],[Date]],Funds!$C$10:$GV$11,2,FALSE)))</f>
        <v/>
      </c>
      <c r="J9382" s="215" t="str">
        <f>IF(Table2[[#This Row],[Description]]="","",Table2[[#This Row],[Value]]/Table2[[#This Row],[Conversion]])</f>
        <v/>
      </c>
      <c r="K9382" s="45" t="str">
        <f>IF(Table2[[#This Row],[Description]]="","",DATE(Table2[[#This Row],[Year]],Table2[[#This Row],[Month]],1))</f>
        <v/>
      </c>
    </row>
    <row r="9383" spans="7:11" x14ac:dyDescent="0.25">
      <c r="G9383" s="1" t="str">
        <f>IF(Table2[[#This Row],[Description]]="","",VLOOKUP(Table2[[#This Row],[Description]],$Q$1:$S$101,2,FALSE))</f>
        <v/>
      </c>
      <c r="H9383" s="1" t="str">
        <f>IF(Table2[[#This Row],[Description]]="","",VLOOKUP(Table2[[#This Row],[Description]],$Q$1:$S$101,3,FALSE))</f>
        <v/>
      </c>
      <c r="I9383" s="1" t="str">
        <f>IF(Table2[[#This Row],[Description]]="","",IF(Table2[[#This Row],[Currency]]=$O$2,$P$2,HLOOKUP(Table2[[#This Row],[Date]],Funds!$C$10:$GV$11,2,FALSE)))</f>
        <v/>
      </c>
      <c r="J9383" s="215" t="str">
        <f>IF(Table2[[#This Row],[Description]]="","",Table2[[#This Row],[Value]]/Table2[[#This Row],[Conversion]])</f>
        <v/>
      </c>
      <c r="K9383" s="45" t="str">
        <f>IF(Table2[[#This Row],[Description]]="","",DATE(Table2[[#This Row],[Year]],Table2[[#This Row],[Month]],1))</f>
        <v/>
      </c>
    </row>
    <row r="9384" spans="7:11" x14ac:dyDescent="0.25">
      <c r="G9384" s="1" t="str">
        <f>IF(Table2[[#This Row],[Description]]="","",VLOOKUP(Table2[[#This Row],[Description]],$Q$1:$S$101,2,FALSE))</f>
        <v/>
      </c>
      <c r="H9384" s="1" t="str">
        <f>IF(Table2[[#This Row],[Description]]="","",VLOOKUP(Table2[[#This Row],[Description]],$Q$1:$S$101,3,FALSE))</f>
        <v/>
      </c>
      <c r="I9384" s="1" t="str">
        <f>IF(Table2[[#This Row],[Description]]="","",IF(Table2[[#This Row],[Currency]]=$O$2,$P$2,HLOOKUP(Table2[[#This Row],[Date]],Funds!$C$10:$GV$11,2,FALSE)))</f>
        <v/>
      </c>
      <c r="J9384" s="215" t="str">
        <f>IF(Table2[[#This Row],[Description]]="","",Table2[[#This Row],[Value]]/Table2[[#This Row],[Conversion]])</f>
        <v/>
      </c>
      <c r="K9384" s="45" t="str">
        <f>IF(Table2[[#This Row],[Description]]="","",DATE(Table2[[#This Row],[Year]],Table2[[#This Row],[Month]],1))</f>
        <v/>
      </c>
    </row>
    <row r="9385" spans="7:11" x14ac:dyDescent="0.25">
      <c r="G9385" s="1" t="str">
        <f>IF(Table2[[#This Row],[Description]]="","",VLOOKUP(Table2[[#This Row],[Description]],$Q$1:$S$101,2,FALSE))</f>
        <v/>
      </c>
      <c r="H9385" s="1" t="str">
        <f>IF(Table2[[#This Row],[Description]]="","",VLOOKUP(Table2[[#This Row],[Description]],$Q$1:$S$101,3,FALSE))</f>
        <v/>
      </c>
      <c r="I9385" s="1" t="str">
        <f>IF(Table2[[#This Row],[Description]]="","",IF(Table2[[#This Row],[Currency]]=$O$2,$P$2,HLOOKUP(Table2[[#This Row],[Date]],Funds!$C$10:$GV$11,2,FALSE)))</f>
        <v/>
      </c>
      <c r="J9385" s="215" t="str">
        <f>IF(Table2[[#This Row],[Description]]="","",Table2[[#This Row],[Value]]/Table2[[#This Row],[Conversion]])</f>
        <v/>
      </c>
      <c r="K9385" s="45" t="str">
        <f>IF(Table2[[#This Row],[Description]]="","",DATE(Table2[[#This Row],[Year]],Table2[[#This Row],[Month]],1))</f>
        <v/>
      </c>
    </row>
    <row r="9386" spans="7:11" x14ac:dyDescent="0.25">
      <c r="G9386" s="1" t="str">
        <f>IF(Table2[[#This Row],[Description]]="","",VLOOKUP(Table2[[#This Row],[Description]],$Q$1:$S$101,2,FALSE))</f>
        <v/>
      </c>
      <c r="H9386" s="1" t="str">
        <f>IF(Table2[[#This Row],[Description]]="","",VLOOKUP(Table2[[#This Row],[Description]],$Q$1:$S$101,3,FALSE))</f>
        <v/>
      </c>
      <c r="I9386" s="1" t="str">
        <f>IF(Table2[[#This Row],[Description]]="","",IF(Table2[[#This Row],[Currency]]=$O$2,$P$2,HLOOKUP(Table2[[#This Row],[Date]],Funds!$C$10:$GV$11,2,FALSE)))</f>
        <v/>
      </c>
      <c r="J9386" s="215" t="str">
        <f>IF(Table2[[#This Row],[Description]]="","",Table2[[#This Row],[Value]]/Table2[[#This Row],[Conversion]])</f>
        <v/>
      </c>
      <c r="K9386" s="45" t="str">
        <f>IF(Table2[[#This Row],[Description]]="","",DATE(Table2[[#This Row],[Year]],Table2[[#This Row],[Month]],1))</f>
        <v/>
      </c>
    </row>
    <row r="9387" spans="7:11" x14ac:dyDescent="0.25">
      <c r="G9387" s="1" t="str">
        <f>IF(Table2[[#This Row],[Description]]="","",VLOOKUP(Table2[[#This Row],[Description]],$Q$1:$S$101,2,FALSE))</f>
        <v/>
      </c>
      <c r="H9387" s="1" t="str">
        <f>IF(Table2[[#This Row],[Description]]="","",VLOOKUP(Table2[[#This Row],[Description]],$Q$1:$S$101,3,FALSE))</f>
        <v/>
      </c>
      <c r="I9387" s="1" t="str">
        <f>IF(Table2[[#This Row],[Description]]="","",IF(Table2[[#This Row],[Currency]]=$O$2,$P$2,HLOOKUP(Table2[[#This Row],[Date]],Funds!$C$10:$GV$11,2,FALSE)))</f>
        <v/>
      </c>
      <c r="J9387" s="215" t="str">
        <f>IF(Table2[[#This Row],[Description]]="","",Table2[[#This Row],[Value]]/Table2[[#This Row],[Conversion]])</f>
        <v/>
      </c>
      <c r="K9387" s="45" t="str">
        <f>IF(Table2[[#This Row],[Description]]="","",DATE(Table2[[#This Row],[Year]],Table2[[#This Row],[Month]],1))</f>
        <v/>
      </c>
    </row>
    <row r="9388" spans="7:11" x14ac:dyDescent="0.25">
      <c r="G9388" s="1" t="str">
        <f>IF(Table2[[#This Row],[Description]]="","",VLOOKUP(Table2[[#This Row],[Description]],$Q$1:$S$101,2,FALSE))</f>
        <v/>
      </c>
      <c r="H9388" s="1" t="str">
        <f>IF(Table2[[#This Row],[Description]]="","",VLOOKUP(Table2[[#This Row],[Description]],$Q$1:$S$101,3,FALSE))</f>
        <v/>
      </c>
      <c r="I9388" s="1" t="str">
        <f>IF(Table2[[#This Row],[Description]]="","",IF(Table2[[#This Row],[Currency]]=$O$2,$P$2,HLOOKUP(Table2[[#This Row],[Date]],Funds!$C$10:$GV$11,2,FALSE)))</f>
        <v/>
      </c>
      <c r="J9388" s="215" t="str">
        <f>IF(Table2[[#This Row],[Description]]="","",Table2[[#This Row],[Value]]/Table2[[#This Row],[Conversion]])</f>
        <v/>
      </c>
      <c r="K9388" s="45" t="str">
        <f>IF(Table2[[#This Row],[Description]]="","",DATE(Table2[[#This Row],[Year]],Table2[[#This Row],[Month]],1))</f>
        <v/>
      </c>
    </row>
    <row r="9389" spans="7:11" x14ac:dyDescent="0.25">
      <c r="G9389" s="1" t="str">
        <f>IF(Table2[[#This Row],[Description]]="","",VLOOKUP(Table2[[#This Row],[Description]],$Q$1:$S$101,2,FALSE))</f>
        <v/>
      </c>
      <c r="H9389" s="1" t="str">
        <f>IF(Table2[[#This Row],[Description]]="","",VLOOKUP(Table2[[#This Row],[Description]],$Q$1:$S$101,3,FALSE))</f>
        <v/>
      </c>
      <c r="I9389" s="1" t="str">
        <f>IF(Table2[[#This Row],[Description]]="","",IF(Table2[[#This Row],[Currency]]=$O$2,$P$2,HLOOKUP(Table2[[#This Row],[Date]],Funds!$C$10:$GV$11,2,FALSE)))</f>
        <v/>
      </c>
      <c r="J9389" s="215" t="str">
        <f>IF(Table2[[#This Row],[Description]]="","",Table2[[#This Row],[Value]]/Table2[[#This Row],[Conversion]])</f>
        <v/>
      </c>
      <c r="K9389" s="45" t="str">
        <f>IF(Table2[[#This Row],[Description]]="","",DATE(Table2[[#This Row],[Year]],Table2[[#This Row],[Month]],1))</f>
        <v/>
      </c>
    </row>
    <row r="9390" spans="7:11" x14ac:dyDescent="0.25">
      <c r="G9390" s="1" t="str">
        <f>IF(Table2[[#This Row],[Description]]="","",VLOOKUP(Table2[[#This Row],[Description]],$Q$1:$S$101,2,FALSE))</f>
        <v/>
      </c>
      <c r="H9390" s="1" t="str">
        <f>IF(Table2[[#This Row],[Description]]="","",VLOOKUP(Table2[[#This Row],[Description]],$Q$1:$S$101,3,FALSE))</f>
        <v/>
      </c>
      <c r="I9390" s="1" t="str">
        <f>IF(Table2[[#This Row],[Description]]="","",IF(Table2[[#This Row],[Currency]]=$O$2,$P$2,HLOOKUP(Table2[[#This Row],[Date]],Funds!$C$10:$GV$11,2,FALSE)))</f>
        <v/>
      </c>
      <c r="J9390" s="215" t="str">
        <f>IF(Table2[[#This Row],[Description]]="","",Table2[[#This Row],[Value]]/Table2[[#This Row],[Conversion]])</f>
        <v/>
      </c>
      <c r="K9390" s="45" t="str">
        <f>IF(Table2[[#This Row],[Description]]="","",DATE(Table2[[#This Row],[Year]],Table2[[#This Row],[Month]],1))</f>
        <v/>
      </c>
    </row>
    <row r="9391" spans="7:11" x14ac:dyDescent="0.25">
      <c r="G9391" s="1" t="str">
        <f>IF(Table2[[#This Row],[Description]]="","",VLOOKUP(Table2[[#This Row],[Description]],$Q$1:$S$101,2,FALSE))</f>
        <v/>
      </c>
      <c r="H9391" s="1" t="str">
        <f>IF(Table2[[#This Row],[Description]]="","",VLOOKUP(Table2[[#This Row],[Description]],$Q$1:$S$101,3,FALSE))</f>
        <v/>
      </c>
      <c r="I9391" s="1" t="str">
        <f>IF(Table2[[#This Row],[Description]]="","",IF(Table2[[#This Row],[Currency]]=$O$2,$P$2,HLOOKUP(Table2[[#This Row],[Date]],Funds!$C$10:$GV$11,2,FALSE)))</f>
        <v/>
      </c>
      <c r="J9391" s="215" t="str">
        <f>IF(Table2[[#This Row],[Description]]="","",Table2[[#This Row],[Value]]/Table2[[#This Row],[Conversion]])</f>
        <v/>
      </c>
      <c r="K9391" s="45" t="str">
        <f>IF(Table2[[#This Row],[Description]]="","",DATE(Table2[[#This Row],[Year]],Table2[[#This Row],[Month]],1))</f>
        <v/>
      </c>
    </row>
    <row r="9392" spans="7:11" x14ac:dyDescent="0.25">
      <c r="G9392" s="1" t="str">
        <f>IF(Table2[[#This Row],[Description]]="","",VLOOKUP(Table2[[#This Row],[Description]],$Q$1:$S$101,2,FALSE))</f>
        <v/>
      </c>
      <c r="H9392" s="1" t="str">
        <f>IF(Table2[[#This Row],[Description]]="","",VLOOKUP(Table2[[#This Row],[Description]],$Q$1:$S$101,3,FALSE))</f>
        <v/>
      </c>
      <c r="I9392" s="1" t="str">
        <f>IF(Table2[[#This Row],[Description]]="","",IF(Table2[[#This Row],[Currency]]=$O$2,$P$2,HLOOKUP(Table2[[#This Row],[Date]],Funds!$C$10:$GV$11,2,FALSE)))</f>
        <v/>
      </c>
      <c r="J9392" s="215" t="str">
        <f>IF(Table2[[#This Row],[Description]]="","",Table2[[#This Row],[Value]]/Table2[[#This Row],[Conversion]])</f>
        <v/>
      </c>
      <c r="K9392" s="45" t="str">
        <f>IF(Table2[[#This Row],[Description]]="","",DATE(Table2[[#This Row],[Year]],Table2[[#This Row],[Month]],1))</f>
        <v/>
      </c>
    </row>
    <row r="9393" spans="7:11" x14ac:dyDescent="0.25">
      <c r="G9393" s="1" t="str">
        <f>IF(Table2[[#This Row],[Description]]="","",VLOOKUP(Table2[[#This Row],[Description]],$Q$1:$S$101,2,FALSE))</f>
        <v/>
      </c>
      <c r="H9393" s="1" t="str">
        <f>IF(Table2[[#This Row],[Description]]="","",VLOOKUP(Table2[[#This Row],[Description]],$Q$1:$S$101,3,FALSE))</f>
        <v/>
      </c>
      <c r="I9393" s="1" t="str">
        <f>IF(Table2[[#This Row],[Description]]="","",IF(Table2[[#This Row],[Currency]]=$O$2,$P$2,HLOOKUP(Table2[[#This Row],[Date]],Funds!$C$10:$GV$11,2,FALSE)))</f>
        <v/>
      </c>
      <c r="J9393" s="215" t="str">
        <f>IF(Table2[[#This Row],[Description]]="","",Table2[[#This Row],[Value]]/Table2[[#This Row],[Conversion]])</f>
        <v/>
      </c>
      <c r="K9393" s="45" t="str">
        <f>IF(Table2[[#This Row],[Description]]="","",DATE(Table2[[#This Row],[Year]],Table2[[#This Row],[Month]],1))</f>
        <v/>
      </c>
    </row>
    <row r="9394" spans="7:11" x14ac:dyDescent="0.25">
      <c r="G9394" s="1" t="str">
        <f>IF(Table2[[#This Row],[Description]]="","",VLOOKUP(Table2[[#This Row],[Description]],$Q$1:$S$101,2,FALSE))</f>
        <v/>
      </c>
      <c r="H9394" s="1" t="str">
        <f>IF(Table2[[#This Row],[Description]]="","",VLOOKUP(Table2[[#This Row],[Description]],$Q$1:$S$101,3,FALSE))</f>
        <v/>
      </c>
      <c r="I9394" s="1" t="str">
        <f>IF(Table2[[#This Row],[Description]]="","",IF(Table2[[#This Row],[Currency]]=$O$2,$P$2,HLOOKUP(Table2[[#This Row],[Date]],Funds!$C$10:$GV$11,2,FALSE)))</f>
        <v/>
      </c>
      <c r="J9394" s="215" t="str">
        <f>IF(Table2[[#This Row],[Description]]="","",Table2[[#This Row],[Value]]/Table2[[#This Row],[Conversion]])</f>
        <v/>
      </c>
      <c r="K9394" s="45" t="str">
        <f>IF(Table2[[#This Row],[Description]]="","",DATE(Table2[[#This Row],[Year]],Table2[[#This Row],[Month]],1))</f>
        <v/>
      </c>
    </row>
    <row r="9395" spans="7:11" x14ac:dyDescent="0.25">
      <c r="G9395" s="1" t="str">
        <f>IF(Table2[[#This Row],[Description]]="","",VLOOKUP(Table2[[#This Row],[Description]],$Q$1:$S$101,2,FALSE))</f>
        <v/>
      </c>
      <c r="H9395" s="1" t="str">
        <f>IF(Table2[[#This Row],[Description]]="","",VLOOKUP(Table2[[#This Row],[Description]],$Q$1:$S$101,3,FALSE))</f>
        <v/>
      </c>
      <c r="I9395" s="1" t="str">
        <f>IF(Table2[[#This Row],[Description]]="","",IF(Table2[[#This Row],[Currency]]=$O$2,$P$2,HLOOKUP(Table2[[#This Row],[Date]],Funds!$C$10:$GV$11,2,FALSE)))</f>
        <v/>
      </c>
      <c r="J9395" s="215" t="str">
        <f>IF(Table2[[#This Row],[Description]]="","",Table2[[#This Row],[Value]]/Table2[[#This Row],[Conversion]])</f>
        <v/>
      </c>
      <c r="K9395" s="45" t="str">
        <f>IF(Table2[[#This Row],[Description]]="","",DATE(Table2[[#This Row],[Year]],Table2[[#This Row],[Month]],1))</f>
        <v/>
      </c>
    </row>
    <row r="9396" spans="7:11" x14ac:dyDescent="0.25">
      <c r="G9396" s="1" t="str">
        <f>IF(Table2[[#This Row],[Description]]="","",VLOOKUP(Table2[[#This Row],[Description]],$Q$1:$S$101,2,FALSE))</f>
        <v/>
      </c>
      <c r="H9396" s="1" t="str">
        <f>IF(Table2[[#This Row],[Description]]="","",VLOOKUP(Table2[[#This Row],[Description]],$Q$1:$S$101,3,FALSE))</f>
        <v/>
      </c>
      <c r="I9396" s="1" t="str">
        <f>IF(Table2[[#This Row],[Description]]="","",IF(Table2[[#This Row],[Currency]]=$O$2,$P$2,HLOOKUP(Table2[[#This Row],[Date]],Funds!$C$10:$GV$11,2,FALSE)))</f>
        <v/>
      </c>
      <c r="J9396" s="215" t="str">
        <f>IF(Table2[[#This Row],[Description]]="","",Table2[[#This Row],[Value]]/Table2[[#This Row],[Conversion]])</f>
        <v/>
      </c>
      <c r="K9396" s="45" t="str">
        <f>IF(Table2[[#This Row],[Description]]="","",DATE(Table2[[#This Row],[Year]],Table2[[#This Row],[Month]],1))</f>
        <v/>
      </c>
    </row>
    <row r="9397" spans="7:11" x14ac:dyDescent="0.25">
      <c r="G9397" s="1" t="str">
        <f>IF(Table2[[#This Row],[Description]]="","",VLOOKUP(Table2[[#This Row],[Description]],$Q$1:$S$101,2,FALSE))</f>
        <v/>
      </c>
      <c r="H9397" s="1" t="str">
        <f>IF(Table2[[#This Row],[Description]]="","",VLOOKUP(Table2[[#This Row],[Description]],$Q$1:$S$101,3,FALSE))</f>
        <v/>
      </c>
      <c r="I9397" s="1" t="str">
        <f>IF(Table2[[#This Row],[Description]]="","",IF(Table2[[#This Row],[Currency]]=$O$2,$P$2,HLOOKUP(Table2[[#This Row],[Date]],Funds!$C$10:$GV$11,2,FALSE)))</f>
        <v/>
      </c>
      <c r="J9397" s="215" t="str">
        <f>IF(Table2[[#This Row],[Description]]="","",Table2[[#This Row],[Value]]/Table2[[#This Row],[Conversion]])</f>
        <v/>
      </c>
      <c r="K9397" s="45" t="str">
        <f>IF(Table2[[#This Row],[Description]]="","",DATE(Table2[[#This Row],[Year]],Table2[[#This Row],[Month]],1))</f>
        <v/>
      </c>
    </row>
    <row r="9398" spans="7:11" x14ac:dyDescent="0.25">
      <c r="G9398" s="1" t="str">
        <f>IF(Table2[[#This Row],[Description]]="","",VLOOKUP(Table2[[#This Row],[Description]],$Q$1:$S$101,2,FALSE))</f>
        <v/>
      </c>
      <c r="H9398" s="1" t="str">
        <f>IF(Table2[[#This Row],[Description]]="","",VLOOKUP(Table2[[#This Row],[Description]],$Q$1:$S$101,3,FALSE))</f>
        <v/>
      </c>
      <c r="I9398" s="1" t="str">
        <f>IF(Table2[[#This Row],[Description]]="","",IF(Table2[[#This Row],[Currency]]=$O$2,$P$2,HLOOKUP(Table2[[#This Row],[Date]],Funds!$C$10:$GV$11,2,FALSE)))</f>
        <v/>
      </c>
      <c r="J9398" s="215" t="str">
        <f>IF(Table2[[#This Row],[Description]]="","",Table2[[#This Row],[Value]]/Table2[[#This Row],[Conversion]])</f>
        <v/>
      </c>
      <c r="K9398" s="45" t="str">
        <f>IF(Table2[[#This Row],[Description]]="","",DATE(Table2[[#This Row],[Year]],Table2[[#This Row],[Month]],1))</f>
        <v/>
      </c>
    </row>
    <row r="9399" spans="7:11" x14ac:dyDescent="0.25">
      <c r="G9399" s="1" t="str">
        <f>IF(Table2[[#This Row],[Description]]="","",VLOOKUP(Table2[[#This Row],[Description]],$Q$1:$S$101,2,FALSE))</f>
        <v/>
      </c>
      <c r="H9399" s="1" t="str">
        <f>IF(Table2[[#This Row],[Description]]="","",VLOOKUP(Table2[[#This Row],[Description]],$Q$1:$S$101,3,FALSE))</f>
        <v/>
      </c>
      <c r="I9399" s="1" t="str">
        <f>IF(Table2[[#This Row],[Description]]="","",IF(Table2[[#This Row],[Currency]]=$O$2,$P$2,HLOOKUP(Table2[[#This Row],[Date]],Funds!$C$10:$GV$11,2,FALSE)))</f>
        <v/>
      </c>
      <c r="J9399" s="215" t="str">
        <f>IF(Table2[[#This Row],[Description]]="","",Table2[[#This Row],[Value]]/Table2[[#This Row],[Conversion]])</f>
        <v/>
      </c>
      <c r="K9399" s="45" t="str">
        <f>IF(Table2[[#This Row],[Description]]="","",DATE(Table2[[#This Row],[Year]],Table2[[#This Row],[Month]],1))</f>
        <v/>
      </c>
    </row>
    <row r="9400" spans="7:11" x14ac:dyDescent="0.25">
      <c r="G9400" s="1" t="str">
        <f>IF(Table2[[#This Row],[Description]]="","",VLOOKUP(Table2[[#This Row],[Description]],$Q$1:$S$101,2,FALSE))</f>
        <v/>
      </c>
      <c r="H9400" s="1" t="str">
        <f>IF(Table2[[#This Row],[Description]]="","",VLOOKUP(Table2[[#This Row],[Description]],$Q$1:$S$101,3,FALSE))</f>
        <v/>
      </c>
      <c r="I9400" s="1" t="str">
        <f>IF(Table2[[#This Row],[Description]]="","",IF(Table2[[#This Row],[Currency]]=$O$2,$P$2,HLOOKUP(Table2[[#This Row],[Date]],Funds!$C$10:$GV$11,2,FALSE)))</f>
        <v/>
      </c>
      <c r="J9400" s="215" t="str">
        <f>IF(Table2[[#This Row],[Description]]="","",Table2[[#This Row],[Value]]/Table2[[#This Row],[Conversion]])</f>
        <v/>
      </c>
      <c r="K9400" s="45" t="str">
        <f>IF(Table2[[#This Row],[Description]]="","",DATE(Table2[[#This Row],[Year]],Table2[[#This Row],[Month]],1))</f>
        <v/>
      </c>
    </row>
    <row r="9401" spans="7:11" x14ac:dyDescent="0.25">
      <c r="G9401" s="1" t="str">
        <f>IF(Table2[[#This Row],[Description]]="","",VLOOKUP(Table2[[#This Row],[Description]],$Q$1:$S$101,2,FALSE))</f>
        <v/>
      </c>
      <c r="H9401" s="1" t="str">
        <f>IF(Table2[[#This Row],[Description]]="","",VLOOKUP(Table2[[#This Row],[Description]],$Q$1:$S$101,3,FALSE))</f>
        <v/>
      </c>
      <c r="I9401" s="1" t="str">
        <f>IF(Table2[[#This Row],[Description]]="","",IF(Table2[[#This Row],[Currency]]=$O$2,$P$2,HLOOKUP(Table2[[#This Row],[Date]],Funds!$C$10:$GV$11,2,FALSE)))</f>
        <v/>
      </c>
      <c r="J9401" s="215" t="str">
        <f>IF(Table2[[#This Row],[Description]]="","",Table2[[#This Row],[Value]]/Table2[[#This Row],[Conversion]])</f>
        <v/>
      </c>
      <c r="K9401" s="45" t="str">
        <f>IF(Table2[[#This Row],[Description]]="","",DATE(Table2[[#This Row],[Year]],Table2[[#This Row],[Month]],1))</f>
        <v/>
      </c>
    </row>
    <row r="9402" spans="7:11" x14ac:dyDescent="0.25">
      <c r="G9402" s="1" t="str">
        <f>IF(Table2[[#This Row],[Description]]="","",VLOOKUP(Table2[[#This Row],[Description]],$Q$1:$S$101,2,FALSE))</f>
        <v/>
      </c>
      <c r="H9402" s="1" t="str">
        <f>IF(Table2[[#This Row],[Description]]="","",VLOOKUP(Table2[[#This Row],[Description]],$Q$1:$S$101,3,FALSE))</f>
        <v/>
      </c>
      <c r="I9402" s="1" t="str">
        <f>IF(Table2[[#This Row],[Description]]="","",IF(Table2[[#This Row],[Currency]]=$O$2,$P$2,HLOOKUP(Table2[[#This Row],[Date]],Funds!$C$10:$GV$11,2,FALSE)))</f>
        <v/>
      </c>
      <c r="J9402" s="215" t="str">
        <f>IF(Table2[[#This Row],[Description]]="","",Table2[[#This Row],[Value]]/Table2[[#This Row],[Conversion]])</f>
        <v/>
      </c>
      <c r="K9402" s="45" t="str">
        <f>IF(Table2[[#This Row],[Description]]="","",DATE(Table2[[#This Row],[Year]],Table2[[#This Row],[Month]],1))</f>
        <v/>
      </c>
    </row>
    <row r="9403" spans="7:11" x14ac:dyDescent="0.25">
      <c r="G9403" s="1" t="str">
        <f>IF(Table2[[#This Row],[Description]]="","",VLOOKUP(Table2[[#This Row],[Description]],$Q$1:$S$101,2,FALSE))</f>
        <v/>
      </c>
      <c r="H9403" s="1" t="str">
        <f>IF(Table2[[#This Row],[Description]]="","",VLOOKUP(Table2[[#This Row],[Description]],$Q$1:$S$101,3,FALSE))</f>
        <v/>
      </c>
      <c r="I9403" s="1" t="str">
        <f>IF(Table2[[#This Row],[Description]]="","",IF(Table2[[#This Row],[Currency]]=$O$2,$P$2,HLOOKUP(Table2[[#This Row],[Date]],Funds!$C$10:$GV$11,2,FALSE)))</f>
        <v/>
      </c>
      <c r="J9403" s="215" t="str">
        <f>IF(Table2[[#This Row],[Description]]="","",Table2[[#This Row],[Value]]/Table2[[#This Row],[Conversion]])</f>
        <v/>
      </c>
      <c r="K9403" s="45" t="str">
        <f>IF(Table2[[#This Row],[Description]]="","",DATE(Table2[[#This Row],[Year]],Table2[[#This Row],[Month]],1))</f>
        <v/>
      </c>
    </row>
    <row r="9404" spans="7:11" x14ac:dyDescent="0.25">
      <c r="G9404" s="1" t="str">
        <f>IF(Table2[[#This Row],[Description]]="","",VLOOKUP(Table2[[#This Row],[Description]],$Q$1:$S$101,2,FALSE))</f>
        <v/>
      </c>
      <c r="H9404" s="1" t="str">
        <f>IF(Table2[[#This Row],[Description]]="","",VLOOKUP(Table2[[#This Row],[Description]],$Q$1:$S$101,3,FALSE))</f>
        <v/>
      </c>
      <c r="I9404" s="1" t="str">
        <f>IF(Table2[[#This Row],[Description]]="","",IF(Table2[[#This Row],[Currency]]=$O$2,$P$2,HLOOKUP(Table2[[#This Row],[Date]],Funds!$C$10:$GV$11,2,FALSE)))</f>
        <v/>
      </c>
      <c r="J9404" s="215" t="str">
        <f>IF(Table2[[#This Row],[Description]]="","",Table2[[#This Row],[Value]]/Table2[[#This Row],[Conversion]])</f>
        <v/>
      </c>
      <c r="K9404" s="45" t="str">
        <f>IF(Table2[[#This Row],[Description]]="","",DATE(Table2[[#This Row],[Year]],Table2[[#This Row],[Month]],1))</f>
        <v/>
      </c>
    </row>
    <row r="9405" spans="7:11" x14ac:dyDescent="0.25">
      <c r="G9405" s="1" t="str">
        <f>IF(Table2[[#This Row],[Description]]="","",VLOOKUP(Table2[[#This Row],[Description]],$Q$1:$S$101,2,FALSE))</f>
        <v/>
      </c>
      <c r="H9405" s="1" t="str">
        <f>IF(Table2[[#This Row],[Description]]="","",VLOOKUP(Table2[[#This Row],[Description]],$Q$1:$S$101,3,FALSE))</f>
        <v/>
      </c>
      <c r="I9405" s="1" t="str">
        <f>IF(Table2[[#This Row],[Description]]="","",IF(Table2[[#This Row],[Currency]]=$O$2,$P$2,HLOOKUP(Table2[[#This Row],[Date]],Funds!$C$10:$GV$11,2,FALSE)))</f>
        <v/>
      </c>
      <c r="J9405" s="215" t="str">
        <f>IF(Table2[[#This Row],[Description]]="","",Table2[[#This Row],[Value]]/Table2[[#This Row],[Conversion]])</f>
        <v/>
      </c>
      <c r="K9405" s="45" t="str">
        <f>IF(Table2[[#This Row],[Description]]="","",DATE(Table2[[#This Row],[Year]],Table2[[#This Row],[Month]],1))</f>
        <v/>
      </c>
    </row>
    <row r="9406" spans="7:11" x14ac:dyDescent="0.25">
      <c r="G9406" s="1" t="str">
        <f>IF(Table2[[#This Row],[Description]]="","",VLOOKUP(Table2[[#This Row],[Description]],$Q$1:$S$101,2,FALSE))</f>
        <v/>
      </c>
      <c r="H9406" s="1" t="str">
        <f>IF(Table2[[#This Row],[Description]]="","",VLOOKUP(Table2[[#This Row],[Description]],$Q$1:$S$101,3,FALSE))</f>
        <v/>
      </c>
      <c r="I9406" s="1" t="str">
        <f>IF(Table2[[#This Row],[Description]]="","",IF(Table2[[#This Row],[Currency]]=$O$2,$P$2,HLOOKUP(Table2[[#This Row],[Date]],Funds!$C$10:$GV$11,2,FALSE)))</f>
        <v/>
      </c>
      <c r="J9406" s="215" t="str">
        <f>IF(Table2[[#This Row],[Description]]="","",Table2[[#This Row],[Value]]/Table2[[#This Row],[Conversion]])</f>
        <v/>
      </c>
      <c r="K9406" s="45" t="str">
        <f>IF(Table2[[#This Row],[Description]]="","",DATE(Table2[[#This Row],[Year]],Table2[[#This Row],[Month]],1))</f>
        <v/>
      </c>
    </row>
    <row r="9407" spans="7:11" x14ac:dyDescent="0.25">
      <c r="G9407" s="1" t="str">
        <f>IF(Table2[[#This Row],[Description]]="","",VLOOKUP(Table2[[#This Row],[Description]],$Q$1:$S$101,2,FALSE))</f>
        <v/>
      </c>
      <c r="H9407" s="1" t="str">
        <f>IF(Table2[[#This Row],[Description]]="","",VLOOKUP(Table2[[#This Row],[Description]],$Q$1:$S$101,3,FALSE))</f>
        <v/>
      </c>
      <c r="I9407" s="1" t="str">
        <f>IF(Table2[[#This Row],[Description]]="","",IF(Table2[[#This Row],[Currency]]=$O$2,$P$2,HLOOKUP(Table2[[#This Row],[Date]],Funds!$C$10:$GV$11,2,FALSE)))</f>
        <v/>
      </c>
      <c r="J9407" s="215" t="str">
        <f>IF(Table2[[#This Row],[Description]]="","",Table2[[#This Row],[Value]]/Table2[[#This Row],[Conversion]])</f>
        <v/>
      </c>
      <c r="K9407" s="45" t="str">
        <f>IF(Table2[[#This Row],[Description]]="","",DATE(Table2[[#This Row],[Year]],Table2[[#This Row],[Month]],1))</f>
        <v/>
      </c>
    </row>
    <row r="9408" spans="7:11" x14ac:dyDescent="0.25">
      <c r="G9408" s="1" t="str">
        <f>IF(Table2[[#This Row],[Description]]="","",VLOOKUP(Table2[[#This Row],[Description]],$Q$1:$S$101,2,FALSE))</f>
        <v/>
      </c>
      <c r="H9408" s="1" t="str">
        <f>IF(Table2[[#This Row],[Description]]="","",VLOOKUP(Table2[[#This Row],[Description]],$Q$1:$S$101,3,FALSE))</f>
        <v/>
      </c>
      <c r="I9408" s="1" t="str">
        <f>IF(Table2[[#This Row],[Description]]="","",IF(Table2[[#This Row],[Currency]]=$O$2,$P$2,HLOOKUP(Table2[[#This Row],[Date]],Funds!$C$10:$GV$11,2,FALSE)))</f>
        <v/>
      </c>
      <c r="J9408" s="215" t="str">
        <f>IF(Table2[[#This Row],[Description]]="","",Table2[[#This Row],[Value]]/Table2[[#This Row],[Conversion]])</f>
        <v/>
      </c>
      <c r="K9408" s="45" t="str">
        <f>IF(Table2[[#This Row],[Description]]="","",DATE(Table2[[#This Row],[Year]],Table2[[#This Row],[Month]],1))</f>
        <v/>
      </c>
    </row>
    <row r="9409" spans="7:11" x14ac:dyDescent="0.25">
      <c r="G9409" s="1" t="str">
        <f>IF(Table2[[#This Row],[Description]]="","",VLOOKUP(Table2[[#This Row],[Description]],$Q$1:$S$101,2,FALSE))</f>
        <v/>
      </c>
      <c r="H9409" s="1" t="str">
        <f>IF(Table2[[#This Row],[Description]]="","",VLOOKUP(Table2[[#This Row],[Description]],$Q$1:$S$101,3,FALSE))</f>
        <v/>
      </c>
      <c r="I9409" s="1" t="str">
        <f>IF(Table2[[#This Row],[Description]]="","",IF(Table2[[#This Row],[Currency]]=$O$2,$P$2,HLOOKUP(Table2[[#This Row],[Date]],Funds!$C$10:$GV$11,2,FALSE)))</f>
        <v/>
      </c>
      <c r="J9409" s="215" t="str">
        <f>IF(Table2[[#This Row],[Description]]="","",Table2[[#This Row],[Value]]/Table2[[#This Row],[Conversion]])</f>
        <v/>
      </c>
      <c r="K9409" s="45" t="str">
        <f>IF(Table2[[#This Row],[Description]]="","",DATE(Table2[[#This Row],[Year]],Table2[[#This Row],[Month]],1))</f>
        <v/>
      </c>
    </row>
    <row r="9410" spans="7:11" x14ac:dyDescent="0.25">
      <c r="G9410" s="1" t="str">
        <f>IF(Table2[[#This Row],[Description]]="","",VLOOKUP(Table2[[#This Row],[Description]],$Q$1:$S$101,2,FALSE))</f>
        <v/>
      </c>
      <c r="H9410" s="1" t="str">
        <f>IF(Table2[[#This Row],[Description]]="","",VLOOKUP(Table2[[#This Row],[Description]],$Q$1:$S$101,3,FALSE))</f>
        <v/>
      </c>
      <c r="I9410" s="1" t="str">
        <f>IF(Table2[[#This Row],[Description]]="","",IF(Table2[[#This Row],[Currency]]=$O$2,$P$2,HLOOKUP(Table2[[#This Row],[Date]],Funds!$C$10:$GV$11,2,FALSE)))</f>
        <v/>
      </c>
      <c r="J9410" s="215" t="str">
        <f>IF(Table2[[#This Row],[Description]]="","",Table2[[#This Row],[Value]]/Table2[[#This Row],[Conversion]])</f>
        <v/>
      </c>
      <c r="K9410" s="45" t="str">
        <f>IF(Table2[[#This Row],[Description]]="","",DATE(Table2[[#This Row],[Year]],Table2[[#This Row],[Month]],1))</f>
        <v/>
      </c>
    </row>
    <row r="9411" spans="7:11" x14ac:dyDescent="0.25">
      <c r="G9411" s="1" t="str">
        <f>IF(Table2[[#This Row],[Description]]="","",VLOOKUP(Table2[[#This Row],[Description]],$Q$1:$S$101,2,FALSE))</f>
        <v/>
      </c>
      <c r="H9411" s="1" t="str">
        <f>IF(Table2[[#This Row],[Description]]="","",VLOOKUP(Table2[[#This Row],[Description]],$Q$1:$S$101,3,FALSE))</f>
        <v/>
      </c>
      <c r="I9411" s="1" t="str">
        <f>IF(Table2[[#This Row],[Description]]="","",IF(Table2[[#This Row],[Currency]]=$O$2,$P$2,HLOOKUP(Table2[[#This Row],[Date]],Funds!$C$10:$GV$11,2,FALSE)))</f>
        <v/>
      </c>
      <c r="J9411" s="215" t="str">
        <f>IF(Table2[[#This Row],[Description]]="","",Table2[[#This Row],[Value]]/Table2[[#This Row],[Conversion]])</f>
        <v/>
      </c>
      <c r="K9411" s="45" t="str">
        <f>IF(Table2[[#This Row],[Description]]="","",DATE(Table2[[#This Row],[Year]],Table2[[#This Row],[Month]],1))</f>
        <v/>
      </c>
    </row>
    <row r="9412" spans="7:11" x14ac:dyDescent="0.25">
      <c r="G9412" s="1" t="str">
        <f>IF(Table2[[#This Row],[Description]]="","",VLOOKUP(Table2[[#This Row],[Description]],$Q$1:$S$101,2,FALSE))</f>
        <v/>
      </c>
      <c r="H9412" s="1" t="str">
        <f>IF(Table2[[#This Row],[Description]]="","",VLOOKUP(Table2[[#This Row],[Description]],$Q$1:$S$101,3,FALSE))</f>
        <v/>
      </c>
      <c r="I9412" s="1" t="str">
        <f>IF(Table2[[#This Row],[Description]]="","",IF(Table2[[#This Row],[Currency]]=$O$2,$P$2,HLOOKUP(Table2[[#This Row],[Date]],Funds!$C$10:$GV$11,2,FALSE)))</f>
        <v/>
      </c>
      <c r="J9412" s="215" t="str">
        <f>IF(Table2[[#This Row],[Description]]="","",Table2[[#This Row],[Value]]/Table2[[#This Row],[Conversion]])</f>
        <v/>
      </c>
      <c r="K9412" s="45" t="str">
        <f>IF(Table2[[#This Row],[Description]]="","",DATE(Table2[[#This Row],[Year]],Table2[[#This Row],[Month]],1))</f>
        <v/>
      </c>
    </row>
    <row r="9413" spans="7:11" x14ac:dyDescent="0.25">
      <c r="G9413" s="1" t="str">
        <f>IF(Table2[[#This Row],[Description]]="","",VLOOKUP(Table2[[#This Row],[Description]],$Q$1:$S$101,2,FALSE))</f>
        <v/>
      </c>
      <c r="H9413" s="1" t="str">
        <f>IF(Table2[[#This Row],[Description]]="","",VLOOKUP(Table2[[#This Row],[Description]],$Q$1:$S$101,3,FALSE))</f>
        <v/>
      </c>
      <c r="I9413" s="1" t="str">
        <f>IF(Table2[[#This Row],[Description]]="","",IF(Table2[[#This Row],[Currency]]=$O$2,$P$2,HLOOKUP(Table2[[#This Row],[Date]],Funds!$C$10:$GV$11,2,FALSE)))</f>
        <v/>
      </c>
      <c r="J9413" s="215" t="str">
        <f>IF(Table2[[#This Row],[Description]]="","",Table2[[#This Row],[Value]]/Table2[[#This Row],[Conversion]])</f>
        <v/>
      </c>
      <c r="K9413" s="45" t="str">
        <f>IF(Table2[[#This Row],[Description]]="","",DATE(Table2[[#This Row],[Year]],Table2[[#This Row],[Month]],1))</f>
        <v/>
      </c>
    </row>
    <row r="9414" spans="7:11" x14ac:dyDescent="0.25">
      <c r="G9414" s="1" t="str">
        <f>IF(Table2[[#This Row],[Description]]="","",VLOOKUP(Table2[[#This Row],[Description]],$Q$1:$S$101,2,FALSE))</f>
        <v/>
      </c>
      <c r="H9414" s="1" t="str">
        <f>IF(Table2[[#This Row],[Description]]="","",VLOOKUP(Table2[[#This Row],[Description]],$Q$1:$S$101,3,FALSE))</f>
        <v/>
      </c>
      <c r="I9414" s="1" t="str">
        <f>IF(Table2[[#This Row],[Description]]="","",IF(Table2[[#This Row],[Currency]]=$O$2,$P$2,HLOOKUP(Table2[[#This Row],[Date]],Funds!$C$10:$GV$11,2,FALSE)))</f>
        <v/>
      </c>
      <c r="J9414" s="215" t="str">
        <f>IF(Table2[[#This Row],[Description]]="","",Table2[[#This Row],[Value]]/Table2[[#This Row],[Conversion]])</f>
        <v/>
      </c>
      <c r="K9414" s="45" t="str">
        <f>IF(Table2[[#This Row],[Description]]="","",DATE(Table2[[#This Row],[Year]],Table2[[#This Row],[Month]],1))</f>
        <v/>
      </c>
    </row>
    <row r="9415" spans="7:11" x14ac:dyDescent="0.25">
      <c r="G9415" s="1" t="str">
        <f>IF(Table2[[#This Row],[Description]]="","",VLOOKUP(Table2[[#This Row],[Description]],$Q$1:$S$101,2,FALSE))</f>
        <v/>
      </c>
      <c r="H9415" s="1" t="str">
        <f>IF(Table2[[#This Row],[Description]]="","",VLOOKUP(Table2[[#This Row],[Description]],$Q$1:$S$101,3,FALSE))</f>
        <v/>
      </c>
      <c r="I9415" s="1" t="str">
        <f>IF(Table2[[#This Row],[Description]]="","",IF(Table2[[#This Row],[Currency]]=$O$2,$P$2,HLOOKUP(Table2[[#This Row],[Date]],Funds!$C$10:$GV$11,2,FALSE)))</f>
        <v/>
      </c>
      <c r="J9415" s="215" t="str">
        <f>IF(Table2[[#This Row],[Description]]="","",Table2[[#This Row],[Value]]/Table2[[#This Row],[Conversion]])</f>
        <v/>
      </c>
      <c r="K9415" s="45" t="str">
        <f>IF(Table2[[#This Row],[Description]]="","",DATE(Table2[[#This Row],[Year]],Table2[[#This Row],[Month]],1))</f>
        <v/>
      </c>
    </row>
    <row r="9416" spans="7:11" x14ac:dyDescent="0.25">
      <c r="G9416" s="1" t="str">
        <f>IF(Table2[[#This Row],[Description]]="","",VLOOKUP(Table2[[#This Row],[Description]],$Q$1:$S$101,2,FALSE))</f>
        <v/>
      </c>
      <c r="H9416" s="1" t="str">
        <f>IF(Table2[[#This Row],[Description]]="","",VLOOKUP(Table2[[#This Row],[Description]],$Q$1:$S$101,3,FALSE))</f>
        <v/>
      </c>
      <c r="I9416" s="1" t="str">
        <f>IF(Table2[[#This Row],[Description]]="","",IF(Table2[[#This Row],[Currency]]=$O$2,$P$2,HLOOKUP(Table2[[#This Row],[Date]],Funds!$C$10:$GV$11,2,FALSE)))</f>
        <v/>
      </c>
      <c r="J9416" s="215" t="str">
        <f>IF(Table2[[#This Row],[Description]]="","",Table2[[#This Row],[Value]]/Table2[[#This Row],[Conversion]])</f>
        <v/>
      </c>
      <c r="K9416" s="45" t="str">
        <f>IF(Table2[[#This Row],[Description]]="","",DATE(Table2[[#This Row],[Year]],Table2[[#This Row],[Month]],1))</f>
        <v/>
      </c>
    </row>
    <row r="9417" spans="7:11" x14ac:dyDescent="0.25">
      <c r="G9417" s="1" t="str">
        <f>IF(Table2[[#This Row],[Description]]="","",VLOOKUP(Table2[[#This Row],[Description]],$Q$1:$S$101,2,FALSE))</f>
        <v/>
      </c>
      <c r="H9417" s="1" t="str">
        <f>IF(Table2[[#This Row],[Description]]="","",VLOOKUP(Table2[[#This Row],[Description]],$Q$1:$S$101,3,FALSE))</f>
        <v/>
      </c>
      <c r="I9417" s="1" t="str">
        <f>IF(Table2[[#This Row],[Description]]="","",IF(Table2[[#This Row],[Currency]]=$O$2,$P$2,HLOOKUP(Table2[[#This Row],[Date]],Funds!$C$10:$GV$11,2,FALSE)))</f>
        <v/>
      </c>
      <c r="J9417" s="215" t="str">
        <f>IF(Table2[[#This Row],[Description]]="","",Table2[[#This Row],[Value]]/Table2[[#This Row],[Conversion]])</f>
        <v/>
      </c>
      <c r="K9417" s="45" t="str">
        <f>IF(Table2[[#This Row],[Description]]="","",DATE(Table2[[#This Row],[Year]],Table2[[#This Row],[Month]],1))</f>
        <v/>
      </c>
    </row>
    <row r="9418" spans="7:11" x14ac:dyDescent="0.25">
      <c r="G9418" s="1" t="str">
        <f>IF(Table2[[#This Row],[Description]]="","",VLOOKUP(Table2[[#This Row],[Description]],$Q$1:$S$101,2,FALSE))</f>
        <v/>
      </c>
      <c r="H9418" s="1" t="str">
        <f>IF(Table2[[#This Row],[Description]]="","",VLOOKUP(Table2[[#This Row],[Description]],$Q$1:$S$101,3,FALSE))</f>
        <v/>
      </c>
      <c r="I9418" s="1" t="str">
        <f>IF(Table2[[#This Row],[Description]]="","",IF(Table2[[#This Row],[Currency]]=$O$2,$P$2,HLOOKUP(Table2[[#This Row],[Date]],Funds!$C$10:$GV$11,2,FALSE)))</f>
        <v/>
      </c>
      <c r="J9418" s="215" t="str">
        <f>IF(Table2[[#This Row],[Description]]="","",Table2[[#This Row],[Value]]/Table2[[#This Row],[Conversion]])</f>
        <v/>
      </c>
      <c r="K9418" s="45" t="str">
        <f>IF(Table2[[#This Row],[Description]]="","",DATE(Table2[[#This Row],[Year]],Table2[[#This Row],[Month]],1))</f>
        <v/>
      </c>
    </row>
    <row r="9419" spans="7:11" x14ac:dyDescent="0.25">
      <c r="G9419" s="1" t="str">
        <f>IF(Table2[[#This Row],[Description]]="","",VLOOKUP(Table2[[#This Row],[Description]],$Q$1:$S$101,2,FALSE))</f>
        <v/>
      </c>
      <c r="H9419" s="1" t="str">
        <f>IF(Table2[[#This Row],[Description]]="","",VLOOKUP(Table2[[#This Row],[Description]],$Q$1:$S$101,3,FALSE))</f>
        <v/>
      </c>
      <c r="I9419" s="1" t="str">
        <f>IF(Table2[[#This Row],[Description]]="","",IF(Table2[[#This Row],[Currency]]=$O$2,$P$2,HLOOKUP(Table2[[#This Row],[Date]],Funds!$C$10:$GV$11,2,FALSE)))</f>
        <v/>
      </c>
      <c r="J9419" s="215" t="str">
        <f>IF(Table2[[#This Row],[Description]]="","",Table2[[#This Row],[Value]]/Table2[[#This Row],[Conversion]])</f>
        <v/>
      </c>
      <c r="K9419" s="45" t="str">
        <f>IF(Table2[[#This Row],[Description]]="","",DATE(Table2[[#This Row],[Year]],Table2[[#This Row],[Month]],1))</f>
        <v/>
      </c>
    </row>
    <row r="9420" spans="7:11" x14ac:dyDescent="0.25">
      <c r="G9420" s="1" t="str">
        <f>IF(Table2[[#This Row],[Description]]="","",VLOOKUP(Table2[[#This Row],[Description]],$Q$1:$S$101,2,FALSE))</f>
        <v/>
      </c>
      <c r="H9420" s="1" t="str">
        <f>IF(Table2[[#This Row],[Description]]="","",VLOOKUP(Table2[[#This Row],[Description]],$Q$1:$S$101,3,FALSE))</f>
        <v/>
      </c>
      <c r="I9420" s="1" t="str">
        <f>IF(Table2[[#This Row],[Description]]="","",IF(Table2[[#This Row],[Currency]]=$O$2,$P$2,HLOOKUP(Table2[[#This Row],[Date]],Funds!$C$10:$GV$11,2,FALSE)))</f>
        <v/>
      </c>
      <c r="J9420" s="215" t="str">
        <f>IF(Table2[[#This Row],[Description]]="","",Table2[[#This Row],[Value]]/Table2[[#This Row],[Conversion]])</f>
        <v/>
      </c>
      <c r="K9420" s="45" t="str">
        <f>IF(Table2[[#This Row],[Description]]="","",DATE(Table2[[#This Row],[Year]],Table2[[#This Row],[Month]],1))</f>
        <v/>
      </c>
    </row>
    <row r="9421" spans="7:11" x14ac:dyDescent="0.25">
      <c r="G9421" s="1" t="str">
        <f>IF(Table2[[#This Row],[Description]]="","",VLOOKUP(Table2[[#This Row],[Description]],$Q$1:$S$101,2,FALSE))</f>
        <v/>
      </c>
      <c r="H9421" s="1" t="str">
        <f>IF(Table2[[#This Row],[Description]]="","",VLOOKUP(Table2[[#This Row],[Description]],$Q$1:$S$101,3,FALSE))</f>
        <v/>
      </c>
      <c r="I9421" s="1" t="str">
        <f>IF(Table2[[#This Row],[Description]]="","",IF(Table2[[#This Row],[Currency]]=$O$2,$P$2,HLOOKUP(Table2[[#This Row],[Date]],Funds!$C$10:$GV$11,2,FALSE)))</f>
        <v/>
      </c>
      <c r="J9421" s="215" t="str">
        <f>IF(Table2[[#This Row],[Description]]="","",Table2[[#This Row],[Value]]/Table2[[#This Row],[Conversion]])</f>
        <v/>
      </c>
      <c r="K9421" s="45" t="str">
        <f>IF(Table2[[#This Row],[Description]]="","",DATE(Table2[[#This Row],[Year]],Table2[[#This Row],[Month]],1))</f>
        <v/>
      </c>
    </row>
    <row r="9422" spans="7:11" x14ac:dyDescent="0.25">
      <c r="G9422" s="1" t="str">
        <f>IF(Table2[[#This Row],[Description]]="","",VLOOKUP(Table2[[#This Row],[Description]],$Q$1:$S$101,2,FALSE))</f>
        <v/>
      </c>
      <c r="H9422" s="1" t="str">
        <f>IF(Table2[[#This Row],[Description]]="","",VLOOKUP(Table2[[#This Row],[Description]],$Q$1:$S$101,3,FALSE))</f>
        <v/>
      </c>
      <c r="I9422" s="1" t="str">
        <f>IF(Table2[[#This Row],[Description]]="","",IF(Table2[[#This Row],[Currency]]=$O$2,$P$2,HLOOKUP(Table2[[#This Row],[Date]],Funds!$C$10:$GV$11,2,FALSE)))</f>
        <v/>
      </c>
      <c r="J9422" s="215" t="str">
        <f>IF(Table2[[#This Row],[Description]]="","",Table2[[#This Row],[Value]]/Table2[[#This Row],[Conversion]])</f>
        <v/>
      </c>
      <c r="K9422" s="45" t="str">
        <f>IF(Table2[[#This Row],[Description]]="","",DATE(Table2[[#This Row],[Year]],Table2[[#This Row],[Month]],1))</f>
        <v/>
      </c>
    </row>
    <row r="9423" spans="7:11" x14ac:dyDescent="0.25">
      <c r="G9423" s="1" t="str">
        <f>IF(Table2[[#This Row],[Description]]="","",VLOOKUP(Table2[[#This Row],[Description]],$Q$1:$S$101,2,FALSE))</f>
        <v/>
      </c>
      <c r="H9423" s="1" t="str">
        <f>IF(Table2[[#This Row],[Description]]="","",VLOOKUP(Table2[[#This Row],[Description]],$Q$1:$S$101,3,FALSE))</f>
        <v/>
      </c>
      <c r="I9423" s="1" t="str">
        <f>IF(Table2[[#This Row],[Description]]="","",IF(Table2[[#This Row],[Currency]]=$O$2,$P$2,HLOOKUP(Table2[[#This Row],[Date]],Funds!$C$10:$GV$11,2,FALSE)))</f>
        <v/>
      </c>
      <c r="J9423" s="215" t="str">
        <f>IF(Table2[[#This Row],[Description]]="","",Table2[[#This Row],[Value]]/Table2[[#This Row],[Conversion]])</f>
        <v/>
      </c>
      <c r="K9423" s="45" t="str">
        <f>IF(Table2[[#This Row],[Description]]="","",DATE(Table2[[#This Row],[Year]],Table2[[#This Row],[Month]],1))</f>
        <v/>
      </c>
    </row>
    <row r="9424" spans="7:11" x14ac:dyDescent="0.25">
      <c r="G9424" s="1" t="str">
        <f>IF(Table2[[#This Row],[Description]]="","",VLOOKUP(Table2[[#This Row],[Description]],$Q$1:$S$101,2,FALSE))</f>
        <v/>
      </c>
      <c r="H9424" s="1" t="str">
        <f>IF(Table2[[#This Row],[Description]]="","",VLOOKUP(Table2[[#This Row],[Description]],$Q$1:$S$101,3,FALSE))</f>
        <v/>
      </c>
      <c r="I9424" s="1" t="str">
        <f>IF(Table2[[#This Row],[Description]]="","",IF(Table2[[#This Row],[Currency]]=$O$2,$P$2,HLOOKUP(Table2[[#This Row],[Date]],Funds!$C$10:$GV$11,2,FALSE)))</f>
        <v/>
      </c>
      <c r="J9424" s="215" t="str">
        <f>IF(Table2[[#This Row],[Description]]="","",Table2[[#This Row],[Value]]/Table2[[#This Row],[Conversion]])</f>
        <v/>
      </c>
      <c r="K9424" s="45" t="str">
        <f>IF(Table2[[#This Row],[Description]]="","",DATE(Table2[[#This Row],[Year]],Table2[[#This Row],[Month]],1))</f>
        <v/>
      </c>
    </row>
    <row r="9425" spans="7:11" x14ac:dyDescent="0.25">
      <c r="G9425" s="1" t="str">
        <f>IF(Table2[[#This Row],[Description]]="","",VLOOKUP(Table2[[#This Row],[Description]],$Q$1:$S$101,2,FALSE))</f>
        <v/>
      </c>
      <c r="H9425" s="1" t="str">
        <f>IF(Table2[[#This Row],[Description]]="","",VLOOKUP(Table2[[#This Row],[Description]],$Q$1:$S$101,3,FALSE))</f>
        <v/>
      </c>
      <c r="I9425" s="1" t="str">
        <f>IF(Table2[[#This Row],[Description]]="","",IF(Table2[[#This Row],[Currency]]=$O$2,$P$2,HLOOKUP(Table2[[#This Row],[Date]],Funds!$C$10:$GV$11,2,FALSE)))</f>
        <v/>
      </c>
      <c r="J9425" s="215" t="str">
        <f>IF(Table2[[#This Row],[Description]]="","",Table2[[#This Row],[Value]]/Table2[[#This Row],[Conversion]])</f>
        <v/>
      </c>
      <c r="K9425" s="45" t="str">
        <f>IF(Table2[[#This Row],[Description]]="","",DATE(Table2[[#This Row],[Year]],Table2[[#This Row],[Month]],1))</f>
        <v/>
      </c>
    </row>
    <row r="9426" spans="7:11" x14ac:dyDescent="0.25">
      <c r="G9426" s="1" t="str">
        <f>IF(Table2[[#This Row],[Description]]="","",VLOOKUP(Table2[[#This Row],[Description]],$Q$1:$S$101,2,FALSE))</f>
        <v/>
      </c>
      <c r="H9426" s="1" t="str">
        <f>IF(Table2[[#This Row],[Description]]="","",VLOOKUP(Table2[[#This Row],[Description]],$Q$1:$S$101,3,FALSE))</f>
        <v/>
      </c>
      <c r="I9426" s="1" t="str">
        <f>IF(Table2[[#This Row],[Description]]="","",IF(Table2[[#This Row],[Currency]]=$O$2,$P$2,HLOOKUP(Table2[[#This Row],[Date]],Funds!$C$10:$GV$11,2,FALSE)))</f>
        <v/>
      </c>
      <c r="J9426" s="215" t="str">
        <f>IF(Table2[[#This Row],[Description]]="","",Table2[[#This Row],[Value]]/Table2[[#This Row],[Conversion]])</f>
        <v/>
      </c>
      <c r="K9426" s="45" t="str">
        <f>IF(Table2[[#This Row],[Description]]="","",DATE(Table2[[#This Row],[Year]],Table2[[#This Row],[Month]],1))</f>
        <v/>
      </c>
    </row>
    <row r="9427" spans="7:11" x14ac:dyDescent="0.25">
      <c r="G9427" s="1" t="str">
        <f>IF(Table2[[#This Row],[Description]]="","",VLOOKUP(Table2[[#This Row],[Description]],$Q$1:$S$101,2,FALSE))</f>
        <v/>
      </c>
      <c r="H9427" s="1" t="str">
        <f>IF(Table2[[#This Row],[Description]]="","",VLOOKUP(Table2[[#This Row],[Description]],$Q$1:$S$101,3,FALSE))</f>
        <v/>
      </c>
      <c r="I9427" s="1" t="str">
        <f>IF(Table2[[#This Row],[Description]]="","",IF(Table2[[#This Row],[Currency]]=$O$2,$P$2,HLOOKUP(Table2[[#This Row],[Date]],Funds!$C$10:$GV$11,2,FALSE)))</f>
        <v/>
      </c>
      <c r="J9427" s="215" t="str">
        <f>IF(Table2[[#This Row],[Description]]="","",Table2[[#This Row],[Value]]/Table2[[#This Row],[Conversion]])</f>
        <v/>
      </c>
      <c r="K9427" s="45" t="str">
        <f>IF(Table2[[#This Row],[Description]]="","",DATE(Table2[[#This Row],[Year]],Table2[[#This Row],[Month]],1))</f>
        <v/>
      </c>
    </row>
    <row r="9428" spans="7:11" x14ac:dyDescent="0.25">
      <c r="G9428" s="1" t="str">
        <f>IF(Table2[[#This Row],[Description]]="","",VLOOKUP(Table2[[#This Row],[Description]],$Q$1:$S$101,2,FALSE))</f>
        <v/>
      </c>
      <c r="H9428" s="1" t="str">
        <f>IF(Table2[[#This Row],[Description]]="","",VLOOKUP(Table2[[#This Row],[Description]],$Q$1:$S$101,3,FALSE))</f>
        <v/>
      </c>
      <c r="I9428" s="1" t="str">
        <f>IF(Table2[[#This Row],[Description]]="","",IF(Table2[[#This Row],[Currency]]=$O$2,$P$2,HLOOKUP(Table2[[#This Row],[Date]],Funds!$C$10:$GV$11,2,FALSE)))</f>
        <v/>
      </c>
      <c r="J9428" s="215" t="str">
        <f>IF(Table2[[#This Row],[Description]]="","",Table2[[#This Row],[Value]]/Table2[[#This Row],[Conversion]])</f>
        <v/>
      </c>
      <c r="K9428" s="45" t="str">
        <f>IF(Table2[[#This Row],[Description]]="","",DATE(Table2[[#This Row],[Year]],Table2[[#This Row],[Month]],1))</f>
        <v/>
      </c>
    </row>
    <row r="9429" spans="7:11" x14ac:dyDescent="0.25">
      <c r="G9429" s="1" t="str">
        <f>IF(Table2[[#This Row],[Description]]="","",VLOOKUP(Table2[[#This Row],[Description]],$Q$1:$S$101,2,FALSE))</f>
        <v/>
      </c>
      <c r="H9429" s="1" t="str">
        <f>IF(Table2[[#This Row],[Description]]="","",VLOOKUP(Table2[[#This Row],[Description]],$Q$1:$S$101,3,FALSE))</f>
        <v/>
      </c>
      <c r="I9429" s="1" t="str">
        <f>IF(Table2[[#This Row],[Description]]="","",IF(Table2[[#This Row],[Currency]]=$O$2,$P$2,HLOOKUP(Table2[[#This Row],[Date]],Funds!$C$10:$GV$11,2,FALSE)))</f>
        <v/>
      </c>
      <c r="J9429" s="215" t="str">
        <f>IF(Table2[[#This Row],[Description]]="","",Table2[[#This Row],[Value]]/Table2[[#This Row],[Conversion]])</f>
        <v/>
      </c>
      <c r="K9429" s="45" t="str">
        <f>IF(Table2[[#This Row],[Description]]="","",DATE(Table2[[#This Row],[Year]],Table2[[#This Row],[Month]],1))</f>
        <v/>
      </c>
    </row>
    <row r="9430" spans="7:11" x14ac:dyDescent="0.25">
      <c r="G9430" s="1" t="str">
        <f>IF(Table2[[#This Row],[Description]]="","",VLOOKUP(Table2[[#This Row],[Description]],$Q$1:$S$101,2,FALSE))</f>
        <v/>
      </c>
      <c r="H9430" s="1" t="str">
        <f>IF(Table2[[#This Row],[Description]]="","",VLOOKUP(Table2[[#This Row],[Description]],$Q$1:$S$101,3,FALSE))</f>
        <v/>
      </c>
      <c r="I9430" s="1" t="str">
        <f>IF(Table2[[#This Row],[Description]]="","",IF(Table2[[#This Row],[Currency]]=$O$2,$P$2,HLOOKUP(Table2[[#This Row],[Date]],Funds!$C$10:$GV$11,2,FALSE)))</f>
        <v/>
      </c>
      <c r="J9430" s="215" t="str">
        <f>IF(Table2[[#This Row],[Description]]="","",Table2[[#This Row],[Value]]/Table2[[#This Row],[Conversion]])</f>
        <v/>
      </c>
      <c r="K9430" s="45" t="str">
        <f>IF(Table2[[#This Row],[Description]]="","",DATE(Table2[[#This Row],[Year]],Table2[[#This Row],[Month]],1))</f>
        <v/>
      </c>
    </row>
    <row r="9431" spans="7:11" x14ac:dyDescent="0.25">
      <c r="G9431" s="1" t="str">
        <f>IF(Table2[[#This Row],[Description]]="","",VLOOKUP(Table2[[#This Row],[Description]],$Q$1:$S$101,2,FALSE))</f>
        <v/>
      </c>
      <c r="H9431" s="1" t="str">
        <f>IF(Table2[[#This Row],[Description]]="","",VLOOKUP(Table2[[#This Row],[Description]],$Q$1:$S$101,3,FALSE))</f>
        <v/>
      </c>
      <c r="I9431" s="1" t="str">
        <f>IF(Table2[[#This Row],[Description]]="","",IF(Table2[[#This Row],[Currency]]=$O$2,$P$2,HLOOKUP(Table2[[#This Row],[Date]],Funds!$C$10:$GV$11,2,FALSE)))</f>
        <v/>
      </c>
      <c r="J9431" s="215" t="str">
        <f>IF(Table2[[#This Row],[Description]]="","",Table2[[#This Row],[Value]]/Table2[[#This Row],[Conversion]])</f>
        <v/>
      </c>
      <c r="K9431" s="45" t="str">
        <f>IF(Table2[[#This Row],[Description]]="","",DATE(Table2[[#This Row],[Year]],Table2[[#This Row],[Month]],1))</f>
        <v/>
      </c>
    </row>
    <row r="9432" spans="7:11" x14ac:dyDescent="0.25">
      <c r="G9432" s="1" t="str">
        <f>IF(Table2[[#This Row],[Description]]="","",VLOOKUP(Table2[[#This Row],[Description]],$Q$1:$S$101,2,FALSE))</f>
        <v/>
      </c>
      <c r="H9432" s="1" t="str">
        <f>IF(Table2[[#This Row],[Description]]="","",VLOOKUP(Table2[[#This Row],[Description]],$Q$1:$S$101,3,FALSE))</f>
        <v/>
      </c>
      <c r="I9432" s="1" t="str">
        <f>IF(Table2[[#This Row],[Description]]="","",IF(Table2[[#This Row],[Currency]]=$O$2,$P$2,HLOOKUP(Table2[[#This Row],[Date]],Funds!$C$10:$GV$11,2,FALSE)))</f>
        <v/>
      </c>
      <c r="J9432" s="215" t="str">
        <f>IF(Table2[[#This Row],[Description]]="","",Table2[[#This Row],[Value]]/Table2[[#This Row],[Conversion]])</f>
        <v/>
      </c>
      <c r="K9432" s="45" t="str">
        <f>IF(Table2[[#This Row],[Description]]="","",DATE(Table2[[#This Row],[Year]],Table2[[#This Row],[Month]],1))</f>
        <v/>
      </c>
    </row>
    <row r="9433" spans="7:11" x14ac:dyDescent="0.25">
      <c r="G9433" s="1" t="str">
        <f>IF(Table2[[#This Row],[Description]]="","",VLOOKUP(Table2[[#This Row],[Description]],$Q$1:$S$101,2,FALSE))</f>
        <v/>
      </c>
      <c r="H9433" s="1" t="str">
        <f>IF(Table2[[#This Row],[Description]]="","",VLOOKUP(Table2[[#This Row],[Description]],$Q$1:$S$101,3,FALSE))</f>
        <v/>
      </c>
      <c r="I9433" s="1" t="str">
        <f>IF(Table2[[#This Row],[Description]]="","",IF(Table2[[#This Row],[Currency]]=$O$2,$P$2,HLOOKUP(Table2[[#This Row],[Date]],Funds!$C$10:$GV$11,2,FALSE)))</f>
        <v/>
      </c>
      <c r="J9433" s="215" t="str">
        <f>IF(Table2[[#This Row],[Description]]="","",Table2[[#This Row],[Value]]/Table2[[#This Row],[Conversion]])</f>
        <v/>
      </c>
      <c r="K9433" s="45" t="str">
        <f>IF(Table2[[#This Row],[Description]]="","",DATE(Table2[[#This Row],[Year]],Table2[[#This Row],[Month]],1))</f>
        <v/>
      </c>
    </row>
    <row r="9434" spans="7:11" x14ac:dyDescent="0.25">
      <c r="G9434" s="1" t="str">
        <f>IF(Table2[[#This Row],[Description]]="","",VLOOKUP(Table2[[#This Row],[Description]],$Q$1:$S$101,2,FALSE))</f>
        <v/>
      </c>
      <c r="H9434" s="1" t="str">
        <f>IF(Table2[[#This Row],[Description]]="","",VLOOKUP(Table2[[#This Row],[Description]],$Q$1:$S$101,3,FALSE))</f>
        <v/>
      </c>
      <c r="I9434" s="1" t="str">
        <f>IF(Table2[[#This Row],[Description]]="","",IF(Table2[[#This Row],[Currency]]=$O$2,$P$2,HLOOKUP(Table2[[#This Row],[Date]],Funds!$C$10:$GV$11,2,FALSE)))</f>
        <v/>
      </c>
      <c r="J9434" s="215" t="str">
        <f>IF(Table2[[#This Row],[Description]]="","",Table2[[#This Row],[Value]]/Table2[[#This Row],[Conversion]])</f>
        <v/>
      </c>
      <c r="K9434" s="45" t="str">
        <f>IF(Table2[[#This Row],[Description]]="","",DATE(Table2[[#This Row],[Year]],Table2[[#This Row],[Month]],1))</f>
        <v/>
      </c>
    </row>
    <row r="9435" spans="7:11" x14ac:dyDescent="0.25">
      <c r="G9435" s="1" t="str">
        <f>IF(Table2[[#This Row],[Description]]="","",VLOOKUP(Table2[[#This Row],[Description]],$Q$1:$S$101,2,FALSE))</f>
        <v/>
      </c>
      <c r="H9435" s="1" t="str">
        <f>IF(Table2[[#This Row],[Description]]="","",VLOOKUP(Table2[[#This Row],[Description]],$Q$1:$S$101,3,FALSE))</f>
        <v/>
      </c>
      <c r="I9435" s="1" t="str">
        <f>IF(Table2[[#This Row],[Description]]="","",IF(Table2[[#This Row],[Currency]]=$O$2,$P$2,HLOOKUP(Table2[[#This Row],[Date]],Funds!$C$10:$GV$11,2,FALSE)))</f>
        <v/>
      </c>
      <c r="J9435" s="215" t="str">
        <f>IF(Table2[[#This Row],[Description]]="","",Table2[[#This Row],[Value]]/Table2[[#This Row],[Conversion]])</f>
        <v/>
      </c>
      <c r="K9435" s="45" t="str">
        <f>IF(Table2[[#This Row],[Description]]="","",DATE(Table2[[#This Row],[Year]],Table2[[#This Row],[Month]],1))</f>
        <v/>
      </c>
    </row>
    <row r="9436" spans="7:11" x14ac:dyDescent="0.25">
      <c r="G9436" s="1" t="str">
        <f>IF(Table2[[#This Row],[Description]]="","",VLOOKUP(Table2[[#This Row],[Description]],$Q$1:$S$101,2,FALSE))</f>
        <v/>
      </c>
      <c r="H9436" s="1" t="str">
        <f>IF(Table2[[#This Row],[Description]]="","",VLOOKUP(Table2[[#This Row],[Description]],$Q$1:$S$101,3,FALSE))</f>
        <v/>
      </c>
      <c r="I9436" s="1" t="str">
        <f>IF(Table2[[#This Row],[Description]]="","",IF(Table2[[#This Row],[Currency]]=$O$2,$P$2,HLOOKUP(Table2[[#This Row],[Date]],Funds!$C$10:$GV$11,2,FALSE)))</f>
        <v/>
      </c>
      <c r="J9436" s="215" t="str">
        <f>IF(Table2[[#This Row],[Description]]="","",Table2[[#This Row],[Value]]/Table2[[#This Row],[Conversion]])</f>
        <v/>
      </c>
      <c r="K9436" s="45" t="str">
        <f>IF(Table2[[#This Row],[Description]]="","",DATE(Table2[[#This Row],[Year]],Table2[[#This Row],[Month]],1))</f>
        <v/>
      </c>
    </row>
    <row r="9437" spans="7:11" x14ac:dyDescent="0.25">
      <c r="G9437" s="1" t="str">
        <f>IF(Table2[[#This Row],[Description]]="","",VLOOKUP(Table2[[#This Row],[Description]],$Q$1:$S$101,2,FALSE))</f>
        <v/>
      </c>
      <c r="H9437" s="1" t="str">
        <f>IF(Table2[[#This Row],[Description]]="","",VLOOKUP(Table2[[#This Row],[Description]],$Q$1:$S$101,3,FALSE))</f>
        <v/>
      </c>
      <c r="I9437" s="1" t="str">
        <f>IF(Table2[[#This Row],[Description]]="","",IF(Table2[[#This Row],[Currency]]=$O$2,$P$2,HLOOKUP(Table2[[#This Row],[Date]],Funds!$C$10:$GV$11,2,FALSE)))</f>
        <v/>
      </c>
      <c r="J9437" s="215" t="str">
        <f>IF(Table2[[#This Row],[Description]]="","",Table2[[#This Row],[Value]]/Table2[[#This Row],[Conversion]])</f>
        <v/>
      </c>
      <c r="K9437" s="45" t="str">
        <f>IF(Table2[[#This Row],[Description]]="","",DATE(Table2[[#This Row],[Year]],Table2[[#This Row],[Month]],1))</f>
        <v/>
      </c>
    </row>
    <row r="9438" spans="7:11" x14ac:dyDescent="0.25">
      <c r="G9438" s="1" t="str">
        <f>IF(Table2[[#This Row],[Description]]="","",VLOOKUP(Table2[[#This Row],[Description]],$Q$1:$S$101,2,FALSE))</f>
        <v/>
      </c>
      <c r="H9438" s="1" t="str">
        <f>IF(Table2[[#This Row],[Description]]="","",VLOOKUP(Table2[[#This Row],[Description]],$Q$1:$S$101,3,FALSE))</f>
        <v/>
      </c>
      <c r="I9438" s="1" t="str">
        <f>IF(Table2[[#This Row],[Description]]="","",IF(Table2[[#This Row],[Currency]]=$O$2,$P$2,HLOOKUP(Table2[[#This Row],[Date]],Funds!$C$10:$GV$11,2,FALSE)))</f>
        <v/>
      </c>
      <c r="J9438" s="215" t="str">
        <f>IF(Table2[[#This Row],[Description]]="","",Table2[[#This Row],[Value]]/Table2[[#This Row],[Conversion]])</f>
        <v/>
      </c>
      <c r="K9438" s="45" t="str">
        <f>IF(Table2[[#This Row],[Description]]="","",DATE(Table2[[#This Row],[Year]],Table2[[#This Row],[Month]],1))</f>
        <v/>
      </c>
    </row>
    <row r="9439" spans="7:11" x14ac:dyDescent="0.25">
      <c r="G9439" s="1" t="str">
        <f>IF(Table2[[#This Row],[Description]]="","",VLOOKUP(Table2[[#This Row],[Description]],$Q$1:$S$101,2,FALSE))</f>
        <v/>
      </c>
      <c r="H9439" s="1" t="str">
        <f>IF(Table2[[#This Row],[Description]]="","",VLOOKUP(Table2[[#This Row],[Description]],$Q$1:$S$101,3,FALSE))</f>
        <v/>
      </c>
      <c r="I9439" s="1" t="str">
        <f>IF(Table2[[#This Row],[Description]]="","",IF(Table2[[#This Row],[Currency]]=$O$2,$P$2,HLOOKUP(Table2[[#This Row],[Date]],Funds!$C$10:$GV$11,2,FALSE)))</f>
        <v/>
      </c>
      <c r="J9439" s="215" t="str">
        <f>IF(Table2[[#This Row],[Description]]="","",Table2[[#This Row],[Value]]/Table2[[#This Row],[Conversion]])</f>
        <v/>
      </c>
      <c r="K9439" s="45" t="str">
        <f>IF(Table2[[#This Row],[Description]]="","",DATE(Table2[[#This Row],[Year]],Table2[[#This Row],[Month]],1))</f>
        <v/>
      </c>
    </row>
    <row r="9440" spans="7:11" x14ac:dyDescent="0.25">
      <c r="G9440" s="1" t="str">
        <f>IF(Table2[[#This Row],[Description]]="","",VLOOKUP(Table2[[#This Row],[Description]],$Q$1:$S$101,2,FALSE))</f>
        <v/>
      </c>
      <c r="H9440" s="1" t="str">
        <f>IF(Table2[[#This Row],[Description]]="","",VLOOKUP(Table2[[#This Row],[Description]],$Q$1:$S$101,3,FALSE))</f>
        <v/>
      </c>
      <c r="I9440" s="1" t="str">
        <f>IF(Table2[[#This Row],[Description]]="","",IF(Table2[[#This Row],[Currency]]=$O$2,$P$2,HLOOKUP(Table2[[#This Row],[Date]],Funds!$C$10:$GV$11,2,FALSE)))</f>
        <v/>
      </c>
      <c r="J9440" s="215" t="str">
        <f>IF(Table2[[#This Row],[Description]]="","",Table2[[#This Row],[Value]]/Table2[[#This Row],[Conversion]])</f>
        <v/>
      </c>
      <c r="K9440" s="45" t="str">
        <f>IF(Table2[[#This Row],[Description]]="","",DATE(Table2[[#This Row],[Year]],Table2[[#This Row],[Month]],1))</f>
        <v/>
      </c>
    </row>
    <row r="9441" spans="7:11" x14ac:dyDescent="0.25">
      <c r="G9441" s="1" t="str">
        <f>IF(Table2[[#This Row],[Description]]="","",VLOOKUP(Table2[[#This Row],[Description]],$Q$1:$S$101,2,FALSE))</f>
        <v/>
      </c>
      <c r="H9441" s="1" t="str">
        <f>IF(Table2[[#This Row],[Description]]="","",VLOOKUP(Table2[[#This Row],[Description]],$Q$1:$S$101,3,FALSE))</f>
        <v/>
      </c>
      <c r="I9441" s="1" t="str">
        <f>IF(Table2[[#This Row],[Description]]="","",IF(Table2[[#This Row],[Currency]]=$O$2,$P$2,HLOOKUP(Table2[[#This Row],[Date]],Funds!$C$10:$GV$11,2,FALSE)))</f>
        <v/>
      </c>
      <c r="J9441" s="215" t="str">
        <f>IF(Table2[[#This Row],[Description]]="","",Table2[[#This Row],[Value]]/Table2[[#This Row],[Conversion]])</f>
        <v/>
      </c>
      <c r="K9441" s="45" t="str">
        <f>IF(Table2[[#This Row],[Description]]="","",DATE(Table2[[#This Row],[Year]],Table2[[#This Row],[Month]],1))</f>
        <v/>
      </c>
    </row>
    <row r="9442" spans="7:11" x14ac:dyDescent="0.25">
      <c r="G9442" s="1" t="str">
        <f>IF(Table2[[#This Row],[Description]]="","",VLOOKUP(Table2[[#This Row],[Description]],$Q$1:$S$101,2,FALSE))</f>
        <v/>
      </c>
      <c r="H9442" s="1" t="str">
        <f>IF(Table2[[#This Row],[Description]]="","",VLOOKUP(Table2[[#This Row],[Description]],$Q$1:$S$101,3,FALSE))</f>
        <v/>
      </c>
      <c r="I9442" s="1" t="str">
        <f>IF(Table2[[#This Row],[Description]]="","",IF(Table2[[#This Row],[Currency]]=$O$2,$P$2,HLOOKUP(Table2[[#This Row],[Date]],Funds!$C$10:$GV$11,2,FALSE)))</f>
        <v/>
      </c>
      <c r="J9442" s="215" t="str">
        <f>IF(Table2[[#This Row],[Description]]="","",Table2[[#This Row],[Value]]/Table2[[#This Row],[Conversion]])</f>
        <v/>
      </c>
      <c r="K9442" s="45" t="str">
        <f>IF(Table2[[#This Row],[Description]]="","",DATE(Table2[[#This Row],[Year]],Table2[[#This Row],[Month]],1))</f>
        <v/>
      </c>
    </row>
    <row r="9443" spans="7:11" x14ac:dyDescent="0.25">
      <c r="G9443" s="1" t="str">
        <f>IF(Table2[[#This Row],[Description]]="","",VLOOKUP(Table2[[#This Row],[Description]],$Q$1:$S$101,2,FALSE))</f>
        <v/>
      </c>
      <c r="H9443" s="1" t="str">
        <f>IF(Table2[[#This Row],[Description]]="","",VLOOKUP(Table2[[#This Row],[Description]],$Q$1:$S$101,3,FALSE))</f>
        <v/>
      </c>
      <c r="I9443" s="1" t="str">
        <f>IF(Table2[[#This Row],[Description]]="","",IF(Table2[[#This Row],[Currency]]=$O$2,$P$2,HLOOKUP(Table2[[#This Row],[Date]],Funds!$C$10:$GV$11,2,FALSE)))</f>
        <v/>
      </c>
      <c r="J9443" s="215" t="str">
        <f>IF(Table2[[#This Row],[Description]]="","",Table2[[#This Row],[Value]]/Table2[[#This Row],[Conversion]])</f>
        <v/>
      </c>
      <c r="K9443" s="45" t="str">
        <f>IF(Table2[[#This Row],[Description]]="","",DATE(Table2[[#This Row],[Year]],Table2[[#This Row],[Month]],1))</f>
        <v/>
      </c>
    </row>
    <row r="9444" spans="7:11" x14ac:dyDescent="0.25">
      <c r="G9444" s="1" t="str">
        <f>IF(Table2[[#This Row],[Description]]="","",VLOOKUP(Table2[[#This Row],[Description]],$Q$1:$S$101,2,FALSE))</f>
        <v/>
      </c>
      <c r="H9444" s="1" t="str">
        <f>IF(Table2[[#This Row],[Description]]="","",VLOOKUP(Table2[[#This Row],[Description]],$Q$1:$S$101,3,FALSE))</f>
        <v/>
      </c>
      <c r="I9444" s="1" t="str">
        <f>IF(Table2[[#This Row],[Description]]="","",IF(Table2[[#This Row],[Currency]]=$O$2,$P$2,HLOOKUP(Table2[[#This Row],[Date]],Funds!$C$10:$GV$11,2,FALSE)))</f>
        <v/>
      </c>
      <c r="J9444" s="215" t="str">
        <f>IF(Table2[[#This Row],[Description]]="","",Table2[[#This Row],[Value]]/Table2[[#This Row],[Conversion]])</f>
        <v/>
      </c>
      <c r="K9444" s="45" t="str">
        <f>IF(Table2[[#This Row],[Description]]="","",DATE(Table2[[#This Row],[Year]],Table2[[#This Row],[Month]],1))</f>
        <v/>
      </c>
    </row>
    <row r="9445" spans="7:11" x14ac:dyDescent="0.25">
      <c r="G9445" s="1" t="str">
        <f>IF(Table2[[#This Row],[Description]]="","",VLOOKUP(Table2[[#This Row],[Description]],$Q$1:$S$101,2,FALSE))</f>
        <v/>
      </c>
      <c r="H9445" s="1" t="str">
        <f>IF(Table2[[#This Row],[Description]]="","",VLOOKUP(Table2[[#This Row],[Description]],$Q$1:$S$101,3,FALSE))</f>
        <v/>
      </c>
      <c r="I9445" s="1" t="str">
        <f>IF(Table2[[#This Row],[Description]]="","",IF(Table2[[#This Row],[Currency]]=$O$2,$P$2,HLOOKUP(Table2[[#This Row],[Date]],Funds!$C$10:$GV$11,2,FALSE)))</f>
        <v/>
      </c>
      <c r="J9445" s="215" t="str">
        <f>IF(Table2[[#This Row],[Description]]="","",Table2[[#This Row],[Value]]/Table2[[#This Row],[Conversion]])</f>
        <v/>
      </c>
      <c r="K9445" s="45" t="str">
        <f>IF(Table2[[#This Row],[Description]]="","",DATE(Table2[[#This Row],[Year]],Table2[[#This Row],[Month]],1))</f>
        <v/>
      </c>
    </row>
    <row r="9446" spans="7:11" x14ac:dyDescent="0.25">
      <c r="G9446" s="1" t="str">
        <f>IF(Table2[[#This Row],[Description]]="","",VLOOKUP(Table2[[#This Row],[Description]],$Q$1:$S$101,2,FALSE))</f>
        <v/>
      </c>
      <c r="H9446" s="1" t="str">
        <f>IF(Table2[[#This Row],[Description]]="","",VLOOKUP(Table2[[#This Row],[Description]],$Q$1:$S$101,3,FALSE))</f>
        <v/>
      </c>
      <c r="I9446" s="1" t="str">
        <f>IF(Table2[[#This Row],[Description]]="","",IF(Table2[[#This Row],[Currency]]=$O$2,$P$2,HLOOKUP(Table2[[#This Row],[Date]],Funds!$C$10:$GV$11,2,FALSE)))</f>
        <v/>
      </c>
      <c r="J9446" s="215" t="str">
        <f>IF(Table2[[#This Row],[Description]]="","",Table2[[#This Row],[Value]]/Table2[[#This Row],[Conversion]])</f>
        <v/>
      </c>
      <c r="K9446" s="45" t="str">
        <f>IF(Table2[[#This Row],[Description]]="","",DATE(Table2[[#This Row],[Year]],Table2[[#This Row],[Month]],1))</f>
        <v/>
      </c>
    </row>
    <row r="9447" spans="7:11" x14ac:dyDescent="0.25">
      <c r="G9447" s="1" t="str">
        <f>IF(Table2[[#This Row],[Description]]="","",VLOOKUP(Table2[[#This Row],[Description]],$Q$1:$S$101,2,FALSE))</f>
        <v/>
      </c>
      <c r="H9447" s="1" t="str">
        <f>IF(Table2[[#This Row],[Description]]="","",VLOOKUP(Table2[[#This Row],[Description]],$Q$1:$S$101,3,FALSE))</f>
        <v/>
      </c>
      <c r="I9447" s="1" t="str">
        <f>IF(Table2[[#This Row],[Description]]="","",IF(Table2[[#This Row],[Currency]]=$O$2,$P$2,HLOOKUP(Table2[[#This Row],[Date]],Funds!$C$10:$GV$11,2,FALSE)))</f>
        <v/>
      </c>
      <c r="J9447" s="215" t="str">
        <f>IF(Table2[[#This Row],[Description]]="","",Table2[[#This Row],[Value]]/Table2[[#This Row],[Conversion]])</f>
        <v/>
      </c>
      <c r="K9447" s="45" t="str">
        <f>IF(Table2[[#This Row],[Description]]="","",DATE(Table2[[#This Row],[Year]],Table2[[#This Row],[Month]],1))</f>
        <v/>
      </c>
    </row>
    <row r="9448" spans="7:11" x14ac:dyDescent="0.25">
      <c r="G9448" s="1" t="str">
        <f>IF(Table2[[#This Row],[Description]]="","",VLOOKUP(Table2[[#This Row],[Description]],$Q$1:$S$101,2,FALSE))</f>
        <v/>
      </c>
      <c r="H9448" s="1" t="str">
        <f>IF(Table2[[#This Row],[Description]]="","",VLOOKUP(Table2[[#This Row],[Description]],$Q$1:$S$101,3,FALSE))</f>
        <v/>
      </c>
      <c r="I9448" s="1" t="str">
        <f>IF(Table2[[#This Row],[Description]]="","",IF(Table2[[#This Row],[Currency]]=$O$2,$P$2,HLOOKUP(Table2[[#This Row],[Date]],Funds!$C$10:$GV$11,2,FALSE)))</f>
        <v/>
      </c>
      <c r="J9448" s="215" t="str">
        <f>IF(Table2[[#This Row],[Description]]="","",Table2[[#This Row],[Value]]/Table2[[#This Row],[Conversion]])</f>
        <v/>
      </c>
      <c r="K9448" s="45" t="str">
        <f>IF(Table2[[#This Row],[Description]]="","",DATE(Table2[[#This Row],[Year]],Table2[[#This Row],[Month]],1))</f>
        <v/>
      </c>
    </row>
    <row r="9449" spans="7:11" x14ac:dyDescent="0.25">
      <c r="G9449" s="1" t="str">
        <f>IF(Table2[[#This Row],[Description]]="","",VLOOKUP(Table2[[#This Row],[Description]],$Q$1:$S$101,2,FALSE))</f>
        <v/>
      </c>
      <c r="H9449" s="1" t="str">
        <f>IF(Table2[[#This Row],[Description]]="","",VLOOKUP(Table2[[#This Row],[Description]],$Q$1:$S$101,3,FALSE))</f>
        <v/>
      </c>
      <c r="I9449" s="1" t="str">
        <f>IF(Table2[[#This Row],[Description]]="","",IF(Table2[[#This Row],[Currency]]=$O$2,$P$2,HLOOKUP(Table2[[#This Row],[Date]],Funds!$C$10:$GV$11,2,FALSE)))</f>
        <v/>
      </c>
      <c r="J9449" s="215" t="str">
        <f>IF(Table2[[#This Row],[Description]]="","",Table2[[#This Row],[Value]]/Table2[[#This Row],[Conversion]])</f>
        <v/>
      </c>
      <c r="K9449" s="45" t="str">
        <f>IF(Table2[[#This Row],[Description]]="","",DATE(Table2[[#This Row],[Year]],Table2[[#This Row],[Month]],1))</f>
        <v/>
      </c>
    </row>
    <row r="9450" spans="7:11" x14ac:dyDescent="0.25">
      <c r="G9450" s="1" t="str">
        <f>IF(Table2[[#This Row],[Description]]="","",VLOOKUP(Table2[[#This Row],[Description]],$Q$1:$S$101,2,FALSE))</f>
        <v/>
      </c>
      <c r="H9450" s="1" t="str">
        <f>IF(Table2[[#This Row],[Description]]="","",VLOOKUP(Table2[[#This Row],[Description]],$Q$1:$S$101,3,FALSE))</f>
        <v/>
      </c>
      <c r="I9450" s="1" t="str">
        <f>IF(Table2[[#This Row],[Description]]="","",IF(Table2[[#This Row],[Currency]]=$O$2,$P$2,HLOOKUP(Table2[[#This Row],[Date]],Funds!$C$10:$GV$11,2,FALSE)))</f>
        <v/>
      </c>
      <c r="J9450" s="215" t="str">
        <f>IF(Table2[[#This Row],[Description]]="","",Table2[[#This Row],[Value]]/Table2[[#This Row],[Conversion]])</f>
        <v/>
      </c>
      <c r="K9450" s="45" t="str">
        <f>IF(Table2[[#This Row],[Description]]="","",DATE(Table2[[#This Row],[Year]],Table2[[#This Row],[Month]],1))</f>
        <v/>
      </c>
    </row>
    <row r="9451" spans="7:11" x14ac:dyDescent="0.25">
      <c r="G9451" s="1" t="str">
        <f>IF(Table2[[#This Row],[Description]]="","",VLOOKUP(Table2[[#This Row],[Description]],$Q$1:$S$101,2,FALSE))</f>
        <v/>
      </c>
      <c r="H9451" s="1" t="str">
        <f>IF(Table2[[#This Row],[Description]]="","",VLOOKUP(Table2[[#This Row],[Description]],$Q$1:$S$101,3,FALSE))</f>
        <v/>
      </c>
      <c r="I9451" s="1" t="str">
        <f>IF(Table2[[#This Row],[Description]]="","",IF(Table2[[#This Row],[Currency]]=$O$2,$P$2,HLOOKUP(Table2[[#This Row],[Date]],Funds!$C$10:$GV$11,2,FALSE)))</f>
        <v/>
      </c>
      <c r="J9451" s="215" t="str">
        <f>IF(Table2[[#This Row],[Description]]="","",Table2[[#This Row],[Value]]/Table2[[#This Row],[Conversion]])</f>
        <v/>
      </c>
      <c r="K9451" s="45" t="str">
        <f>IF(Table2[[#This Row],[Description]]="","",DATE(Table2[[#This Row],[Year]],Table2[[#This Row],[Month]],1))</f>
        <v/>
      </c>
    </row>
    <row r="9452" spans="7:11" x14ac:dyDescent="0.25">
      <c r="G9452" s="1" t="str">
        <f>IF(Table2[[#This Row],[Description]]="","",VLOOKUP(Table2[[#This Row],[Description]],$Q$1:$S$101,2,FALSE))</f>
        <v/>
      </c>
      <c r="H9452" s="1" t="str">
        <f>IF(Table2[[#This Row],[Description]]="","",VLOOKUP(Table2[[#This Row],[Description]],$Q$1:$S$101,3,FALSE))</f>
        <v/>
      </c>
      <c r="I9452" s="1" t="str">
        <f>IF(Table2[[#This Row],[Description]]="","",IF(Table2[[#This Row],[Currency]]=$O$2,$P$2,HLOOKUP(Table2[[#This Row],[Date]],Funds!$C$10:$GV$11,2,FALSE)))</f>
        <v/>
      </c>
      <c r="J9452" s="215" t="str">
        <f>IF(Table2[[#This Row],[Description]]="","",Table2[[#This Row],[Value]]/Table2[[#This Row],[Conversion]])</f>
        <v/>
      </c>
      <c r="K9452" s="45" t="str">
        <f>IF(Table2[[#This Row],[Description]]="","",DATE(Table2[[#This Row],[Year]],Table2[[#This Row],[Month]],1))</f>
        <v/>
      </c>
    </row>
    <row r="9453" spans="7:11" x14ac:dyDescent="0.25">
      <c r="G9453" s="1" t="str">
        <f>IF(Table2[[#This Row],[Description]]="","",VLOOKUP(Table2[[#This Row],[Description]],$Q$1:$S$101,2,FALSE))</f>
        <v/>
      </c>
      <c r="H9453" s="1" t="str">
        <f>IF(Table2[[#This Row],[Description]]="","",VLOOKUP(Table2[[#This Row],[Description]],$Q$1:$S$101,3,FALSE))</f>
        <v/>
      </c>
      <c r="I9453" s="1" t="str">
        <f>IF(Table2[[#This Row],[Description]]="","",IF(Table2[[#This Row],[Currency]]=$O$2,$P$2,HLOOKUP(Table2[[#This Row],[Date]],Funds!$C$10:$GV$11,2,FALSE)))</f>
        <v/>
      </c>
      <c r="J9453" s="215" t="str">
        <f>IF(Table2[[#This Row],[Description]]="","",Table2[[#This Row],[Value]]/Table2[[#This Row],[Conversion]])</f>
        <v/>
      </c>
      <c r="K9453" s="45" t="str">
        <f>IF(Table2[[#This Row],[Description]]="","",DATE(Table2[[#This Row],[Year]],Table2[[#This Row],[Month]],1))</f>
        <v/>
      </c>
    </row>
    <row r="9454" spans="7:11" x14ac:dyDescent="0.25">
      <c r="G9454" s="1" t="str">
        <f>IF(Table2[[#This Row],[Description]]="","",VLOOKUP(Table2[[#This Row],[Description]],$Q$1:$S$101,2,FALSE))</f>
        <v/>
      </c>
      <c r="H9454" s="1" t="str">
        <f>IF(Table2[[#This Row],[Description]]="","",VLOOKUP(Table2[[#This Row],[Description]],$Q$1:$S$101,3,FALSE))</f>
        <v/>
      </c>
      <c r="I9454" s="1" t="str">
        <f>IF(Table2[[#This Row],[Description]]="","",IF(Table2[[#This Row],[Currency]]=$O$2,$P$2,HLOOKUP(Table2[[#This Row],[Date]],Funds!$C$10:$GV$11,2,FALSE)))</f>
        <v/>
      </c>
      <c r="J9454" s="215" t="str">
        <f>IF(Table2[[#This Row],[Description]]="","",Table2[[#This Row],[Value]]/Table2[[#This Row],[Conversion]])</f>
        <v/>
      </c>
      <c r="K9454" s="45" t="str">
        <f>IF(Table2[[#This Row],[Description]]="","",DATE(Table2[[#This Row],[Year]],Table2[[#This Row],[Month]],1))</f>
        <v/>
      </c>
    </row>
    <row r="9455" spans="7:11" x14ac:dyDescent="0.25">
      <c r="G9455" s="1" t="str">
        <f>IF(Table2[[#This Row],[Description]]="","",VLOOKUP(Table2[[#This Row],[Description]],$Q$1:$S$101,2,FALSE))</f>
        <v/>
      </c>
      <c r="H9455" s="1" t="str">
        <f>IF(Table2[[#This Row],[Description]]="","",VLOOKUP(Table2[[#This Row],[Description]],$Q$1:$S$101,3,FALSE))</f>
        <v/>
      </c>
      <c r="I9455" s="1" t="str">
        <f>IF(Table2[[#This Row],[Description]]="","",IF(Table2[[#This Row],[Currency]]=$O$2,$P$2,HLOOKUP(Table2[[#This Row],[Date]],Funds!$C$10:$GV$11,2,FALSE)))</f>
        <v/>
      </c>
      <c r="J9455" s="215" t="str">
        <f>IF(Table2[[#This Row],[Description]]="","",Table2[[#This Row],[Value]]/Table2[[#This Row],[Conversion]])</f>
        <v/>
      </c>
      <c r="K9455" s="45" t="str">
        <f>IF(Table2[[#This Row],[Description]]="","",DATE(Table2[[#This Row],[Year]],Table2[[#This Row],[Month]],1))</f>
        <v/>
      </c>
    </row>
    <row r="9456" spans="7:11" x14ac:dyDescent="0.25">
      <c r="G9456" s="1" t="str">
        <f>IF(Table2[[#This Row],[Description]]="","",VLOOKUP(Table2[[#This Row],[Description]],$Q$1:$S$101,2,FALSE))</f>
        <v/>
      </c>
      <c r="H9456" s="1" t="str">
        <f>IF(Table2[[#This Row],[Description]]="","",VLOOKUP(Table2[[#This Row],[Description]],$Q$1:$S$101,3,FALSE))</f>
        <v/>
      </c>
      <c r="I9456" s="1" t="str">
        <f>IF(Table2[[#This Row],[Description]]="","",IF(Table2[[#This Row],[Currency]]=$O$2,$P$2,HLOOKUP(Table2[[#This Row],[Date]],Funds!$C$10:$GV$11,2,FALSE)))</f>
        <v/>
      </c>
      <c r="J9456" s="215" t="str">
        <f>IF(Table2[[#This Row],[Description]]="","",Table2[[#This Row],[Value]]/Table2[[#This Row],[Conversion]])</f>
        <v/>
      </c>
      <c r="K9456" s="45" t="str">
        <f>IF(Table2[[#This Row],[Description]]="","",DATE(Table2[[#This Row],[Year]],Table2[[#This Row],[Month]],1))</f>
        <v/>
      </c>
    </row>
    <row r="9457" spans="7:11" x14ac:dyDescent="0.25">
      <c r="G9457" s="1" t="str">
        <f>IF(Table2[[#This Row],[Description]]="","",VLOOKUP(Table2[[#This Row],[Description]],$Q$1:$S$101,2,FALSE))</f>
        <v/>
      </c>
      <c r="H9457" s="1" t="str">
        <f>IF(Table2[[#This Row],[Description]]="","",VLOOKUP(Table2[[#This Row],[Description]],$Q$1:$S$101,3,FALSE))</f>
        <v/>
      </c>
      <c r="I9457" s="1" t="str">
        <f>IF(Table2[[#This Row],[Description]]="","",IF(Table2[[#This Row],[Currency]]=$O$2,$P$2,HLOOKUP(Table2[[#This Row],[Date]],Funds!$C$10:$GV$11,2,FALSE)))</f>
        <v/>
      </c>
      <c r="J9457" s="215" t="str">
        <f>IF(Table2[[#This Row],[Description]]="","",Table2[[#This Row],[Value]]/Table2[[#This Row],[Conversion]])</f>
        <v/>
      </c>
      <c r="K9457" s="45" t="str">
        <f>IF(Table2[[#This Row],[Description]]="","",DATE(Table2[[#This Row],[Year]],Table2[[#This Row],[Month]],1))</f>
        <v/>
      </c>
    </row>
    <row r="9458" spans="7:11" x14ac:dyDescent="0.25">
      <c r="G9458" s="1" t="str">
        <f>IF(Table2[[#This Row],[Description]]="","",VLOOKUP(Table2[[#This Row],[Description]],$Q$1:$S$101,2,FALSE))</f>
        <v/>
      </c>
      <c r="H9458" s="1" t="str">
        <f>IF(Table2[[#This Row],[Description]]="","",VLOOKUP(Table2[[#This Row],[Description]],$Q$1:$S$101,3,FALSE))</f>
        <v/>
      </c>
      <c r="I9458" s="1" t="str">
        <f>IF(Table2[[#This Row],[Description]]="","",IF(Table2[[#This Row],[Currency]]=$O$2,$P$2,HLOOKUP(Table2[[#This Row],[Date]],Funds!$C$10:$GV$11,2,FALSE)))</f>
        <v/>
      </c>
      <c r="J9458" s="215" t="str">
        <f>IF(Table2[[#This Row],[Description]]="","",Table2[[#This Row],[Value]]/Table2[[#This Row],[Conversion]])</f>
        <v/>
      </c>
      <c r="K9458" s="45" t="str">
        <f>IF(Table2[[#This Row],[Description]]="","",DATE(Table2[[#This Row],[Year]],Table2[[#This Row],[Month]],1))</f>
        <v/>
      </c>
    </row>
    <row r="9459" spans="7:11" x14ac:dyDescent="0.25">
      <c r="G9459" s="1" t="str">
        <f>IF(Table2[[#This Row],[Description]]="","",VLOOKUP(Table2[[#This Row],[Description]],$Q$1:$S$101,2,FALSE))</f>
        <v/>
      </c>
      <c r="H9459" s="1" t="str">
        <f>IF(Table2[[#This Row],[Description]]="","",VLOOKUP(Table2[[#This Row],[Description]],$Q$1:$S$101,3,FALSE))</f>
        <v/>
      </c>
      <c r="I9459" s="1" t="str">
        <f>IF(Table2[[#This Row],[Description]]="","",IF(Table2[[#This Row],[Currency]]=$O$2,$P$2,HLOOKUP(Table2[[#This Row],[Date]],Funds!$C$10:$GV$11,2,FALSE)))</f>
        <v/>
      </c>
      <c r="J9459" s="215" t="str">
        <f>IF(Table2[[#This Row],[Description]]="","",Table2[[#This Row],[Value]]/Table2[[#This Row],[Conversion]])</f>
        <v/>
      </c>
      <c r="K9459" s="45" t="str">
        <f>IF(Table2[[#This Row],[Description]]="","",DATE(Table2[[#This Row],[Year]],Table2[[#This Row],[Month]],1))</f>
        <v/>
      </c>
    </row>
    <row r="9460" spans="7:11" x14ac:dyDescent="0.25">
      <c r="G9460" s="1" t="str">
        <f>IF(Table2[[#This Row],[Description]]="","",VLOOKUP(Table2[[#This Row],[Description]],$Q$1:$S$101,2,FALSE))</f>
        <v/>
      </c>
      <c r="H9460" s="1" t="str">
        <f>IF(Table2[[#This Row],[Description]]="","",VLOOKUP(Table2[[#This Row],[Description]],$Q$1:$S$101,3,FALSE))</f>
        <v/>
      </c>
      <c r="I9460" s="1" t="str">
        <f>IF(Table2[[#This Row],[Description]]="","",IF(Table2[[#This Row],[Currency]]=$O$2,$P$2,HLOOKUP(Table2[[#This Row],[Date]],Funds!$C$10:$GV$11,2,FALSE)))</f>
        <v/>
      </c>
      <c r="J9460" s="215" t="str">
        <f>IF(Table2[[#This Row],[Description]]="","",Table2[[#This Row],[Value]]/Table2[[#This Row],[Conversion]])</f>
        <v/>
      </c>
      <c r="K9460" s="45" t="str">
        <f>IF(Table2[[#This Row],[Description]]="","",DATE(Table2[[#This Row],[Year]],Table2[[#This Row],[Month]],1))</f>
        <v/>
      </c>
    </row>
    <row r="9461" spans="7:11" x14ac:dyDescent="0.25">
      <c r="G9461" s="1" t="str">
        <f>IF(Table2[[#This Row],[Description]]="","",VLOOKUP(Table2[[#This Row],[Description]],$Q$1:$S$101,2,FALSE))</f>
        <v/>
      </c>
      <c r="H9461" s="1" t="str">
        <f>IF(Table2[[#This Row],[Description]]="","",VLOOKUP(Table2[[#This Row],[Description]],$Q$1:$S$101,3,FALSE))</f>
        <v/>
      </c>
      <c r="I9461" s="1" t="str">
        <f>IF(Table2[[#This Row],[Description]]="","",IF(Table2[[#This Row],[Currency]]=$O$2,$P$2,HLOOKUP(Table2[[#This Row],[Date]],Funds!$C$10:$GV$11,2,FALSE)))</f>
        <v/>
      </c>
      <c r="J9461" s="215" t="str">
        <f>IF(Table2[[#This Row],[Description]]="","",Table2[[#This Row],[Value]]/Table2[[#This Row],[Conversion]])</f>
        <v/>
      </c>
      <c r="K9461" s="45" t="str">
        <f>IF(Table2[[#This Row],[Description]]="","",DATE(Table2[[#This Row],[Year]],Table2[[#This Row],[Month]],1))</f>
        <v/>
      </c>
    </row>
    <row r="9462" spans="7:11" x14ac:dyDescent="0.25">
      <c r="G9462" s="1" t="str">
        <f>IF(Table2[[#This Row],[Description]]="","",VLOOKUP(Table2[[#This Row],[Description]],$Q$1:$S$101,2,FALSE))</f>
        <v/>
      </c>
      <c r="H9462" s="1" t="str">
        <f>IF(Table2[[#This Row],[Description]]="","",VLOOKUP(Table2[[#This Row],[Description]],$Q$1:$S$101,3,FALSE))</f>
        <v/>
      </c>
      <c r="I9462" s="1" t="str">
        <f>IF(Table2[[#This Row],[Description]]="","",IF(Table2[[#This Row],[Currency]]=$O$2,$P$2,HLOOKUP(Table2[[#This Row],[Date]],Funds!$C$10:$GV$11,2,FALSE)))</f>
        <v/>
      </c>
      <c r="J9462" s="215" t="str">
        <f>IF(Table2[[#This Row],[Description]]="","",Table2[[#This Row],[Value]]/Table2[[#This Row],[Conversion]])</f>
        <v/>
      </c>
      <c r="K9462" s="45" t="str">
        <f>IF(Table2[[#This Row],[Description]]="","",DATE(Table2[[#This Row],[Year]],Table2[[#This Row],[Month]],1))</f>
        <v/>
      </c>
    </row>
    <row r="9463" spans="7:11" x14ac:dyDescent="0.25">
      <c r="G9463" s="1" t="str">
        <f>IF(Table2[[#This Row],[Description]]="","",VLOOKUP(Table2[[#This Row],[Description]],$Q$1:$S$101,2,FALSE))</f>
        <v/>
      </c>
      <c r="H9463" s="1" t="str">
        <f>IF(Table2[[#This Row],[Description]]="","",VLOOKUP(Table2[[#This Row],[Description]],$Q$1:$S$101,3,FALSE))</f>
        <v/>
      </c>
      <c r="I9463" s="1" t="str">
        <f>IF(Table2[[#This Row],[Description]]="","",IF(Table2[[#This Row],[Currency]]=$O$2,$P$2,HLOOKUP(Table2[[#This Row],[Date]],Funds!$C$10:$GV$11,2,FALSE)))</f>
        <v/>
      </c>
      <c r="J9463" s="215" t="str">
        <f>IF(Table2[[#This Row],[Description]]="","",Table2[[#This Row],[Value]]/Table2[[#This Row],[Conversion]])</f>
        <v/>
      </c>
      <c r="K9463" s="45" t="str">
        <f>IF(Table2[[#This Row],[Description]]="","",DATE(Table2[[#This Row],[Year]],Table2[[#This Row],[Month]],1))</f>
        <v/>
      </c>
    </row>
    <row r="9464" spans="7:11" x14ac:dyDescent="0.25">
      <c r="G9464" s="1" t="str">
        <f>IF(Table2[[#This Row],[Description]]="","",VLOOKUP(Table2[[#This Row],[Description]],$Q$1:$S$101,2,FALSE))</f>
        <v/>
      </c>
      <c r="H9464" s="1" t="str">
        <f>IF(Table2[[#This Row],[Description]]="","",VLOOKUP(Table2[[#This Row],[Description]],$Q$1:$S$101,3,FALSE))</f>
        <v/>
      </c>
      <c r="I9464" s="1" t="str">
        <f>IF(Table2[[#This Row],[Description]]="","",IF(Table2[[#This Row],[Currency]]=$O$2,$P$2,HLOOKUP(Table2[[#This Row],[Date]],Funds!$C$10:$GV$11,2,FALSE)))</f>
        <v/>
      </c>
      <c r="J9464" s="215" t="str">
        <f>IF(Table2[[#This Row],[Description]]="","",Table2[[#This Row],[Value]]/Table2[[#This Row],[Conversion]])</f>
        <v/>
      </c>
      <c r="K9464" s="45" t="str">
        <f>IF(Table2[[#This Row],[Description]]="","",DATE(Table2[[#This Row],[Year]],Table2[[#This Row],[Month]],1))</f>
        <v/>
      </c>
    </row>
    <row r="9465" spans="7:11" x14ac:dyDescent="0.25">
      <c r="G9465" s="1" t="str">
        <f>IF(Table2[[#This Row],[Description]]="","",VLOOKUP(Table2[[#This Row],[Description]],$Q$1:$S$101,2,FALSE))</f>
        <v/>
      </c>
      <c r="H9465" s="1" t="str">
        <f>IF(Table2[[#This Row],[Description]]="","",VLOOKUP(Table2[[#This Row],[Description]],$Q$1:$S$101,3,FALSE))</f>
        <v/>
      </c>
      <c r="I9465" s="1" t="str">
        <f>IF(Table2[[#This Row],[Description]]="","",IF(Table2[[#This Row],[Currency]]=$O$2,$P$2,HLOOKUP(Table2[[#This Row],[Date]],Funds!$C$10:$GV$11,2,FALSE)))</f>
        <v/>
      </c>
      <c r="J9465" s="215" t="str">
        <f>IF(Table2[[#This Row],[Description]]="","",Table2[[#This Row],[Value]]/Table2[[#This Row],[Conversion]])</f>
        <v/>
      </c>
      <c r="K9465" s="45" t="str">
        <f>IF(Table2[[#This Row],[Description]]="","",DATE(Table2[[#This Row],[Year]],Table2[[#This Row],[Month]],1))</f>
        <v/>
      </c>
    </row>
    <row r="9466" spans="7:11" x14ac:dyDescent="0.25">
      <c r="G9466" s="1" t="str">
        <f>IF(Table2[[#This Row],[Description]]="","",VLOOKUP(Table2[[#This Row],[Description]],$Q$1:$S$101,2,FALSE))</f>
        <v/>
      </c>
      <c r="H9466" s="1" t="str">
        <f>IF(Table2[[#This Row],[Description]]="","",VLOOKUP(Table2[[#This Row],[Description]],$Q$1:$S$101,3,FALSE))</f>
        <v/>
      </c>
      <c r="I9466" s="1" t="str">
        <f>IF(Table2[[#This Row],[Description]]="","",IF(Table2[[#This Row],[Currency]]=$O$2,$P$2,HLOOKUP(Table2[[#This Row],[Date]],Funds!$C$10:$GV$11,2,FALSE)))</f>
        <v/>
      </c>
      <c r="J9466" s="215" t="str">
        <f>IF(Table2[[#This Row],[Description]]="","",Table2[[#This Row],[Value]]/Table2[[#This Row],[Conversion]])</f>
        <v/>
      </c>
      <c r="K9466" s="45" t="str">
        <f>IF(Table2[[#This Row],[Description]]="","",DATE(Table2[[#This Row],[Year]],Table2[[#This Row],[Month]],1))</f>
        <v/>
      </c>
    </row>
    <row r="9467" spans="7:11" x14ac:dyDescent="0.25">
      <c r="G9467" s="1" t="str">
        <f>IF(Table2[[#This Row],[Description]]="","",VLOOKUP(Table2[[#This Row],[Description]],$Q$1:$S$101,2,FALSE))</f>
        <v/>
      </c>
      <c r="H9467" s="1" t="str">
        <f>IF(Table2[[#This Row],[Description]]="","",VLOOKUP(Table2[[#This Row],[Description]],$Q$1:$S$101,3,FALSE))</f>
        <v/>
      </c>
      <c r="I9467" s="1" t="str">
        <f>IF(Table2[[#This Row],[Description]]="","",IF(Table2[[#This Row],[Currency]]=$O$2,$P$2,HLOOKUP(Table2[[#This Row],[Date]],Funds!$C$10:$GV$11,2,FALSE)))</f>
        <v/>
      </c>
      <c r="J9467" s="215" t="str">
        <f>IF(Table2[[#This Row],[Description]]="","",Table2[[#This Row],[Value]]/Table2[[#This Row],[Conversion]])</f>
        <v/>
      </c>
      <c r="K9467" s="45" t="str">
        <f>IF(Table2[[#This Row],[Description]]="","",DATE(Table2[[#This Row],[Year]],Table2[[#This Row],[Month]],1))</f>
        <v/>
      </c>
    </row>
    <row r="9468" spans="7:11" x14ac:dyDescent="0.25">
      <c r="G9468" s="1" t="str">
        <f>IF(Table2[[#This Row],[Description]]="","",VLOOKUP(Table2[[#This Row],[Description]],$Q$1:$S$101,2,FALSE))</f>
        <v/>
      </c>
      <c r="H9468" s="1" t="str">
        <f>IF(Table2[[#This Row],[Description]]="","",VLOOKUP(Table2[[#This Row],[Description]],$Q$1:$S$101,3,FALSE))</f>
        <v/>
      </c>
      <c r="I9468" s="1" t="str">
        <f>IF(Table2[[#This Row],[Description]]="","",IF(Table2[[#This Row],[Currency]]=$O$2,$P$2,HLOOKUP(Table2[[#This Row],[Date]],Funds!$C$10:$GV$11,2,FALSE)))</f>
        <v/>
      </c>
      <c r="J9468" s="215" t="str">
        <f>IF(Table2[[#This Row],[Description]]="","",Table2[[#This Row],[Value]]/Table2[[#This Row],[Conversion]])</f>
        <v/>
      </c>
      <c r="K9468" s="45" t="str">
        <f>IF(Table2[[#This Row],[Description]]="","",DATE(Table2[[#This Row],[Year]],Table2[[#This Row],[Month]],1))</f>
        <v/>
      </c>
    </row>
    <row r="9469" spans="7:11" x14ac:dyDescent="0.25">
      <c r="G9469" s="1" t="str">
        <f>IF(Table2[[#This Row],[Description]]="","",VLOOKUP(Table2[[#This Row],[Description]],$Q$1:$S$101,2,FALSE))</f>
        <v/>
      </c>
      <c r="H9469" s="1" t="str">
        <f>IF(Table2[[#This Row],[Description]]="","",VLOOKUP(Table2[[#This Row],[Description]],$Q$1:$S$101,3,FALSE))</f>
        <v/>
      </c>
      <c r="I9469" s="1" t="str">
        <f>IF(Table2[[#This Row],[Description]]="","",IF(Table2[[#This Row],[Currency]]=$O$2,$P$2,HLOOKUP(Table2[[#This Row],[Date]],Funds!$C$10:$GV$11,2,FALSE)))</f>
        <v/>
      </c>
      <c r="J9469" s="215" t="str">
        <f>IF(Table2[[#This Row],[Description]]="","",Table2[[#This Row],[Value]]/Table2[[#This Row],[Conversion]])</f>
        <v/>
      </c>
      <c r="K9469" s="45" t="str">
        <f>IF(Table2[[#This Row],[Description]]="","",DATE(Table2[[#This Row],[Year]],Table2[[#This Row],[Month]],1))</f>
        <v/>
      </c>
    </row>
    <row r="9470" spans="7:11" x14ac:dyDescent="0.25">
      <c r="G9470" s="1" t="str">
        <f>IF(Table2[[#This Row],[Description]]="","",VLOOKUP(Table2[[#This Row],[Description]],$Q$1:$S$101,2,FALSE))</f>
        <v/>
      </c>
      <c r="H9470" s="1" t="str">
        <f>IF(Table2[[#This Row],[Description]]="","",VLOOKUP(Table2[[#This Row],[Description]],$Q$1:$S$101,3,FALSE))</f>
        <v/>
      </c>
      <c r="I9470" s="1" t="str">
        <f>IF(Table2[[#This Row],[Description]]="","",IF(Table2[[#This Row],[Currency]]=$O$2,$P$2,HLOOKUP(Table2[[#This Row],[Date]],Funds!$C$10:$GV$11,2,FALSE)))</f>
        <v/>
      </c>
      <c r="J9470" s="215" t="str">
        <f>IF(Table2[[#This Row],[Description]]="","",Table2[[#This Row],[Value]]/Table2[[#This Row],[Conversion]])</f>
        <v/>
      </c>
      <c r="K9470" s="45" t="str">
        <f>IF(Table2[[#This Row],[Description]]="","",DATE(Table2[[#This Row],[Year]],Table2[[#This Row],[Month]],1))</f>
        <v/>
      </c>
    </row>
    <row r="9471" spans="7:11" x14ac:dyDescent="0.25">
      <c r="G9471" s="1" t="str">
        <f>IF(Table2[[#This Row],[Description]]="","",VLOOKUP(Table2[[#This Row],[Description]],$Q$1:$S$101,2,FALSE))</f>
        <v/>
      </c>
      <c r="H9471" s="1" t="str">
        <f>IF(Table2[[#This Row],[Description]]="","",VLOOKUP(Table2[[#This Row],[Description]],$Q$1:$S$101,3,FALSE))</f>
        <v/>
      </c>
      <c r="I9471" s="1" t="str">
        <f>IF(Table2[[#This Row],[Description]]="","",IF(Table2[[#This Row],[Currency]]=$O$2,$P$2,HLOOKUP(Table2[[#This Row],[Date]],Funds!$C$10:$GV$11,2,FALSE)))</f>
        <v/>
      </c>
      <c r="J9471" s="215" t="str">
        <f>IF(Table2[[#This Row],[Description]]="","",Table2[[#This Row],[Value]]/Table2[[#This Row],[Conversion]])</f>
        <v/>
      </c>
      <c r="K9471" s="45" t="str">
        <f>IF(Table2[[#This Row],[Description]]="","",DATE(Table2[[#This Row],[Year]],Table2[[#This Row],[Month]],1))</f>
        <v/>
      </c>
    </row>
    <row r="9472" spans="7:11" x14ac:dyDescent="0.25">
      <c r="G9472" s="1" t="str">
        <f>IF(Table2[[#This Row],[Description]]="","",VLOOKUP(Table2[[#This Row],[Description]],$Q$1:$S$101,2,FALSE))</f>
        <v/>
      </c>
      <c r="H9472" s="1" t="str">
        <f>IF(Table2[[#This Row],[Description]]="","",VLOOKUP(Table2[[#This Row],[Description]],$Q$1:$S$101,3,FALSE))</f>
        <v/>
      </c>
      <c r="I9472" s="1" t="str">
        <f>IF(Table2[[#This Row],[Description]]="","",IF(Table2[[#This Row],[Currency]]=$O$2,$P$2,HLOOKUP(Table2[[#This Row],[Date]],Funds!$C$10:$GV$11,2,FALSE)))</f>
        <v/>
      </c>
      <c r="J9472" s="215" t="str">
        <f>IF(Table2[[#This Row],[Description]]="","",Table2[[#This Row],[Value]]/Table2[[#This Row],[Conversion]])</f>
        <v/>
      </c>
      <c r="K9472" s="45" t="str">
        <f>IF(Table2[[#This Row],[Description]]="","",DATE(Table2[[#This Row],[Year]],Table2[[#This Row],[Month]],1))</f>
        <v/>
      </c>
    </row>
    <row r="9473" spans="7:11" x14ac:dyDescent="0.25">
      <c r="G9473" s="1" t="str">
        <f>IF(Table2[[#This Row],[Description]]="","",VLOOKUP(Table2[[#This Row],[Description]],$Q$1:$S$101,2,FALSE))</f>
        <v/>
      </c>
      <c r="H9473" s="1" t="str">
        <f>IF(Table2[[#This Row],[Description]]="","",VLOOKUP(Table2[[#This Row],[Description]],$Q$1:$S$101,3,FALSE))</f>
        <v/>
      </c>
      <c r="I9473" s="1" t="str">
        <f>IF(Table2[[#This Row],[Description]]="","",IF(Table2[[#This Row],[Currency]]=$O$2,$P$2,HLOOKUP(Table2[[#This Row],[Date]],Funds!$C$10:$GV$11,2,FALSE)))</f>
        <v/>
      </c>
      <c r="J9473" s="215" t="str">
        <f>IF(Table2[[#This Row],[Description]]="","",Table2[[#This Row],[Value]]/Table2[[#This Row],[Conversion]])</f>
        <v/>
      </c>
      <c r="K9473" s="45" t="str">
        <f>IF(Table2[[#This Row],[Description]]="","",DATE(Table2[[#This Row],[Year]],Table2[[#This Row],[Month]],1))</f>
        <v/>
      </c>
    </row>
    <row r="9474" spans="7:11" x14ac:dyDescent="0.25">
      <c r="G9474" s="1" t="str">
        <f>IF(Table2[[#This Row],[Description]]="","",VLOOKUP(Table2[[#This Row],[Description]],$Q$1:$S$101,2,FALSE))</f>
        <v/>
      </c>
      <c r="H9474" s="1" t="str">
        <f>IF(Table2[[#This Row],[Description]]="","",VLOOKUP(Table2[[#This Row],[Description]],$Q$1:$S$101,3,FALSE))</f>
        <v/>
      </c>
      <c r="I9474" s="1" t="str">
        <f>IF(Table2[[#This Row],[Description]]="","",IF(Table2[[#This Row],[Currency]]=$O$2,$P$2,HLOOKUP(Table2[[#This Row],[Date]],Funds!$C$10:$GV$11,2,FALSE)))</f>
        <v/>
      </c>
      <c r="J9474" s="215" t="str">
        <f>IF(Table2[[#This Row],[Description]]="","",Table2[[#This Row],[Value]]/Table2[[#This Row],[Conversion]])</f>
        <v/>
      </c>
      <c r="K9474" s="45" t="str">
        <f>IF(Table2[[#This Row],[Description]]="","",DATE(Table2[[#This Row],[Year]],Table2[[#This Row],[Month]],1))</f>
        <v/>
      </c>
    </row>
    <row r="9475" spans="7:11" x14ac:dyDescent="0.25">
      <c r="G9475" s="1" t="str">
        <f>IF(Table2[[#This Row],[Description]]="","",VLOOKUP(Table2[[#This Row],[Description]],$Q$1:$S$101,2,FALSE))</f>
        <v/>
      </c>
      <c r="H9475" s="1" t="str">
        <f>IF(Table2[[#This Row],[Description]]="","",VLOOKUP(Table2[[#This Row],[Description]],$Q$1:$S$101,3,FALSE))</f>
        <v/>
      </c>
      <c r="I9475" s="1" t="str">
        <f>IF(Table2[[#This Row],[Description]]="","",IF(Table2[[#This Row],[Currency]]=$O$2,$P$2,HLOOKUP(Table2[[#This Row],[Date]],Funds!$C$10:$GV$11,2,FALSE)))</f>
        <v/>
      </c>
      <c r="J9475" s="215" t="str">
        <f>IF(Table2[[#This Row],[Description]]="","",Table2[[#This Row],[Value]]/Table2[[#This Row],[Conversion]])</f>
        <v/>
      </c>
      <c r="K9475" s="45" t="str">
        <f>IF(Table2[[#This Row],[Description]]="","",DATE(Table2[[#This Row],[Year]],Table2[[#This Row],[Month]],1))</f>
        <v/>
      </c>
    </row>
    <row r="9476" spans="7:11" x14ac:dyDescent="0.25">
      <c r="G9476" s="1" t="str">
        <f>IF(Table2[[#This Row],[Description]]="","",VLOOKUP(Table2[[#This Row],[Description]],$Q$1:$S$101,2,FALSE))</f>
        <v/>
      </c>
      <c r="H9476" s="1" t="str">
        <f>IF(Table2[[#This Row],[Description]]="","",VLOOKUP(Table2[[#This Row],[Description]],$Q$1:$S$101,3,FALSE))</f>
        <v/>
      </c>
      <c r="I9476" s="1" t="str">
        <f>IF(Table2[[#This Row],[Description]]="","",IF(Table2[[#This Row],[Currency]]=$O$2,$P$2,HLOOKUP(Table2[[#This Row],[Date]],Funds!$C$10:$GV$11,2,FALSE)))</f>
        <v/>
      </c>
      <c r="J9476" s="215" t="str">
        <f>IF(Table2[[#This Row],[Description]]="","",Table2[[#This Row],[Value]]/Table2[[#This Row],[Conversion]])</f>
        <v/>
      </c>
      <c r="K9476" s="45" t="str">
        <f>IF(Table2[[#This Row],[Description]]="","",DATE(Table2[[#This Row],[Year]],Table2[[#This Row],[Month]],1))</f>
        <v/>
      </c>
    </row>
    <row r="9477" spans="7:11" x14ac:dyDescent="0.25">
      <c r="G9477" s="1" t="str">
        <f>IF(Table2[[#This Row],[Description]]="","",VLOOKUP(Table2[[#This Row],[Description]],$Q$1:$S$101,2,FALSE))</f>
        <v/>
      </c>
      <c r="H9477" s="1" t="str">
        <f>IF(Table2[[#This Row],[Description]]="","",VLOOKUP(Table2[[#This Row],[Description]],$Q$1:$S$101,3,FALSE))</f>
        <v/>
      </c>
      <c r="I9477" s="1" t="str">
        <f>IF(Table2[[#This Row],[Description]]="","",IF(Table2[[#This Row],[Currency]]=$O$2,$P$2,HLOOKUP(Table2[[#This Row],[Date]],Funds!$C$10:$GV$11,2,FALSE)))</f>
        <v/>
      </c>
      <c r="J9477" s="215" t="str">
        <f>IF(Table2[[#This Row],[Description]]="","",Table2[[#This Row],[Value]]/Table2[[#This Row],[Conversion]])</f>
        <v/>
      </c>
      <c r="K9477" s="45" t="str">
        <f>IF(Table2[[#This Row],[Description]]="","",DATE(Table2[[#This Row],[Year]],Table2[[#This Row],[Month]],1))</f>
        <v/>
      </c>
    </row>
    <row r="9478" spans="7:11" x14ac:dyDescent="0.25">
      <c r="G9478" s="1" t="str">
        <f>IF(Table2[[#This Row],[Description]]="","",VLOOKUP(Table2[[#This Row],[Description]],$Q$1:$S$101,2,FALSE))</f>
        <v/>
      </c>
      <c r="H9478" s="1" t="str">
        <f>IF(Table2[[#This Row],[Description]]="","",VLOOKUP(Table2[[#This Row],[Description]],$Q$1:$S$101,3,FALSE))</f>
        <v/>
      </c>
      <c r="I9478" s="1" t="str">
        <f>IF(Table2[[#This Row],[Description]]="","",IF(Table2[[#This Row],[Currency]]=$O$2,$P$2,HLOOKUP(Table2[[#This Row],[Date]],Funds!$C$10:$GV$11,2,FALSE)))</f>
        <v/>
      </c>
      <c r="J9478" s="215" t="str">
        <f>IF(Table2[[#This Row],[Description]]="","",Table2[[#This Row],[Value]]/Table2[[#This Row],[Conversion]])</f>
        <v/>
      </c>
      <c r="K9478" s="45" t="str">
        <f>IF(Table2[[#This Row],[Description]]="","",DATE(Table2[[#This Row],[Year]],Table2[[#This Row],[Month]],1))</f>
        <v/>
      </c>
    </row>
    <row r="9479" spans="7:11" x14ac:dyDescent="0.25">
      <c r="G9479" s="1" t="str">
        <f>IF(Table2[[#This Row],[Description]]="","",VLOOKUP(Table2[[#This Row],[Description]],$Q$1:$S$101,2,FALSE))</f>
        <v/>
      </c>
      <c r="H9479" s="1" t="str">
        <f>IF(Table2[[#This Row],[Description]]="","",VLOOKUP(Table2[[#This Row],[Description]],$Q$1:$S$101,3,FALSE))</f>
        <v/>
      </c>
      <c r="I9479" s="1" t="str">
        <f>IF(Table2[[#This Row],[Description]]="","",IF(Table2[[#This Row],[Currency]]=$O$2,$P$2,HLOOKUP(Table2[[#This Row],[Date]],Funds!$C$10:$GV$11,2,FALSE)))</f>
        <v/>
      </c>
      <c r="J9479" s="215" t="str">
        <f>IF(Table2[[#This Row],[Description]]="","",Table2[[#This Row],[Value]]/Table2[[#This Row],[Conversion]])</f>
        <v/>
      </c>
      <c r="K9479" s="45" t="str">
        <f>IF(Table2[[#This Row],[Description]]="","",DATE(Table2[[#This Row],[Year]],Table2[[#This Row],[Month]],1))</f>
        <v/>
      </c>
    </row>
    <row r="9480" spans="7:11" x14ac:dyDescent="0.25">
      <c r="G9480" s="1" t="str">
        <f>IF(Table2[[#This Row],[Description]]="","",VLOOKUP(Table2[[#This Row],[Description]],$Q$1:$S$101,2,FALSE))</f>
        <v/>
      </c>
      <c r="H9480" s="1" t="str">
        <f>IF(Table2[[#This Row],[Description]]="","",VLOOKUP(Table2[[#This Row],[Description]],$Q$1:$S$101,3,FALSE))</f>
        <v/>
      </c>
      <c r="I9480" s="1" t="str">
        <f>IF(Table2[[#This Row],[Description]]="","",IF(Table2[[#This Row],[Currency]]=$O$2,$P$2,HLOOKUP(Table2[[#This Row],[Date]],Funds!$C$10:$GV$11,2,FALSE)))</f>
        <v/>
      </c>
      <c r="J9480" s="215" t="str">
        <f>IF(Table2[[#This Row],[Description]]="","",Table2[[#This Row],[Value]]/Table2[[#This Row],[Conversion]])</f>
        <v/>
      </c>
      <c r="K9480" s="45" t="str">
        <f>IF(Table2[[#This Row],[Description]]="","",DATE(Table2[[#This Row],[Year]],Table2[[#This Row],[Month]],1))</f>
        <v/>
      </c>
    </row>
    <row r="9481" spans="7:11" x14ac:dyDescent="0.25">
      <c r="G9481" s="1" t="str">
        <f>IF(Table2[[#This Row],[Description]]="","",VLOOKUP(Table2[[#This Row],[Description]],$Q$1:$S$101,2,FALSE))</f>
        <v/>
      </c>
      <c r="H9481" s="1" t="str">
        <f>IF(Table2[[#This Row],[Description]]="","",VLOOKUP(Table2[[#This Row],[Description]],$Q$1:$S$101,3,FALSE))</f>
        <v/>
      </c>
      <c r="I9481" s="1" t="str">
        <f>IF(Table2[[#This Row],[Description]]="","",IF(Table2[[#This Row],[Currency]]=$O$2,$P$2,HLOOKUP(Table2[[#This Row],[Date]],Funds!$C$10:$GV$11,2,FALSE)))</f>
        <v/>
      </c>
      <c r="J9481" s="215" t="str">
        <f>IF(Table2[[#This Row],[Description]]="","",Table2[[#This Row],[Value]]/Table2[[#This Row],[Conversion]])</f>
        <v/>
      </c>
      <c r="K9481" s="45" t="str">
        <f>IF(Table2[[#This Row],[Description]]="","",DATE(Table2[[#This Row],[Year]],Table2[[#This Row],[Month]],1))</f>
        <v/>
      </c>
    </row>
    <row r="9482" spans="7:11" x14ac:dyDescent="0.25">
      <c r="G9482" s="1" t="str">
        <f>IF(Table2[[#This Row],[Description]]="","",VLOOKUP(Table2[[#This Row],[Description]],$Q$1:$S$101,2,FALSE))</f>
        <v/>
      </c>
      <c r="H9482" s="1" t="str">
        <f>IF(Table2[[#This Row],[Description]]="","",VLOOKUP(Table2[[#This Row],[Description]],$Q$1:$S$101,3,FALSE))</f>
        <v/>
      </c>
      <c r="I9482" s="1" t="str">
        <f>IF(Table2[[#This Row],[Description]]="","",IF(Table2[[#This Row],[Currency]]=$O$2,$P$2,HLOOKUP(Table2[[#This Row],[Date]],Funds!$C$10:$GV$11,2,FALSE)))</f>
        <v/>
      </c>
      <c r="J9482" s="215" t="str">
        <f>IF(Table2[[#This Row],[Description]]="","",Table2[[#This Row],[Value]]/Table2[[#This Row],[Conversion]])</f>
        <v/>
      </c>
      <c r="K9482" s="45" t="str">
        <f>IF(Table2[[#This Row],[Description]]="","",DATE(Table2[[#This Row],[Year]],Table2[[#This Row],[Month]],1))</f>
        <v/>
      </c>
    </row>
    <row r="9483" spans="7:11" x14ac:dyDescent="0.25">
      <c r="G9483" s="1" t="str">
        <f>IF(Table2[[#This Row],[Description]]="","",VLOOKUP(Table2[[#This Row],[Description]],$Q$1:$S$101,2,FALSE))</f>
        <v/>
      </c>
      <c r="H9483" s="1" t="str">
        <f>IF(Table2[[#This Row],[Description]]="","",VLOOKUP(Table2[[#This Row],[Description]],$Q$1:$S$101,3,FALSE))</f>
        <v/>
      </c>
      <c r="I9483" s="1" t="str">
        <f>IF(Table2[[#This Row],[Description]]="","",IF(Table2[[#This Row],[Currency]]=$O$2,$P$2,HLOOKUP(Table2[[#This Row],[Date]],Funds!$C$10:$GV$11,2,FALSE)))</f>
        <v/>
      </c>
      <c r="J9483" s="215" t="str">
        <f>IF(Table2[[#This Row],[Description]]="","",Table2[[#This Row],[Value]]/Table2[[#This Row],[Conversion]])</f>
        <v/>
      </c>
      <c r="K9483" s="45" t="str">
        <f>IF(Table2[[#This Row],[Description]]="","",DATE(Table2[[#This Row],[Year]],Table2[[#This Row],[Month]],1))</f>
        <v/>
      </c>
    </row>
    <row r="9484" spans="7:11" x14ac:dyDescent="0.25">
      <c r="G9484" s="1" t="str">
        <f>IF(Table2[[#This Row],[Description]]="","",VLOOKUP(Table2[[#This Row],[Description]],$Q$1:$S$101,2,FALSE))</f>
        <v/>
      </c>
      <c r="H9484" s="1" t="str">
        <f>IF(Table2[[#This Row],[Description]]="","",VLOOKUP(Table2[[#This Row],[Description]],$Q$1:$S$101,3,FALSE))</f>
        <v/>
      </c>
      <c r="I9484" s="1" t="str">
        <f>IF(Table2[[#This Row],[Description]]="","",IF(Table2[[#This Row],[Currency]]=$O$2,$P$2,HLOOKUP(Table2[[#This Row],[Date]],Funds!$C$10:$GV$11,2,FALSE)))</f>
        <v/>
      </c>
      <c r="J9484" s="215" t="str">
        <f>IF(Table2[[#This Row],[Description]]="","",Table2[[#This Row],[Value]]/Table2[[#This Row],[Conversion]])</f>
        <v/>
      </c>
      <c r="K9484" s="45" t="str">
        <f>IF(Table2[[#This Row],[Description]]="","",DATE(Table2[[#This Row],[Year]],Table2[[#This Row],[Month]],1))</f>
        <v/>
      </c>
    </row>
    <row r="9485" spans="7:11" x14ac:dyDescent="0.25">
      <c r="G9485" s="1" t="str">
        <f>IF(Table2[[#This Row],[Description]]="","",VLOOKUP(Table2[[#This Row],[Description]],$Q$1:$S$101,2,FALSE))</f>
        <v/>
      </c>
      <c r="H9485" s="1" t="str">
        <f>IF(Table2[[#This Row],[Description]]="","",VLOOKUP(Table2[[#This Row],[Description]],$Q$1:$S$101,3,FALSE))</f>
        <v/>
      </c>
      <c r="I9485" s="1" t="str">
        <f>IF(Table2[[#This Row],[Description]]="","",IF(Table2[[#This Row],[Currency]]=$O$2,$P$2,HLOOKUP(Table2[[#This Row],[Date]],Funds!$C$10:$GV$11,2,FALSE)))</f>
        <v/>
      </c>
      <c r="J9485" s="215" t="str">
        <f>IF(Table2[[#This Row],[Description]]="","",Table2[[#This Row],[Value]]/Table2[[#This Row],[Conversion]])</f>
        <v/>
      </c>
      <c r="K9485" s="45" t="str">
        <f>IF(Table2[[#This Row],[Description]]="","",DATE(Table2[[#This Row],[Year]],Table2[[#This Row],[Month]],1))</f>
        <v/>
      </c>
    </row>
    <row r="9486" spans="7:11" x14ac:dyDescent="0.25">
      <c r="G9486" s="1" t="str">
        <f>IF(Table2[[#This Row],[Description]]="","",VLOOKUP(Table2[[#This Row],[Description]],$Q$1:$S$101,2,FALSE))</f>
        <v/>
      </c>
      <c r="H9486" s="1" t="str">
        <f>IF(Table2[[#This Row],[Description]]="","",VLOOKUP(Table2[[#This Row],[Description]],$Q$1:$S$101,3,FALSE))</f>
        <v/>
      </c>
      <c r="I9486" s="1" t="str">
        <f>IF(Table2[[#This Row],[Description]]="","",IF(Table2[[#This Row],[Currency]]=$O$2,$P$2,HLOOKUP(Table2[[#This Row],[Date]],Funds!$C$10:$GV$11,2,FALSE)))</f>
        <v/>
      </c>
      <c r="J9486" s="215" t="str">
        <f>IF(Table2[[#This Row],[Description]]="","",Table2[[#This Row],[Value]]/Table2[[#This Row],[Conversion]])</f>
        <v/>
      </c>
      <c r="K9486" s="45" t="str">
        <f>IF(Table2[[#This Row],[Description]]="","",DATE(Table2[[#This Row],[Year]],Table2[[#This Row],[Month]],1))</f>
        <v/>
      </c>
    </row>
    <row r="9487" spans="7:11" x14ac:dyDescent="0.25">
      <c r="G9487" s="1" t="str">
        <f>IF(Table2[[#This Row],[Description]]="","",VLOOKUP(Table2[[#This Row],[Description]],$Q$1:$S$101,2,FALSE))</f>
        <v/>
      </c>
      <c r="H9487" s="1" t="str">
        <f>IF(Table2[[#This Row],[Description]]="","",VLOOKUP(Table2[[#This Row],[Description]],$Q$1:$S$101,3,FALSE))</f>
        <v/>
      </c>
      <c r="I9487" s="1" t="str">
        <f>IF(Table2[[#This Row],[Description]]="","",IF(Table2[[#This Row],[Currency]]=$O$2,$P$2,HLOOKUP(Table2[[#This Row],[Date]],Funds!$C$10:$GV$11,2,FALSE)))</f>
        <v/>
      </c>
      <c r="J9487" s="215" t="str">
        <f>IF(Table2[[#This Row],[Description]]="","",Table2[[#This Row],[Value]]/Table2[[#This Row],[Conversion]])</f>
        <v/>
      </c>
      <c r="K9487" s="45" t="str">
        <f>IF(Table2[[#This Row],[Description]]="","",DATE(Table2[[#This Row],[Year]],Table2[[#This Row],[Month]],1))</f>
        <v/>
      </c>
    </row>
    <row r="9488" spans="7:11" x14ac:dyDescent="0.25">
      <c r="G9488" s="1" t="str">
        <f>IF(Table2[[#This Row],[Description]]="","",VLOOKUP(Table2[[#This Row],[Description]],$Q$1:$S$101,2,FALSE))</f>
        <v/>
      </c>
      <c r="H9488" s="1" t="str">
        <f>IF(Table2[[#This Row],[Description]]="","",VLOOKUP(Table2[[#This Row],[Description]],$Q$1:$S$101,3,FALSE))</f>
        <v/>
      </c>
      <c r="I9488" s="1" t="str">
        <f>IF(Table2[[#This Row],[Description]]="","",IF(Table2[[#This Row],[Currency]]=$O$2,$P$2,HLOOKUP(Table2[[#This Row],[Date]],Funds!$C$10:$GV$11,2,FALSE)))</f>
        <v/>
      </c>
      <c r="J9488" s="215" t="str">
        <f>IF(Table2[[#This Row],[Description]]="","",Table2[[#This Row],[Value]]/Table2[[#This Row],[Conversion]])</f>
        <v/>
      </c>
      <c r="K9488" s="45" t="str">
        <f>IF(Table2[[#This Row],[Description]]="","",DATE(Table2[[#This Row],[Year]],Table2[[#This Row],[Month]],1))</f>
        <v/>
      </c>
    </row>
    <row r="9489" spans="7:11" x14ac:dyDescent="0.25">
      <c r="G9489" s="1" t="str">
        <f>IF(Table2[[#This Row],[Description]]="","",VLOOKUP(Table2[[#This Row],[Description]],$Q$1:$S$101,2,FALSE))</f>
        <v/>
      </c>
      <c r="H9489" s="1" t="str">
        <f>IF(Table2[[#This Row],[Description]]="","",VLOOKUP(Table2[[#This Row],[Description]],$Q$1:$S$101,3,FALSE))</f>
        <v/>
      </c>
      <c r="I9489" s="1" t="str">
        <f>IF(Table2[[#This Row],[Description]]="","",IF(Table2[[#This Row],[Currency]]=$O$2,$P$2,HLOOKUP(Table2[[#This Row],[Date]],Funds!$C$10:$GV$11,2,FALSE)))</f>
        <v/>
      </c>
      <c r="J9489" s="215" t="str">
        <f>IF(Table2[[#This Row],[Description]]="","",Table2[[#This Row],[Value]]/Table2[[#This Row],[Conversion]])</f>
        <v/>
      </c>
      <c r="K9489" s="45" t="str">
        <f>IF(Table2[[#This Row],[Description]]="","",DATE(Table2[[#This Row],[Year]],Table2[[#This Row],[Month]],1))</f>
        <v/>
      </c>
    </row>
    <row r="9490" spans="7:11" x14ac:dyDescent="0.25">
      <c r="G9490" s="1" t="str">
        <f>IF(Table2[[#This Row],[Description]]="","",VLOOKUP(Table2[[#This Row],[Description]],$Q$1:$S$101,2,FALSE))</f>
        <v/>
      </c>
      <c r="H9490" s="1" t="str">
        <f>IF(Table2[[#This Row],[Description]]="","",VLOOKUP(Table2[[#This Row],[Description]],$Q$1:$S$101,3,FALSE))</f>
        <v/>
      </c>
      <c r="I9490" s="1" t="str">
        <f>IF(Table2[[#This Row],[Description]]="","",IF(Table2[[#This Row],[Currency]]=$O$2,$P$2,HLOOKUP(Table2[[#This Row],[Date]],Funds!$C$10:$GV$11,2,FALSE)))</f>
        <v/>
      </c>
      <c r="J9490" s="215" t="str">
        <f>IF(Table2[[#This Row],[Description]]="","",Table2[[#This Row],[Value]]/Table2[[#This Row],[Conversion]])</f>
        <v/>
      </c>
      <c r="K9490" s="45" t="str">
        <f>IF(Table2[[#This Row],[Description]]="","",DATE(Table2[[#This Row],[Year]],Table2[[#This Row],[Month]],1))</f>
        <v/>
      </c>
    </row>
    <row r="9491" spans="7:11" x14ac:dyDescent="0.25">
      <c r="G9491" s="1" t="str">
        <f>IF(Table2[[#This Row],[Description]]="","",VLOOKUP(Table2[[#This Row],[Description]],$Q$1:$S$101,2,FALSE))</f>
        <v/>
      </c>
      <c r="H9491" s="1" t="str">
        <f>IF(Table2[[#This Row],[Description]]="","",VLOOKUP(Table2[[#This Row],[Description]],$Q$1:$S$101,3,FALSE))</f>
        <v/>
      </c>
      <c r="I9491" s="1" t="str">
        <f>IF(Table2[[#This Row],[Description]]="","",IF(Table2[[#This Row],[Currency]]=$O$2,$P$2,HLOOKUP(Table2[[#This Row],[Date]],Funds!$C$10:$GV$11,2,FALSE)))</f>
        <v/>
      </c>
      <c r="J9491" s="215" t="str">
        <f>IF(Table2[[#This Row],[Description]]="","",Table2[[#This Row],[Value]]/Table2[[#This Row],[Conversion]])</f>
        <v/>
      </c>
      <c r="K9491" s="45" t="str">
        <f>IF(Table2[[#This Row],[Description]]="","",DATE(Table2[[#This Row],[Year]],Table2[[#This Row],[Month]],1))</f>
        <v/>
      </c>
    </row>
    <row r="9492" spans="7:11" x14ac:dyDescent="0.25">
      <c r="G9492" s="1" t="str">
        <f>IF(Table2[[#This Row],[Description]]="","",VLOOKUP(Table2[[#This Row],[Description]],$Q$1:$S$101,2,FALSE))</f>
        <v/>
      </c>
      <c r="H9492" s="1" t="str">
        <f>IF(Table2[[#This Row],[Description]]="","",VLOOKUP(Table2[[#This Row],[Description]],$Q$1:$S$101,3,FALSE))</f>
        <v/>
      </c>
      <c r="I9492" s="1" t="str">
        <f>IF(Table2[[#This Row],[Description]]="","",IF(Table2[[#This Row],[Currency]]=$O$2,$P$2,HLOOKUP(Table2[[#This Row],[Date]],Funds!$C$10:$GV$11,2,FALSE)))</f>
        <v/>
      </c>
      <c r="J9492" s="215" t="str">
        <f>IF(Table2[[#This Row],[Description]]="","",Table2[[#This Row],[Value]]/Table2[[#This Row],[Conversion]])</f>
        <v/>
      </c>
      <c r="K9492" s="45" t="str">
        <f>IF(Table2[[#This Row],[Description]]="","",DATE(Table2[[#This Row],[Year]],Table2[[#This Row],[Month]],1))</f>
        <v/>
      </c>
    </row>
    <row r="9493" spans="7:11" x14ac:dyDescent="0.25">
      <c r="G9493" s="1" t="str">
        <f>IF(Table2[[#This Row],[Description]]="","",VLOOKUP(Table2[[#This Row],[Description]],$Q$1:$S$101,2,FALSE))</f>
        <v/>
      </c>
      <c r="H9493" s="1" t="str">
        <f>IF(Table2[[#This Row],[Description]]="","",VLOOKUP(Table2[[#This Row],[Description]],$Q$1:$S$101,3,FALSE))</f>
        <v/>
      </c>
      <c r="I9493" s="1" t="str">
        <f>IF(Table2[[#This Row],[Description]]="","",IF(Table2[[#This Row],[Currency]]=$O$2,$P$2,HLOOKUP(Table2[[#This Row],[Date]],Funds!$C$10:$GV$11,2,FALSE)))</f>
        <v/>
      </c>
      <c r="J9493" s="215" t="str">
        <f>IF(Table2[[#This Row],[Description]]="","",Table2[[#This Row],[Value]]/Table2[[#This Row],[Conversion]])</f>
        <v/>
      </c>
      <c r="K9493" s="45" t="str">
        <f>IF(Table2[[#This Row],[Description]]="","",DATE(Table2[[#This Row],[Year]],Table2[[#This Row],[Month]],1))</f>
        <v/>
      </c>
    </row>
    <row r="9494" spans="7:11" x14ac:dyDescent="0.25">
      <c r="G9494" s="1" t="str">
        <f>IF(Table2[[#This Row],[Description]]="","",VLOOKUP(Table2[[#This Row],[Description]],$Q$1:$S$101,2,FALSE))</f>
        <v/>
      </c>
      <c r="H9494" s="1" t="str">
        <f>IF(Table2[[#This Row],[Description]]="","",VLOOKUP(Table2[[#This Row],[Description]],$Q$1:$S$101,3,FALSE))</f>
        <v/>
      </c>
      <c r="I9494" s="1" t="str">
        <f>IF(Table2[[#This Row],[Description]]="","",IF(Table2[[#This Row],[Currency]]=$O$2,$P$2,HLOOKUP(Table2[[#This Row],[Date]],Funds!$C$10:$GV$11,2,FALSE)))</f>
        <v/>
      </c>
      <c r="J9494" s="215" t="str">
        <f>IF(Table2[[#This Row],[Description]]="","",Table2[[#This Row],[Value]]/Table2[[#This Row],[Conversion]])</f>
        <v/>
      </c>
      <c r="K9494" s="45" t="str">
        <f>IF(Table2[[#This Row],[Description]]="","",DATE(Table2[[#This Row],[Year]],Table2[[#This Row],[Month]],1))</f>
        <v/>
      </c>
    </row>
    <row r="9495" spans="7:11" x14ac:dyDescent="0.25">
      <c r="G9495" s="1" t="str">
        <f>IF(Table2[[#This Row],[Description]]="","",VLOOKUP(Table2[[#This Row],[Description]],$Q$1:$S$101,2,FALSE))</f>
        <v/>
      </c>
      <c r="H9495" s="1" t="str">
        <f>IF(Table2[[#This Row],[Description]]="","",VLOOKUP(Table2[[#This Row],[Description]],$Q$1:$S$101,3,FALSE))</f>
        <v/>
      </c>
      <c r="I9495" s="1" t="str">
        <f>IF(Table2[[#This Row],[Description]]="","",IF(Table2[[#This Row],[Currency]]=$O$2,$P$2,HLOOKUP(Table2[[#This Row],[Date]],Funds!$C$10:$GV$11,2,FALSE)))</f>
        <v/>
      </c>
      <c r="J9495" s="215" t="str">
        <f>IF(Table2[[#This Row],[Description]]="","",Table2[[#This Row],[Value]]/Table2[[#This Row],[Conversion]])</f>
        <v/>
      </c>
      <c r="K9495" s="45" t="str">
        <f>IF(Table2[[#This Row],[Description]]="","",DATE(Table2[[#This Row],[Year]],Table2[[#This Row],[Month]],1))</f>
        <v/>
      </c>
    </row>
    <row r="9496" spans="7:11" x14ac:dyDescent="0.25">
      <c r="G9496" s="1" t="str">
        <f>IF(Table2[[#This Row],[Description]]="","",VLOOKUP(Table2[[#This Row],[Description]],$Q$1:$S$101,2,FALSE))</f>
        <v/>
      </c>
      <c r="H9496" s="1" t="str">
        <f>IF(Table2[[#This Row],[Description]]="","",VLOOKUP(Table2[[#This Row],[Description]],$Q$1:$S$101,3,FALSE))</f>
        <v/>
      </c>
      <c r="I9496" s="1" t="str">
        <f>IF(Table2[[#This Row],[Description]]="","",IF(Table2[[#This Row],[Currency]]=$O$2,$P$2,HLOOKUP(Table2[[#This Row],[Date]],Funds!$C$10:$GV$11,2,FALSE)))</f>
        <v/>
      </c>
      <c r="J9496" s="215" t="str">
        <f>IF(Table2[[#This Row],[Description]]="","",Table2[[#This Row],[Value]]/Table2[[#This Row],[Conversion]])</f>
        <v/>
      </c>
      <c r="K9496" s="45" t="str">
        <f>IF(Table2[[#This Row],[Description]]="","",DATE(Table2[[#This Row],[Year]],Table2[[#This Row],[Month]],1))</f>
        <v/>
      </c>
    </row>
    <row r="9497" spans="7:11" x14ac:dyDescent="0.25">
      <c r="G9497" s="1" t="str">
        <f>IF(Table2[[#This Row],[Description]]="","",VLOOKUP(Table2[[#This Row],[Description]],$Q$1:$S$101,2,FALSE))</f>
        <v/>
      </c>
      <c r="H9497" s="1" t="str">
        <f>IF(Table2[[#This Row],[Description]]="","",VLOOKUP(Table2[[#This Row],[Description]],$Q$1:$S$101,3,FALSE))</f>
        <v/>
      </c>
      <c r="I9497" s="1" t="str">
        <f>IF(Table2[[#This Row],[Description]]="","",IF(Table2[[#This Row],[Currency]]=$O$2,$P$2,HLOOKUP(Table2[[#This Row],[Date]],Funds!$C$10:$GV$11,2,FALSE)))</f>
        <v/>
      </c>
      <c r="J9497" s="215" t="str">
        <f>IF(Table2[[#This Row],[Description]]="","",Table2[[#This Row],[Value]]/Table2[[#This Row],[Conversion]])</f>
        <v/>
      </c>
      <c r="K9497" s="45" t="str">
        <f>IF(Table2[[#This Row],[Description]]="","",DATE(Table2[[#This Row],[Year]],Table2[[#This Row],[Month]],1))</f>
        <v/>
      </c>
    </row>
    <row r="9498" spans="7:11" x14ac:dyDescent="0.25">
      <c r="G9498" s="1" t="str">
        <f>IF(Table2[[#This Row],[Description]]="","",VLOOKUP(Table2[[#This Row],[Description]],$Q$1:$S$101,2,FALSE))</f>
        <v/>
      </c>
      <c r="H9498" s="1" t="str">
        <f>IF(Table2[[#This Row],[Description]]="","",VLOOKUP(Table2[[#This Row],[Description]],$Q$1:$S$101,3,FALSE))</f>
        <v/>
      </c>
      <c r="I9498" s="1" t="str">
        <f>IF(Table2[[#This Row],[Description]]="","",IF(Table2[[#This Row],[Currency]]=$O$2,$P$2,HLOOKUP(Table2[[#This Row],[Date]],Funds!$C$10:$GV$11,2,FALSE)))</f>
        <v/>
      </c>
      <c r="J9498" s="215" t="str">
        <f>IF(Table2[[#This Row],[Description]]="","",Table2[[#This Row],[Value]]/Table2[[#This Row],[Conversion]])</f>
        <v/>
      </c>
      <c r="K9498" s="45" t="str">
        <f>IF(Table2[[#This Row],[Description]]="","",DATE(Table2[[#This Row],[Year]],Table2[[#This Row],[Month]],1))</f>
        <v/>
      </c>
    </row>
    <row r="9499" spans="7:11" x14ac:dyDescent="0.25">
      <c r="G9499" s="1" t="str">
        <f>IF(Table2[[#This Row],[Description]]="","",VLOOKUP(Table2[[#This Row],[Description]],$Q$1:$S$101,2,FALSE))</f>
        <v/>
      </c>
      <c r="H9499" s="1" t="str">
        <f>IF(Table2[[#This Row],[Description]]="","",VLOOKUP(Table2[[#This Row],[Description]],$Q$1:$S$101,3,FALSE))</f>
        <v/>
      </c>
      <c r="I9499" s="1" t="str">
        <f>IF(Table2[[#This Row],[Description]]="","",IF(Table2[[#This Row],[Currency]]=$O$2,$P$2,HLOOKUP(Table2[[#This Row],[Date]],Funds!$C$10:$GV$11,2,FALSE)))</f>
        <v/>
      </c>
      <c r="J9499" s="215" t="str">
        <f>IF(Table2[[#This Row],[Description]]="","",Table2[[#This Row],[Value]]/Table2[[#This Row],[Conversion]])</f>
        <v/>
      </c>
      <c r="K9499" s="45" t="str">
        <f>IF(Table2[[#This Row],[Description]]="","",DATE(Table2[[#This Row],[Year]],Table2[[#This Row],[Month]],1))</f>
        <v/>
      </c>
    </row>
    <row r="9500" spans="7:11" x14ac:dyDescent="0.25">
      <c r="G9500" s="1" t="str">
        <f>IF(Table2[[#This Row],[Description]]="","",VLOOKUP(Table2[[#This Row],[Description]],$Q$1:$S$101,2,FALSE))</f>
        <v/>
      </c>
      <c r="H9500" s="1" t="str">
        <f>IF(Table2[[#This Row],[Description]]="","",VLOOKUP(Table2[[#This Row],[Description]],$Q$1:$S$101,3,FALSE))</f>
        <v/>
      </c>
      <c r="I9500" s="1" t="str">
        <f>IF(Table2[[#This Row],[Description]]="","",IF(Table2[[#This Row],[Currency]]=$O$2,$P$2,HLOOKUP(Table2[[#This Row],[Date]],Funds!$C$10:$GV$11,2,FALSE)))</f>
        <v/>
      </c>
      <c r="J9500" s="215" t="str">
        <f>IF(Table2[[#This Row],[Description]]="","",Table2[[#This Row],[Value]]/Table2[[#This Row],[Conversion]])</f>
        <v/>
      </c>
      <c r="K9500" s="45" t="str">
        <f>IF(Table2[[#This Row],[Description]]="","",DATE(Table2[[#This Row],[Year]],Table2[[#This Row],[Month]],1))</f>
        <v/>
      </c>
    </row>
    <row r="9501" spans="7:11" x14ac:dyDescent="0.25">
      <c r="G9501" s="1" t="str">
        <f>IF(Table2[[#This Row],[Description]]="","",VLOOKUP(Table2[[#This Row],[Description]],$Q$1:$S$101,2,FALSE))</f>
        <v/>
      </c>
      <c r="H9501" s="1" t="str">
        <f>IF(Table2[[#This Row],[Description]]="","",VLOOKUP(Table2[[#This Row],[Description]],$Q$1:$S$101,3,FALSE))</f>
        <v/>
      </c>
      <c r="I9501" s="1" t="str">
        <f>IF(Table2[[#This Row],[Description]]="","",IF(Table2[[#This Row],[Currency]]=$O$2,$P$2,HLOOKUP(Table2[[#This Row],[Date]],Funds!$C$10:$GV$11,2,FALSE)))</f>
        <v/>
      </c>
      <c r="J9501" s="215" t="str">
        <f>IF(Table2[[#This Row],[Description]]="","",Table2[[#This Row],[Value]]/Table2[[#This Row],[Conversion]])</f>
        <v/>
      </c>
      <c r="K9501" s="45" t="str">
        <f>IF(Table2[[#This Row],[Description]]="","",DATE(Table2[[#This Row],[Year]],Table2[[#This Row],[Month]],1))</f>
        <v/>
      </c>
    </row>
    <row r="9502" spans="7:11" x14ac:dyDescent="0.25">
      <c r="G9502" s="1" t="str">
        <f>IF(Table2[[#This Row],[Description]]="","",VLOOKUP(Table2[[#This Row],[Description]],$Q$1:$S$101,2,FALSE))</f>
        <v/>
      </c>
      <c r="H9502" s="1" t="str">
        <f>IF(Table2[[#This Row],[Description]]="","",VLOOKUP(Table2[[#This Row],[Description]],$Q$1:$S$101,3,FALSE))</f>
        <v/>
      </c>
      <c r="I9502" s="1" t="str">
        <f>IF(Table2[[#This Row],[Description]]="","",IF(Table2[[#This Row],[Currency]]=$O$2,$P$2,HLOOKUP(Table2[[#This Row],[Date]],Funds!$C$10:$GV$11,2,FALSE)))</f>
        <v/>
      </c>
      <c r="J9502" s="215" t="str">
        <f>IF(Table2[[#This Row],[Description]]="","",Table2[[#This Row],[Value]]/Table2[[#This Row],[Conversion]])</f>
        <v/>
      </c>
      <c r="K9502" s="45" t="str">
        <f>IF(Table2[[#This Row],[Description]]="","",DATE(Table2[[#This Row],[Year]],Table2[[#This Row],[Month]],1))</f>
        <v/>
      </c>
    </row>
    <row r="9503" spans="7:11" x14ac:dyDescent="0.25">
      <c r="G9503" s="1" t="str">
        <f>IF(Table2[[#This Row],[Description]]="","",VLOOKUP(Table2[[#This Row],[Description]],$Q$1:$S$101,2,FALSE))</f>
        <v/>
      </c>
      <c r="H9503" s="1" t="str">
        <f>IF(Table2[[#This Row],[Description]]="","",VLOOKUP(Table2[[#This Row],[Description]],$Q$1:$S$101,3,FALSE))</f>
        <v/>
      </c>
      <c r="I9503" s="1" t="str">
        <f>IF(Table2[[#This Row],[Description]]="","",IF(Table2[[#This Row],[Currency]]=$O$2,$P$2,HLOOKUP(Table2[[#This Row],[Date]],Funds!$C$10:$GV$11,2,FALSE)))</f>
        <v/>
      </c>
      <c r="J9503" s="215" t="str">
        <f>IF(Table2[[#This Row],[Description]]="","",Table2[[#This Row],[Value]]/Table2[[#This Row],[Conversion]])</f>
        <v/>
      </c>
      <c r="K9503" s="45" t="str">
        <f>IF(Table2[[#This Row],[Description]]="","",DATE(Table2[[#This Row],[Year]],Table2[[#This Row],[Month]],1))</f>
        <v/>
      </c>
    </row>
    <row r="9504" spans="7:11" x14ac:dyDescent="0.25">
      <c r="G9504" s="1" t="str">
        <f>IF(Table2[[#This Row],[Description]]="","",VLOOKUP(Table2[[#This Row],[Description]],$Q$1:$S$101,2,FALSE))</f>
        <v/>
      </c>
      <c r="H9504" s="1" t="str">
        <f>IF(Table2[[#This Row],[Description]]="","",VLOOKUP(Table2[[#This Row],[Description]],$Q$1:$S$101,3,FALSE))</f>
        <v/>
      </c>
      <c r="I9504" s="1" t="str">
        <f>IF(Table2[[#This Row],[Description]]="","",IF(Table2[[#This Row],[Currency]]=$O$2,$P$2,HLOOKUP(Table2[[#This Row],[Date]],Funds!$C$10:$GV$11,2,FALSE)))</f>
        <v/>
      </c>
      <c r="J9504" s="215" t="str">
        <f>IF(Table2[[#This Row],[Description]]="","",Table2[[#This Row],[Value]]/Table2[[#This Row],[Conversion]])</f>
        <v/>
      </c>
      <c r="K9504" s="45" t="str">
        <f>IF(Table2[[#This Row],[Description]]="","",DATE(Table2[[#This Row],[Year]],Table2[[#This Row],[Month]],1))</f>
        <v/>
      </c>
    </row>
    <row r="9505" spans="7:11" x14ac:dyDescent="0.25">
      <c r="G9505" s="1" t="str">
        <f>IF(Table2[[#This Row],[Description]]="","",VLOOKUP(Table2[[#This Row],[Description]],$Q$1:$S$101,2,FALSE))</f>
        <v/>
      </c>
      <c r="H9505" s="1" t="str">
        <f>IF(Table2[[#This Row],[Description]]="","",VLOOKUP(Table2[[#This Row],[Description]],$Q$1:$S$101,3,FALSE))</f>
        <v/>
      </c>
      <c r="I9505" s="1" t="str">
        <f>IF(Table2[[#This Row],[Description]]="","",IF(Table2[[#This Row],[Currency]]=$O$2,$P$2,HLOOKUP(Table2[[#This Row],[Date]],Funds!$C$10:$GV$11,2,FALSE)))</f>
        <v/>
      </c>
      <c r="J9505" s="215" t="str">
        <f>IF(Table2[[#This Row],[Description]]="","",Table2[[#This Row],[Value]]/Table2[[#This Row],[Conversion]])</f>
        <v/>
      </c>
      <c r="K9505" s="45" t="str">
        <f>IF(Table2[[#This Row],[Description]]="","",DATE(Table2[[#This Row],[Year]],Table2[[#This Row],[Month]],1))</f>
        <v/>
      </c>
    </row>
    <row r="9506" spans="7:11" x14ac:dyDescent="0.25">
      <c r="G9506" s="1" t="str">
        <f>IF(Table2[[#This Row],[Description]]="","",VLOOKUP(Table2[[#This Row],[Description]],$Q$1:$S$101,2,FALSE))</f>
        <v/>
      </c>
      <c r="H9506" s="1" t="str">
        <f>IF(Table2[[#This Row],[Description]]="","",VLOOKUP(Table2[[#This Row],[Description]],$Q$1:$S$101,3,FALSE))</f>
        <v/>
      </c>
      <c r="I9506" s="1" t="str">
        <f>IF(Table2[[#This Row],[Description]]="","",IF(Table2[[#This Row],[Currency]]=$O$2,$P$2,HLOOKUP(Table2[[#This Row],[Date]],Funds!$C$10:$GV$11,2,FALSE)))</f>
        <v/>
      </c>
      <c r="J9506" s="215" t="str">
        <f>IF(Table2[[#This Row],[Description]]="","",Table2[[#This Row],[Value]]/Table2[[#This Row],[Conversion]])</f>
        <v/>
      </c>
      <c r="K9506" s="45" t="str">
        <f>IF(Table2[[#This Row],[Description]]="","",DATE(Table2[[#This Row],[Year]],Table2[[#This Row],[Month]],1))</f>
        <v/>
      </c>
    </row>
    <row r="9507" spans="7:11" x14ac:dyDescent="0.25">
      <c r="G9507" s="1" t="str">
        <f>IF(Table2[[#This Row],[Description]]="","",VLOOKUP(Table2[[#This Row],[Description]],$Q$1:$S$101,2,FALSE))</f>
        <v/>
      </c>
      <c r="H9507" s="1" t="str">
        <f>IF(Table2[[#This Row],[Description]]="","",VLOOKUP(Table2[[#This Row],[Description]],$Q$1:$S$101,3,FALSE))</f>
        <v/>
      </c>
      <c r="I9507" s="1" t="str">
        <f>IF(Table2[[#This Row],[Description]]="","",IF(Table2[[#This Row],[Currency]]=$O$2,$P$2,HLOOKUP(Table2[[#This Row],[Date]],Funds!$C$10:$GV$11,2,FALSE)))</f>
        <v/>
      </c>
      <c r="J9507" s="215" t="str">
        <f>IF(Table2[[#This Row],[Description]]="","",Table2[[#This Row],[Value]]/Table2[[#This Row],[Conversion]])</f>
        <v/>
      </c>
      <c r="K9507" s="45" t="str">
        <f>IF(Table2[[#This Row],[Description]]="","",DATE(Table2[[#This Row],[Year]],Table2[[#This Row],[Month]],1))</f>
        <v/>
      </c>
    </row>
    <row r="9508" spans="7:11" x14ac:dyDescent="0.25">
      <c r="G9508" s="1" t="str">
        <f>IF(Table2[[#This Row],[Description]]="","",VLOOKUP(Table2[[#This Row],[Description]],$Q$1:$S$101,2,FALSE))</f>
        <v/>
      </c>
      <c r="H9508" s="1" t="str">
        <f>IF(Table2[[#This Row],[Description]]="","",VLOOKUP(Table2[[#This Row],[Description]],$Q$1:$S$101,3,FALSE))</f>
        <v/>
      </c>
      <c r="I9508" s="1" t="str">
        <f>IF(Table2[[#This Row],[Description]]="","",IF(Table2[[#This Row],[Currency]]=$O$2,$P$2,HLOOKUP(Table2[[#This Row],[Date]],Funds!$C$10:$GV$11,2,FALSE)))</f>
        <v/>
      </c>
      <c r="J9508" s="215" t="str">
        <f>IF(Table2[[#This Row],[Description]]="","",Table2[[#This Row],[Value]]/Table2[[#This Row],[Conversion]])</f>
        <v/>
      </c>
      <c r="K9508" s="45" t="str">
        <f>IF(Table2[[#This Row],[Description]]="","",DATE(Table2[[#This Row],[Year]],Table2[[#This Row],[Month]],1))</f>
        <v/>
      </c>
    </row>
    <row r="9509" spans="7:11" x14ac:dyDescent="0.25">
      <c r="G9509" s="1" t="str">
        <f>IF(Table2[[#This Row],[Description]]="","",VLOOKUP(Table2[[#This Row],[Description]],$Q$1:$S$101,2,FALSE))</f>
        <v/>
      </c>
      <c r="H9509" s="1" t="str">
        <f>IF(Table2[[#This Row],[Description]]="","",VLOOKUP(Table2[[#This Row],[Description]],$Q$1:$S$101,3,FALSE))</f>
        <v/>
      </c>
      <c r="I9509" s="1" t="str">
        <f>IF(Table2[[#This Row],[Description]]="","",IF(Table2[[#This Row],[Currency]]=$O$2,$P$2,HLOOKUP(Table2[[#This Row],[Date]],Funds!$C$10:$GV$11,2,FALSE)))</f>
        <v/>
      </c>
      <c r="J9509" s="215" t="str">
        <f>IF(Table2[[#This Row],[Description]]="","",Table2[[#This Row],[Value]]/Table2[[#This Row],[Conversion]])</f>
        <v/>
      </c>
      <c r="K9509" s="45" t="str">
        <f>IF(Table2[[#This Row],[Description]]="","",DATE(Table2[[#This Row],[Year]],Table2[[#This Row],[Month]],1))</f>
        <v/>
      </c>
    </row>
    <row r="9510" spans="7:11" x14ac:dyDescent="0.25">
      <c r="G9510" s="1" t="str">
        <f>IF(Table2[[#This Row],[Description]]="","",VLOOKUP(Table2[[#This Row],[Description]],$Q$1:$S$101,2,FALSE))</f>
        <v/>
      </c>
      <c r="H9510" s="1" t="str">
        <f>IF(Table2[[#This Row],[Description]]="","",VLOOKUP(Table2[[#This Row],[Description]],$Q$1:$S$101,3,FALSE))</f>
        <v/>
      </c>
      <c r="I9510" s="1" t="str">
        <f>IF(Table2[[#This Row],[Description]]="","",IF(Table2[[#This Row],[Currency]]=$O$2,$P$2,HLOOKUP(Table2[[#This Row],[Date]],Funds!$C$10:$GV$11,2,FALSE)))</f>
        <v/>
      </c>
      <c r="J9510" s="215" t="str">
        <f>IF(Table2[[#This Row],[Description]]="","",Table2[[#This Row],[Value]]/Table2[[#This Row],[Conversion]])</f>
        <v/>
      </c>
      <c r="K9510" s="45" t="str">
        <f>IF(Table2[[#This Row],[Description]]="","",DATE(Table2[[#This Row],[Year]],Table2[[#This Row],[Month]],1))</f>
        <v/>
      </c>
    </row>
    <row r="9511" spans="7:11" x14ac:dyDescent="0.25">
      <c r="G9511" s="1" t="str">
        <f>IF(Table2[[#This Row],[Description]]="","",VLOOKUP(Table2[[#This Row],[Description]],$Q$1:$S$101,2,FALSE))</f>
        <v/>
      </c>
      <c r="H9511" s="1" t="str">
        <f>IF(Table2[[#This Row],[Description]]="","",VLOOKUP(Table2[[#This Row],[Description]],$Q$1:$S$101,3,FALSE))</f>
        <v/>
      </c>
      <c r="I9511" s="1" t="str">
        <f>IF(Table2[[#This Row],[Description]]="","",IF(Table2[[#This Row],[Currency]]=$O$2,$P$2,HLOOKUP(Table2[[#This Row],[Date]],Funds!$C$10:$GV$11,2,FALSE)))</f>
        <v/>
      </c>
      <c r="J9511" s="215" t="str">
        <f>IF(Table2[[#This Row],[Description]]="","",Table2[[#This Row],[Value]]/Table2[[#This Row],[Conversion]])</f>
        <v/>
      </c>
      <c r="K9511" s="45" t="str">
        <f>IF(Table2[[#This Row],[Description]]="","",DATE(Table2[[#This Row],[Year]],Table2[[#This Row],[Month]],1))</f>
        <v/>
      </c>
    </row>
    <row r="9512" spans="7:11" x14ac:dyDescent="0.25">
      <c r="G9512" s="1" t="str">
        <f>IF(Table2[[#This Row],[Description]]="","",VLOOKUP(Table2[[#This Row],[Description]],$Q$1:$S$101,2,FALSE))</f>
        <v/>
      </c>
      <c r="H9512" s="1" t="str">
        <f>IF(Table2[[#This Row],[Description]]="","",VLOOKUP(Table2[[#This Row],[Description]],$Q$1:$S$101,3,FALSE))</f>
        <v/>
      </c>
      <c r="I9512" s="1" t="str">
        <f>IF(Table2[[#This Row],[Description]]="","",IF(Table2[[#This Row],[Currency]]=$O$2,$P$2,HLOOKUP(Table2[[#This Row],[Date]],Funds!$C$10:$GV$11,2,FALSE)))</f>
        <v/>
      </c>
      <c r="J9512" s="215" t="str">
        <f>IF(Table2[[#This Row],[Description]]="","",Table2[[#This Row],[Value]]/Table2[[#This Row],[Conversion]])</f>
        <v/>
      </c>
      <c r="K9512" s="45" t="str">
        <f>IF(Table2[[#This Row],[Description]]="","",DATE(Table2[[#This Row],[Year]],Table2[[#This Row],[Month]],1))</f>
        <v/>
      </c>
    </row>
    <row r="9513" spans="7:11" x14ac:dyDescent="0.25">
      <c r="G9513" s="1" t="str">
        <f>IF(Table2[[#This Row],[Description]]="","",VLOOKUP(Table2[[#This Row],[Description]],$Q$1:$S$101,2,FALSE))</f>
        <v/>
      </c>
      <c r="H9513" s="1" t="str">
        <f>IF(Table2[[#This Row],[Description]]="","",VLOOKUP(Table2[[#This Row],[Description]],$Q$1:$S$101,3,FALSE))</f>
        <v/>
      </c>
      <c r="I9513" s="1" t="str">
        <f>IF(Table2[[#This Row],[Description]]="","",IF(Table2[[#This Row],[Currency]]=$O$2,$P$2,HLOOKUP(Table2[[#This Row],[Date]],Funds!$C$10:$GV$11,2,FALSE)))</f>
        <v/>
      </c>
      <c r="J9513" s="215" t="str">
        <f>IF(Table2[[#This Row],[Description]]="","",Table2[[#This Row],[Value]]/Table2[[#This Row],[Conversion]])</f>
        <v/>
      </c>
      <c r="K9513" s="45" t="str">
        <f>IF(Table2[[#This Row],[Description]]="","",DATE(Table2[[#This Row],[Year]],Table2[[#This Row],[Month]],1))</f>
        <v/>
      </c>
    </row>
    <row r="9514" spans="7:11" x14ac:dyDescent="0.25">
      <c r="G9514" s="1" t="str">
        <f>IF(Table2[[#This Row],[Description]]="","",VLOOKUP(Table2[[#This Row],[Description]],$Q$1:$S$101,2,FALSE))</f>
        <v/>
      </c>
      <c r="H9514" s="1" t="str">
        <f>IF(Table2[[#This Row],[Description]]="","",VLOOKUP(Table2[[#This Row],[Description]],$Q$1:$S$101,3,FALSE))</f>
        <v/>
      </c>
      <c r="I9514" s="1" t="str">
        <f>IF(Table2[[#This Row],[Description]]="","",IF(Table2[[#This Row],[Currency]]=$O$2,$P$2,HLOOKUP(Table2[[#This Row],[Date]],Funds!$C$10:$GV$11,2,FALSE)))</f>
        <v/>
      </c>
      <c r="J9514" s="215" t="str">
        <f>IF(Table2[[#This Row],[Description]]="","",Table2[[#This Row],[Value]]/Table2[[#This Row],[Conversion]])</f>
        <v/>
      </c>
      <c r="K9514" s="45" t="str">
        <f>IF(Table2[[#This Row],[Description]]="","",DATE(Table2[[#This Row],[Year]],Table2[[#This Row],[Month]],1))</f>
        <v/>
      </c>
    </row>
    <row r="9515" spans="7:11" x14ac:dyDescent="0.25">
      <c r="G9515" s="1" t="str">
        <f>IF(Table2[[#This Row],[Description]]="","",VLOOKUP(Table2[[#This Row],[Description]],$Q$1:$S$101,2,FALSE))</f>
        <v/>
      </c>
      <c r="H9515" s="1" t="str">
        <f>IF(Table2[[#This Row],[Description]]="","",VLOOKUP(Table2[[#This Row],[Description]],$Q$1:$S$101,3,FALSE))</f>
        <v/>
      </c>
      <c r="I9515" s="1" t="str">
        <f>IF(Table2[[#This Row],[Description]]="","",IF(Table2[[#This Row],[Currency]]=$O$2,$P$2,HLOOKUP(Table2[[#This Row],[Date]],Funds!$C$10:$GV$11,2,FALSE)))</f>
        <v/>
      </c>
      <c r="J9515" s="215" t="str">
        <f>IF(Table2[[#This Row],[Description]]="","",Table2[[#This Row],[Value]]/Table2[[#This Row],[Conversion]])</f>
        <v/>
      </c>
      <c r="K9515" s="45" t="str">
        <f>IF(Table2[[#This Row],[Description]]="","",DATE(Table2[[#This Row],[Year]],Table2[[#This Row],[Month]],1))</f>
        <v/>
      </c>
    </row>
    <row r="9516" spans="7:11" x14ac:dyDescent="0.25">
      <c r="G9516" s="1" t="str">
        <f>IF(Table2[[#This Row],[Description]]="","",VLOOKUP(Table2[[#This Row],[Description]],$Q$1:$S$101,2,FALSE))</f>
        <v/>
      </c>
      <c r="H9516" s="1" t="str">
        <f>IF(Table2[[#This Row],[Description]]="","",VLOOKUP(Table2[[#This Row],[Description]],$Q$1:$S$101,3,FALSE))</f>
        <v/>
      </c>
      <c r="I9516" s="1" t="str">
        <f>IF(Table2[[#This Row],[Description]]="","",IF(Table2[[#This Row],[Currency]]=$O$2,$P$2,HLOOKUP(Table2[[#This Row],[Date]],Funds!$C$10:$GV$11,2,FALSE)))</f>
        <v/>
      </c>
      <c r="J9516" s="215" t="str">
        <f>IF(Table2[[#This Row],[Description]]="","",Table2[[#This Row],[Value]]/Table2[[#This Row],[Conversion]])</f>
        <v/>
      </c>
      <c r="K9516" s="45" t="str">
        <f>IF(Table2[[#This Row],[Description]]="","",DATE(Table2[[#This Row],[Year]],Table2[[#This Row],[Month]],1))</f>
        <v/>
      </c>
    </row>
    <row r="9517" spans="7:11" x14ac:dyDescent="0.25">
      <c r="G9517" s="1" t="str">
        <f>IF(Table2[[#This Row],[Description]]="","",VLOOKUP(Table2[[#This Row],[Description]],$Q$1:$S$101,2,FALSE))</f>
        <v/>
      </c>
      <c r="H9517" s="1" t="str">
        <f>IF(Table2[[#This Row],[Description]]="","",VLOOKUP(Table2[[#This Row],[Description]],$Q$1:$S$101,3,FALSE))</f>
        <v/>
      </c>
      <c r="I9517" s="1" t="str">
        <f>IF(Table2[[#This Row],[Description]]="","",IF(Table2[[#This Row],[Currency]]=$O$2,$P$2,HLOOKUP(Table2[[#This Row],[Date]],Funds!$C$10:$GV$11,2,FALSE)))</f>
        <v/>
      </c>
      <c r="J9517" s="215" t="str">
        <f>IF(Table2[[#This Row],[Description]]="","",Table2[[#This Row],[Value]]/Table2[[#This Row],[Conversion]])</f>
        <v/>
      </c>
      <c r="K9517" s="45" t="str">
        <f>IF(Table2[[#This Row],[Description]]="","",DATE(Table2[[#This Row],[Year]],Table2[[#This Row],[Month]],1))</f>
        <v/>
      </c>
    </row>
    <row r="9518" spans="7:11" x14ac:dyDescent="0.25">
      <c r="G9518" s="1" t="str">
        <f>IF(Table2[[#This Row],[Description]]="","",VLOOKUP(Table2[[#This Row],[Description]],$Q$1:$S$101,2,FALSE))</f>
        <v/>
      </c>
      <c r="H9518" s="1" t="str">
        <f>IF(Table2[[#This Row],[Description]]="","",VLOOKUP(Table2[[#This Row],[Description]],$Q$1:$S$101,3,FALSE))</f>
        <v/>
      </c>
      <c r="I9518" s="1" t="str">
        <f>IF(Table2[[#This Row],[Description]]="","",IF(Table2[[#This Row],[Currency]]=$O$2,$P$2,HLOOKUP(Table2[[#This Row],[Date]],Funds!$C$10:$GV$11,2,FALSE)))</f>
        <v/>
      </c>
      <c r="J9518" s="215" t="str">
        <f>IF(Table2[[#This Row],[Description]]="","",Table2[[#This Row],[Value]]/Table2[[#This Row],[Conversion]])</f>
        <v/>
      </c>
      <c r="K9518" s="45" t="str">
        <f>IF(Table2[[#This Row],[Description]]="","",DATE(Table2[[#This Row],[Year]],Table2[[#This Row],[Month]],1))</f>
        <v/>
      </c>
    </row>
    <row r="9519" spans="7:11" x14ac:dyDescent="0.25">
      <c r="G9519" s="1" t="str">
        <f>IF(Table2[[#This Row],[Description]]="","",VLOOKUP(Table2[[#This Row],[Description]],$Q$1:$S$101,2,FALSE))</f>
        <v/>
      </c>
      <c r="H9519" s="1" t="str">
        <f>IF(Table2[[#This Row],[Description]]="","",VLOOKUP(Table2[[#This Row],[Description]],$Q$1:$S$101,3,FALSE))</f>
        <v/>
      </c>
      <c r="I9519" s="1" t="str">
        <f>IF(Table2[[#This Row],[Description]]="","",IF(Table2[[#This Row],[Currency]]=$O$2,$P$2,HLOOKUP(Table2[[#This Row],[Date]],Funds!$C$10:$GV$11,2,FALSE)))</f>
        <v/>
      </c>
      <c r="J9519" s="215" t="str">
        <f>IF(Table2[[#This Row],[Description]]="","",Table2[[#This Row],[Value]]/Table2[[#This Row],[Conversion]])</f>
        <v/>
      </c>
      <c r="K9519" s="45" t="str">
        <f>IF(Table2[[#This Row],[Description]]="","",DATE(Table2[[#This Row],[Year]],Table2[[#This Row],[Month]],1))</f>
        <v/>
      </c>
    </row>
    <row r="9520" spans="7:11" x14ac:dyDescent="0.25">
      <c r="G9520" s="1" t="str">
        <f>IF(Table2[[#This Row],[Description]]="","",VLOOKUP(Table2[[#This Row],[Description]],$Q$1:$S$101,2,FALSE))</f>
        <v/>
      </c>
      <c r="H9520" s="1" t="str">
        <f>IF(Table2[[#This Row],[Description]]="","",VLOOKUP(Table2[[#This Row],[Description]],$Q$1:$S$101,3,FALSE))</f>
        <v/>
      </c>
      <c r="I9520" s="1" t="str">
        <f>IF(Table2[[#This Row],[Description]]="","",IF(Table2[[#This Row],[Currency]]=$O$2,$P$2,HLOOKUP(Table2[[#This Row],[Date]],Funds!$C$10:$GV$11,2,FALSE)))</f>
        <v/>
      </c>
      <c r="J9520" s="215" t="str">
        <f>IF(Table2[[#This Row],[Description]]="","",Table2[[#This Row],[Value]]/Table2[[#This Row],[Conversion]])</f>
        <v/>
      </c>
      <c r="K9520" s="45" t="str">
        <f>IF(Table2[[#This Row],[Description]]="","",DATE(Table2[[#This Row],[Year]],Table2[[#This Row],[Month]],1))</f>
        <v/>
      </c>
    </row>
    <row r="9521" spans="7:11" x14ac:dyDescent="0.25">
      <c r="G9521" s="1" t="str">
        <f>IF(Table2[[#This Row],[Description]]="","",VLOOKUP(Table2[[#This Row],[Description]],$Q$1:$S$101,2,FALSE))</f>
        <v/>
      </c>
      <c r="H9521" s="1" t="str">
        <f>IF(Table2[[#This Row],[Description]]="","",VLOOKUP(Table2[[#This Row],[Description]],$Q$1:$S$101,3,FALSE))</f>
        <v/>
      </c>
      <c r="I9521" s="1" t="str">
        <f>IF(Table2[[#This Row],[Description]]="","",IF(Table2[[#This Row],[Currency]]=$O$2,$P$2,HLOOKUP(Table2[[#This Row],[Date]],Funds!$C$10:$GV$11,2,FALSE)))</f>
        <v/>
      </c>
      <c r="J9521" s="215" t="str">
        <f>IF(Table2[[#This Row],[Description]]="","",Table2[[#This Row],[Value]]/Table2[[#This Row],[Conversion]])</f>
        <v/>
      </c>
      <c r="K9521" s="45" t="str">
        <f>IF(Table2[[#This Row],[Description]]="","",DATE(Table2[[#This Row],[Year]],Table2[[#This Row],[Month]],1))</f>
        <v/>
      </c>
    </row>
    <row r="9522" spans="7:11" x14ac:dyDescent="0.25">
      <c r="G9522" s="1" t="str">
        <f>IF(Table2[[#This Row],[Description]]="","",VLOOKUP(Table2[[#This Row],[Description]],$Q$1:$S$101,2,FALSE))</f>
        <v/>
      </c>
      <c r="H9522" s="1" t="str">
        <f>IF(Table2[[#This Row],[Description]]="","",VLOOKUP(Table2[[#This Row],[Description]],$Q$1:$S$101,3,FALSE))</f>
        <v/>
      </c>
      <c r="I9522" s="1" t="str">
        <f>IF(Table2[[#This Row],[Description]]="","",IF(Table2[[#This Row],[Currency]]=$O$2,$P$2,HLOOKUP(Table2[[#This Row],[Date]],Funds!$C$10:$GV$11,2,FALSE)))</f>
        <v/>
      </c>
      <c r="J9522" s="215" t="str">
        <f>IF(Table2[[#This Row],[Description]]="","",Table2[[#This Row],[Value]]/Table2[[#This Row],[Conversion]])</f>
        <v/>
      </c>
      <c r="K9522" s="45" t="str">
        <f>IF(Table2[[#This Row],[Description]]="","",DATE(Table2[[#This Row],[Year]],Table2[[#This Row],[Month]],1))</f>
        <v/>
      </c>
    </row>
    <row r="9523" spans="7:11" x14ac:dyDescent="0.25">
      <c r="G9523" s="1" t="str">
        <f>IF(Table2[[#This Row],[Description]]="","",VLOOKUP(Table2[[#This Row],[Description]],$Q$1:$S$101,2,FALSE))</f>
        <v/>
      </c>
      <c r="H9523" s="1" t="str">
        <f>IF(Table2[[#This Row],[Description]]="","",VLOOKUP(Table2[[#This Row],[Description]],$Q$1:$S$101,3,FALSE))</f>
        <v/>
      </c>
      <c r="I9523" s="1" t="str">
        <f>IF(Table2[[#This Row],[Description]]="","",IF(Table2[[#This Row],[Currency]]=$O$2,$P$2,HLOOKUP(Table2[[#This Row],[Date]],Funds!$C$10:$GV$11,2,FALSE)))</f>
        <v/>
      </c>
      <c r="J9523" s="215" t="str">
        <f>IF(Table2[[#This Row],[Description]]="","",Table2[[#This Row],[Value]]/Table2[[#This Row],[Conversion]])</f>
        <v/>
      </c>
      <c r="K9523" s="45" t="str">
        <f>IF(Table2[[#This Row],[Description]]="","",DATE(Table2[[#This Row],[Year]],Table2[[#This Row],[Month]],1))</f>
        <v/>
      </c>
    </row>
    <row r="9524" spans="7:11" x14ac:dyDescent="0.25">
      <c r="G9524" s="1" t="str">
        <f>IF(Table2[[#This Row],[Description]]="","",VLOOKUP(Table2[[#This Row],[Description]],$Q$1:$S$101,2,FALSE))</f>
        <v/>
      </c>
      <c r="H9524" s="1" t="str">
        <f>IF(Table2[[#This Row],[Description]]="","",VLOOKUP(Table2[[#This Row],[Description]],$Q$1:$S$101,3,FALSE))</f>
        <v/>
      </c>
      <c r="I9524" s="1" t="str">
        <f>IF(Table2[[#This Row],[Description]]="","",IF(Table2[[#This Row],[Currency]]=$O$2,$P$2,HLOOKUP(Table2[[#This Row],[Date]],Funds!$C$10:$GV$11,2,FALSE)))</f>
        <v/>
      </c>
      <c r="J9524" s="215" t="str">
        <f>IF(Table2[[#This Row],[Description]]="","",Table2[[#This Row],[Value]]/Table2[[#This Row],[Conversion]])</f>
        <v/>
      </c>
      <c r="K9524" s="45" t="str">
        <f>IF(Table2[[#This Row],[Description]]="","",DATE(Table2[[#This Row],[Year]],Table2[[#This Row],[Month]],1))</f>
        <v/>
      </c>
    </row>
    <row r="9525" spans="7:11" x14ac:dyDescent="0.25">
      <c r="G9525" s="1" t="str">
        <f>IF(Table2[[#This Row],[Description]]="","",VLOOKUP(Table2[[#This Row],[Description]],$Q$1:$S$101,2,FALSE))</f>
        <v/>
      </c>
      <c r="H9525" s="1" t="str">
        <f>IF(Table2[[#This Row],[Description]]="","",VLOOKUP(Table2[[#This Row],[Description]],$Q$1:$S$101,3,FALSE))</f>
        <v/>
      </c>
      <c r="I9525" s="1" t="str">
        <f>IF(Table2[[#This Row],[Description]]="","",IF(Table2[[#This Row],[Currency]]=$O$2,$P$2,HLOOKUP(Table2[[#This Row],[Date]],Funds!$C$10:$GV$11,2,FALSE)))</f>
        <v/>
      </c>
      <c r="J9525" s="215" t="str">
        <f>IF(Table2[[#This Row],[Description]]="","",Table2[[#This Row],[Value]]/Table2[[#This Row],[Conversion]])</f>
        <v/>
      </c>
      <c r="K9525" s="45" t="str">
        <f>IF(Table2[[#This Row],[Description]]="","",DATE(Table2[[#This Row],[Year]],Table2[[#This Row],[Month]],1))</f>
        <v/>
      </c>
    </row>
    <row r="9526" spans="7:11" x14ac:dyDescent="0.25">
      <c r="G9526" s="1" t="str">
        <f>IF(Table2[[#This Row],[Description]]="","",VLOOKUP(Table2[[#This Row],[Description]],$Q$1:$S$101,2,FALSE))</f>
        <v/>
      </c>
      <c r="H9526" s="1" t="str">
        <f>IF(Table2[[#This Row],[Description]]="","",VLOOKUP(Table2[[#This Row],[Description]],$Q$1:$S$101,3,FALSE))</f>
        <v/>
      </c>
      <c r="I9526" s="1" t="str">
        <f>IF(Table2[[#This Row],[Description]]="","",IF(Table2[[#This Row],[Currency]]=$O$2,$P$2,HLOOKUP(Table2[[#This Row],[Date]],Funds!$C$10:$GV$11,2,FALSE)))</f>
        <v/>
      </c>
      <c r="J9526" s="215" t="str">
        <f>IF(Table2[[#This Row],[Description]]="","",Table2[[#This Row],[Value]]/Table2[[#This Row],[Conversion]])</f>
        <v/>
      </c>
      <c r="K9526" s="45" t="str">
        <f>IF(Table2[[#This Row],[Description]]="","",DATE(Table2[[#This Row],[Year]],Table2[[#This Row],[Month]],1))</f>
        <v/>
      </c>
    </row>
    <row r="9527" spans="7:11" x14ac:dyDescent="0.25">
      <c r="G9527" s="1" t="str">
        <f>IF(Table2[[#This Row],[Description]]="","",VLOOKUP(Table2[[#This Row],[Description]],$Q$1:$S$101,2,FALSE))</f>
        <v/>
      </c>
      <c r="H9527" s="1" t="str">
        <f>IF(Table2[[#This Row],[Description]]="","",VLOOKUP(Table2[[#This Row],[Description]],$Q$1:$S$101,3,FALSE))</f>
        <v/>
      </c>
      <c r="I9527" s="1" t="str">
        <f>IF(Table2[[#This Row],[Description]]="","",IF(Table2[[#This Row],[Currency]]=$O$2,$P$2,HLOOKUP(Table2[[#This Row],[Date]],Funds!$C$10:$GV$11,2,FALSE)))</f>
        <v/>
      </c>
      <c r="J9527" s="215" t="str">
        <f>IF(Table2[[#This Row],[Description]]="","",Table2[[#This Row],[Value]]/Table2[[#This Row],[Conversion]])</f>
        <v/>
      </c>
      <c r="K9527" s="45" t="str">
        <f>IF(Table2[[#This Row],[Description]]="","",DATE(Table2[[#This Row],[Year]],Table2[[#This Row],[Month]],1))</f>
        <v/>
      </c>
    </row>
    <row r="9528" spans="7:11" x14ac:dyDescent="0.25">
      <c r="G9528" s="1" t="str">
        <f>IF(Table2[[#This Row],[Description]]="","",VLOOKUP(Table2[[#This Row],[Description]],$Q$1:$S$101,2,FALSE))</f>
        <v/>
      </c>
      <c r="H9528" s="1" t="str">
        <f>IF(Table2[[#This Row],[Description]]="","",VLOOKUP(Table2[[#This Row],[Description]],$Q$1:$S$101,3,FALSE))</f>
        <v/>
      </c>
      <c r="I9528" s="1" t="str">
        <f>IF(Table2[[#This Row],[Description]]="","",IF(Table2[[#This Row],[Currency]]=$O$2,$P$2,HLOOKUP(Table2[[#This Row],[Date]],Funds!$C$10:$GV$11,2,FALSE)))</f>
        <v/>
      </c>
      <c r="J9528" s="215" t="str">
        <f>IF(Table2[[#This Row],[Description]]="","",Table2[[#This Row],[Value]]/Table2[[#This Row],[Conversion]])</f>
        <v/>
      </c>
      <c r="K9528" s="45" t="str">
        <f>IF(Table2[[#This Row],[Description]]="","",DATE(Table2[[#This Row],[Year]],Table2[[#This Row],[Month]],1))</f>
        <v/>
      </c>
    </row>
    <row r="9529" spans="7:11" x14ac:dyDescent="0.25">
      <c r="G9529" s="1" t="str">
        <f>IF(Table2[[#This Row],[Description]]="","",VLOOKUP(Table2[[#This Row],[Description]],$Q$1:$S$101,2,FALSE))</f>
        <v/>
      </c>
      <c r="H9529" s="1" t="str">
        <f>IF(Table2[[#This Row],[Description]]="","",VLOOKUP(Table2[[#This Row],[Description]],$Q$1:$S$101,3,FALSE))</f>
        <v/>
      </c>
      <c r="I9529" s="1" t="str">
        <f>IF(Table2[[#This Row],[Description]]="","",IF(Table2[[#This Row],[Currency]]=$O$2,$P$2,HLOOKUP(Table2[[#This Row],[Date]],Funds!$C$10:$GV$11,2,FALSE)))</f>
        <v/>
      </c>
      <c r="J9529" s="215" t="str">
        <f>IF(Table2[[#This Row],[Description]]="","",Table2[[#This Row],[Value]]/Table2[[#This Row],[Conversion]])</f>
        <v/>
      </c>
      <c r="K9529" s="45" t="str">
        <f>IF(Table2[[#This Row],[Description]]="","",DATE(Table2[[#This Row],[Year]],Table2[[#This Row],[Month]],1))</f>
        <v/>
      </c>
    </row>
    <row r="9530" spans="7:11" x14ac:dyDescent="0.25">
      <c r="G9530" s="1" t="str">
        <f>IF(Table2[[#This Row],[Description]]="","",VLOOKUP(Table2[[#This Row],[Description]],$Q$1:$S$101,2,FALSE))</f>
        <v/>
      </c>
      <c r="H9530" s="1" t="str">
        <f>IF(Table2[[#This Row],[Description]]="","",VLOOKUP(Table2[[#This Row],[Description]],$Q$1:$S$101,3,FALSE))</f>
        <v/>
      </c>
      <c r="I9530" s="1" t="str">
        <f>IF(Table2[[#This Row],[Description]]="","",IF(Table2[[#This Row],[Currency]]=$O$2,$P$2,HLOOKUP(Table2[[#This Row],[Date]],Funds!$C$10:$GV$11,2,FALSE)))</f>
        <v/>
      </c>
      <c r="J9530" s="215" t="str">
        <f>IF(Table2[[#This Row],[Description]]="","",Table2[[#This Row],[Value]]/Table2[[#This Row],[Conversion]])</f>
        <v/>
      </c>
      <c r="K9530" s="45" t="str">
        <f>IF(Table2[[#This Row],[Description]]="","",DATE(Table2[[#This Row],[Year]],Table2[[#This Row],[Month]],1))</f>
        <v/>
      </c>
    </row>
    <row r="9531" spans="7:11" x14ac:dyDescent="0.25">
      <c r="G9531" s="1" t="str">
        <f>IF(Table2[[#This Row],[Description]]="","",VLOOKUP(Table2[[#This Row],[Description]],$Q$1:$S$101,2,FALSE))</f>
        <v/>
      </c>
      <c r="H9531" s="1" t="str">
        <f>IF(Table2[[#This Row],[Description]]="","",VLOOKUP(Table2[[#This Row],[Description]],$Q$1:$S$101,3,FALSE))</f>
        <v/>
      </c>
      <c r="I9531" s="1" t="str">
        <f>IF(Table2[[#This Row],[Description]]="","",IF(Table2[[#This Row],[Currency]]=$O$2,$P$2,HLOOKUP(Table2[[#This Row],[Date]],Funds!$C$10:$GV$11,2,FALSE)))</f>
        <v/>
      </c>
      <c r="J9531" s="215" t="str">
        <f>IF(Table2[[#This Row],[Description]]="","",Table2[[#This Row],[Value]]/Table2[[#This Row],[Conversion]])</f>
        <v/>
      </c>
      <c r="K9531" s="45" t="str">
        <f>IF(Table2[[#This Row],[Description]]="","",DATE(Table2[[#This Row],[Year]],Table2[[#This Row],[Month]],1))</f>
        <v/>
      </c>
    </row>
    <row r="9532" spans="7:11" x14ac:dyDescent="0.25">
      <c r="G9532" s="1" t="str">
        <f>IF(Table2[[#This Row],[Description]]="","",VLOOKUP(Table2[[#This Row],[Description]],$Q$1:$S$101,2,FALSE))</f>
        <v/>
      </c>
      <c r="H9532" s="1" t="str">
        <f>IF(Table2[[#This Row],[Description]]="","",VLOOKUP(Table2[[#This Row],[Description]],$Q$1:$S$101,3,FALSE))</f>
        <v/>
      </c>
      <c r="I9532" s="1" t="str">
        <f>IF(Table2[[#This Row],[Description]]="","",IF(Table2[[#This Row],[Currency]]=$O$2,$P$2,HLOOKUP(Table2[[#This Row],[Date]],Funds!$C$10:$GV$11,2,FALSE)))</f>
        <v/>
      </c>
      <c r="J9532" s="215" t="str">
        <f>IF(Table2[[#This Row],[Description]]="","",Table2[[#This Row],[Value]]/Table2[[#This Row],[Conversion]])</f>
        <v/>
      </c>
      <c r="K9532" s="45" t="str">
        <f>IF(Table2[[#This Row],[Description]]="","",DATE(Table2[[#This Row],[Year]],Table2[[#This Row],[Month]],1))</f>
        <v/>
      </c>
    </row>
    <row r="9533" spans="7:11" x14ac:dyDescent="0.25">
      <c r="G9533" s="1" t="str">
        <f>IF(Table2[[#This Row],[Description]]="","",VLOOKUP(Table2[[#This Row],[Description]],$Q$1:$S$101,2,FALSE))</f>
        <v/>
      </c>
      <c r="H9533" s="1" t="str">
        <f>IF(Table2[[#This Row],[Description]]="","",VLOOKUP(Table2[[#This Row],[Description]],$Q$1:$S$101,3,FALSE))</f>
        <v/>
      </c>
      <c r="I9533" s="1" t="str">
        <f>IF(Table2[[#This Row],[Description]]="","",IF(Table2[[#This Row],[Currency]]=$O$2,$P$2,HLOOKUP(Table2[[#This Row],[Date]],Funds!$C$10:$GV$11,2,FALSE)))</f>
        <v/>
      </c>
      <c r="J9533" s="215" t="str">
        <f>IF(Table2[[#This Row],[Description]]="","",Table2[[#This Row],[Value]]/Table2[[#This Row],[Conversion]])</f>
        <v/>
      </c>
      <c r="K9533" s="45" t="str">
        <f>IF(Table2[[#This Row],[Description]]="","",DATE(Table2[[#This Row],[Year]],Table2[[#This Row],[Month]],1))</f>
        <v/>
      </c>
    </row>
    <row r="9534" spans="7:11" x14ac:dyDescent="0.25">
      <c r="G9534" s="1" t="str">
        <f>IF(Table2[[#This Row],[Description]]="","",VLOOKUP(Table2[[#This Row],[Description]],$Q$1:$S$101,2,FALSE))</f>
        <v/>
      </c>
      <c r="H9534" s="1" t="str">
        <f>IF(Table2[[#This Row],[Description]]="","",VLOOKUP(Table2[[#This Row],[Description]],$Q$1:$S$101,3,FALSE))</f>
        <v/>
      </c>
      <c r="I9534" s="1" t="str">
        <f>IF(Table2[[#This Row],[Description]]="","",IF(Table2[[#This Row],[Currency]]=$O$2,$P$2,HLOOKUP(Table2[[#This Row],[Date]],Funds!$C$10:$GV$11,2,FALSE)))</f>
        <v/>
      </c>
      <c r="J9534" s="215" t="str">
        <f>IF(Table2[[#This Row],[Description]]="","",Table2[[#This Row],[Value]]/Table2[[#This Row],[Conversion]])</f>
        <v/>
      </c>
      <c r="K9534" s="45" t="str">
        <f>IF(Table2[[#This Row],[Description]]="","",DATE(Table2[[#This Row],[Year]],Table2[[#This Row],[Month]],1))</f>
        <v/>
      </c>
    </row>
    <row r="9535" spans="7:11" x14ac:dyDescent="0.25">
      <c r="G9535" s="1" t="str">
        <f>IF(Table2[[#This Row],[Description]]="","",VLOOKUP(Table2[[#This Row],[Description]],$Q$1:$S$101,2,FALSE))</f>
        <v/>
      </c>
      <c r="H9535" s="1" t="str">
        <f>IF(Table2[[#This Row],[Description]]="","",VLOOKUP(Table2[[#This Row],[Description]],$Q$1:$S$101,3,FALSE))</f>
        <v/>
      </c>
      <c r="I9535" s="1" t="str">
        <f>IF(Table2[[#This Row],[Description]]="","",IF(Table2[[#This Row],[Currency]]=$O$2,$P$2,HLOOKUP(Table2[[#This Row],[Date]],Funds!$C$10:$GV$11,2,FALSE)))</f>
        <v/>
      </c>
      <c r="J9535" s="215" t="str">
        <f>IF(Table2[[#This Row],[Description]]="","",Table2[[#This Row],[Value]]/Table2[[#This Row],[Conversion]])</f>
        <v/>
      </c>
      <c r="K9535" s="45" t="str">
        <f>IF(Table2[[#This Row],[Description]]="","",DATE(Table2[[#This Row],[Year]],Table2[[#This Row],[Month]],1))</f>
        <v/>
      </c>
    </row>
    <row r="9536" spans="7:11" x14ac:dyDescent="0.25">
      <c r="G9536" s="1" t="str">
        <f>IF(Table2[[#This Row],[Description]]="","",VLOOKUP(Table2[[#This Row],[Description]],$Q$1:$S$101,2,FALSE))</f>
        <v/>
      </c>
      <c r="H9536" s="1" t="str">
        <f>IF(Table2[[#This Row],[Description]]="","",VLOOKUP(Table2[[#This Row],[Description]],$Q$1:$S$101,3,FALSE))</f>
        <v/>
      </c>
      <c r="I9536" s="1" t="str">
        <f>IF(Table2[[#This Row],[Description]]="","",IF(Table2[[#This Row],[Currency]]=$O$2,$P$2,HLOOKUP(Table2[[#This Row],[Date]],Funds!$C$10:$GV$11,2,FALSE)))</f>
        <v/>
      </c>
      <c r="J9536" s="215" t="str">
        <f>IF(Table2[[#This Row],[Description]]="","",Table2[[#This Row],[Value]]/Table2[[#This Row],[Conversion]])</f>
        <v/>
      </c>
      <c r="K9536" s="45" t="str">
        <f>IF(Table2[[#This Row],[Description]]="","",DATE(Table2[[#This Row],[Year]],Table2[[#This Row],[Month]],1))</f>
        <v/>
      </c>
    </row>
    <row r="9537" spans="7:11" x14ac:dyDescent="0.25">
      <c r="G9537" s="1" t="str">
        <f>IF(Table2[[#This Row],[Description]]="","",VLOOKUP(Table2[[#This Row],[Description]],$Q$1:$S$101,2,FALSE))</f>
        <v/>
      </c>
      <c r="H9537" s="1" t="str">
        <f>IF(Table2[[#This Row],[Description]]="","",VLOOKUP(Table2[[#This Row],[Description]],$Q$1:$S$101,3,FALSE))</f>
        <v/>
      </c>
      <c r="I9537" s="1" t="str">
        <f>IF(Table2[[#This Row],[Description]]="","",IF(Table2[[#This Row],[Currency]]=$O$2,$P$2,HLOOKUP(Table2[[#This Row],[Date]],Funds!$C$10:$GV$11,2,FALSE)))</f>
        <v/>
      </c>
      <c r="J9537" s="215" t="str">
        <f>IF(Table2[[#This Row],[Description]]="","",Table2[[#This Row],[Value]]/Table2[[#This Row],[Conversion]])</f>
        <v/>
      </c>
      <c r="K9537" s="45" t="str">
        <f>IF(Table2[[#This Row],[Description]]="","",DATE(Table2[[#This Row],[Year]],Table2[[#This Row],[Month]],1))</f>
        <v/>
      </c>
    </row>
    <row r="9538" spans="7:11" x14ac:dyDescent="0.25">
      <c r="G9538" s="1" t="str">
        <f>IF(Table2[[#This Row],[Description]]="","",VLOOKUP(Table2[[#This Row],[Description]],$Q$1:$S$101,2,FALSE))</f>
        <v/>
      </c>
      <c r="H9538" s="1" t="str">
        <f>IF(Table2[[#This Row],[Description]]="","",VLOOKUP(Table2[[#This Row],[Description]],$Q$1:$S$101,3,FALSE))</f>
        <v/>
      </c>
      <c r="I9538" s="1" t="str">
        <f>IF(Table2[[#This Row],[Description]]="","",IF(Table2[[#This Row],[Currency]]=$O$2,$P$2,HLOOKUP(Table2[[#This Row],[Date]],Funds!$C$10:$GV$11,2,FALSE)))</f>
        <v/>
      </c>
      <c r="J9538" s="215" t="str">
        <f>IF(Table2[[#This Row],[Description]]="","",Table2[[#This Row],[Value]]/Table2[[#This Row],[Conversion]])</f>
        <v/>
      </c>
      <c r="K9538" s="45" t="str">
        <f>IF(Table2[[#This Row],[Description]]="","",DATE(Table2[[#This Row],[Year]],Table2[[#This Row],[Month]],1))</f>
        <v/>
      </c>
    </row>
    <row r="9539" spans="7:11" x14ac:dyDescent="0.25">
      <c r="G9539" s="1" t="str">
        <f>IF(Table2[[#This Row],[Description]]="","",VLOOKUP(Table2[[#This Row],[Description]],$Q$1:$S$101,2,FALSE))</f>
        <v/>
      </c>
      <c r="H9539" s="1" t="str">
        <f>IF(Table2[[#This Row],[Description]]="","",VLOOKUP(Table2[[#This Row],[Description]],$Q$1:$S$101,3,FALSE))</f>
        <v/>
      </c>
      <c r="I9539" s="1" t="str">
        <f>IF(Table2[[#This Row],[Description]]="","",IF(Table2[[#This Row],[Currency]]=$O$2,$P$2,HLOOKUP(Table2[[#This Row],[Date]],Funds!$C$10:$GV$11,2,FALSE)))</f>
        <v/>
      </c>
      <c r="J9539" s="215" t="str">
        <f>IF(Table2[[#This Row],[Description]]="","",Table2[[#This Row],[Value]]/Table2[[#This Row],[Conversion]])</f>
        <v/>
      </c>
      <c r="K9539" s="45" t="str">
        <f>IF(Table2[[#This Row],[Description]]="","",DATE(Table2[[#This Row],[Year]],Table2[[#This Row],[Month]],1))</f>
        <v/>
      </c>
    </row>
    <row r="9540" spans="7:11" x14ac:dyDescent="0.25">
      <c r="G9540" s="1" t="str">
        <f>IF(Table2[[#This Row],[Description]]="","",VLOOKUP(Table2[[#This Row],[Description]],$Q$1:$S$101,2,FALSE))</f>
        <v/>
      </c>
      <c r="H9540" s="1" t="str">
        <f>IF(Table2[[#This Row],[Description]]="","",VLOOKUP(Table2[[#This Row],[Description]],$Q$1:$S$101,3,FALSE))</f>
        <v/>
      </c>
      <c r="I9540" s="1" t="str">
        <f>IF(Table2[[#This Row],[Description]]="","",IF(Table2[[#This Row],[Currency]]=$O$2,$P$2,HLOOKUP(Table2[[#This Row],[Date]],Funds!$C$10:$GV$11,2,FALSE)))</f>
        <v/>
      </c>
      <c r="J9540" s="215" t="str">
        <f>IF(Table2[[#This Row],[Description]]="","",Table2[[#This Row],[Value]]/Table2[[#This Row],[Conversion]])</f>
        <v/>
      </c>
      <c r="K9540" s="45" t="str">
        <f>IF(Table2[[#This Row],[Description]]="","",DATE(Table2[[#This Row],[Year]],Table2[[#This Row],[Month]],1))</f>
        <v/>
      </c>
    </row>
    <row r="9541" spans="7:11" x14ac:dyDescent="0.25">
      <c r="G9541" s="1" t="str">
        <f>IF(Table2[[#This Row],[Description]]="","",VLOOKUP(Table2[[#This Row],[Description]],$Q$1:$S$101,2,FALSE))</f>
        <v/>
      </c>
      <c r="H9541" s="1" t="str">
        <f>IF(Table2[[#This Row],[Description]]="","",VLOOKUP(Table2[[#This Row],[Description]],$Q$1:$S$101,3,FALSE))</f>
        <v/>
      </c>
      <c r="I9541" s="1" t="str">
        <f>IF(Table2[[#This Row],[Description]]="","",IF(Table2[[#This Row],[Currency]]=$O$2,$P$2,HLOOKUP(Table2[[#This Row],[Date]],Funds!$C$10:$GV$11,2,FALSE)))</f>
        <v/>
      </c>
      <c r="J9541" s="215" t="str">
        <f>IF(Table2[[#This Row],[Description]]="","",Table2[[#This Row],[Value]]/Table2[[#This Row],[Conversion]])</f>
        <v/>
      </c>
      <c r="K9541" s="45" t="str">
        <f>IF(Table2[[#This Row],[Description]]="","",DATE(Table2[[#This Row],[Year]],Table2[[#This Row],[Month]],1))</f>
        <v/>
      </c>
    </row>
    <row r="9542" spans="7:11" x14ac:dyDescent="0.25">
      <c r="G9542" s="1" t="str">
        <f>IF(Table2[[#This Row],[Description]]="","",VLOOKUP(Table2[[#This Row],[Description]],$Q$1:$S$101,2,FALSE))</f>
        <v/>
      </c>
      <c r="H9542" s="1" t="str">
        <f>IF(Table2[[#This Row],[Description]]="","",VLOOKUP(Table2[[#This Row],[Description]],$Q$1:$S$101,3,FALSE))</f>
        <v/>
      </c>
      <c r="I9542" s="1" t="str">
        <f>IF(Table2[[#This Row],[Description]]="","",IF(Table2[[#This Row],[Currency]]=$O$2,$P$2,HLOOKUP(Table2[[#This Row],[Date]],Funds!$C$10:$GV$11,2,FALSE)))</f>
        <v/>
      </c>
      <c r="J9542" s="215" t="str">
        <f>IF(Table2[[#This Row],[Description]]="","",Table2[[#This Row],[Value]]/Table2[[#This Row],[Conversion]])</f>
        <v/>
      </c>
      <c r="K9542" s="45" t="str">
        <f>IF(Table2[[#This Row],[Description]]="","",DATE(Table2[[#This Row],[Year]],Table2[[#This Row],[Month]],1))</f>
        <v/>
      </c>
    </row>
    <row r="9543" spans="7:11" x14ac:dyDescent="0.25">
      <c r="G9543" s="1" t="str">
        <f>IF(Table2[[#This Row],[Description]]="","",VLOOKUP(Table2[[#This Row],[Description]],$Q$1:$S$101,2,FALSE))</f>
        <v/>
      </c>
      <c r="H9543" s="1" t="str">
        <f>IF(Table2[[#This Row],[Description]]="","",VLOOKUP(Table2[[#This Row],[Description]],$Q$1:$S$101,3,FALSE))</f>
        <v/>
      </c>
      <c r="I9543" s="1" t="str">
        <f>IF(Table2[[#This Row],[Description]]="","",IF(Table2[[#This Row],[Currency]]=$O$2,$P$2,HLOOKUP(Table2[[#This Row],[Date]],Funds!$C$10:$GV$11,2,FALSE)))</f>
        <v/>
      </c>
      <c r="J9543" s="215" t="str">
        <f>IF(Table2[[#This Row],[Description]]="","",Table2[[#This Row],[Value]]/Table2[[#This Row],[Conversion]])</f>
        <v/>
      </c>
      <c r="K9543" s="45" t="str">
        <f>IF(Table2[[#This Row],[Description]]="","",DATE(Table2[[#This Row],[Year]],Table2[[#This Row],[Month]],1))</f>
        <v/>
      </c>
    </row>
    <row r="9544" spans="7:11" x14ac:dyDescent="0.25">
      <c r="G9544" s="1" t="str">
        <f>IF(Table2[[#This Row],[Description]]="","",VLOOKUP(Table2[[#This Row],[Description]],$Q$1:$S$101,2,FALSE))</f>
        <v/>
      </c>
      <c r="H9544" s="1" t="str">
        <f>IF(Table2[[#This Row],[Description]]="","",VLOOKUP(Table2[[#This Row],[Description]],$Q$1:$S$101,3,FALSE))</f>
        <v/>
      </c>
      <c r="I9544" s="1" t="str">
        <f>IF(Table2[[#This Row],[Description]]="","",IF(Table2[[#This Row],[Currency]]=$O$2,$P$2,HLOOKUP(Table2[[#This Row],[Date]],Funds!$C$10:$GV$11,2,FALSE)))</f>
        <v/>
      </c>
      <c r="J9544" s="215" t="str">
        <f>IF(Table2[[#This Row],[Description]]="","",Table2[[#This Row],[Value]]/Table2[[#This Row],[Conversion]])</f>
        <v/>
      </c>
      <c r="K9544" s="45" t="str">
        <f>IF(Table2[[#This Row],[Description]]="","",DATE(Table2[[#This Row],[Year]],Table2[[#This Row],[Month]],1))</f>
        <v/>
      </c>
    </row>
    <row r="9545" spans="7:11" x14ac:dyDescent="0.25">
      <c r="G9545" s="1" t="str">
        <f>IF(Table2[[#This Row],[Description]]="","",VLOOKUP(Table2[[#This Row],[Description]],$Q$1:$S$101,2,FALSE))</f>
        <v/>
      </c>
      <c r="H9545" s="1" t="str">
        <f>IF(Table2[[#This Row],[Description]]="","",VLOOKUP(Table2[[#This Row],[Description]],$Q$1:$S$101,3,FALSE))</f>
        <v/>
      </c>
      <c r="I9545" s="1" t="str">
        <f>IF(Table2[[#This Row],[Description]]="","",IF(Table2[[#This Row],[Currency]]=$O$2,$P$2,HLOOKUP(Table2[[#This Row],[Date]],Funds!$C$10:$GV$11,2,FALSE)))</f>
        <v/>
      </c>
      <c r="J9545" s="215" t="str">
        <f>IF(Table2[[#This Row],[Description]]="","",Table2[[#This Row],[Value]]/Table2[[#This Row],[Conversion]])</f>
        <v/>
      </c>
      <c r="K9545" s="45" t="str">
        <f>IF(Table2[[#This Row],[Description]]="","",DATE(Table2[[#This Row],[Year]],Table2[[#This Row],[Month]],1))</f>
        <v/>
      </c>
    </row>
    <row r="9546" spans="7:11" x14ac:dyDescent="0.25">
      <c r="G9546" s="1" t="str">
        <f>IF(Table2[[#This Row],[Description]]="","",VLOOKUP(Table2[[#This Row],[Description]],$Q$1:$S$101,2,FALSE))</f>
        <v/>
      </c>
      <c r="H9546" s="1" t="str">
        <f>IF(Table2[[#This Row],[Description]]="","",VLOOKUP(Table2[[#This Row],[Description]],$Q$1:$S$101,3,FALSE))</f>
        <v/>
      </c>
      <c r="I9546" s="1" t="str">
        <f>IF(Table2[[#This Row],[Description]]="","",IF(Table2[[#This Row],[Currency]]=$O$2,$P$2,HLOOKUP(Table2[[#This Row],[Date]],Funds!$C$10:$GV$11,2,FALSE)))</f>
        <v/>
      </c>
      <c r="J9546" s="215" t="str">
        <f>IF(Table2[[#This Row],[Description]]="","",Table2[[#This Row],[Value]]/Table2[[#This Row],[Conversion]])</f>
        <v/>
      </c>
      <c r="K9546" s="45" t="str">
        <f>IF(Table2[[#This Row],[Description]]="","",DATE(Table2[[#This Row],[Year]],Table2[[#This Row],[Month]],1))</f>
        <v/>
      </c>
    </row>
    <row r="9547" spans="7:11" x14ac:dyDescent="0.25">
      <c r="G9547" s="1" t="str">
        <f>IF(Table2[[#This Row],[Description]]="","",VLOOKUP(Table2[[#This Row],[Description]],$Q$1:$S$101,2,FALSE))</f>
        <v/>
      </c>
      <c r="H9547" s="1" t="str">
        <f>IF(Table2[[#This Row],[Description]]="","",VLOOKUP(Table2[[#This Row],[Description]],$Q$1:$S$101,3,FALSE))</f>
        <v/>
      </c>
      <c r="I9547" s="1" t="str">
        <f>IF(Table2[[#This Row],[Description]]="","",IF(Table2[[#This Row],[Currency]]=$O$2,$P$2,HLOOKUP(Table2[[#This Row],[Date]],Funds!$C$10:$GV$11,2,FALSE)))</f>
        <v/>
      </c>
      <c r="J9547" s="215" t="str">
        <f>IF(Table2[[#This Row],[Description]]="","",Table2[[#This Row],[Value]]/Table2[[#This Row],[Conversion]])</f>
        <v/>
      </c>
      <c r="K9547" s="45" t="str">
        <f>IF(Table2[[#This Row],[Description]]="","",DATE(Table2[[#This Row],[Year]],Table2[[#This Row],[Month]],1))</f>
        <v/>
      </c>
    </row>
    <row r="9548" spans="7:11" x14ac:dyDescent="0.25">
      <c r="G9548" s="1" t="str">
        <f>IF(Table2[[#This Row],[Description]]="","",VLOOKUP(Table2[[#This Row],[Description]],$Q$1:$S$101,2,FALSE))</f>
        <v/>
      </c>
      <c r="H9548" s="1" t="str">
        <f>IF(Table2[[#This Row],[Description]]="","",VLOOKUP(Table2[[#This Row],[Description]],$Q$1:$S$101,3,FALSE))</f>
        <v/>
      </c>
      <c r="I9548" s="1" t="str">
        <f>IF(Table2[[#This Row],[Description]]="","",IF(Table2[[#This Row],[Currency]]=$O$2,$P$2,HLOOKUP(Table2[[#This Row],[Date]],Funds!$C$10:$GV$11,2,FALSE)))</f>
        <v/>
      </c>
      <c r="J9548" s="215" t="str">
        <f>IF(Table2[[#This Row],[Description]]="","",Table2[[#This Row],[Value]]/Table2[[#This Row],[Conversion]])</f>
        <v/>
      </c>
      <c r="K9548" s="45" t="str">
        <f>IF(Table2[[#This Row],[Description]]="","",DATE(Table2[[#This Row],[Year]],Table2[[#This Row],[Month]],1))</f>
        <v/>
      </c>
    </row>
    <row r="9549" spans="7:11" x14ac:dyDescent="0.25">
      <c r="G9549" s="1" t="str">
        <f>IF(Table2[[#This Row],[Description]]="","",VLOOKUP(Table2[[#This Row],[Description]],$Q$1:$S$101,2,FALSE))</f>
        <v/>
      </c>
      <c r="H9549" s="1" t="str">
        <f>IF(Table2[[#This Row],[Description]]="","",VLOOKUP(Table2[[#This Row],[Description]],$Q$1:$S$101,3,FALSE))</f>
        <v/>
      </c>
      <c r="I9549" s="1" t="str">
        <f>IF(Table2[[#This Row],[Description]]="","",IF(Table2[[#This Row],[Currency]]=$O$2,$P$2,HLOOKUP(Table2[[#This Row],[Date]],Funds!$C$10:$GV$11,2,FALSE)))</f>
        <v/>
      </c>
      <c r="J9549" s="215" t="str">
        <f>IF(Table2[[#This Row],[Description]]="","",Table2[[#This Row],[Value]]/Table2[[#This Row],[Conversion]])</f>
        <v/>
      </c>
      <c r="K9549" s="45" t="str">
        <f>IF(Table2[[#This Row],[Description]]="","",DATE(Table2[[#This Row],[Year]],Table2[[#This Row],[Month]],1))</f>
        <v/>
      </c>
    </row>
    <row r="9550" spans="7:11" x14ac:dyDescent="0.25">
      <c r="G9550" s="1" t="str">
        <f>IF(Table2[[#This Row],[Description]]="","",VLOOKUP(Table2[[#This Row],[Description]],$Q$1:$S$101,2,FALSE))</f>
        <v/>
      </c>
      <c r="H9550" s="1" t="str">
        <f>IF(Table2[[#This Row],[Description]]="","",VLOOKUP(Table2[[#This Row],[Description]],$Q$1:$S$101,3,FALSE))</f>
        <v/>
      </c>
      <c r="I9550" s="1" t="str">
        <f>IF(Table2[[#This Row],[Description]]="","",IF(Table2[[#This Row],[Currency]]=$O$2,$P$2,HLOOKUP(Table2[[#This Row],[Date]],Funds!$C$10:$GV$11,2,FALSE)))</f>
        <v/>
      </c>
      <c r="J9550" s="215" t="str">
        <f>IF(Table2[[#This Row],[Description]]="","",Table2[[#This Row],[Value]]/Table2[[#This Row],[Conversion]])</f>
        <v/>
      </c>
      <c r="K9550" s="45" t="str">
        <f>IF(Table2[[#This Row],[Description]]="","",DATE(Table2[[#This Row],[Year]],Table2[[#This Row],[Month]],1))</f>
        <v/>
      </c>
    </row>
    <row r="9551" spans="7:11" x14ac:dyDescent="0.25">
      <c r="G9551" s="1" t="str">
        <f>IF(Table2[[#This Row],[Description]]="","",VLOOKUP(Table2[[#This Row],[Description]],$Q$1:$S$101,2,FALSE))</f>
        <v/>
      </c>
      <c r="H9551" s="1" t="str">
        <f>IF(Table2[[#This Row],[Description]]="","",VLOOKUP(Table2[[#This Row],[Description]],$Q$1:$S$101,3,FALSE))</f>
        <v/>
      </c>
      <c r="I9551" s="1" t="str">
        <f>IF(Table2[[#This Row],[Description]]="","",IF(Table2[[#This Row],[Currency]]=$O$2,$P$2,HLOOKUP(Table2[[#This Row],[Date]],Funds!$C$10:$GV$11,2,FALSE)))</f>
        <v/>
      </c>
      <c r="J9551" s="215" t="str">
        <f>IF(Table2[[#This Row],[Description]]="","",Table2[[#This Row],[Value]]/Table2[[#This Row],[Conversion]])</f>
        <v/>
      </c>
      <c r="K9551" s="45" t="str">
        <f>IF(Table2[[#This Row],[Description]]="","",DATE(Table2[[#This Row],[Year]],Table2[[#This Row],[Month]],1))</f>
        <v/>
      </c>
    </row>
    <row r="9552" spans="7:11" x14ac:dyDescent="0.25">
      <c r="G9552" s="1" t="str">
        <f>IF(Table2[[#This Row],[Description]]="","",VLOOKUP(Table2[[#This Row],[Description]],$Q$1:$S$101,2,FALSE))</f>
        <v/>
      </c>
      <c r="H9552" s="1" t="str">
        <f>IF(Table2[[#This Row],[Description]]="","",VLOOKUP(Table2[[#This Row],[Description]],$Q$1:$S$101,3,FALSE))</f>
        <v/>
      </c>
      <c r="I9552" s="1" t="str">
        <f>IF(Table2[[#This Row],[Description]]="","",IF(Table2[[#This Row],[Currency]]=$O$2,$P$2,HLOOKUP(Table2[[#This Row],[Date]],Funds!$C$10:$GV$11,2,FALSE)))</f>
        <v/>
      </c>
      <c r="J9552" s="215" t="str">
        <f>IF(Table2[[#This Row],[Description]]="","",Table2[[#This Row],[Value]]/Table2[[#This Row],[Conversion]])</f>
        <v/>
      </c>
      <c r="K9552" s="45" t="str">
        <f>IF(Table2[[#This Row],[Description]]="","",DATE(Table2[[#This Row],[Year]],Table2[[#This Row],[Month]],1))</f>
        <v/>
      </c>
    </row>
    <row r="9553" spans="7:11" x14ac:dyDescent="0.25">
      <c r="G9553" s="1" t="str">
        <f>IF(Table2[[#This Row],[Description]]="","",VLOOKUP(Table2[[#This Row],[Description]],$Q$1:$S$101,2,FALSE))</f>
        <v/>
      </c>
      <c r="H9553" s="1" t="str">
        <f>IF(Table2[[#This Row],[Description]]="","",VLOOKUP(Table2[[#This Row],[Description]],$Q$1:$S$101,3,FALSE))</f>
        <v/>
      </c>
      <c r="I9553" s="1" t="str">
        <f>IF(Table2[[#This Row],[Description]]="","",IF(Table2[[#This Row],[Currency]]=$O$2,$P$2,HLOOKUP(Table2[[#This Row],[Date]],Funds!$C$10:$GV$11,2,FALSE)))</f>
        <v/>
      </c>
      <c r="J9553" s="215" t="str">
        <f>IF(Table2[[#This Row],[Description]]="","",Table2[[#This Row],[Value]]/Table2[[#This Row],[Conversion]])</f>
        <v/>
      </c>
      <c r="K9553" s="45" t="str">
        <f>IF(Table2[[#This Row],[Description]]="","",DATE(Table2[[#This Row],[Year]],Table2[[#This Row],[Month]],1))</f>
        <v/>
      </c>
    </row>
    <row r="9554" spans="7:11" x14ac:dyDescent="0.25">
      <c r="G9554" s="1" t="str">
        <f>IF(Table2[[#This Row],[Description]]="","",VLOOKUP(Table2[[#This Row],[Description]],$Q$1:$S$101,2,FALSE))</f>
        <v/>
      </c>
      <c r="H9554" s="1" t="str">
        <f>IF(Table2[[#This Row],[Description]]="","",VLOOKUP(Table2[[#This Row],[Description]],$Q$1:$S$101,3,FALSE))</f>
        <v/>
      </c>
      <c r="I9554" s="1" t="str">
        <f>IF(Table2[[#This Row],[Description]]="","",IF(Table2[[#This Row],[Currency]]=$O$2,$P$2,HLOOKUP(Table2[[#This Row],[Date]],Funds!$C$10:$GV$11,2,FALSE)))</f>
        <v/>
      </c>
      <c r="J9554" s="215" t="str">
        <f>IF(Table2[[#This Row],[Description]]="","",Table2[[#This Row],[Value]]/Table2[[#This Row],[Conversion]])</f>
        <v/>
      </c>
      <c r="K9554" s="45" t="str">
        <f>IF(Table2[[#This Row],[Description]]="","",DATE(Table2[[#This Row],[Year]],Table2[[#This Row],[Month]],1))</f>
        <v/>
      </c>
    </row>
    <row r="9555" spans="7:11" x14ac:dyDescent="0.25">
      <c r="G9555" s="1" t="str">
        <f>IF(Table2[[#This Row],[Description]]="","",VLOOKUP(Table2[[#This Row],[Description]],$Q$1:$S$101,2,FALSE))</f>
        <v/>
      </c>
      <c r="H9555" s="1" t="str">
        <f>IF(Table2[[#This Row],[Description]]="","",VLOOKUP(Table2[[#This Row],[Description]],$Q$1:$S$101,3,FALSE))</f>
        <v/>
      </c>
      <c r="I9555" s="1" t="str">
        <f>IF(Table2[[#This Row],[Description]]="","",IF(Table2[[#This Row],[Currency]]=$O$2,$P$2,HLOOKUP(Table2[[#This Row],[Date]],Funds!$C$10:$GV$11,2,FALSE)))</f>
        <v/>
      </c>
      <c r="J9555" s="215" t="str">
        <f>IF(Table2[[#This Row],[Description]]="","",Table2[[#This Row],[Value]]/Table2[[#This Row],[Conversion]])</f>
        <v/>
      </c>
      <c r="K9555" s="45" t="str">
        <f>IF(Table2[[#This Row],[Description]]="","",DATE(Table2[[#This Row],[Year]],Table2[[#This Row],[Month]],1))</f>
        <v/>
      </c>
    </row>
    <row r="9556" spans="7:11" x14ac:dyDescent="0.25">
      <c r="G9556" s="1" t="str">
        <f>IF(Table2[[#This Row],[Description]]="","",VLOOKUP(Table2[[#This Row],[Description]],$Q$1:$S$101,2,FALSE))</f>
        <v/>
      </c>
      <c r="H9556" s="1" t="str">
        <f>IF(Table2[[#This Row],[Description]]="","",VLOOKUP(Table2[[#This Row],[Description]],$Q$1:$S$101,3,FALSE))</f>
        <v/>
      </c>
      <c r="I9556" s="1" t="str">
        <f>IF(Table2[[#This Row],[Description]]="","",IF(Table2[[#This Row],[Currency]]=$O$2,$P$2,HLOOKUP(Table2[[#This Row],[Date]],Funds!$C$10:$GV$11,2,FALSE)))</f>
        <v/>
      </c>
      <c r="J9556" s="215" t="str">
        <f>IF(Table2[[#This Row],[Description]]="","",Table2[[#This Row],[Value]]/Table2[[#This Row],[Conversion]])</f>
        <v/>
      </c>
      <c r="K9556" s="45" t="str">
        <f>IF(Table2[[#This Row],[Description]]="","",DATE(Table2[[#This Row],[Year]],Table2[[#This Row],[Month]],1))</f>
        <v/>
      </c>
    </row>
    <row r="9557" spans="7:11" x14ac:dyDescent="0.25">
      <c r="G9557" s="1" t="str">
        <f>IF(Table2[[#This Row],[Description]]="","",VLOOKUP(Table2[[#This Row],[Description]],$Q$1:$S$101,2,FALSE))</f>
        <v/>
      </c>
      <c r="H9557" s="1" t="str">
        <f>IF(Table2[[#This Row],[Description]]="","",VLOOKUP(Table2[[#This Row],[Description]],$Q$1:$S$101,3,FALSE))</f>
        <v/>
      </c>
      <c r="I9557" s="1" t="str">
        <f>IF(Table2[[#This Row],[Description]]="","",IF(Table2[[#This Row],[Currency]]=$O$2,$P$2,HLOOKUP(Table2[[#This Row],[Date]],Funds!$C$10:$GV$11,2,FALSE)))</f>
        <v/>
      </c>
      <c r="J9557" s="215" t="str">
        <f>IF(Table2[[#This Row],[Description]]="","",Table2[[#This Row],[Value]]/Table2[[#This Row],[Conversion]])</f>
        <v/>
      </c>
      <c r="K9557" s="45" t="str">
        <f>IF(Table2[[#This Row],[Description]]="","",DATE(Table2[[#This Row],[Year]],Table2[[#This Row],[Month]],1))</f>
        <v/>
      </c>
    </row>
    <row r="9558" spans="7:11" x14ac:dyDescent="0.25">
      <c r="G9558" s="1" t="str">
        <f>IF(Table2[[#This Row],[Description]]="","",VLOOKUP(Table2[[#This Row],[Description]],$Q$1:$S$101,2,FALSE))</f>
        <v/>
      </c>
      <c r="H9558" s="1" t="str">
        <f>IF(Table2[[#This Row],[Description]]="","",VLOOKUP(Table2[[#This Row],[Description]],$Q$1:$S$101,3,FALSE))</f>
        <v/>
      </c>
      <c r="I9558" s="1" t="str">
        <f>IF(Table2[[#This Row],[Description]]="","",IF(Table2[[#This Row],[Currency]]=$O$2,$P$2,HLOOKUP(Table2[[#This Row],[Date]],Funds!$C$10:$GV$11,2,FALSE)))</f>
        <v/>
      </c>
      <c r="J9558" s="215" t="str">
        <f>IF(Table2[[#This Row],[Description]]="","",Table2[[#This Row],[Value]]/Table2[[#This Row],[Conversion]])</f>
        <v/>
      </c>
      <c r="K9558" s="45" t="str">
        <f>IF(Table2[[#This Row],[Description]]="","",DATE(Table2[[#This Row],[Year]],Table2[[#This Row],[Month]],1))</f>
        <v/>
      </c>
    </row>
    <row r="9559" spans="7:11" x14ac:dyDescent="0.25">
      <c r="G9559" s="1" t="str">
        <f>IF(Table2[[#This Row],[Description]]="","",VLOOKUP(Table2[[#This Row],[Description]],$Q$1:$S$101,2,FALSE))</f>
        <v/>
      </c>
      <c r="H9559" s="1" t="str">
        <f>IF(Table2[[#This Row],[Description]]="","",VLOOKUP(Table2[[#This Row],[Description]],$Q$1:$S$101,3,FALSE))</f>
        <v/>
      </c>
      <c r="I9559" s="1" t="str">
        <f>IF(Table2[[#This Row],[Description]]="","",IF(Table2[[#This Row],[Currency]]=$O$2,$P$2,HLOOKUP(Table2[[#This Row],[Date]],Funds!$C$10:$GV$11,2,FALSE)))</f>
        <v/>
      </c>
      <c r="J9559" s="215" t="str">
        <f>IF(Table2[[#This Row],[Description]]="","",Table2[[#This Row],[Value]]/Table2[[#This Row],[Conversion]])</f>
        <v/>
      </c>
      <c r="K9559" s="45" t="str">
        <f>IF(Table2[[#This Row],[Description]]="","",DATE(Table2[[#This Row],[Year]],Table2[[#This Row],[Month]],1))</f>
        <v/>
      </c>
    </row>
    <row r="9560" spans="7:11" x14ac:dyDescent="0.25">
      <c r="G9560" s="1" t="str">
        <f>IF(Table2[[#This Row],[Description]]="","",VLOOKUP(Table2[[#This Row],[Description]],$Q$1:$S$101,2,FALSE))</f>
        <v/>
      </c>
      <c r="H9560" s="1" t="str">
        <f>IF(Table2[[#This Row],[Description]]="","",VLOOKUP(Table2[[#This Row],[Description]],$Q$1:$S$101,3,FALSE))</f>
        <v/>
      </c>
      <c r="I9560" s="1" t="str">
        <f>IF(Table2[[#This Row],[Description]]="","",IF(Table2[[#This Row],[Currency]]=$O$2,$P$2,HLOOKUP(Table2[[#This Row],[Date]],Funds!$C$10:$GV$11,2,FALSE)))</f>
        <v/>
      </c>
      <c r="J9560" s="215" t="str">
        <f>IF(Table2[[#This Row],[Description]]="","",Table2[[#This Row],[Value]]/Table2[[#This Row],[Conversion]])</f>
        <v/>
      </c>
      <c r="K9560" s="45" t="str">
        <f>IF(Table2[[#This Row],[Description]]="","",DATE(Table2[[#This Row],[Year]],Table2[[#This Row],[Month]],1))</f>
        <v/>
      </c>
    </row>
    <row r="9561" spans="7:11" x14ac:dyDescent="0.25">
      <c r="G9561" s="1" t="str">
        <f>IF(Table2[[#This Row],[Description]]="","",VLOOKUP(Table2[[#This Row],[Description]],$Q$1:$S$101,2,FALSE))</f>
        <v/>
      </c>
      <c r="H9561" s="1" t="str">
        <f>IF(Table2[[#This Row],[Description]]="","",VLOOKUP(Table2[[#This Row],[Description]],$Q$1:$S$101,3,FALSE))</f>
        <v/>
      </c>
      <c r="I9561" s="1" t="str">
        <f>IF(Table2[[#This Row],[Description]]="","",IF(Table2[[#This Row],[Currency]]=$O$2,$P$2,HLOOKUP(Table2[[#This Row],[Date]],Funds!$C$10:$GV$11,2,FALSE)))</f>
        <v/>
      </c>
      <c r="J9561" s="215" t="str">
        <f>IF(Table2[[#This Row],[Description]]="","",Table2[[#This Row],[Value]]/Table2[[#This Row],[Conversion]])</f>
        <v/>
      </c>
      <c r="K9561" s="45" t="str">
        <f>IF(Table2[[#This Row],[Description]]="","",DATE(Table2[[#This Row],[Year]],Table2[[#This Row],[Month]],1))</f>
        <v/>
      </c>
    </row>
    <row r="9562" spans="7:11" x14ac:dyDescent="0.25">
      <c r="G9562" s="1" t="str">
        <f>IF(Table2[[#This Row],[Description]]="","",VLOOKUP(Table2[[#This Row],[Description]],$Q$1:$S$101,2,FALSE))</f>
        <v/>
      </c>
      <c r="H9562" s="1" t="str">
        <f>IF(Table2[[#This Row],[Description]]="","",VLOOKUP(Table2[[#This Row],[Description]],$Q$1:$S$101,3,FALSE))</f>
        <v/>
      </c>
      <c r="I9562" s="1" t="str">
        <f>IF(Table2[[#This Row],[Description]]="","",IF(Table2[[#This Row],[Currency]]=$O$2,$P$2,HLOOKUP(Table2[[#This Row],[Date]],Funds!$C$10:$GV$11,2,FALSE)))</f>
        <v/>
      </c>
      <c r="J9562" s="215" t="str">
        <f>IF(Table2[[#This Row],[Description]]="","",Table2[[#This Row],[Value]]/Table2[[#This Row],[Conversion]])</f>
        <v/>
      </c>
      <c r="K9562" s="45" t="str">
        <f>IF(Table2[[#This Row],[Description]]="","",DATE(Table2[[#This Row],[Year]],Table2[[#This Row],[Month]],1))</f>
        <v/>
      </c>
    </row>
    <row r="9563" spans="7:11" x14ac:dyDescent="0.25">
      <c r="G9563" s="1" t="str">
        <f>IF(Table2[[#This Row],[Description]]="","",VLOOKUP(Table2[[#This Row],[Description]],$Q$1:$S$101,2,FALSE))</f>
        <v/>
      </c>
      <c r="H9563" s="1" t="str">
        <f>IF(Table2[[#This Row],[Description]]="","",VLOOKUP(Table2[[#This Row],[Description]],$Q$1:$S$101,3,FALSE))</f>
        <v/>
      </c>
      <c r="I9563" s="1" t="str">
        <f>IF(Table2[[#This Row],[Description]]="","",IF(Table2[[#This Row],[Currency]]=$O$2,$P$2,HLOOKUP(Table2[[#This Row],[Date]],Funds!$C$10:$GV$11,2,FALSE)))</f>
        <v/>
      </c>
      <c r="J9563" s="215" t="str">
        <f>IF(Table2[[#This Row],[Description]]="","",Table2[[#This Row],[Value]]/Table2[[#This Row],[Conversion]])</f>
        <v/>
      </c>
      <c r="K9563" s="45" t="str">
        <f>IF(Table2[[#This Row],[Description]]="","",DATE(Table2[[#This Row],[Year]],Table2[[#This Row],[Month]],1))</f>
        <v/>
      </c>
    </row>
    <row r="9564" spans="7:11" x14ac:dyDescent="0.25">
      <c r="G9564" s="1" t="str">
        <f>IF(Table2[[#This Row],[Description]]="","",VLOOKUP(Table2[[#This Row],[Description]],$Q$1:$S$101,2,FALSE))</f>
        <v/>
      </c>
      <c r="H9564" s="1" t="str">
        <f>IF(Table2[[#This Row],[Description]]="","",VLOOKUP(Table2[[#This Row],[Description]],$Q$1:$S$101,3,FALSE))</f>
        <v/>
      </c>
      <c r="I9564" s="1" t="str">
        <f>IF(Table2[[#This Row],[Description]]="","",IF(Table2[[#This Row],[Currency]]=$O$2,$P$2,HLOOKUP(Table2[[#This Row],[Date]],Funds!$C$10:$GV$11,2,FALSE)))</f>
        <v/>
      </c>
      <c r="J9564" s="215" t="str">
        <f>IF(Table2[[#This Row],[Description]]="","",Table2[[#This Row],[Value]]/Table2[[#This Row],[Conversion]])</f>
        <v/>
      </c>
      <c r="K9564" s="45" t="str">
        <f>IF(Table2[[#This Row],[Description]]="","",DATE(Table2[[#This Row],[Year]],Table2[[#This Row],[Month]],1))</f>
        <v/>
      </c>
    </row>
    <row r="9565" spans="7:11" x14ac:dyDescent="0.25">
      <c r="G9565" s="1" t="str">
        <f>IF(Table2[[#This Row],[Description]]="","",VLOOKUP(Table2[[#This Row],[Description]],$Q$1:$S$101,2,FALSE))</f>
        <v/>
      </c>
      <c r="H9565" s="1" t="str">
        <f>IF(Table2[[#This Row],[Description]]="","",VLOOKUP(Table2[[#This Row],[Description]],$Q$1:$S$101,3,FALSE))</f>
        <v/>
      </c>
      <c r="I9565" s="1" t="str">
        <f>IF(Table2[[#This Row],[Description]]="","",IF(Table2[[#This Row],[Currency]]=$O$2,$P$2,HLOOKUP(Table2[[#This Row],[Date]],Funds!$C$10:$GV$11,2,FALSE)))</f>
        <v/>
      </c>
      <c r="J9565" s="215" t="str">
        <f>IF(Table2[[#This Row],[Description]]="","",Table2[[#This Row],[Value]]/Table2[[#This Row],[Conversion]])</f>
        <v/>
      </c>
      <c r="K9565" s="45" t="str">
        <f>IF(Table2[[#This Row],[Description]]="","",DATE(Table2[[#This Row],[Year]],Table2[[#This Row],[Month]],1))</f>
        <v/>
      </c>
    </row>
    <row r="9566" spans="7:11" x14ac:dyDescent="0.25">
      <c r="G9566" s="1" t="str">
        <f>IF(Table2[[#This Row],[Description]]="","",VLOOKUP(Table2[[#This Row],[Description]],$Q$1:$S$101,2,FALSE))</f>
        <v/>
      </c>
      <c r="H9566" s="1" t="str">
        <f>IF(Table2[[#This Row],[Description]]="","",VLOOKUP(Table2[[#This Row],[Description]],$Q$1:$S$101,3,FALSE))</f>
        <v/>
      </c>
      <c r="I9566" s="1" t="str">
        <f>IF(Table2[[#This Row],[Description]]="","",IF(Table2[[#This Row],[Currency]]=$O$2,$P$2,HLOOKUP(Table2[[#This Row],[Date]],Funds!$C$10:$GV$11,2,FALSE)))</f>
        <v/>
      </c>
      <c r="J9566" s="215" t="str">
        <f>IF(Table2[[#This Row],[Description]]="","",Table2[[#This Row],[Value]]/Table2[[#This Row],[Conversion]])</f>
        <v/>
      </c>
      <c r="K9566" s="45" t="str">
        <f>IF(Table2[[#This Row],[Description]]="","",DATE(Table2[[#This Row],[Year]],Table2[[#This Row],[Month]],1))</f>
        <v/>
      </c>
    </row>
    <row r="9567" spans="7:11" x14ac:dyDescent="0.25">
      <c r="G9567" s="1" t="str">
        <f>IF(Table2[[#This Row],[Description]]="","",VLOOKUP(Table2[[#This Row],[Description]],$Q$1:$S$101,2,FALSE))</f>
        <v/>
      </c>
      <c r="H9567" s="1" t="str">
        <f>IF(Table2[[#This Row],[Description]]="","",VLOOKUP(Table2[[#This Row],[Description]],$Q$1:$S$101,3,FALSE))</f>
        <v/>
      </c>
      <c r="I9567" s="1" t="str">
        <f>IF(Table2[[#This Row],[Description]]="","",IF(Table2[[#This Row],[Currency]]=$O$2,$P$2,HLOOKUP(Table2[[#This Row],[Date]],Funds!$C$10:$GV$11,2,FALSE)))</f>
        <v/>
      </c>
      <c r="J9567" s="215" t="str">
        <f>IF(Table2[[#This Row],[Description]]="","",Table2[[#This Row],[Value]]/Table2[[#This Row],[Conversion]])</f>
        <v/>
      </c>
      <c r="K9567" s="45" t="str">
        <f>IF(Table2[[#This Row],[Description]]="","",DATE(Table2[[#This Row],[Year]],Table2[[#This Row],[Month]],1))</f>
        <v/>
      </c>
    </row>
    <row r="9568" spans="7:11" x14ac:dyDescent="0.25">
      <c r="G9568" s="1" t="str">
        <f>IF(Table2[[#This Row],[Description]]="","",VLOOKUP(Table2[[#This Row],[Description]],$Q$1:$S$101,2,FALSE))</f>
        <v/>
      </c>
      <c r="H9568" s="1" t="str">
        <f>IF(Table2[[#This Row],[Description]]="","",VLOOKUP(Table2[[#This Row],[Description]],$Q$1:$S$101,3,FALSE))</f>
        <v/>
      </c>
      <c r="I9568" s="1" t="str">
        <f>IF(Table2[[#This Row],[Description]]="","",IF(Table2[[#This Row],[Currency]]=$O$2,$P$2,HLOOKUP(Table2[[#This Row],[Date]],Funds!$C$10:$GV$11,2,FALSE)))</f>
        <v/>
      </c>
      <c r="J9568" s="215" t="str">
        <f>IF(Table2[[#This Row],[Description]]="","",Table2[[#This Row],[Value]]/Table2[[#This Row],[Conversion]])</f>
        <v/>
      </c>
      <c r="K9568" s="45" t="str">
        <f>IF(Table2[[#This Row],[Description]]="","",DATE(Table2[[#This Row],[Year]],Table2[[#This Row],[Month]],1))</f>
        <v/>
      </c>
    </row>
    <row r="9569" spans="7:11" x14ac:dyDescent="0.25">
      <c r="G9569" s="1" t="str">
        <f>IF(Table2[[#This Row],[Description]]="","",VLOOKUP(Table2[[#This Row],[Description]],$Q$1:$S$101,2,FALSE))</f>
        <v/>
      </c>
      <c r="H9569" s="1" t="str">
        <f>IF(Table2[[#This Row],[Description]]="","",VLOOKUP(Table2[[#This Row],[Description]],$Q$1:$S$101,3,FALSE))</f>
        <v/>
      </c>
      <c r="I9569" s="1" t="str">
        <f>IF(Table2[[#This Row],[Description]]="","",IF(Table2[[#This Row],[Currency]]=$O$2,$P$2,HLOOKUP(Table2[[#This Row],[Date]],Funds!$C$10:$GV$11,2,FALSE)))</f>
        <v/>
      </c>
      <c r="J9569" s="215" t="str">
        <f>IF(Table2[[#This Row],[Description]]="","",Table2[[#This Row],[Value]]/Table2[[#This Row],[Conversion]])</f>
        <v/>
      </c>
      <c r="K9569" s="45" t="str">
        <f>IF(Table2[[#This Row],[Description]]="","",DATE(Table2[[#This Row],[Year]],Table2[[#This Row],[Month]],1))</f>
        <v/>
      </c>
    </row>
    <row r="9570" spans="7:11" x14ac:dyDescent="0.25">
      <c r="G9570" s="1" t="str">
        <f>IF(Table2[[#This Row],[Description]]="","",VLOOKUP(Table2[[#This Row],[Description]],$Q$1:$S$101,2,FALSE))</f>
        <v/>
      </c>
      <c r="H9570" s="1" t="str">
        <f>IF(Table2[[#This Row],[Description]]="","",VLOOKUP(Table2[[#This Row],[Description]],$Q$1:$S$101,3,FALSE))</f>
        <v/>
      </c>
      <c r="I9570" s="1" t="str">
        <f>IF(Table2[[#This Row],[Description]]="","",IF(Table2[[#This Row],[Currency]]=$O$2,$P$2,HLOOKUP(Table2[[#This Row],[Date]],Funds!$C$10:$GV$11,2,FALSE)))</f>
        <v/>
      </c>
      <c r="J9570" s="215" t="str">
        <f>IF(Table2[[#This Row],[Description]]="","",Table2[[#This Row],[Value]]/Table2[[#This Row],[Conversion]])</f>
        <v/>
      </c>
      <c r="K9570" s="45" t="str">
        <f>IF(Table2[[#This Row],[Description]]="","",DATE(Table2[[#This Row],[Year]],Table2[[#This Row],[Month]],1))</f>
        <v/>
      </c>
    </row>
    <row r="9571" spans="7:11" x14ac:dyDescent="0.25">
      <c r="G9571" s="1" t="str">
        <f>IF(Table2[[#This Row],[Description]]="","",VLOOKUP(Table2[[#This Row],[Description]],$Q$1:$S$101,2,FALSE))</f>
        <v/>
      </c>
      <c r="H9571" s="1" t="str">
        <f>IF(Table2[[#This Row],[Description]]="","",VLOOKUP(Table2[[#This Row],[Description]],$Q$1:$S$101,3,FALSE))</f>
        <v/>
      </c>
      <c r="I9571" s="1" t="str">
        <f>IF(Table2[[#This Row],[Description]]="","",IF(Table2[[#This Row],[Currency]]=$O$2,$P$2,HLOOKUP(Table2[[#This Row],[Date]],Funds!$C$10:$GV$11,2,FALSE)))</f>
        <v/>
      </c>
      <c r="J9571" s="215" t="str">
        <f>IF(Table2[[#This Row],[Description]]="","",Table2[[#This Row],[Value]]/Table2[[#This Row],[Conversion]])</f>
        <v/>
      </c>
      <c r="K9571" s="45" t="str">
        <f>IF(Table2[[#This Row],[Description]]="","",DATE(Table2[[#This Row],[Year]],Table2[[#This Row],[Month]],1))</f>
        <v/>
      </c>
    </row>
    <row r="9572" spans="7:11" x14ac:dyDescent="0.25">
      <c r="G9572" s="1" t="str">
        <f>IF(Table2[[#This Row],[Description]]="","",VLOOKUP(Table2[[#This Row],[Description]],$Q$1:$S$101,2,FALSE))</f>
        <v/>
      </c>
      <c r="H9572" s="1" t="str">
        <f>IF(Table2[[#This Row],[Description]]="","",VLOOKUP(Table2[[#This Row],[Description]],$Q$1:$S$101,3,FALSE))</f>
        <v/>
      </c>
      <c r="I9572" s="1" t="str">
        <f>IF(Table2[[#This Row],[Description]]="","",IF(Table2[[#This Row],[Currency]]=$O$2,$P$2,HLOOKUP(Table2[[#This Row],[Date]],Funds!$C$10:$GV$11,2,FALSE)))</f>
        <v/>
      </c>
      <c r="J9572" s="215" t="str">
        <f>IF(Table2[[#This Row],[Description]]="","",Table2[[#This Row],[Value]]/Table2[[#This Row],[Conversion]])</f>
        <v/>
      </c>
      <c r="K9572" s="45" t="str">
        <f>IF(Table2[[#This Row],[Description]]="","",DATE(Table2[[#This Row],[Year]],Table2[[#This Row],[Month]],1))</f>
        <v/>
      </c>
    </row>
    <row r="9573" spans="7:11" x14ac:dyDescent="0.25">
      <c r="G9573" s="1" t="str">
        <f>IF(Table2[[#This Row],[Description]]="","",VLOOKUP(Table2[[#This Row],[Description]],$Q$1:$S$101,2,FALSE))</f>
        <v/>
      </c>
      <c r="H9573" s="1" t="str">
        <f>IF(Table2[[#This Row],[Description]]="","",VLOOKUP(Table2[[#This Row],[Description]],$Q$1:$S$101,3,FALSE))</f>
        <v/>
      </c>
      <c r="I9573" s="1" t="str">
        <f>IF(Table2[[#This Row],[Description]]="","",IF(Table2[[#This Row],[Currency]]=$O$2,$P$2,HLOOKUP(Table2[[#This Row],[Date]],Funds!$C$10:$GV$11,2,FALSE)))</f>
        <v/>
      </c>
      <c r="J9573" s="215" t="str">
        <f>IF(Table2[[#This Row],[Description]]="","",Table2[[#This Row],[Value]]/Table2[[#This Row],[Conversion]])</f>
        <v/>
      </c>
      <c r="K9573" s="45" t="str">
        <f>IF(Table2[[#This Row],[Description]]="","",DATE(Table2[[#This Row],[Year]],Table2[[#This Row],[Month]],1))</f>
        <v/>
      </c>
    </row>
    <row r="9574" spans="7:11" x14ac:dyDescent="0.25">
      <c r="G9574" s="1" t="str">
        <f>IF(Table2[[#This Row],[Description]]="","",VLOOKUP(Table2[[#This Row],[Description]],$Q$1:$S$101,2,FALSE))</f>
        <v/>
      </c>
      <c r="H9574" s="1" t="str">
        <f>IF(Table2[[#This Row],[Description]]="","",VLOOKUP(Table2[[#This Row],[Description]],$Q$1:$S$101,3,FALSE))</f>
        <v/>
      </c>
      <c r="I9574" s="1" t="str">
        <f>IF(Table2[[#This Row],[Description]]="","",IF(Table2[[#This Row],[Currency]]=$O$2,$P$2,HLOOKUP(Table2[[#This Row],[Date]],Funds!$C$10:$GV$11,2,FALSE)))</f>
        <v/>
      </c>
      <c r="J9574" s="215" t="str">
        <f>IF(Table2[[#This Row],[Description]]="","",Table2[[#This Row],[Value]]/Table2[[#This Row],[Conversion]])</f>
        <v/>
      </c>
      <c r="K9574" s="45" t="str">
        <f>IF(Table2[[#This Row],[Description]]="","",DATE(Table2[[#This Row],[Year]],Table2[[#This Row],[Month]],1))</f>
        <v/>
      </c>
    </row>
    <row r="9575" spans="7:11" x14ac:dyDescent="0.25">
      <c r="G9575" s="1" t="str">
        <f>IF(Table2[[#This Row],[Description]]="","",VLOOKUP(Table2[[#This Row],[Description]],$Q$1:$S$101,2,FALSE))</f>
        <v/>
      </c>
      <c r="H9575" s="1" t="str">
        <f>IF(Table2[[#This Row],[Description]]="","",VLOOKUP(Table2[[#This Row],[Description]],$Q$1:$S$101,3,FALSE))</f>
        <v/>
      </c>
      <c r="I9575" s="1" t="str">
        <f>IF(Table2[[#This Row],[Description]]="","",IF(Table2[[#This Row],[Currency]]=$O$2,$P$2,HLOOKUP(Table2[[#This Row],[Date]],Funds!$C$10:$GV$11,2,FALSE)))</f>
        <v/>
      </c>
      <c r="J9575" s="215" t="str">
        <f>IF(Table2[[#This Row],[Description]]="","",Table2[[#This Row],[Value]]/Table2[[#This Row],[Conversion]])</f>
        <v/>
      </c>
      <c r="K9575" s="45" t="str">
        <f>IF(Table2[[#This Row],[Description]]="","",DATE(Table2[[#This Row],[Year]],Table2[[#This Row],[Month]],1))</f>
        <v/>
      </c>
    </row>
    <row r="9576" spans="7:11" x14ac:dyDescent="0.25">
      <c r="G9576" s="1" t="str">
        <f>IF(Table2[[#This Row],[Description]]="","",VLOOKUP(Table2[[#This Row],[Description]],$Q$1:$S$101,2,FALSE))</f>
        <v/>
      </c>
      <c r="H9576" s="1" t="str">
        <f>IF(Table2[[#This Row],[Description]]="","",VLOOKUP(Table2[[#This Row],[Description]],$Q$1:$S$101,3,FALSE))</f>
        <v/>
      </c>
      <c r="I9576" s="1" t="str">
        <f>IF(Table2[[#This Row],[Description]]="","",IF(Table2[[#This Row],[Currency]]=$O$2,$P$2,HLOOKUP(Table2[[#This Row],[Date]],Funds!$C$10:$GV$11,2,FALSE)))</f>
        <v/>
      </c>
      <c r="J9576" s="215" t="str">
        <f>IF(Table2[[#This Row],[Description]]="","",Table2[[#This Row],[Value]]/Table2[[#This Row],[Conversion]])</f>
        <v/>
      </c>
      <c r="K9576" s="45" t="str">
        <f>IF(Table2[[#This Row],[Description]]="","",DATE(Table2[[#This Row],[Year]],Table2[[#This Row],[Month]],1))</f>
        <v/>
      </c>
    </row>
    <row r="9577" spans="7:11" x14ac:dyDescent="0.25">
      <c r="G9577" s="1" t="str">
        <f>IF(Table2[[#This Row],[Description]]="","",VLOOKUP(Table2[[#This Row],[Description]],$Q$1:$S$101,2,FALSE))</f>
        <v/>
      </c>
      <c r="H9577" s="1" t="str">
        <f>IF(Table2[[#This Row],[Description]]="","",VLOOKUP(Table2[[#This Row],[Description]],$Q$1:$S$101,3,FALSE))</f>
        <v/>
      </c>
      <c r="I9577" s="1" t="str">
        <f>IF(Table2[[#This Row],[Description]]="","",IF(Table2[[#This Row],[Currency]]=$O$2,$P$2,HLOOKUP(Table2[[#This Row],[Date]],Funds!$C$10:$GV$11,2,FALSE)))</f>
        <v/>
      </c>
      <c r="J9577" s="215" t="str">
        <f>IF(Table2[[#This Row],[Description]]="","",Table2[[#This Row],[Value]]/Table2[[#This Row],[Conversion]])</f>
        <v/>
      </c>
      <c r="K9577" s="45" t="str">
        <f>IF(Table2[[#This Row],[Description]]="","",DATE(Table2[[#This Row],[Year]],Table2[[#This Row],[Month]],1))</f>
        <v/>
      </c>
    </row>
    <row r="9578" spans="7:11" x14ac:dyDescent="0.25">
      <c r="G9578" s="1" t="str">
        <f>IF(Table2[[#This Row],[Description]]="","",VLOOKUP(Table2[[#This Row],[Description]],$Q$1:$S$101,2,FALSE))</f>
        <v/>
      </c>
      <c r="H9578" s="1" t="str">
        <f>IF(Table2[[#This Row],[Description]]="","",VLOOKUP(Table2[[#This Row],[Description]],$Q$1:$S$101,3,FALSE))</f>
        <v/>
      </c>
      <c r="I9578" s="1" t="str">
        <f>IF(Table2[[#This Row],[Description]]="","",IF(Table2[[#This Row],[Currency]]=$O$2,$P$2,HLOOKUP(Table2[[#This Row],[Date]],Funds!$C$10:$GV$11,2,FALSE)))</f>
        <v/>
      </c>
      <c r="J9578" s="215" t="str">
        <f>IF(Table2[[#This Row],[Description]]="","",Table2[[#This Row],[Value]]/Table2[[#This Row],[Conversion]])</f>
        <v/>
      </c>
      <c r="K9578" s="45" t="str">
        <f>IF(Table2[[#This Row],[Description]]="","",DATE(Table2[[#This Row],[Year]],Table2[[#This Row],[Month]],1))</f>
        <v/>
      </c>
    </row>
    <row r="9579" spans="7:11" x14ac:dyDescent="0.25">
      <c r="G9579" s="1" t="str">
        <f>IF(Table2[[#This Row],[Description]]="","",VLOOKUP(Table2[[#This Row],[Description]],$Q$1:$S$101,2,FALSE))</f>
        <v/>
      </c>
      <c r="H9579" s="1" t="str">
        <f>IF(Table2[[#This Row],[Description]]="","",VLOOKUP(Table2[[#This Row],[Description]],$Q$1:$S$101,3,FALSE))</f>
        <v/>
      </c>
      <c r="I9579" s="1" t="str">
        <f>IF(Table2[[#This Row],[Description]]="","",IF(Table2[[#This Row],[Currency]]=$O$2,$P$2,HLOOKUP(Table2[[#This Row],[Date]],Funds!$C$10:$GV$11,2,FALSE)))</f>
        <v/>
      </c>
      <c r="J9579" s="215" t="str">
        <f>IF(Table2[[#This Row],[Description]]="","",Table2[[#This Row],[Value]]/Table2[[#This Row],[Conversion]])</f>
        <v/>
      </c>
      <c r="K9579" s="45" t="str">
        <f>IF(Table2[[#This Row],[Description]]="","",DATE(Table2[[#This Row],[Year]],Table2[[#This Row],[Month]],1))</f>
        <v/>
      </c>
    </row>
    <row r="9580" spans="7:11" x14ac:dyDescent="0.25">
      <c r="G9580" s="1" t="str">
        <f>IF(Table2[[#This Row],[Description]]="","",VLOOKUP(Table2[[#This Row],[Description]],$Q$1:$S$101,2,FALSE))</f>
        <v/>
      </c>
      <c r="H9580" s="1" t="str">
        <f>IF(Table2[[#This Row],[Description]]="","",VLOOKUP(Table2[[#This Row],[Description]],$Q$1:$S$101,3,FALSE))</f>
        <v/>
      </c>
      <c r="I9580" s="1" t="str">
        <f>IF(Table2[[#This Row],[Description]]="","",IF(Table2[[#This Row],[Currency]]=$O$2,$P$2,HLOOKUP(Table2[[#This Row],[Date]],Funds!$C$10:$GV$11,2,FALSE)))</f>
        <v/>
      </c>
      <c r="J9580" s="215" t="str">
        <f>IF(Table2[[#This Row],[Description]]="","",Table2[[#This Row],[Value]]/Table2[[#This Row],[Conversion]])</f>
        <v/>
      </c>
      <c r="K9580" s="45" t="str">
        <f>IF(Table2[[#This Row],[Description]]="","",DATE(Table2[[#This Row],[Year]],Table2[[#This Row],[Month]],1))</f>
        <v/>
      </c>
    </row>
    <row r="9581" spans="7:11" x14ac:dyDescent="0.25">
      <c r="G9581" s="1" t="str">
        <f>IF(Table2[[#This Row],[Description]]="","",VLOOKUP(Table2[[#This Row],[Description]],$Q$1:$S$101,2,FALSE))</f>
        <v/>
      </c>
      <c r="H9581" s="1" t="str">
        <f>IF(Table2[[#This Row],[Description]]="","",VLOOKUP(Table2[[#This Row],[Description]],$Q$1:$S$101,3,FALSE))</f>
        <v/>
      </c>
      <c r="I9581" s="1" t="str">
        <f>IF(Table2[[#This Row],[Description]]="","",IF(Table2[[#This Row],[Currency]]=$O$2,$P$2,HLOOKUP(Table2[[#This Row],[Date]],Funds!$C$10:$GV$11,2,FALSE)))</f>
        <v/>
      </c>
      <c r="J9581" s="215" t="str">
        <f>IF(Table2[[#This Row],[Description]]="","",Table2[[#This Row],[Value]]/Table2[[#This Row],[Conversion]])</f>
        <v/>
      </c>
      <c r="K9581" s="45" t="str">
        <f>IF(Table2[[#This Row],[Description]]="","",DATE(Table2[[#This Row],[Year]],Table2[[#This Row],[Month]],1))</f>
        <v/>
      </c>
    </row>
    <row r="9582" spans="7:11" x14ac:dyDescent="0.25">
      <c r="G9582" s="1" t="str">
        <f>IF(Table2[[#This Row],[Description]]="","",VLOOKUP(Table2[[#This Row],[Description]],$Q$1:$S$101,2,FALSE))</f>
        <v/>
      </c>
      <c r="H9582" s="1" t="str">
        <f>IF(Table2[[#This Row],[Description]]="","",VLOOKUP(Table2[[#This Row],[Description]],$Q$1:$S$101,3,FALSE))</f>
        <v/>
      </c>
      <c r="I9582" s="1" t="str">
        <f>IF(Table2[[#This Row],[Description]]="","",IF(Table2[[#This Row],[Currency]]=$O$2,$P$2,HLOOKUP(Table2[[#This Row],[Date]],Funds!$C$10:$GV$11,2,FALSE)))</f>
        <v/>
      </c>
      <c r="J9582" s="215" t="str">
        <f>IF(Table2[[#This Row],[Description]]="","",Table2[[#This Row],[Value]]/Table2[[#This Row],[Conversion]])</f>
        <v/>
      </c>
      <c r="K9582" s="45" t="str">
        <f>IF(Table2[[#This Row],[Description]]="","",DATE(Table2[[#This Row],[Year]],Table2[[#This Row],[Month]],1))</f>
        <v/>
      </c>
    </row>
    <row r="9583" spans="7:11" x14ac:dyDescent="0.25">
      <c r="G9583" s="1" t="str">
        <f>IF(Table2[[#This Row],[Description]]="","",VLOOKUP(Table2[[#This Row],[Description]],$Q$1:$S$101,2,FALSE))</f>
        <v/>
      </c>
      <c r="H9583" s="1" t="str">
        <f>IF(Table2[[#This Row],[Description]]="","",VLOOKUP(Table2[[#This Row],[Description]],$Q$1:$S$101,3,FALSE))</f>
        <v/>
      </c>
      <c r="I9583" s="1" t="str">
        <f>IF(Table2[[#This Row],[Description]]="","",IF(Table2[[#This Row],[Currency]]=$O$2,$P$2,HLOOKUP(Table2[[#This Row],[Date]],Funds!$C$10:$GV$11,2,FALSE)))</f>
        <v/>
      </c>
      <c r="J9583" s="215" t="str">
        <f>IF(Table2[[#This Row],[Description]]="","",Table2[[#This Row],[Value]]/Table2[[#This Row],[Conversion]])</f>
        <v/>
      </c>
      <c r="K9583" s="45" t="str">
        <f>IF(Table2[[#This Row],[Description]]="","",DATE(Table2[[#This Row],[Year]],Table2[[#This Row],[Month]],1))</f>
        <v/>
      </c>
    </row>
    <row r="9584" spans="7:11" x14ac:dyDescent="0.25">
      <c r="G9584" s="1" t="str">
        <f>IF(Table2[[#This Row],[Description]]="","",VLOOKUP(Table2[[#This Row],[Description]],$Q$1:$S$101,2,FALSE))</f>
        <v/>
      </c>
      <c r="H9584" s="1" t="str">
        <f>IF(Table2[[#This Row],[Description]]="","",VLOOKUP(Table2[[#This Row],[Description]],$Q$1:$S$101,3,FALSE))</f>
        <v/>
      </c>
      <c r="I9584" s="1" t="str">
        <f>IF(Table2[[#This Row],[Description]]="","",IF(Table2[[#This Row],[Currency]]=$O$2,$P$2,HLOOKUP(Table2[[#This Row],[Date]],Funds!$C$10:$GV$11,2,FALSE)))</f>
        <v/>
      </c>
      <c r="J9584" s="215" t="str">
        <f>IF(Table2[[#This Row],[Description]]="","",Table2[[#This Row],[Value]]/Table2[[#This Row],[Conversion]])</f>
        <v/>
      </c>
      <c r="K9584" s="45" t="str">
        <f>IF(Table2[[#This Row],[Description]]="","",DATE(Table2[[#This Row],[Year]],Table2[[#This Row],[Month]],1))</f>
        <v/>
      </c>
    </row>
    <row r="9585" spans="7:11" x14ac:dyDescent="0.25">
      <c r="G9585" s="1" t="str">
        <f>IF(Table2[[#This Row],[Description]]="","",VLOOKUP(Table2[[#This Row],[Description]],$Q$1:$S$101,2,FALSE))</f>
        <v/>
      </c>
      <c r="H9585" s="1" t="str">
        <f>IF(Table2[[#This Row],[Description]]="","",VLOOKUP(Table2[[#This Row],[Description]],$Q$1:$S$101,3,FALSE))</f>
        <v/>
      </c>
      <c r="I9585" s="1" t="str">
        <f>IF(Table2[[#This Row],[Description]]="","",IF(Table2[[#This Row],[Currency]]=$O$2,$P$2,HLOOKUP(Table2[[#This Row],[Date]],Funds!$C$10:$GV$11,2,FALSE)))</f>
        <v/>
      </c>
      <c r="J9585" s="215" t="str">
        <f>IF(Table2[[#This Row],[Description]]="","",Table2[[#This Row],[Value]]/Table2[[#This Row],[Conversion]])</f>
        <v/>
      </c>
      <c r="K9585" s="45" t="str">
        <f>IF(Table2[[#This Row],[Description]]="","",DATE(Table2[[#This Row],[Year]],Table2[[#This Row],[Month]],1))</f>
        <v/>
      </c>
    </row>
    <row r="9586" spans="7:11" x14ac:dyDescent="0.25">
      <c r="G9586" s="1" t="str">
        <f>IF(Table2[[#This Row],[Description]]="","",VLOOKUP(Table2[[#This Row],[Description]],$Q$1:$S$101,2,FALSE))</f>
        <v/>
      </c>
      <c r="H9586" s="1" t="str">
        <f>IF(Table2[[#This Row],[Description]]="","",VLOOKUP(Table2[[#This Row],[Description]],$Q$1:$S$101,3,FALSE))</f>
        <v/>
      </c>
      <c r="I9586" s="1" t="str">
        <f>IF(Table2[[#This Row],[Description]]="","",IF(Table2[[#This Row],[Currency]]=$O$2,$P$2,HLOOKUP(Table2[[#This Row],[Date]],Funds!$C$10:$GV$11,2,FALSE)))</f>
        <v/>
      </c>
      <c r="J9586" s="215" t="str">
        <f>IF(Table2[[#This Row],[Description]]="","",Table2[[#This Row],[Value]]/Table2[[#This Row],[Conversion]])</f>
        <v/>
      </c>
      <c r="K9586" s="45" t="str">
        <f>IF(Table2[[#This Row],[Description]]="","",DATE(Table2[[#This Row],[Year]],Table2[[#This Row],[Month]],1))</f>
        <v/>
      </c>
    </row>
    <row r="9587" spans="7:11" x14ac:dyDescent="0.25">
      <c r="G9587" s="1" t="str">
        <f>IF(Table2[[#This Row],[Description]]="","",VLOOKUP(Table2[[#This Row],[Description]],$Q$1:$S$101,2,FALSE))</f>
        <v/>
      </c>
      <c r="H9587" s="1" t="str">
        <f>IF(Table2[[#This Row],[Description]]="","",VLOOKUP(Table2[[#This Row],[Description]],$Q$1:$S$101,3,FALSE))</f>
        <v/>
      </c>
      <c r="I9587" s="1" t="str">
        <f>IF(Table2[[#This Row],[Description]]="","",IF(Table2[[#This Row],[Currency]]=$O$2,$P$2,HLOOKUP(Table2[[#This Row],[Date]],Funds!$C$10:$GV$11,2,FALSE)))</f>
        <v/>
      </c>
      <c r="J9587" s="215" t="str">
        <f>IF(Table2[[#This Row],[Description]]="","",Table2[[#This Row],[Value]]/Table2[[#This Row],[Conversion]])</f>
        <v/>
      </c>
      <c r="K9587" s="45" t="str">
        <f>IF(Table2[[#This Row],[Description]]="","",DATE(Table2[[#This Row],[Year]],Table2[[#This Row],[Month]],1))</f>
        <v/>
      </c>
    </row>
    <row r="9588" spans="7:11" x14ac:dyDescent="0.25">
      <c r="G9588" s="1" t="str">
        <f>IF(Table2[[#This Row],[Description]]="","",VLOOKUP(Table2[[#This Row],[Description]],$Q$1:$S$101,2,FALSE))</f>
        <v/>
      </c>
      <c r="H9588" s="1" t="str">
        <f>IF(Table2[[#This Row],[Description]]="","",VLOOKUP(Table2[[#This Row],[Description]],$Q$1:$S$101,3,FALSE))</f>
        <v/>
      </c>
      <c r="I9588" s="1" t="str">
        <f>IF(Table2[[#This Row],[Description]]="","",IF(Table2[[#This Row],[Currency]]=$O$2,$P$2,HLOOKUP(Table2[[#This Row],[Date]],Funds!$C$10:$GV$11,2,FALSE)))</f>
        <v/>
      </c>
      <c r="J9588" s="215" t="str">
        <f>IF(Table2[[#This Row],[Description]]="","",Table2[[#This Row],[Value]]/Table2[[#This Row],[Conversion]])</f>
        <v/>
      </c>
      <c r="K9588" s="45" t="str">
        <f>IF(Table2[[#This Row],[Description]]="","",DATE(Table2[[#This Row],[Year]],Table2[[#This Row],[Month]],1))</f>
        <v/>
      </c>
    </row>
    <row r="9589" spans="7:11" x14ac:dyDescent="0.25">
      <c r="G9589" s="1" t="str">
        <f>IF(Table2[[#This Row],[Description]]="","",VLOOKUP(Table2[[#This Row],[Description]],$Q$1:$S$101,2,FALSE))</f>
        <v/>
      </c>
      <c r="H9589" s="1" t="str">
        <f>IF(Table2[[#This Row],[Description]]="","",VLOOKUP(Table2[[#This Row],[Description]],$Q$1:$S$101,3,FALSE))</f>
        <v/>
      </c>
      <c r="I9589" s="1" t="str">
        <f>IF(Table2[[#This Row],[Description]]="","",IF(Table2[[#This Row],[Currency]]=$O$2,$P$2,HLOOKUP(Table2[[#This Row],[Date]],Funds!$C$10:$GV$11,2,FALSE)))</f>
        <v/>
      </c>
      <c r="J9589" s="215" t="str">
        <f>IF(Table2[[#This Row],[Description]]="","",Table2[[#This Row],[Value]]/Table2[[#This Row],[Conversion]])</f>
        <v/>
      </c>
      <c r="K9589" s="45" t="str">
        <f>IF(Table2[[#This Row],[Description]]="","",DATE(Table2[[#This Row],[Year]],Table2[[#This Row],[Month]],1))</f>
        <v/>
      </c>
    </row>
    <row r="9590" spans="7:11" x14ac:dyDescent="0.25">
      <c r="G9590" s="1" t="str">
        <f>IF(Table2[[#This Row],[Description]]="","",VLOOKUP(Table2[[#This Row],[Description]],$Q$1:$S$101,2,FALSE))</f>
        <v/>
      </c>
      <c r="H9590" s="1" t="str">
        <f>IF(Table2[[#This Row],[Description]]="","",VLOOKUP(Table2[[#This Row],[Description]],$Q$1:$S$101,3,FALSE))</f>
        <v/>
      </c>
      <c r="I9590" s="1" t="str">
        <f>IF(Table2[[#This Row],[Description]]="","",IF(Table2[[#This Row],[Currency]]=$O$2,$P$2,HLOOKUP(Table2[[#This Row],[Date]],Funds!$C$10:$GV$11,2,FALSE)))</f>
        <v/>
      </c>
      <c r="J9590" s="215" t="str">
        <f>IF(Table2[[#This Row],[Description]]="","",Table2[[#This Row],[Value]]/Table2[[#This Row],[Conversion]])</f>
        <v/>
      </c>
      <c r="K9590" s="45" t="str">
        <f>IF(Table2[[#This Row],[Description]]="","",DATE(Table2[[#This Row],[Year]],Table2[[#This Row],[Month]],1))</f>
        <v/>
      </c>
    </row>
    <row r="9591" spans="7:11" x14ac:dyDescent="0.25">
      <c r="G9591" s="1" t="str">
        <f>IF(Table2[[#This Row],[Description]]="","",VLOOKUP(Table2[[#This Row],[Description]],$Q$1:$S$101,2,FALSE))</f>
        <v/>
      </c>
      <c r="H9591" s="1" t="str">
        <f>IF(Table2[[#This Row],[Description]]="","",VLOOKUP(Table2[[#This Row],[Description]],$Q$1:$S$101,3,FALSE))</f>
        <v/>
      </c>
      <c r="I9591" s="1" t="str">
        <f>IF(Table2[[#This Row],[Description]]="","",IF(Table2[[#This Row],[Currency]]=$O$2,$P$2,HLOOKUP(Table2[[#This Row],[Date]],Funds!$C$10:$GV$11,2,FALSE)))</f>
        <v/>
      </c>
      <c r="J9591" s="215" t="str">
        <f>IF(Table2[[#This Row],[Description]]="","",Table2[[#This Row],[Value]]/Table2[[#This Row],[Conversion]])</f>
        <v/>
      </c>
      <c r="K9591" s="45" t="str">
        <f>IF(Table2[[#This Row],[Description]]="","",DATE(Table2[[#This Row],[Year]],Table2[[#This Row],[Month]],1))</f>
        <v/>
      </c>
    </row>
    <row r="9592" spans="7:11" x14ac:dyDescent="0.25">
      <c r="G9592" s="1" t="str">
        <f>IF(Table2[[#This Row],[Description]]="","",VLOOKUP(Table2[[#This Row],[Description]],$Q$1:$S$101,2,FALSE))</f>
        <v/>
      </c>
      <c r="H9592" s="1" t="str">
        <f>IF(Table2[[#This Row],[Description]]="","",VLOOKUP(Table2[[#This Row],[Description]],$Q$1:$S$101,3,FALSE))</f>
        <v/>
      </c>
      <c r="I9592" s="1" t="str">
        <f>IF(Table2[[#This Row],[Description]]="","",IF(Table2[[#This Row],[Currency]]=$O$2,$P$2,HLOOKUP(Table2[[#This Row],[Date]],Funds!$C$10:$GV$11,2,FALSE)))</f>
        <v/>
      </c>
      <c r="J9592" s="215" t="str">
        <f>IF(Table2[[#This Row],[Description]]="","",Table2[[#This Row],[Value]]/Table2[[#This Row],[Conversion]])</f>
        <v/>
      </c>
      <c r="K9592" s="45" t="str">
        <f>IF(Table2[[#This Row],[Description]]="","",DATE(Table2[[#This Row],[Year]],Table2[[#This Row],[Month]],1))</f>
        <v/>
      </c>
    </row>
    <row r="9593" spans="7:11" x14ac:dyDescent="0.25">
      <c r="G9593" s="1" t="str">
        <f>IF(Table2[[#This Row],[Description]]="","",VLOOKUP(Table2[[#This Row],[Description]],$Q$1:$S$101,2,FALSE))</f>
        <v/>
      </c>
      <c r="H9593" s="1" t="str">
        <f>IF(Table2[[#This Row],[Description]]="","",VLOOKUP(Table2[[#This Row],[Description]],$Q$1:$S$101,3,FALSE))</f>
        <v/>
      </c>
      <c r="I9593" s="1" t="str">
        <f>IF(Table2[[#This Row],[Description]]="","",IF(Table2[[#This Row],[Currency]]=$O$2,$P$2,HLOOKUP(Table2[[#This Row],[Date]],Funds!$C$10:$GV$11,2,FALSE)))</f>
        <v/>
      </c>
      <c r="J9593" s="215" t="str">
        <f>IF(Table2[[#This Row],[Description]]="","",Table2[[#This Row],[Value]]/Table2[[#This Row],[Conversion]])</f>
        <v/>
      </c>
      <c r="K9593" s="45" t="str">
        <f>IF(Table2[[#This Row],[Description]]="","",DATE(Table2[[#This Row],[Year]],Table2[[#This Row],[Month]],1))</f>
        <v/>
      </c>
    </row>
    <row r="9594" spans="7:11" x14ac:dyDescent="0.25">
      <c r="G9594" s="1" t="str">
        <f>IF(Table2[[#This Row],[Description]]="","",VLOOKUP(Table2[[#This Row],[Description]],$Q$1:$S$101,2,FALSE))</f>
        <v/>
      </c>
      <c r="H9594" s="1" t="str">
        <f>IF(Table2[[#This Row],[Description]]="","",VLOOKUP(Table2[[#This Row],[Description]],$Q$1:$S$101,3,FALSE))</f>
        <v/>
      </c>
      <c r="I9594" s="1" t="str">
        <f>IF(Table2[[#This Row],[Description]]="","",IF(Table2[[#This Row],[Currency]]=$O$2,$P$2,HLOOKUP(Table2[[#This Row],[Date]],Funds!$C$10:$GV$11,2,FALSE)))</f>
        <v/>
      </c>
      <c r="J9594" s="215" t="str">
        <f>IF(Table2[[#This Row],[Description]]="","",Table2[[#This Row],[Value]]/Table2[[#This Row],[Conversion]])</f>
        <v/>
      </c>
      <c r="K9594" s="45" t="str">
        <f>IF(Table2[[#This Row],[Description]]="","",DATE(Table2[[#This Row],[Year]],Table2[[#This Row],[Month]],1))</f>
        <v/>
      </c>
    </row>
    <row r="9595" spans="7:11" x14ac:dyDescent="0.25">
      <c r="G9595" s="1" t="str">
        <f>IF(Table2[[#This Row],[Description]]="","",VLOOKUP(Table2[[#This Row],[Description]],$Q$1:$S$101,2,FALSE))</f>
        <v/>
      </c>
      <c r="H9595" s="1" t="str">
        <f>IF(Table2[[#This Row],[Description]]="","",VLOOKUP(Table2[[#This Row],[Description]],$Q$1:$S$101,3,FALSE))</f>
        <v/>
      </c>
      <c r="I9595" s="1" t="str">
        <f>IF(Table2[[#This Row],[Description]]="","",IF(Table2[[#This Row],[Currency]]=$O$2,$P$2,HLOOKUP(Table2[[#This Row],[Date]],Funds!$C$10:$GV$11,2,FALSE)))</f>
        <v/>
      </c>
      <c r="J9595" s="215" t="str">
        <f>IF(Table2[[#This Row],[Description]]="","",Table2[[#This Row],[Value]]/Table2[[#This Row],[Conversion]])</f>
        <v/>
      </c>
      <c r="K9595" s="45" t="str">
        <f>IF(Table2[[#This Row],[Description]]="","",DATE(Table2[[#This Row],[Year]],Table2[[#This Row],[Month]],1))</f>
        <v/>
      </c>
    </row>
    <row r="9596" spans="7:11" x14ac:dyDescent="0.25">
      <c r="G9596" s="1" t="str">
        <f>IF(Table2[[#This Row],[Description]]="","",VLOOKUP(Table2[[#This Row],[Description]],$Q$1:$S$101,2,FALSE))</f>
        <v/>
      </c>
      <c r="H9596" s="1" t="str">
        <f>IF(Table2[[#This Row],[Description]]="","",VLOOKUP(Table2[[#This Row],[Description]],$Q$1:$S$101,3,FALSE))</f>
        <v/>
      </c>
      <c r="I9596" s="1" t="str">
        <f>IF(Table2[[#This Row],[Description]]="","",IF(Table2[[#This Row],[Currency]]=$O$2,$P$2,HLOOKUP(Table2[[#This Row],[Date]],Funds!$C$10:$GV$11,2,FALSE)))</f>
        <v/>
      </c>
      <c r="J9596" s="215" t="str">
        <f>IF(Table2[[#This Row],[Description]]="","",Table2[[#This Row],[Value]]/Table2[[#This Row],[Conversion]])</f>
        <v/>
      </c>
      <c r="K9596" s="45" t="str">
        <f>IF(Table2[[#This Row],[Description]]="","",DATE(Table2[[#This Row],[Year]],Table2[[#This Row],[Month]],1))</f>
        <v/>
      </c>
    </row>
    <row r="9597" spans="7:11" x14ac:dyDescent="0.25">
      <c r="G9597" s="1" t="str">
        <f>IF(Table2[[#This Row],[Description]]="","",VLOOKUP(Table2[[#This Row],[Description]],$Q$1:$S$101,2,FALSE))</f>
        <v/>
      </c>
      <c r="H9597" s="1" t="str">
        <f>IF(Table2[[#This Row],[Description]]="","",VLOOKUP(Table2[[#This Row],[Description]],$Q$1:$S$101,3,FALSE))</f>
        <v/>
      </c>
      <c r="I9597" s="1" t="str">
        <f>IF(Table2[[#This Row],[Description]]="","",IF(Table2[[#This Row],[Currency]]=$O$2,$P$2,HLOOKUP(Table2[[#This Row],[Date]],Funds!$C$10:$GV$11,2,FALSE)))</f>
        <v/>
      </c>
      <c r="J9597" s="215" t="str">
        <f>IF(Table2[[#This Row],[Description]]="","",Table2[[#This Row],[Value]]/Table2[[#This Row],[Conversion]])</f>
        <v/>
      </c>
      <c r="K9597" s="45" t="str">
        <f>IF(Table2[[#This Row],[Description]]="","",DATE(Table2[[#This Row],[Year]],Table2[[#This Row],[Month]],1))</f>
        <v/>
      </c>
    </row>
    <row r="9598" spans="7:11" x14ac:dyDescent="0.25">
      <c r="G9598" s="1" t="str">
        <f>IF(Table2[[#This Row],[Description]]="","",VLOOKUP(Table2[[#This Row],[Description]],$Q$1:$S$101,2,FALSE))</f>
        <v/>
      </c>
      <c r="H9598" s="1" t="str">
        <f>IF(Table2[[#This Row],[Description]]="","",VLOOKUP(Table2[[#This Row],[Description]],$Q$1:$S$101,3,FALSE))</f>
        <v/>
      </c>
      <c r="I9598" s="1" t="str">
        <f>IF(Table2[[#This Row],[Description]]="","",IF(Table2[[#This Row],[Currency]]=$O$2,$P$2,HLOOKUP(Table2[[#This Row],[Date]],Funds!$C$10:$GV$11,2,FALSE)))</f>
        <v/>
      </c>
      <c r="J9598" s="215" t="str">
        <f>IF(Table2[[#This Row],[Description]]="","",Table2[[#This Row],[Value]]/Table2[[#This Row],[Conversion]])</f>
        <v/>
      </c>
      <c r="K9598" s="45" t="str">
        <f>IF(Table2[[#This Row],[Description]]="","",DATE(Table2[[#This Row],[Year]],Table2[[#This Row],[Month]],1))</f>
        <v/>
      </c>
    </row>
    <row r="9599" spans="7:11" x14ac:dyDescent="0.25">
      <c r="G9599" s="1" t="str">
        <f>IF(Table2[[#This Row],[Description]]="","",VLOOKUP(Table2[[#This Row],[Description]],$Q$1:$S$101,2,FALSE))</f>
        <v/>
      </c>
      <c r="H9599" s="1" t="str">
        <f>IF(Table2[[#This Row],[Description]]="","",VLOOKUP(Table2[[#This Row],[Description]],$Q$1:$S$101,3,FALSE))</f>
        <v/>
      </c>
      <c r="I9599" s="1" t="str">
        <f>IF(Table2[[#This Row],[Description]]="","",IF(Table2[[#This Row],[Currency]]=$O$2,$P$2,HLOOKUP(Table2[[#This Row],[Date]],Funds!$C$10:$GV$11,2,FALSE)))</f>
        <v/>
      </c>
      <c r="J9599" s="215" t="str">
        <f>IF(Table2[[#This Row],[Description]]="","",Table2[[#This Row],[Value]]/Table2[[#This Row],[Conversion]])</f>
        <v/>
      </c>
      <c r="K9599" s="45" t="str">
        <f>IF(Table2[[#This Row],[Description]]="","",DATE(Table2[[#This Row],[Year]],Table2[[#This Row],[Month]],1))</f>
        <v/>
      </c>
    </row>
    <row r="9600" spans="7:11" x14ac:dyDescent="0.25">
      <c r="G9600" s="1" t="str">
        <f>IF(Table2[[#This Row],[Description]]="","",VLOOKUP(Table2[[#This Row],[Description]],$Q$1:$S$101,2,FALSE))</f>
        <v/>
      </c>
      <c r="H9600" s="1" t="str">
        <f>IF(Table2[[#This Row],[Description]]="","",VLOOKUP(Table2[[#This Row],[Description]],$Q$1:$S$101,3,FALSE))</f>
        <v/>
      </c>
      <c r="I9600" s="1" t="str">
        <f>IF(Table2[[#This Row],[Description]]="","",IF(Table2[[#This Row],[Currency]]=$O$2,$P$2,HLOOKUP(Table2[[#This Row],[Date]],Funds!$C$10:$GV$11,2,FALSE)))</f>
        <v/>
      </c>
      <c r="J9600" s="215" t="str">
        <f>IF(Table2[[#This Row],[Description]]="","",Table2[[#This Row],[Value]]/Table2[[#This Row],[Conversion]])</f>
        <v/>
      </c>
      <c r="K9600" s="45" t="str">
        <f>IF(Table2[[#This Row],[Description]]="","",DATE(Table2[[#This Row],[Year]],Table2[[#This Row],[Month]],1))</f>
        <v/>
      </c>
    </row>
    <row r="9601" spans="7:11" x14ac:dyDescent="0.25">
      <c r="G9601" s="1" t="str">
        <f>IF(Table2[[#This Row],[Description]]="","",VLOOKUP(Table2[[#This Row],[Description]],$Q$1:$S$101,2,FALSE))</f>
        <v/>
      </c>
      <c r="H9601" s="1" t="str">
        <f>IF(Table2[[#This Row],[Description]]="","",VLOOKUP(Table2[[#This Row],[Description]],$Q$1:$S$101,3,FALSE))</f>
        <v/>
      </c>
      <c r="I9601" s="1" t="str">
        <f>IF(Table2[[#This Row],[Description]]="","",IF(Table2[[#This Row],[Currency]]=$O$2,$P$2,HLOOKUP(Table2[[#This Row],[Date]],Funds!$C$10:$GV$11,2,FALSE)))</f>
        <v/>
      </c>
      <c r="J9601" s="215" t="str">
        <f>IF(Table2[[#This Row],[Description]]="","",Table2[[#This Row],[Value]]/Table2[[#This Row],[Conversion]])</f>
        <v/>
      </c>
      <c r="K9601" s="45" t="str">
        <f>IF(Table2[[#This Row],[Description]]="","",DATE(Table2[[#This Row],[Year]],Table2[[#This Row],[Month]],1))</f>
        <v/>
      </c>
    </row>
    <row r="9602" spans="7:11" x14ac:dyDescent="0.25">
      <c r="G9602" s="1" t="str">
        <f>IF(Table2[[#This Row],[Description]]="","",VLOOKUP(Table2[[#This Row],[Description]],$Q$1:$S$101,2,FALSE))</f>
        <v/>
      </c>
      <c r="H9602" s="1" t="str">
        <f>IF(Table2[[#This Row],[Description]]="","",VLOOKUP(Table2[[#This Row],[Description]],$Q$1:$S$101,3,FALSE))</f>
        <v/>
      </c>
      <c r="I9602" s="1" t="str">
        <f>IF(Table2[[#This Row],[Description]]="","",IF(Table2[[#This Row],[Currency]]=$O$2,$P$2,HLOOKUP(Table2[[#This Row],[Date]],Funds!$C$10:$GV$11,2,FALSE)))</f>
        <v/>
      </c>
      <c r="J9602" s="215" t="str">
        <f>IF(Table2[[#This Row],[Description]]="","",Table2[[#This Row],[Value]]/Table2[[#This Row],[Conversion]])</f>
        <v/>
      </c>
      <c r="K9602" s="45" t="str">
        <f>IF(Table2[[#This Row],[Description]]="","",DATE(Table2[[#This Row],[Year]],Table2[[#This Row],[Month]],1))</f>
        <v/>
      </c>
    </row>
    <row r="9603" spans="7:11" x14ac:dyDescent="0.25">
      <c r="G9603" s="1" t="str">
        <f>IF(Table2[[#This Row],[Description]]="","",VLOOKUP(Table2[[#This Row],[Description]],$Q$1:$S$101,2,FALSE))</f>
        <v/>
      </c>
      <c r="H9603" s="1" t="str">
        <f>IF(Table2[[#This Row],[Description]]="","",VLOOKUP(Table2[[#This Row],[Description]],$Q$1:$S$101,3,FALSE))</f>
        <v/>
      </c>
      <c r="I9603" s="1" t="str">
        <f>IF(Table2[[#This Row],[Description]]="","",IF(Table2[[#This Row],[Currency]]=$O$2,$P$2,HLOOKUP(Table2[[#This Row],[Date]],Funds!$C$10:$GV$11,2,FALSE)))</f>
        <v/>
      </c>
      <c r="J9603" s="215" t="str">
        <f>IF(Table2[[#This Row],[Description]]="","",Table2[[#This Row],[Value]]/Table2[[#This Row],[Conversion]])</f>
        <v/>
      </c>
      <c r="K9603" s="45" t="str">
        <f>IF(Table2[[#This Row],[Description]]="","",DATE(Table2[[#This Row],[Year]],Table2[[#This Row],[Month]],1))</f>
        <v/>
      </c>
    </row>
    <row r="9604" spans="7:11" x14ac:dyDescent="0.25">
      <c r="G9604" s="1" t="str">
        <f>IF(Table2[[#This Row],[Description]]="","",VLOOKUP(Table2[[#This Row],[Description]],$Q$1:$S$101,2,FALSE))</f>
        <v/>
      </c>
      <c r="H9604" s="1" t="str">
        <f>IF(Table2[[#This Row],[Description]]="","",VLOOKUP(Table2[[#This Row],[Description]],$Q$1:$S$101,3,FALSE))</f>
        <v/>
      </c>
      <c r="I9604" s="1" t="str">
        <f>IF(Table2[[#This Row],[Description]]="","",IF(Table2[[#This Row],[Currency]]=$O$2,$P$2,HLOOKUP(Table2[[#This Row],[Date]],Funds!$C$10:$GV$11,2,FALSE)))</f>
        <v/>
      </c>
      <c r="J9604" s="215" t="str">
        <f>IF(Table2[[#This Row],[Description]]="","",Table2[[#This Row],[Value]]/Table2[[#This Row],[Conversion]])</f>
        <v/>
      </c>
      <c r="K9604" s="45" t="str">
        <f>IF(Table2[[#This Row],[Description]]="","",DATE(Table2[[#This Row],[Year]],Table2[[#This Row],[Month]],1))</f>
        <v/>
      </c>
    </row>
    <row r="9605" spans="7:11" x14ac:dyDescent="0.25">
      <c r="G9605" s="1" t="str">
        <f>IF(Table2[[#This Row],[Description]]="","",VLOOKUP(Table2[[#This Row],[Description]],$Q$1:$S$101,2,FALSE))</f>
        <v/>
      </c>
      <c r="H9605" s="1" t="str">
        <f>IF(Table2[[#This Row],[Description]]="","",VLOOKUP(Table2[[#This Row],[Description]],$Q$1:$S$101,3,FALSE))</f>
        <v/>
      </c>
      <c r="I9605" s="1" t="str">
        <f>IF(Table2[[#This Row],[Description]]="","",IF(Table2[[#This Row],[Currency]]=$O$2,$P$2,HLOOKUP(Table2[[#This Row],[Date]],Funds!$C$10:$GV$11,2,FALSE)))</f>
        <v/>
      </c>
      <c r="J9605" s="215" t="str">
        <f>IF(Table2[[#This Row],[Description]]="","",Table2[[#This Row],[Value]]/Table2[[#This Row],[Conversion]])</f>
        <v/>
      </c>
      <c r="K9605" s="45" t="str">
        <f>IF(Table2[[#This Row],[Description]]="","",DATE(Table2[[#This Row],[Year]],Table2[[#This Row],[Month]],1))</f>
        <v/>
      </c>
    </row>
    <row r="9606" spans="7:11" x14ac:dyDescent="0.25">
      <c r="G9606" s="1" t="str">
        <f>IF(Table2[[#This Row],[Description]]="","",VLOOKUP(Table2[[#This Row],[Description]],$Q$1:$S$101,2,FALSE))</f>
        <v/>
      </c>
      <c r="H9606" s="1" t="str">
        <f>IF(Table2[[#This Row],[Description]]="","",VLOOKUP(Table2[[#This Row],[Description]],$Q$1:$S$101,3,FALSE))</f>
        <v/>
      </c>
      <c r="I9606" s="1" t="str">
        <f>IF(Table2[[#This Row],[Description]]="","",IF(Table2[[#This Row],[Currency]]=$O$2,$P$2,HLOOKUP(Table2[[#This Row],[Date]],Funds!$C$10:$GV$11,2,FALSE)))</f>
        <v/>
      </c>
      <c r="J9606" s="215" t="str">
        <f>IF(Table2[[#This Row],[Description]]="","",Table2[[#This Row],[Value]]/Table2[[#This Row],[Conversion]])</f>
        <v/>
      </c>
      <c r="K9606" s="45" t="str">
        <f>IF(Table2[[#This Row],[Description]]="","",DATE(Table2[[#This Row],[Year]],Table2[[#This Row],[Month]],1))</f>
        <v/>
      </c>
    </row>
    <row r="9607" spans="7:11" x14ac:dyDescent="0.25">
      <c r="G9607" s="1" t="str">
        <f>IF(Table2[[#This Row],[Description]]="","",VLOOKUP(Table2[[#This Row],[Description]],$Q$1:$S$101,2,FALSE))</f>
        <v/>
      </c>
      <c r="H9607" s="1" t="str">
        <f>IF(Table2[[#This Row],[Description]]="","",VLOOKUP(Table2[[#This Row],[Description]],$Q$1:$S$101,3,FALSE))</f>
        <v/>
      </c>
      <c r="I9607" s="1" t="str">
        <f>IF(Table2[[#This Row],[Description]]="","",IF(Table2[[#This Row],[Currency]]=$O$2,$P$2,HLOOKUP(Table2[[#This Row],[Date]],Funds!$C$10:$GV$11,2,FALSE)))</f>
        <v/>
      </c>
      <c r="J9607" s="215" t="str">
        <f>IF(Table2[[#This Row],[Description]]="","",Table2[[#This Row],[Value]]/Table2[[#This Row],[Conversion]])</f>
        <v/>
      </c>
      <c r="K9607" s="45" t="str">
        <f>IF(Table2[[#This Row],[Description]]="","",DATE(Table2[[#This Row],[Year]],Table2[[#This Row],[Month]],1))</f>
        <v/>
      </c>
    </row>
    <row r="9608" spans="7:11" x14ac:dyDescent="0.25">
      <c r="G9608" s="1" t="str">
        <f>IF(Table2[[#This Row],[Description]]="","",VLOOKUP(Table2[[#This Row],[Description]],$Q$1:$S$101,2,FALSE))</f>
        <v/>
      </c>
      <c r="H9608" s="1" t="str">
        <f>IF(Table2[[#This Row],[Description]]="","",VLOOKUP(Table2[[#This Row],[Description]],$Q$1:$S$101,3,FALSE))</f>
        <v/>
      </c>
      <c r="I9608" s="1" t="str">
        <f>IF(Table2[[#This Row],[Description]]="","",IF(Table2[[#This Row],[Currency]]=$O$2,$P$2,HLOOKUP(Table2[[#This Row],[Date]],Funds!$C$10:$GV$11,2,FALSE)))</f>
        <v/>
      </c>
      <c r="J9608" s="215" t="str">
        <f>IF(Table2[[#This Row],[Description]]="","",Table2[[#This Row],[Value]]/Table2[[#This Row],[Conversion]])</f>
        <v/>
      </c>
      <c r="K9608" s="45" t="str">
        <f>IF(Table2[[#This Row],[Description]]="","",DATE(Table2[[#This Row],[Year]],Table2[[#This Row],[Month]],1))</f>
        <v/>
      </c>
    </row>
    <row r="9609" spans="7:11" x14ac:dyDescent="0.25">
      <c r="G9609" s="1" t="str">
        <f>IF(Table2[[#This Row],[Description]]="","",VLOOKUP(Table2[[#This Row],[Description]],$Q$1:$S$101,2,FALSE))</f>
        <v/>
      </c>
      <c r="H9609" s="1" t="str">
        <f>IF(Table2[[#This Row],[Description]]="","",VLOOKUP(Table2[[#This Row],[Description]],$Q$1:$S$101,3,FALSE))</f>
        <v/>
      </c>
      <c r="I9609" s="1" t="str">
        <f>IF(Table2[[#This Row],[Description]]="","",IF(Table2[[#This Row],[Currency]]=$O$2,$P$2,HLOOKUP(Table2[[#This Row],[Date]],Funds!$C$10:$GV$11,2,FALSE)))</f>
        <v/>
      </c>
      <c r="J9609" s="215" t="str">
        <f>IF(Table2[[#This Row],[Description]]="","",Table2[[#This Row],[Value]]/Table2[[#This Row],[Conversion]])</f>
        <v/>
      </c>
      <c r="K9609" s="45" t="str">
        <f>IF(Table2[[#This Row],[Description]]="","",DATE(Table2[[#This Row],[Year]],Table2[[#This Row],[Month]],1))</f>
        <v/>
      </c>
    </row>
    <row r="9610" spans="7:11" x14ac:dyDescent="0.25">
      <c r="G9610" s="1" t="str">
        <f>IF(Table2[[#This Row],[Description]]="","",VLOOKUP(Table2[[#This Row],[Description]],$Q$1:$S$101,2,FALSE))</f>
        <v/>
      </c>
      <c r="H9610" s="1" t="str">
        <f>IF(Table2[[#This Row],[Description]]="","",VLOOKUP(Table2[[#This Row],[Description]],$Q$1:$S$101,3,FALSE))</f>
        <v/>
      </c>
      <c r="I9610" s="1" t="str">
        <f>IF(Table2[[#This Row],[Description]]="","",IF(Table2[[#This Row],[Currency]]=$O$2,$P$2,HLOOKUP(Table2[[#This Row],[Date]],Funds!$C$10:$GV$11,2,FALSE)))</f>
        <v/>
      </c>
      <c r="J9610" s="215" t="str">
        <f>IF(Table2[[#This Row],[Description]]="","",Table2[[#This Row],[Value]]/Table2[[#This Row],[Conversion]])</f>
        <v/>
      </c>
      <c r="K9610" s="45" t="str">
        <f>IF(Table2[[#This Row],[Description]]="","",DATE(Table2[[#This Row],[Year]],Table2[[#This Row],[Month]],1))</f>
        <v/>
      </c>
    </row>
    <row r="9611" spans="7:11" x14ac:dyDescent="0.25">
      <c r="G9611" s="1" t="str">
        <f>IF(Table2[[#This Row],[Description]]="","",VLOOKUP(Table2[[#This Row],[Description]],$Q$1:$S$101,2,FALSE))</f>
        <v/>
      </c>
      <c r="H9611" s="1" t="str">
        <f>IF(Table2[[#This Row],[Description]]="","",VLOOKUP(Table2[[#This Row],[Description]],$Q$1:$S$101,3,FALSE))</f>
        <v/>
      </c>
      <c r="I9611" s="1" t="str">
        <f>IF(Table2[[#This Row],[Description]]="","",IF(Table2[[#This Row],[Currency]]=$O$2,$P$2,HLOOKUP(Table2[[#This Row],[Date]],Funds!$C$10:$GV$11,2,FALSE)))</f>
        <v/>
      </c>
      <c r="J9611" s="215" t="str">
        <f>IF(Table2[[#This Row],[Description]]="","",Table2[[#This Row],[Value]]/Table2[[#This Row],[Conversion]])</f>
        <v/>
      </c>
      <c r="K9611" s="45" t="str">
        <f>IF(Table2[[#This Row],[Description]]="","",DATE(Table2[[#This Row],[Year]],Table2[[#This Row],[Month]],1))</f>
        <v/>
      </c>
    </row>
    <row r="9612" spans="7:11" x14ac:dyDescent="0.25">
      <c r="G9612" s="1" t="str">
        <f>IF(Table2[[#This Row],[Description]]="","",VLOOKUP(Table2[[#This Row],[Description]],$Q$1:$S$101,2,FALSE))</f>
        <v/>
      </c>
      <c r="H9612" s="1" t="str">
        <f>IF(Table2[[#This Row],[Description]]="","",VLOOKUP(Table2[[#This Row],[Description]],$Q$1:$S$101,3,FALSE))</f>
        <v/>
      </c>
      <c r="I9612" s="1" t="str">
        <f>IF(Table2[[#This Row],[Description]]="","",IF(Table2[[#This Row],[Currency]]=$O$2,$P$2,HLOOKUP(Table2[[#This Row],[Date]],Funds!$C$10:$GV$11,2,FALSE)))</f>
        <v/>
      </c>
      <c r="J9612" s="215" t="str">
        <f>IF(Table2[[#This Row],[Description]]="","",Table2[[#This Row],[Value]]/Table2[[#This Row],[Conversion]])</f>
        <v/>
      </c>
      <c r="K9612" s="45" t="str">
        <f>IF(Table2[[#This Row],[Description]]="","",DATE(Table2[[#This Row],[Year]],Table2[[#This Row],[Month]],1))</f>
        <v/>
      </c>
    </row>
    <row r="9613" spans="7:11" x14ac:dyDescent="0.25">
      <c r="G9613" s="1" t="str">
        <f>IF(Table2[[#This Row],[Description]]="","",VLOOKUP(Table2[[#This Row],[Description]],$Q$1:$S$101,2,FALSE))</f>
        <v/>
      </c>
      <c r="H9613" s="1" t="str">
        <f>IF(Table2[[#This Row],[Description]]="","",VLOOKUP(Table2[[#This Row],[Description]],$Q$1:$S$101,3,FALSE))</f>
        <v/>
      </c>
      <c r="I9613" s="1" t="str">
        <f>IF(Table2[[#This Row],[Description]]="","",IF(Table2[[#This Row],[Currency]]=$O$2,$P$2,HLOOKUP(Table2[[#This Row],[Date]],Funds!$C$10:$GV$11,2,FALSE)))</f>
        <v/>
      </c>
      <c r="J9613" s="215" t="str">
        <f>IF(Table2[[#This Row],[Description]]="","",Table2[[#This Row],[Value]]/Table2[[#This Row],[Conversion]])</f>
        <v/>
      </c>
      <c r="K9613" s="45" t="str">
        <f>IF(Table2[[#This Row],[Description]]="","",DATE(Table2[[#This Row],[Year]],Table2[[#This Row],[Month]],1))</f>
        <v/>
      </c>
    </row>
    <row r="9614" spans="7:11" x14ac:dyDescent="0.25">
      <c r="G9614" s="1" t="str">
        <f>IF(Table2[[#This Row],[Description]]="","",VLOOKUP(Table2[[#This Row],[Description]],$Q$1:$S$101,2,FALSE))</f>
        <v/>
      </c>
      <c r="H9614" s="1" t="str">
        <f>IF(Table2[[#This Row],[Description]]="","",VLOOKUP(Table2[[#This Row],[Description]],$Q$1:$S$101,3,FALSE))</f>
        <v/>
      </c>
      <c r="I9614" s="1" t="str">
        <f>IF(Table2[[#This Row],[Description]]="","",IF(Table2[[#This Row],[Currency]]=$O$2,$P$2,HLOOKUP(Table2[[#This Row],[Date]],Funds!$C$10:$GV$11,2,FALSE)))</f>
        <v/>
      </c>
      <c r="J9614" s="215" t="str">
        <f>IF(Table2[[#This Row],[Description]]="","",Table2[[#This Row],[Value]]/Table2[[#This Row],[Conversion]])</f>
        <v/>
      </c>
      <c r="K9614" s="45" t="str">
        <f>IF(Table2[[#This Row],[Description]]="","",DATE(Table2[[#This Row],[Year]],Table2[[#This Row],[Month]],1))</f>
        <v/>
      </c>
    </row>
    <row r="9615" spans="7:11" x14ac:dyDescent="0.25">
      <c r="G9615" s="1" t="str">
        <f>IF(Table2[[#This Row],[Description]]="","",VLOOKUP(Table2[[#This Row],[Description]],$Q$1:$S$101,2,FALSE))</f>
        <v/>
      </c>
      <c r="H9615" s="1" t="str">
        <f>IF(Table2[[#This Row],[Description]]="","",VLOOKUP(Table2[[#This Row],[Description]],$Q$1:$S$101,3,FALSE))</f>
        <v/>
      </c>
      <c r="I9615" s="1" t="str">
        <f>IF(Table2[[#This Row],[Description]]="","",IF(Table2[[#This Row],[Currency]]=$O$2,$P$2,HLOOKUP(Table2[[#This Row],[Date]],Funds!$C$10:$GV$11,2,FALSE)))</f>
        <v/>
      </c>
      <c r="J9615" s="215" t="str">
        <f>IF(Table2[[#This Row],[Description]]="","",Table2[[#This Row],[Value]]/Table2[[#This Row],[Conversion]])</f>
        <v/>
      </c>
      <c r="K9615" s="45" t="str">
        <f>IF(Table2[[#This Row],[Description]]="","",DATE(Table2[[#This Row],[Year]],Table2[[#This Row],[Month]],1))</f>
        <v/>
      </c>
    </row>
    <row r="9616" spans="7:11" x14ac:dyDescent="0.25">
      <c r="G9616" s="1" t="str">
        <f>IF(Table2[[#This Row],[Description]]="","",VLOOKUP(Table2[[#This Row],[Description]],$Q$1:$S$101,2,FALSE))</f>
        <v/>
      </c>
      <c r="H9616" s="1" t="str">
        <f>IF(Table2[[#This Row],[Description]]="","",VLOOKUP(Table2[[#This Row],[Description]],$Q$1:$S$101,3,FALSE))</f>
        <v/>
      </c>
      <c r="I9616" s="1" t="str">
        <f>IF(Table2[[#This Row],[Description]]="","",IF(Table2[[#This Row],[Currency]]=$O$2,$P$2,HLOOKUP(Table2[[#This Row],[Date]],Funds!$C$10:$GV$11,2,FALSE)))</f>
        <v/>
      </c>
      <c r="J9616" s="215" t="str">
        <f>IF(Table2[[#This Row],[Description]]="","",Table2[[#This Row],[Value]]/Table2[[#This Row],[Conversion]])</f>
        <v/>
      </c>
      <c r="K9616" s="45" t="str">
        <f>IF(Table2[[#This Row],[Description]]="","",DATE(Table2[[#This Row],[Year]],Table2[[#This Row],[Month]],1))</f>
        <v/>
      </c>
    </row>
    <row r="9617" spans="7:11" x14ac:dyDescent="0.25">
      <c r="G9617" s="1" t="str">
        <f>IF(Table2[[#This Row],[Description]]="","",VLOOKUP(Table2[[#This Row],[Description]],$Q$1:$S$101,2,FALSE))</f>
        <v/>
      </c>
      <c r="H9617" s="1" t="str">
        <f>IF(Table2[[#This Row],[Description]]="","",VLOOKUP(Table2[[#This Row],[Description]],$Q$1:$S$101,3,FALSE))</f>
        <v/>
      </c>
      <c r="I9617" s="1" t="str">
        <f>IF(Table2[[#This Row],[Description]]="","",IF(Table2[[#This Row],[Currency]]=$O$2,$P$2,HLOOKUP(Table2[[#This Row],[Date]],Funds!$C$10:$GV$11,2,FALSE)))</f>
        <v/>
      </c>
      <c r="J9617" s="215" t="str">
        <f>IF(Table2[[#This Row],[Description]]="","",Table2[[#This Row],[Value]]/Table2[[#This Row],[Conversion]])</f>
        <v/>
      </c>
      <c r="K9617" s="45" t="str">
        <f>IF(Table2[[#This Row],[Description]]="","",DATE(Table2[[#This Row],[Year]],Table2[[#This Row],[Month]],1))</f>
        <v/>
      </c>
    </row>
    <row r="9618" spans="7:11" x14ac:dyDescent="0.25">
      <c r="G9618" s="1" t="str">
        <f>IF(Table2[[#This Row],[Description]]="","",VLOOKUP(Table2[[#This Row],[Description]],$Q$1:$S$101,2,FALSE))</f>
        <v/>
      </c>
      <c r="H9618" s="1" t="str">
        <f>IF(Table2[[#This Row],[Description]]="","",VLOOKUP(Table2[[#This Row],[Description]],$Q$1:$S$101,3,FALSE))</f>
        <v/>
      </c>
      <c r="I9618" s="1" t="str">
        <f>IF(Table2[[#This Row],[Description]]="","",IF(Table2[[#This Row],[Currency]]=$O$2,$P$2,HLOOKUP(Table2[[#This Row],[Date]],Funds!$C$10:$GV$11,2,FALSE)))</f>
        <v/>
      </c>
      <c r="J9618" s="215" t="str">
        <f>IF(Table2[[#This Row],[Description]]="","",Table2[[#This Row],[Value]]/Table2[[#This Row],[Conversion]])</f>
        <v/>
      </c>
      <c r="K9618" s="45" t="str">
        <f>IF(Table2[[#This Row],[Description]]="","",DATE(Table2[[#This Row],[Year]],Table2[[#This Row],[Month]],1))</f>
        <v/>
      </c>
    </row>
    <row r="9619" spans="7:11" x14ac:dyDescent="0.25">
      <c r="G9619" s="1" t="str">
        <f>IF(Table2[[#This Row],[Description]]="","",VLOOKUP(Table2[[#This Row],[Description]],$Q$1:$S$101,2,FALSE))</f>
        <v/>
      </c>
      <c r="H9619" s="1" t="str">
        <f>IF(Table2[[#This Row],[Description]]="","",VLOOKUP(Table2[[#This Row],[Description]],$Q$1:$S$101,3,FALSE))</f>
        <v/>
      </c>
      <c r="I9619" s="1" t="str">
        <f>IF(Table2[[#This Row],[Description]]="","",IF(Table2[[#This Row],[Currency]]=$O$2,$P$2,HLOOKUP(Table2[[#This Row],[Date]],Funds!$C$10:$GV$11,2,FALSE)))</f>
        <v/>
      </c>
      <c r="J9619" s="215" t="str">
        <f>IF(Table2[[#This Row],[Description]]="","",Table2[[#This Row],[Value]]/Table2[[#This Row],[Conversion]])</f>
        <v/>
      </c>
      <c r="K9619" s="45" t="str">
        <f>IF(Table2[[#This Row],[Description]]="","",DATE(Table2[[#This Row],[Year]],Table2[[#This Row],[Month]],1))</f>
        <v/>
      </c>
    </row>
    <row r="9620" spans="7:11" x14ac:dyDescent="0.25">
      <c r="G9620" s="1" t="str">
        <f>IF(Table2[[#This Row],[Description]]="","",VLOOKUP(Table2[[#This Row],[Description]],$Q$1:$S$101,2,FALSE))</f>
        <v/>
      </c>
      <c r="H9620" s="1" t="str">
        <f>IF(Table2[[#This Row],[Description]]="","",VLOOKUP(Table2[[#This Row],[Description]],$Q$1:$S$101,3,FALSE))</f>
        <v/>
      </c>
      <c r="I9620" s="1" t="str">
        <f>IF(Table2[[#This Row],[Description]]="","",IF(Table2[[#This Row],[Currency]]=$O$2,$P$2,HLOOKUP(Table2[[#This Row],[Date]],Funds!$C$10:$GV$11,2,FALSE)))</f>
        <v/>
      </c>
      <c r="J9620" s="215" t="str">
        <f>IF(Table2[[#This Row],[Description]]="","",Table2[[#This Row],[Value]]/Table2[[#This Row],[Conversion]])</f>
        <v/>
      </c>
      <c r="K9620" s="45" t="str">
        <f>IF(Table2[[#This Row],[Description]]="","",DATE(Table2[[#This Row],[Year]],Table2[[#This Row],[Month]],1))</f>
        <v/>
      </c>
    </row>
    <row r="9621" spans="7:11" x14ac:dyDescent="0.25">
      <c r="G9621" s="1" t="str">
        <f>IF(Table2[[#This Row],[Description]]="","",VLOOKUP(Table2[[#This Row],[Description]],$Q$1:$S$101,2,FALSE))</f>
        <v/>
      </c>
      <c r="H9621" s="1" t="str">
        <f>IF(Table2[[#This Row],[Description]]="","",VLOOKUP(Table2[[#This Row],[Description]],$Q$1:$S$101,3,FALSE))</f>
        <v/>
      </c>
      <c r="I9621" s="1" t="str">
        <f>IF(Table2[[#This Row],[Description]]="","",IF(Table2[[#This Row],[Currency]]=$O$2,$P$2,HLOOKUP(Table2[[#This Row],[Date]],Funds!$C$10:$GV$11,2,FALSE)))</f>
        <v/>
      </c>
      <c r="J9621" s="215" t="str">
        <f>IF(Table2[[#This Row],[Description]]="","",Table2[[#This Row],[Value]]/Table2[[#This Row],[Conversion]])</f>
        <v/>
      </c>
      <c r="K9621" s="45" t="str">
        <f>IF(Table2[[#This Row],[Description]]="","",DATE(Table2[[#This Row],[Year]],Table2[[#This Row],[Month]],1))</f>
        <v/>
      </c>
    </row>
    <row r="9622" spans="7:11" x14ac:dyDescent="0.25">
      <c r="G9622" s="1" t="str">
        <f>IF(Table2[[#This Row],[Description]]="","",VLOOKUP(Table2[[#This Row],[Description]],$Q$1:$S$101,2,FALSE))</f>
        <v/>
      </c>
      <c r="H9622" s="1" t="str">
        <f>IF(Table2[[#This Row],[Description]]="","",VLOOKUP(Table2[[#This Row],[Description]],$Q$1:$S$101,3,FALSE))</f>
        <v/>
      </c>
      <c r="I9622" s="1" t="str">
        <f>IF(Table2[[#This Row],[Description]]="","",IF(Table2[[#This Row],[Currency]]=$O$2,$P$2,HLOOKUP(Table2[[#This Row],[Date]],Funds!$C$10:$GV$11,2,FALSE)))</f>
        <v/>
      </c>
      <c r="J9622" s="215" t="str">
        <f>IF(Table2[[#This Row],[Description]]="","",Table2[[#This Row],[Value]]/Table2[[#This Row],[Conversion]])</f>
        <v/>
      </c>
      <c r="K9622" s="45" t="str">
        <f>IF(Table2[[#This Row],[Description]]="","",DATE(Table2[[#This Row],[Year]],Table2[[#This Row],[Month]],1))</f>
        <v/>
      </c>
    </row>
    <row r="9623" spans="7:11" x14ac:dyDescent="0.25">
      <c r="G9623" s="1" t="str">
        <f>IF(Table2[[#This Row],[Description]]="","",VLOOKUP(Table2[[#This Row],[Description]],$Q$1:$S$101,2,FALSE))</f>
        <v/>
      </c>
      <c r="H9623" s="1" t="str">
        <f>IF(Table2[[#This Row],[Description]]="","",VLOOKUP(Table2[[#This Row],[Description]],$Q$1:$S$101,3,FALSE))</f>
        <v/>
      </c>
      <c r="I9623" s="1" t="str">
        <f>IF(Table2[[#This Row],[Description]]="","",IF(Table2[[#This Row],[Currency]]=$O$2,$P$2,HLOOKUP(Table2[[#This Row],[Date]],Funds!$C$10:$GV$11,2,FALSE)))</f>
        <v/>
      </c>
      <c r="J9623" s="215" t="str">
        <f>IF(Table2[[#This Row],[Description]]="","",Table2[[#This Row],[Value]]/Table2[[#This Row],[Conversion]])</f>
        <v/>
      </c>
      <c r="K9623" s="45" t="str">
        <f>IF(Table2[[#This Row],[Description]]="","",DATE(Table2[[#This Row],[Year]],Table2[[#This Row],[Month]],1))</f>
        <v/>
      </c>
    </row>
    <row r="9624" spans="7:11" x14ac:dyDescent="0.25">
      <c r="G9624" s="1" t="str">
        <f>IF(Table2[[#This Row],[Description]]="","",VLOOKUP(Table2[[#This Row],[Description]],$Q$1:$S$101,2,FALSE))</f>
        <v/>
      </c>
      <c r="H9624" s="1" t="str">
        <f>IF(Table2[[#This Row],[Description]]="","",VLOOKUP(Table2[[#This Row],[Description]],$Q$1:$S$101,3,FALSE))</f>
        <v/>
      </c>
      <c r="I9624" s="1" t="str">
        <f>IF(Table2[[#This Row],[Description]]="","",IF(Table2[[#This Row],[Currency]]=$O$2,$P$2,HLOOKUP(Table2[[#This Row],[Date]],Funds!$C$10:$GV$11,2,FALSE)))</f>
        <v/>
      </c>
      <c r="J9624" s="215" t="str">
        <f>IF(Table2[[#This Row],[Description]]="","",Table2[[#This Row],[Value]]/Table2[[#This Row],[Conversion]])</f>
        <v/>
      </c>
      <c r="K9624" s="45" t="str">
        <f>IF(Table2[[#This Row],[Description]]="","",DATE(Table2[[#This Row],[Year]],Table2[[#This Row],[Month]],1))</f>
        <v/>
      </c>
    </row>
    <row r="9625" spans="7:11" x14ac:dyDescent="0.25">
      <c r="G9625" s="1" t="str">
        <f>IF(Table2[[#This Row],[Description]]="","",VLOOKUP(Table2[[#This Row],[Description]],$Q$1:$S$101,2,FALSE))</f>
        <v/>
      </c>
      <c r="H9625" s="1" t="str">
        <f>IF(Table2[[#This Row],[Description]]="","",VLOOKUP(Table2[[#This Row],[Description]],$Q$1:$S$101,3,FALSE))</f>
        <v/>
      </c>
      <c r="I9625" s="1" t="str">
        <f>IF(Table2[[#This Row],[Description]]="","",IF(Table2[[#This Row],[Currency]]=$O$2,$P$2,HLOOKUP(Table2[[#This Row],[Date]],Funds!$C$10:$GV$11,2,FALSE)))</f>
        <v/>
      </c>
      <c r="J9625" s="215" t="str">
        <f>IF(Table2[[#This Row],[Description]]="","",Table2[[#This Row],[Value]]/Table2[[#This Row],[Conversion]])</f>
        <v/>
      </c>
      <c r="K9625" s="45" t="str">
        <f>IF(Table2[[#This Row],[Description]]="","",DATE(Table2[[#This Row],[Year]],Table2[[#This Row],[Month]],1))</f>
        <v/>
      </c>
    </row>
    <row r="9626" spans="7:11" x14ac:dyDescent="0.25">
      <c r="G9626" s="1" t="str">
        <f>IF(Table2[[#This Row],[Description]]="","",VLOOKUP(Table2[[#This Row],[Description]],$Q$1:$S$101,2,FALSE))</f>
        <v/>
      </c>
      <c r="H9626" s="1" t="str">
        <f>IF(Table2[[#This Row],[Description]]="","",VLOOKUP(Table2[[#This Row],[Description]],$Q$1:$S$101,3,FALSE))</f>
        <v/>
      </c>
      <c r="I9626" s="1" t="str">
        <f>IF(Table2[[#This Row],[Description]]="","",IF(Table2[[#This Row],[Currency]]=$O$2,$P$2,HLOOKUP(Table2[[#This Row],[Date]],Funds!$C$10:$GV$11,2,FALSE)))</f>
        <v/>
      </c>
      <c r="J9626" s="215" t="str">
        <f>IF(Table2[[#This Row],[Description]]="","",Table2[[#This Row],[Value]]/Table2[[#This Row],[Conversion]])</f>
        <v/>
      </c>
      <c r="K9626" s="45" t="str">
        <f>IF(Table2[[#This Row],[Description]]="","",DATE(Table2[[#This Row],[Year]],Table2[[#This Row],[Month]],1))</f>
        <v/>
      </c>
    </row>
    <row r="9627" spans="7:11" x14ac:dyDescent="0.25">
      <c r="G9627" s="1" t="str">
        <f>IF(Table2[[#This Row],[Description]]="","",VLOOKUP(Table2[[#This Row],[Description]],$Q$1:$S$101,2,FALSE))</f>
        <v/>
      </c>
      <c r="H9627" s="1" t="str">
        <f>IF(Table2[[#This Row],[Description]]="","",VLOOKUP(Table2[[#This Row],[Description]],$Q$1:$S$101,3,FALSE))</f>
        <v/>
      </c>
      <c r="I9627" s="1" t="str">
        <f>IF(Table2[[#This Row],[Description]]="","",IF(Table2[[#This Row],[Currency]]=$O$2,$P$2,HLOOKUP(Table2[[#This Row],[Date]],Funds!$C$10:$GV$11,2,FALSE)))</f>
        <v/>
      </c>
      <c r="J9627" s="215" t="str">
        <f>IF(Table2[[#This Row],[Description]]="","",Table2[[#This Row],[Value]]/Table2[[#This Row],[Conversion]])</f>
        <v/>
      </c>
      <c r="K9627" s="45" t="str">
        <f>IF(Table2[[#This Row],[Description]]="","",DATE(Table2[[#This Row],[Year]],Table2[[#This Row],[Month]],1))</f>
        <v/>
      </c>
    </row>
    <row r="9628" spans="7:11" x14ac:dyDescent="0.25">
      <c r="G9628" s="1" t="str">
        <f>IF(Table2[[#This Row],[Description]]="","",VLOOKUP(Table2[[#This Row],[Description]],$Q$1:$S$101,2,FALSE))</f>
        <v/>
      </c>
      <c r="H9628" s="1" t="str">
        <f>IF(Table2[[#This Row],[Description]]="","",VLOOKUP(Table2[[#This Row],[Description]],$Q$1:$S$101,3,FALSE))</f>
        <v/>
      </c>
      <c r="I9628" s="1" t="str">
        <f>IF(Table2[[#This Row],[Description]]="","",IF(Table2[[#This Row],[Currency]]=$O$2,$P$2,HLOOKUP(Table2[[#This Row],[Date]],Funds!$C$10:$GV$11,2,FALSE)))</f>
        <v/>
      </c>
      <c r="J9628" s="215" t="str">
        <f>IF(Table2[[#This Row],[Description]]="","",Table2[[#This Row],[Value]]/Table2[[#This Row],[Conversion]])</f>
        <v/>
      </c>
      <c r="K9628" s="45" t="str">
        <f>IF(Table2[[#This Row],[Description]]="","",DATE(Table2[[#This Row],[Year]],Table2[[#This Row],[Month]],1))</f>
        <v/>
      </c>
    </row>
    <row r="9629" spans="7:11" x14ac:dyDescent="0.25">
      <c r="G9629" s="1" t="str">
        <f>IF(Table2[[#This Row],[Description]]="","",VLOOKUP(Table2[[#This Row],[Description]],$Q$1:$S$101,2,FALSE))</f>
        <v/>
      </c>
      <c r="H9629" s="1" t="str">
        <f>IF(Table2[[#This Row],[Description]]="","",VLOOKUP(Table2[[#This Row],[Description]],$Q$1:$S$101,3,FALSE))</f>
        <v/>
      </c>
      <c r="I9629" s="1" t="str">
        <f>IF(Table2[[#This Row],[Description]]="","",IF(Table2[[#This Row],[Currency]]=$O$2,$P$2,HLOOKUP(Table2[[#This Row],[Date]],Funds!$C$10:$GV$11,2,FALSE)))</f>
        <v/>
      </c>
      <c r="J9629" s="215" t="str">
        <f>IF(Table2[[#This Row],[Description]]="","",Table2[[#This Row],[Value]]/Table2[[#This Row],[Conversion]])</f>
        <v/>
      </c>
      <c r="K9629" s="45" t="str">
        <f>IF(Table2[[#This Row],[Description]]="","",DATE(Table2[[#This Row],[Year]],Table2[[#This Row],[Month]],1))</f>
        <v/>
      </c>
    </row>
    <row r="9630" spans="7:11" x14ac:dyDescent="0.25">
      <c r="G9630" s="1" t="str">
        <f>IF(Table2[[#This Row],[Description]]="","",VLOOKUP(Table2[[#This Row],[Description]],$Q$1:$S$101,2,FALSE))</f>
        <v/>
      </c>
      <c r="H9630" s="1" t="str">
        <f>IF(Table2[[#This Row],[Description]]="","",VLOOKUP(Table2[[#This Row],[Description]],$Q$1:$S$101,3,FALSE))</f>
        <v/>
      </c>
      <c r="I9630" s="1" t="str">
        <f>IF(Table2[[#This Row],[Description]]="","",IF(Table2[[#This Row],[Currency]]=$O$2,$P$2,HLOOKUP(Table2[[#This Row],[Date]],Funds!$C$10:$GV$11,2,FALSE)))</f>
        <v/>
      </c>
      <c r="J9630" s="215" t="str">
        <f>IF(Table2[[#This Row],[Description]]="","",Table2[[#This Row],[Value]]/Table2[[#This Row],[Conversion]])</f>
        <v/>
      </c>
      <c r="K9630" s="45" t="str">
        <f>IF(Table2[[#This Row],[Description]]="","",DATE(Table2[[#This Row],[Year]],Table2[[#This Row],[Month]],1))</f>
        <v/>
      </c>
    </row>
    <row r="9631" spans="7:11" x14ac:dyDescent="0.25">
      <c r="G9631" s="1" t="str">
        <f>IF(Table2[[#This Row],[Description]]="","",VLOOKUP(Table2[[#This Row],[Description]],$Q$1:$S$101,2,FALSE))</f>
        <v/>
      </c>
      <c r="H9631" s="1" t="str">
        <f>IF(Table2[[#This Row],[Description]]="","",VLOOKUP(Table2[[#This Row],[Description]],$Q$1:$S$101,3,FALSE))</f>
        <v/>
      </c>
      <c r="I9631" s="1" t="str">
        <f>IF(Table2[[#This Row],[Description]]="","",IF(Table2[[#This Row],[Currency]]=$O$2,$P$2,HLOOKUP(Table2[[#This Row],[Date]],Funds!$C$10:$GV$11,2,FALSE)))</f>
        <v/>
      </c>
      <c r="J9631" s="215" t="str">
        <f>IF(Table2[[#This Row],[Description]]="","",Table2[[#This Row],[Value]]/Table2[[#This Row],[Conversion]])</f>
        <v/>
      </c>
      <c r="K9631" s="45" t="str">
        <f>IF(Table2[[#This Row],[Description]]="","",DATE(Table2[[#This Row],[Year]],Table2[[#This Row],[Month]],1))</f>
        <v/>
      </c>
    </row>
    <row r="9632" spans="7:11" x14ac:dyDescent="0.25">
      <c r="G9632" s="1" t="str">
        <f>IF(Table2[[#This Row],[Description]]="","",VLOOKUP(Table2[[#This Row],[Description]],$Q$1:$S$101,2,FALSE))</f>
        <v/>
      </c>
      <c r="H9632" s="1" t="str">
        <f>IF(Table2[[#This Row],[Description]]="","",VLOOKUP(Table2[[#This Row],[Description]],$Q$1:$S$101,3,FALSE))</f>
        <v/>
      </c>
      <c r="I9632" s="1" t="str">
        <f>IF(Table2[[#This Row],[Description]]="","",IF(Table2[[#This Row],[Currency]]=$O$2,$P$2,HLOOKUP(Table2[[#This Row],[Date]],Funds!$C$10:$GV$11,2,FALSE)))</f>
        <v/>
      </c>
      <c r="J9632" s="215" t="str">
        <f>IF(Table2[[#This Row],[Description]]="","",Table2[[#This Row],[Value]]/Table2[[#This Row],[Conversion]])</f>
        <v/>
      </c>
      <c r="K9632" s="45" t="str">
        <f>IF(Table2[[#This Row],[Description]]="","",DATE(Table2[[#This Row],[Year]],Table2[[#This Row],[Month]],1))</f>
        <v/>
      </c>
    </row>
    <row r="9633" spans="7:11" x14ac:dyDescent="0.25">
      <c r="G9633" s="1" t="str">
        <f>IF(Table2[[#This Row],[Description]]="","",VLOOKUP(Table2[[#This Row],[Description]],$Q$1:$S$101,2,FALSE))</f>
        <v/>
      </c>
      <c r="H9633" s="1" t="str">
        <f>IF(Table2[[#This Row],[Description]]="","",VLOOKUP(Table2[[#This Row],[Description]],$Q$1:$S$101,3,FALSE))</f>
        <v/>
      </c>
      <c r="I9633" s="1" t="str">
        <f>IF(Table2[[#This Row],[Description]]="","",IF(Table2[[#This Row],[Currency]]=$O$2,$P$2,HLOOKUP(Table2[[#This Row],[Date]],Funds!$C$10:$GV$11,2,FALSE)))</f>
        <v/>
      </c>
      <c r="J9633" s="215" t="str">
        <f>IF(Table2[[#This Row],[Description]]="","",Table2[[#This Row],[Value]]/Table2[[#This Row],[Conversion]])</f>
        <v/>
      </c>
      <c r="K9633" s="45" t="str">
        <f>IF(Table2[[#This Row],[Description]]="","",DATE(Table2[[#This Row],[Year]],Table2[[#This Row],[Month]],1))</f>
        <v/>
      </c>
    </row>
    <row r="9634" spans="7:11" x14ac:dyDescent="0.25">
      <c r="G9634" s="1" t="str">
        <f>IF(Table2[[#This Row],[Description]]="","",VLOOKUP(Table2[[#This Row],[Description]],$Q$1:$S$101,2,FALSE))</f>
        <v/>
      </c>
      <c r="H9634" s="1" t="str">
        <f>IF(Table2[[#This Row],[Description]]="","",VLOOKUP(Table2[[#This Row],[Description]],$Q$1:$S$101,3,FALSE))</f>
        <v/>
      </c>
      <c r="I9634" s="1" t="str">
        <f>IF(Table2[[#This Row],[Description]]="","",IF(Table2[[#This Row],[Currency]]=$O$2,$P$2,HLOOKUP(Table2[[#This Row],[Date]],Funds!$C$10:$GV$11,2,FALSE)))</f>
        <v/>
      </c>
      <c r="J9634" s="215" t="str">
        <f>IF(Table2[[#This Row],[Description]]="","",Table2[[#This Row],[Value]]/Table2[[#This Row],[Conversion]])</f>
        <v/>
      </c>
      <c r="K9634" s="45" t="str">
        <f>IF(Table2[[#This Row],[Description]]="","",DATE(Table2[[#This Row],[Year]],Table2[[#This Row],[Month]],1))</f>
        <v/>
      </c>
    </row>
    <row r="9635" spans="7:11" x14ac:dyDescent="0.25">
      <c r="G9635" s="1" t="str">
        <f>IF(Table2[[#This Row],[Description]]="","",VLOOKUP(Table2[[#This Row],[Description]],$Q$1:$S$101,2,FALSE))</f>
        <v/>
      </c>
      <c r="H9635" s="1" t="str">
        <f>IF(Table2[[#This Row],[Description]]="","",VLOOKUP(Table2[[#This Row],[Description]],$Q$1:$S$101,3,FALSE))</f>
        <v/>
      </c>
      <c r="I9635" s="1" t="str">
        <f>IF(Table2[[#This Row],[Description]]="","",IF(Table2[[#This Row],[Currency]]=$O$2,$P$2,HLOOKUP(Table2[[#This Row],[Date]],Funds!$C$10:$GV$11,2,FALSE)))</f>
        <v/>
      </c>
      <c r="J9635" s="215" t="str">
        <f>IF(Table2[[#This Row],[Description]]="","",Table2[[#This Row],[Value]]/Table2[[#This Row],[Conversion]])</f>
        <v/>
      </c>
      <c r="K9635" s="45" t="str">
        <f>IF(Table2[[#This Row],[Description]]="","",DATE(Table2[[#This Row],[Year]],Table2[[#This Row],[Month]],1))</f>
        <v/>
      </c>
    </row>
    <row r="9636" spans="7:11" x14ac:dyDescent="0.25">
      <c r="G9636" s="1" t="str">
        <f>IF(Table2[[#This Row],[Description]]="","",VLOOKUP(Table2[[#This Row],[Description]],$Q$1:$S$101,2,FALSE))</f>
        <v/>
      </c>
      <c r="H9636" s="1" t="str">
        <f>IF(Table2[[#This Row],[Description]]="","",VLOOKUP(Table2[[#This Row],[Description]],$Q$1:$S$101,3,FALSE))</f>
        <v/>
      </c>
      <c r="I9636" s="1" t="str">
        <f>IF(Table2[[#This Row],[Description]]="","",IF(Table2[[#This Row],[Currency]]=$O$2,$P$2,HLOOKUP(Table2[[#This Row],[Date]],Funds!$C$10:$GV$11,2,FALSE)))</f>
        <v/>
      </c>
      <c r="J9636" s="215" t="str">
        <f>IF(Table2[[#This Row],[Description]]="","",Table2[[#This Row],[Value]]/Table2[[#This Row],[Conversion]])</f>
        <v/>
      </c>
      <c r="K9636" s="45" t="str">
        <f>IF(Table2[[#This Row],[Description]]="","",DATE(Table2[[#This Row],[Year]],Table2[[#This Row],[Month]],1))</f>
        <v/>
      </c>
    </row>
    <row r="9637" spans="7:11" x14ac:dyDescent="0.25">
      <c r="G9637" s="1" t="str">
        <f>IF(Table2[[#This Row],[Description]]="","",VLOOKUP(Table2[[#This Row],[Description]],$Q$1:$S$101,2,FALSE))</f>
        <v/>
      </c>
      <c r="H9637" s="1" t="str">
        <f>IF(Table2[[#This Row],[Description]]="","",VLOOKUP(Table2[[#This Row],[Description]],$Q$1:$S$101,3,FALSE))</f>
        <v/>
      </c>
      <c r="I9637" s="1" t="str">
        <f>IF(Table2[[#This Row],[Description]]="","",IF(Table2[[#This Row],[Currency]]=$O$2,$P$2,HLOOKUP(Table2[[#This Row],[Date]],Funds!$C$10:$GV$11,2,FALSE)))</f>
        <v/>
      </c>
      <c r="J9637" s="215" t="str">
        <f>IF(Table2[[#This Row],[Description]]="","",Table2[[#This Row],[Value]]/Table2[[#This Row],[Conversion]])</f>
        <v/>
      </c>
      <c r="K9637" s="45" t="str">
        <f>IF(Table2[[#This Row],[Description]]="","",DATE(Table2[[#This Row],[Year]],Table2[[#This Row],[Month]],1))</f>
        <v/>
      </c>
    </row>
    <row r="9638" spans="7:11" x14ac:dyDescent="0.25">
      <c r="G9638" s="1" t="str">
        <f>IF(Table2[[#This Row],[Description]]="","",VLOOKUP(Table2[[#This Row],[Description]],$Q$1:$S$101,2,FALSE))</f>
        <v/>
      </c>
      <c r="H9638" s="1" t="str">
        <f>IF(Table2[[#This Row],[Description]]="","",VLOOKUP(Table2[[#This Row],[Description]],$Q$1:$S$101,3,FALSE))</f>
        <v/>
      </c>
      <c r="I9638" s="1" t="str">
        <f>IF(Table2[[#This Row],[Description]]="","",IF(Table2[[#This Row],[Currency]]=$O$2,$P$2,HLOOKUP(Table2[[#This Row],[Date]],Funds!$C$10:$GV$11,2,FALSE)))</f>
        <v/>
      </c>
      <c r="J9638" s="215" t="str">
        <f>IF(Table2[[#This Row],[Description]]="","",Table2[[#This Row],[Value]]/Table2[[#This Row],[Conversion]])</f>
        <v/>
      </c>
      <c r="K9638" s="45" t="str">
        <f>IF(Table2[[#This Row],[Description]]="","",DATE(Table2[[#This Row],[Year]],Table2[[#This Row],[Month]],1))</f>
        <v/>
      </c>
    </row>
    <row r="9639" spans="7:11" x14ac:dyDescent="0.25">
      <c r="G9639" s="1" t="str">
        <f>IF(Table2[[#This Row],[Description]]="","",VLOOKUP(Table2[[#This Row],[Description]],$Q$1:$S$101,2,FALSE))</f>
        <v/>
      </c>
      <c r="H9639" s="1" t="str">
        <f>IF(Table2[[#This Row],[Description]]="","",VLOOKUP(Table2[[#This Row],[Description]],$Q$1:$S$101,3,FALSE))</f>
        <v/>
      </c>
      <c r="I9639" s="1" t="str">
        <f>IF(Table2[[#This Row],[Description]]="","",IF(Table2[[#This Row],[Currency]]=$O$2,$P$2,HLOOKUP(Table2[[#This Row],[Date]],Funds!$C$10:$GV$11,2,FALSE)))</f>
        <v/>
      </c>
      <c r="J9639" s="215" t="str">
        <f>IF(Table2[[#This Row],[Description]]="","",Table2[[#This Row],[Value]]/Table2[[#This Row],[Conversion]])</f>
        <v/>
      </c>
      <c r="K9639" s="45" t="str">
        <f>IF(Table2[[#This Row],[Description]]="","",DATE(Table2[[#This Row],[Year]],Table2[[#This Row],[Month]],1))</f>
        <v/>
      </c>
    </row>
    <row r="9640" spans="7:11" x14ac:dyDescent="0.25">
      <c r="G9640" s="1" t="str">
        <f>IF(Table2[[#This Row],[Description]]="","",VLOOKUP(Table2[[#This Row],[Description]],$Q$1:$S$101,2,FALSE))</f>
        <v/>
      </c>
      <c r="H9640" s="1" t="str">
        <f>IF(Table2[[#This Row],[Description]]="","",VLOOKUP(Table2[[#This Row],[Description]],$Q$1:$S$101,3,FALSE))</f>
        <v/>
      </c>
      <c r="I9640" s="1" t="str">
        <f>IF(Table2[[#This Row],[Description]]="","",IF(Table2[[#This Row],[Currency]]=$O$2,$P$2,HLOOKUP(Table2[[#This Row],[Date]],Funds!$C$10:$GV$11,2,FALSE)))</f>
        <v/>
      </c>
      <c r="J9640" s="215" t="str">
        <f>IF(Table2[[#This Row],[Description]]="","",Table2[[#This Row],[Value]]/Table2[[#This Row],[Conversion]])</f>
        <v/>
      </c>
      <c r="K9640" s="45" t="str">
        <f>IF(Table2[[#This Row],[Description]]="","",DATE(Table2[[#This Row],[Year]],Table2[[#This Row],[Month]],1))</f>
        <v/>
      </c>
    </row>
    <row r="9641" spans="7:11" x14ac:dyDescent="0.25">
      <c r="G9641" s="1" t="str">
        <f>IF(Table2[[#This Row],[Description]]="","",VLOOKUP(Table2[[#This Row],[Description]],$Q$1:$S$101,2,FALSE))</f>
        <v/>
      </c>
      <c r="H9641" s="1" t="str">
        <f>IF(Table2[[#This Row],[Description]]="","",VLOOKUP(Table2[[#This Row],[Description]],$Q$1:$S$101,3,FALSE))</f>
        <v/>
      </c>
      <c r="I9641" s="1" t="str">
        <f>IF(Table2[[#This Row],[Description]]="","",IF(Table2[[#This Row],[Currency]]=$O$2,$P$2,HLOOKUP(Table2[[#This Row],[Date]],Funds!$C$10:$GV$11,2,FALSE)))</f>
        <v/>
      </c>
      <c r="J9641" s="215" t="str">
        <f>IF(Table2[[#This Row],[Description]]="","",Table2[[#This Row],[Value]]/Table2[[#This Row],[Conversion]])</f>
        <v/>
      </c>
      <c r="K9641" s="45" t="str">
        <f>IF(Table2[[#This Row],[Description]]="","",DATE(Table2[[#This Row],[Year]],Table2[[#This Row],[Month]],1))</f>
        <v/>
      </c>
    </row>
    <row r="9642" spans="7:11" x14ac:dyDescent="0.25">
      <c r="G9642" s="1" t="str">
        <f>IF(Table2[[#This Row],[Description]]="","",VLOOKUP(Table2[[#This Row],[Description]],$Q$1:$S$101,2,FALSE))</f>
        <v/>
      </c>
      <c r="H9642" s="1" t="str">
        <f>IF(Table2[[#This Row],[Description]]="","",VLOOKUP(Table2[[#This Row],[Description]],$Q$1:$S$101,3,FALSE))</f>
        <v/>
      </c>
      <c r="I9642" s="1" t="str">
        <f>IF(Table2[[#This Row],[Description]]="","",IF(Table2[[#This Row],[Currency]]=$O$2,$P$2,HLOOKUP(Table2[[#This Row],[Date]],Funds!$C$10:$GV$11,2,FALSE)))</f>
        <v/>
      </c>
      <c r="J9642" s="215" t="str">
        <f>IF(Table2[[#This Row],[Description]]="","",Table2[[#This Row],[Value]]/Table2[[#This Row],[Conversion]])</f>
        <v/>
      </c>
      <c r="K9642" s="45" t="str">
        <f>IF(Table2[[#This Row],[Description]]="","",DATE(Table2[[#This Row],[Year]],Table2[[#This Row],[Month]],1))</f>
        <v/>
      </c>
    </row>
    <row r="9643" spans="7:11" x14ac:dyDescent="0.25">
      <c r="G9643" s="1" t="str">
        <f>IF(Table2[[#This Row],[Description]]="","",VLOOKUP(Table2[[#This Row],[Description]],$Q$1:$S$101,2,FALSE))</f>
        <v/>
      </c>
      <c r="H9643" s="1" t="str">
        <f>IF(Table2[[#This Row],[Description]]="","",VLOOKUP(Table2[[#This Row],[Description]],$Q$1:$S$101,3,FALSE))</f>
        <v/>
      </c>
      <c r="I9643" s="1" t="str">
        <f>IF(Table2[[#This Row],[Description]]="","",IF(Table2[[#This Row],[Currency]]=$O$2,$P$2,HLOOKUP(Table2[[#This Row],[Date]],Funds!$C$10:$GV$11,2,FALSE)))</f>
        <v/>
      </c>
      <c r="J9643" s="215" t="str">
        <f>IF(Table2[[#This Row],[Description]]="","",Table2[[#This Row],[Value]]/Table2[[#This Row],[Conversion]])</f>
        <v/>
      </c>
      <c r="K9643" s="45" t="str">
        <f>IF(Table2[[#This Row],[Description]]="","",DATE(Table2[[#This Row],[Year]],Table2[[#This Row],[Month]],1))</f>
        <v/>
      </c>
    </row>
    <row r="9644" spans="7:11" x14ac:dyDescent="0.25">
      <c r="G9644" s="1" t="str">
        <f>IF(Table2[[#This Row],[Description]]="","",VLOOKUP(Table2[[#This Row],[Description]],$Q$1:$S$101,2,FALSE))</f>
        <v/>
      </c>
      <c r="H9644" s="1" t="str">
        <f>IF(Table2[[#This Row],[Description]]="","",VLOOKUP(Table2[[#This Row],[Description]],$Q$1:$S$101,3,FALSE))</f>
        <v/>
      </c>
      <c r="I9644" s="1" t="str">
        <f>IF(Table2[[#This Row],[Description]]="","",IF(Table2[[#This Row],[Currency]]=$O$2,$P$2,HLOOKUP(Table2[[#This Row],[Date]],Funds!$C$10:$GV$11,2,FALSE)))</f>
        <v/>
      </c>
      <c r="J9644" s="215" t="str">
        <f>IF(Table2[[#This Row],[Description]]="","",Table2[[#This Row],[Value]]/Table2[[#This Row],[Conversion]])</f>
        <v/>
      </c>
      <c r="K9644" s="45" t="str">
        <f>IF(Table2[[#This Row],[Description]]="","",DATE(Table2[[#This Row],[Year]],Table2[[#This Row],[Month]],1))</f>
        <v/>
      </c>
    </row>
    <row r="9645" spans="7:11" x14ac:dyDescent="0.25">
      <c r="G9645" s="1" t="str">
        <f>IF(Table2[[#This Row],[Description]]="","",VLOOKUP(Table2[[#This Row],[Description]],$Q$1:$S$101,2,FALSE))</f>
        <v/>
      </c>
      <c r="H9645" s="1" t="str">
        <f>IF(Table2[[#This Row],[Description]]="","",VLOOKUP(Table2[[#This Row],[Description]],$Q$1:$S$101,3,FALSE))</f>
        <v/>
      </c>
      <c r="I9645" s="1" t="str">
        <f>IF(Table2[[#This Row],[Description]]="","",IF(Table2[[#This Row],[Currency]]=$O$2,$P$2,HLOOKUP(Table2[[#This Row],[Date]],Funds!$C$10:$GV$11,2,FALSE)))</f>
        <v/>
      </c>
      <c r="J9645" s="215" t="str">
        <f>IF(Table2[[#This Row],[Description]]="","",Table2[[#This Row],[Value]]/Table2[[#This Row],[Conversion]])</f>
        <v/>
      </c>
      <c r="K9645" s="45" t="str">
        <f>IF(Table2[[#This Row],[Description]]="","",DATE(Table2[[#This Row],[Year]],Table2[[#This Row],[Month]],1))</f>
        <v/>
      </c>
    </row>
    <row r="9646" spans="7:11" x14ac:dyDescent="0.25">
      <c r="G9646" s="1" t="str">
        <f>IF(Table2[[#This Row],[Description]]="","",VLOOKUP(Table2[[#This Row],[Description]],$Q$1:$S$101,2,FALSE))</f>
        <v/>
      </c>
      <c r="H9646" s="1" t="str">
        <f>IF(Table2[[#This Row],[Description]]="","",VLOOKUP(Table2[[#This Row],[Description]],$Q$1:$S$101,3,FALSE))</f>
        <v/>
      </c>
      <c r="I9646" s="1" t="str">
        <f>IF(Table2[[#This Row],[Description]]="","",IF(Table2[[#This Row],[Currency]]=$O$2,$P$2,HLOOKUP(Table2[[#This Row],[Date]],Funds!$C$10:$GV$11,2,FALSE)))</f>
        <v/>
      </c>
      <c r="J9646" s="215" t="str">
        <f>IF(Table2[[#This Row],[Description]]="","",Table2[[#This Row],[Value]]/Table2[[#This Row],[Conversion]])</f>
        <v/>
      </c>
      <c r="K9646" s="45" t="str">
        <f>IF(Table2[[#This Row],[Description]]="","",DATE(Table2[[#This Row],[Year]],Table2[[#This Row],[Month]],1))</f>
        <v/>
      </c>
    </row>
    <row r="9647" spans="7:11" x14ac:dyDescent="0.25">
      <c r="G9647" s="1" t="str">
        <f>IF(Table2[[#This Row],[Description]]="","",VLOOKUP(Table2[[#This Row],[Description]],$Q$1:$S$101,2,FALSE))</f>
        <v/>
      </c>
      <c r="H9647" s="1" t="str">
        <f>IF(Table2[[#This Row],[Description]]="","",VLOOKUP(Table2[[#This Row],[Description]],$Q$1:$S$101,3,FALSE))</f>
        <v/>
      </c>
      <c r="I9647" s="1" t="str">
        <f>IF(Table2[[#This Row],[Description]]="","",IF(Table2[[#This Row],[Currency]]=$O$2,$P$2,HLOOKUP(Table2[[#This Row],[Date]],Funds!$C$10:$GV$11,2,FALSE)))</f>
        <v/>
      </c>
      <c r="J9647" s="215" t="str">
        <f>IF(Table2[[#This Row],[Description]]="","",Table2[[#This Row],[Value]]/Table2[[#This Row],[Conversion]])</f>
        <v/>
      </c>
      <c r="K9647" s="45" t="str">
        <f>IF(Table2[[#This Row],[Description]]="","",DATE(Table2[[#This Row],[Year]],Table2[[#This Row],[Month]],1))</f>
        <v/>
      </c>
    </row>
    <row r="9648" spans="7:11" x14ac:dyDescent="0.25">
      <c r="G9648" s="1" t="str">
        <f>IF(Table2[[#This Row],[Description]]="","",VLOOKUP(Table2[[#This Row],[Description]],$Q$1:$S$101,2,FALSE))</f>
        <v/>
      </c>
      <c r="H9648" s="1" t="str">
        <f>IF(Table2[[#This Row],[Description]]="","",VLOOKUP(Table2[[#This Row],[Description]],$Q$1:$S$101,3,FALSE))</f>
        <v/>
      </c>
      <c r="I9648" s="1" t="str">
        <f>IF(Table2[[#This Row],[Description]]="","",IF(Table2[[#This Row],[Currency]]=$O$2,$P$2,HLOOKUP(Table2[[#This Row],[Date]],Funds!$C$10:$GV$11,2,FALSE)))</f>
        <v/>
      </c>
      <c r="J9648" s="215" t="str">
        <f>IF(Table2[[#This Row],[Description]]="","",Table2[[#This Row],[Value]]/Table2[[#This Row],[Conversion]])</f>
        <v/>
      </c>
      <c r="K9648" s="45" t="str">
        <f>IF(Table2[[#This Row],[Description]]="","",DATE(Table2[[#This Row],[Year]],Table2[[#This Row],[Month]],1))</f>
        <v/>
      </c>
    </row>
    <row r="9649" spans="7:11" x14ac:dyDescent="0.25">
      <c r="G9649" s="1" t="str">
        <f>IF(Table2[[#This Row],[Description]]="","",VLOOKUP(Table2[[#This Row],[Description]],$Q$1:$S$101,2,FALSE))</f>
        <v/>
      </c>
      <c r="H9649" s="1" t="str">
        <f>IF(Table2[[#This Row],[Description]]="","",VLOOKUP(Table2[[#This Row],[Description]],$Q$1:$S$101,3,FALSE))</f>
        <v/>
      </c>
      <c r="I9649" s="1" t="str">
        <f>IF(Table2[[#This Row],[Description]]="","",IF(Table2[[#This Row],[Currency]]=$O$2,$P$2,HLOOKUP(Table2[[#This Row],[Date]],Funds!$C$10:$GV$11,2,FALSE)))</f>
        <v/>
      </c>
      <c r="J9649" s="215" t="str">
        <f>IF(Table2[[#This Row],[Description]]="","",Table2[[#This Row],[Value]]/Table2[[#This Row],[Conversion]])</f>
        <v/>
      </c>
      <c r="K9649" s="45" t="str">
        <f>IF(Table2[[#This Row],[Description]]="","",DATE(Table2[[#This Row],[Year]],Table2[[#This Row],[Month]],1))</f>
        <v/>
      </c>
    </row>
    <row r="9650" spans="7:11" x14ac:dyDescent="0.25">
      <c r="G9650" s="1" t="str">
        <f>IF(Table2[[#This Row],[Description]]="","",VLOOKUP(Table2[[#This Row],[Description]],$Q$1:$S$101,2,FALSE))</f>
        <v/>
      </c>
      <c r="H9650" s="1" t="str">
        <f>IF(Table2[[#This Row],[Description]]="","",VLOOKUP(Table2[[#This Row],[Description]],$Q$1:$S$101,3,FALSE))</f>
        <v/>
      </c>
      <c r="I9650" s="1" t="str">
        <f>IF(Table2[[#This Row],[Description]]="","",IF(Table2[[#This Row],[Currency]]=$O$2,$P$2,HLOOKUP(Table2[[#This Row],[Date]],Funds!$C$10:$GV$11,2,FALSE)))</f>
        <v/>
      </c>
      <c r="J9650" s="215" t="str">
        <f>IF(Table2[[#This Row],[Description]]="","",Table2[[#This Row],[Value]]/Table2[[#This Row],[Conversion]])</f>
        <v/>
      </c>
      <c r="K9650" s="45" t="str">
        <f>IF(Table2[[#This Row],[Description]]="","",DATE(Table2[[#This Row],[Year]],Table2[[#This Row],[Month]],1))</f>
        <v/>
      </c>
    </row>
    <row r="9651" spans="7:11" x14ac:dyDescent="0.25">
      <c r="G9651" s="1" t="str">
        <f>IF(Table2[[#This Row],[Description]]="","",VLOOKUP(Table2[[#This Row],[Description]],$Q$1:$S$101,2,FALSE))</f>
        <v/>
      </c>
      <c r="H9651" s="1" t="str">
        <f>IF(Table2[[#This Row],[Description]]="","",VLOOKUP(Table2[[#This Row],[Description]],$Q$1:$S$101,3,FALSE))</f>
        <v/>
      </c>
      <c r="I9651" s="1" t="str">
        <f>IF(Table2[[#This Row],[Description]]="","",IF(Table2[[#This Row],[Currency]]=$O$2,$P$2,HLOOKUP(Table2[[#This Row],[Date]],Funds!$C$10:$GV$11,2,FALSE)))</f>
        <v/>
      </c>
      <c r="J9651" s="215" t="str">
        <f>IF(Table2[[#This Row],[Description]]="","",Table2[[#This Row],[Value]]/Table2[[#This Row],[Conversion]])</f>
        <v/>
      </c>
      <c r="K9651" s="45" t="str">
        <f>IF(Table2[[#This Row],[Description]]="","",DATE(Table2[[#This Row],[Year]],Table2[[#This Row],[Month]],1))</f>
        <v/>
      </c>
    </row>
    <row r="9652" spans="7:11" x14ac:dyDescent="0.25">
      <c r="G9652" s="1" t="str">
        <f>IF(Table2[[#This Row],[Description]]="","",VLOOKUP(Table2[[#This Row],[Description]],$Q$1:$S$101,2,FALSE))</f>
        <v/>
      </c>
      <c r="H9652" s="1" t="str">
        <f>IF(Table2[[#This Row],[Description]]="","",VLOOKUP(Table2[[#This Row],[Description]],$Q$1:$S$101,3,FALSE))</f>
        <v/>
      </c>
      <c r="I9652" s="1" t="str">
        <f>IF(Table2[[#This Row],[Description]]="","",IF(Table2[[#This Row],[Currency]]=$O$2,$P$2,HLOOKUP(Table2[[#This Row],[Date]],Funds!$C$10:$GV$11,2,FALSE)))</f>
        <v/>
      </c>
      <c r="J9652" s="215" t="str">
        <f>IF(Table2[[#This Row],[Description]]="","",Table2[[#This Row],[Value]]/Table2[[#This Row],[Conversion]])</f>
        <v/>
      </c>
      <c r="K9652" s="45" t="str">
        <f>IF(Table2[[#This Row],[Description]]="","",DATE(Table2[[#This Row],[Year]],Table2[[#This Row],[Month]],1))</f>
        <v/>
      </c>
    </row>
    <row r="9653" spans="7:11" x14ac:dyDescent="0.25">
      <c r="G9653" s="1" t="str">
        <f>IF(Table2[[#This Row],[Description]]="","",VLOOKUP(Table2[[#This Row],[Description]],$Q$1:$S$101,2,FALSE))</f>
        <v/>
      </c>
      <c r="H9653" s="1" t="str">
        <f>IF(Table2[[#This Row],[Description]]="","",VLOOKUP(Table2[[#This Row],[Description]],$Q$1:$S$101,3,FALSE))</f>
        <v/>
      </c>
      <c r="I9653" s="1" t="str">
        <f>IF(Table2[[#This Row],[Description]]="","",IF(Table2[[#This Row],[Currency]]=$O$2,$P$2,HLOOKUP(Table2[[#This Row],[Date]],Funds!$C$10:$GV$11,2,FALSE)))</f>
        <v/>
      </c>
      <c r="J9653" s="215" t="str">
        <f>IF(Table2[[#This Row],[Description]]="","",Table2[[#This Row],[Value]]/Table2[[#This Row],[Conversion]])</f>
        <v/>
      </c>
      <c r="K9653" s="45" t="str">
        <f>IF(Table2[[#This Row],[Description]]="","",DATE(Table2[[#This Row],[Year]],Table2[[#This Row],[Month]],1))</f>
        <v/>
      </c>
    </row>
    <row r="9654" spans="7:11" x14ac:dyDescent="0.25">
      <c r="G9654" s="1" t="str">
        <f>IF(Table2[[#This Row],[Description]]="","",VLOOKUP(Table2[[#This Row],[Description]],$Q$1:$S$101,2,FALSE))</f>
        <v/>
      </c>
      <c r="H9654" s="1" t="str">
        <f>IF(Table2[[#This Row],[Description]]="","",VLOOKUP(Table2[[#This Row],[Description]],$Q$1:$S$101,3,FALSE))</f>
        <v/>
      </c>
      <c r="I9654" s="1" t="str">
        <f>IF(Table2[[#This Row],[Description]]="","",IF(Table2[[#This Row],[Currency]]=$O$2,$P$2,HLOOKUP(Table2[[#This Row],[Date]],Funds!$C$10:$GV$11,2,FALSE)))</f>
        <v/>
      </c>
      <c r="J9654" s="215" t="str">
        <f>IF(Table2[[#This Row],[Description]]="","",Table2[[#This Row],[Value]]/Table2[[#This Row],[Conversion]])</f>
        <v/>
      </c>
      <c r="K9654" s="45" t="str">
        <f>IF(Table2[[#This Row],[Description]]="","",DATE(Table2[[#This Row],[Year]],Table2[[#This Row],[Month]],1))</f>
        <v/>
      </c>
    </row>
    <row r="9655" spans="7:11" x14ac:dyDescent="0.25">
      <c r="G9655" s="1" t="str">
        <f>IF(Table2[[#This Row],[Description]]="","",VLOOKUP(Table2[[#This Row],[Description]],$Q$1:$S$101,2,FALSE))</f>
        <v/>
      </c>
      <c r="H9655" s="1" t="str">
        <f>IF(Table2[[#This Row],[Description]]="","",VLOOKUP(Table2[[#This Row],[Description]],$Q$1:$S$101,3,FALSE))</f>
        <v/>
      </c>
      <c r="I9655" s="1" t="str">
        <f>IF(Table2[[#This Row],[Description]]="","",IF(Table2[[#This Row],[Currency]]=$O$2,$P$2,HLOOKUP(Table2[[#This Row],[Date]],Funds!$C$10:$GV$11,2,FALSE)))</f>
        <v/>
      </c>
      <c r="J9655" s="215" t="str">
        <f>IF(Table2[[#This Row],[Description]]="","",Table2[[#This Row],[Value]]/Table2[[#This Row],[Conversion]])</f>
        <v/>
      </c>
      <c r="K9655" s="45" t="str">
        <f>IF(Table2[[#This Row],[Description]]="","",DATE(Table2[[#This Row],[Year]],Table2[[#This Row],[Month]],1))</f>
        <v/>
      </c>
    </row>
    <row r="9656" spans="7:11" x14ac:dyDescent="0.25">
      <c r="G9656" s="1" t="str">
        <f>IF(Table2[[#This Row],[Description]]="","",VLOOKUP(Table2[[#This Row],[Description]],$Q$1:$S$101,2,FALSE))</f>
        <v/>
      </c>
      <c r="H9656" s="1" t="str">
        <f>IF(Table2[[#This Row],[Description]]="","",VLOOKUP(Table2[[#This Row],[Description]],$Q$1:$S$101,3,FALSE))</f>
        <v/>
      </c>
      <c r="I9656" s="1" t="str">
        <f>IF(Table2[[#This Row],[Description]]="","",IF(Table2[[#This Row],[Currency]]=$O$2,$P$2,HLOOKUP(Table2[[#This Row],[Date]],Funds!$C$10:$GV$11,2,FALSE)))</f>
        <v/>
      </c>
      <c r="J9656" s="215" t="str">
        <f>IF(Table2[[#This Row],[Description]]="","",Table2[[#This Row],[Value]]/Table2[[#This Row],[Conversion]])</f>
        <v/>
      </c>
      <c r="K9656" s="45" t="str">
        <f>IF(Table2[[#This Row],[Description]]="","",DATE(Table2[[#This Row],[Year]],Table2[[#This Row],[Month]],1))</f>
        <v/>
      </c>
    </row>
    <row r="9657" spans="7:11" x14ac:dyDescent="0.25">
      <c r="G9657" s="1" t="str">
        <f>IF(Table2[[#This Row],[Description]]="","",VLOOKUP(Table2[[#This Row],[Description]],$Q$1:$S$101,2,FALSE))</f>
        <v/>
      </c>
      <c r="H9657" s="1" t="str">
        <f>IF(Table2[[#This Row],[Description]]="","",VLOOKUP(Table2[[#This Row],[Description]],$Q$1:$S$101,3,FALSE))</f>
        <v/>
      </c>
      <c r="I9657" s="1" t="str">
        <f>IF(Table2[[#This Row],[Description]]="","",IF(Table2[[#This Row],[Currency]]=$O$2,$P$2,HLOOKUP(Table2[[#This Row],[Date]],Funds!$C$10:$GV$11,2,FALSE)))</f>
        <v/>
      </c>
      <c r="J9657" s="215" t="str">
        <f>IF(Table2[[#This Row],[Description]]="","",Table2[[#This Row],[Value]]/Table2[[#This Row],[Conversion]])</f>
        <v/>
      </c>
      <c r="K9657" s="45" t="str">
        <f>IF(Table2[[#This Row],[Description]]="","",DATE(Table2[[#This Row],[Year]],Table2[[#This Row],[Month]],1))</f>
        <v/>
      </c>
    </row>
    <row r="9658" spans="7:11" x14ac:dyDescent="0.25">
      <c r="G9658" s="1" t="str">
        <f>IF(Table2[[#This Row],[Description]]="","",VLOOKUP(Table2[[#This Row],[Description]],$Q$1:$S$101,2,FALSE))</f>
        <v/>
      </c>
      <c r="H9658" s="1" t="str">
        <f>IF(Table2[[#This Row],[Description]]="","",VLOOKUP(Table2[[#This Row],[Description]],$Q$1:$S$101,3,FALSE))</f>
        <v/>
      </c>
      <c r="I9658" s="1" t="str">
        <f>IF(Table2[[#This Row],[Description]]="","",IF(Table2[[#This Row],[Currency]]=$O$2,$P$2,HLOOKUP(Table2[[#This Row],[Date]],Funds!$C$10:$GV$11,2,FALSE)))</f>
        <v/>
      </c>
      <c r="J9658" s="215" t="str">
        <f>IF(Table2[[#This Row],[Description]]="","",Table2[[#This Row],[Value]]/Table2[[#This Row],[Conversion]])</f>
        <v/>
      </c>
      <c r="K9658" s="45" t="str">
        <f>IF(Table2[[#This Row],[Description]]="","",DATE(Table2[[#This Row],[Year]],Table2[[#This Row],[Month]],1))</f>
        <v/>
      </c>
    </row>
    <row r="9659" spans="7:11" x14ac:dyDescent="0.25">
      <c r="G9659" s="1" t="str">
        <f>IF(Table2[[#This Row],[Description]]="","",VLOOKUP(Table2[[#This Row],[Description]],$Q$1:$S$101,2,FALSE))</f>
        <v/>
      </c>
      <c r="H9659" s="1" t="str">
        <f>IF(Table2[[#This Row],[Description]]="","",VLOOKUP(Table2[[#This Row],[Description]],$Q$1:$S$101,3,FALSE))</f>
        <v/>
      </c>
      <c r="I9659" s="1" t="str">
        <f>IF(Table2[[#This Row],[Description]]="","",IF(Table2[[#This Row],[Currency]]=$O$2,$P$2,HLOOKUP(Table2[[#This Row],[Date]],Funds!$C$10:$GV$11,2,FALSE)))</f>
        <v/>
      </c>
      <c r="J9659" s="215" t="str">
        <f>IF(Table2[[#This Row],[Description]]="","",Table2[[#This Row],[Value]]/Table2[[#This Row],[Conversion]])</f>
        <v/>
      </c>
      <c r="K9659" s="45" t="str">
        <f>IF(Table2[[#This Row],[Description]]="","",DATE(Table2[[#This Row],[Year]],Table2[[#This Row],[Month]],1))</f>
        <v/>
      </c>
    </row>
    <row r="9660" spans="7:11" x14ac:dyDescent="0.25">
      <c r="G9660" s="1" t="str">
        <f>IF(Table2[[#This Row],[Description]]="","",VLOOKUP(Table2[[#This Row],[Description]],$Q$1:$S$101,2,FALSE))</f>
        <v/>
      </c>
      <c r="H9660" s="1" t="str">
        <f>IF(Table2[[#This Row],[Description]]="","",VLOOKUP(Table2[[#This Row],[Description]],$Q$1:$S$101,3,FALSE))</f>
        <v/>
      </c>
      <c r="I9660" s="1" t="str">
        <f>IF(Table2[[#This Row],[Description]]="","",IF(Table2[[#This Row],[Currency]]=$O$2,$P$2,HLOOKUP(Table2[[#This Row],[Date]],Funds!$C$10:$GV$11,2,FALSE)))</f>
        <v/>
      </c>
      <c r="J9660" s="215" t="str">
        <f>IF(Table2[[#This Row],[Description]]="","",Table2[[#This Row],[Value]]/Table2[[#This Row],[Conversion]])</f>
        <v/>
      </c>
      <c r="K9660" s="45" t="str">
        <f>IF(Table2[[#This Row],[Description]]="","",DATE(Table2[[#This Row],[Year]],Table2[[#This Row],[Month]],1))</f>
        <v/>
      </c>
    </row>
    <row r="9661" spans="7:11" x14ac:dyDescent="0.25">
      <c r="G9661" s="1" t="str">
        <f>IF(Table2[[#This Row],[Description]]="","",VLOOKUP(Table2[[#This Row],[Description]],$Q$1:$S$101,2,FALSE))</f>
        <v/>
      </c>
      <c r="H9661" s="1" t="str">
        <f>IF(Table2[[#This Row],[Description]]="","",VLOOKUP(Table2[[#This Row],[Description]],$Q$1:$S$101,3,FALSE))</f>
        <v/>
      </c>
      <c r="I9661" s="1" t="str">
        <f>IF(Table2[[#This Row],[Description]]="","",IF(Table2[[#This Row],[Currency]]=$O$2,$P$2,HLOOKUP(Table2[[#This Row],[Date]],Funds!$C$10:$GV$11,2,FALSE)))</f>
        <v/>
      </c>
      <c r="J9661" s="215" t="str">
        <f>IF(Table2[[#This Row],[Description]]="","",Table2[[#This Row],[Value]]/Table2[[#This Row],[Conversion]])</f>
        <v/>
      </c>
      <c r="K9661" s="45" t="str">
        <f>IF(Table2[[#This Row],[Description]]="","",DATE(Table2[[#This Row],[Year]],Table2[[#This Row],[Month]],1))</f>
        <v/>
      </c>
    </row>
    <row r="9662" spans="7:11" x14ac:dyDescent="0.25">
      <c r="G9662" s="1" t="str">
        <f>IF(Table2[[#This Row],[Description]]="","",VLOOKUP(Table2[[#This Row],[Description]],$Q$1:$S$101,2,FALSE))</f>
        <v/>
      </c>
      <c r="H9662" s="1" t="str">
        <f>IF(Table2[[#This Row],[Description]]="","",VLOOKUP(Table2[[#This Row],[Description]],$Q$1:$S$101,3,FALSE))</f>
        <v/>
      </c>
      <c r="I9662" s="1" t="str">
        <f>IF(Table2[[#This Row],[Description]]="","",IF(Table2[[#This Row],[Currency]]=$O$2,$P$2,HLOOKUP(Table2[[#This Row],[Date]],Funds!$C$10:$GV$11,2,FALSE)))</f>
        <v/>
      </c>
      <c r="J9662" s="215" t="str">
        <f>IF(Table2[[#This Row],[Description]]="","",Table2[[#This Row],[Value]]/Table2[[#This Row],[Conversion]])</f>
        <v/>
      </c>
      <c r="K9662" s="45" t="str">
        <f>IF(Table2[[#This Row],[Description]]="","",DATE(Table2[[#This Row],[Year]],Table2[[#This Row],[Month]],1))</f>
        <v/>
      </c>
    </row>
    <row r="9663" spans="7:11" x14ac:dyDescent="0.25">
      <c r="G9663" s="1" t="str">
        <f>IF(Table2[[#This Row],[Description]]="","",VLOOKUP(Table2[[#This Row],[Description]],$Q$1:$S$101,2,FALSE))</f>
        <v/>
      </c>
      <c r="H9663" s="1" t="str">
        <f>IF(Table2[[#This Row],[Description]]="","",VLOOKUP(Table2[[#This Row],[Description]],$Q$1:$S$101,3,FALSE))</f>
        <v/>
      </c>
      <c r="I9663" s="1" t="str">
        <f>IF(Table2[[#This Row],[Description]]="","",IF(Table2[[#This Row],[Currency]]=$O$2,$P$2,HLOOKUP(Table2[[#This Row],[Date]],Funds!$C$10:$GV$11,2,FALSE)))</f>
        <v/>
      </c>
      <c r="J9663" s="215" t="str">
        <f>IF(Table2[[#This Row],[Description]]="","",Table2[[#This Row],[Value]]/Table2[[#This Row],[Conversion]])</f>
        <v/>
      </c>
      <c r="K9663" s="45" t="str">
        <f>IF(Table2[[#This Row],[Description]]="","",DATE(Table2[[#This Row],[Year]],Table2[[#This Row],[Month]],1))</f>
        <v/>
      </c>
    </row>
    <row r="9664" spans="7:11" x14ac:dyDescent="0.25">
      <c r="G9664" s="1" t="str">
        <f>IF(Table2[[#This Row],[Description]]="","",VLOOKUP(Table2[[#This Row],[Description]],$Q$1:$S$101,2,FALSE))</f>
        <v/>
      </c>
      <c r="H9664" s="1" t="str">
        <f>IF(Table2[[#This Row],[Description]]="","",VLOOKUP(Table2[[#This Row],[Description]],$Q$1:$S$101,3,FALSE))</f>
        <v/>
      </c>
      <c r="I9664" s="1" t="str">
        <f>IF(Table2[[#This Row],[Description]]="","",IF(Table2[[#This Row],[Currency]]=$O$2,$P$2,HLOOKUP(Table2[[#This Row],[Date]],Funds!$C$10:$GV$11,2,FALSE)))</f>
        <v/>
      </c>
      <c r="J9664" s="215" t="str">
        <f>IF(Table2[[#This Row],[Description]]="","",Table2[[#This Row],[Value]]/Table2[[#This Row],[Conversion]])</f>
        <v/>
      </c>
      <c r="K9664" s="45" t="str">
        <f>IF(Table2[[#This Row],[Description]]="","",DATE(Table2[[#This Row],[Year]],Table2[[#This Row],[Month]],1))</f>
        <v/>
      </c>
    </row>
    <row r="9665" spans="7:11" x14ac:dyDescent="0.25">
      <c r="G9665" s="1" t="str">
        <f>IF(Table2[[#This Row],[Description]]="","",VLOOKUP(Table2[[#This Row],[Description]],$Q$1:$S$101,2,FALSE))</f>
        <v/>
      </c>
      <c r="H9665" s="1" t="str">
        <f>IF(Table2[[#This Row],[Description]]="","",VLOOKUP(Table2[[#This Row],[Description]],$Q$1:$S$101,3,FALSE))</f>
        <v/>
      </c>
      <c r="I9665" s="1" t="str">
        <f>IF(Table2[[#This Row],[Description]]="","",IF(Table2[[#This Row],[Currency]]=$O$2,$P$2,HLOOKUP(Table2[[#This Row],[Date]],Funds!$C$10:$GV$11,2,FALSE)))</f>
        <v/>
      </c>
      <c r="J9665" s="215" t="str">
        <f>IF(Table2[[#This Row],[Description]]="","",Table2[[#This Row],[Value]]/Table2[[#This Row],[Conversion]])</f>
        <v/>
      </c>
      <c r="K9665" s="45" t="str">
        <f>IF(Table2[[#This Row],[Description]]="","",DATE(Table2[[#This Row],[Year]],Table2[[#This Row],[Month]],1))</f>
        <v/>
      </c>
    </row>
    <row r="9666" spans="7:11" x14ac:dyDescent="0.25">
      <c r="G9666" s="1" t="str">
        <f>IF(Table2[[#This Row],[Description]]="","",VLOOKUP(Table2[[#This Row],[Description]],$Q$1:$S$101,2,FALSE))</f>
        <v/>
      </c>
      <c r="H9666" s="1" t="str">
        <f>IF(Table2[[#This Row],[Description]]="","",VLOOKUP(Table2[[#This Row],[Description]],$Q$1:$S$101,3,FALSE))</f>
        <v/>
      </c>
      <c r="I9666" s="1" t="str">
        <f>IF(Table2[[#This Row],[Description]]="","",IF(Table2[[#This Row],[Currency]]=$O$2,$P$2,HLOOKUP(Table2[[#This Row],[Date]],Funds!$C$10:$GV$11,2,FALSE)))</f>
        <v/>
      </c>
      <c r="J9666" s="215" t="str">
        <f>IF(Table2[[#This Row],[Description]]="","",Table2[[#This Row],[Value]]/Table2[[#This Row],[Conversion]])</f>
        <v/>
      </c>
      <c r="K9666" s="45" t="str">
        <f>IF(Table2[[#This Row],[Description]]="","",DATE(Table2[[#This Row],[Year]],Table2[[#This Row],[Month]],1))</f>
        <v/>
      </c>
    </row>
    <row r="9667" spans="7:11" x14ac:dyDescent="0.25">
      <c r="G9667" s="1" t="str">
        <f>IF(Table2[[#This Row],[Description]]="","",VLOOKUP(Table2[[#This Row],[Description]],$Q$1:$S$101,2,FALSE))</f>
        <v/>
      </c>
      <c r="H9667" s="1" t="str">
        <f>IF(Table2[[#This Row],[Description]]="","",VLOOKUP(Table2[[#This Row],[Description]],$Q$1:$S$101,3,FALSE))</f>
        <v/>
      </c>
      <c r="I9667" s="1" t="str">
        <f>IF(Table2[[#This Row],[Description]]="","",IF(Table2[[#This Row],[Currency]]=$O$2,$P$2,HLOOKUP(Table2[[#This Row],[Date]],Funds!$C$10:$GV$11,2,FALSE)))</f>
        <v/>
      </c>
      <c r="J9667" s="215" t="str">
        <f>IF(Table2[[#This Row],[Description]]="","",Table2[[#This Row],[Value]]/Table2[[#This Row],[Conversion]])</f>
        <v/>
      </c>
      <c r="K9667" s="45" t="str">
        <f>IF(Table2[[#This Row],[Description]]="","",DATE(Table2[[#This Row],[Year]],Table2[[#This Row],[Month]],1))</f>
        <v/>
      </c>
    </row>
    <row r="9668" spans="7:11" x14ac:dyDescent="0.25">
      <c r="G9668" s="1" t="str">
        <f>IF(Table2[[#This Row],[Description]]="","",VLOOKUP(Table2[[#This Row],[Description]],$Q$1:$S$101,2,FALSE))</f>
        <v/>
      </c>
      <c r="H9668" s="1" t="str">
        <f>IF(Table2[[#This Row],[Description]]="","",VLOOKUP(Table2[[#This Row],[Description]],$Q$1:$S$101,3,FALSE))</f>
        <v/>
      </c>
      <c r="I9668" s="1" t="str">
        <f>IF(Table2[[#This Row],[Description]]="","",IF(Table2[[#This Row],[Currency]]=$O$2,$P$2,HLOOKUP(Table2[[#This Row],[Date]],Funds!$C$10:$GV$11,2,FALSE)))</f>
        <v/>
      </c>
      <c r="J9668" s="215" t="str">
        <f>IF(Table2[[#This Row],[Description]]="","",Table2[[#This Row],[Value]]/Table2[[#This Row],[Conversion]])</f>
        <v/>
      </c>
      <c r="K9668" s="45" t="str">
        <f>IF(Table2[[#This Row],[Description]]="","",DATE(Table2[[#This Row],[Year]],Table2[[#This Row],[Month]],1))</f>
        <v/>
      </c>
    </row>
    <row r="9669" spans="7:11" x14ac:dyDescent="0.25">
      <c r="G9669" s="1" t="str">
        <f>IF(Table2[[#This Row],[Description]]="","",VLOOKUP(Table2[[#This Row],[Description]],$Q$1:$S$101,2,FALSE))</f>
        <v/>
      </c>
      <c r="H9669" s="1" t="str">
        <f>IF(Table2[[#This Row],[Description]]="","",VLOOKUP(Table2[[#This Row],[Description]],$Q$1:$S$101,3,FALSE))</f>
        <v/>
      </c>
      <c r="I9669" s="1" t="str">
        <f>IF(Table2[[#This Row],[Description]]="","",IF(Table2[[#This Row],[Currency]]=$O$2,$P$2,HLOOKUP(Table2[[#This Row],[Date]],Funds!$C$10:$GV$11,2,FALSE)))</f>
        <v/>
      </c>
      <c r="J9669" s="215" t="str">
        <f>IF(Table2[[#This Row],[Description]]="","",Table2[[#This Row],[Value]]/Table2[[#This Row],[Conversion]])</f>
        <v/>
      </c>
      <c r="K9669" s="45" t="str">
        <f>IF(Table2[[#This Row],[Description]]="","",DATE(Table2[[#This Row],[Year]],Table2[[#This Row],[Month]],1))</f>
        <v/>
      </c>
    </row>
    <row r="9670" spans="7:11" x14ac:dyDescent="0.25">
      <c r="G9670" s="1" t="str">
        <f>IF(Table2[[#This Row],[Description]]="","",VLOOKUP(Table2[[#This Row],[Description]],$Q$1:$S$101,2,FALSE))</f>
        <v/>
      </c>
      <c r="H9670" s="1" t="str">
        <f>IF(Table2[[#This Row],[Description]]="","",VLOOKUP(Table2[[#This Row],[Description]],$Q$1:$S$101,3,FALSE))</f>
        <v/>
      </c>
      <c r="I9670" s="1" t="str">
        <f>IF(Table2[[#This Row],[Description]]="","",IF(Table2[[#This Row],[Currency]]=$O$2,$P$2,HLOOKUP(Table2[[#This Row],[Date]],Funds!$C$10:$GV$11,2,FALSE)))</f>
        <v/>
      </c>
      <c r="J9670" s="215" t="str">
        <f>IF(Table2[[#This Row],[Description]]="","",Table2[[#This Row],[Value]]/Table2[[#This Row],[Conversion]])</f>
        <v/>
      </c>
      <c r="K9670" s="45" t="str">
        <f>IF(Table2[[#This Row],[Description]]="","",DATE(Table2[[#This Row],[Year]],Table2[[#This Row],[Month]],1))</f>
        <v/>
      </c>
    </row>
    <row r="9671" spans="7:11" x14ac:dyDescent="0.25">
      <c r="G9671" s="1" t="str">
        <f>IF(Table2[[#This Row],[Description]]="","",VLOOKUP(Table2[[#This Row],[Description]],$Q$1:$S$101,2,FALSE))</f>
        <v/>
      </c>
      <c r="H9671" s="1" t="str">
        <f>IF(Table2[[#This Row],[Description]]="","",VLOOKUP(Table2[[#This Row],[Description]],$Q$1:$S$101,3,FALSE))</f>
        <v/>
      </c>
      <c r="I9671" s="1" t="str">
        <f>IF(Table2[[#This Row],[Description]]="","",IF(Table2[[#This Row],[Currency]]=$O$2,$P$2,HLOOKUP(Table2[[#This Row],[Date]],Funds!$C$10:$GV$11,2,FALSE)))</f>
        <v/>
      </c>
      <c r="J9671" s="215" t="str">
        <f>IF(Table2[[#This Row],[Description]]="","",Table2[[#This Row],[Value]]/Table2[[#This Row],[Conversion]])</f>
        <v/>
      </c>
      <c r="K9671" s="45" t="str">
        <f>IF(Table2[[#This Row],[Description]]="","",DATE(Table2[[#This Row],[Year]],Table2[[#This Row],[Month]],1))</f>
        <v/>
      </c>
    </row>
    <row r="9672" spans="7:11" x14ac:dyDescent="0.25">
      <c r="G9672" s="1" t="str">
        <f>IF(Table2[[#This Row],[Description]]="","",VLOOKUP(Table2[[#This Row],[Description]],$Q$1:$S$101,2,FALSE))</f>
        <v/>
      </c>
      <c r="H9672" s="1" t="str">
        <f>IF(Table2[[#This Row],[Description]]="","",VLOOKUP(Table2[[#This Row],[Description]],$Q$1:$S$101,3,FALSE))</f>
        <v/>
      </c>
      <c r="I9672" s="1" t="str">
        <f>IF(Table2[[#This Row],[Description]]="","",IF(Table2[[#This Row],[Currency]]=$O$2,$P$2,HLOOKUP(Table2[[#This Row],[Date]],Funds!$C$10:$GV$11,2,FALSE)))</f>
        <v/>
      </c>
      <c r="J9672" s="215" t="str">
        <f>IF(Table2[[#This Row],[Description]]="","",Table2[[#This Row],[Value]]/Table2[[#This Row],[Conversion]])</f>
        <v/>
      </c>
      <c r="K9672" s="45" t="str">
        <f>IF(Table2[[#This Row],[Description]]="","",DATE(Table2[[#This Row],[Year]],Table2[[#This Row],[Month]],1))</f>
        <v/>
      </c>
    </row>
    <row r="9673" spans="7:11" x14ac:dyDescent="0.25">
      <c r="G9673" s="1" t="str">
        <f>IF(Table2[[#This Row],[Description]]="","",VLOOKUP(Table2[[#This Row],[Description]],$Q$1:$S$101,2,FALSE))</f>
        <v/>
      </c>
      <c r="H9673" s="1" t="str">
        <f>IF(Table2[[#This Row],[Description]]="","",VLOOKUP(Table2[[#This Row],[Description]],$Q$1:$S$101,3,FALSE))</f>
        <v/>
      </c>
      <c r="I9673" s="1" t="str">
        <f>IF(Table2[[#This Row],[Description]]="","",IF(Table2[[#This Row],[Currency]]=$O$2,$P$2,HLOOKUP(Table2[[#This Row],[Date]],Funds!$C$10:$GV$11,2,FALSE)))</f>
        <v/>
      </c>
      <c r="J9673" s="215" t="str">
        <f>IF(Table2[[#This Row],[Description]]="","",Table2[[#This Row],[Value]]/Table2[[#This Row],[Conversion]])</f>
        <v/>
      </c>
      <c r="K9673" s="45" t="str">
        <f>IF(Table2[[#This Row],[Description]]="","",DATE(Table2[[#This Row],[Year]],Table2[[#This Row],[Month]],1))</f>
        <v/>
      </c>
    </row>
    <row r="9674" spans="7:11" x14ac:dyDescent="0.25">
      <c r="G9674" s="1" t="str">
        <f>IF(Table2[[#This Row],[Description]]="","",VLOOKUP(Table2[[#This Row],[Description]],$Q$1:$S$101,2,FALSE))</f>
        <v/>
      </c>
      <c r="H9674" s="1" t="str">
        <f>IF(Table2[[#This Row],[Description]]="","",VLOOKUP(Table2[[#This Row],[Description]],$Q$1:$S$101,3,FALSE))</f>
        <v/>
      </c>
      <c r="I9674" s="1" t="str">
        <f>IF(Table2[[#This Row],[Description]]="","",IF(Table2[[#This Row],[Currency]]=$O$2,$P$2,HLOOKUP(Table2[[#This Row],[Date]],Funds!$C$10:$GV$11,2,FALSE)))</f>
        <v/>
      </c>
      <c r="J9674" s="215" t="str">
        <f>IF(Table2[[#This Row],[Description]]="","",Table2[[#This Row],[Value]]/Table2[[#This Row],[Conversion]])</f>
        <v/>
      </c>
      <c r="K9674" s="45" t="str">
        <f>IF(Table2[[#This Row],[Description]]="","",DATE(Table2[[#This Row],[Year]],Table2[[#This Row],[Month]],1))</f>
        <v/>
      </c>
    </row>
    <row r="9675" spans="7:11" x14ac:dyDescent="0.25">
      <c r="G9675" s="1" t="str">
        <f>IF(Table2[[#This Row],[Description]]="","",VLOOKUP(Table2[[#This Row],[Description]],$Q$1:$S$101,2,FALSE))</f>
        <v/>
      </c>
      <c r="H9675" s="1" t="str">
        <f>IF(Table2[[#This Row],[Description]]="","",VLOOKUP(Table2[[#This Row],[Description]],$Q$1:$S$101,3,FALSE))</f>
        <v/>
      </c>
      <c r="I9675" s="1" t="str">
        <f>IF(Table2[[#This Row],[Description]]="","",IF(Table2[[#This Row],[Currency]]=$O$2,$P$2,HLOOKUP(Table2[[#This Row],[Date]],Funds!$C$10:$GV$11,2,FALSE)))</f>
        <v/>
      </c>
      <c r="J9675" s="215" t="str">
        <f>IF(Table2[[#This Row],[Description]]="","",Table2[[#This Row],[Value]]/Table2[[#This Row],[Conversion]])</f>
        <v/>
      </c>
      <c r="K9675" s="45" t="str">
        <f>IF(Table2[[#This Row],[Description]]="","",DATE(Table2[[#This Row],[Year]],Table2[[#This Row],[Month]],1))</f>
        <v/>
      </c>
    </row>
    <row r="9676" spans="7:11" x14ac:dyDescent="0.25">
      <c r="G9676" s="1" t="str">
        <f>IF(Table2[[#This Row],[Description]]="","",VLOOKUP(Table2[[#This Row],[Description]],$Q$1:$S$101,2,FALSE))</f>
        <v/>
      </c>
      <c r="H9676" s="1" t="str">
        <f>IF(Table2[[#This Row],[Description]]="","",VLOOKUP(Table2[[#This Row],[Description]],$Q$1:$S$101,3,FALSE))</f>
        <v/>
      </c>
      <c r="I9676" s="1" t="str">
        <f>IF(Table2[[#This Row],[Description]]="","",IF(Table2[[#This Row],[Currency]]=$O$2,$P$2,HLOOKUP(Table2[[#This Row],[Date]],Funds!$C$10:$GV$11,2,FALSE)))</f>
        <v/>
      </c>
      <c r="J9676" s="215" t="str">
        <f>IF(Table2[[#This Row],[Description]]="","",Table2[[#This Row],[Value]]/Table2[[#This Row],[Conversion]])</f>
        <v/>
      </c>
      <c r="K9676" s="45" t="str">
        <f>IF(Table2[[#This Row],[Description]]="","",DATE(Table2[[#This Row],[Year]],Table2[[#This Row],[Month]],1))</f>
        <v/>
      </c>
    </row>
    <row r="9677" spans="7:11" x14ac:dyDescent="0.25">
      <c r="G9677" s="1" t="str">
        <f>IF(Table2[[#This Row],[Description]]="","",VLOOKUP(Table2[[#This Row],[Description]],$Q$1:$S$101,2,FALSE))</f>
        <v/>
      </c>
      <c r="H9677" s="1" t="str">
        <f>IF(Table2[[#This Row],[Description]]="","",VLOOKUP(Table2[[#This Row],[Description]],$Q$1:$S$101,3,FALSE))</f>
        <v/>
      </c>
      <c r="I9677" s="1" t="str">
        <f>IF(Table2[[#This Row],[Description]]="","",IF(Table2[[#This Row],[Currency]]=$O$2,$P$2,HLOOKUP(Table2[[#This Row],[Date]],Funds!$C$10:$GV$11,2,FALSE)))</f>
        <v/>
      </c>
      <c r="J9677" s="215" t="str">
        <f>IF(Table2[[#This Row],[Description]]="","",Table2[[#This Row],[Value]]/Table2[[#This Row],[Conversion]])</f>
        <v/>
      </c>
      <c r="K9677" s="45" t="str">
        <f>IF(Table2[[#This Row],[Description]]="","",DATE(Table2[[#This Row],[Year]],Table2[[#This Row],[Month]],1))</f>
        <v/>
      </c>
    </row>
    <row r="9678" spans="7:11" x14ac:dyDescent="0.25">
      <c r="G9678" s="1" t="str">
        <f>IF(Table2[[#This Row],[Description]]="","",VLOOKUP(Table2[[#This Row],[Description]],$Q$1:$S$101,2,FALSE))</f>
        <v/>
      </c>
      <c r="H9678" s="1" t="str">
        <f>IF(Table2[[#This Row],[Description]]="","",VLOOKUP(Table2[[#This Row],[Description]],$Q$1:$S$101,3,FALSE))</f>
        <v/>
      </c>
      <c r="I9678" s="1" t="str">
        <f>IF(Table2[[#This Row],[Description]]="","",IF(Table2[[#This Row],[Currency]]=$O$2,$P$2,HLOOKUP(Table2[[#This Row],[Date]],Funds!$C$10:$GV$11,2,FALSE)))</f>
        <v/>
      </c>
      <c r="J9678" s="215" t="str">
        <f>IF(Table2[[#This Row],[Description]]="","",Table2[[#This Row],[Value]]/Table2[[#This Row],[Conversion]])</f>
        <v/>
      </c>
      <c r="K9678" s="45" t="str">
        <f>IF(Table2[[#This Row],[Description]]="","",DATE(Table2[[#This Row],[Year]],Table2[[#This Row],[Month]],1))</f>
        <v/>
      </c>
    </row>
    <row r="9679" spans="7:11" x14ac:dyDescent="0.25">
      <c r="G9679" s="1" t="str">
        <f>IF(Table2[[#This Row],[Description]]="","",VLOOKUP(Table2[[#This Row],[Description]],$Q$1:$S$101,2,FALSE))</f>
        <v/>
      </c>
      <c r="H9679" s="1" t="str">
        <f>IF(Table2[[#This Row],[Description]]="","",VLOOKUP(Table2[[#This Row],[Description]],$Q$1:$S$101,3,FALSE))</f>
        <v/>
      </c>
      <c r="I9679" s="1" t="str">
        <f>IF(Table2[[#This Row],[Description]]="","",IF(Table2[[#This Row],[Currency]]=$O$2,$P$2,HLOOKUP(Table2[[#This Row],[Date]],Funds!$C$10:$GV$11,2,FALSE)))</f>
        <v/>
      </c>
      <c r="J9679" s="215" t="str">
        <f>IF(Table2[[#This Row],[Description]]="","",Table2[[#This Row],[Value]]/Table2[[#This Row],[Conversion]])</f>
        <v/>
      </c>
      <c r="K9679" s="45" t="str">
        <f>IF(Table2[[#This Row],[Description]]="","",DATE(Table2[[#This Row],[Year]],Table2[[#This Row],[Month]],1))</f>
        <v/>
      </c>
    </row>
    <row r="9680" spans="7:11" x14ac:dyDescent="0.25">
      <c r="G9680" s="1" t="str">
        <f>IF(Table2[[#This Row],[Description]]="","",VLOOKUP(Table2[[#This Row],[Description]],$Q$1:$S$101,2,FALSE))</f>
        <v/>
      </c>
      <c r="H9680" s="1" t="str">
        <f>IF(Table2[[#This Row],[Description]]="","",VLOOKUP(Table2[[#This Row],[Description]],$Q$1:$S$101,3,FALSE))</f>
        <v/>
      </c>
      <c r="I9680" s="1" t="str">
        <f>IF(Table2[[#This Row],[Description]]="","",IF(Table2[[#This Row],[Currency]]=$O$2,$P$2,HLOOKUP(Table2[[#This Row],[Date]],Funds!$C$10:$GV$11,2,FALSE)))</f>
        <v/>
      </c>
      <c r="J9680" s="215" t="str">
        <f>IF(Table2[[#This Row],[Description]]="","",Table2[[#This Row],[Value]]/Table2[[#This Row],[Conversion]])</f>
        <v/>
      </c>
      <c r="K9680" s="45" t="str">
        <f>IF(Table2[[#This Row],[Description]]="","",DATE(Table2[[#This Row],[Year]],Table2[[#This Row],[Month]],1))</f>
        <v/>
      </c>
    </row>
    <row r="9681" spans="7:11" x14ac:dyDescent="0.25">
      <c r="G9681" s="1" t="str">
        <f>IF(Table2[[#This Row],[Description]]="","",VLOOKUP(Table2[[#This Row],[Description]],$Q$1:$S$101,2,FALSE))</f>
        <v/>
      </c>
      <c r="H9681" s="1" t="str">
        <f>IF(Table2[[#This Row],[Description]]="","",VLOOKUP(Table2[[#This Row],[Description]],$Q$1:$S$101,3,FALSE))</f>
        <v/>
      </c>
      <c r="I9681" s="1" t="str">
        <f>IF(Table2[[#This Row],[Description]]="","",IF(Table2[[#This Row],[Currency]]=$O$2,$P$2,HLOOKUP(Table2[[#This Row],[Date]],Funds!$C$10:$GV$11,2,FALSE)))</f>
        <v/>
      </c>
      <c r="J9681" s="215" t="str">
        <f>IF(Table2[[#This Row],[Description]]="","",Table2[[#This Row],[Value]]/Table2[[#This Row],[Conversion]])</f>
        <v/>
      </c>
      <c r="K9681" s="45" t="str">
        <f>IF(Table2[[#This Row],[Description]]="","",DATE(Table2[[#This Row],[Year]],Table2[[#This Row],[Month]],1))</f>
        <v/>
      </c>
    </row>
    <row r="9682" spans="7:11" x14ac:dyDescent="0.25">
      <c r="G9682" s="1" t="str">
        <f>IF(Table2[[#This Row],[Description]]="","",VLOOKUP(Table2[[#This Row],[Description]],$Q$1:$S$101,2,FALSE))</f>
        <v/>
      </c>
      <c r="H9682" s="1" t="str">
        <f>IF(Table2[[#This Row],[Description]]="","",VLOOKUP(Table2[[#This Row],[Description]],$Q$1:$S$101,3,FALSE))</f>
        <v/>
      </c>
      <c r="I9682" s="1" t="str">
        <f>IF(Table2[[#This Row],[Description]]="","",IF(Table2[[#This Row],[Currency]]=$O$2,$P$2,HLOOKUP(Table2[[#This Row],[Date]],Funds!$C$10:$GV$11,2,FALSE)))</f>
        <v/>
      </c>
      <c r="J9682" s="215" t="str">
        <f>IF(Table2[[#This Row],[Description]]="","",Table2[[#This Row],[Value]]/Table2[[#This Row],[Conversion]])</f>
        <v/>
      </c>
      <c r="K9682" s="45" t="str">
        <f>IF(Table2[[#This Row],[Description]]="","",DATE(Table2[[#This Row],[Year]],Table2[[#This Row],[Month]],1))</f>
        <v/>
      </c>
    </row>
    <row r="9683" spans="7:11" x14ac:dyDescent="0.25">
      <c r="G9683" s="1" t="str">
        <f>IF(Table2[[#This Row],[Description]]="","",VLOOKUP(Table2[[#This Row],[Description]],$Q$1:$S$101,2,FALSE))</f>
        <v/>
      </c>
      <c r="H9683" s="1" t="str">
        <f>IF(Table2[[#This Row],[Description]]="","",VLOOKUP(Table2[[#This Row],[Description]],$Q$1:$S$101,3,FALSE))</f>
        <v/>
      </c>
      <c r="I9683" s="1" t="str">
        <f>IF(Table2[[#This Row],[Description]]="","",IF(Table2[[#This Row],[Currency]]=$O$2,$P$2,HLOOKUP(Table2[[#This Row],[Date]],Funds!$C$10:$GV$11,2,FALSE)))</f>
        <v/>
      </c>
      <c r="J9683" s="215" t="str">
        <f>IF(Table2[[#This Row],[Description]]="","",Table2[[#This Row],[Value]]/Table2[[#This Row],[Conversion]])</f>
        <v/>
      </c>
      <c r="K9683" s="45" t="str">
        <f>IF(Table2[[#This Row],[Description]]="","",DATE(Table2[[#This Row],[Year]],Table2[[#This Row],[Month]],1))</f>
        <v/>
      </c>
    </row>
    <row r="9684" spans="7:11" x14ac:dyDescent="0.25">
      <c r="G9684" s="1" t="str">
        <f>IF(Table2[[#This Row],[Description]]="","",VLOOKUP(Table2[[#This Row],[Description]],$Q$1:$S$101,2,FALSE))</f>
        <v/>
      </c>
      <c r="H9684" s="1" t="str">
        <f>IF(Table2[[#This Row],[Description]]="","",VLOOKUP(Table2[[#This Row],[Description]],$Q$1:$S$101,3,FALSE))</f>
        <v/>
      </c>
      <c r="I9684" s="1" t="str">
        <f>IF(Table2[[#This Row],[Description]]="","",IF(Table2[[#This Row],[Currency]]=$O$2,$P$2,HLOOKUP(Table2[[#This Row],[Date]],Funds!$C$10:$GV$11,2,FALSE)))</f>
        <v/>
      </c>
      <c r="J9684" s="215" t="str">
        <f>IF(Table2[[#This Row],[Description]]="","",Table2[[#This Row],[Value]]/Table2[[#This Row],[Conversion]])</f>
        <v/>
      </c>
      <c r="K9684" s="45" t="str">
        <f>IF(Table2[[#This Row],[Description]]="","",DATE(Table2[[#This Row],[Year]],Table2[[#This Row],[Month]],1))</f>
        <v/>
      </c>
    </row>
    <row r="9685" spans="7:11" x14ac:dyDescent="0.25">
      <c r="G9685" s="1" t="str">
        <f>IF(Table2[[#This Row],[Description]]="","",VLOOKUP(Table2[[#This Row],[Description]],$Q$1:$S$101,2,FALSE))</f>
        <v/>
      </c>
      <c r="H9685" s="1" t="str">
        <f>IF(Table2[[#This Row],[Description]]="","",VLOOKUP(Table2[[#This Row],[Description]],$Q$1:$S$101,3,FALSE))</f>
        <v/>
      </c>
      <c r="I9685" s="1" t="str">
        <f>IF(Table2[[#This Row],[Description]]="","",IF(Table2[[#This Row],[Currency]]=$O$2,$P$2,HLOOKUP(Table2[[#This Row],[Date]],Funds!$C$10:$GV$11,2,FALSE)))</f>
        <v/>
      </c>
      <c r="J9685" s="215" t="str">
        <f>IF(Table2[[#This Row],[Description]]="","",Table2[[#This Row],[Value]]/Table2[[#This Row],[Conversion]])</f>
        <v/>
      </c>
      <c r="K9685" s="45" t="str">
        <f>IF(Table2[[#This Row],[Description]]="","",DATE(Table2[[#This Row],[Year]],Table2[[#This Row],[Month]],1))</f>
        <v/>
      </c>
    </row>
    <row r="9686" spans="7:11" x14ac:dyDescent="0.25">
      <c r="G9686" s="1" t="str">
        <f>IF(Table2[[#This Row],[Description]]="","",VLOOKUP(Table2[[#This Row],[Description]],$Q$1:$S$101,2,FALSE))</f>
        <v/>
      </c>
      <c r="H9686" s="1" t="str">
        <f>IF(Table2[[#This Row],[Description]]="","",VLOOKUP(Table2[[#This Row],[Description]],$Q$1:$S$101,3,FALSE))</f>
        <v/>
      </c>
      <c r="I9686" s="1" t="str">
        <f>IF(Table2[[#This Row],[Description]]="","",IF(Table2[[#This Row],[Currency]]=$O$2,$P$2,HLOOKUP(Table2[[#This Row],[Date]],Funds!$C$10:$GV$11,2,FALSE)))</f>
        <v/>
      </c>
      <c r="J9686" s="215" t="str">
        <f>IF(Table2[[#This Row],[Description]]="","",Table2[[#This Row],[Value]]/Table2[[#This Row],[Conversion]])</f>
        <v/>
      </c>
      <c r="K9686" s="45" t="str">
        <f>IF(Table2[[#This Row],[Description]]="","",DATE(Table2[[#This Row],[Year]],Table2[[#This Row],[Month]],1))</f>
        <v/>
      </c>
    </row>
    <row r="9687" spans="7:11" x14ac:dyDescent="0.25">
      <c r="G9687" s="1" t="str">
        <f>IF(Table2[[#This Row],[Description]]="","",VLOOKUP(Table2[[#This Row],[Description]],$Q$1:$S$101,2,FALSE))</f>
        <v/>
      </c>
      <c r="H9687" s="1" t="str">
        <f>IF(Table2[[#This Row],[Description]]="","",VLOOKUP(Table2[[#This Row],[Description]],$Q$1:$S$101,3,FALSE))</f>
        <v/>
      </c>
      <c r="I9687" s="1" t="str">
        <f>IF(Table2[[#This Row],[Description]]="","",IF(Table2[[#This Row],[Currency]]=$O$2,$P$2,HLOOKUP(Table2[[#This Row],[Date]],Funds!$C$10:$GV$11,2,FALSE)))</f>
        <v/>
      </c>
      <c r="J9687" s="215" t="str">
        <f>IF(Table2[[#This Row],[Description]]="","",Table2[[#This Row],[Value]]/Table2[[#This Row],[Conversion]])</f>
        <v/>
      </c>
      <c r="K9687" s="45" t="str">
        <f>IF(Table2[[#This Row],[Description]]="","",DATE(Table2[[#This Row],[Year]],Table2[[#This Row],[Month]],1))</f>
        <v/>
      </c>
    </row>
    <row r="9688" spans="7:11" x14ac:dyDescent="0.25">
      <c r="G9688" s="1" t="str">
        <f>IF(Table2[[#This Row],[Description]]="","",VLOOKUP(Table2[[#This Row],[Description]],$Q$1:$S$101,2,FALSE))</f>
        <v/>
      </c>
      <c r="H9688" s="1" t="str">
        <f>IF(Table2[[#This Row],[Description]]="","",VLOOKUP(Table2[[#This Row],[Description]],$Q$1:$S$101,3,FALSE))</f>
        <v/>
      </c>
      <c r="I9688" s="1" t="str">
        <f>IF(Table2[[#This Row],[Description]]="","",IF(Table2[[#This Row],[Currency]]=$O$2,$P$2,HLOOKUP(Table2[[#This Row],[Date]],Funds!$C$10:$GV$11,2,FALSE)))</f>
        <v/>
      </c>
      <c r="J9688" s="215" t="str">
        <f>IF(Table2[[#This Row],[Description]]="","",Table2[[#This Row],[Value]]/Table2[[#This Row],[Conversion]])</f>
        <v/>
      </c>
      <c r="K9688" s="45" t="str">
        <f>IF(Table2[[#This Row],[Description]]="","",DATE(Table2[[#This Row],[Year]],Table2[[#This Row],[Month]],1))</f>
        <v/>
      </c>
    </row>
    <row r="9689" spans="7:11" x14ac:dyDescent="0.25">
      <c r="G9689" s="1" t="str">
        <f>IF(Table2[[#This Row],[Description]]="","",VLOOKUP(Table2[[#This Row],[Description]],$Q$1:$S$101,2,FALSE))</f>
        <v/>
      </c>
      <c r="H9689" s="1" t="str">
        <f>IF(Table2[[#This Row],[Description]]="","",VLOOKUP(Table2[[#This Row],[Description]],$Q$1:$S$101,3,FALSE))</f>
        <v/>
      </c>
      <c r="I9689" s="1" t="str">
        <f>IF(Table2[[#This Row],[Description]]="","",IF(Table2[[#This Row],[Currency]]=$O$2,$P$2,HLOOKUP(Table2[[#This Row],[Date]],Funds!$C$10:$GV$11,2,FALSE)))</f>
        <v/>
      </c>
      <c r="J9689" s="215" t="str">
        <f>IF(Table2[[#This Row],[Description]]="","",Table2[[#This Row],[Value]]/Table2[[#This Row],[Conversion]])</f>
        <v/>
      </c>
      <c r="K9689" s="45" t="str">
        <f>IF(Table2[[#This Row],[Description]]="","",DATE(Table2[[#This Row],[Year]],Table2[[#This Row],[Month]],1))</f>
        <v/>
      </c>
    </row>
    <row r="9690" spans="7:11" x14ac:dyDescent="0.25">
      <c r="G9690" s="1" t="str">
        <f>IF(Table2[[#This Row],[Description]]="","",VLOOKUP(Table2[[#This Row],[Description]],$Q$1:$S$101,2,FALSE))</f>
        <v/>
      </c>
      <c r="H9690" s="1" t="str">
        <f>IF(Table2[[#This Row],[Description]]="","",VLOOKUP(Table2[[#This Row],[Description]],$Q$1:$S$101,3,FALSE))</f>
        <v/>
      </c>
      <c r="I9690" s="1" t="str">
        <f>IF(Table2[[#This Row],[Description]]="","",IF(Table2[[#This Row],[Currency]]=$O$2,$P$2,HLOOKUP(Table2[[#This Row],[Date]],Funds!$C$10:$GV$11,2,FALSE)))</f>
        <v/>
      </c>
      <c r="J9690" s="215" t="str">
        <f>IF(Table2[[#This Row],[Description]]="","",Table2[[#This Row],[Value]]/Table2[[#This Row],[Conversion]])</f>
        <v/>
      </c>
      <c r="K9690" s="45" t="str">
        <f>IF(Table2[[#This Row],[Description]]="","",DATE(Table2[[#This Row],[Year]],Table2[[#This Row],[Month]],1))</f>
        <v/>
      </c>
    </row>
    <row r="9691" spans="7:11" x14ac:dyDescent="0.25">
      <c r="G9691" s="1" t="str">
        <f>IF(Table2[[#This Row],[Description]]="","",VLOOKUP(Table2[[#This Row],[Description]],$Q$1:$S$101,2,FALSE))</f>
        <v/>
      </c>
      <c r="H9691" s="1" t="str">
        <f>IF(Table2[[#This Row],[Description]]="","",VLOOKUP(Table2[[#This Row],[Description]],$Q$1:$S$101,3,FALSE))</f>
        <v/>
      </c>
      <c r="I9691" s="1" t="str">
        <f>IF(Table2[[#This Row],[Description]]="","",IF(Table2[[#This Row],[Currency]]=$O$2,$P$2,HLOOKUP(Table2[[#This Row],[Date]],Funds!$C$10:$GV$11,2,FALSE)))</f>
        <v/>
      </c>
      <c r="J9691" s="215" t="str">
        <f>IF(Table2[[#This Row],[Description]]="","",Table2[[#This Row],[Value]]/Table2[[#This Row],[Conversion]])</f>
        <v/>
      </c>
      <c r="K9691" s="45" t="str">
        <f>IF(Table2[[#This Row],[Description]]="","",DATE(Table2[[#This Row],[Year]],Table2[[#This Row],[Month]],1))</f>
        <v/>
      </c>
    </row>
    <row r="9692" spans="7:11" x14ac:dyDescent="0.25">
      <c r="G9692" s="1" t="str">
        <f>IF(Table2[[#This Row],[Description]]="","",VLOOKUP(Table2[[#This Row],[Description]],$Q$1:$S$101,2,FALSE))</f>
        <v/>
      </c>
      <c r="H9692" s="1" t="str">
        <f>IF(Table2[[#This Row],[Description]]="","",VLOOKUP(Table2[[#This Row],[Description]],$Q$1:$S$101,3,FALSE))</f>
        <v/>
      </c>
      <c r="I9692" s="1" t="str">
        <f>IF(Table2[[#This Row],[Description]]="","",IF(Table2[[#This Row],[Currency]]=$O$2,$P$2,HLOOKUP(Table2[[#This Row],[Date]],Funds!$C$10:$GV$11,2,FALSE)))</f>
        <v/>
      </c>
      <c r="J9692" s="215" t="str">
        <f>IF(Table2[[#This Row],[Description]]="","",Table2[[#This Row],[Value]]/Table2[[#This Row],[Conversion]])</f>
        <v/>
      </c>
      <c r="K9692" s="45" t="str">
        <f>IF(Table2[[#This Row],[Description]]="","",DATE(Table2[[#This Row],[Year]],Table2[[#This Row],[Month]],1))</f>
        <v/>
      </c>
    </row>
    <row r="9693" spans="7:11" x14ac:dyDescent="0.25">
      <c r="G9693" s="1" t="str">
        <f>IF(Table2[[#This Row],[Description]]="","",VLOOKUP(Table2[[#This Row],[Description]],$Q$1:$S$101,2,FALSE))</f>
        <v/>
      </c>
      <c r="H9693" s="1" t="str">
        <f>IF(Table2[[#This Row],[Description]]="","",VLOOKUP(Table2[[#This Row],[Description]],$Q$1:$S$101,3,FALSE))</f>
        <v/>
      </c>
      <c r="I9693" s="1" t="str">
        <f>IF(Table2[[#This Row],[Description]]="","",IF(Table2[[#This Row],[Currency]]=$O$2,$P$2,HLOOKUP(Table2[[#This Row],[Date]],Funds!$C$10:$GV$11,2,FALSE)))</f>
        <v/>
      </c>
      <c r="J9693" s="215" t="str">
        <f>IF(Table2[[#This Row],[Description]]="","",Table2[[#This Row],[Value]]/Table2[[#This Row],[Conversion]])</f>
        <v/>
      </c>
      <c r="K9693" s="45" t="str">
        <f>IF(Table2[[#This Row],[Description]]="","",DATE(Table2[[#This Row],[Year]],Table2[[#This Row],[Month]],1))</f>
        <v/>
      </c>
    </row>
    <row r="9694" spans="7:11" x14ac:dyDescent="0.25">
      <c r="G9694" s="1" t="str">
        <f>IF(Table2[[#This Row],[Description]]="","",VLOOKUP(Table2[[#This Row],[Description]],$Q$1:$S$101,2,FALSE))</f>
        <v/>
      </c>
      <c r="H9694" s="1" t="str">
        <f>IF(Table2[[#This Row],[Description]]="","",VLOOKUP(Table2[[#This Row],[Description]],$Q$1:$S$101,3,FALSE))</f>
        <v/>
      </c>
      <c r="I9694" s="1" t="str">
        <f>IF(Table2[[#This Row],[Description]]="","",IF(Table2[[#This Row],[Currency]]=$O$2,$P$2,HLOOKUP(Table2[[#This Row],[Date]],Funds!$C$10:$GV$11,2,FALSE)))</f>
        <v/>
      </c>
      <c r="J9694" s="215" t="str">
        <f>IF(Table2[[#This Row],[Description]]="","",Table2[[#This Row],[Value]]/Table2[[#This Row],[Conversion]])</f>
        <v/>
      </c>
      <c r="K9694" s="45" t="str">
        <f>IF(Table2[[#This Row],[Description]]="","",DATE(Table2[[#This Row],[Year]],Table2[[#This Row],[Month]],1))</f>
        <v/>
      </c>
    </row>
    <row r="9695" spans="7:11" x14ac:dyDescent="0.25">
      <c r="G9695" s="1" t="str">
        <f>IF(Table2[[#This Row],[Description]]="","",VLOOKUP(Table2[[#This Row],[Description]],$Q$1:$S$101,2,FALSE))</f>
        <v/>
      </c>
      <c r="H9695" s="1" t="str">
        <f>IF(Table2[[#This Row],[Description]]="","",VLOOKUP(Table2[[#This Row],[Description]],$Q$1:$S$101,3,FALSE))</f>
        <v/>
      </c>
      <c r="I9695" s="1" t="str">
        <f>IF(Table2[[#This Row],[Description]]="","",IF(Table2[[#This Row],[Currency]]=$O$2,$P$2,HLOOKUP(Table2[[#This Row],[Date]],Funds!$C$10:$GV$11,2,FALSE)))</f>
        <v/>
      </c>
      <c r="J9695" s="215" t="str">
        <f>IF(Table2[[#This Row],[Description]]="","",Table2[[#This Row],[Value]]/Table2[[#This Row],[Conversion]])</f>
        <v/>
      </c>
      <c r="K9695" s="45" t="str">
        <f>IF(Table2[[#This Row],[Description]]="","",DATE(Table2[[#This Row],[Year]],Table2[[#This Row],[Month]],1))</f>
        <v/>
      </c>
    </row>
    <row r="9696" spans="7:11" x14ac:dyDescent="0.25">
      <c r="G9696" s="1" t="str">
        <f>IF(Table2[[#This Row],[Description]]="","",VLOOKUP(Table2[[#This Row],[Description]],$Q$1:$S$101,2,FALSE))</f>
        <v/>
      </c>
      <c r="H9696" s="1" t="str">
        <f>IF(Table2[[#This Row],[Description]]="","",VLOOKUP(Table2[[#This Row],[Description]],$Q$1:$S$101,3,FALSE))</f>
        <v/>
      </c>
      <c r="I9696" s="1" t="str">
        <f>IF(Table2[[#This Row],[Description]]="","",IF(Table2[[#This Row],[Currency]]=$O$2,$P$2,HLOOKUP(Table2[[#This Row],[Date]],Funds!$C$10:$GV$11,2,FALSE)))</f>
        <v/>
      </c>
      <c r="J9696" s="215" t="str">
        <f>IF(Table2[[#This Row],[Description]]="","",Table2[[#This Row],[Value]]/Table2[[#This Row],[Conversion]])</f>
        <v/>
      </c>
      <c r="K9696" s="45" t="str">
        <f>IF(Table2[[#This Row],[Description]]="","",DATE(Table2[[#This Row],[Year]],Table2[[#This Row],[Month]],1))</f>
        <v/>
      </c>
    </row>
    <row r="9697" spans="7:11" x14ac:dyDescent="0.25">
      <c r="G9697" s="1" t="str">
        <f>IF(Table2[[#This Row],[Description]]="","",VLOOKUP(Table2[[#This Row],[Description]],$Q$1:$S$101,2,FALSE))</f>
        <v/>
      </c>
      <c r="H9697" s="1" t="str">
        <f>IF(Table2[[#This Row],[Description]]="","",VLOOKUP(Table2[[#This Row],[Description]],$Q$1:$S$101,3,FALSE))</f>
        <v/>
      </c>
      <c r="I9697" s="1" t="str">
        <f>IF(Table2[[#This Row],[Description]]="","",IF(Table2[[#This Row],[Currency]]=$O$2,$P$2,HLOOKUP(Table2[[#This Row],[Date]],Funds!$C$10:$GV$11,2,FALSE)))</f>
        <v/>
      </c>
      <c r="J9697" s="215" t="str">
        <f>IF(Table2[[#This Row],[Description]]="","",Table2[[#This Row],[Value]]/Table2[[#This Row],[Conversion]])</f>
        <v/>
      </c>
      <c r="K9697" s="45" t="str">
        <f>IF(Table2[[#This Row],[Description]]="","",DATE(Table2[[#This Row],[Year]],Table2[[#This Row],[Month]],1))</f>
        <v/>
      </c>
    </row>
    <row r="9698" spans="7:11" x14ac:dyDescent="0.25">
      <c r="G9698" s="1" t="str">
        <f>IF(Table2[[#This Row],[Description]]="","",VLOOKUP(Table2[[#This Row],[Description]],$Q$1:$S$101,2,FALSE))</f>
        <v/>
      </c>
      <c r="H9698" s="1" t="str">
        <f>IF(Table2[[#This Row],[Description]]="","",VLOOKUP(Table2[[#This Row],[Description]],$Q$1:$S$101,3,FALSE))</f>
        <v/>
      </c>
      <c r="I9698" s="1" t="str">
        <f>IF(Table2[[#This Row],[Description]]="","",IF(Table2[[#This Row],[Currency]]=$O$2,$P$2,HLOOKUP(Table2[[#This Row],[Date]],Funds!$C$10:$GV$11,2,FALSE)))</f>
        <v/>
      </c>
      <c r="J9698" s="215" t="str">
        <f>IF(Table2[[#This Row],[Description]]="","",Table2[[#This Row],[Value]]/Table2[[#This Row],[Conversion]])</f>
        <v/>
      </c>
      <c r="K9698" s="45" t="str">
        <f>IF(Table2[[#This Row],[Description]]="","",DATE(Table2[[#This Row],[Year]],Table2[[#This Row],[Month]],1))</f>
        <v/>
      </c>
    </row>
    <row r="9699" spans="7:11" x14ac:dyDescent="0.25">
      <c r="G9699" s="1" t="str">
        <f>IF(Table2[[#This Row],[Description]]="","",VLOOKUP(Table2[[#This Row],[Description]],$Q$1:$S$101,2,FALSE))</f>
        <v/>
      </c>
      <c r="H9699" s="1" t="str">
        <f>IF(Table2[[#This Row],[Description]]="","",VLOOKUP(Table2[[#This Row],[Description]],$Q$1:$S$101,3,FALSE))</f>
        <v/>
      </c>
      <c r="I9699" s="1" t="str">
        <f>IF(Table2[[#This Row],[Description]]="","",IF(Table2[[#This Row],[Currency]]=$O$2,$P$2,HLOOKUP(Table2[[#This Row],[Date]],Funds!$C$10:$GV$11,2,FALSE)))</f>
        <v/>
      </c>
      <c r="J9699" s="215" t="str">
        <f>IF(Table2[[#This Row],[Description]]="","",Table2[[#This Row],[Value]]/Table2[[#This Row],[Conversion]])</f>
        <v/>
      </c>
      <c r="K9699" s="45" t="str">
        <f>IF(Table2[[#This Row],[Description]]="","",DATE(Table2[[#This Row],[Year]],Table2[[#This Row],[Month]],1))</f>
        <v/>
      </c>
    </row>
    <row r="9700" spans="7:11" x14ac:dyDescent="0.25">
      <c r="G9700" s="1" t="str">
        <f>IF(Table2[[#This Row],[Description]]="","",VLOOKUP(Table2[[#This Row],[Description]],$Q$1:$S$101,2,FALSE))</f>
        <v/>
      </c>
      <c r="H9700" s="1" t="str">
        <f>IF(Table2[[#This Row],[Description]]="","",VLOOKUP(Table2[[#This Row],[Description]],$Q$1:$S$101,3,FALSE))</f>
        <v/>
      </c>
      <c r="I9700" s="1" t="str">
        <f>IF(Table2[[#This Row],[Description]]="","",IF(Table2[[#This Row],[Currency]]=$O$2,$P$2,HLOOKUP(Table2[[#This Row],[Date]],Funds!$C$10:$GV$11,2,FALSE)))</f>
        <v/>
      </c>
      <c r="J9700" s="215" t="str">
        <f>IF(Table2[[#This Row],[Description]]="","",Table2[[#This Row],[Value]]/Table2[[#This Row],[Conversion]])</f>
        <v/>
      </c>
      <c r="K9700" s="45" t="str">
        <f>IF(Table2[[#This Row],[Description]]="","",DATE(Table2[[#This Row],[Year]],Table2[[#This Row],[Month]],1))</f>
        <v/>
      </c>
    </row>
    <row r="9701" spans="7:11" x14ac:dyDescent="0.25">
      <c r="G9701" s="1" t="str">
        <f>IF(Table2[[#This Row],[Description]]="","",VLOOKUP(Table2[[#This Row],[Description]],$Q$1:$S$101,2,FALSE))</f>
        <v/>
      </c>
      <c r="H9701" s="1" t="str">
        <f>IF(Table2[[#This Row],[Description]]="","",VLOOKUP(Table2[[#This Row],[Description]],$Q$1:$S$101,3,FALSE))</f>
        <v/>
      </c>
      <c r="I9701" s="1" t="str">
        <f>IF(Table2[[#This Row],[Description]]="","",IF(Table2[[#This Row],[Currency]]=$O$2,$P$2,HLOOKUP(Table2[[#This Row],[Date]],Funds!$C$10:$GV$11,2,FALSE)))</f>
        <v/>
      </c>
      <c r="J9701" s="215" t="str">
        <f>IF(Table2[[#This Row],[Description]]="","",Table2[[#This Row],[Value]]/Table2[[#This Row],[Conversion]])</f>
        <v/>
      </c>
      <c r="K9701" s="45" t="str">
        <f>IF(Table2[[#This Row],[Description]]="","",DATE(Table2[[#This Row],[Year]],Table2[[#This Row],[Month]],1))</f>
        <v/>
      </c>
    </row>
    <row r="9702" spans="7:11" x14ac:dyDescent="0.25">
      <c r="G9702" s="1" t="str">
        <f>IF(Table2[[#This Row],[Description]]="","",VLOOKUP(Table2[[#This Row],[Description]],$Q$1:$S$101,2,FALSE))</f>
        <v/>
      </c>
      <c r="H9702" s="1" t="str">
        <f>IF(Table2[[#This Row],[Description]]="","",VLOOKUP(Table2[[#This Row],[Description]],$Q$1:$S$101,3,FALSE))</f>
        <v/>
      </c>
      <c r="I9702" s="1" t="str">
        <f>IF(Table2[[#This Row],[Description]]="","",IF(Table2[[#This Row],[Currency]]=$O$2,$P$2,HLOOKUP(Table2[[#This Row],[Date]],Funds!$C$10:$GV$11,2,FALSE)))</f>
        <v/>
      </c>
      <c r="J9702" s="215" t="str">
        <f>IF(Table2[[#This Row],[Description]]="","",Table2[[#This Row],[Value]]/Table2[[#This Row],[Conversion]])</f>
        <v/>
      </c>
      <c r="K9702" s="45" t="str">
        <f>IF(Table2[[#This Row],[Description]]="","",DATE(Table2[[#This Row],[Year]],Table2[[#This Row],[Month]],1))</f>
        <v/>
      </c>
    </row>
    <row r="9703" spans="7:11" x14ac:dyDescent="0.25">
      <c r="G9703" s="1" t="str">
        <f>IF(Table2[[#This Row],[Description]]="","",VLOOKUP(Table2[[#This Row],[Description]],$Q$1:$S$101,2,FALSE))</f>
        <v/>
      </c>
      <c r="H9703" s="1" t="str">
        <f>IF(Table2[[#This Row],[Description]]="","",VLOOKUP(Table2[[#This Row],[Description]],$Q$1:$S$101,3,FALSE))</f>
        <v/>
      </c>
      <c r="I9703" s="1" t="str">
        <f>IF(Table2[[#This Row],[Description]]="","",IF(Table2[[#This Row],[Currency]]=$O$2,$P$2,HLOOKUP(Table2[[#This Row],[Date]],Funds!$C$10:$GV$11,2,FALSE)))</f>
        <v/>
      </c>
      <c r="J9703" s="215" t="str">
        <f>IF(Table2[[#This Row],[Description]]="","",Table2[[#This Row],[Value]]/Table2[[#This Row],[Conversion]])</f>
        <v/>
      </c>
      <c r="K9703" s="45" t="str">
        <f>IF(Table2[[#This Row],[Description]]="","",DATE(Table2[[#This Row],[Year]],Table2[[#This Row],[Month]],1))</f>
        <v/>
      </c>
    </row>
    <row r="9704" spans="7:11" x14ac:dyDescent="0.25">
      <c r="G9704" s="1" t="str">
        <f>IF(Table2[[#This Row],[Description]]="","",VLOOKUP(Table2[[#This Row],[Description]],$Q$1:$S$101,2,FALSE))</f>
        <v/>
      </c>
      <c r="H9704" s="1" t="str">
        <f>IF(Table2[[#This Row],[Description]]="","",VLOOKUP(Table2[[#This Row],[Description]],$Q$1:$S$101,3,FALSE))</f>
        <v/>
      </c>
      <c r="I9704" s="1" t="str">
        <f>IF(Table2[[#This Row],[Description]]="","",IF(Table2[[#This Row],[Currency]]=$O$2,$P$2,HLOOKUP(Table2[[#This Row],[Date]],Funds!$C$10:$GV$11,2,FALSE)))</f>
        <v/>
      </c>
      <c r="J9704" s="215" t="str">
        <f>IF(Table2[[#This Row],[Description]]="","",Table2[[#This Row],[Value]]/Table2[[#This Row],[Conversion]])</f>
        <v/>
      </c>
      <c r="K9704" s="45" t="str">
        <f>IF(Table2[[#This Row],[Description]]="","",DATE(Table2[[#This Row],[Year]],Table2[[#This Row],[Month]],1))</f>
        <v/>
      </c>
    </row>
    <row r="9705" spans="7:11" x14ac:dyDescent="0.25">
      <c r="G9705" s="1" t="str">
        <f>IF(Table2[[#This Row],[Description]]="","",VLOOKUP(Table2[[#This Row],[Description]],$Q$1:$S$101,2,FALSE))</f>
        <v/>
      </c>
      <c r="H9705" s="1" t="str">
        <f>IF(Table2[[#This Row],[Description]]="","",VLOOKUP(Table2[[#This Row],[Description]],$Q$1:$S$101,3,FALSE))</f>
        <v/>
      </c>
      <c r="I9705" s="1" t="str">
        <f>IF(Table2[[#This Row],[Description]]="","",IF(Table2[[#This Row],[Currency]]=$O$2,$P$2,HLOOKUP(Table2[[#This Row],[Date]],Funds!$C$10:$GV$11,2,FALSE)))</f>
        <v/>
      </c>
      <c r="J9705" s="215" t="str">
        <f>IF(Table2[[#This Row],[Description]]="","",Table2[[#This Row],[Value]]/Table2[[#This Row],[Conversion]])</f>
        <v/>
      </c>
      <c r="K9705" s="45" t="str">
        <f>IF(Table2[[#This Row],[Description]]="","",DATE(Table2[[#This Row],[Year]],Table2[[#This Row],[Month]],1))</f>
        <v/>
      </c>
    </row>
    <row r="9706" spans="7:11" x14ac:dyDescent="0.25">
      <c r="G9706" s="1" t="str">
        <f>IF(Table2[[#This Row],[Description]]="","",VLOOKUP(Table2[[#This Row],[Description]],$Q$1:$S$101,2,FALSE))</f>
        <v/>
      </c>
      <c r="H9706" s="1" t="str">
        <f>IF(Table2[[#This Row],[Description]]="","",VLOOKUP(Table2[[#This Row],[Description]],$Q$1:$S$101,3,FALSE))</f>
        <v/>
      </c>
      <c r="I9706" s="1" t="str">
        <f>IF(Table2[[#This Row],[Description]]="","",IF(Table2[[#This Row],[Currency]]=$O$2,$P$2,HLOOKUP(Table2[[#This Row],[Date]],Funds!$C$10:$GV$11,2,FALSE)))</f>
        <v/>
      </c>
      <c r="J9706" s="215" t="str">
        <f>IF(Table2[[#This Row],[Description]]="","",Table2[[#This Row],[Value]]/Table2[[#This Row],[Conversion]])</f>
        <v/>
      </c>
      <c r="K9706" s="45" t="str">
        <f>IF(Table2[[#This Row],[Description]]="","",DATE(Table2[[#This Row],[Year]],Table2[[#This Row],[Month]],1))</f>
        <v/>
      </c>
    </row>
    <row r="9707" spans="7:11" x14ac:dyDescent="0.25">
      <c r="G9707" s="1" t="str">
        <f>IF(Table2[[#This Row],[Description]]="","",VLOOKUP(Table2[[#This Row],[Description]],$Q$1:$S$101,2,FALSE))</f>
        <v/>
      </c>
      <c r="H9707" s="1" t="str">
        <f>IF(Table2[[#This Row],[Description]]="","",VLOOKUP(Table2[[#This Row],[Description]],$Q$1:$S$101,3,FALSE))</f>
        <v/>
      </c>
      <c r="I9707" s="1" t="str">
        <f>IF(Table2[[#This Row],[Description]]="","",IF(Table2[[#This Row],[Currency]]=$O$2,$P$2,HLOOKUP(Table2[[#This Row],[Date]],Funds!$C$10:$GV$11,2,FALSE)))</f>
        <v/>
      </c>
      <c r="J9707" s="215" t="str">
        <f>IF(Table2[[#This Row],[Description]]="","",Table2[[#This Row],[Value]]/Table2[[#This Row],[Conversion]])</f>
        <v/>
      </c>
      <c r="K9707" s="45" t="str">
        <f>IF(Table2[[#This Row],[Description]]="","",DATE(Table2[[#This Row],[Year]],Table2[[#This Row],[Month]],1))</f>
        <v/>
      </c>
    </row>
    <row r="9708" spans="7:11" x14ac:dyDescent="0.25">
      <c r="G9708" s="1" t="str">
        <f>IF(Table2[[#This Row],[Description]]="","",VLOOKUP(Table2[[#This Row],[Description]],$Q$1:$S$101,2,FALSE))</f>
        <v/>
      </c>
      <c r="H9708" s="1" t="str">
        <f>IF(Table2[[#This Row],[Description]]="","",VLOOKUP(Table2[[#This Row],[Description]],$Q$1:$S$101,3,FALSE))</f>
        <v/>
      </c>
      <c r="I9708" s="1" t="str">
        <f>IF(Table2[[#This Row],[Description]]="","",IF(Table2[[#This Row],[Currency]]=$O$2,$P$2,HLOOKUP(Table2[[#This Row],[Date]],Funds!$C$10:$GV$11,2,FALSE)))</f>
        <v/>
      </c>
      <c r="J9708" s="215" t="str">
        <f>IF(Table2[[#This Row],[Description]]="","",Table2[[#This Row],[Value]]/Table2[[#This Row],[Conversion]])</f>
        <v/>
      </c>
      <c r="K9708" s="45" t="str">
        <f>IF(Table2[[#This Row],[Description]]="","",DATE(Table2[[#This Row],[Year]],Table2[[#This Row],[Month]],1))</f>
        <v/>
      </c>
    </row>
    <row r="9709" spans="7:11" x14ac:dyDescent="0.25">
      <c r="G9709" s="1" t="str">
        <f>IF(Table2[[#This Row],[Description]]="","",VLOOKUP(Table2[[#This Row],[Description]],$Q$1:$S$101,2,FALSE))</f>
        <v/>
      </c>
      <c r="H9709" s="1" t="str">
        <f>IF(Table2[[#This Row],[Description]]="","",VLOOKUP(Table2[[#This Row],[Description]],$Q$1:$S$101,3,FALSE))</f>
        <v/>
      </c>
      <c r="I9709" s="1" t="str">
        <f>IF(Table2[[#This Row],[Description]]="","",IF(Table2[[#This Row],[Currency]]=$O$2,$P$2,HLOOKUP(Table2[[#This Row],[Date]],Funds!$C$10:$GV$11,2,FALSE)))</f>
        <v/>
      </c>
      <c r="J9709" s="215" t="str">
        <f>IF(Table2[[#This Row],[Description]]="","",Table2[[#This Row],[Value]]/Table2[[#This Row],[Conversion]])</f>
        <v/>
      </c>
      <c r="K9709" s="45" t="str">
        <f>IF(Table2[[#This Row],[Description]]="","",DATE(Table2[[#This Row],[Year]],Table2[[#This Row],[Month]],1))</f>
        <v/>
      </c>
    </row>
    <row r="9710" spans="7:11" x14ac:dyDescent="0.25">
      <c r="G9710" s="1" t="str">
        <f>IF(Table2[[#This Row],[Description]]="","",VLOOKUP(Table2[[#This Row],[Description]],$Q$1:$S$101,2,FALSE))</f>
        <v/>
      </c>
      <c r="H9710" s="1" t="str">
        <f>IF(Table2[[#This Row],[Description]]="","",VLOOKUP(Table2[[#This Row],[Description]],$Q$1:$S$101,3,FALSE))</f>
        <v/>
      </c>
      <c r="I9710" s="1" t="str">
        <f>IF(Table2[[#This Row],[Description]]="","",IF(Table2[[#This Row],[Currency]]=$O$2,$P$2,HLOOKUP(Table2[[#This Row],[Date]],Funds!$C$10:$GV$11,2,FALSE)))</f>
        <v/>
      </c>
      <c r="J9710" s="215" t="str">
        <f>IF(Table2[[#This Row],[Description]]="","",Table2[[#This Row],[Value]]/Table2[[#This Row],[Conversion]])</f>
        <v/>
      </c>
      <c r="K9710" s="45" t="str">
        <f>IF(Table2[[#This Row],[Description]]="","",DATE(Table2[[#This Row],[Year]],Table2[[#This Row],[Month]],1))</f>
        <v/>
      </c>
    </row>
    <row r="9711" spans="7:11" x14ac:dyDescent="0.25">
      <c r="G9711" s="1" t="str">
        <f>IF(Table2[[#This Row],[Description]]="","",VLOOKUP(Table2[[#This Row],[Description]],$Q$1:$S$101,2,FALSE))</f>
        <v/>
      </c>
      <c r="H9711" s="1" t="str">
        <f>IF(Table2[[#This Row],[Description]]="","",VLOOKUP(Table2[[#This Row],[Description]],$Q$1:$S$101,3,FALSE))</f>
        <v/>
      </c>
      <c r="I9711" s="1" t="str">
        <f>IF(Table2[[#This Row],[Description]]="","",IF(Table2[[#This Row],[Currency]]=$O$2,$P$2,HLOOKUP(Table2[[#This Row],[Date]],Funds!$C$10:$GV$11,2,FALSE)))</f>
        <v/>
      </c>
      <c r="J9711" s="215" t="str">
        <f>IF(Table2[[#This Row],[Description]]="","",Table2[[#This Row],[Value]]/Table2[[#This Row],[Conversion]])</f>
        <v/>
      </c>
      <c r="K9711" s="45" t="str">
        <f>IF(Table2[[#This Row],[Description]]="","",DATE(Table2[[#This Row],[Year]],Table2[[#This Row],[Month]],1))</f>
        <v/>
      </c>
    </row>
    <row r="9712" spans="7:11" x14ac:dyDescent="0.25">
      <c r="G9712" s="1" t="str">
        <f>IF(Table2[[#This Row],[Description]]="","",VLOOKUP(Table2[[#This Row],[Description]],$Q$1:$S$101,2,FALSE))</f>
        <v/>
      </c>
      <c r="H9712" s="1" t="str">
        <f>IF(Table2[[#This Row],[Description]]="","",VLOOKUP(Table2[[#This Row],[Description]],$Q$1:$S$101,3,FALSE))</f>
        <v/>
      </c>
      <c r="I9712" s="1" t="str">
        <f>IF(Table2[[#This Row],[Description]]="","",IF(Table2[[#This Row],[Currency]]=$O$2,$P$2,HLOOKUP(Table2[[#This Row],[Date]],Funds!$C$10:$GV$11,2,FALSE)))</f>
        <v/>
      </c>
      <c r="J9712" s="215" t="str">
        <f>IF(Table2[[#This Row],[Description]]="","",Table2[[#This Row],[Value]]/Table2[[#This Row],[Conversion]])</f>
        <v/>
      </c>
      <c r="K9712" s="45" t="str">
        <f>IF(Table2[[#This Row],[Description]]="","",DATE(Table2[[#This Row],[Year]],Table2[[#This Row],[Month]],1))</f>
        <v/>
      </c>
    </row>
    <row r="9713" spans="7:11" x14ac:dyDescent="0.25">
      <c r="G9713" s="1" t="str">
        <f>IF(Table2[[#This Row],[Description]]="","",VLOOKUP(Table2[[#This Row],[Description]],$Q$1:$S$101,2,FALSE))</f>
        <v/>
      </c>
      <c r="H9713" s="1" t="str">
        <f>IF(Table2[[#This Row],[Description]]="","",VLOOKUP(Table2[[#This Row],[Description]],$Q$1:$S$101,3,FALSE))</f>
        <v/>
      </c>
      <c r="I9713" s="1" t="str">
        <f>IF(Table2[[#This Row],[Description]]="","",IF(Table2[[#This Row],[Currency]]=$O$2,$P$2,HLOOKUP(Table2[[#This Row],[Date]],Funds!$C$10:$GV$11,2,FALSE)))</f>
        <v/>
      </c>
      <c r="J9713" s="215" t="str">
        <f>IF(Table2[[#This Row],[Description]]="","",Table2[[#This Row],[Value]]/Table2[[#This Row],[Conversion]])</f>
        <v/>
      </c>
      <c r="K9713" s="45" t="str">
        <f>IF(Table2[[#This Row],[Description]]="","",DATE(Table2[[#This Row],[Year]],Table2[[#This Row],[Month]],1))</f>
        <v/>
      </c>
    </row>
    <row r="9714" spans="7:11" x14ac:dyDescent="0.25">
      <c r="G9714" s="1" t="str">
        <f>IF(Table2[[#This Row],[Description]]="","",VLOOKUP(Table2[[#This Row],[Description]],$Q$1:$S$101,2,FALSE))</f>
        <v/>
      </c>
      <c r="H9714" s="1" t="str">
        <f>IF(Table2[[#This Row],[Description]]="","",VLOOKUP(Table2[[#This Row],[Description]],$Q$1:$S$101,3,FALSE))</f>
        <v/>
      </c>
      <c r="I9714" s="1" t="str">
        <f>IF(Table2[[#This Row],[Description]]="","",IF(Table2[[#This Row],[Currency]]=$O$2,$P$2,HLOOKUP(Table2[[#This Row],[Date]],Funds!$C$10:$GV$11,2,FALSE)))</f>
        <v/>
      </c>
      <c r="J9714" s="215" t="str">
        <f>IF(Table2[[#This Row],[Description]]="","",Table2[[#This Row],[Value]]/Table2[[#This Row],[Conversion]])</f>
        <v/>
      </c>
      <c r="K9714" s="45" t="str">
        <f>IF(Table2[[#This Row],[Description]]="","",DATE(Table2[[#This Row],[Year]],Table2[[#This Row],[Month]],1))</f>
        <v/>
      </c>
    </row>
    <row r="9715" spans="7:11" x14ac:dyDescent="0.25">
      <c r="G9715" s="1" t="str">
        <f>IF(Table2[[#This Row],[Description]]="","",VLOOKUP(Table2[[#This Row],[Description]],$Q$1:$S$101,2,FALSE))</f>
        <v/>
      </c>
      <c r="H9715" s="1" t="str">
        <f>IF(Table2[[#This Row],[Description]]="","",VLOOKUP(Table2[[#This Row],[Description]],$Q$1:$S$101,3,FALSE))</f>
        <v/>
      </c>
      <c r="I9715" s="1" t="str">
        <f>IF(Table2[[#This Row],[Description]]="","",IF(Table2[[#This Row],[Currency]]=$O$2,$P$2,HLOOKUP(Table2[[#This Row],[Date]],Funds!$C$10:$GV$11,2,FALSE)))</f>
        <v/>
      </c>
      <c r="J9715" s="215" t="str">
        <f>IF(Table2[[#This Row],[Description]]="","",Table2[[#This Row],[Value]]/Table2[[#This Row],[Conversion]])</f>
        <v/>
      </c>
      <c r="K9715" s="45" t="str">
        <f>IF(Table2[[#This Row],[Description]]="","",DATE(Table2[[#This Row],[Year]],Table2[[#This Row],[Month]],1))</f>
        <v/>
      </c>
    </row>
    <row r="9716" spans="7:11" x14ac:dyDescent="0.25">
      <c r="G9716" s="1" t="str">
        <f>IF(Table2[[#This Row],[Description]]="","",VLOOKUP(Table2[[#This Row],[Description]],$Q$1:$S$101,2,FALSE))</f>
        <v/>
      </c>
      <c r="H9716" s="1" t="str">
        <f>IF(Table2[[#This Row],[Description]]="","",VLOOKUP(Table2[[#This Row],[Description]],$Q$1:$S$101,3,FALSE))</f>
        <v/>
      </c>
      <c r="I9716" s="1" t="str">
        <f>IF(Table2[[#This Row],[Description]]="","",IF(Table2[[#This Row],[Currency]]=$O$2,$P$2,HLOOKUP(Table2[[#This Row],[Date]],Funds!$C$10:$GV$11,2,FALSE)))</f>
        <v/>
      </c>
      <c r="J9716" s="215" t="str">
        <f>IF(Table2[[#This Row],[Description]]="","",Table2[[#This Row],[Value]]/Table2[[#This Row],[Conversion]])</f>
        <v/>
      </c>
      <c r="K9716" s="45" t="str">
        <f>IF(Table2[[#This Row],[Description]]="","",DATE(Table2[[#This Row],[Year]],Table2[[#This Row],[Month]],1))</f>
        <v/>
      </c>
    </row>
    <row r="9717" spans="7:11" x14ac:dyDescent="0.25">
      <c r="G9717" s="1" t="str">
        <f>IF(Table2[[#This Row],[Description]]="","",VLOOKUP(Table2[[#This Row],[Description]],$Q$1:$S$101,2,FALSE))</f>
        <v/>
      </c>
      <c r="H9717" s="1" t="str">
        <f>IF(Table2[[#This Row],[Description]]="","",VLOOKUP(Table2[[#This Row],[Description]],$Q$1:$S$101,3,FALSE))</f>
        <v/>
      </c>
      <c r="I9717" s="1" t="str">
        <f>IF(Table2[[#This Row],[Description]]="","",IF(Table2[[#This Row],[Currency]]=$O$2,$P$2,HLOOKUP(Table2[[#This Row],[Date]],Funds!$C$10:$GV$11,2,FALSE)))</f>
        <v/>
      </c>
      <c r="J9717" s="215" t="str">
        <f>IF(Table2[[#This Row],[Description]]="","",Table2[[#This Row],[Value]]/Table2[[#This Row],[Conversion]])</f>
        <v/>
      </c>
      <c r="K9717" s="45" t="str">
        <f>IF(Table2[[#This Row],[Description]]="","",DATE(Table2[[#This Row],[Year]],Table2[[#This Row],[Month]],1))</f>
        <v/>
      </c>
    </row>
    <row r="9718" spans="7:11" x14ac:dyDescent="0.25">
      <c r="G9718" s="1" t="str">
        <f>IF(Table2[[#This Row],[Description]]="","",VLOOKUP(Table2[[#This Row],[Description]],$Q$1:$S$101,2,FALSE))</f>
        <v/>
      </c>
      <c r="H9718" s="1" t="str">
        <f>IF(Table2[[#This Row],[Description]]="","",VLOOKUP(Table2[[#This Row],[Description]],$Q$1:$S$101,3,FALSE))</f>
        <v/>
      </c>
      <c r="I9718" s="1" t="str">
        <f>IF(Table2[[#This Row],[Description]]="","",IF(Table2[[#This Row],[Currency]]=$O$2,$P$2,HLOOKUP(Table2[[#This Row],[Date]],Funds!$C$10:$GV$11,2,FALSE)))</f>
        <v/>
      </c>
      <c r="J9718" s="215" t="str">
        <f>IF(Table2[[#This Row],[Description]]="","",Table2[[#This Row],[Value]]/Table2[[#This Row],[Conversion]])</f>
        <v/>
      </c>
      <c r="K9718" s="45" t="str">
        <f>IF(Table2[[#This Row],[Description]]="","",DATE(Table2[[#This Row],[Year]],Table2[[#This Row],[Month]],1))</f>
        <v/>
      </c>
    </row>
    <row r="9719" spans="7:11" x14ac:dyDescent="0.25">
      <c r="G9719" s="1" t="str">
        <f>IF(Table2[[#This Row],[Description]]="","",VLOOKUP(Table2[[#This Row],[Description]],$Q$1:$S$101,2,FALSE))</f>
        <v/>
      </c>
      <c r="H9719" s="1" t="str">
        <f>IF(Table2[[#This Row],[Description]]="","",VLOOKUP(Table2[[#This Row],[Description]],$Q$1:$S$101,3,FALSE))</f>
        <v/>
      </c>
      <c r="I9719" s="1" t="str">
        <f>IF(Table2[[#This Row],[Description]]="","",IF(Table2[[#This Row],[Currency]]=$O$2,$P$2,HLOOKUP(Table2[[#This Row],[Date]],Funds!$C$10:$GV$11,2,FALSE)))</f>
        <v/>
      </c>
      <c r="J9719" s="215" t="str">
        <f>IF(Table2[[#This Row],[Description]]="","",Table2[[#This Row],[Value]]/Table2[[#This Row],[Conversion]])</f>
        <v/>
      </c>
      <c r="K9719" s="45" t="str">
        <f>IF(Table2[[#This Row],[Description]]="","",DATE(Table2[[#This Row],[Year]],Table2[[#This Row],[Month]],1))</f>
        <v/>
      </c>
    </row>
    <row r="9720" spans="7:11" x14ac:dyDescent="0.25">
      <c r="G9720" s="1" t="str">
        <f>IF(Table2[[#This Row],[Description]]="","",VLOOKUP(Table2[[#This Row],[Description]],$Q$1:$S$101,2,FALSE))</f>
        <v/>
      </c>
      <c r="H9720" s="1" t="str">
        <f>IF(Table2[[#This Row],[Description]]="","",VLOOKUP(Table2[[#This Row],[Description]],$Q$1:$S$101,3,FALSE))</f>
        <v/>
      </c>
      <c r="I9720" s="1" t="str">
        <f>IF(Table2[[#This Row],[Description]]="","",IF(Table2[[#This Row],[Currency]]=$O$2,$P$2,HLOOKUP(Table2[[#This Row],[Date]],Funds!$C$10:$GV$11,2,FALSE)))</f>
        <v/>
      </c>
      <c r="J9720" s="215" t="str">
        <f>IF(Table2[[#This Row],[Description]]="","",Table2[[#This Row],[Value]]/Table2[[#This Row],[Conversion]])</f>
        <v/>
      </c>
      <c r="K9720" s="45" t="str">
        <f>IF(Table2[[#This Row],[Description]]="","",DATE(Table2[[#This Row],[Year]],Table2[[#This Row],[Month]],1))</f>
        <v/>
      </c>
    </row>
    <row r="9721" spans="7:11" x14ac:dyDescent="0.25">
      <c r="G9721" s="1" t="str">
        <f>IF(Table2[[#This Row],[Description]]="","",VLOOKUP(Table2[[#This Row],[Description]],$Q$1:$S$101,2,FALSE))</f>
        <v/>
      </c>
      <c r="H9721" s="1" t="str">
        <f>IF(Table2[[#This Row],[Description]]="","",VLOOKUP(Table2[[#This Row],[Description]],$Q$1:$S$101,3,FALSE))</f>
        <v/>
      </c>
      <c r="I9721" s="1" t="str">
        <f>IF(Table2[[#This Row],[Description]]="","",IF(Table2[[#This Row],[Currency]]=$O$2,$P$2,HLOOKUP(Table2[[#This Row],[Date]],Funds!$C$10:$GV$11,2,FALSE)))</f>
        <v/>
      </c>
      <c r="J9721" s="215" t="str">
        <f>IF(Table2[[#This Row],[Description]]="","",Table2[[#This Row],[Value]]/Table2[[#This Row],[Conversion]])</f>
        <v/>
      </c>
      <c r="K9721" s="45" t="str">
        <f>IF(Table2[[#This Row],[Description]]="","",DATE(Table2[[#This Row],[Year]],Table2[[#This Row],[Month]],1))</f>
        <v/>
      </c>
    </row>
    <row r="9722" spans="7:11" x14ac:dyDescent="0.25">
      <c r="G9722" s="1" t="str">
        <f>IF(Table2[[#This Row],[Description]]="","",VLOOKUP(Table2[[#This Row],[Description]],$Q$1:$S$101,2,FALSE))</f>
        <v/>
      </c>
      <c r="H9722" s="1" t="str">
        <f>IF(Table2[[#This Row],[Description]]="","",VLOOKUP(Table2[[#This Row],[Description]],$Q$1:$S$101,3,FALSE))</f>
        <v/>
      </c>
      <c r="I9722" s="1" t="str">
        <f>IF(Table2[[#This Row],[Description]]="","",IF(Table2[[#This Row],[Currency]]=$O$2,$P$2,HLOOKUP(Table2[[#This Row],[Date]],Funds!$C$10:$GV$11,2,FALSE)))</f>
        <v/>
      </c>
      <c r="J9722" s="215" t="str">
        <f>IF(Table2[[#This Row],[Description]]="","",Table2[[#This Row],[Value]]/Table2[[#This Row],[Conversion]])</f>
        <v/>
      </c>
      <c r="K9722" s="45" t="str">
        <f>IF(Table2[[#This Row],[Description]]="","",DATE(Table2[[#This Row],[Year]],Table2[[#This Row],[Month]],1))</f>
        <v/>
      </c>
    </row>
    <row r="9723" spans="7:11" x14ac:dyDescent="0.25">
      <c r="G9723" s="1" t="str">
        <f>IF(Table2[[#This Row],[Description]]="","",VLOOKUP(Table2[[#This Row],[Description]],$Q$1:$S$101,2,FALSE))</f>
        <v/>
      </c>
      <c r="H9723" s="1" t="str">
        <f>IF(Table2[[#This Row],[Description]]="","",VLOOKUP(Table2[[#This Row],[Description]],$Q$1:$S$101,3,FALSE))</f>
        <v/>
      </c>
      <c r="I9723" s="1" t="str">
        <f>IF(Table2[[#This Row],[Description]]="","",IF(Table2[[#This Row],[Currency]]=$O$2,$P$2,HLOOKUP(Table2[[#This Row],[Date]],Funds!$C$10:$GV$11,2,FALSE)))</f>
        <v/>
      </c>
      <c r="J9723" s="215" t="str">
        <f>IF(Table2[[#This Row],[Description]]="","",Table2[[#This Row],[Value]]/Table2[[#This Row],[Conversion]])</f>
        <v/>
      </c>
      <c r="K9723" s="45" t="str">
        <f>IF(Table2[[#This Row],[Description]]="","",DATE(Table2[[#This Row],[Year]],Table2[[#This Row],[Month]],1))</f>
        <v/>
      </c>
    </row>
    <row r="9724" spans="7:11" x14ac:dyDescent="0.25">
      <c r="G9724" s="1" t="str">
        <f>IF(Table2[[#This Row],[Description]]="","",VLOOKUP(Table2[[#This Row],[Description]],$Q$1:$S$101,2,FALSE))</f>
        <v/>
      </c>
      <c r="H9724" s="1" t="str">
        <f>IF(Table2[[#This Row],[Description]]="","",VLOOKUP(Table2[[#This Row],[Description]],$Q$1:$S$101,3,FALSE))</f>
        <v/>
      </c>
      <c r="I9724" s="1" t="str">
        <f>IF(Table2[[#This Row],[Description]]="","",IF(Table2[[#This Row],[Currency]]=$O$2,$P$2,HLOOKUP(Table2[[#This Row],[Date]],Funds!$C$10:$GV$11,2,FALSE)))</f>
        <v/>
      </c>
      <c r="J9724" s="215" t="str">
        <f>IF(Table2[[#This Row],[Description]]="","",Table2[[#This Row],[Value]]/Table2[[#This Row],[Conversion]])</f>
        <v/>
      </c>
      <c r="K9724" s="45" t="str">
        <f>IF(Table2[[#This Row],[Description]]="","",DATE(Table2[[#This Row],[Year]],Table2[[#This Row],[Month]],1))</f>
        <v/>
      </c>
    </row>
    <row r="9725" spans="7:11" x14ac:dyDescent="0.25">
      <c r="G9725" s="1" t="str">
        <f>IF(Table2[[#This Row],[Description]]="","",VLOOKUP(Table2[[#This Row],[Description]],$Q$1:$S$101,2,FALSE))</f>
        <v/>
      </c>
      <c r="H9725" s="1" t="str">
        <f>IF(Table2[[#This Row],[Description]]="","",VLOOKUP(Table2[[#This Row],[Description]],$Q$1:$S$101,3,FALSE))</f>
        <v/>
      </c>
      <c r="I9725" s="1" t="str">
        <f>IF(Table2[[#This Row],[Description]]="","",IF(Table2[[#This Row],[Currency]]=$O$2,$P$2,HLOOKUP(Table2[[#This Row],[Date]],Funds!$C$10:$GV$11,2,FALSE)))</f>
        <v/>
      </c>
      <c r="J9725" s="215" t="str">
        <f>IF(Table2[[#This Row],[Description]]="","",Table2[[#This Row],[Value]]/Table2[[#This Row],[Conversion]])</f>
        <v/>
      </c>
      <c r="K9725" s="45" t="str">
        <f>IF(Table2[[#This Row],[Description]]="","",DATE(Table2[[#This Row],[Year]],Table2[[#This Row],[Month]],1))</f>
        <v/>
      </c>
    </row>
    <row r="9726" spans="7:11" x14ac:dyDescent="0.25">
      <c r="G9726" s="1" t="str">
        <f>IF(Table2[[#This Row],[Description]]="","",VLOOKUP(Table2[[#This Row],[Description]],$Q$1:$S$101,2,FALSE))</f>
        <v/>
      </c>
      <c r="H9726" s="1" t="str">
        <f>IF(Table2[[#This Row],[Description]]="","",VLOOKUP(Table2[[#This Row],[Description]],$Q$1:$S$101,3,FALSE))</f>
        <v/>
      </c>
      <c r="I9726" s="1" t="str">
        <f>IF(Table2[[#This Row],[Description]]="","",IF(Table2[[#This Row],[Currency]]=$O$2,$P$2,HLOOKUP(Table2[[#This Row],[Date]],Funds!$C$10:$GV$11,2,FALSE)))</f>
        <v/>
      </c>
      <c r="J9726" s="215" t="str">
        <f>IF(Table2[[#This Row],[Description]]="","",Table2[[#This Row],[Value]]/Table2[[#This Row],[Conversion]])</f>
        <v/>
      </c>
      <c r="K9726" s="45" t="str">
        <f>IF(Table2[[#This Row],[Description]]="","",DATE(Table2[[#This Row],[Year]],Table2[[#This Row],[Month]],1))</f>
        <v/>
      </c>
    </row>
    <row r="9727" spans="7:11" x14ac:dyDescent="0.25">
      <c r="G9727" s="1" t="str">
        <f>IF(Table2[[#This Row],[Description]]="","",VLOOKUP(Table2[[#This Row],[Description]],$Q$1:$S$101,2,FALSE))</f>
        <v/>
      </c>
      <c r="H9727" s="1" t="str">
        <f>IF(Table2[[#This Row],[Description]]="","",VLOOKUP(Table2[[#This Row],[Description]],$Q$1:$S$101,3,FALSE))</f>
        <v/>
      </c>
      <c r="I9727" s="1" t="str">
        <f>IF(Table2[[#This Row],[Description]]="","",IF(Table2[[#This Row],[Currency]]=$O$2,$P$2,HLOOKUP(Table2[[#This Row],[Date]],Funds!$C$10:$GV$11,2,FALSE)))</f>
        <v/>
      </c>
      <c r="J9727" s="215" t="str">
        <f>IF(Table2[[#This Row],[Description]]="","",Table2[[#This Row],[Value]]/Table2[[#This Row],[Conversion]])</f>
        <v/>
      </c>
      <c r="K9727" s="45" t="str">
        <f>IF(Table2[[#This Row],[Description]]="","",DATE(Table2[[#This Row],[Year]],Table2[[#This Row],[Month]],1))</f>
        <v/>
      </c>
    </row>
    <row r="9728" spans="7:11" x14ac:dyDescent="0.25">
      <c r="G9728" s="1" t="str">
        <f>IF(Table2[[#This Row],[Description]]="","",VLOOKUP(Table2[[#This Row],[Description]],$Q$1:$S$101,2,FALSE))</f>
        <v/>
      </c>
      <c r="H9728" s="1" t="str">
        <f>IF(Table2[[#This Row],[Description]]="","",VLOOKUP(Table2[[#This Row],[Description]],$Q$1:$S$101,3,FALSE))</f>
        <v/>
      </c>
      <c r="I9728" s="1" t="str">
        <f>IF(Table2[[#This Row],[Description]]="","",IF(Table2[[#This Row],[Currency]]=$O$2,$P$2,HLOOKUP(Table2[[#This Row],[Date]],Funds!$C$10:$GV$11,2,FALSE)))</f>
        <v/>
      </c>
      <c r="J9728" s="215" t="str">
        <f>IF(Table2[[#This Row],[Description]]="","",Table2[[#This Row],[Value]]/Table2[[#This Row],[Conversion]])</f>
        <v/>
      </c>
      <c r="K9728" s="45" t="str">
        <f>IF(Table2[[#This Row],[Description]]="","",DATE(Table2[[#This Row],[Year]],Table2[[#This Row],[Month]],1))</f>
        <v/>
      </c>
    </row>
    <row r="9729" spans="7:11" x14ac:dyDescent="0.25">
      <c r="G9729" s="1" t="str">
        <f>IF(Table2[[#This Row],[Description]]="","",VLOOKUP(Table2[[#This Row],[Description]],$Q$1:$S$101,2,FALSE))</f>
        <v/>
      </c>
      <c r="H9729" s="1" t="str">
        <f>IF(Table2[[#This Row],[Description]]="","",VLOOKUP(Table2[[#This Row],[Description]],$Q$1:$S$101,3,FALSE))</f>
        <v/>
      </c>
      <c r="I9729" s="1" t="str">
        <f>IF(Table2[[#This Row],[Description]]="","",IF(Table2[[#This Row],[Currency]]=$O$2,$P$2,HLOOKUP(Table2[[#This Row],[Date]],Funds!$C$10:$GV$11,2,FALSE)))</f>
        <v/>
      </c>
      <c r="J9729" s="215" t="str">
        <f>IF(Table2[[#This Row],[Description]]="","",Table2[[#This Row],[Value]]/Table2[[#This Row],[Conversion]])</f>
        <v/>
      </c>
      <c r="K9729" s="45" t="str">
        <f>IF(Table2[[#This Row],[Description]]="","",DATE(Table2[[#This Row],[Year]],Table2[[#This Row],[Month]],1))</f>
        <v/>
      </c>
    </row>
    <row r="9730" spans="7:11" x14ac:dyDescent="0.25">
      <c r="G9730" s="1" t="str">
        <f>IF(Table2[[#This Row],[Description]]="","",VLOOKUP(Table2[[#This Row],[Description]],$Q$1:$S$101,2,FALSE))</f>
        <v/>
      </c>
      <c r="H9730" s="1" t="str">
        <f>IF(Table2[[#This Row],[Description]]="","",VLOOKUP(Table2[[#This Row],[Description]],$Q$1:$S$101,3,FALSE))</f>
        <v/>
      </c>
      <c r="I9730" s="1" t="str">
        <f>IF(Table2[[#This Row],[Description]]="","",IF(Table2[[#This Row],[Currency]]=$O$2,$P$2,HLOOKUP(Table2[[#This Row],[Date]],Funds!$C$10:$GV$11,2,FALSE)))</f>
        <v/>
      </c>
      <c r="J9730" s="215" t="str">
        <f>IF(Table2[[#This Row],[Description]]="","",Table2[[#This Row],[Value]]/Table2[[#This Row],[Conversion]])</f>
        <v/>
      </c>
      <c r="K9730" s="45" t="str">
        <f>IF(Table2[[#This Row],[Description]]="","",DATE(Table2[[#This Row],[Year]],Table2[[#This Row],[Month]],1))</f>
        <v/>
      </c>
    </row>
    <row r="9731" spans="7:11" x14ac:dyDescent="0.25">
      <c r="G9731" s="1" t="str">
        <f>IF(Table2[[#This Row],[Description]]="","",VLOOKUP(Table2[[#This Row],[Description]],$Q$1:$S$101,2,FALSE))</f>
        <v/>
      </c>
      <c r="H9731" s="1" t="str">
        <f>IF(Table2[[#This Row],[Description]]="","",VLOOKUP(Table2[[#This Row],[Description]],$Q$1:$S$101,3,FALSE))</f>
        <v/>
      </c>
      <c r="I9731" s="1" t="str">
        <f>IF(Table2[[#This Row],[Description]]="","",IF(Table2[[#This Row],[Currency]]=$O$2,$P$2,HLOOKUP(Table2[[#This Row],[Date]],Funds!$C$10:$GV$11,2,FALSE)))</f>
        <v/>
      </c>
      <c r="J9731" s="215" t="str">
        <f>IF(Table2[[#This Row],[Description]]="","",Table2[[#This Row],[Value]]/Table2[[#This Row],[Conversion]])</f>
        <v/>
      </c>
      <c r="K9731" s="45" t="str">
        <f>IF(Table2[[#This Row],[Description]]="","",DATE(Table2[[#This Row],[Year]],Table2[[#This Row],[Month]],1))</f>
        <v/>
      </c>
    </row>
    <row r="9732" spans="7:11" x14ac:dyDescent="0.25">
      <c r="G9732" s="1" t="str">
        <f>IF(Table2[[#This Row],[Description]]="","",VLOOKUP(Table2[[#This Row],[Description]],$Q$1:$S$101,2,FALSE))</f>
        <v/>
      </c>
      <c r="H9732" s="1" t="str">
        <f>IF(Table2[[#This Row],[Description]]="","",VLOOKUP(Table2[[#This Row],[Description]],$Q$1:$S$101,3,FALSE))</f>
        <v/>
      </c>
      <c r="I9732" s="1" t="str">
        <f>IF(Table2[[#This Row],[Description]]="","",IF(Table2[[#This Row],[Currency]]=$O$2,$P$2,HLOOKUP(Table2[[#This Row],[Date]],Funds!$C$10:$GV$11,2,FALSE)))</f>
        <v/>
      </c>
      <c r="J9732" s="215" t="str">
        <f>IF(Table2[[#This Row],[Description]]="","",Table2[[#This Row],[Value]]/Table2[[#This Row],[Conversion]])</f>
        <v/>
      </c>
      <c r="K9732" s="45" t="str">
        <f>IF(Table2[[#This Row],[Description]]="","",DATE(Table2[[#This Row],[Year]],Table2[[#This Row],[Month]],1))</f>
        <v/>
      </c>
    </row>
    <row r="9733" spans="7:11" x14ac:dyDescent="0.25">
      <c r="G9733" s="1" t="str">
        <f>IF(Table2[[#This Row],[Description]]="","",VLOOKUP(Table2[[#This Row],[Description]],$Q$1:$S$101,2,FALSE))</f>
        <v/>
      </c>
      <c r="H9733" s="1" t="str">
        <f>IF(Table2[[#This Row],[Description]]="","",VLOOKUP(Table2[[#This Row],[Description]],$Q$1:$S$101,3,FALSE))</f>
        <v/>
      </c>
      <c r="I9733" s="1" t="str">
        <f>IF(Table2[[#This Row],[Description]]="","",IF(Table2[[#This Row],[Currency]]=$O$2,$P$2,HLOOKUP(Table2[[#This Row],[Date]],Funds!$C$10:$GV$11,2,FALSE)))</f>
        <v/>
      </c>
      <c r="J9733" s="215" t="str">
        <f>IF(Table2[[#This Row],[Description]]="","",Table2[[#This Row],[Value]]/Table2[[#This Row],[Conversion]])</f>
        <v/>
      </c>
      <c r="K9733" s="45" t="str">
        <f>IF(Table2[[#This Row],[Description]]="","",DATE(Table2[[#This Row],[Year]],Table2[[#This Row],[Month]],1))</f>
        <v/>
      </c>
    </row>
    <row r="9734" spans="7:11" x14ac:dyDescent="0.25">
      <c r="G9734" s="1" t="str">
        <f>IF(Table2[[#This Row],[Description]]="","",VLOOKUP(Table2[[#This Row],[Description]],$Q$1:$S$101,2,FALSE))</f>
        <v/>
      </c>
      <c r="H9734" s="1" t="str">
        <f>IF(Table2[[#This Row],[Description]]="","",VLOOKUP(Table2[[#This Row],[Description]],$Q$1:$S$101,3,FALSE))</f>
        <v/>
      </c>
      <c r="I9734" s="1" t="str">
        <f>IF(Table2[[#This Row],[Description]]="","",IF(Table2[[#This Row],[Currency]]=$O$2,$P$2,HLOOKUP(Table2[[#This Row],[Date]],Funds!$C$10:$GV$11,2,FALSE)))</f>
        <v/>
      </c>
      <c r="J9734" s="215" t="str">
        <f>IF(Table2[[#This Row],[Description]]="","",Table2[[#This Row],[Value]]/Table2[[#This Row],[Conversion]])</f>
        <v/>
      </c>
      <c r="K9734" s="45" t="str">
        <f>IF(Table2[[#This Row],[Description]]="","",DATE(Table2[[#This Row],[Year]],Table2[[#This Row],[Month]],1))</f>
        <v/>
      </c>
    </row>
    <row r="9735" spans="7:11" x14ac:dyDescent="0.25">
      <c r="G9735" s="1" t="str">
        <f>IF(Table2[[#This Row],[Description]]="","",VLOOKUP(Table2[[#This Row],[Description]],$Q$1:$S$101,2,FALSE))</f>
        <v/>
      </c>
      <c r="H9735" s="1" t="str">
        <f>IF(Table2[[#This Row],[Description]]="","",VLOOKUP(Table2[[#This Row],[Description]],$Q$1:$S$101,3,FALSE))</f>
        <v/>
      </c>
      <c r="I9735" s="1" t="str">
        <f>IF(Table2[[#This Row],[Description]]="","",IF(Table2[[#This Row],[Currency]]=$O$2,$P$2,HLOOKUP(Table2[[#This Row],[Date]],Funds!$C$10:$GV$11,2,FALSE)))</f>
        <v/>
      </c>
      <c r="J9735" s="215" t="str">
        <f>IF(Table2[[#This Row],[Description]]="","",Table2[[#This Row],[Value]]/Table2[[#This Row],[Conversion]])</f>
        <v/>
      </c>
      <c r="K9735" s="45" t="str">
        <f>IF(Table2[[#This Row],[Description]]="","",DATE(Table2[[#This Row],[Year]],Table2[[#This Row],[Month]],1))</f>
        <v/>
      </c>
    </row>
    <row r="9736" spans="7:11" x14ac:dyDescent="0.25">
      <c r="G9736" s="1" t="str">
        <f>IF(Table2[[#This Row],[Description]]="","",VLOOKUP(Table2[[#This Row],[Description]],$Q$1:$S$101,2,FALSE))</f>
        <v/>
      </c>
      <c r="H9736" s="1" t="str">
        <f>IF(Table2[[#This Row],[Description]]="","",VLOOKUP(Table2[[#This Row],[Description]],$Q$1:$S$101,3,FALSE))</f>
        <v/>
      </c>
      <c r="I9736" s="1" t="str">
        <f>IF(Table2[[#This Row],[Description]]="","",IF(Table2[[#This Row],[Currency]]=$O$2,$P$2,HLOOKUP(Table2[[#This Row],[Date]],Funds!$C$10:$GV$11,2,FALSE)))</f>
        <v/>
      </c>
      <c r="J9736" s="215" t="str">
        <f>IF(Table2[[#This Row],[Description]]="","",Table2[[#This Row],[Value]]/Table2[[#This Row],[Conversion]])</f>
        <v/>
      </c>
      <c r="K9736" s="45" t="str">
        <f>IF(Table2[[#This Row],[Description]]="","",DATE(Table2[[#This Row],[Year]],Table2[[#This Row],[Month]],1))</f>
        <v/>
      </c>
    </row>
    <row r="9737" spans="7:11" x14ac:dyDescent="0.25">
      <c r="G9737" s="1" t="str">
        <f>IF(Table2[[#This Row],[Description]]="","",VLOOKUP(Table2[[#This Row],[Description]],$Q$1:$S$101,2,FALSE))</f>
        <v/>
      </c>
      <c r="H9737" s="1" t="str">
        <f>IF(Table2[[#This Row],[Description]]="","",VLOOKUP(Table2[[#This Row],[Description]],$Q$1:$S$101,3,FALSE))</f>
        <v/>
      </c>
      <c r="I9737" s="1" t="str">
        <f>IF(Table2[[#This Row],[Description]]="","",IF(Table2[[#This Row],[Currency]]=$O$2,$P$2,HLOOKUP(Table2[[#This Row],[Date]],Funds!$C$10:$GV$11,2,FALSE)))</f>
        <v/>
      </c>
      <c r="J9737" s="215" t="str">
        <f>IF(Table2[[#This Row],[Description]]="","",Table2[[#This Row],[Value]]/Table2[[#This Row],[Conversion]])</f>
        <v/>
      </c>
      <c r="K9737" s="45" t="str">
        <f>IF(Table2[[#This Row],[Description]]="","",DATE(Table2[[#This Row],[Year]],Table2[[#This Row],[Month]],1))</f>
        <v/>
      </c>
    </row>
    <row r="9738" spans="7:11" x14ac:dyDescent="0.25">
      <c r="G9738" s="1" t="str">
        <f>IF(Table2[[#This Row],[Description]]="","",VLOOKUP(Table2[[#This Row],[Description]],$Q$1:$S$101,2,FALSE))</f>
        <v/>
      </c>
      <c r="H9738" s="1" t="str">
        <f>IF(Table2[[#This Row],[Description]]="","",VLOOKUP(Table2[[#This Row],[Description]],$Q$1:$S$101,3,FALSE))</f>
        <v/>
      </c>
      <c r="I9738" s="1" t="str">
        <f>IF(Table2[[#This Row],[Description]]="","",IF(Table2[[#This Row],[Currency]]=$O$2,$P$2,HLOOKUP(Table2[[#This Row],[Date]],Funds!$C$10:$GV$11,2,FALSE)))</f>
        <v/>
      </c>
      <c r="J9738" s="215" t="str">
        <f>IF(Table2[[#This Row],[Description]]="","",Table2[[#This Row],[Value]]/Table2[[#This Row],[Conversion]])</f>
        <v/>
      </c>
      <c r="K9738" s="45" t="str">
        <f>IF(Table2[[#This Row],[Description]]="","",DATE(Table2[[#This Row],[Year]],Table2[[#This Row],[Month]],1))</f>
        <v/>
      </c>
    </row>
    <row r="9739" spans="7:11" x14ac:dyDescent="0.25">
      <c r="G9739" s="1" t="str">
        <f>IF(Table2[[#This Row],[Description]]="","",VLOOKUP(Table2[[#This Row],[Description]],$Q$1:$S$101,2,FALSE))</f>
        <v/>
      </c>
      <c r="H9739" s="1" t="str">
        <f>IF(Table2[[#This Row],[Description]]="","",VLOOKUP(Table2[[#This Row],[Description]],$Q$1:$S$101,3,FALSE))</f>
        <v/>
      </c>
      <c r="I9739" s="1" t="str">
        <f>IF(Table2[[#This Row],[Description]]="","",IF(Table2[[#This Row],[Currency]]=$O$2,$P$2,HLOOKUP(Table2[[#This Row],[Date]],Funds!$C$10:$GV$11,2,FALSE)))</f>
        <v/>
      </c>
      <c r="J9739" s="215" t="str">
        <f>IF(Table2[[#This Row],[Description]]="","",Table2[[#This Row],[Value]]/Table2[[#This Row],[Conversion]])</f>
        <v/>
      </c>
      <c r="K9739" s="45" t="str">
        <f>IF(Table2[[#This Row],[Description]]="","",DATE(Table2[[#This Row],[Year]],Table2[[#This Row],[Month]],1))</f>
        <v/>
      </c>
    </row>
    <row r="9740" spans="7:11" x14ac:dyDescent="0.25">
      <c r="G9740" s="1" t="str">
        <f>IF(Table2[[#This Row],[Description]]="","",VLOOKUP(Table2[[#This Row],[Description]],$Q$1:$S$101,2,FALSE))</f>
        <v/>
      </c>
      <c r="H9740" s="1" t="str">
        <f>IF(Table2[[#This Row],[Description]]="","",VLOOKUP(Table2[[#This Row],[Description]],$Q$1:$S$101,3,FALSE))</f>
        <v/>
      </c>
      <c r="I9740" s="1" t="str">
        <f>IF(Table2[[#This Row],[Description]]="","",IF(Table2[[#This Row],[Currency]]=$O$2,$P$2,HLOOKUP(Table2[[#This Row],[Date]],Funds!$C$10:$GV$11,2,FALSE)))</f>
        <v/>
      </c>
      <c r="J9740" s="215" t="str">
        <f>IF(Table2[[#This Row],[Description]]="","",Table2[[#This Row],[Value]]/Table2[[#This Row],[Conversion]])</f>
        <v/>
      </c>
      <c r="K9740" s="45" t="str">
        <f>IF(Table2[[#This Row],[Description]]="","",DATE(Table2[[#This Row],[Year]],Table2[[#This Row],[Month]],1))</f>
        <v/>
      </c>
    </row>
    <row r="9741" spans="7:11" x14ac:dyDescent="0.25">
      <c r="G9741" s="1" t="str">
        <f>IF(Table2[[#This Row],[Description]]="","",VLOOKUP(Table2[[#This Row],[Description]],$Q$1:$S$101,2,FALSE))</f>
        <v/>
      </c>
      <c r="H9741" s="1" t="str">
        <f>IF(Table2[[#This Row],[Description]]="","",VLOOKUP(Table2[[#This Row],[Description]],$Q$1:$S$101,3,FALSE))</f>
        <v/>
      </c>
      <c r="I9741" s="1" t="str">
        <f>IF(Table2[[#This Row],[Description]]="","",IF(Table2[[#This Row],[Currency]]=$O$2,$P$2,HLOOKUP(Table2[[#This Row],[Date]],Funds!$C$10:$GV$11,2,FALSE)))</f>
        <v/>
      </c>
      <c r="J9741" s="215" t="str">
        <f>IF(Table2[[#This Row],[Description]]="","",Table2[[#This Row],[Value]]/Table2[[#This Row],[Conversion]])</f>
        <v/>
      </c>
      <c r="K9741" s="45" t="str">
        <f>IF(Table2[[#This Row],[Description]]="","",DATE(Table2[[#This Row],[Year]],Table2[[#This Row],[Month]],1))</f>
        <v/>
      </c>
    </row>
    <row r="9742" spans="7:11" x14ac:dyDescent="0.25">
      <c r="G9742" s="1" t="str">
        <f>IF(Table2[[#This Row],[Description]]="","",VLOOKUP(Table2[[#This Row],[Description]],$Q$1:$S$101,2,FALSE))</f>
        <v/>
      </c>
      <c r="H9742" s="1" t="str">
        <f>IF(Table2[[#This Row],[Description]]="","",VLOOKUP(Table2[[#This Row],[Description]],$Q$1:$S$101,3,FALSE))</f>
        <v/>
      </c>
      <c r="I9742" s="1" t="str">
        <f>IF(Table2[[#This Row],[Description]]="","",IF(Table2[[#This Row],[Currency]]=$O$2,$P$2,HLOOKUP(Table2[[#This Row],[Date]],Funds!$C$10:$GV$11,2,FALSE)))</f>
        <v/>
      </c>
      <c r="J9742" s="215" t="str">
        <f>IF(Table2[[#This Row],[Description]]="","",Table2[[#This Row],[Value]]/Table2[[#This Row],[Conversion]])</f>
        <v/>
      </c>
      <c r="K9742" s="45" t="str">
        <f>IF(Table2[[#This Row],[Description]]="","",DATE(Table2[[#This Row],[Year]],Table2[[#This Row],[Month]],1))</f>
        <v/>
      </c>
    </row>
    <row r="9743" spans="7:11" x14ac:dyDescent="0.25">
      <c r="G9743" s="1" t="str">
        <f>IF(Table2[[#This Row],[Description]]="","",VLOOKUP(Table2[[#This Row],[Description]],$Q$1:$S$101,2,FALSE))</f>
        <v/>
      </c>
      <c r="H9743" s="1" t="str">
        <f>IF(Table2[[#This Row],[Description]]="","",VLOOKUP(Table2[[#This Row],[Description]],$Q$1:$S$101,3,FALSE))</f>
        <v/>
      </c>
      <c r="I9743" s="1" t="str">
        <f>IF(Table2[[#This Row],[Description]]="","",IF(Table2[[#This Row],[Currency]]=$O$2,$P$2,HLOOKUP(Table2[[#This Row],[Date]],Funds!$C$10:$GV$11,2,FALSE)))</f>
        <v/>
      </c>
      <c r="J9743" s="215" t="str">
        <f>IF(Table2[[#This Row],[Description]]="","",Table2[[#This Row],[Value]]/Table2[[#This Row],[Conversion]])</f>
        <v/>
      </c>
      <c r="K9743" s="45" t="str">
        <f>IF(Table2[[#This Row],[Description]]="","",DATE(Table2[[#This Row],[Year]],Table2[[#This Row],[Month]],1))</f>
        <v/>
      </c>
    </row>
    <row r="9744" spans="7:11" x14ac:dyDescent="0.25">
      <c r="G9744" s="1" t="str">
        <f>IF(Table2[[#This Row],[Description]]="","",VLOOKUP(Table2[[#This Row],[Description]],$Q$1:$S$101,2,FALSE))</f>
        <v/>
      </c>
      <c r="H9744" s="1" t="str">
        <f>IF(Table2[[#This Row],[Description]]="","",VLOOKUP(Table2[[#This Row],[Description]],$Q$1:$S$101,3,FALSE))</f>
        <v/>
      </c>
      <c r="I9744" s="1" t="str">
        <f>IF(Table2[[#This Row],[Description]]="","",IF(Table2[[#This Row],[Currency]]=$O$2,$P$2,HLOOKUP(Table2[[#This Row],[Date]],Funds!$C$10:$GV$11,2,FALSE)))</f>
        <v/>
      </c>
      <c r="J9744" s="215" t="str">
        <f>IF(Table2[[#This Row],[Description]]="","",Table2[[#This Row],[Value]]/Table2[[#This Row],[Conversion]])</f>
        <v/>
      </c>
      <c r="K9744" s="45" t="str">
        <f>IF(Table2[[#This Row],[Description]]="","",DATE(Table2[[#This Row],[Year]],Table2[[#This Row],[Month]],1))</f>
        <v/>
      </c>
    </row>
    <row r="9745" spans="7:11" x14ac:dyDescent="0.25">
      <c r="G9745" s="1" t="str">
        <f>IF(Table2[[#This Row],[Description]]="","",VLOOKUP(Table2[[#This Row],[Description]],$Q$1:$S$101,2,FALSE))</f>
        <v/>
      </c>
      <c r="H9745" s="1" t="str">
        <f>IF(Table2[[#This Row],[Description]]="","",VLOOKUP(Table2[[#This Row],[Description]],$Q$1:$S$101,3,FALSE))</f>
        <v/>
      </c>
      <c r="I9745" s="1" t="str">
        <f>IF(Table2[[#This Row],[Description]]="","",IF(Table2[[#This Row],[Currency]]=$O$2,$P$2,HLOOKUP(Table2[[#This Row],[Date]],Funds!$C$10:$GV$11,2,FALSE)))</f>
        <v/>
      </c>
      <c r="J9745" s="215" t="str">
        <f>IF(Table2[[#This Row],[Description]]="","",Table2[[#This Row],[Value]]/Table2[[#This Row],[Conversion]])</f>
        <v/>
      </c>
      <c r="K9745" s="45" t="str">
        <f>IF(Table2[[#This Row],[Description]]="","",DATE(Table2[[#This Row],[Year]],Table2[[#This Row],[Month]],1))</f>
        <v/>
      </c>
    </row>
    <row r="9746" spans="7:11" x14ac:dyDescent="0.25">
      <c r="G9746" s="1" t="str">
        <f>IF(Table2[[#This Row],[Description]]="","",VLOOKUP(Table2[[#This Row],[Description]],$Q$1:$S$101,2,FALSE))</f>
        <v/>
      </c>
      <c r="H9746" s="1" t="str">
        <f>IF(Table2[[#This Row],[Description]]="","",VLOOKUP(Table2[[#This Row],[Description]],$Q$1:$S$101,3,FALSE))</f>
        <v/>
      </c>
      <c r="I9746" s="1" t="str">
        <f>IF(Table2[[#This Row],[Description]]="","",IF(Table2[[#This Row],[Currency]]=$O$2,$P$2,HLOOKUP(Table2[[#This Row],[Date]],Funds!$C$10:$GV$11,2,FALSE)))</f>
        <v/>
      </c>
      <c r="J9746" s="215" t="str">
        <f>IF(Table2[[#This Row],[Description]]="","",Table2[[#This Row],[Value]]/Table2[[#This Row],[Conversion]])</f>
        <v/>
      </c>
      <c r="K9746" s="45" t="str">
        <f>IF(Table2[[#This Row],[Description]]="","",DATE(Table2[[#This Row],[Year]],Table2[[#This Row],[Month]],1))</f>
        <v/>
      </c>
    </row>
    <row r="9747" spans="7:11" x14ac:dyDescent="0.25">
      <c r="G9747" s="1" t="str">
        <f>IF(Table2[[#This Row],[Description]]="","",VLOOKUP(Table2[[#This Row],[Description]],$Q$1:$S$101,2,FALSE))</f>
        <v/>
      </c>
      <c r="H9747" s="1" t="str">
        <f>IF(Table2[[#This Row],[Description]]="","",VLOOKUP(Table2[[#This Row],[Description]],$Q$1:$S$101,3,FALSE))</f>
        <v/>
      </c>
      <c r="I9747" s="1" t="str">
        <f>IF(Table2[[#This Row],[Description]]="","",IF(Table2[[#This Row],[Currency]]=$O$2,$P$2,HLOOKUP(Table2[[#This Row],[Date]],Funds!$C$10:$GV$11,2,FALSE)))</f>
        <v/>
      </c>
      <c r="J9747" s="215" t="str">
        <f>IF(Table2[[#This Row],[Description]]="","",Table2[[#This Row],[Value]]/Table2[[#This Row],[Conversion]])</f>
        <v/>
      </c>
      <c r="K9747" s="45" t="str">
        <f>IF(Table2[[#This Row],[Description]]="","",DATE(Table2[[#This Row],[Year]],Table2[[#This Row],[Month]],1))</f>
        <v/>
      </c>
    </row>
    <row r="9748" spans="7:11" x14ac:dyDescent="0.25">
      <c r="G9748" s="1" t="str">
        <f>IF(Table2[[#This Row],[Description]]="","",VLOOKUP(Table2[[#This Row],[Description]],$Q$1:$S$101,2,FALSE))</f>
        <v/>
      </c>
      <c r="H9748" s="1" t="str">
        <f>IF(Table2[[#This Row],[Description]]="","",VLOOKUP(Table2[[#This Row],[Description]],$Q$1:$S$101,3,FALSE))</f>
        <v/>
      </c>
      <c r="I9748" s="1" t="str">
        <f>IF(Table2[[#This Row],[Description]]="","",IF(Table2[[#This Row],[Currency]]=$O$2,$P$2,HLOOKUP(Table2[[#This Row],[Date]],Funds!$C$10:$GV$11,2,FALSE)))</f>
        <v/>
      </c>
      <c r="J9748" s="215" t="str">
        <f>IF(Table2[[#This Row],[Description]]="","",Table2[[#This Row],[Value]]/Table2[[#This Row],[Conversion]])</f>
        <v/>
      </c>
      <c r="K9748" s="45" t="str">
        <f>IF(Table2[[#This Row],[Description]]="","",DATE(Table2[[#This Row],[Year]],Table2[[#This Row],[Month]],1))</f>
        <v/>
      </c>
    </row>
    <row r="9749" spans="7:11" x14ac:dyDescent="0.25">
      <c r="G9749" s="1" t="str">
        <f>IF(Table2[[#This Row],[Description]]="","",VLOOKUP(Table2[[#This Row],[Description]],$Q$1:$S$101,2,FALSE))</f>
        <v/>
      </c>
      <c r="H9749" s="1" t="str">
        <f>IF(Table2[[#This Row],[Description]]="","",VLOOKUP(Table2[[#This Row],[Description]],$Q$1:$S$101,3,FALSE))</f>
        <v/>
      </c>
      <c r="I9749" s="1" t="str">
        <f>IF(Table2[[#This Row],[Description]]="","",IF(Table2[[#This Row],[Currency]]=$O$2,$P$2,HLOOKUP(Table2[[#This Row],[Date]],Funds!$C$10:$GV$11,2,FALSE)))</f>
        <v/>
      </c>
      <c r="J9749" s="215" t="str">
        <f>IF(Table2[[#This Row],[Description]]="","",Table2[[#This Row],[Value]]/Table2[[#This Row],[Conversion]])</f>
        <v/>
      </c>
      <c r="K9749" s="45" t="str">
        <f>IF(Table2[[#This Row],[Description]]="","",DATE(Table2[[#This Row],[Year]],Table2[[#This Row],[Month]],1))</f>
        <v/>
      </c>
    </row>
    <row r="9750" spans="7:11" x14ac:dyDescent="0.25">
      <c r="G9750" s="1" t="str">
        <f>IF(Table2[[#This Row],[Description]]="","",VLOOKUP(Table2[[#This Row],[Description]],$Q$1:$S$101,2,FALSE))</f>
        <v/>
      </c>
      <c r="H9750" s="1" t="str">
        <f>IF(Table2[[#This Row],[Description]]="","",VLOOKUP(Table2[[#This Row],[Description]],$Q$1:$S$101,3,FALSE))</f>
        <v/>
      </c>
      <c r="I9750" s="1" t="str">
        <f>IF(Table2[[#This Row],[Description]]="","",IF(Table2[[#This Row],[Currency]]=$O$2,$P$2,HLOOKUP(Table2[[#This Row],[Date]],Funds!$C$10:$GV$11,2,FALSE)))</f>
        <v/>
      </c>
      <c r="J9750" s="215" t="str">
        <f>IF(Table2[[#This Row],[Description]]="","",Table2[[#This Row],[Value]]/Table2[[#This Row],[Conversion]])</f>
        <v/>
      </c>
      <c r="K9750" s="45" t="str">
        <f>IF(Table2[[#This Row],[Description]]="","",DATE(Table2[[#This Row],[Year]],Table2[[#This Row],[Month]],1))</f>
        <v/>
      </c>
    </row>
    <row r="9751" spans="7:11" x14ac:dyDescent="0.25">
      <c r="G9751" s="1" t="str">
        <f>IF(Table2[[#This Row],[Description]]="","",VLOOKUP(Table2[[#This Row],[Description]],$Q$1:$S$101,2,FALSE))</f>
        <v/>
      </c>
      <c r="H9751" s="1" t="str">
        <f>IF(Table2[[#This Row],[Description]]="","",VLOOKUP(Table2[[#This Row],[Description]],$Q$1:$S$101,3,FALSE))</f>
        <v/>
      </c>
      <c r="I9751" s="1" t="str">
        <f>IF(Table2[[#This Row],[Description]]="","",IF(Table2[[#This Row],[Currency]]=$O$2,$P$2,HLOOKUP(Table2[[#This Row],[Date]],Funds!$C$10:$GV$11,2,FALSE)))</f>
        <v/>
      </c>
      <c r="J9751" s="215" t="str">
        <f>IF(Table2[[#This Row],[Description]]="","",Table2[[#This Row],[Value]]/Table2[[#This Row],[Conversion]])</f>
        <v/>
      </c>
      <c r="K9751" s="45" t="str">
        <f>IF(Table2[[#This Row],[Description]]="","",DATE(Table2[[#This Row],[Year]],Table2[[#This Row],[Month]],1))</f>
        <v/>
      </c>
    </row>
    <row r="9752" spans="7:11" x14ac:dyDescent="0.25">
      <c r="G9752" s="1" t="str">
        <f>IF(Table2[[#This Row],[Description]]="","",VLOOKUP(Table2[[#This Row],[Description]],$Q$1:$S$101,2,FALSE))</f>
        <v/>
      </c>
      <c r="H9752" s="1" t="str">
        <f>IF(Table2[[#This Row],[Description]]="","",VLOOKUP(Table2[[#This Row],[Description]],$Q$1:$S$101,3,FALSE))</f>
        <v/>
      </c>
      <c r="I9752" s="1" t="str">
        <f>IF(Table2[[#This Row],[Description]]="","",IF(Table2[[#This Row],[Currency]]=$O$2,$P$2,HLOOKUP(Table2[[#This Row],[Date]],Funds!$C$10:$GV$11,2,FALSE)))</f>
        <v/>
      </c>
      <c r="J9752" s="215" t="str">
        <f>IF(Table2[[#This Row],[Description]]="","",Table2[[#This Row],[Value]]/Table2[[#This Row],[Conversion]])</f>
        <v/>
      </c>
      <c r="K9752" s="45" t="str">
        <f>IF(Table2[[#This Row],[Description]]="","",DATE(Table2[[#This Row],[Year]],Table2[[#This Row],[Month]],1))</f>
        <v/>
      </c>
    </row>
    <row r="9753" spans="7:11" x14ac:dyDescent="0.25">
      <c r="G9753" s="1" t="str">
        <f>IF(Table2[[#This Row],[Description]]="","",VLOOKUP(Table2[[#This Row],[Description]],$Q$1:$S$101,2,FALSE))</f>
        <v/>
      </c>
      <c r="H9753" s="1" t="str">
        <f>IF(Table2[[#This Row],[Description]]="","",VLOOKUP(Table2[[#This Row],[Description]],$Q$1:$S$101,3,FALSE))</f>
        <v/>
      </c>
      <c r="I9753" s="1" t="str">
        <f>IF(Table2[[#This Row],[Description]]="","",IF(Table2[[#This Row],[Currency]]=$O$2,$P$2,HLOOKUP(Table2[[#This Row],[Date]],Funds!$C$10:$GV$11,2,FALSE)))</f>
        <v/>
      </c>
      <c r="J9753" s="215" t="str">
        <f>IF(Table2[[#This Row],[Description]]="","",Table2[[#This Row],[Value]]/Table2[[#This Row],[Conversion]])</f>
        <v/>
      </c>
      <c r="K9753" s="45" t="str">
        <f>IF(Table2[[#This Row],[Description]]="","",DATE(Table2[[#This Row],[Year]],Table2[[#This Row],[Month]],1))</f>
        <v/>
      </c>
    </row>
    <row r="9754" spans="7:11" x14ac:dyDescent="0.25">
      <c r="G9754" s="1" t="str">
        <f>IF(Table2[[#This Row],[Description]]="","",VLOOKUP(Table2[[#This Row],[Description]],$Q$1:$S$101,2,FALSE))</f>
        <v/>
      </c>
      <c r="H9754" s="1" t="str">
        <f>IF(Table2[[#This Row],[Description]]="","",VLOOKUP(Table2[[#This Row],[Description]],$Q$1:$S$101,3,FALSE))</f>
        <v/>
      </c>
      <c r="I9754" s="1" t="str">
        <f>IF(Table2[[#This Row],[Description]]="","",IF(Table2[[#This Row],[Currency]]=$O$2,$P$2,HLOOKUP(Table2[[#This Row],[Date]],Funds!$C$10:$GV$11,2,FALSE)))</f>
        <v/>
      </c>
      <c r="J9754" s="215" t="str">
        <f>IF(Table2[[#This Row],[Description]]="","",Table2[[#This Row],[Value]]/Table2[[#This Row],[Conversion]])</f>
        <v/>
      </c>
      <c r="K9754" s="45" t="str">
        <f>IF(Table2[[#This Row],[Description]]="","",DATE(Table2[[#This Row],[Year]],Table2[[#This Row],[Month]],1))</f>
        <v/>
      </c>
    </row>
    <row r="9755" spans="7:11" x14ac:dyDescent="0.25">
      <c r="G9755" s="1" t="str">
        <f>IF(Table2[[#This Row],[Description]]="","",VLOOKUP(Table2[[#This Row],[Description]],$Q$1:$S$101,2,FALSE))</f>
        <v/>
      </c>
      <c r="H9755" s="1" t="str">
        <f>IF(Table2[[#This Row],[Description]]="","",VLOOKUP(Table2[[#This Row],[Description]],$Q$1:$S$101,3,FALSE))</f>
        <v/>
      </c>
      <c r="I9755" s="1" t="str">
        <f>IF(Table2[[#This Row],[Description]]="","",IF(Table2[[#This Row],[Currency]]=$O$2,$P$2,HLOOKUP(Table2[[#This Row],[Date]],Funds!$C$10:$GV$11,2,FALSE)))</f>
        <v/>
      </c>
      <c r="J9755" s="215" t="str">
        <f>IF(Table2[[#This Row],[Description]]="","",Table2[[#This Row],[Value]]/Table2[[#This Row],[Conversion]])</f>
        <v/>
      </c>
      <c r="K9755" s="45" t="str">
        <f>IF(Table2[[#This Row],[Description]]="","",DATE(Table2[[#This Row],[Year]],Table2[[#This Row],[Month]],1))</f>
        <v/>
      </c>
    </row>
    <row r="9756" spans="7:11" x14ac:dyDescent="0.25">
      <c r="G9756" s="1" t="str">
        <f>IF(Table2[[#This Row],[Description]]="","",VLOOKUP(Table2[[#This Row],[Description]],$Q$1:$S$101,2,FALSE))</f>
        <v/>
      </c>
      <c r="H9756" s="1" t="str">
        <f>IF(Table2[[#This Row],[Description]]="","",VLOOKUP(Table2[[#This Row],[Description]],$Q$1:$S$101,3,FALSE))</f>
        <v/>
      </c>
      <c r="I9756" s="1" t="str">
        <f>IF(Table2[[#This Row],[Description]]="","",IF(Table2[[#This Row],[Currency]]=$O$2,$P$2,HLOOKUP(Table2[[#This Row],[Date]],Funds!$C$10:$GV$11,2,FALSE)))</f>
        <v/>
      </c>
      <c r="J9756" s="215" t="str">
        <f>IF(Table2[[#This Row],[Description]]="","",Table2[[#This Row],[Value]]/Table2[[#This Row],[Conversion]])</f>
        <v/>
      </c>
      <c r="K9756" s="45" t="str">
        <f>IF(Table2[[#This Row],[Description]]="","",DATE(Table2[[#This Row],[Year]],Table2[[#This Row],[Month]],1))</f>
        <v/>
      </c>
    </row>
    <row r="9757" spans="7:11" x14ac:dyDescent="0.25">
      <c r="G9757" s="1" t="str">
        <f>IF(Table2[[#This Row],[Description]]="","",VLOOKUP(Table2[[#This Row],[Description]],$Q$1:$S$101,2,FALSE))</f>
        <v/>
      </c>
      <c r="H9757" s="1" t="str">
        <f>IF(Table2[[#This Row],[Description]]="","",VLOOKUP(Table2[[#This Row],[Description]],$Q$1:$S$101,3,FALSE))</f>
        <v/>
      </c>
      <c r="I9757" s="1" t="str">
        <f>IF(Table2[[#This Row],[Description]]="","",IF(Table2[[#This Row],[Currency]]=$O$2,$P$2,HLOOKUP(Table2[[#This Row],[Date]],Funds!$C$10:$GV$11,2,FALSE)))</f>
        <v/>
      </c>
      <c r="J9757" s="215" t="str">
        <f>IF(Table2[[#This Row],[Description]]="","",Table2[[#This Row],[Value]]/Table2[[#This Row],[Conversion]])</f>
        <v/>
      </c>
      <c r="K9757" s="45" t="str">
        <f>IF(Table2[[#This Row],[Description]]="","",DATE(Table2[[#This Row],[Year]],Table2[[#This Row],[Month]],1))</f>
        <v/>
      </c>
    </row>
    <row r="9758" spans="7:11" x14ac:dyDescent="0.25">
      <c r="G9758" s="1" t="str">
        <f>IF(Table2[[#This Row],[Description]]="","",VLOOKUP(Table2[[#This Row],[Description]],$Q$1:$S$101,2,FALSE))</f>
        <v/>
      </c>
      <c r="H9758" s="1" t="str">
        <f>IF(Table2[[#This Row],[Description]]="","",VLOOKUP(Table2[[#This Row],[Description]],$Q$1:$S$101,3,FALSE))</f>
        <v/>
      </c>
      <c r="I9758" s="1" t="str">
        <f>IF(Table2[[#This Row],[Description]]="","",IF(Table2[[#This Row],[Currency]]=$O$2,$P$2,HLOOKUP(Table2[[#This Row],[Date]],Funds!$C$10:$GV$11,2,FALSE)))</f>
        <v/>
      </c>
      <c r="J9758" s="215" t="str">
        <f>IF(Table2[[#This Row],[Description]]="","",Table2[[#This Row],[Value]]/Table2[[#This Row],[Conversion]])</f>
        <v/>
      </c>
      <c r="K9758" s="45" t="str">
        <f>IF(Table2[[#This Row],[Description]]="","",DATE(Table2[[#This Row],[Year]],Table2[[#This Row],[Month]],1))</f>
        <v/>
      </c>
    </row>
    <row r="9759" spans="7:11" x14ac:dyDescent="0.25">
      <c r="G9759" s="1" t="str">
        <f>IF(Table2[[#This Row],[Description]]="","",VLOOKUP(Table2[[#This Row],[Description]],$Q$1:$S$101,2,FALSE))</f>
        <v/>
      </c>
      <c r="H9759" s="1" t="str">
        <f>IF(Table2[[#This Row],[Description]]="","",VLOOKUP(Table2[[#This Row],[Description]],$Q$1:$S$101,3,FALSE))</f>
        <v/>
      </c>
      <c r="I9759" s="1" t="str">
        <f>IF(Table2[[#This Row],[Description]]="","",IF(Table2[[#This Row],[Currency]]=$O$2,$P$2,HLOOKUP(Table2[[#This Row],[Date]],Funds!$C$10:$GV$11,2,FALSE)))</f>
        <v/>
      </c>
      <c r="J9759" s="215" t="str">
        <f>IF(Table2[[#This Row],[Description]]="","",Table2[[#This Row],[Value]]/Table2[[#This Row],[Conversion]])</f>
        <v/>
      </c>
      <c r="K9759" s="45" t="str">
        <f>IF(Table2[[#This Row],[Description]]="","",DATE(Table2[[#This Row],[Year]],Table2[[#This Row],[Month]],1))</f>
        <v/>
      </c>
    </row>
    <row r="9760" spans="7:11" x14ac:dyDescent="0.25">
      <c r="G9760" s="1" t="str">
        <f>IF(Table2[[#This Row],[Description]]="","",VLOOKUP(Table2[[#This Row],[Description]],$Q$1:$S$101,2,FALSE))</f>
        <v/>
      </c>
      <c r="H9760" s="1" t="str">
        <f>IF(Table2[[#This Row],[Description]]="","",VLOOKUP(Table2[[#This Row],[Description]],$Q$1:$S$101,3,FALSE))</f>
        <v/>
      </c>
      <c r="I9760" s="1" t="str">
        <f>IF(Table2[[#This Row],[Description]]="","",IF(Table2[[#This Row],[Currency]]=$O$2,$P$2,HLOOKUP(Table2[[#This Row],[Date]],Funds!$C$10:$GV$11,2,FALSE)))</f>
        <v/>
      </c>
      <c r="J9760" s="215" t="str">
        <f>IF(Table2[[#This Row],[Description]]="","",Table2[[#This Row],[Value]]/Table2[[#This Row],[Conversion]])</f>
        <v/>
      </c>
      <c r="K9760" s="45" t="str">
        <f>IF(Table2[[#This Row],[Description]]="","",DATE(Table2[[#This Row],[Year]],Table2[[#This Row],[Month]],1))</f>
        <v/>
      </c>
    </row>
    <row r="9761" spans="7:11" x14ac:dyDescent="0.25">
      <c r="G9761" s="1" t="str">
        <f>IF(Table2[[#This Row],[Description]]="","",VLOOKUP(Table2[[#This Row],[Description]],$Q$1:$S$101,2,FALSE))</f>
        <v/>
      </c>
      <c r="H9761" s="1" t="str">
        <f>IF(Table2[[#This Row],[Description]]="","",VLOOKUP(Table2[[#This Row],[Description]],$Q$1:$S$101,3,FALSE))</f>
        <v/>
      </c>
      <c r="I9761" s="1" t="str">
        <f>IF(Table2[[#This Row],[Description]]="","",IF(Table2[[#This Row],[Currency]]=$O$2,$P$2,HLOOKUP(Table2[[#This Row],[Date]],Funds!$C$10:$GV$11,2,FALSE)))</f>
        <v/>
      </c>
      <c r="J9761" s="215" t="str">
        <f>IF(Table2[[#This Row],[Description]]="","",Table2[[#This Row],[Value]]/Table2[[#This Row],[Conversion]])</f>
        <v/>
      </c>
      <c r="K9761" s="45" t="str">
        <f>IF(Table2[[#This Row],[Description]]="","",DATE(Table2[[#This Row],[Year]],Table2[[#This Row],[Month]],1))</f>
        <v/>
      </c>
    </row>
    <row r="9762" spans="7:11" x14ac:dyDescent="0.25">
      <c r="G9762" s="1" t="str">
        <f>IF(Table2[[#This Row],[Description]]="","",VLOOKUP(Table2[[#This Row],[Description]],$Q$1:$S$101,2,FALSE))</f>
        <v/>
      </c>
      <c r="H9762" s="1" t="str">
        <f>IF(Table2[[#This Row],[Description]]="","",VLOOKUP(Table2[[#This Row],[Description]],$Q$1:$S$101,3,FALSE))</f>
        <v/>
      </c>
      <c r="I9762" s="1" t="str">
        <f>IF(Table2[[#This Row],[Description]]="","",IF(Table2[[#This Row],[Currency]]=$O$2,$P$2,HLOOKUP(Table2[[#This Row],[Date]],Funds!$C$10:$GV$11,2,FALSE)))</f>
        <v/>
      </c>
      <c r="J9762" s="215" t="str">
        <f>IF(Table2[[#This Row],[Description]]="","",Table2[[#This Row],[Value]]/Table2[[#This Row],[Conversion]])</f>
        <v/>
      </c>
      <c r="K9762" s="45" t="str">
        <f>IF(Table2[[#This Row],[Description]]="","",DATE(Table2[[#This Row],[Year]],Table2[[#This Row],[Month]],1))</f>
        <v/>
      </c>
    </row>
    <row r="9763" spans="7:11" x14ac:dyDescent="0.25">
      <c r="G9763" s="1" t="str">
        <f>IF(Table2[[#This Row],[Description]]="","",VLOOKUP(Table2[[#This Row],[Description]],$Q$1:$S$101,2,FALSE))</f>
        <v/>
      </c>
      <c r="H9763" s="1" t="str">
        <f>IF(Table2[[#This Row],[Description]]="","",VLOOKUP(Table2[[#This Row],[Description]],$Q$1:$S$101,3,FALSE))</f>
        <v/>
      </c>
      <c r="I9763" s="1" t="str">
        <f>IF(Table2[[#This Row],[Description]]="","",IF(Table2[[#This Row],[Currency]]=$O$2,$P$2,HLOOKUP(Table2[[#This Row],[Date]],Funds!$C$10:$GV$11,2,FALSE)))</f>
        <v/>
      </c>
      <c r="J9763" s="215" t="str">
        <f>IF(Table2[[#This Row],[Description]]="","",Table2[[#This Row],[Value]]/Table2[[#This Row],[Conversion]])</f>
        <v/>
      </c>
      <c r="K9763" s="45" t="str">
        <f>IF(Table2[[#This Row],[Description]]="","",DATE(Table2[[#This Row],[Year]],Table2[[#This Row],[Month]],1))</f>
        <v/>
      </c>
    </row>
    <row r="9764" spans="7:11" x14ac:dyDescent="0.25">
      <c r="G9764" s="1" t="str">
        <f>IF(Table2[[#This Row],[Description]]="","",VLOOKUP(Table2[[#This Row],[Description]],$Q$1:$S$101,2,FALSE))</f>
        <v/>
      </c>
      <c r="H9764" s="1" t="str">
        <f>IF(Table2[[#This Row],[Description]]="","",VLOOKUP(Table2[[#This Row],[Description]],$Q$1:$S$101,3,FALSE))</f>
        <v/>
      </c>
      <c r="I9764" s="1" t="str">
        <f>IF(Table2[[#This Row],[Description]]="","",IF(Table2[[#This Row],[Currency]]=$O$2,$P$2,HLOOKUP(Table2[[#This Row],[Date]],Funds!$C$10:$GV$11,2,FALSE)))</f>
        <v/>
      </c>
      <c r="J9764" s="215" t="str">
        <f>IF(Table2[[#This Row],[Description]]="","",Table2[[#This Row],[Value]]/Table2[[#This Row],[Conversion]])</f>
        <v/>
      </c>
      <c r="K9764" s="45" t="str">
        <f>IF(Table2[[#This Row],[Description]]="","",DATE(Table2[[#This Row],[Year]],Table2[[#This Row],[Month]],1))</f>
        <v/>
      </c>
    </row>
    <row r="9765" spans="7:11" x14ac:dyDescent="0.25">
      <c r="G9765" s="1" t="str">
        <f>IF(Table2[[#This Row],[Description]]="","",VLOOKUP(Table2[[#This Row],[Description]],$Q$1:$S$101,2,FALSE))</f>
        <v/>
      </c>
      <c r="H9765" s="1" t="str">
        <f>IF(Table2[[#This Row],[Description]]="","",VLOOKUP(Table2[[#This Row],[Description]],$Q$1:$S$101,3,FALSE))</f>
        <v/>
      </c>
      <c r="I9765" s="1" t="str">
        <f>IF(Table2[[#This Row],[Description]]="","",IF(Table2[[#This Row],[Currency]]=$O$2,$P$2,HLOOKUP(Table2[[#This Row],[Date]],Funds!$C$10:$GV$11,2,FALSE)))</f>
        <v/>
      </c>
      <c r="J9765" s="215" t="str">
        <f>IF(Table2[[#This Row],[Description]]="","",Table2[[#This Row],[Value]]/Table2[[#This Row],[Conversion]])</f>
        <v/>
      </c>
      <c r="K9765" s="45" t="str">
        <f>IF(Table2[[#This Row],[Description]]="","",DATE(Table2[[#This Row],[Year]],Table2[[#This Row],[Month]],1))</f>
        <v/>
      </c>
    </row>
    <row r="9766" spans="7:11" x14ac:dyDescent="0.25">
      <c r="G9766" s="1" t="str">
        <f>IF(Table2[[#This Row],[Description]]="","",VLOOKUP(Table2[[#This Row],[Description]],$Q$1:$S$101,2,FALSE))</f>
        <v/>
      </c>
      <c r="H9766" s="1" t="str">
        <f>IF(Table2[[#This Row],[Description]]="","",VLOOKUP(Table2[[#This Row],[Description]],$Q$1:$S$101,3,FALSE))</f>
        <v/>
      </c>
      <c r="I9766" s="1" t="str">
        <f>IF(Table2[[#This Row],[Description]]="","",IF(Table2[[#This Row],[Currency]]=$O$2,$P$2,HLOOKUP(Table2[[#This Row],[Date]],Funds!$C$10:$GV$11,2,FALSE)))</f>
        <v/>
      </c>
      <c r="J9766" s="215" t="str">
        <f>IF(Table2[[#This Row],[Description]]="","",Table2[[#This Row],[Value]]/Table2[[#This Row],[Conversion]])</f>
        <v/>
      </c>
      <c r="K9766" s="45" t="str">
        <f>IF(Table2[[#This Row],[Description]]="","",DATE(Table2[[#This Row],[Year]],Table2[[#This Row],[Month]],1))</f>
        <v/>
      </c>
    </row>
    <row r="9767" spans="7:11" x14ac:dyDescent="0.25">
      <c r="G9767" s="1" t="str">
        <f>IF(Table2[[#This Row],[Description]]="","",VLOOKUP(Table2[[#This Row],[Description]],$Q$1:$S$101,2,FALSE))</f>
        <v/>
      </c>
      <c r="H9767" s="1" t="str">
        <f>IF(Table2[[#This Row],[Description]]="","",VLOOKUP(Table2[[#This Row],[Description]],$Q$1:$S$101,3,FALSE))</f>
        <v/>
      </c>
      <c r="I9767" s="1" t="str">
        <f>IF(Table2[[#This Row],[Description]]="","",IF(Table2[[#This Row],[Currency]]=$O$2,$P$2,HLOOKUP(Table2[[#This Row],[Date]],Funds!$C$10:$GV$11,2,FALSE)))</f>
        <v/>
      </c>
      <c r="J9767" s="215" t="str">
        <f>IF(Table2[[#This Row],[Description]]="","",Table2[[#This Row],[Value]]/Table2[[#This Row],[Conversion]])</f>
        <v/>
      </c>
      <c r="K9767" s="45" t="str">
        <f>IF(Table2[[#This Row],[Description]]="","",DATE(Table2[[#This Row],[Year]],Table2[[#This Row],[Month]],1))</f>
        <v/>
      </c>
    </row>
    <row r="9768" spans="7:11" x14ac:dyDescent="0.25">
      <c r="G9768" s="1" t="str">
        <f>IF(Table2[[#This Row],[Description]]="","",VLOOKUP(Table2[[#This Row],[Description]],$Q$1:$S$101,2,FALSE))</f>
        <v/>
      </c>
      <c r="H9768" s="1" t="str">
        <f>IF(Table2[[#This Row],[Description]]="","",VLOOKUP(Table2[[#This Row],[Description]],$Q$1:$S$101,3,FALSE))</f>
        <v/>
      </c>
      <c r="I9768" s="1" t="str">
        <f>IF(Table2[[#This Row],[Description]]="","",IF(Table2[[#This Row],[Currency]]=$O$2,$P$2,HLOOKUP(Table2[[#This Row],[Date]],Funds!$C$10:$GV$11,2,FALSE)))</f>
        <v/>
      </c>
      <c r="J9768" s="215" t="str">
        <f>IF(Table2[[#This Row],[Description]]="","",Table2[[#This Row],[Value]]/Table2[[#This Row],[Conversion]])</f>
        <v/>
      </c>
      <c r="K9768" s="45" t="str">
        <f>IF(Table2[[#This Row],[Description]]="","",DATE(Table2[[#This Row],[Year]],Table2[[#This Row],[Month]],1))</f>
        <v/>
      </c>
    </row>
    <row r="9769" spans="7:11" x14ac:dyDescent="0.25">
      <c r="G9769" s="1" t="str">
        <f>IF(Table2[[#This Row],[Description]]="","",VLOOKUP(Table2[[#This Row],[Description]],$Q$1:$S$101,2,FALSE))</f>
        <v/>
      </c>
      <c r="H9769" s="1" t="str">
        <f>IF(Table2[[#This Row],[Description]]="","",VLOOKUP(Table2[[#This Row],[Description]],$Q$1:$S$101,3,FALSE))</f>
        <v/>
      </c>
      <c r="I9769" s="1" t="str">
        <f>IF(Table2[[#This Row],[Description]]="","",IF(Table2[[#This Row],[Currency]]=$O$2,$P$2,HLOOKUP(Table2[[#This Row],[Date]],Funds!$C$10:$GV$11,2,FALSE)))</f>
        <v/>
      </c>
      <c r="J9769" s="215" t="str">
        <f>IF(Table2[[#This Row],[Description]]="","",Table2[[#This Row],[Value]]/Table2[[#This Row],[Conversion]])</f>
        <v/>
      </c>
      <c r="K9769" s="45" t="str">
        <f>IF(Table2[[#This Row],[Description]]="","",DATE(Table2[[#This Row],[Year]],Table2[[#This Row],[Month]],1))</f>
        <v/>
      </c>
    </row>
    <row r="9770" spans="7:11" x14ac:dyDescent="0.25">
      <c r="G9770" s="1" t="str">
        <f>IF(Table2[[#This Row],[Description]]="","",VLOOKUP(Table2[[#This Row],[Description]],$Q$1:$S$101,2,FALSE))</f>
        <v/>
      </c>
      <c r="H9770" s="1" t="str">
        <f>IF(Table2[[#This Row],[Description]]="","",VLOOKUP(Table2[[#This Row],[Description]],$Q$1:$S$101,3,FALSE))</f>
        <v/>
      </c>
      <c r="I9770" s="1" t="str">
        <f>IF(Table2[[#This Row],[Description]]="","",IF(Table2[[#This Row],[Currency]]=$O$2,$P$2,HLOOKUP(Table2[[#This Row],[Date]],Funds!$C$10:$GV$11,2,FALSE)))</f>
        <v/>
      </c>
      <c r="J9770" s="215" t="str">
        <f>IF(Table2[[#This Row],[Description]]="","",Table2[[#This Row],[Value]]/Table2[[#This Row],[Conversion]])</f>
        <v/>
      </c>
      <c r="K9770" s="45" t="str">
        <f>IF(Table2[[#This Row],[Description]]="","",DATE(Table2[[#This Row],[Year]],Table2[[#This Row],[Month]],1))</f>
        <v/>
      </c>
    </row>
    <row r="9771" spans="7:11" x14ac:dyDescent="0.25">
      <c r="G9771" s="1" t="str">
        <f>IF(Table2[[#This Row],[Description]]="","",VLOOKUP(Table2[[#This Row],[Description]],$Q$1:$S$101,2,FALSE))</f>
        <v/>
      </c>
      <c r="H9771" s="1" t="str">
        <f>IF(Table2[[#This Row],[Description]]="","",VLOOKUP(Table2[[#This Row],[Description]],$Q$1:$S$101,3,FALSE))</f>
        <v/>
      </c>
      <c r="I9771" s="1" t="str">
        <f>IF(Table2[[#This Row],[Description]]="","",IF(Table2[[#This Row],[Currency]]=$O$2,$P$2,HLOOKUP(Table2[[#This Row],[Date]],Funds!$C$10:$GV$11,2,FALSE)))</f>
        <v/>
      </c>
      <c r="J9771" s="215" t="str">
        <f>IF(Table2[[#This Row],[Description]]="","",Table2[[#This Row],[Value]]/Table2[[#This Row],[Conversion]])</f>
        <v/>
      </c>
      <c r="K9771" s="45" t="str">
        <f>IF(Table2[[#This Row],[Description]]="","",DATE(Table2[[#This Row],[Year]],Table2[[#This Row],[Month]],1))</f>
        <v/>
      </c>
    </row>
    <row r="9772" spans="7:11" x14ac:dyDescent="0.25">
      <c r="G9772" s="1" t="str">
        <f>IF(Table2[[#This Row],[Description]]="","",VLOOKUP(Table2[[#This Row],[Description]],$Q$1:$S$101,2,FALSE))</f>
        <v/>
      </c>
      <c r="H9772" s="1" t="str">
        <f>IF(Table2[[#This Row],[Description]]="","",VLOOKUP(Table2[[#This Row],[Description]],$Q$1:$S$101,3,FALSE))</f>
        <v/>
      </c>
      <c r="I9772" s="1" t="str">
        <f>IF(Table2[[#This Row],[Description]]="","",IF(Table2[[#This Row],[Currency]]=$O$2,$P$2,HLOOKUP(Table2[[#This Row],[Date]],Funds!$C$10:$GV$11,2,FALSE)))</f>
        <v/>
      </c>
      <c r="J9772" s="215" t="str">
        <f>IF(Table2[[#This Row],[Description]]="","",Table2[[#This Row],[Value]]/Table2[[#This Row],[Conversion]])</f>
        <v/>
      </c>
      <c r="K9772" s="45" t="str">
        <f>IF(Table2[[#This Row],[Description]]="","",DATE(Table2[[#This Row],[Year]],Table2[[#This Row],[Month]],1))</f>
        <v/>
      </c>
    </row>
    <row r="9773" spans="7:11" x14ac:dyDescent="0.25">
      <c r="G9773" s="1" t="str">
        <f>IF(Table2[[#This Row],[Description]]="","",VLOOKUP(Table2[[#This Row],[Description]],$Q$1:$S$101,2,FALSE))</f>
        <v/>
      </c>
      <c r="H9773" s="1" t="str">
        <f>IF(Table2[[#This Row],[Description]]="","",VLOOKUP(Table2[[#This Row],[Description]],$Q$1:$S$101,3,FALSE))</f>
        <v/>
      </c>
      <c r="I9773" s="1" t="str">
        <f>IF(Table2[[#This Row],[Description]]="","",IF(Table2[[#This Row],[Currency]]=$O$2,$P$2,HLOOKUP(Table2[[#This Row],[Date]],Funds!$C$10:$GV$11,2,FALSE)))</f>
        <v/>
      </c>
      <c r="J9773" s="215" t="str">
        <f>IF(Table2[[#This Row],[Description]]="","",Table2[[#This Row],[Value]]/Table2[[#This Row],[Conversion]])</f>
        <v/>
      </c>
      <c r="K9773" s="45" t="str">
        <f>IF(Table2[[#This Row],[Description]]="","",DATE(Table2[[#This Row],[Year]],Table2[[#This Row],[Month]],1))</f>
        <v/>
      </c>
    </row>
    <row r="9774" spans="7:11" x14ac:dyDescent="0.25">
      <c r="G9774" s="1" t="str">
        <f>IF(Table2[[#This Row],[Description]]="","",VLOOKUP(Table2[[#This Row],[Description]],$Q$1:$S$101,2,FALSE))</f>
        <v/>
      </c>
      <c r="H9774" s="1" t="str">
        <f>IF(Table2[[#This Row],[Description]]="","",VLOOKUP(Table2[[#This Row],[Description]],$Q$1:$S$101,3,FALSE))</f>
        <v/>
      </c>
      <c r="I9774" s="1" t="str">
        <f>IF(Table2[[#This Row],[Description]]="","",IF(Table2[[#This Row],[Currency]]=$O$2,$P$2,HLOOKUP(Table2[[#This Row],[Date]],Funds!$C$10:$GV$11,2,FALSE)))</f>
        <v/>
      </c>
      <c r="J9774" s="215" t="str">
        <f>IF(Table2[[#This Row],[Description]]="","",Table2[[#This Row],[Value]]/Table2[[#This Row],[Conversion]])</f>
        <v/>
      </c>
      <c r="K9774" s="45" t="str">
        <f>IF(Table2[[#This Row],[Description]]="","",DATE(Table2[[#This Row],[Year]],Table2[[#This Row],[Month]],1))</f>
        <v/>
      </c>
    </row>
    <row r="9775" spans="7:11" x14ac:dyDescent="0.25">
      <c r="G9775" s="1" t="str">
        <f>IF(Table2[[#This Row],[Description]]="","",VLOOKUP(Table2[[#This Row],[Description]],$Q$1:$S$101,2,FALSE))</f>
        <v/>
      </c>
      <c r="H9775" s="1" t="str">
        <f>IF(Table2[[#This Row],[Description]]="","",VLOOKUP(Table2[[#This Row],[Description]],$Q$1:$S$101,3,FALSE))</f>
        <v/>
      </c>
      <c r="I9775" s="1" t="str">
        <f>IF(Table2[[#This Row],[Description]]="","",IF(Table2[[#This Row],[Currency]]=$O$2,$P$2,HLOOKUP(Table2[[#This Row],[Date]],Funds!$C$10:$GV$11,2,FALSE)))</f>
        <v/>
      </c>
      <c r="J9775" s="215" t="str">
        <f>IF(Table2[[#This Row],[Description]]="","",Table2[[#This Row],[Value]]/Table2[[#This Row],[Conversion]])</f>
        <v/>
      </c>
      <c r="K9775" s="45" t="str">
        <f>IF(Table2[[#This Row],[Description]]="","",DATE(Table2[[#This Row],[Year]],Table2[[#This Row],[Month]],1))</f>
        <v/>
      </c>
    </row>
    <row r="9776" spans="7:11" x14ac:dyDescent="0.25">
      <c r="G9776" s="1" t="str">
        <f>IF(Table2[[#This Row],[Description]]="","",VLOOKUP(Table2[[#This Row],[Description]],$Q$1:$S$101,2,FALSE))</f>
        <v/>
      </c>
      <c r="H9776" s="1" t="str">
        <f>IF(Table2[[#This Row],[Description]]="","",VLOOKUP(Table2[[#This Row],[Description]],$Q$1:$S$101,3,FALSE))</f>
        <v/>
      </c>
      <c r="I9776" s="1" t="str">
        <f>IF(Table2[[#This Row],[Description]]="","",IF(Table2[[#This Row],[Currency]]=$O$2,$P$2,HLOOKUP(Table2[[#This Row],[Date]],Funds!$C$10:$GV$11,2,FALSE)))</f>
        <v/>
      </c>
      <c r="J9776" s="215" t="str">
        <f>IF(Table2[[#This Row],[Description]]="","",Table2[[#This Row],[Value]]/Table2[[#This Row],[Conversion]])</f>
        <v/>
      </c>
      <c r="K9776" s="45" t="str">
        <f>IF(Table2[[#This Row],[Description]]="","",DATE(Table2[[#This Row],[Year]],Table2[[#This Row],[Month]],1))</f>
        <v/>
      </c>
    </row>
    <row r="9777" spans="7:11" x14ac:dyDescent="0.25">
      <c r="G9777" s="1" t="str">
        <f>IF(Table2[[#This Row],[Description]]="","",VLOOKUP(Table2[[#This Row],[Description]],$Q$1:$S$101,2,FALSE))</f>
        <v/>
      </c>
      <c r="H9777" s="1" t="str">
        <f>IF(Table2[[#This Row],[Description]]="","",VLOOKUP(Table2[[#This Row],[Description]],$Q$1:$S$101,3,FALSE))</f>
        <v/>
      </c>
      <c r="I9777" s="1" t="str">
        <f>IF(Table2[[#This Row],[Description]]="","",IF(Table2[[#This Row],[Currency]]=$O$2,$P$2,HLOOKUP(Table2[[#This Row],[Date]],Funds!$C$10:$GV$11,2,FALSE)))</f>
        <v/>
      </c>
      <c r="J9777" s="215" t="str">
        <f>IF(Table2[[#This Row],[Description]]="","",Table2[[#This Row],[Value]]/Table2[[#This Row],[Conversion]])</f>
        <v/>
      </c>
      <c r="K9777" s="45" t="str">
        <f>IF(Table2[[#This Row],[Description]]="","",DATE(Table2[[#This Row],[Year]],Table2[[#This Row],[Month]],1))</f>
        <v/>
      </c>
    </row>
    <row r="9778" spans="7:11" x14ac:dyDescent="0.25">
      <c r="G9778" s="1" t="str">
        <f>IF(Table2[[#This Row],[Description]]="","",VLOOKUP(Table2[[#This Row],[Description]],$Q$1:$S$101,2,FALSE))</f>
        <v/>
      </c>
      <c r="H9778" s="1" t="str">
        <f>IF(Table2[[#This Row],[Description]]="","",VLOOKUP(Table2[[#This Row],[Description]],$Q$1:$S$101,3,FALSE))</f>
        <v/>
      </c>
      <c r="I9778" s="1" t="str">
        <f>IF(Table2[[#This Row],[Description]]="","",IF(Table2[[#This Row],[Currency]]=$O$2,$P$2,HLOOKUP(Table2[[#This Row],[Date]],Funds!$C$10:$GV$11,2,FALSE)))</f>
        <v/>
      </c>
      <c r="J9778" s="215" t="str">
        <f>IF(Table2[[#This Row],[Description]]="","",Table2[[#This Row],[Value]]/Table2[[#This Row],[Conversion]])</f>
        <v/>
      </c>
      <c r="K9778" s="45" t="str">
        <f>IF(Table2[[#This Row],[Description]]="","",DATE(Table2[[#This Row],[Year]],Table2[[#This Row],[Month]],1))</f>
        <v/>
      </c>
    </row>
    <row r="9779" spans="7:11" x14ac:dyDescent="0.25">
      <c r="G9779" s="1" t="str">
        <f>IF(Table2[[#This Row],[Description]]="","",VLOOKUP(Table2[[#This Row],[Description]],$Q$1:$S$101,2,FALSE))</f>
        <v/>
      </c>
      <c r="H9779" s="1" t="str">
        <f>IF(Table2[[#This Row],[Description]]="","",VLOOKUP(Table2[[#This Row],[Description]],$Q$1:$S$101,3,FALSE))</f>
        <v/>
      </c>
      <c r="I9779" s="1" t="str">
        <f>IF(Table2[[#This Row],[Description]]="","",IF(Table2[[#This Row],[Currency]]=$O$2,$P$2,HLOOKUP(Table2[[#This Row],[Date]],Funds!$C$10:$GV$11,2,FALSE)))</f>
        <v/>
      </c>
      <c r="J9779" s="215" t="str">
        <f>IF(Table2[[#This Row],[Description]]="","",Table2[[#This Row],[Value]]/Table2[[#This Row],[Conversion]])</f>
        <v/>
      </c>
      <c r="K9779" s="45" t="str">
        <f>IF(Table2[[#This Row],[Description]]="","",DATE(Table2[[#This Row],[Year]],Table2[[#This Row],[Month]],1))</f>
        <v/>
      </c>
    </row>
    <row r="9780" spans="7:11" x14ac:dyDescent="0.25">
      <c r="G9780" s="1" t="str">
        <f>IF(Table2[[#This Row],[Description]]="","",VLOOKUP(Table2[[#This Row],[Description]],$Q$1:$S$101,2,FALSE))</f>
        <v/>
      </c>
      <c r="H9780" s="1" t="str">
        <f>IF(Table2[[#This Row],[Description]]="","",VLOOKUP(Table2[[#This Row],[Description]],$Q$1:$S$101,3,FALSE))</f>
        <v/>
      </c>
      <c r="I9780" s="1" t="str">
        <f>IF(Table2[[#This Row],[Description]]="","",IF(Table2[[#This Row],[Currency]]=$O$2,$P$2,HLOOKUP(Table2[[#This Row],[Date]],Funds!$C$10:$GV$11,2,FALSE)))</f>
        <v/>
      </c>
      <c r="J9780" s="215" t="str">
        <f>IF(Table2[[#This Row],[Description]]="","",Table2[[#This Row],[Value]]/Table2[[#This Row],[Conversion]])</f>
        <v/>
      </c>
      <c r="K9780" s="45" t="str">
        <f>IF(Table2[[#This Row],[Description]]="","",DATE(Table2[[#This Row],[Year]],Table2[[#This Row],[Month]],1))</f>
        <v/>
      </c>
    </row>
    <row r="9781" spans="7:11" x14ac:dyDescent="0.25">
      <c r="G9781" s="1" t="str">
        <f>IF(Table2[[#This Row],[Description]]="","",VLOOKUP(Table2[[#This Row],[Description]],$Q$1:$S$101,2,FALSE))</f>
        <v/>
      </c>
      <c r="H9781" s="1" t="str">
        <f>IF(Table2[[#This Row],[Description]]="","",VLOOKUP(Table2[[#This Row],[Description]],$Q$1:$S$101,3,FALSE))</f>
        <v/>
      </c>
      <c r="I9781" s="1" t="str">
        <f>IF(Table2[[#This Row],[Description]]="","",IF(Table2[[#This Row],[Currency]]=$O$2,$P$2,HLOOKUP(Table2[[#This Row],[Date]],Funds!$C$10:$GV$11,2,FALSE)))</f>
        <v/>
      </c>
      <c r="J9781" s="215" t="str">
        <f>IF(Table2[[#This Row],[Description]]="","",Table2[[#This Row],[Value]]/Table2[[#This Row],[Conversion]])</f>
        <v/>
      </c>
      <c r="K9781" s="45" t="str">
        <f>IF(Table2[[#This Row],[Description]]="","",DATE(Table2[[#This Row],[Year]],Table2[[#This Row],[Month]],1))</f>
        <v/>
      </c>
    </row>
    <row r="9782" spans="7:11" x14ac:dyDescent="0.25">
      <c r="G9782" s="1" t="str">
        <f>IF(Table2[[#This Row],[Description]]="","",VLOOKUP(Table2[[#This Row],[Description]],$Q$1:$S$101,2,FALSE))</f>
        <v/>
      </c>
      <c r="H9782" s="1" t="str">
        <f>IF(Table2[[#This Row],[Description]]="","",VLOOKUP(Table2[[#This Row],[Description]],$Q$1:$S$101,3,FALSE))</f>
        <v/>
      </c>
      <c r="I9782" s="1" t="str">
        <f>IF(Table2[[#This Row],[Description]]="","",IF(Table2[[#This Row],[Currency]]=$O$2,$P$2,HLOOKUP(Table2[[#This Row],[Date]],Funds!$C$10:$GV$11,2,FALSE)))</f>
        <v/>
      </c>
      <c r="J9782" s="215" t="str">
        <f>IF(Table2[[#This Row],[Description]]="","",Table2[[#This Row],[Value]]/Table2[[#This Row],[Conversion]])</f>
        <v/>
      </c>
      <c r="K9782" s="45" t="str">
        <f>IF(Table2[[#This Row],[Description]]="","",DATE(Table2[[#This Row],[Year]],Table2[[#This Row],[Month]],1))</f>
        <v/>
      </c>
    </row>
    <row r="9783" spans="7:11" x14ac:dyDescent="0.25">
      <c r="G9783" s="1" t="str">
        <f>IF(Table2[[#This Row],[Description]]="","",VLOOKUP(Table2[[#This Row],[Description]],$Q$1:$S$101,2,FALSE))</f>
        <v/>
      </c>
      <c r="H9783" s="1" t="str">
        <f>IF(Table2[[#This Row],[Description]]="","",VLOOKUP(Table2[[#This Row],[Description]],$Q$1:$S$101,3,FALSE))</f>
        <v/>
      </c>
      <c r="I9783" s="1" t="str">
        <f>IF(Table2[[#This Row],[Description]]="","",IF(Table2[[#This Row],[Currency]]=$O$2,$P$2,HLOOKUP(Table2[[#This Row],[Date]],Funds!$C$10:$GV$11,2,FALSE)))</f>
        <v/>
      </c>
      <c r="J9783" s="215" t="str">
        <f>IF(Table2[[#This Row],[Description]]="","",Table2[[#This Row],[Value]]/Table2[[#This Row],[Conversion]])</f>
        <v/>
      </c>
      <c r="K9783" s="45" t="str">
        <f>IF(Table2[[#This Row],[Description]]="","",DATE(Table2[[#This Row],[Year]],Table2[[#This Row],[Month]],1))</f>
        <v/>
      </c>
    </row>
    <row r="9784" spans="7:11" x14ac:dyDescent="0.25">
      <c r="G9784" s="1" t="str">
        <f>IF(Table2[[#This Row],[Description]]="","",VLOOKUP(Table2[[#This Row],[Description]],$Q$1:$S$101,2,FALSE))</f>
        <v/>
      </c>
      <c r="H9784" s="1" t="str">
        <f>IF(Table2[[#This Row],[Description]]="","",VLOOKUP(Table2[[#This Row],[Description]],$Q$1:$S$101,3,FALSE))</f>
        <v/>
      </c>
      <c r="I9784" s="1" t="str">
        <f>IF(Table2[[#This Row],[Description]]="","",IF(Table2[[#This Row],[Currency]]=$O$2,$P$2,HLOOKUP(Table2[[#This Row],[Date]],Funds!$C$10:$GV$11,2,FALSE)))</f>
        <v/>
      </c>
      <c r="J9784" s="215" t="str">
        <f>IF(Table2[[#This Row],[Description]]="","",Table2[[#This Row],[Value]]/Table2[[#This Row],[Conversion]])</f>
        <v/>
      </c>
      <c r="K9784" s="45" t="str">
        <f>IF(Table2[[#This Row],[Description]]="","",DATE(Table2[[#This Row],[Year]],Table2[[#This Row],[Month]],1))</f>
        <v/>
      </c>
    </row>
    <row r="9785" spans="7:11" x14ac:dyDescent="0.25">
      <c r="G9785" s="1" t="str">
        <f>IF(Table2[[#This Row],[Description]]="","",VLOOKUP(Table2[[#This Row],[Description]],$Q$1:$S$101,2,FALSE))</f>
        <v/>
      </c>
      <c r="H9785" s="1" t="str">
        <f>IF(Table2[[#This Row],[Description]]="","",VLOOKUP(Table2[[#This Row],[Description]],$Q$1:$S$101,3,FALSE))</f>
        <v/>
      </c>
      <c r="I9785" s="1" t="str">
        <f>IF(Table2[[#This Row],[Description]]="","",IF(Table2[[#This Row],[Currency]]=$O$2,$P$2,HLOOKUP(Table2[[#This Row],[Date]],Funds!$C$10:$GV$11,2,FALSE)))</f>
        <v/>
      </c>
      <c r="J9785" s="215" t="str">
        <f>IF(Table2[[#This Row],[Description]]="","",Table2[[#This Row],[Value]]/Table2[[#This Row],[Conversion]])</f>
        <v/>
      </c>
      <c r="K9785" s="45" t="str">
        <f>IF(Table2[[#This Row],[Description]]="","",DATE(Table2[[#This Row],[Year]],Table2[[#This Row],[Month]],1))</f>
        <v/>
      </c>
    </row>
    <row r="9786" spans="7:11" x14ac:dyDescent="0.25">
      <c r="G9786" s="1" t="str">
        <f>IF(Table2[[#This Row],[Description]]="","",VLOOKUP(Table2[[#This Row],[Description]],$Q$1:$S$101,2,FALSE))</f>
        <v/>
      </c>
      <c r="H9786" s="1" t="str">
        <f>IF(Table2[[#This Row],[Description]]="","",VLOOKUP(Table2[[#This Row],[Description]],$Q$1:$S$101,3,FALSE))</f>
        <v/>
      </c>
      <c r="I9786" s="1" t="str">
        <f>IF(Table2[[#This Row],[Description]]="","",IF(Table2[[#This Row],[Currency]]=$O$2,$P$2,HLOOKUP(Table2[[#This Row],[Date]],Funds!$C$10:$GV$11,2,FALSE)))</f>
        <v/>
      </c>
      <c r="J9786" s="215" t="str">
        <f>IF(Table2[[#This Row],[Description]]="","",Table2[[#This Row],[Value]]/Table2[[#This Row],[Conversion]])</f>
        <v/>
      </c>
      <c r="K9786" s="45" t="str">
        <f>IF(Table2[[#This Row],[Description]]="","",DATE(Table2[[#This Row],[Year]],Table2[[#This Row],[Month]],1))</f>
        <v/>
      </c>
    </row>
    <row r="9787" spans="7:11" x14ac:dyDescent="0.25">
      <c r="G9787" s="1" t="str">
        <f>IF(Table2[[#This Row],[Description]]="","",VLOOKUP(Table2[[#This Row],[Description]],$Q$1:$S$101,2,FALSE))</f>
        <v/>
      </c>
      <c r="H9787" s="1" t="str">
        <f>IF(Table2[[#This Row],[Description]]="","",VLOOKUP(Table2[[#This Row],[Description]],$Q$1:$S$101,3,FALSE))</f>
        <v/>
      </c>
      <c r="I9787" s="1" t="str">
        <f>IF(Table2[[#This Row],[Description]]="","",IF(Table2[[#This Row],[Currency]]=$O$2,$P$2,HLOOKUP(Table2[[#This Row],[Date]],Funds!$C$10:$GV$11,2,FALSE)))</f>
        <v/>
      </c>
      <c r="J9787" s="215" t="str">
        <f>IF(Table2[[#This Row],[Description]]="","",Table2[[#This Row],[Value]]/Table2[[#This Row],[Conversion]])</f>
        <v/>
      </c>
      <c r="K9787" s="45" t="str">
        <f>IF(Table2[[#This Row],[Description]]="","",DATE(Table2[[#This Row],[Year]],Table2[[#This Row],[Month]],1))</f>
        <v/>
      </c>
    </row>
    <row r="9788" spans="7:11" x14ac:dyDescent="0.25">
      <c r="G9788" s="1" t="str">
        <f>IF(Table2[[#This Row],[Description]]="","",VLOOKUP(Table2[[#This Row],[Description]],$Q$1:$S$101,2,FALSE))</f>
        <v/>
      </c>
      <c r="H9788" s="1" t="str">
        <f>IF(Table2[[#This Row],[Description]]="","",VLOOKUP(Table2[[#This Row],[Description]],$Q$1:$S$101,3,FALSE))</f>
        <v/>
      </c>
      <c r="I9788" s="1" t="str">
        <f>IF(Table2[[#This Row],[Description]]="","",IF(Table2[[#This Row],[Currency]]=$O$2,$P$2,HLOOKUP(Table2[[#This Row],[Date]],Funds!$C$10:$GV$11,2,FALSE)))</f>
        <v/>
      </c>
      <c r="J9788" s="215" t="str">
        <f>IF(Table2[[#This Row],[Description]]="","",Table2[[#This Row],[Value]]/Table2[[#This Row],[Conversion]])</f>
        <v/>
      </c>
      <c r="K9788" s="45" t="str">
        <f>IF(Table2[[#This Row],[Description]]="","",DATE(Table2[[#This Row],[Year]],Table2[[#This Row],[Month]],1))</f>
        <v/>
      </c>
    </row>
    <row r="9789" spans="7:11" x14ac:dyDescent="0.25">
      <c r="G9789" s="1" t="str">
        <f>IF(Table2[[#This Row],[Description]]="","",VLOOKUP(Table2[[#This Row],[Description]],$Q$1:$S$101,2,FALSE))</f>
        <v/>
      </c>
      <c r="H9789" s="1" t="str">
        <f>IF(Table2[[#This Row],[Description]]="","",VLOOKUP(Table2[[#This Row],[Description]],$Q$1:$S$101,3,FALSE))</f>
        <v/>
      </c>
      <c r="I9789" s="1" t="str">
        <f>IF(Table2[[#This Row],[Description]]="","",IF(Table2[[#This Row],[Currency]]=$O$2,$P$2,HLOOKUP(Table2[[#This Row],[Date]],Funds!$C$10:$GV$11,2,FALSE)))</f>
        <v/>
      </c>
      <c r="J9789" s="215" t="str">
        <f>IF(Table2[[#This Row],[Description]]="","",Table2[[#This Row],[Value]]/Table2[[#This Row],[Conversion]])</f>
        <v/>
      </c>
      <c r="K9789" s="45" t="str">
        <f>IF(Table2[[#This Row],[Description]]="","",DATE(Table2[[#This Row],[Year]],Table2[[#This Row],[Month]],1))</f>
        <v/>
      </c>
    </row>
    <row r="9790" spans="7:11" x14ac:dyDescent="0.25">
      <c r="G9790" s="1" t="str">
        <f>IF(Table2[[#This Row],[Description]]="","",VLOOKUP(Table2[[#This Row],[Description]],$Q$1:$S$101,2,FALSE))</f>
        <v/>
      </c>
      <c r="H9790" s="1" t="str">
        <f>IF(Table2[[#This Row],[Description]]="","",VLOOKUP(Table2[[#This Row],[Description]],$Q$1:$S$101,3,FALSE))</f>
        <v/>
      </c>
      <c r="I9790" s="1" t="str">
        <f>IF(Table2[[#This Row],[Description]]="","",IF(Table2[[#This Row],[Currency]]=$O$2,$P$2,HLOOKUP(Table2[[#This Row],[Date]],Funds!$C$10:$GV$11,2,FALSE)))</f>
        <v/>
      </c>
      <c r="J9790" s="215" t="str">
        <f>IF(Table2[[#This Row],[Description]]="","",Table2[[#This Row],[Value]]/Table2[[#This Row],[Conversion]])</f>
        <v/>
      </c>
      <c r="K9790" s="45" t="str">
        <f>IF(Table2[[#This Row],[Description]]="","",DATE(Table2[[#This Row],[Year]],Table2[[#This Row],[Month]],1))</f>
        <v/>
      </c>
    </row>
    <row r="9791" spans="7:11" x14ac:dyDescent="0.25">
      <c r="G9791" s="1" t="str">
        <f>IF(Table2[[#This Row],[Description]]="","",VLOOKUP(Table2[[#This Row],[Description]],$Q$1:$S$101,2,FALSE))</f>
        <v/>
      </c>
      <c r="H9791" s="1" t="str">
        <f>IF(Table2[[#This Row],[Description]]="","",VLOOKUP(Table2[[#This Row],[Description]],$Q$1:$S$101,3,FALSE))</f>
        <v/>
      </c>
      <c r="I9791" s="1" t="str">
        <f>IF(Table2[[#This Row],[Description]]="","",IF(Table2[[#This Row],[Currency]]=$O$2,$P$2,HLOOKUP(Table2[[#This Row],[Date]],Funds!$C$10:$GV$11,2,FALSE)))</f>
        <v/>
      </c>
      <c r="J9791" s="215" t="str">
        <f>IF(Table2[[#This Row],[Description]]="","",Table2[[#This Row],[Value]]/Table2[[#This Row],[Conversion]])</f>
        <v/>
      </c>
      <c r="K9791" s="45" t="str">
        <f>IF(Table2[[#This Row],[Description]]="","",DATE(Table2[[#This Row],[Year]],Table2[[#This Row],[Month]],1))</f>
        <v/>
      </c>
    </row>
    <row r="9792" spans="7:11" x14ac:dyDescent="0.25">
      <c r="G9792" s="1" t="str">
        <f>IF(Table2[[#This Row],[Description]]="","",VLOOKUP(Table2[[#This Row],[Description]],$Q$1:$S$101,2,FALSE))</f>
        <v/>
      </c>
      <c r="H9792" s="1" t="str">
        <f>IF(Table2[[#This Row],[Description]]="","",VLOOKUP(Table2[[#This Row],[Description]],$Q$1:$S$101,3,FALSE))</f>
        <v/>
      </c>
      <c r="I9792" s="1" t="str">
        <f>IF(Table2[[#This Row],[Description]]="","",IF(Table2[[#This Row],[Currency]]=$O$2,$P$2,HLOOKUP(Table2[[#This Row],[Date]],Funds!$C$10:$GV$11,2,FALSE)))</f>
        <v/>
      </c>
      <c r="J9792" s="215" t="str">
        <f>IF(Table2[[#This Row],[Description]]="","",Table2[[#This Row],[Value]]/Table2[[#This Row],[Conversion]])</f>
        <v/>
      </c>
      <c r="K9792" s="45" t="str">
        <f>IF(Table2[[#This Row],[Description]]="","",DATE(Table2[[#This Row],[Year]],Table2[[#This Row],[Month]],1))</f>
        <v/>
      </c>
    </row>
    <row r="9793" spans="7:11" x14ac:dyDescent="0.25">
      <c r="G9793" s="1" t="str">
        <f>IF(Table2[[#This Row],[Description]]="","",VLOOKUP(Table2[[#This Row],[Description]],$Q$1:$S$101,2,FALSE))</f>
        <v/>
      </c>
      <c r="H9793" s="1" t="str">
        <f>IF(Table2[[#This Row],[Description]]="","",VLOOKUP(Table2[[#This Row],[Description]],$Q$1:$S$101,3,FALSE))</f>
        <v/>
      </c>
      <c r="I9793" s="1" t="str">
        <f>IF(Table2[[#This Row],[Description]]="","",IF(Table2[[#This Row],[Currency]]=$O$2,$P$2,HLOOKUP(Table2[[#This Row],[Date]],Funds!$C$10:$GV$11,2,FALSE)))</f>
        <v/>
      </c>
      <c r="J9793" s="215" t="str">
        <f>IF(Table2[[#This Row],[Description]]="","",Table2[[#This Row],[Value]]/Table2[[#This Row],[Conversion]])</f>
        <v/>
      </c>
      <c r="K9793" s="45" t="str">
        <f>IF(Table2[[#This Row],[Description]]="","",DATE(Table2[[#This Row],[Year]],Table2[[#This Row],[Month]],1))</f>
        <v/>
      </c>
    </row>
    <row r="9794" spans="7:11" x14ac:dyDescent="0.25">
      <c r="G9794" s="1" t="str">
        <f>IF(Table2[[#This Row],[Description]]="","",VLOOKUP(Table2[[#This Row],[Description]],$Q$1:$S$101,2,FALSE))</f>
        <v/>
      </c>
      <c r="H9794" s="1" t="str">
        <f>IF(Table2[[#This Row],[Description]]="","",VLOOKUP(Table2[[#This Row],[Description]],$Q$1:$S$101,3,FALSE))</f>
        <v/>
      </c>
      <c r="I9794" s="1" t="str">
        <f>IF(Table2[[#This Row],[Description]]="","",IF(Table2[[#This Row],[Currency]]=$O$2,$P$2,HLOOKUP(Table2[[#This Row],[Date]],Funds!$C$10:$GV$11,2,FALSE)))</f>
        <v/>
      </c>
      <c r="J9794" s="215" t="str">
        <f>IF(Table2[[#This Row],[Description]]="","",Table2[[#This Row],[Value]]/Table2[[#This Row],[Conversion]])</f>
        <v/>
      </c>
      <c r="K9794" s="45" t="str">
        <f>IF(Table2[[#This Row],[Description]]="","",DATE(Table2[[#This Row],[Year]],Table2[[#This Row],[Month]],1))</f>
        <v/>
      </c>
    </row>
    <row r="9795" spans="7:11" x14ac:dyDescent="0.25">
      <c r="G9795" s="1" t="str">
        <f>IF(Table2[[#This Row],[Description]]="","",VLOOKUP(Table2[[#This Row],[Description]],$Q$1:$S$101,2,FALSE))</f>
        <v/>
      </c>
      <c r="H9795" s="1" t="str">
        <f>IF(Table2[[#This Row],[Description]]="","",VLOOKUP(Table2[[#This Row],[Description]],$Q$1:$S$101,3,FALSE))</f>
        <v/>
      </c>
      <c r="I9795" s="1" t="str">
        <f>IF(Table2[[#This Row],[Description]]="","",IF(Table2[[#This Row],[Currency]]=$O$2,$P$2,HLOOKUP(Table2[[#This Row],[Date]],Funds!$C$10:$GV$11,2,FALSE)))</f>
        <v/>
      </c>
      <c r="J9795" s="215" t="str">
        <f>IF(Table2[[#This Row],[Description]]="","",Table2[[#This Row],[Value]]/Table2[[#This Row],[Conversion]])</f>
        <v/>
      </c>
      <c r="K9795" s="45" t="str">
        <f>IF(Table2[[#This Row],[Description]]="","",DATE(Table2[[#This Row],[Year]],Table2[[#This Row],[Month]],1))</f>
        <v/>
      </c>
    </row>
    <row r="9796" spans="7:11" x14ac:dyDescent="0.25">
      <c r="G9796" s="1" t="str">
        <f>IF(Table2[[#This Row],[Description]]="","",VLOOKUP(Table2[[#This Row],[Description]],$Q$1:$S$101,2,FALSE))</f>
        <v/>
      </c>
      <c r="H9796" s="1" t="str">
        <f>IF(Table2[[#This Row],[Description]]="","",VLOOKUP(Table2[[#This Row],[Description]],$Q$1:$S$101,3,FALSE))</f>
        <v/>
      </c>
      <c r="I9796" s="1" t="str">
        <f>IF(Table2[[#This Row],[Description]]="","",IF(Table2[[#This Row],[Currency]]=$O$2,$P$2,HLOOKUP(Table2[[#This Row],[Date]],Funds!$C$10:$GV$11,2,FALSE)))</f>
        <v/>
      </c>
      <c r="J9796" s="215" t="str">
        <f>IF(Table2[[#This Row],[Description]]="","",Table2[[#This Row],[Value]]/Table2[[#This Row],[Conversion]])</f>
        <v/>
      </c>
      <c r="K9796" s="45" t="str">
        <f>IF(Table2[[#This Row],[Description]]="","",DATE(Table2[[#This Row],[Year]],Table2[[#This Row],[Month]],1))</f>
        <v/>
      </c>
    </row>
    <row r="9797" spans="7:11" x14ac:dyDescent="0.25">
      <c r="G9797" s="1" t="str">
        <f>IF(Table2[[#This Row],[Description]]="","",VLOOKUP(Table2[[#This Row],[Description]],$Q$1:$S$101,2,FALSE))</f>
        <v/>
      </c>
      <c r="H9797" s="1" t="str">
        <f>IF(Table2[[#This Row],[Description]]="","",VLOOKUP(Table2[[#This Row],[Description]],$Q$1:$S$101,3,FALSE))</f>
        <v/>
      </c>
      <c r="I9797" s="1" t="str">
        <f>IF(Table2[[#This Row],[Description]]="","",IF(Table2[[#This Row],[Currency]]=$O$2,$P$2,HLOOKUP(Table2[[#This Row],[Date]],Funds!$C$10:$GV$11,2,FALSE)))</f>
        <v/>
      </c>
      <c r="J9797" s="215" t="str">
        <f>IF(Table2[[#This Row],[Description]]="","",Table2[[#This Row],[Value]]/Table2[[#This Row],[Conversion]])</f>
        <v/>
      </c>
      <c r="K9797" s="45" t="str">
        <f>IF(Table2[[#This Row],[Description]]="","",DATE(Table2[[#This Row],[Year]],Table2[[#This Row],[Month]],1))</f>
        <v/>
      </c>
    </row>
    <row r="9798" spans="7:11" x14ac:dyDescent="0.25">
      <c r="G9798" s="1" t="str">
        <f>IF(Table2[[#This Row],[Description]]="","",VLOOKUP(Table2[[#This Row],[Description]],$Q$1:$S$101,2,FALSE))</f>
        <v/>
      </c>
      <c r="H9798" s="1" t="str">
        <f>IF(Table2[[#This Row],[Description]]="","",VLOOKUP(Table2[[#This Row],[Description]],$Q$1:$S$101,3,FALSE))</f>
        <v/>
      </c>
      <c r="I9798" s="1" t="str">
        <f>IF(Table2[[#This Row],[Description]]="","",IF(Table2[[#This Row],[Currency]]=$O$2,$P$2,HLOOKUP(Table2[[#This Row],[Date]],Funds!$C$10:$GV$11,2,FALSE)))</f>
        <v/>
      </c>
      <c r="J9798" s="215" t="str">
        <f>IF(Table2[[#This Row],[Description]]="","",Table2[[#This Row],[Value]]/Table2[[#This Row],[Conversion]])</f>
        <v/>
      </c>
      <c r="K9798" s="45" t="str">
        <f>IF(Table2[[#This Row],[Description]]="","",DATE(Table2[[#This Row],[Year]],Table2[[#This Row],[Month]],1))</f>
        <v/>
      </c>
    </row>
    <row r="9799" spans="7:11" x14ac:dyDescent="0.25">
      <c r="G9799" s="1" t="str">
        <f>IF(Table2[[#This Row],[Description]]="","",VLOOKUP(Table2[[#This Row],[Description]],$Q$1:$S$101,2,FALSE))</f>
        <v/>
      </c>
      <c r="H9799" s="1" t="str">
        <f>IF(Table2[[#This Row],[Description]]="","",VLOOKUP(Table2[[#This Row],[Description]],$Q$1:$S$101,3,FALSE))</f>
        <v/>
      </c>
      <c r="I9799" s="1" t="str">
        <f>IF(Table2[[#This Row],[Description]]="","",IF(Table2[[#This Row],[Currency]]=$O$2,$P$2,HLOOKUP(Table2[[#This Row],[Date]],Funds!$C$10:$GV$11,2,FALSE)))</f>
        <v/>
      </c>
      <c r="J9799" s="215" t="str">
        <f>IF(Table2[[#This Row],[Description]]="","",Table2[[#This Row],[Value]]/Table2[[#This Row],[Conversion]])</f>
        <v/>
      </c>
      <c r="K9799" s="45" t="str">
        <f>IF(Table2[[#This Row],[Description]]="","",DATE(Table2[[#This Row],[Year]],Table2[[#This Row],[Month]],1))</f>
        <v/>
      </c>
    </row>
    <row r="9800" spans="7:11" x14ac:dyDescent="0.25">
      <c r="G9800" s="1" t="str">
        <f>IF(Table2[[#This Row],[Description]]="","",VLOOKUP(Table2[[#This Row],[Description]],$Q$1:$S$101,2,FALSE))</f>
        <v/>
      </c>
      <c r="H9800" s="1" t="str">
        <f>IF(Table2[[#This Row],[Description]]="","",VLOOKUP(Table2[[#This Row],[Description]],$Q$1:$S$101,3,FALSE))</f>
        <v/>
      </c>
      <c r="I9800" s="1" t="str">
        <f>IF(Table2[[#This Row],[Description]]="","",IF(Table2[[#This Row],[Currency]]=$O$2,$P$2,HLOOKUP(Table2[[#This Row],[Date]],Funds!$C$10:$GV$11,2,FALSE)))</f>
        <v/>
      </c>
      <c r="J9800" s="215" t="str">
        <f>IF(Table2[[#This Row],[Description]]="","",Table2[[#This Row],[Value]]/Table2[[#This Row],[Conversion]])</f>
        <v/>
      </c>
      <c r="K9800" s="45" t="str">
        <f>IF(Table2[[#This Row],[Description]]="","",DATE(Table2[[#This Row],[Year]],Table2[[#This Row],[Month]],1))</f>
        <v/>
      </c>
    </row>
    <row r="9801" spans="7:11" x14ac:dyDescent="0.25">
      <c r="G9801" s="1" t="str">
        <f>IF(Table2[[#This Row],[Description]]="","",VLOOKUP(Table2[[#This Row],[Description]],$Q$1:$S$101,2,FALSE))</f>
        <v/>
      </c>
      <c r="H9801" s="1" t="str">
        <f>IF(Table2[[#This Row],[Description]]="","",VLOOKUP(Table2[[#This Row],[Description]],$Q$1:$S$101,3,FALSE))</f>
        <v/>
      </c>
      <c r="I9801" s="1" t="str">
        <f>IF(Table2[[#This Row],[Description]]="","",IF(Table2[[#This Row],[Currency]]=$O$2,$P$2,HLOOKUP(Table2[[#This Row],[Date]],Funds!$C$10:$GV$11,2,FALSE)))</f>
        <v/>
      </c>
      <c r="J9801" s="215" t="str">
        <f>IF(Table2[[#This Row],[Description]]="","",Table2[[#This Row],[Value]]/Table2[[#This Row],[Conversion]])</f>
        <v/>
      </c>
      <c r="K9801" s="45" t="str">
        <f>IF(Table2[[#This Row],[Description]]="","",DATE(Table2[[#This Row],[Year]],Table2[[#This Row],[Month]],1))</f>
        <v/>
      </c>
    </row>
    <row r="9802" spans="7:11" x14ac:dyDescent="0.25">
      <c r="G9802" s="1" t="str">
        <f>IF(Table2[[#This Row],[Description]]="","",VLOOKUP(Table2[[#This Row],[Description]],$Q$1:$S$101,2,FALSE))</f>
        <v/>
      </c>
      <c r="H9802" s="1" t="str">
        <f>IF(Table2[[#This Row],[Description]]="","",VLOOKUP(Table2[[#This Row],[Description]],$Q$1:$S$101,3,FALSE))</f>
        <v/>
      </c>
      <c r="I9802" s="1" t="str">
        <f>IF(Table2[[#This Row],[Description]]="","",IF(Table2[[#This Row],[Currency]]=$O$2,$P$2,HLOOKUP(Table2[[#This Row],[Date]],Funds!$C$10:$GV$11,2,FALSE)))</f>
        <v/>
      </c>
      <c r="J9802" s="215" t="str">
        <f>IF(Table2[[#This Row],[Description]]="","",Table2[[#This Row],[Value]]/Table2[[#This Row],[Conversion]])</f>
        <v/>
      </c>
      <c r="K9802" s="45" t="str">
        <f>IF(Table2[[#This Row],[Description]]="","",DATE(Table2[[#This Row],[Year]],Table2[[#This Row],[Month]],1))</f>
        <v/>
      </c>
    </row>
    <row r="9803" spans="7:11" x14ac:dyDescent="0.25">
      <c r="G9803" s="1" t="str">
        <f>IF(Table2[[#This Row],[Description]]="","",VLOOKUP(Table2[[#This Row],[Description]],$Q$1:$S$101,2,FALSE))</f>
        <v/>
      </c>
      <c r="H9803" s="1" t="str">
        <f>IF(Table2[[#This Row],[Description]]="","",VLOOKUP(Table2[[#This Row],[Description]],$Q$1:$S$101,3,FALSE))</f>
        <v/>
      </c>
      <c r="I9803" s="1" t="str">
        <f>IF(Table2[[#This Row],[Description]]="","",IF(Table2[[#This Row],[Currency]]=$O$2,$P$2,HLOOKUP(Table2[[#This Row],[Date]],Funds!$C$10:$GV$11,2,FALSE)))</f>
        <v/>
      </c>
      <c r="J9803" s="215" t="str">
        <f>IF(Table2[[#This Row],[Description]]="","",Table2[[#This Row],[Value]]/Table2[[#This Row],[Conversion]])</f>
        <v/>
      </c>
      <c r="K9803" s="45" t="str">
        <f>IF(Table2[[#This Row],[Description]]="","",DATE(Table2[[#This Row],[Year]],Table2[[#This Row],[Month]],1))</f>
        <v/>
      </c>
    </row>
    <row r="9804" spans="7:11" x14ac:dyDescent="0.25">
      <c r="G9804" s="1" t="str">
        <f>IF(Table2[[#This Row],[Description]]="","",VLOOKUP(Table2[[#This Row],[Description]],$Q$1:$S$101,2,FALSE))</f>
        <v/>
      </c>
      <c r="H9804" s="1" t="str">
        <f>IF(Table2[[#This Row],[Description]]="","",VLOOKUP(Table2[[#This Row],[Description]],$Q$1:$S$101,3,FALSE))</f>
        <v/>
      </c>
      <c r="I9804" s="1" t="str">
        <f>IF(Table2[[#This Row],[Description]]="","",IF(Table2[[#This Row],[Currency]]=$O$2,$P$2,HLOOKUP(Table2[[#This Row],[Date]],Funds!$C$10:$GV$11,2,FALSE)))</f>
        <v/>
      </c>
      <c r="J9804" s="215" t="str">
        <f>IF(Table2[[#This Row],[Description]]="","",Table2[[#This Row],[Value]]/Table2[[#This Row],[Conversion]])</f>
        <v/>
      </c>
      <c r="K9804" s="45" t="str">
        <f>IF(Table2[[#This Row],[Description]]="","",DATE(Table2[[#This Row],[Year]],Table2[[#This Row],[Month]],1))</f>
        <v/>
      </c>
    </row>
    <row r="9805" spans="7:11" x14ac:dyDescent="0.25">
      <c r="G9805" s="1" t="str">
        <f>IF(Table2[[#This Row],[Description]]="","",VLOOKUP(Table2[[#This Row],[Description]],$Q$1:$S$101,2,FALSE))</f>
        <v/>
      </c>
      <c r="H9805" s="1" t="str">
        <f>IF(Table2[[#This Row],[Description]]="","",VLOOKUP(Table2[[#This Row],[Description]],$Q$1:$S$101,3,FALSE))</f>
        <v/>
      </c>
      <c r="I9805" s="1" t="str">
        <f>IF(Table2[[#This Row],[Description]]="","",IF(Table2[[#This Row],[Currency]]=$O$2,$P$2,HLOOKUP(Table2[[#This Row],[Date]],Funds!$C$10:$GV$11,2,FALSE)))</f>
        <v/>
      </c>
      <c r="J9805" s="215" t="str">
        <f>IF(Table2[[#This Row],[Description]]="","",Table2[[#This Row],[Value]]/Table2[[#This Row],[Conversion]])</f>
        <v/>
      </c>
      <c r="K9805" s="45" t="str">
        <f>IF(Table2[[#This Row],[Description]]="","",DATE(Table2[[#This Row],[Year]],Table2[[#This Row],[Month]],1))</f>
        <v/>
      </c>
    </row>
    <row r="9806" spans="7:11" x14ac:dyDescent="0.25">
      <c r="G9806" s="1" t="str">
        <f>IF(Table2[[#This Row],[Description]]="","",VLOOKUP(Table2[[#This Row],[Description]],$Q$1:$S$101,2,FALSE))</f>
        <v/>
      </c>
      <c r="H9806" s="1" t="str">
        <f>IF(Table2[[#This Row],[Description]]="","",VLOOKUP(Table2[[#This Row],[Description]],$Q$1:$S$101,3,FALSE))</f>
        <v/>
      </c>
      <c r="I9806" s="1" t="str">
        <f>IF(Table2[[#This Row],[Description]]="","",IF(Table2[[#This Row],[Currency]]=$O$2,$P$2,HLOOKUP(Table2[[#This Row],[Date]],Funds!$C$10:$GV$11,2,FALSE)))</f>
        <v/>
      </c>
      <c r="J9806" s="215" t="str">
        <f>IF(Table2[[#This Row],[Description]]="","",Table2[[#This Row],[Value]]/Table2[[#This Row],[Conversion]])</f>
        <v/>
      </c>
      <c r="K9806" s="45" t="str">
        <f>IF(Table2[[#This Row],[Description]]="","",DATE(Table2[[#This Row],[Year]],Table2[[#This Row],[Month]],1))</f>
        <v/>
      </c>
    </row>
    <row r="9807" spans="7:11" x14ac:dyDescent="0.25">
      <c r="G9807" s="1" t="str">
        <f>IF(Table2[[#This Row],[Description]]="","",VLOOKUP(Table2[[#This Row],[Description]],$Q$1:$S$101,2,FALSE))</f>
        <v/>
      </c>
      <c r="H9807" s="1" t="str">
        <f>IF(Table2[[#This Row],[Description]]="","",VLOOKUP(Table2[[#This Row],[Description]],$Q$1:$S$101,3,FALSE))</f>
        <v/>
      </c>
      <c r="I9807" s="1" t="str">
        <f>IF(Table2[[#This Row],[Description]]="","",IF(Table2[[#This Row],[Currency]]=$O$2,$P$2,HLOOKUP(Table2[[#This Row],[Date]],Funds!$C$10:$GV$11,2,FALSE)))</f>
        <v/>
      </c>
      <c r="J9807" s="215" t="str">
        <f>IF(Table2[[#This Row],[Description]]="","",Table2[[#This Row],[Value]]/Table2[[#This Row],[Conversion]])</f>
        <v/>
      </c>
      <c r="K9807" s="45" t="str">
        <f>IF(Table2[[#This Row],[Description]]="","",DATE(Table2[[#This Row],[Year]],Table2[[#This Row],[Month]],1))</f>
        <v/>
      </c>
    </row>
    <row r="9808" spans="7:11" x14ac:dyDescent="0.25">
      <c r="G9808" s="1" t="str">
        <f>IF(Table2[[#This Row],[Description]]="","",VLOOKUP(Table2[[#This Row],[Description]],$Q$1:$S$101,2,FALSE))</f>
        <v/>
      </c>
      <c r="H9808" s="1" t="str">
        <f>IF(Table2[[#This Row],[Description]]="","",VLOOKUP(Table2[[#This Row],[Description]],$Q$1:$S$101,3,FALSE))</f>
        <v/>
      </c>
      <c r="I9808" s="1" t="str">
        <f>IF(Table2[[#This Row],[Description]]="","",IF(Table2[[#This Row],[Currency]]=$O$2,$P$2,HLOOKUP(Table2[[#This Row],[Date]],Funds!$C$10:$GV$11,2,FALSE)))</f>
        <v/>
      </c>
      <c r="J9808" s="215" t="str">
        <f>IF(Table2[[#This Row],[Description]]="","",Table2[[#This Row],[Value]]/Table2[[#This Row],[Conversion]])</f>
        <v/>
      </c>
      <c r="K9808" s="45" t="str">
        <f>IF(Table2[[#This Row],[Description]]="","",DATE(Table2[[#This Row],[Year]],Table2[[#This Row],[Month]],1))</f>
        <v/>
      </c>
    </row>
    <row r="9809" spans="7:11" x14ac:dyDescent="0.25">
      <c r="G9809" s="1" t="str">
        <f>IF(Table2[[#This Row],[Description]]="","",VLOOKUP(Table2[[#This Row],[Description]],$Q$1:$S$101,2,FALSE))</f>
        <v/>
      </c>
      <c r="H9809" s="1" t="str">
        <f>IF(Table2[[#This Row],[Description]]="","",VLOOKUP(Table2[[#This Row],[Description]],$Q$1:$S$101,3,FALSE))</f>
        <v/>
      </c>
      <c r="I9809" s="1" t="str">
        <f>IF(Table2[[#This Row],[Description]]="","",IF(Table2[[#This Row],[Currency]]=$O$2,$P$2,HLOOKUP(Table2[[#This Row],[Date]],Funds!$C$10:$GV$11,2,FALSE)))</f>
        <v/>
      </c>
      <c r="J9809" s="215" t="str">
        <f>IF(Table2[[#This Row],[Description]]="","",Table2[[#This Row],[Value]]/Table2[[#This Row],[Conversion]])</f>
        <v/>
      </c>
      <c r="K9809" s="45" t="str">
        <f>IF(Table2[[#This Row],[Description]]="","",DATE(Table2[[#This Row],[Year]],Table2[[#This Row],[Month]],1))</f>
        <v/>
      </c>
    </row>
    <row r="9810" spans="7:11" x14ac:dyDescent="0.25">
      <c r="G9810" s="1" t="str">
        <f>IF(Table2[[#This Row],[Description]]="","",VLOOKUP(Table2[[#This Row],[Description]],$Q$1:$S$101,2,FALSE))</f>
        <v/>
      </c>
      <c r="H9810" s="1" t="str">
        <f>IF(Table2[[#This Row],[Description]]="","",VLOOKUP(Table2[[#This Row],[Description]],$Q$1:$S$101,3,FALSE))</f>
        <v/>
      </c>
      <c r="I9810" s="1" t="str">
        <f>IF(Table2[[#This Row],[Description]]="","",IF(Table2[[#This Row],[Currency]]=$O$2,$P$2,HLOOKUP(Table2[[#This Row],[Date]],Funds!$C$10:$GV$11,2,FALSE)))</f>
        <v/>
      </c>
      <c r="J9810" s="215" t="str">
        <f>IF(Table2[[#This Row],[Description]]="","",Table2[[#This Row],[Value]]/Table2[[#This Row],[Conversion]])</f>
        <v/>
      </c>
      <c r="K9810" s="45" t="str">
        <f>IF(Table2[[#This Row],[Description]]="","",DATE(Table2[[#This Row],[Year]],Table2[[#This Row],[Month]],1))</f>
        <v/>
      </c>
    </row>
    <row r="9811" spans="7:11" x14ac:dyDescent="0.25">
      <c r="G9811" s="1" t="str">
        <f>IF(Table2[[#This Row],[Description]]="","",VLOOKUP(Table2[[#This Row],[Description]],$Q$1:$S$101,2,FALSE))</f>
        <v/>
      </c>
      <c r="H9811" s="1" t="str">
        <f>IF(Table2[[#This Row],[Description]]="","",VLOOKUP(Table2[[#This Row],[Description]],$Q$1:$S$101,3,FALSE))</f>
        <v/>
      </c>
      <c r="I9811" s="1" t="str">
        <f>IF(Table2[[#This Row],[Description]]="","",IF(Table2[[#This Row],[Currency]]=$O$2,$P$2,HLOOKUP(Table2[[#This Row],[Date]],Funds!$C$10:$GV$11,2,FALSE)))</f>
        <v/>
      </c>
      <c r="J9811" s="215" t="str">
        <f>IF(Table2[[#This Row],[Description]]="","",Table2[[#This Row],[Value]]/Table2[[#This Row],[Conversion]])</f>
        <v/>
      </c>
      <c r="K9811" s="45" t="str">
        <f>IF(Table2[[#This Row],[Description]]="","",DATE(Table2[[#This Row],[Year]],Table2[[#This Row],[Month]],1))</f>
        <v/>
      </c>
    </row>
    <row r="9812" spans="7:11" x14ac:dyDescent="0.25">
      <c r="G9812" s="1" t="str">
        <f>IF(Table2[[#This Row],[Description]]="","",VLOOKUP(Table2[[#This Row],[Description]],$Q$1:$S$101,2,FALSE))</f>
        <v/>
      </c>
      <c r="H9812" s="1" t="str">
        <f>IF(Table2[[#This Row],[Description]]="","",VLOOKUP(Table2[[#This Row],[Description]],$Q$1:$S$101,3,FALSE))</f>
        <v/>
      </c>
      <c r="I9812" s="1" t="str">
        <f>IF(Table2[[#This Row],[Description]]="","",IF(Table2[[#This Row],[Currency]]=$O$2,$P$2,HLOOKUP(Table2[[#This Row],[Date]],Funds!$C$10:$GV$11,2,FALSE)))</f>
        <v/>
      </c>
      <c r="J9812" s="215" t="str">
        <f>IF(Table2[[#This Row],[Description]]="","",Table2[[#This Row],[Value]]/Table2[[#This Row],[Conversion]])</f>
        <v/>
      </c>
      <c r="K9812" s="45" t="str">
        <f>IF(Table2[[#This Row],[Description]]="","",DATE(Table2[[#This Row],[Year]],Table2[[#This Row],[Month]],1))</f>
        <v/>
      </c>
    </row>
    <row r="9813" spans="7:11" x14ac:dyDescent="0.25">
      <c r="G9813" s="1" t="str">
        <f>IF(Table2[[#This Row],[Description]]="","",VLOOKUP(Table2[[#This Row],[Description]],$Q$1:$S$101,2,FALSE))</f>
        <v/>
      </c>
      <c r="H9813" s="1" t="str">
        <f>IF(Table2[[#This Row],[Description]]="","",VLOOKUP(Table2[[#This Row],[Description]],$Q$1:$S$101,3,FALSE))</f>
        <v/>
      </c>
      <c r="I9813" s="1" t="str">
        <f>IF(Table2[[#This Row],[Description]]="","",IF(Table2[[#This Row],[Currency]]=$O$2,$P$2,HLOOKUP(Table2[[#This Row],[Date]],Funds!$C$10:$GV$11,2,FALSE)))</f>
        <v/>
      </c>
      <c r="J9813" s="215" t="str">
        <f>IF(Table2[[#This Row],[Description]]="","",Table2[[#This Row],[Value]]/Table2[[#This Row],[Conversion]])</f>
        <v/>
      </c>
      <c r="K9813" s="45" t="str">
        <f>IF(Table2[[#This Row],[Description]]="","",DATE(Table2[[#This Row],[Year]],Table2[[#This Row],[Month]],1))</f>
        <v/>
      </c>
    </row>
    <row r="9814" spans="7:11" x14ac:dyDescent="0.25">
      <c r="G9814" s="1" t="str">
        <f>IF(Table2[[#This Row],[Description]]="","",VLOOKUP(Table2[[#This Row],[Description]],$Q$1:$S$101,2,FALSE))</f>
        <v/>
      </c>
      <c r="H9814" s="1" t="str">
        <f>IF(Table2[[#This Row],[Description]]="","",VLOOKUP(Table2[[#This Row],[Description]],$Q$1:$S$101,3,FALSE))</f>
        <v/>
      </c>
      <c r="I9814" s="1" t="str">
        <f>IF(Table2[[#This Row],[Description]]="","",IF(Table2[[#This Row],[Currency]]=$O$2,$P$2,HLOOKUP(Table2[[#This Row],[Date]],Funds!$C$10:$GV$11,2,FALSE)))</f>
        <v/>
      </c>
      <c r="J9814" s="215" t="str">
        <f>IF(Table2[[#This Row],[Description]]="","",Table2[[#This Row],[Value]]/Table2[[#This Row],[Conversion]])</f>
        <v/>
      </c>
      <c r="K9814" s="45" t="str">
        <f>IF(Table2[[#This Row],[Description]]="","",DATE(Table2[[#This Row],[Year]],Table2[[#This Row],[Month]],1))</f>
        <v/>
      </c>
    </row>
    <row r="9815" spans="7:11" x14ac:dyDescent="0.25">
      <c r="G9815" s="1" t="str">
        <f>IF(Table2[[#This Row],[Description]]="","",VLOOKUP(Table2[[#This Row],[Description]],$Q$1:$S$101,2,FALSE))</f>
        <v/>
      </c>
      <c r="H9815" s="1" t="str">
        <f>IF(Table2[[#This Row],[Description]]="","",VLOOKUP(Table2[[#This Row],[Description]],$Q$1:$S$101,3,FALSE))</f>
        <v/>
      </c>
      <c r="I9815" s="1" t="str">
        <f>IF(Table2[[#This Row],[Description]]="","",IF(Table2[[#This Row],[Currency]]=$O$2,$P$2,HLOOKUP(Table2[[#This Row],[Date]],Funds!$C$10:$GV$11,2,FALSE)))</f>
        <v/>
      </c>
      <c r="J9815" s="215" t="str">
        <f>IF(Table2[[#This Row],[Description]]="","",Table2[[#This Row],[Value]]/Table2[[#This Row],[Conversion]])</f>
        <v/>
      </c>
      <c r="K9815" s="45" t="str">
        <f>IF(Table2[[#This Row],[Description]]="","",DATE(Table2[[#This Row],[Year]],Table2[[#This Row],[Month]],1))</f>
        <v/>
      </c>
    </row>
    <row r="9816" spans="7:11" x14ac:dyDescent="0.25">
      <c r="G9816" s="1" t="str">
        <f>IF(Table2[[#This Row],[Description]]="","",VLOOKUP(Table2[[#This Row],[Description]],$Q$1:$S$101,2,FALSE))</f>
        <v/>
      </c>
      <c r="H9816" s="1" t="str">
        <f>IF(Table2[[#This Row],[Description]]="","",VLOOKUP(Table2[[#This Row],[Description]],$Q$1:$S$101,3,FALSE))</f>
        <v/>
      </c>
      <c r="I9816" s="1" t="str">
        <f>IF(Table2[[#This Row],[Description]]="","",IF(Table2[[#This Row],[Currency]]=$O$2,$P$2,HLOOKUP(Table2[[#This Row],[Date]],Funds!$C$10:$GV$11,2,FALSE)))</f>
        <v/>
      </c>
      <c r="J9816" s="215" t="str">
        <f>IF(Table2[[#This Row],[Description]]="","",Table2[[#This Row],[Value]]/Table2[[#This Row],[Conversion]])</f>
        <v/>
      </c>
      <c r="K9816" s="45" t="str">
        <f>IF(Table2[[#This Row],[Description]]="","",DATE(Table2[[#This Row],[Year]],Table2[[#This Row],[Month]],1))</f>
        <v/>
      </c>
    </row>
    <row r="9817" spans="7:11" x14ac:dyDescent="0.25">
      <c r="G9817" s="1" t="str">
        <f>IF(Table2[[#This Row],[Description]]="","",VLOOKUP(Table2[[#This Row],[Description]],$Q$1:$S$101,2,FALSE))</f>
        <v/>
      </c>
      <c r="H9817" s="1" t="str">
        <f>IF(Table2[[#This Row],[Description]]="","",VLOOKUP(Table2[[#This Row],[Description]],$Q$1:$S$101,3,FALSE))</f>
        <v/>
      </c>
      <c r="I9817" s="1" t="str">
        <f>IF(Table2[[#This Row],[Description]]="","",IF(Table2[[#This Row],[Currency]]=$O$2,$P$2,HLOOKUP(Table2[[#This Row],[Date]],Funds!$C$10:$GV$11,2,FALSE)))</f>
        <v/>
      </c>
      <c r="J9817" s="215" t="str">
        <f>IF(Table2[[#This Row],[Description]]="","",Table2[[#This Row],[Value]]/Table2[[#This Row],[Conversion]])</f>
        <v/>
      </c>
      <c r="K9817" s="45" t="str">
        <f>IF(Table2[[#This Row],[Description]]="","",DATE(Table2[[#This Row],[Year]],Table2[[#This Row],[Month]],1))</f>
        <v/>
      </c>
    </row>
    <row r="9818" spans="7:11" x14ac:dyDescent="0.25">
      <c r="G9818" s="1" t="str">
        <f>IF(Table2[[#This Row],[Description]]="","",VLOOKUP(Table2[[#This Row],[Description]],$Q$1:$S$101,2,FALSE))</f>
        <v/>
      </c>
      <c r="H9818" s="1" t="str">
        <f>IF(Table2[[#This Row],[Description]]="","",VLOOKUP(Table2[[#This Row],[Description]],$Q$1:$S$101,3,FALSE))</f>
        <v/>
      </c>
      <c r="I9818" s="1" t="str">
        <f>IF(Table2[[#This Row],[Description]]="","",IF(Table2[[#This Row],[Currency]]=$O$2,$P$2,HLOOKUP(Table2[[#This Row],[Date]],Funds!$C$10:$GV$11,2,FALSE)))</f>
        <v/>
      </c>
      <c r="J9818" s="215" t="str">
        <f>IF(Table2[[#This Row],[Description]]="","",Table2[[#This Row],[Value]]/Table2[[#This Row],[Conversion]])</f>
        <v/>
      </c>
      <c r="K9818" s="45" t="str">
        <f>IF(Table2[[#This Row],[Description]]="","",DATE(Table2[[#This Row],[Year]],Table2[[#This Row],[Month]],1))</f>
        <v/>
      </c>
    </row>
    <row r="9819" spans="7:11" x14ac:dyDescent="0.25">
      <c r="G9819" s="1" t="str">
        <f>IF(Table2[[#This Row],[Description]]="","",VLOOKUP(Table2[[#This Row],[Description]],$Q$1:$S$101,2,FALSE))</f>
        <v/>
      </c>
      <c r="H9819" s="1" t="str">
        <f>IF(Table2[[#This Row],[Description]]="","",VLOOKUP(Table2[[#This Row],[Description]],$Q$1:$S$101,3,FALSE))</f>
        <v/>
      </c>
      <c r="I9819" s="1" t="str">
        <f>IF(Table2[[#This Row],[Description]]="","",IF(Table2[[#This Row],[Currency]]=$O$2,$P$2,HLOOKUP(Table2[[#This Row],[Date]],Funds!$C$10:$GV$11,2,FALSE)))</f>
        <v/>
      </c>
      <c r="J9819" s="215" t="str">
        <f>IF(Table2[[#This Row],[Description]]="","",Table2[[#This Row],[Value]]/Table2[[#This Row],[Conversion]])</f>
        <v/>
      </c>
      <c r="K9819" s="45" t="str">
        <f>IF(Table2[[#This Row],[Description]]="","",DATE(Table2[[#This Row],[Year]],Table2[[#This Row],[Month]],1))</f>
        <v/>
      </c>
    </row>
    <row r="9820" spans="7:11" x14ac:dyDescent="0.25">
      <c r="G9820" s="1" t="str">
        <f>IF(Table2[[#This Row],[Description]]="","",VLOOKUP(Table2[[#This Row],[Description]],$Q$1:$S$101,2,FALSE))</f>
        <v/>
      </c>
      <c r="H9820" s="1" t="str">
        <f>IF(Table2[[#This Row],[Description]]="","",VLOOKUP(Table2[[#This Row],[Description]],$Q$1:$S$101,3,FALSE))</f>
        <v/>
      </c>
      <c r="I9820" s="1" t="str">
        <f>IF(Table2[[#This Row],[Description]]="","",IF(Table2[[#This Row],[Currency]]=$O$2,$P$2,HLOOKUP(Table2[[#This Row],[Date]],Funds!$C$10:$GV$11,2,FALSE)))</f>
        <v/>
      </c>
      <c r="J9820" s="215" t="str">
        <f>IF(Table2[[#This Row],[Description]]="","",Table2[[#This Row],[Value]]/Table2[[#This Row],[Conversion]])</f>
        <v/>
      </c>
      <c r="K9820" s="45" t="str">
        <f>IF(Table2[[#This Row],[Description]]="","",DATE(Table2[[#This Row],[Year]],Table2[[#This Row],[Month]],1))</f>
        <v/>
      </c>
    </row>
    <row r="9821" spans="7:11" x14ac:dyDescent="0.25">
      <c r="G9821" s="1" t="str">
        <f>IF(Table2[[#This Row],[Description]]="","",VLOOKUP(Table2[[#This Row],[Description]],$Q$1:$S$101,2,FALSE))</f>
        <v/>
      </c>
      <c r="H9821" s="1" t="str">
        <f>IF(Table2[[#This Row],[Description]]="","",VLOOKUP(Table2[[#This Row],[Description]],$Q$1:$S$101,3,FALSE))</f>
        <v/>
      </c>
      <c r="I9821" s="1" t="str">
        <f>IF(Table2[[#This Row],[Description]]="","",IF(Table2[[#This Row],[Currency]]=$O$2,$P$2,HLOOKUP(Table2[[#This Row],[Date]],Funds!$C$10:$GV$11,2,FALSE)))</f>
        <v/>
      </c>
      <c r="J9821" s="215" t="str">
        <f>IF(Table2[[#This Row],[Description]]="","",Table2[[#This Row],[Value]]/Table2[[#This Row],[Conversion]])</f>
        <v/>
      </c>
      <c r="K9821" s="45" t="str">
        <f>IF(Table2[[#This Row],[Description]]="","",DATE(Table2[[#This Row],[Year]],Table2[[#This Row],[Month]],1))</f>
        <v/>
      </c>
    </row>
    <row r="9822" spans="7:11" x14ac:dyDescent="0.25">
      <c r="G9822" s="1" t="str">
        <f>IF(Table2[[#This Row],[Description]]="","",VLOOKUP(Table2[[#This Row],[Description]],$Q$1:$S$101,2,FALSE))</f>
        <v/>
      </c>
      <c r="H9822" s="1" t="str">
        <f>IF(Table2[[#This Row],[Description]]="","",VLOOKUP(Table2[[#This Row],[Description]],$Q$1:$S$101,3,FALSE))</f>
        <v/>
      </c>
      <c r="I9822" s="1" t="str">
        <f>IF(Table2[[#This Row],[Description]]="","",IF(Table2[[#This Row],[Currency]]=$O$2,$P$2,HLOOKUP(Table2[[#This Row],[Date]],Funds!$C$10:$GV$11,2,FALSE)))</f>
        <v/>
      </c>
      <c r="J9822" s="215" t="str">
        <f>IF(Table2[[#This Row],[Description]]="","",Table2[[#This Row],[Value]]/Table2[[#This Row],[Conversion]])</f>
        <v/>
      </c>
      <c r="K9822" s="45" t="str">
        <f>IF(Table2[[#This Row],[Description]]="","",DATE(Table2[[#This Row],[Year]],Table2[[#This Row],[Month]],1))</f>
        <v/>
      </c>
    </row>
    <row r="9823" spans="7:11" x14ac:dyDescent="0.25">
      <c r="G9823" s="1" t="str">
        <f>IF(Table2[[#This Row],[Description]]="","",VLOOKUP(Table2[[#This Row],[Description]],$Q$1:$S$101,2,FALSE))</f>
        <v/>
      </c>
      <c r="H9823" s="1" t="str">
        <f>IF(Table2[[#This Row],[Description]]="","",VLOOKUP(Table2[[#This Row],[Description]],$Q$1:$S$101,3,FALSE))</f>
        <v/>
      </c>
      <c r="I9823" s="1" t="str">
        <f>IF(Table2[[#This Row],[Description]]="","",IF(Table2[[#This Row],[Currency]]=$O$2,$P$2,HLOOKUP(Table2[[#This Row],[Date]],Funds!$C$10:$GV$11,2,FALSE)))</f>
        <v/>
      </c>
      <c r="J9823" s="215" t="str">
        <f>IF(Table2[[#This Row],[Description]]="","",Table2[[#This Row],[Value]]/Table2[[#This Row],[Conversion]])</f>
        <v/>
      </c>
      <c r="K9823" s="45" t="str">
        <f>IF(Table2[[#This Row],[Description]]="","",DATE(Table2[[#This Row],[Year]],Table2[[#This Row],[Month]],1))</f>
        <v/>
      </c>
    </row>
    <row r="9824" spans="7:11" x14ac:dyDescent="0.25">
      <c r="G9824" s="1" t="str">
        <f>IF(Table2[[#This Row],[Description]]="","",VLOOKUP(Table2[[#This Row],[Description]],$Q$1:$S$101,2,FALSE))</f>
        <v/>
      </c>
      <c r="H9824" s="1" t="str">
        <f>IF(Table2[[#This Row],[Description]]="","",VLOOKUP(Table2[[#This Row],[Description]],$Q$1:$S$101,3,FALSE))</f>
        <v/>
      </c>
      <c r="I9824" s="1" t="str">
        <f>IF(Table2[[#This Row],[Description]]="","",IF(Table2[[#This Row],[Currency]]=$O$2,$P$2,HLOOKUP(Table2[[#This Row],[Date]],Funds!$C$10:$GV$11,2,FALSE)))</f>
        <v/>
      </c>
      <c r="J9824" s="215" t="str">
        <f>IF(Table2[[#This Row],[Description]]="","",Table2[[#This Row],[Value]]/Table2[[#This Row],[Conversion]])</f>
        <v/>
      </c>
      <c r="K9824" s="45" t="str">
        <f>IF(Table2[[#This Row],[Description]]="","",DATE(Table2[[#This Row],[Year]],Table2[[#This Row],[Month]],1))</f>
        <v/>
      </c>
    </row>
    <row r="9825" spans="7:11" x14ac:dyDescent="0.25">
      <c r="G9825" s="1" t="str">
        <f>IF(Table2[[#This Row],[Description]]="","",VLOOKUP(Table2[[#This Row],[Description]],$Q$1:$S$101,2,FALSE))</f>
        <v/>
      </c>
      <c r="H9825" s="1" t="str">
        <f>IF(Table2[[#This Row],[Description]]="","",VLOOKUP(Table2[[#This Row],[Description]],$Q$1:$S$101,3,FALSE))</f>
        <v/>
      </c>
      <c r="I9825" s="1" t="str">
        <f>IF(Table2[[#This Row],[Description]]="","",IF(Table2[[#This Row],[Currency]]=$O$2,$P$2,HLOOKUP(Table2[[#This Row],[Date]],Funds!$C$10:$GV$11,2,FALSE)))</f>
        <v/>
      </c>
      <c r="J9825" s="215" t="str">
        <f>IF(Table2[[#This Row],[Description]]="","",Table2[[#This Row],[Value]]/Table2[[#This Row],[Conversion]])</f>
        <v/>
      </c>
      <c r="K9825" s="45" t="str">
        <f>IF(Table2[[#This Row],[Description]]="","",DATE(Table2[[#This Row],[Year]],Table2[[#This Row],[Month]],1))</f>
        <v/>
      </c>
    </row>
    <row r="9826" spans="7:11" x14ac:dyDescent="0.25">
      <c r="G9826" s="1" t="str">
        <f>IF(Table2[[#This Row],[Description]]="","",VLOOKUP(Table2[[#This Row],[Description]],$Q$1:$S$101,2,FALSE))</f>
        <v/>
      </c>
      <c r="H9826" s="1" t="str">
        <f>IF(Table2[[#This Row],[Description]]="","",VLOOKUP(Table2[[#This Row],[Description]],$Q$1:$S$101,3,FALSE))</f>
        <v/>
      </c>
      <c r="I9826" s="1" t="str">
        <f>IF(Table2[[#This Row],[Description]]="","",IF(Table2[[#This Row],[Currency]]=$O$2,$P$2,HLOOKUP(Table2[[#This Row],[Date]],Funds!$C$10:$GV$11,2,FALSE)))</f>
        <v/>
      </c>
      <c r="J9826" s="215" t="str">
        <f>IF(Table2[[#This Row],[Description]]="","",Table2[[#This Row],[Value]]/Table2[[#This Row],[Conversion]])</f>
        <v/>
      </c>
      <c r="K9826" s="45" t="str">
        <f>IF(Table2[[#This Row],[Description]]="","",DATE(Table2[[#This Row],[Year]],Table2[[#This Row],[Month]],1))</f>
        <v/>
      </c>
    </row>
    <row r="9827" spans="7:11" x14ac:dyDescent="0.25">
      <c r="G9827" s="1" t="str">
        <f>IF(Table2[[#This Row],[Description]]="","",VLOOKUP(Table2[[#This Row],[Description]],$Q$1:$S$101,2,FALSE))</f>
        <v/>
      </c>
      <c r="H9827" s="1" t="str">
        <f>IF(Table2[[#This Row],[Description]]="","",VLOOKUP(Table2[[#This Row],[Description]],$Q$1:$S$101,3,FALSE))</f>
        <v/>
      </c>
      <c r="I9827" s="1" t="str">
        <f>IF(Table2[[#This Row],[Description]]="","",IF(Table2[[#This Row],[Currency]]=$O$2,$P$2,HLOOKUP(Table2[[#This Row],[Date]],Funds!$C$10:$GV$11,2,FALSE)))</f>
        <v/>
      </c>
      <c r="J9827" s="215" t="str">
        <f>IF(Table2[[#This Row],[Description]]="","",Table2[[#This Row],[Value]]/Table2[[#This Row],[Conversion]])</f>
        <v/>
      </c>
      <c r="K9827" s="45" t="str">
        <f>IF(Table2[[#This Row],[Description]]="","",DATE(Table2[[#This Row],[Year]],Table2[[#This Row],[Month]],1))</f>
        <v/>
      </c>
    </row>
    <row r="9828" spans="7:11" x14ac:dyDescent="0.25">
      <c r="G9828" s="1" t="str">
        <f>IF(Table2[[#This Row],[Description]]="","",VLOOKUP(Table2[[#This Row],[Description]],$Q$1:$S$101,2,FALSE))</f>
        <v/>
      </c>
      <c r="H9828" s="1" t="str">
        <f>IF(Table2[[#This Row],[Description]]="","",VLOOKUP(Table2[[#This Row],[Description]],$Q$1:$S$101,3,FALSE))</f>
        <v/>
      </c>
      <c r="I9828" s="1" t="str">
        <f>IF(Table2[[#This Row],[Description]]="","",IF(Table2[[#This Row],[Currency]]=$O$2,$P$2,HLOOKUP(Table2[[#This Row],[Date]],Funds!$C$10:$GV$11,2,FALSE)))</f>
        <v/>
      </c>
      <c r="J9828" s="215" t="str">
        <f>IF(Table2[[#This Row],[Description]]="","",Table2[[#This Row],[Value]]/Table2[[#This Row],[Conversion]])</f>
        <v/>
      </c>
      <c r="K9828" s="45" t="str">
        <f>IF(Table2[[#This Row],[Description]]="","",DATE(Table2[[#This Row],[Year]],Table2[[#This Row],[Month]],1))</f>
        <v/>
      </c>
    </row>
    <row r="9829" spans="7:11" x14ac:dyDescent="0.25">
      <c r="G9829" s="1" t="str">
        <f>IF(Table2[[#This Row],[Description]]="","",VLOOKUP(Table2[[#This Row],[Description]],$Q$1:$S$101,2,FALSE))</f>
        <v/>
      </c>
      <c r="H9829" s="1" t="str">
        <f>IF(Table2[[#This Row],[Description]]="","",VLOOKUP(Table2[[#This Row],[Description]],$Q$1:$S$101,3,FALSE))</f>
        <v/>
      </c>
      <c r="I9829" s="1" t="str">
        <f>IF(Table2[[#This Row],[Description]]="","",IF(Table2[[#This Row],[Currency]]=$O$2,$P$2,HLOOKUP(Table2[[#This Row],[Date]],Funds!$C$10:$GV$11,2,FALSE)))</f>
        <v/>
      </c>
      <c r="J9829" s="215" t="str">
        <f>IF(Table2[[#This Row],[Description]]="","",Table2[[#This Row],[Value]]/Table2[[#This Row],[Conversion]])</f>
        <v/>
      </c>
      <c r="K9829" s="45" t="str">
        <f>IF(Table2[[#This Row],[Description]]="","",DATE(Table2[[#This Row],[Year]],Table2[[#This Row],[Month]],1))</f>
        <v/>
      </c>
    </row>
    <row r="9830" spans="7:11" x14ac:dyDescent="0.25">
      <c r="G9830" s="1" t="str">
        <f>IF(Table2[[#This Row],[Description]]="","",VLOOKUP(Table2[[#This Row],[Description]],$Q$1:$S$101,2,FALSE))</f>
        <v/>
      </c>
      <c r="H9830" s="1" t="str">
        <f>IF(Table2[[#This Row],[Description]]="","",VLOOKUP(Table2[[#This Row],[Description]],$Q$1:$S$101,3,FALSE))</f>
        <v/>
      </c>
      <c r="I9830" s="1" t="str">
        <f>IF(Table2[[#This Row],[Description]]="","",IF(Table2[[#This Row],[Currency]]=$O$2,$P$2,HLOOKUP(Table2[[#This Row],[Date]],Funds!$C$10:$GV$11,2,FALSE)))</f>
        <v/>
      </c>
      <c r="J9830" s="215" t="str">
        <f>IF(Table2[[#This Row],[Description]]="","",Table2[[#This Row],[Value]]/Table2[[#This Row],[Conversion]])</f>
        <v/>
      </c>
      <c r="K9830" s="45" t="str">
        <f>IF(Table2[[#This Row],[Description]]="","",DATE(Table2[[#This Row],[Year]],Table2[[#This Row],[Month]],1))</f>
        <v/>
      </c>
    </row>
    <row r="9831" spans="7:11" x14ac:dyDescent="0.25">
      <c r="G9831" s="1" t="str">
        <f>IF(Table2[[#This Row],[Description]]="","",VLOOKUP(Table2[[#This Row],[Description]],$Q$1:$S$101,2,FALSE))</f>
        <v/>
      </c>
      <c r="H9831" s="1" t="str">
        <f>IF(Table2[[#This Row],[Description]]="","",VLOOKUP(Table2[[#This Row],[Description]],$Q$1:$S$101,3,FALSE))</f>
        <v/>
      </c>
      <c r="I9831" s="1" t="str">
        <f>IF(Table2[[#This Row],[Description]]="","",IF(Table2[[#This Row],[Currency]]=$O$2,$P$2,HLOOKUP(Table2[[#This Row],[Date]],Funds!$C$10:$GV$11,2,FALSE)))</f>
        <v/>
      </c>
      <c r="J9831" s="215" t="str">
        <f>IF(Table2[[#This Row],[Description]]="","",Table2[[#This Row],[Value]]/Table2[[#This Row],[Conversion]])</f>
        <v/>
      </c>
      <c r="K9831" s="45" t="str">
        <f>IF(Table2[[#This Row],[Description]]="","",DATE(Table2[[#This Row],[Year]],Table2[[#This Row],[Month]],1))</f>
        <v/>
      </c>
    </row>
    <row r="9832" spans="7:11" x14ac:dyDescent="0.25">
      <c r="G9832" s="1" t="str">
        <f>IF(Table2[[#This Row],[Description]]="","",VLOOKUP(Table2[[#This Row],[Description]],$Q$1:$S$101,2,FALSE))</f>
        <v/>
      </c>
      <c r="H9832" s="1" t="str">
        <f>IF(Table2[[#This Row],[Description]]="","",VLOOKUP(Table2[[#This Row],[Description]],$Q$1:$S$101,3,FALSE))</f>
        <v/>
      </c>
      <c r="I9832" s="1" t="str">
        <f>IF(Table2[[#This Row],[Description]]="","",IF(Table2[[#This Row],[Currency]]=$O$2,$P$2,HLOOKUP(Table2[[#This Row],[Date]],Funds!$C$10:$GV$11,2,FALSE)))</f>
        <v/>
      </c>
      <c r="J9832" s="215" t="str">
        <f>IF(Table2[[#This Row],[Description]]="","",Table2[[#This Row],[Value]]/Table2[[#This Row],[Conversion]])</f>
        <v/>
      </c>
      <c r="K9832" s="45" t="str">
        <f>IF(Table2[[#This Row],[Description]]="","",DATE(Table2[[#This Row],[Year]],Table2[[#This Row],[Month]],1))</f>
        <v/>
      </c>
    </row>
    <row r="9833" spans="7:11" x14ac:dyDescent="0.25">
      <c r="G9833" s="1" t="str">
        <f>IF(Table2[[#This Row],[Description]]="","",VLOOKUP(Table2[[#This Row],[Description]],$Q$1:$S$101,2,FALSE))</f>
        <v/>
      </c>
      <c r="H9833" s="1" t="str">
        <f>IF(Table2[[#This Row],[Description]]="","",VLOOKUP(Table2[[#This Row],[Description]],$Q$1:$S$101,3,FALSE))</f>
        <v/>
      </c>
      <c r="I9833" s="1" t="str">
        <f>IF(Table2[[#This Row],[Description]]="","",IF(Table2[[#This Row],[Currency]]=$O$2,$P$2,HLOOKUP(Table2[[#This Row],[Date]],Funds!$C$10:$GV$11,2,FALSE)))</f>
        <v/>
      </c>
      <c r="J9833" s="215" t="str">
        <f>IF(Table2[[#This Row],[Description]]="","",Table2[[#This Row],[Value]]/Table2[[#This Row],[Conversion]])</f>
        <v/>
      </c>
      <c r="K9833" s="45" t="str">
        <f>IF(Table2[[#This Row],[Description]]="","",DATE(Table2[[#This Row],[Year]],Table2[[#This Row],[Month]],1))</f>
        <v/>
      </c>
    </row>
    <row r="9834" spans="7:11" x14ac:dyDescent="0.25">
      <c r="G9834" s="1" t="str">
        <f>IF(Table2[[#This Row],[Description]]="","",VLOOKUP(Table2[[#This Row],[Description]],$Q$1:$S$101,2,FALSE))</f>
        <v/>
      </c>
      <c r="H9834" s="1" t="str">
        <f>IF(Table2[[#This Row],[Description]]="","",VLOOKUP(Table2[[#This Row],[Description]],$Q$1:$S$101,3,FALSE))</f>
        <v/>
      </c>
      <c r="I9834" s="1" t="str">
        <f>IF(Table2[[#This Row],[Description]]="","",IF(Table2[[#This Row],[Currency]]=$O$2,$P$2,HLOOKUP(Table2[[#This Row],[Date]],Funds!$C$10:$GV$11,2,FALSE)))</f>
        <v/>
      </c>
      <c r="J9834" s="215" t="str">
        <f>IF(Table2[[#This Row],[Description]]="","",Table2[[#This Row],[Value]]/Table2[[#This Row],[Conversion]])</f>
        <v/>
      </c>
      <c r="K9834" s="45" t="str">
        <f>IF(Table2[[#This Row],[Description]]="","",DATE(Table2[[#This Row],[Year]],Table2[[#This Row],[Month]],1))</f>
        <v/>
      </c>
    </row>
    <row r="9835" spans="7:11" x14ac:dyDescent="0.25">
      <c r="G9835" s="1" t="str">
        <f>IF(Table2[[#This Row],[Description]]="","",VLOOKUP(Table2[[#This Row],[Description]],$Q$1:$S$101,2,FALSE))</f>
        <v/>
      </c>
      <c r="H9835" s="1" t="str">
        <f>IF(Table2[[#This Row],[Description]]="","",VLOOKUP(Table2[[#This Row],[Description]],$Q$1:$S$101,3,FALSE))</f>
        <v/>
      </c>
      <c r="I9835" s="1" t="str">
        <f>IF(Table2[[#This Row],[Description]]="","",IF(Table2[[#This Row],[Currency]]=$O$2,$P$2,HLOOKUP(Table2[[#This Row],[Date]],Funds!$C$10:$GV$11,2,FALSE)))</f>
        <v/>
      </c>
      <c r="J9835" s="215" t="str">
        <f>IF(Table2[[#This Row],[Description]]="","",Table2[[#This Row],[Value]]/Table2[[#This Row],[Conversion]])</f>
        <v/>
      </c>
      <c r="K9835" s="45" t="str">
        <f>IF(Table2[[#This Row],[Description]]="","",DATE(Table2[[#This Row],[Year]],Table2[[#This Row],[Month]],1))</f>
        <v/>
      </c>
    </row>
    <row r="9836" spans="7:11" x14ac:dyDescent="0.25">
      <c r="G9836" s="1" t="str">
        <f>IF(Table2[[#This Row],[Description]]="","",VLOOKUP(Table2[[#This Row],[Description]],$Q$1:$S$101,2,FALSE))</f>
        <v/>
      </c>
      <c r="H9836" s="1" t="str">
        <f>IF(Table2[[#This Row],[Description]]="","",VLOOKUP(Table2[[#This Row],[Description]],$Q$1:$S$101,3,FALSE))</f>
        <v/>
      </c>
      <c r="I9836" s="1" t="str">
        <f>IF(Table2[[#This Row],[Description]]="","",IF(Table2[[#This Row],[Currency]]=$O$2,$P$2,HLOOKUP(Table2[[#This Row],[Date]],Funds!$C$10:$GV$11,2,FALSE)))</f>
        <v/>
      </c>
      <c r="J9836" s="215" t="str">
        <f>IF(Table2[[#This Row],[Description]]="","",Table2[[#This Row],[Value]]/Table2[[#This Row],[Conversion]])</f>
        <v/>
      </c>
      <c r="K9836" s="45" t="str">
        <f>IF(Table2[[#This Row],[Description]]="","",DATE(Table2[[#This Row],[Year]],Table2[[#This Row],[Month]],1))</f>
        <v/>
      </c>
    </row>
    <row r="9837" spans="7:11" x14ac:dyDescent="0.25">
      <c r="G9837" s="1" t="str">
        <f>IF(Table2[[#This Row],[Description]]="","",VLOOKUP(Table2[[#This Row],[Description]],$Q$1:$S$101,2,FALSE))</f>
        <v/>
      </c>
      <c r="H9837" s="1" t="str">
        <f>IF(Table2[[#This Row],[Description]]="","",VLOOKUP(Table2[[#This Row],[Description]],$Q$1:$S$101,3,FALSE))</f>
        <v/>
      </c>
      <c r="I9837" s="1" t="str">
        <f>IF(Table2[[#This Row],[Description]]="","",IF(Table2[[#This Row],[Currency]]=$O$2,$P$2,HLOOKUP(Table2[[#This Row],[Date]],Funds!$C$10:$GV$11,2,FALSE)))</f>
        <v/>
      </c>
      <c r="J9837" s="215" t="str">
        <f>IF(Table2[[#This Row],[Description]]="","",Table2[[#This Row],[Value]]/Table2[[#This Row],[Conversion]])</f>
        <v/>
      </c>
      <c r="K9837" s="45" t="str">
        <f>IF(Table2[[#This Row],[Description]]="","",DATE(Table2[[#This Row],[Year]],Table2[[#This Row],[Month]],1))</f>
        <v/>
      </c>
    </row>
    <row r="9838" spans="7:11" x14ac:dyDescent="0.25">
      <c r="G9838" s="1" t="str">
        <f>IF(Table2[[#This Row],[Description]]="","",VLOOKUP(Table2[[#This Row],[Description]],$Q$1:$S$101,2,FALSE))</f>
        <v/>
      </c>
      <c r="H9838" s="1" t="str">
        <f>IF(Table2[[#This Row],[Description]]="","",VLOOKUP(Table2[[#This Row],[Description]],$Q$1:$S$101,3,FALSE))</f>
        <v/>
      </c>
      <c r="I9838" s="1" t="str">
        <f>IF(Table2[[#This Row],[Description]]="","",IF(Table2[[#This Row],[Currency]]=$O$2,$P$2,HLOOKUP(Table2[[#This Row],[Date]],Funds!$C$10:$GV$11,2,FALSE)))</f>
        <v/>
      </c>
      <c r="J9838" s="215" t="str">
        <f>IF(Table2[[#This Row],[Description]]="","",Table2[[#This Row],[Value]]/Table2[[#This Row],[Conversion]])</f>
        <v/>
      </c>
      <c r="K9838" s="45" t="str">
        <f>IF(Table2[[#This Row],[Description]]="","",DATE(Table2[[#This Row],[Year]],Table2[[#This Row],[Month]],1))</f>
        <v/>
      </c>
    </row>
    <row r="9839" spans="7:11" x14ac:dyDescent="0.25">
      <c r="G9839" s="1" t="str">
        <f>IF(Table2[[#This Row],[Description]]="","",VLOOKUP(Table2[[#This Row],[Description]],$Q$1:$S$101,2,FALSE))</f>
        <v/>
      </c>
      <c r="H9839" s="1" t="str">
        <f>IF(Table2[[#This Row],[Description]]="","",VLOOKUP(Table2[[#This Row],[Description]],$Q$1:$S$101,3,FALSE))</f>
        <v/>
      </c>
      <c r="I9839" s="1" t="str">
        <f>IF(Table2[[#This Row],[Description]]="","",IF(Table2[[#This Row],[Currency]]=$O$2,$P$2,HLOOKUP(Table2[[#This Row],[Date]],Funds!$C$10:$GV$11,2,FALSE)))</f>
        <v/>
      </c>
      <c r="J9839" s="215" t="str">
        <f>IF(Table2[[#This Row],[Description]]="","",Table2[[#This Row],[Value]]/Table2[[#This Row],[Conversion]])</f>
        <v/>
      </c>
      <c r="K9839" s="45" t="str">
        <f>IF(Table2[[#This Row],[Description]]="","",DATE(Table2[[#This Row],[Year]],Table2[[#This Row],[Month]],1))</f>
        <v/>
      </c>
    </row>
    <row r="9840" spans="7:11" x14ac:dyDescent="0.25">
      <c r="G9840" s="1" t="str">
        <f>IF(Table2[[#This Row],[Description]]="","",VLOOKUP(Table2[[#This Row],[Description]],$Q$1:$S$101,2,FALSE))</f>
        <v/>
      </c>
      <c r="H9840" s="1" t="str">
        <f>IF(Table2[[#This Row],[Description]]="","",VLOOKUP(Table2[[#This Row],[Description]],$Q$1:$S$101,3,FALSE))</f>
        <v/>
      </c>
      <c r="I9840" s="1" t="str">
        <f>IF(Table2[[#This Row],[Description]]="","",IF(Table2[[#This Row],[Currency]]=$O$2,$P$2,HLOOKUP(Table2[[#This Row],[Date]],Funds!$C$10:$GV$11,2,FALSE)))</f>
        <v/>
      </c>
      <c r="J9840" s="215" t="str">
        <f>IF(Table2[[#This Row],[Description]]="","",Table2[[#This Row],[Value]]/Table2[[#This Row],[Conversion]])</f>
        <v/>
      </c>
      <c r="K9840" s="45" t="str">
        <f>IF(Table2[[#This Row],[Description]]="","",DATE(Table2[[#This Row],[Year]],Table2[[#This Row],[Month]],1))</f>
        <v/>
      </c>
    </row>
    <row r="9841" spans="7:11" x14ac:dyDescent="0.25">
      <c r="G9841" s="1" t="str">
        <f>IF(Table2[[#This Row],[Description]]="","",VLOOKUP(Table2[[#This Row],[Description]],$Q$1:$S$101,2,FALSE))</f>
        <v/>
      </c>
      <c r="H9841" s="1" t="str">
        <f>IF(Table2[[#This Row],[Description]]="","",VLOOKUP(Table2[[#This Row],[Description]],$Q$1:$S$101,3,FALSE))</f>
        <v/>
      </c>
      <c r="I9841" s="1" t="str">
        <f>IF(Table2[[#This Row],[Description]]="","",IF(Table2[[#This Row],[Currency]]=$O$2,$P$2,HLOOKUP(Table2[[#This Row],[Date]],Funds!$C$10:$GV$11,2,FALSE)))</f>
        <v/>
      </c>
      <c r="J9841" s="215" t="str">
        <f>IF(Table2[[#This Row],[Description]]="","",Table2[[#This Row],[Value]]/Table2[[#This Row],[Conversion]])</f>
        <v/>
      </c>
      <c r="K9841" s="45" t="str">
        <f>IF(Table2[[#This Row],[Description]]="","",DATE(Table2[[#This Row],[Year]],Table2[[#This Row],[Month]],1))</f>
        <v/>
      </c>
    </row>
    <row r="9842" spans="7:11" x14ac:dyDescent="0.25">
      <c r="G9842" s="1" t="str">
        <f>IF(Table2[[#This Row],[Description]]="","",VLOOKUP(Table2[[#This Row],[Description]],$Q$1:$S$101,2,FALSE))</f>
        <v/>
      </c>
      <c r="H9842" s="1" t="str">
        <f>IF(Table2[[#This Row],[Description]]="","",VLOOKUP(Table2[[#This Row],[Description]],$Q$1:$S$101,3,FALSE))</f>
        <v/>
      </c>
      <c r="I9842" s="1" t="str">
        <f>IF(Table2[[#This Row],[Description]]="","",IF(Table2[[#This Row],[Currency]]=$O$2,$P$2,HLOOKUP(Table2[[#This Row],[Date]],Funds!$C$10:$GV$11,2,FALSE)))</f>
        <v/>
      </c>
      <c r="J9842" s="215" t="str">
        <f>IF(Table2[[#This Row],[Description]]="","",Table2[[#This Row],[Value]]/Table2[[#This Row],[Conversion]])</f>
        <v/>
      </c>
      <c r="K9842" s="45" t="str">
        <f>IF(Table2[[#This Row],[Description]]="","",DATE(Table2[[#This Row],[Year]],Table2[[#This Row],[Month]],1))</f>
        <v/>
      </c>
    </row>
    <row r="9843" spans="7:11" x14ac:dyDescent="0.25">
      <c r="G9843" s="1" t="str">
        <f>IF(Table2[[#This Row],[Description]]="","",VLOOKUP(Table2[[#This Row],[Description]],$Q$1:$S$101,2,FALSE))</f>
        <v/>
      </c>
      <c r="H9843" s="1" t="str">
        <f>IF(Table2[[#This Row],[Description]]="","",VLOOKUP(Table2[[#This Row],[Description]],$Q$1:$S$101,3,FALSE))</f>
        <v/>
      </c>
      <c r="I9843" s="1" t="str">
        <f>IF(Table2[[#This Row],[Description]]="","",IF(Table2[[#This Row],[Currency]]=$O$2,$P$2,HLOOKUP(Table2[[#This Row],[Date]],Funds!$C$10:$GV$11,2,FALSE)))</f>
        <v/>
      </c>
      <c r="J9843" s="215" t="str">
        <f>IF(Table2[[#This Row],[Description]]="","",Table2[[#This Row],[Value]]/Table2[[#This Row],[Conversion]])</f>
        <v/>
      </c>
      <c r="K9843" s="45" t="str">
        <f>IF(Table2[[#This Row],[Description]]="","",DATE(Table2[[#This Row],[Year]],Table2[[#This Row],[Month]],1))</f>
        <v/>
      </c>
    </row>
    <row r="9844" spans="7:11" x14ac:dyDescent="0.25">
      <c r="G9844" s="1" t="str">
        <f>IF(Table2[[#This Row],[Description]]="","",VLOOKUP(Table2[[#This Row],[Description]],$Q$1:$S$101,2,FALSE))</f>
        <v/>
      </c>
      <c r="H9844" s="1" t="str">
        <f>IF(Table2[[#This Row],[Description]]="","",VLOOKUP(Table2[[#This Row],[Description]],$Q$1:$S$101,3,FALSE))</f>
        <v/>
      </c>
      <c r="I9844" s="1" t="str">
        <f>IF(Table2[[#This Row],[Description]]="","",IF(Table2[[#This Row],[Currency]]=$O$2,$P$2,HLOOKUP(Table2[[#This Row],[Date]],Funds!$C$10:$GV$11,2,FALSE)))</f>
        <v/>
      </c>
      <c r="J9844" s="215" t="str">
        <f>IF(Table2[[#This Row],[Description]]="","",Table2[[#This Row],[Value]]/Table2[[#This Row],[Conversion]])</f>
        <v/>
      </c>
      <c r="K9844" s="45" t="str">
        <f>IF(Table2[[#This Row],[Description]]="","",DATE(Table2[[#This Row],[Year]],Table2[[#This Row],[Month]],1))</f>
        <v/>
      </c>
    </row>
    <row r="9845" spans="7:11" x14ac:dyDescent="0.25">
      <c r="G9845" s="1" t="str">
        <f>IF(Table2[[#This Row],[Description]]="","",VLOOKUP(Table2[[#This Row],[Description]],$Q$1:$S$101,2,FALSE))</f>
        <v/>
      </c>
      <c r="H9845" s="1" t="str">
        <f>IF(Table2[[#This Row],[Description]]="","",VLOOKUP(Table2[[#This Row],[Description]],$Q$1:$S$101,3,FALSE))</f>
        <v/>
      </c>
      <c r="I9845" s="1" t="str">
        <f>IF(Table2[[#This Row],[Description]]="","",IF(Table2[[#This Row],[Currency]]=$O$2,$P$2,HLOOKUP(Table2[[#This Row],[Date]],Funds!$C$10:$GV$11,2,FALSE)))</f>
        <v/>
      </c>
      <c r="J9845" s="215" t="str">
        <f>IF(Table2[[#This Row],[Description]]="","",Table2[[#This Row],[Value]]/Table2[[#This Row],[Conversion]])</f>
        <v/>
      </c>
      <c r="K9845" s="45" t="str">
        <f>IF(Table2[[#This Row],[Description]]="","",DATE(Table2[[#This Row],[Year]],Table2[[#This Row],[Month]],1))</f>
        <v/>
      </c>
    </row>
    <row r="9846" spans="7:11" x14ac:dyDescent="0.25">
      <c r="G9846" s="1" t="str">
        <f>IF(Table2[[#This Row],[Description]]="","",VLOOKUP(Table2[[#This Row],[Description]],$Q$1:$S$101,2,FALSE))</f>
        <v/>
      </c>
      <c r="H9846" s="1" t="str">
        <f>IF(Table2[[#This Row],[Description]]="","",VLOOKUP(Table2[[#This Row],[Description]],$Q$1:$S$101,3,FALSE))</f>
        <v/>
      </c>
      <c r="I9846" s="1" t="str">
        <f>IF(Table2[[#This Row],[Description]]="","",IF(Table2[[#This Row],[Currency]]=$O$2,$P$2,HLOOKUP(Table2[[#This Row],[Date]],Funds!$C$10:$GV$11,2,FALSE)))</f>
        <v/>
      </c>
      <c r="J9846" s="215" t="str">
        <f>IF(Table2[[#This Row],[Description]]="","",Table2[[#This Row],[Value]]/Table2[[#This Row],[Conversion]])</f>
        <v/>
      </c>
      <c r="K9846" s="45" t="str">
        <f>IF(Table2[[#This Row],[Description]]="","",DATE(Table2[[#This Row],[Year]],Table2[[#This Row],[Month]],1))</f>
        <v/>
      </c>
    </row>
    <row r="9847" spans="7:11" x14ac:dyDescent="0.25">
      <c r="G9847" s="1" t="str">
        <f>IF(Table2[[#This Row],[Description]]="","",VLOOKUP(Table2[[#This Row],[Description]],$Q$1:$S$101,2,FALSE))</f>
        <v/>
      </c>
      <c r="H9847" s="1" t="str">
        <f>IF(Table2[[#This Row],[Description]]="","",VLOOKUP(Table2[[#This Row],[Description]],$Q$1:$S$101,3,FALSE))</f>
        <v/>
      </c>
      <c r="I9847" s="1" t="str">
        <f>IF(Table2[[#This Row],[Description]]="","",IF(Table2[[#This Row],[Currency]]=$O$2,$P$2,HLOOKUP(Table2[[#This Row],[Date]],Funds!$C$10:$GV$11,2,FALSE)))</f>
        <v/>
      </c>
      <c r="J9847" s="215" t="str">
        <f>IF(Table2[[#This Row],[Description]]="","",Table2[[#This Row],[Value]]/Table2[[#This Row],[Conversion]])</f>
        <v/>
      </c>
      <c r="K9847" s="45" t="str">
        <f>IF(Table2[[#This Row],[Description]]="","",DATE(Table2[[#This Row],[Year]],Table2[[#This Row],[Month]],1))</f>
        <v/>
      </c>
    </row>
    <row r="9848" spans="7:11" x14ac:dyDescent="0.25">
      <c r="G9848" s="1" t="str">
        <f>IF(Table2[[#This Row],[Description]]="","",VLOOKUP(Table2[[#This Row],[Description]],$Q$1:$S$101,2,FALSE))</f>
        <v/>
      </c>
      <c r="H9848" s="1" t="str">
        <f>IF(Table2[[#This Row],[Description]]="","",VLOOKUP(Table2[[#This Row],[Description]],$Q$1:$S$101,3,FALSE))</f>
        <v/>
      </c>
      <c r="I9848" s="1" t="str">
        <f>IF(Table2[[#This Row],[Description]]="","",IF(Table2[[#This Row],[Currency]]=$O$2,$P$2,HLOOKUP(Table2[[#This Row],[Date]],Funds!$C$10:$GV$11,2,FALSE)))</f>
        <v/>
      </c>
      <c r="J9848" s="215" t="str">
        <f>IF(Table2[[#This Row],[Description]]="","",Table2[[#This Row],[Value]]/Table2[[#This Row],[Conversion]])</f>
        <v/>
      </c>
      <c r="K9848" s="45" t="str">
        <f>IF(Table2[[#This Row],[Description]]="","",DATE(Table2[[#This Row],[Year]],Table2[[#This Row],[Month]],1))</f>
        <v/>
      </c>
    </row>
    <row r="9849" spans="7:11" x14ac:dyDescent="0.25">
      <c r="G9849" s="1" t="str">
        <f>IF(Table2[[#This Row],[Description]]="","",VLOOKUP(Table2[[#This Row],[Description]],$Q$1:$S$101,2,FALSE))</f>
        <v/>
      </c>
      <c r="H9849" s="1" t="str">
        <f>IF(Table2[[#This Row],[Description]]="","",VLOOKUP(Table2[[#This Row],[Description]],$Q$1:$S$101,3,FALSE))</f>
        <v/>
      </c>
      <c r="I9849" s="1" t="str">
        <f>IF(Table2[[#This Row],[Description]]="","",IF(Table2[[#This Row],[Currency]]=$O$2,$P$2,HLOOKUP(Table2[[#This Row],[Date]],Funds!$C$10:$GV$11,2,FALSE)))</f>
        <v/>
      </c>
      <c r="J9849" s="215" t="str">
        <f>IF(Table2[[#This Row],[Description]]="","",Table2[[#This Row],[Value]]/Table2[[#This Row],[Conversion]])</f>
        <v/>
      </c>
      <c r="K9849" s="45" t="str">
        <f>IF(Table2[[#This Row],[Description]]="","",DATE(Table2[[#This Row],[Year]],Table2[[#This Row],[Month]],1))</f>
        <v/>
      </c>
    </row>
    <row r="9850" spans="7:11" x14ac:dyDescent="0.25">
      <c r="G9850" s="1" t="str">
        <f>IF(Table2[[#This Row],[Description]]="","",VLOOKUP(Table2[[#This Row],[Description]],$Q$1:$S$101,2,FALSE))</f>
        <v/>
      </c>
      <c r="H9850" s="1" t="str">
        <f>IF(Table2[[#This Row],[Description]]="","",VLOOKUP(Table2[[#This Row],[Description]],$Q$1:$S$101,3,FALSE))</f>
        <v/>
      </c>
      <c r="I9850" s="1" t="str">
        <f>IF(Table2[[#This Row],[Description]]="","",IF(Table2[[#This Row],[Currency]]=$O$2,$P$2,HLOOKUP(Table2[[#This Row],[Date]],Funds!$C$10:$GV$11,2,FALSE)))</f>
        <v/>
      </c>
      <c r="J9850" s="215" t="str">
        <f>IF(Table2[[#This Row],[Description]]="","",Table2[[#This Row],[Value]]/Table2[[#This Row],[Conversion]])</f>
        <v/>
      </c>
      <c r="K9850" s="45" t="str">
        <f>IF(Table2[[#This Row],[Description]]="","",DATE(Table2[[#This Row],[Year]],Table2[[#This Row],[Month]],1))</f>
        <v/>
      </c>
    </row>
    <row r="9851" spans="7:11" x14ac:dyDescent="0.25">
      <c r="G9851" s="1" t="str">
        <f>IF(Table2[[#This Row],[Description]]="","",VLOOKUP(Table2[[#This Row],[Description]],$Q$1:$S$101,2,FALSE))</f>
        <v/>
      </c>
      <c r="H9851" s="1" t="str">
        <f>IF(Table2[[#This Row],[Description]]="","",VLOOKUP(Table2[[#This Row],[Description]],$Q$1:$S$101,3,FALSE))</f>
        <v/>
      </c>
      <c r="I9851" s="1" t="str">
        <f>IF(Table2[[#This Row],[Description]]="","",IF(Table2[[#This Row],[Currency]]=$O$2,$P$2,HLOOKUP(Table2[[#This Row],[Date]],Funds!$C$10:$GV$11,2,FALSE)))</f>
        <v/>
      </c>
      <c r="J9851" s="215" t="str">
        <f>IF(Table2[[#This Row],[Description]]="","",Table2[[#This Row],[Value]]/Table2[[#This Row],[Conversion]])</f>
        <v/>
      </c>
      <c r="K9851" s="45" t="str">
        <f>IF(Table2[[#This Row],[Description]]="","",DATE(Table2[[#This Row],[Year]],Table2[[#This Row],[Month]],1))</f>
        <v/>
      </c>
    </row>
    <row r="9852" spans="7:11" x14ac:dyDescent="0.25">
      <c r="G9852" s="1" t="str">
        <f>IF(Table2[[#This Row],[Description]]="","",VLOOKUP(Table2[[#This Row],[Description]],$Q$1:$S$101,2,FALSE))</f>
        <v/>
      </c>
      <c r="H9852" s="1" t="str">
        <f>IF(Table2[[#This Row],[Description]]="","",VLOOKUP(Table2[[#This Row],[Description]],$Q$1:$S$101,3,FALSE))</f>
        <v/>
      </c>
      <c r="I9852" s="1" t="str">
        <f>IF(Table2[[#This Row],[Description]]="","",IF(Table2[[#This Row],[Currency]]=$O$2,$P$2,HLOOKUP(Table2[[#This Row],[Date]],Funds!$C$10:$GV$11,2,FALSE)))</f>
        <v/>
      </c>
      <c r="J9852" s="215" t="str">
        <f>IF(Table2[[#This Row],[Description]]="","",Table2[[#This Row],[Value]]/Table2[[#This Row],[Conversion]])</f>
        <v/>
      </c>
      <c r="K9852" s="45" t="str">
        <f>IF(Table2[[#This Row],[Description]]="","",DATE(Table2[[#This Row],[Year]],Table2[[#This Row],[Month]],1))</f>
        <v/>
      </c>
    </row>
    <row r="9853" spans="7:11" x14ac:dyDescent="0.25">
      <c r="G9853" s="1" t="str">
        <f>IF(Table2[[#This Row],[Description]]="","",VLOOKUP(Table2[[#This Row],[Description]],$Q$1:$S$101,2,FALSE))</f>
        <v/>
      </c>
      <c r="H9853" s="1" t="str">
        <f>IF(Table2[[#This Row],[Description]]="","",VLOOKUP(Table2[[#This Row],[Description]],$Q$1:$S$101,3,FALSE))</f>
        <v/>
      </c>
      <c r="I9853" s="1" t="str">
        <f>IF(Table2[[#This Row],[Description]]="","",IF(Table2[[#This Row],[Currency]]=$O$2,$P$2,HLOOKUP(Table2[[#This Row],[Date]],Funds!$C$10:$GV$11,2,FALSE)))</f>
        <v/>
      </c>
      <c r="J9853" s="215" t="str">
        <f>IF(Table2[[#This Row],[Description]]="","",Table2[[#This Row],[Value]]/Table2[[#This Row],[Conversion]])</f>
        <v/>
      </c>
      <c r="K9853" s="45" t="str">
        <f>IF(Table2[[#This Row],[Description]]="","",DATE(Table2[[#This Row],[Year]],Table2[[#This Row],[Month]],1))</f>
        <v/>
      </c>
    </row>
    <row r="9854" spans="7:11" x14ac:dyDescent="0.25">
      <c r="G9854" s="1" t="str">
        <f>IF(Table2[[#This Row],[Description]]="","",VLOOKUP(Table2[[#This Row],[Description]],$Q$1:$S$101,2,FALSE))</f>
        <v/>
      </c>
      <c r="H9854" s="1" t="str">
        <f>IF(Table2[[#This Row],[Description]]="","",VLOOKUP(Table2[[#This Row],[Description]],$Q$1:$S$101,3,FALSE))</f>
        <v/>
      </c>
      <c r="I9854" s="1" t="str">
        <f>IF(Table2[[#This Row],[Description]]="","",IF(Table2[[#This Row],[Currency]]=$O$2,$P$2,HLOOKUP(Table2[[#This Row],[Date]],Funds!$C$10:$GV$11,2,FALSE)))</f>
        <v/>
      </c>
      <c r="J9854" s="215" t="str">
        <f>IF(Table2[[#This Row],[Description]]="","",Table2[[#This Row],[Value]]/Table2[[#This Row],[Conversion]])</f>
        <v/>
      </c>
      <c r="K9854" s="45" t="str">
        <f>IF(Table2[[#This Row],[Description]]="","",DATE(Table2[[#This Row],[Year]],Table2[[#This Row],[Month]],1))</f>
        <v/>
      </c>
    </row>
    <row r="9855" spans="7:11" x14ac:dyDescent="0.25">
      <c r="G9855" s="1" t="str">
        <f>IF(Table2[[#This Row],[Description]]="","",VLOOKUP(Table2[[#This Row],[Description]],$Q$1:$S$101,2,FALSE))</f>
        <v/>
      </c>
      <c r="H9855" s="1" t="str">
        <f>IF(Table2[[#This Row],[Description]]="","",VLOOKUP(Table2[[#This Row],[Description]],$Q$1:$S$101,3,FALSE))</f>
        <v/>
      </c>
      <c r="I9855" s="1" t="str">
        <f>IF(Table2[[#This Row],[Description]]="","",IF(Table2[[#This Row],[Currency]]=$O$2,$P$2,HLOOKUP(Table2[[#This Row],[Date]],Funds!$C$10:$GV$11,2,FALSE)))</f>
        <v/>
      </c>
      <c r="J9855" s="215" t="str">
        <f>IF(Table2[[#This Row],[Description]]="","",Table2[[#This Row],[Value]]/Table2[[#This Row],[Conversion]])</f>
        <v/>
      </c>
      <c r="K9855" s="45" t="str">
        <f>IF(Table2[[#This Row],[Description]]="","",DATE(Table2[[#This Row],[Year]],Table2[[#This Row],[Month]],1))</f>
        <v/>
      </c>
    </row>
    <row r="9856" spans="7:11" x14ac:dyDescent="0.25">
      <c r="G9856" s="1" t="str">
        <f>IF(Table2[[#This Row],[Description]]="","",VLOOKUP(Table2[[#This Row],[Description]],$Q$1:$S$101,2,FALSE))</f>
        <v/>
      </c>
      <c r="H9856" s="1" t="str">
        <f>IF(Table2[[#This Row],[Description]]="","",VLOOKUP(Table2[[#This Row],[Description]],$Q$1:$S$101,3,FALSE))</f>
        <v/>
      </c>
      <c r="I9856" s="1" t="str">
        <f>IF(Table2[[#This Row],[Description]]="","",IF(Table2[[#This Row],[Currency]]=$O$2,$P$2,HLOOKUP(Table2[[#This Row],[Date]],Funds!$C$10:$GV$11,2,FALSE)))</f>
        <v/>
      </c>
      <c r="J9856" s="215" t="str">
        <f>IF(Table2[[#This Row],[Description]]="","",Table2[[#This Row],[Value]]/Table2[[#This Row],[Conversion]])</f>
        <v/>
      </c>
      <c r="K9856" s="45" t="str">
        <f>IF(Table2[[#This Row],[Description]]="","",DATE(Table2[[#This Row],[Year]],Table2[[#This Row],[Month]],1))</f>
        <v/>
      </c>
    </row>
    <row r="9857" spans="7:11" x14ac:dyDescent="0.25">
      <c r="G9857" s="1" t="str">
        <f>IF(Table2[[#This Row],[Description]]="","",VLOOKUP(Table2[[#This Row],[Description]],$Q$1:$S$101,2,FALSE))</f>
        <v/>
      </c>
      <c r="H9857" s="1" t="str">
        <f>IF(Table2[[#This Row],[Description]]="","",VLOOKUP(Table2[[#This Row],[Description]],$Q$1:$S$101,3,FALSE))</f>
        <v/>
      </c>
      <c r="I9857" s="1" t="str">
        <f>IF(Table2[[#This Row],[Description]]="","",IF(Table2[[#This Row],[Currency]]=$O$2,$P$2,HLOOKUP(Table2[[#This Row],[Date]],Funds!$C$10:$GV$11,2,FALSE)))</f>
        <v/>
      </c>
      <c r="J9857" s="215" t="str">
        <f>IF(Table2[[#This Row],[Description]]="","",Table2[[#This Row],[Value]]/Table2[[#This Row],[Conversion]])</f>
        <v/>
      </c>
      <c r="K9857" s="45" t="str">
        <f>IF(Table2[[#This Row],[Description]]="","",DATE(Table2[[#This Row],[Year]],Table2[[#This Row],[Month]],1))</f>
        <v/>
      </c>
    </row>
    <row r="9858" spans="7:11" x14ac:dyDescent="0.25">
      <c r="G9858" s="1" t="str">
        <f>IF(Table2[[#This Row],[Description]]="","",VLOOKUP(Table2[[#This Row],[Description]],$Q$1:$S$101,2,FALSE))</f>
        <v/>
      </c>
      <c r="H9858" s="1" t="str">
        <f>IF(Table2[[#This Row],[Description]]="","",VLOOKUP(Table2[[#This Row],[Description]],$Q$1:$S$101,3,FALSE))</f>
        <v/>
      </c>
      <c r="I9858" s="1" t="str">
        <f>IF(Table2[[#This Row],[Description]]="","",IF(Table2[[#This Row],[Currency]]=$O$2,$P$2,HLOOKUP(Table2[[#This Row],[Date]],Funds!$C$10:$GV$11,2,FALSE)))</f>
        <v/>
      </c>
      <c r="J9858" s="215" t="str">
        <f>IF(Table2[[#This Row],[Description]]="","",Table2[[#This Row],[Value]]/Table2[[#This Row],[Conversion]])</f>
        <v/>
      </c>
      <c r="K9858" s="45" t="str">
        <f>IF(Table2[[#This Row],[Description]]="","",DATE(Table2[[#This Row],[Year]],Table2[[#This Row],[Month]],1))</f>
        <v/>
      </c>
    </row>
    <row r="9859" spans="7:11" x14ac:dyDescent="0.25">
      <c r="G9859" s="1" t="str">
        <f>IF(Table2[[#This Row],[Description]]="","",VLOOKUP(Table2[[#This Row],[Description]],$Q$1:$S$101,2,FALSE))</f>
        <v/>
      </c>
      <c r="H9859" s="1" t="str">
        <f>IF(Table2[[#This Row],[Description]]="","",VLOOKUP(Table2[[#This Row],[Description]],$Q$1:$S$101,3,FALSE))</f>
        <v/>
      </c>
      <c r="I9859" s="1" t="str">
        <f>IF(Table2[[#This Row],[Description]]="","",IF(Table2[[#This Row],[Currency]]=$O$2,$P$2,HLOOKUP(Table2[[#This Row],[Date]],Funds!$C$10:$GV$11,2,FALSE)))</f>
        <v/>
      </c>
      <c r="J9859" s="215" t="str">
        <f>IF(Table2[[#This Row],[Description]]="","",Table2[[#This Row],[Value]]/Table2[[#This Row],[Conversion]])</f>
        <v/>
      </c>
      <c r="K9859" s="45" t="str">
        <f>IF(Table2[[#This Row],[Description]]="","",DATE(Table2[[#This Row],[Year]],Table2[[#This Row],[Month]],1))</f>
        <v/>
      </c>
    </row>
    <row r="9860" spans="7:11" x14ac:dyDescent="0.25">
      <c r="G9860" s="1" t="str">
        <f>IF(Table2[[#This Row],[Description]]="","",VLOOKUP(Table2[[#This Row],[Description]],$Q$1:$S$101,2,FALSE))</f>
        <v/>
      </c>
      <c r="H9860" s="1" t="str">
        <f>IF(Table2[[#This Row],[Description]]="","",VLOOKUP(Table2[[#This Row],[Description]],$Q$1:$S$101,3,FALSE))</f>
        <v/>
      </c>
      <c r="I9860" s="1" t="str">
        <f>IF(Table2[[#This Row],[Description]]="","",IF(Table2[[#This Row],[Currency]]=$O$2,$P$2,HLOOKUP(Table2[[#This Row],[Date]],Funds!$C$10:$GV$11,2,FALSE)))</f>
        <v/>
      </c>
      <c r="J9860" s="215" t="str">
        <f>IF(Table2[[#This Row],[Description]]="","",Table2[[#This Row],[Value]]/Table2[[#This Row],[Conversion]])</f>
        <v/>
      </c>
      <c r="K9860" s="45" t="str">
        <f>IF(Table2[[#This Row],[Description]]="","",DATE(Table2[[#This Row],[Year]],Table2[[#This Row],[Month]],1))</f>
        <v/>
      </c>
    </row>
    <row r="9861" spans="7:11" x14ac:dyDescent="0.25">
      <c r="G9861" s="1" t="str">
        <f>IF(Table2[[#This Row],[Description]]="","",VLOOKUP(Table2[[#This Row],[Description]],$Q$1:$S$101,2,FALSE))</f>
        <v/>
      </c>
      <c r="H9861" s="1" t="str">
        <f>IF(Table2[[#This Row],[Description]]="","",VLOOKUP(Table2[[#This Row],[Description]],$Q$1:$S$101,3,FALSE))</f>
        <v/>
      </c>
      <c r="I9861" s="1" t="str">
        <f>IF(Table2[[#This Row],[Description]]="","",IF(Table2[[#This Row],[Currency]]=$O$2,$P$2,HLOOKUP(Table2[[#This Row],[Date]],Funds!$C$10:$GV$11,2,FALSE)))</f>
        <v/>
      </c>
      <c r="J9861" s="215" t="str">
        <f>IF(Table2[[#This Row],[Description]]="","",Table2[[#This Row],[Value]]/Table2[[#This Row],[Conversion]])</f>
        <v/>
      </c>
      <c r="K9861" s="45" t="str">
        <f>IF(Table2[[#This Row],[Description]]="","",DATE(Table2[[#This Row],[Year]],Table2[[#This Row],[Month]],1))</f>
        <v/>
      </c>
    </row>
    <row r="9862" spans="7:11" x14ac:dyDescent="0.25">
      <c r="G9862" s="1" t="str">
        <f>IF(Table2[[#This Row],[Description]]="","",VLOOKUP(Table2[[#This Row],[Description]],$Q$1:$S$101,2,FALSE))</f>
        <v/>
      </c>
      <c r="H9862" s="1" t="str">
        <f>IF(Table2[[#This Row],[Description]]="","",VLOOKUP(Table2[[#This Row],[Description]],$Q$1:$S$101,3,FALSE))</f>
        <v/>
      </c>
      <c r="I9862" s="1" t="str">
        <f>IF(Table2[[#This Row],[Description]]="","",IF(Table2[[#This Row],[Currency]]=$O$2,$P$2,HLOOKUP(Table2[[#This Row],[Date]],Funds!$C$10:$GV$11,2,FALSE)))</f>
        <v/>
      </c>
      <c r="J9862" s="215" t="str">
        <f>IF(Table2[[#This Row],[Description]]="","",Table2[[#This Row],[Value]]/Table2[[#This Row],[Conversion]])</f>
        <v/>
      </c>
      <c r="K9862" s="45" t="str">
        <f>IF(Table2[[#This Row],[Description]]="","",DATE(Table2[[#This Row],[Year]],Table2[[#This Row],[Month]],1))</f>
        <v/>
      </c>
    </row>
    <row r="9863" spans="7:11" x14ac:dyDescent="0.25">
      <c r="G9863" s="1" t="str">
        <f>IF(Table2[[#This Row],[Description]]="","",VLOOKUP(Table2[[#This Row],[Description]],$Q$1:$S$101,2,FALSE))</f>
        <v/>
      </c>
      <c r="H9863" s="1" t="str">
        <f>IF(Table2[[#This Row],[Description]]="","",VLOOKUP(Table2[[#This Row],[Description]],$Q$1:$S$101,3,FALSE))</f>
        <v/>
      </c>
      <c r="I9863" s="1" t="str">
        <f>IF(Table2[[#This Row],[Description]]="","",IF(Table2[[#This Row],[Currency]]=$O$2,$P$2,HLOOKUP(Table2[[#This Row],[Date]],Funds!$C$10:$GV$11,2,FALSE)))</f>
        <v/>
      </c>
      <c r="J9863" s="215" t="str">
        <f>IF(Table2[[#This Row],[Description]]="","",Table2[[#This Row],[Value]]/Table2[[#This Row],[Conversion]])</f>
        <v/>
      </c>
      <c r="K9863" s="45" t="str">
        <f>IF(Table2[[#This Row],[Description]]="","",DATE(Table2[[#This Row],[Year]],Table2[[#This Row],[Month]],1))</f>
        <v/>
      </c>
    </row>
    <row r="9864" spans="7:11" x14ac:dyDescent="0.25">
      <c r="G9864" s="1" t="str">
        <f>IF(Table2[[#This Row],[Description]]="","",VLOOKUP(Table2[[#This Row],[Description]],$Q$1:$S$101,2,FALSE))</f>
        <v/>
      </c>
      <c r="H9864" s="1" t="str">
        <f>IF(Table2[[#This Row],[Description]]="","",VLOOKUP(Table2[[#This Row],[Description]],$Q$1:$S$101,3,FALSE))</f>
        <v/>
      </c>
      <c r="I9864" s="1" t="str">
        <f>IF(Table2[[#This Row],[Description]]="","",IF(Table2[[#This Row],[Currency]]=$O$2,$P$2,HLOOKUP(Table2[[#This Row],[Date]],Funds!$C$10:$GV$11,2,FALSE)))</f>
        <v/>
      </c>
      <c r="J9864" s="215" t="str">
        <f>IF(Table2[[#This Row],[Description]]="","",Table2[[#This Row],[Value]]/Table2[[#This Row],[Conversion]])</f>
        <v/>
      </c>
      <c r="K9864" s="45" t="str">
        <f>IF(Table2[[#This Row],[Description]]="","",DATE(Table2[[#This Row],[Year]],Table2[[#This Row],[Month]],1))</f>
        <v/>
      </c>
    </row>
    <row r="9865" spans="7:11" x14ac:dyDescent="0.25">
      <c r="G9865" s="1" t="str">
        <f>IF(Table2[[#This Row],[Description]]="","",VLOOKUP(Table2[[#This Row],[Description]],$Q$1:$S$101,2,FALSE))</f>
        <v/>
      </c>
      <c r="H9865" s="1" t="str">
        <f>IF(Table2[[#This Row],[Description]]="","",VLOOKUP(Table2[[#This Row],[Description]],$Q$1:$S$101,3,FALSE))</f>
        <v/>
      </c>
      <c r="I9865" s="1" t="str">
        <f>IF(Table2[[#This Row],[Description]]="","",IF(Table2[[#This Row],[Currency]]=$O$2,$P$2,HLOOKUP(Table2[[#This Row],[Date]],Funds!$C$10:$GV$11,2,FALSE)))</f>
        <v/>
      </c>
      <c r="J9865" s="215" t="str">
        <f>IF(Table2[[#This Row],[Description]]="","",Table2[[#This Row],[Value]]/Table2[[#This Row],[Conversion]])</f>
        <v/>
      </c>
      <c r="K9865" s="45" t="str">
        <f>IF(Table2[[#This Row],[Description]]="","",DATE(Table2[[#This Row],[Year]],Table2[[#This Row],[Month]],1))</f>
        <v/>
      </c>
    </row>
    <row r="9866" spans="7:11" x14ac:dyDescent="0.25">
      <c r="G9866" s="1" t="str">
        <f>IF(Table2[[#This Row],[Description]]="","",VLOOKUP(Table2[[#This Row],[Description]],$Q$1:$S$101,2,FALSE))</f>
        <v/>
      </c>
      <c r="H9866" s="1" t="str">
        <f>IF(Table2[[#This Row],[Description]]="","",VLOOKUP(Table2[[#This Row],[Description]],$Q$1:$S$101,3,FALSE))</f>
        <v/>
      </c>
      <c r="I9866" s="1" t="str">
        <f>IF(Table2[[#This Row],[Description]]="","",IF(Table2[[#This Row],[Currency]]=$O$2,$P$2,HLOOKUP(Table2[[#This Row],[Date]],Funds!$C$10:$GV$11,2,FALSE)))</f>
        <v/>
      </c>
      <c r="J9866" s="215" t="str">
        <f>IF(Table2[[#This Row],[Description]]="","",Table2[[#This Row],[Value]]/Table2[[#This Row],[Conversion]])</f>
        <v/>
      </c>
      <c r="K9866" s="45" t="str">
        <f>IF(Table2[[#This Row],[Description]]="","",DATE(Table2[[#This Row],[Year]],Table2[[#This Row],[Month]],1))</f>
        <v/>
      </c>
    </row>
    <row r="9867" spans="7:11" x14ac:dyDescent="0.25">
      <c r="G9867" s="1" t="str">
        <f>IF(Table2[[#This Row],[Description]]="","",VLOOKUP(Table2[[#This Row],[Description]],$Q$1:$S$101,2,FALSE))</f>
        <v/>
      </c>
      <c r="H9867" s="1" t="str">
        <f>IF(Table2[[#This Row],[Description]]="","",VLOOKUP(Table2[[#This Row],[Description]],$Q$1:$S$101,3,FALSE))</f>
        <v/>
      </c>
      <c r="I9867" s="1" t="str">
        <f>IF(Table2[[#This Row],[Description]]="","",IF(Table2[[#This Row],[Currency]]=$O$2,$P$2,HLOOKUP(Table2[[#This Row],[Date]],Funds!$C$10:$GV$11,2,FALSE)))</f>
        <v/>
      </c>
      <c r="J9867" s="215" t="str">
        <f>IF(Table2[[#This Row],[Description]]="","",Table2[[#This Row],[Value]]/Table2[[#This Row],[Conversion]])</f>
        <v/>
      </c>
      <c r="K9867" s="45" t="str">
        <f>IF(Table2[[#This Row],[Description]]="","",DATE(Table2[[#This Row],[Year]],Table2[[#This Row],[Month]],1))</f>
        <v/>
      </c>
    </row>
    <row r="9868" spans="7:11" x14ac:dyDescent="0.25">
      <c r="G9868" s="1" t="str">
        <f>IF(Table2[[#This Row],[Description]]="","",VLOOKUP(Table2[[#This Row],[Description]],$Q$1:$S$101,2,FALSE))</f>
        <v/>
      </c>
      <c r="H9868" s="1" t="str">
        <f>IF(Table2[[#This Row],[Description]]="","",VLOOKUP(Table2[[#This Row],[Description]],$Q$1:$S$101,3,FALSE))</f>
        <v/>
      </c>
      <c r="I9868" s="1" t="str">
        <f>IF(Table2[[#This Row],[Description]]="","",IF(Table2[[#This Row],[Currency]]=$O$2,$P$2,HLOOKUP(Table2[[#This Row],[Date]],Funds!$C$10:$GV$11,2,FALSE)))</f>
        <v/>
      </c>
      <c r="J9868" s="215" t="str">
        <f>IF(Table2[[#This Row],[Description]]="","",Table2[[#This Row],[Value]]/Table2[[#This Row],[Conversion]])</f>
        <v/>
      </c>
      <c r="K9868" s="45" t="str">
        <f>IF(Table2[[#This Row],[Description]]="","",DATE(Table2[[#This Row],[Year]],Table2[[#This Row],[Month]],1))</f>
        <v/>
      </c>
    </row>
    <row r="9869" spans="7:11" x14ac:dyDescent="0.25">
      <c r="G9869" s="1" t="str">
        <f>IF(Table2[[#This Row],[Description]]="","",VLOOKUP(Table2[[#This Row],[Description]],$Q$1:$S$101,2,FALSE))</f>
        <v/>
      </c>
      <c r="H9869" s="1" t="str">
        <f>IF(Table2[[#This Row],[Description]]="","",VLOOKUP(Table2[[#This Row],[Description]],$Q$1:$S$101,3,FALSE))</f>
        <v/>
      </c>
      <c r="I9869" s="1" t="str">
        <f>IF(Table2[[#This Row],[Description]]="","",IF(Table2[[#This Row],[Currency]]=$O$2,$P$2,HLOOKUP(Table2[[#This Row],[Date]],Funds!$C$10:$GV$11,2,FALSE)))</f>
        <v/>
      </c>
      <c r="J9869" s="215" t="str">
        <f>IF(Table2[[#This Row],[Description]]="","",Table2[[#This Row],[Value]]/Table2[[#This Row],[Conversion]])</f>
        <v/>
      </c>
      <c r="K9869" s="45" t="str">
        <f>IF(Table2[[#This Row],[Description]]="","",DATE(Table2[[#This Row],[Year]],Table2[[#This Row],[Month]],1))</f>
        <v/>
      </c>
    </row>
    <row r="9870" spans="7:11" x14ac:dyDescent="0.25">
      <c r="G9870" s="1" t="str">
        <f>IF(Table2[[#This Row],[Description]]="","",VLOOKUP(Table2[[#This Row],[Description]],$Q$1:$S$101,2,FALSE))</f>
        <v/>
      </c>
      <c r="H9870" s="1" t="str">
        <f>IF(Table2[[#This Row],[Description]]="","",VLOOKUP(Table2[[#This Row],[Description]],$Q$1:$S$101,3,FALSE))</f>
        <v/>
      </c>
      <c r="I9870" s="1" t="str">
        <f>IF(Table2[[#This Row],[Description]]="","",IF(Table2[[#This Row],[Currency]]=$O$2,$P$2,HLOOKUP(Table2[[#This Row],[Date]],Funds!$C$10:$GV$11,2,FALSE)))</f>
        <v/>
      </c>
      <c r="J9870" s="215" t="str">
        <f>IF(Table2[[#This Row],[Description]]="","",Table2[[#This Row],[Value]]/Table2[[#This Row],[Conversion]])</f>
        <v/>
      </c>
      <c r="K9870" s="45" t="str">
        <f>IF(Table2[[#This Row],[Description]]="","",DATE(Table2[[#This Row],[Year]],Table2[[#This Row],[Month]],1))</f>
        <v/>
      </c>
    </row>
    <row r="9871" spans="7:11" x14ac:dyDescent="0.25">
      <c r="G9871" s="1" t="str">
        <f>IF(Table2[[#This Row],[Description]]="","",VLOOKUP(Table2[[#This Row],[Description]],$Q$1:$S$101,2,FALSE))</f>
        <v/>
      </c>
      <c r="H9871" s="1" t="str">
        <f>IF(Table2[[#This Row],[Description]]="","",VLOOKUP(Table2[[#This Row],[Description]],$Q$1:$S$101,3,FALSE))</f>
        <v/>
      </c>
      <c r="I9871" s="1" t="str">
        <f>IF(Table2[[#This Row],[Description]]="","",IF(Table2[[#This Row],[Currency]]=$O$2,$P$2,HLOOKUP(Table2[[#This Row],[Date]],Funds!$C$10:$GV$11,2,FALSE)))</f>
        <v/>
      </c>
      <c r="J9871" s="215" t="str">
        <f>IF(Table2[[#This Row],[Description]]="","",Table2[[#This Row],[Value]]/Table2[[#This Row],[Conversion]])</f>
        <v/>
      </c>
      <c r="K9871" s="45" t="str">
        <f>IF(Table2[[#This Row],[Description]]="","",DATE(Table2[[#This Row],[Year]],Table2[[#This Row],[Month]],1))</f>
        <v/>
      </c>
    </row>
    <row r="9872" spans="7:11" x14ac:dyDescent="0.25">
      <c r="G9872" s="1" t="str">
        <f>IF(Table2[[#This Row],[Description]]="","",VLOOKUP(Table2[[#This Row],[Description]],$Q$1:$S$101,2,FALSE))</f>
        <v/>
      </c>
      <c r="H9872" s="1" t="str">
        <f>IF(Table2[[#This Row],[Description]]="","",VLOOKUP(Table2[[#This Row],[Description]],$Q$1:$S$101,3,FALSE))</f>
        <v/>
      </c>
      <c r="I9872" s="1" t="str">
        <f>IF(Table2[[#This Row],[Description]]="","",IF(Table2[[#This Row],[Currency]]=$O$2,$P$2,HLOOKUP(Table2[[#This Row],[Date]],Funds!$C$10:$GV$11,2,FALSE)))</f>
        <v/>
      </c>
      <c r="J9872" s="215" t="str">
        <f>IF(Table2[[#This Row],[Description]]="","",Table2[[#This Row],[Value]]/Table2[[#This Row],[Conversion]])</f>
        <v/>
      </c>
      <c r="K9872" s="45" t="str">
        <f>IF(Table2[[#This Row],[Description]]="","",DATE(Table2[[#This Row],[Year]],Table2[[#This Row],[Month]],1))</f>
        <v/>
      </c>
    </row>
    <row r="9873" spans="7:11" x14ac:dyDescent="0.25">
      <c r="G9873" s="1" t="str">
        <f>IF(Table2[[#This Row],[Description]]="","",VLOOKUP(Table2[[#This Row],[Description]],$Q$1:$S$101,2,FALSE))</f>
        <v/>
      </c>
      <c r="H9873" s="1" t="str">
        <f>IF(Table2[[#This Row],[Description]]="","",VLOOKUP(Table2[[#This Row],[Description]],$Q$1:$S$101,3,FALSE))</f>
        <v/>
      </c>
      <c r="I9873" s="1" t="str">
        <f>IF(Table2[[#This Row],[Description]]="","",IF(Table2[[#This Row],[Currency]]=$O$2,$P$2,HLOOKUP(Table2[[#This Row],[Date]],Funds!$C$10:$GV$11,2,FALSE)))</f>
        <v/>
      </c>
      <c r="J9873" s="215" t="str">
        <f>IF(Table2[[#This Row],[Description]]="","",Table2[[#This Row],[Value]]/Table2[[#This Row],[Conversion]])</f>
        <v/>
      </c>
      <c r="K9873" s="45" t="str">
        <f>IF(Table2[[#This Row],[Description]]="","",DATE(Table2[[#This Row],[Year]],Table2[[#This Row],[Month]],1))</f>
        <v/>
      </c>
    </row>
    <row r="9874" spans="7:11" x14ac:dyDescent="0.25">
      <c r="G9874" s="1" t="str">
        <f>IF(Table2[[#This Row],[Description]]="","",VLOOKUP(Table2[[#This Row],[Description]],$Q$1:$S$101,2,FALSE))</f>
        <v/>
      </c>
      <c r="H9874" s="1" t="str">
        <f>IF(Table2[[#This Row],[Description]]="","",VLOOKUP(Table2[[#This Row],[Description]],$Q$1:$S$101,3,FALSE))</f>
        <v/>
      </c>
      <c r="I9874" s="1" t="str">
        <f>IF(Table2[[#This Row],[Description]]="","",IF(Table2[[#This Row],[Currency]]=$O$2,$P$2,HLOOKUP(Table2[[#This Row],[Date]],Funds!$C$10:$GV$11,2,FALSE)))</f>
        <v/>
      </c>
      <c r="J9874" s="215" t="str">
        <f>IF(Table2[[#This Row],[Description]]="","",Table2[[#This Row],[Value]]/Table2[[#This Row],[Conversion]])</f>
        <v/>
      </c>
      <c r="K9874" s="45" t="str">
        <f>IF(Table2[[#This Row],[Description]]="","",DATE(Table2[[#This Row],[Year]],Table2[[#This Row],[Month]],1))</f>
        <v/>
      </c>
    </row>
    <row r="9875" spans="7:11" x14ac:dyDescent="0.25">
      <c r="G9875" s="1" t="str">
        <f>IF(Table2[[#This Row],[Description]]="","",VLOOKUP(Table2[[#This Row],[Description]],$Q$1:$S$101,2,FALSE))</f>
        <v/>
      </c>
      <c r="H9875" s="1" t="str">
        <f>IF(Table2[[#This Row],[Description]]="","",VLOOKUP(Table2[[#This Row],[Description]],$Q$1:$S$101,3,FALSE))</f>
        <v/>
      </c>
      <c r="I9875" s="1" t="str">
        <f>IF(Table2[[#This Row],[Description]]="","",IF(Table2[[#This Row],[Currency]]=$O$2,$P$2,HLOOKUP(Table2[[#This Row],[Date]],Funds!$C$10:$GV$11,2,FALSE)))</f>
        <v/>
      </c>
      <c r="J9875" s="215" t="str">
        <f>IF(Table2[[#This Row],[Description]]="","",Table2[[#This Row],[Value]]/Table2[[#This Row],[Conversion]])</f>
        <v/>
      </c>
      <c r="K9875" s="45" t="str">
        <f>IF(Table2[[#This Row],[Description]]="","",DATE(Table2[[#This Row],[Year]],Table2[[#This Row],[Month]],1))</f>
        <v/>
      </c>
    </row>
    <row r="9876" spans="7:11" x14ac:dyDescent="0.25">
      <c r="G9876" s="1" t="str">
        <f>IF(Table2[[#This Row],[Description]]="","",VLOOKUP(Table2[[#This Row],[Description]],$Q$1:$S$101,2,FALSE))</f>
        <v/>
      </c>
      <c r="H9876" s="1" t="str">
        <f>IF(Table2[[#This Row],[Description]]="","",VLOOKUP(Table2[[#This Row],[Description]],$Q$1:$S$101,3,FALSE))</f>
        <v/>
      </c>
      <c r="I9876" s="1" t="str">
        <f>IF(Table2[[#This Row],[Description]]="","",IF(Table2[[#This Row],[Currency]]=$O$2,$P$2,HLOOKUP(Table2[[#This Row],[Date]],Funds!$C$10:$GV$11,2,FALSE)))</f>
        <v/>
      </c>
      <c r="J9876" s="215" t="str">
        <f>IF(Table2[[#This Row],[Description]]="","",Table2[[#This Row],[Value]]/Table2[[#This Row],[Conversion]])</f>
        <v/>
      </c>
      <c r="K9876" s="45" t="str">
        <f>IF(Table2[[#This Row],[Description]]="","",DATE(Table2[[#This Row],[Year]],Table2[[#This Row],[Month]],1))</f>
        <v/>
      </c>
    </row>
    <row r="9877" spans="7:11" x14ac:dyDescent="0.25">
      <c r="G9877" s="1" t="str">
        <f>IF(Table2[[#This Row],[Description]]="","",VLOOKUP(Table2[[#This Row],[Description]],$Q$1:$S$101,2,FALSE))</f>
        <v/>
      </c>
      <c r="H9877" s="1" t="str">
        <f>IF(Table2[[#This Row],[Description]]="","",VLOOKUP(Table2[[#This Row],[Description]],$Q$1:$S$101,3,FALSE))</f>
        <v/>
      </c>
      <c r="I9877" s="1" t="str">
        <f>IF(Table2[[#This Row],[Description]]="","",IF(Table2[[#This Row],[Currency]]=$O$2,$P$2,HLOOKUP(Table2[[#This Row],[Date]],Funds!$C$10:$GV$11,2,FALSE)))</f>
        <v/>
      </c>
      <c r="J9877" s="215" t="str">
        <f>IF(Table2[[#This Row],[Description]]="","",Table2[[#This Row],[Value]]/Table2[[#This Row],[Conversion]])</f>
        <v/>
      </c>
      <c r="K9877" s="45" t="str">
        <f>IF(Table2[[#This Row],[Description]]="","",DATE(Table2[[#This Row],[Year]],Table2[[#This Row],[Month]],1))</f>
        <v/>
      </c>
    </row>
    <row r="9878" spans="7:11" x14ac:dyDescent="0.25">
      <c r="G9878" s="1" t="str">
        <f>IF(Table2[[#This Row],[Description]]="","",VLOOKUP(Table2[[#This Row],[Description]],$Q$1:$S$101,2,FALSE))</f>
        <v/>
      </c>
      <c r="H9878" s="1" t="str">
        <f>IF(Table2[[#This Row],[Description]]="","",VLOOKUP(Table2[[#This Row],[Description]],$Q$1:$S$101,3,FALSE))</f>
        <v/>
      </c>
      <c r="I9878" s="1" t="str">
        <f>IF(Table2[[#This Row],[Description]]="","",IF(Table2[[#This Row],[Currency]]=$O$2,$P$2,HLOOKUP(Table2[[#This Row],[Date]],Funds!$C$10:$GV$11,2,FALSE)))</f>
        <v/>
      </c>
      <c r="J9878" s="215" t="str">
        <f>IF(Table2[[#This Row],[Description]]="","",Table2[[#This Row],[Value]]/Table2[[#This Row],[Conversion]])</f>
        <v/>
      </c>
      <c r="K9878" s="45" t="str">
        <f>IF(Table2[[#This Row],[Description]]="","",DATE(Table2[[#This Row],[Year]],Table2[[#This Row],[Month]],1))</f>
        <v/>
      </c>
    </row>
    <row r="9879" spans="7:11" x14ac:dyDescent="0.25">
      <c r="G9879" s="1" t="str">
        <f>IF(Table2[[#This Row],[Description]]="","",VLOOKUP(Table2[[#This Row],[Description]],$Q$1:$S$101,2,FALSE))</f>
        <v/>
      </c>
      <c r="H9879" s="1" t="str">
        <f>IF(Table2[[#This Row],[Description]]="","",VLOOKUP(Table2[[#This Row],[Description]],$Q$1:$S$101,3,FALSE))</f>
        <v/>
      </c>
      <c r="I9879" s="1" t="str">
        <f>IF(Table2[[#This Row],[Description]]="","",IF(Table2[[#This Row],[Currency]]=$O$2,$P$2,HLOOKUP(Table2[[#This Row],[Date]],Funds!$C$10:$GV$11,2,FALSE)))</f>
        <v/>
      </c>
      <c r="J9879" s="215" t="str">
        <f>IF(Table2[[#This Row],[Description]]="","",Table2[[#This Row],[Value]]/Table2[[#This Row],[Conversion]])</f>
        <v/>
      </c>
      <c r="K9879" s="45" t="str">
        <f>IF(Table2[[#This Row],[Description]]="","",DATE(Table2[[#This Row],[Year]],Table2[[#This Row],[Month]],1))</f>
        <v/>
      </c>
    </row>
    <row r="9880" spans="7:11" x14ac:dyDescent="0.25">
      <c r="G9880" s="1" t="str">
        <f>IF(Table2[[#This Row],[Description]]="","",VLOOKUP(Table2[[#This Row],[Description]],$Q$1:$S$101,2,FALSE))</f>
        <v/>
      </c>
      <c r="H9880" s="1" t="str">
        <f>IF(Table2[[#This Row],[Description]]="","",VLOOKUP(Table2[[#This Row],[Description]],$Q$1:$S$101,3,FALSE))</f>
        <v/>
      </c>
      <c r="I9880" s="1" t="str">
        <f>IF(Table2[[#This Row],[Description]]="","",IF(Table2[[#This Row],[Currency]]=$O$2,$P$2,HLOOKUP(Table2[[#This Row],[Date]],Funds!$C$10:$GV$11,2,FALSE)))</f>
        <v/>
      </c>
      <c r="J9880" s="215" t="str">
        <f>IF(Table2[[#This Row],[Description]]="","",Table2[[#This Row],[Value]]/Table2[[#This Row],[Conversion]])</f>
        <v/>
      </c>
      <c r="K9880" s="45" t="str">
        <f>IF(Table2[[#This Row],[Description]]="","",DATE(Table2[[#This Row],[Year]],Table2[[#This Row],[Month]],1))</f>
        <v/>
      </c>
    </row>
    <row r="9881" spans="7:11" x14ac:dyDescent="0.25">
      <c r="G9881" s="1" t="str">
        <f>IF(Table2[[#This Row],[Description]]="","",VLOOKUP(Table2[[#This Row],[Description]],$Q$1:$S$101,2,FALSE))</f>
        <v/>
      </c>
      <c r="H9881" s="1" t="str">
        <f>IF(Table2[[#This Row],[Description]]="","",VLOOKUP(Table2[[#This Row],[Description]],$Q$1:$S$101,3,FALSE))</f>
        <v/>
      </c>
      <c r="I9881" s="1" t="str">
        <f>IF(Table2[[#This Row],[Description]]="","",IF(Table2[[#This Row],[Currency]]=$O$2,$P$2,HLOOKUP(Table2[[#This Row],[Date]],Funds!$C$10:$GV$11,2,FALSE)))</f>
        <v/>
      </c>
      <c r="J9881" s="215" t="str">
        <f>IF(Table2[[#This Row],[Description]]="","",Table2[[#This Row],[Value]]/Table2[[#This Row],[Conversion]])</f>
        <v/>
      </c>
      <c r="K9881" s="45" t="str">
        <f>IF(Table2[[#This Row],[Description]]="","",DATE(Table2[[#This Row],[Year]],Table2[[#This Row],[Month]],1))</f>
        <v/>
      </c>
    </row>
    <row r="9882" spans="7:11" x14ac:dyDescent="0.25">
      <c r="G9882" s="1" t="str">
        <f>IF(Table2[[#This Row],[Description]]="","",VLOOKUP(Table2[[#This Row],[Description]],$Q$1:$S$101,2,FALSE))</f>
        <v/>
      </c>
      <c r="H9882" s="1" t="str">
        <f>IF(Table2[[#This Row],[Description]]="","",VLOOKUP(Table2[[#This Row],[Description]],$Q$1:$S$101,3,FALSE))</f>
        <v/>
      </c>
      <c r="I9882" s="1" t="str">
        <f>IF(Table2[[#This Row],[Description]]="","",IF(Table2[[#This Row],[Currency]]=$O$2,$P$2,HLOOKUP(Table2[[#This Row],[Date]],Funds!$C$10:$GV$11,2,FALSE)))</f>
        <v/>
      </c>
      <c r="J9882" s="215" t="str">
        <f>IF(Table2[[#This Row],[Description]]="","",Table2[[#This Row],[Value]]/Table2[[#This Row],[Conversion]])</f>
        <v/>
      </c>
      <c r="K9882" s="45" t="str">
        <f>IF(Table2[[#This Row],[Description]]="","",DATE(Table2[[#This Row],[Year]],Table2[[#This Row],[Month]],1))</f>
        <v/>
      </c>
    </row>
    <row r="9883" spans="7:11" x14ac:dyDescent="0.25">
      <c r="G9883" s="1" t="str">
        <f>IF(Table2[[#This Row],[Description]]="","",VLOOKUP(Table2[[#This Row],[Description]],$Q$1:$S$101,2,FALSE))</f>
        <v/>
      </c>
      <c r="H9883" s="1" t="str">
        <f>IF(Table2[[#This Row],[Description]]="","",VLOOKUP(Table2[[#This Row],[Description]],$Q$1:$S$101,3,FALSE))</f>
        <v/>
      </c>
      <c r="I9883" s="1" t="str">
        <f>IF(Table2[[#This Row],[Description]]="","",IF(Table2[[#This Row],[Currency]]=$O$2,$P$2,HLOOKUP(Table2[[#This Row],[Date]],Funds!$C$10:$GV$11,2,FALSE)))</f>
        <v/>
      </c>
      <c r="J9883" s="215" t="str">
        <f>IF(Table2[[#This Row],[Description]]="","",Table2[[#This Row],[Value]]/Table2[[#This Row],[Conversion]])</f>
        <v/>
      </c>
      <c r="K9883" s="45" t="str">
        <f>IF(Table2[[#This Row],[Description]]="","",DATE(Table2[[#This Row],[Year]],Table2[[#This Row],[Month]],1))</f>
        <v/>
      </c>
    </row>
    <row r="9884" spans="7:11" x14ac:dyDescent="0.25">
      <c r="G9884" s="1" t="str">
        <f>IF(Table2[[#This Row],[Description]]="","",VLOOKUP(Table2[[#This Row],[Description]],$Q$1:$S$101,2,FALSE))</f>
        <v/>
      </c>
      <c r="H9884" s="1" t="str">
        <f>IF(Table2[[#This Row],[Description]]="","",VLOOKUP(Table2[[#This Row],[Description]],$Q$1:$S$101,3,FALSE))</f>
        <v/>
      </c>
      <c r="I9884" s="1" t="str">
        <f>IF(Table2[[#This Row],[Description]]="","",IF(Table2[[#This Row],[Currency]]=$O$2,$P$2,HLOOKUP(Table2[[#This Row],[Date]],Funds!$C$10:$GV$11,2,FALSE)))</f>
        <v/>
      </c>
      <c r="J9884" s="215" t="str">
        <f>IF(Table2[[#This Row],[Description]]="","",Table2[[#This Row],[Value]]/Table2[[#This Row],[Conversion]])</f>
        <v/>
      </c>
      <c r="K9884" s="45" t="str">
        <f>IF(Table2[[#This Row],[Description]]="","",DATE(Table2[[#This Row],[Year]],Table2[[#This Row],[Month]],1))</f>
        <v/>
      </c>
    </row>
    <row r="9885" spans="7:11" x14ac:dyDescent="0.25">
      <c r="G9885" s="1" t="str">
        <f>IF(Table2[[#This Row],[Description]]="","",VLOOKUP(Table2[[#This Row],[Description]],$Q$1:$S$101,2,FALSE))</f>
        <v/>
      </c>
      <c r="H9885" s="1" t="str">
        <f>IF(Table2[[#This Row],[Description]]="","",VLOOKUP(Table2[[#This Row],[Description]],$Q$1:$S$101,3,FALSE))</f>
        <v/>
      </c>
      <c r="I9885" s="1" t="str">
        <f>IF(Table2[[#This Row],[Description]]="","",IF(Table2[[#This Row],[Currency]]=$O$2,$P$2,HLOOKUP(Table2[[#This Row],[Date]],Funds!$C$10:$GV$11,2,FALSE)))</f>
        <v/>
      </c>
      <c r="J9885" s="215" t="str">
        <f>IF(Table2[[#This Row],[Description]]="","",Table2[[#This Row],[Value]]/Table2[[#This Row],[Conversion]])</f>
        <v/>
      </c>
      <c r="K9885" s="45" t="str">
        <f>IF(Table2[[#This Row],[Description]]="","",DATE(Table2[[#This Row],[Year]],Table2[[#This Row],[Month]],1))</f>
        <v/>
      </c>
    </row>
    <row r="9886" spans="7:11" x14ac:dyDescent="0.25">
      <c r="G9886" s="1" t="str">
        <f>IF(Table2[[#This Row],[Description]]="","",VLOOKUP(Table2[[#This Row],[Description]],$Q$1:$S$101,2,FALSE))</f>
        <v/>
      </c>
      <c r="H9886" s="1" t="str">
        <f>IF(Table2[[#This Row],[Description]]="","",VLOOKUP(Table2[[#This Row],[Description]],$Q$1:$S$101,3,FALSE))</f>
        <v/>
      </c>
      <c r="I9886" s="1" t="str">
        <f>IF(Table2[[#This Row],[Description]]="","",IF(Table2[[#This Row],[Currency]]=$O$2,$P$2,HLOOKUP(Table2[[#This Row],[Date]],Funds!$C$10:$GV$11,2,FALSE)))</f>
        <v/>
      </c>
      <c r="J9886" s="215" t="str">
        <f>IF(Table2[[#This Row],[Description]]="","",Table2[[#This Row],[Value]]/Table2[[#This Row],[Conversion]])</f>
        <v/>
      </c>
      <c r="K9886" s="45" t="str">
        <f>IF(Table2[[#This Row],[Description]]="","",DATE(Table2[[#This Row],[Year]],Table2[[#This Row],[Month]],1))</f>
        <v/>
      </c>
    </row>
    <row r="9887" spans="7:11" x14ac:dyDescent="0.25">
      <c r="G9887" s="1" t="str">
        <f>IF(Table2[[#This Row],[Description]]="","",VLOOKUP(Table2[[#This Row],[Description]],$Q$1:$S$101,2,FALSE))</f>
        <v/>
      </c>
      <c r="H9887" s="1" t="str">
        <f>IF(Table2[[#This Row],[Description]]="","",VLOOKUP(Table2[[#This Row],[Description]],$Q$1:$S$101,3,FALSE))</f>
        <v/>
      </c>
      <c r="I9887" s="1" t="str">
        <f>IF(Table2[[#This Row],[Description]]="","",IF(Table2[[#This Row],[Currency]]=$O$2,$P$2,HLOOKUP(Table2[[#This Row],[Date]],Funds!$C$10:$GV$11,2,FALSE)))</f>
        <v/>
      </c>
      <c r="J9887" s="215" t="str">
        <f>IF(Table2[[#This Row],[Description]]="","",Table2[[#This Row],[Value]]/Table2[[#This Row],[Conversion]])</f>
        <v/>
      </c>
      <c r="K9887" s="45" t="str">
        <f>IF(Table2[[#This Row],[Description]]="","",DATE(Table2[[#This Row],[Year]],Table2[[#This Row],[Month]],1))</f>
        <v/>
      </c>
    </row>
    <row r="9888" spans="7:11" x14ac:dyDescent="0.25">
      <c r="G9888" s="1" t="str">
        <f>IF(Table2[[#This Row],[Description]]="","",VLOOKUP(Table2[[#This Row],[Description]],$Q$1:$S$101,2,FALSE))</f>
        <v/>
      </c>
      <c r="H9888" s="1" t="str">
        <f>IF(Table2[[#This Row],[Description]]="","",VLOOKUP(Table2[[#This Row],[Description]],$Q$1:$S$101,3,FALSE))</f>
        <v/>
      </c>
      <c r="I9888" s="1" t="str">
        <f>IF(Table2[[#This Row],[Description]]="","",IF(Table2[[#This Row],[Currency]]=$O$2,$P$2,HLOOKUP(Table2[[#This Row],[Date]],Funds!$C$10:$GV$11,2,FALSE)))</f>
        <v/>
      </c>
      <c r="J9888" s="215" t="str">
        <f>IF(Table2[[#This Row],[Description]]="","",Table2[[#This Row],[Value]]/Table2[[#This Row],[Conversion]])</f>
        <v/>
      </c>
      <c r="K9888" s="45" t="str">
        <f>IF(Table2[[#This Row],[Description]]="","",DATE(Table2[[#This Row],[Year]],Table2[[#This Row],[Month]],1))</f>
        <v/>
      </c>
    </row>
    <row r="9889" spans="7:11" x14ac:dyDescent="0.25">
      <c r="G9889" s="1" t="str">
        <f>IF(Table2[[#This Row],[Description]]="","",VLOOKUP(Table2[[#This Row],[Description]],$Q$1:$S$101,2,FALSE))</f>
        <v/>
      </c>
      <c r="H9889" s="1" t="str">
        <f>IF(Table2[[#This Row],[Description]]="","",VLOOKUP(Table2[[#This Row],[Description]],$Q$1:$S$101,3,FALSE))</f>
        <v/>
      </c>
      <c r="I9889" s="1" t="str">
        <f>IF(Table2[[#This Row],[Description]]="","",IF(Table2[[#This Row],[Currency]]=$O$2,$P$2,HLOOKUP(Table2[[#This Row],[Date]],Funds!$C$10:$GV$11,2,FALSE)))</f>
        <v/>
      </c>
      <c r="J9889" s="215" t="str">
        <f>IF(Table2[[#This Row],[Description]]="","",Table2[[#This Row],[Value]]/Table2[[#This Row],[Conversion]])</f>
        <v/>
      </c>
      <c r="K9889" s="45" t="str">
        <f>IF(Table2[[#This Row],[Description]]="","",DATE(Table2[[#This Row],[Year]],Table2[[#This Row],[Month]],1))</f>
        <v/>
      </c>
    </row>
    <row r="9890" spans="7:11" x14ac:dyDescent="0.25">
      <c r="G9890" s="1" t="str">
        <f>IF(Table2[[#This Row],[Description]]="","",VLOOKUP(Table2[[#This Row],[Description]],$Q$1:$S$101,2,FALSE))</f>
        <v/>
      </c>
      <c r="H9890" s="1" t="str">
        <f>IF(Table2[[#This Row],[Description]]="","",VLOOKUP(Table2[[#This Row],[Description]],$Q$1:$S$101,3,FALSE))</f>
        <v/>
      </c>
      <c r="I9890" s="1" t="str">
        <f>IF(Table2[[#This Row],[Description]]="","",IF(Table2[[#This Row],[Currency]]=$O$2,$P$2,HLOOKUP(Table2[[#This Row],[Date]],Funds!$C$10:$GV$11,2,FALSE)))</f>
        <v/>
      </c>
      <c r="J9890" s="215" t="str">
        <f>IF(Table2[[#This Row],[Description]]="","",Table2[[#This Row],[Value]]/Table2[[#This Row],[Conversion]])</f>
        <v/>
      </c>
      <c r="K9890" s="45" t="str">
        <f>IF(Table2[[#This Row],[Description]]="","",DATE(Table2[[#This Row],[Year]],Table2[[#This Row],[Month]],1))</f>
        <v/>
      </c>
    </row>
    <row r="9891" spans="7:11" x14ac:dyDescent="0.25">
      <c r="G9891" s="1" t="str">
        <f>IF(Table2[[#This Row],[Description]]="","",VLOOKUP(Table2[[#This Row],[Description]],$Q$1:$S$101,2,FALSE))</f>
        <v/>
      </c>
      <c r="H9891" s="1" t="str">
        <f>IF(Table2[[#This Row],[Description]]="","",VLOOKUP(Table2[[#This Row],[Description]],$Q$1:$S$101,3,FALSE))</f>
        <v/>
      </c>
      <c r="I9891" s="1" t="str">
        <f>IF(Table2[[#This Row],[Description]]="","",IF(Table2[[#This Row],[Currency]]=$O$2,$P$2,HLOOKUP(Table2[[#This Row],[Date]],Funds!$C$10:$GV$11,2,FALSE)))</f>
        <v/>
      </c>
      <c r="J9891" s="215" t="str">
        <f>IF(Table2[[#This Row],[Description]]="","",Table2[[#This Row],[Value]]/Table2[[#This Row],[Conversion]])</f>
        <v/>
      </c>
      <c r="K9891" s="45" t="str">
        <f>IF(Table2[[#This Row],[Description]]="","",DATE(Table2[[#This Row],[Year]],Table2[[#This Row],[Month]],1))</f>
        <v/>
      </c>
    </row>
    <row r="9892" spans="7:11" x14ac:dyDescent="0.25">
      <c r="G9892" s="1" t="str">
        <f>IF(Table2[[#This Row],[Description]]="","",VLOOKUP(Table2[[#This Row],[Description]],$Q$1:$S$101,2,FALSE))</f>
        <v/>
      </c>
      <c r="H9892" s="1" t="str">
        <f>IF(Table2[[#This Row],[Description]]="","",VLOOKUP(Table2[[#This Row],[Description]],$Q$1:$S$101,3,FALSE))</f>
        <v/>
      </c>
      <c r="I9892" s="1" t="str">
        <f>IF(Table2[[#This Row],[Description]]="","",IF(Table2[[#This Row],[Currency]]=$O$2,$P$2,HLOOKUP(Table2[[#This Row],[Date]],Funds!$C$10:$GV$11,2,FALSE)))</f>
        <v/>
      </c>
      <c r="J9892" s="215" t="str">
        <f>IF(Table2[[#This Row],[Description]]="","",Table2[[#This Row],[Value]]/Table2[[#This Row],[Conversion]])</f>
        <v/>
      </c>
      <c r="K9892" s="45" t="str">
        <f>IF(Table2[[#This Row],[Description]]="","",DATE(Table2[[#This Row],[Year]],Table2[[#This Row],[Month]],1))</f>
        <v/>
      </c>
    </row>
    <row r="9893" spans="7:11" x14ac:dyDescent="0.25">
      <c r="G9893" s="1" t="str">
        <f>IF(Table2[[#This Row],[Description]]="","",VLOOKUP(Table2[[#This Row],[Description]],$Q$1:$S$101,2,FALSE))</f>
        <v/>
      </c>
      <c r="H9893" s="1" t="str">
        <f>IF(Table2[[#This Row],[Description]]="","",VLOOKUP(Table2[[#This Row],[Description]],$Q$1:$S$101,3,FALSE))</f>
        <v/>
      </c>
      <c r="I9893" s="1" t="str">
        <f>IF(Table2[[#This Row],[Description]]="","",IF(Table2[[#This Row],[Currency]]=$O$2,$P$2,HLOOKUP(Table2[[#This Row],[Date]],Funds!$C$10:$GV$11,2,FALSE)))</f>
        <v/>
      </c>
      <c r="J9893" s="215" t="str">
        <f>IF(Table2[[#This Row],[Description]]="","",Table2[[#This Row],[Value]]/Table2[[#This Row],[Conversion]])</f>
        <v/>
      </c>
      <c r="K9893" s="45" t="str">
        <f>IF(Table2[[#This Row],[Description]]="","",DATE(Table2[[#This Row],[Year]],Table2[[#This Row],[Month]],1))</f>
        <v/>
      </c>
    </row>
    <row r="9894" spans="7:11" x14ac:dyDescent="0.25">
      <c r="G9894" s="1" t="str">
        <f>IF(Table2[[#This Row],[Description]]="","",VLOOKUP(Table2[[#This Row],[Description]],$Q$1:$S$101,2,FALSE))</f>
        <v/>
      </c>
      <c r="H9894" s="1" t="str">
        <f>IF(Table2[[#This Row],[Description]]="","",VLOOKUP(Table2[[#This Row],[Description]],$Q$1:$S$101,3,FALSE))</f>
        <v/>
      </c>
      <c r="I9894" s="1" t="str">
        <f>IF(Table2[[#This Row],[Description]]="","",IF(Table2[[#This Row],[Currency]]=$O$2,$P$2,HLOOKUP(Table2[[#This Row],[Date]],Funds!$C$10:$GV$11,2,FALSE)))</f>
        <v/>
      </c>
      <c r="J9894" s="215" t="str">
        <f>IF(Table2[[#This Row],[Description]]="","",Table2[[#This Row],[Value]]/Table2[[#This Row],[Conversion]])</f>
        <v/>
      </c>
      <c r="K9894" s="45" t="str">
        <f>IF(Table2[[#This Row],[Description]]="","",DATE(Table2[[#This Row],[Year]],Table2[[#This Row],[Month]],1))</f>
        <v/>
      </c>
    </row>
    <row r="9895" spans="7:11" x14ac:dyDescent="0.25">
      <c r="G9895" s="1" t="str">
        <f>IF(Table2[[#This Row],[Description]]="","",VLOOKUP(Table2[[#This Row],[Description]],$Q$1:$S$101,2,FALSE))</f>
        <v/>
      </c>
      <c r="H9895" s="1" t="str">
        <f>IF(Table2[[#This Row],[Description]]="","",VLOOKUP(Table2[[#This Row],[Description]],$Q$1:$S$101,3,FALSE))</f>
        <v/>
      </c>
      <c r="I9895" s="1" t="str">
        <f>IF(Table2[[#This Row],[Description]]="","",IF(Table2[[#This Row],[Currency]]=$O$2,$P$2,HLOOKUP(Table2[[#This Row],[Date]],Funds!$C$10:$GV$11,2,FALSE)))</f>
        <v/>
      </c>
      <c r="J9895" s="215" t="str">
        <f>IF(Table2[[#This Row],[Description]]="","",Table2[[#This Row],[Value]]/Table2[[#This Row],[Conversion]])</f>
        <v/>
      </c>
      <c r="K9895" s="45" t="str">
        <f>IF(Table2[[#This Row],[Description]]="","",DATE(Table2[[#This Row],[Year]],Table2[[#This Row],[Month]],1))</f>
        <v/>
      </c>
    </row>
    <row r="9896" spans="7:11" x14ac:dyDescent="0.25">
      <c r="G9896" s="1" t="str">
        <f>IF(Table2[[#This Row],[Description]]="","",VLOOKUP(Table2[[#This Row],[Description]],$Q$1:$S$101,2,FALSE))</f>
        <v/>
      </c>
      <c r="H9896" s="1" t="str">
        <f>IF(Table2[[#This Row],[Description]]="","",VLOOKUP(Table2[[#This Row],[Description]],$Q$1:$S$101,3,FALSE))</f>
        <v/>
      </c>
      <c r="I9896" s="1" t="str">
        <f>IF(Table2[[#This Row],[Description]]="","",IF(Table2[[#This Row],[Currency]]=$O$2,$P$2,HLOOKUP(Table2[[#This Row],[Date]],Funds!$C$10:$GV$11,2,FALSE)))</f>
        <v/>
      </c>
      <c r="J9896" s="215" t="str">
        <f>IF(Table2[[#This Row],[Description]]="","",Table2[[#This Row],[Value]]/Table2[[#This Row],[Conversion]])</f>
        <v/>
      </c>
      <c r="K9896" s="45" t="str">
        <f>IF(Table2[[#This Row],[Description]]="","",DATE(Table2[[#This Row],[Year]],Table2[[#This Row],[Month]],1))</f>
        <v/>
      </c>
    </row>
    <row r="9897" spans="7:11" x14ac:dyDescent="0.25">
      <c r="G9897" s="1" t="str">
        <f>IF(Table2[[#This Row],[Description]]="","",VLOOKUP(Table2[[#This Row],[Description]],$Q$1:$S$101,2,FALSE))</f>
        <v/>
      </c>
      <c r="H9897" s="1" t="str">
        <f>IF(Table2[[#This Row],[Description]]="","",VLOOKUP(Table2[[#This Row],[Description]],$Q$1:$S$101,3,FALSE))</f>
        <v/>
      </c>
      <c r="I9897" s="1" t="str">
        <f>IF(Table2[[#This Row],[Description]]="","",IF(Table2[[#This Row],[Currency]]=$O$2,$P$2,HLOOKUP(Table2[[#This Row],[Date]],Funds!$C$10:$GV$11,2,FALSE)))</f>
        <v/>
      </c>
      <c r="J9897" s="215" t="str">
        <f>IF(Table2[[#This Row],[Description]]="","",Table2[[#This Row],[Value]]/Table2[[#This Row],[Conversion]])</f>
        <v/>
      </c>
      <c r="K9897" s="45" t="str">
        <f>IF(Table2[[#This Row],[Description]]="","",DATE(Table2[[#This Row],[Year]],Table2[[#This Row],[Month]],1))</f>
        <v/>
      </c>
    </row>
    <row r="9898" spans="7:11" x14ac:dyDescent="0.25">
      <c r="G9898" s="1" t="str">
        <f>IF(Table2[[#This Row],[Description]]="","",VLOOKUP(Table2[[#This Row],[Description]],$Q$1:$S$101,2,FALSE))</f>
        <v/>
      </c>
      <c r="H9898" s="1" t="str">
        <f>IF(Table2[[#This Row],[Description]]="","",VLOOKUP(Table2[[#This Row],[Description]],$Q$1:$S$101,3,FALSE))</f>
        <v/>
      </c>
      <c r="I9898" s="1" t="str">
        <f>IF(Table2[[#This Row],[Description]]="","",IF(Table2[[#This Row],[Currency]]=$O$2,$P$2,HLOOKUP(Table2[[#This Row],[Date]],Funds!$C$10:$GV$11,2,FALSE)))</f>
        <v/>
      </c>
      <c r="J9898" s="215" t="str">
        <f>IF(Table2[[#This Row],[Description]]="","",Table2[[#This Row],[Value]]/Table2[[#This Row],[Conversion]])</f>
        <v/>
      </c>
      <c r="K9898" s="45" t="str">
        <f>IF(Table2[[#This Row],[Description]]="","",DATE(Table2[[#This Row],[Year]],Table2[[#This Row],[Month]],1))</f>
        <v/>
      </c>
    </row>
    <row r="9899" spans="7:11" x14ac:dyDescent="0.25">
      <c r="G9899" s="1" t="str">
        <f>IF(Table2[[#This Row],[Description]]="","",VLOOKUP(Table2[[#This Row],[Description]],$Q$1:$S$101,2,FALSE))</f>
        <v/>
      </c>
      <c r="H9899" s="1" t="str">
        <f>IF(Table2[[#This Row],[Description]]="","",VLOOKUP(Table2[[#This Row],[Description]],$Q$1:$S$101,3,FALSE))</f>
        <v/>
      </c>
      <c r="I9899" s="1" t="str">
        <f>IF(Table2[[#This Row],[Description]]="","",IF(Table2[[#This Row],[Currency]]=$O$2,$P$2,HLOOKUP(Table2[[#This Row],[Date]],Funds!$C$10:$GV$11,2,FALSE)))</f>
        <v/>
      </c>
      <c r="J9899" s="215" t="str">
        <f>IF(Table2[[#This Row],[Description]]="","",Table2[[#This Row],[Value]]/Table2[[#This Row],[Conversion]])</f>
        <v/>
      </c>
      <c r="K9899" s="45" t="str">
        <f>IF(Table2[[#This Row],[Description]]="","",DATE(Table2[[#This Row],[Year]],Table2[[#This Row],[Month]],1))</f>
        <v/>
      </c>
    </row>
    <row r="9900" spans="7:11" x14ac:dyDescent="0.25">
      <c r="G9900" s="1" t="str">
        <f>IF(Table2[[#This Row],[Description]]="","",VLOOKUP(Table2[[#This Row],[Description]],$Q$1:$S$101,2,FALSE))</f>
        <v/>
      </c>
      <c r="H9900" s="1" t="str">
        <f>IF(Table2[[#This Row],[Description]]="","",VLOOKUP(Table2[[#This Row],[Description]],$Q$1:$S$101,3,FALSE))</f>
        <v/>
      </c>
      <c r="I9900" s="1" t="str">
        <f>IF(Table2[[#This Row],[Description]]="","",IF(Table2[[#This Row],[Currency]]=$O$2,$P$2,HLOOKUP(Table2[[#This Row],[Date]],Funds!$C$10:$GV$11,2,FALSE)))</f>
        <v/>
      </c>
      <c r="J9900" s="215" t="str">
        <f>IF(Table2[[#This Row],[Description]]="","",Table2[[#This Row],[Value]]/Table2[[#This Row],[Conversion]])</f>
        <v/>
      </c>
      <c r="K9900" s="45" t="str">
        <f>IF(Table2[[#This Row],[Description]]="","",DATE(Table2[[#This Row],[Year]],Table2[[#This Row],[Month]],1))</f>
        <v/>
      </c>
    </row>
    <row r="9901" spans="7:11" x14ac:dyDescent="0.25">
      <c r="G9901" s="1" t="str">
        <f>IF(Table2[[#This Row],[Description]]="","",VLOOKUP(Table2[[#This Row],[Description]],$Q$1:$S$101,2,FALSE))</f>
        <v/>
      </c>
      <c r="H9901" s="1" t="str">
        <f>IF(Table2[[#This Row],[Description]]="","",VLOOKUP(Table2[[#This Row],[Description]],$Q$1:$S$101,3,FALSE))</f>
        <v/>
      </c>
      <c r="I9901" s="1" t="str">
        <f>IF(Table2[[#This Row],[Description]]="","",IF(Table2[[#This Row],[Currency]]=$O$2,$P$2,HLOOKUP(Table2[[#This Row],[Date]],Funds!$C$10:$GV$11,2,FALSE)))</f>
        <v/>
      </c>
      <c r="J9901" s="215" t="str">
        <f>IF(Table2[[#This Row],[Description]]="","",Table2[[#This Row],[Value]]/Table2[[#This Row],[Conversion]])</f>
        <v/>
      </c>
      <c r="K9901" s="45" t="str">
        <f>IF(Table2[[#This Row],[Description]]="","",DATE(Table2[[#This Row],[Year]],Table2[[#This Row],[Month]],1))</f>
        <v/>
      </c>
    </row>
    <row r="9902" spans="7:11" x14ac:dyDescent="0.25">
      <c r="G9902" s="1" t="str">
        <f>IF(Table2[[#This Row],[Description]]="","",VLOOKUP(Table2[[#This Row],[Description]],$Q$1:$S$101,2,FALSE))</f>
        <v/>
      </c>
      <c r="H9902" s="1" t="str">
        <f>IF(Table2[[#This Row],[Description]]="","",VLOOKUP(Table2[[#This Row],[Description]],$Q$1:$S$101,3,FALSE))</f>
        <v/>
      </c>
      <c r="I9902" s="1" t="str">
        <f>IF(Table2[[#This Row],[Description]]="","",IF(Table2[[#This Row],[Currency]]=$O$2,$P$2,HLOOKUP(Table2[[#This Row],[Date]],Funds!$C$10:$GV$11,2,FALSE)))</f>
        <v/>
      </c>
      <c r="J9902" s="215" t="str">
        <f>IF(Table2[[#This Row],[Description]]="","",Table2[[#This Row],[Value]]/Table2[[#This Row],[Conversion]])</f>
        <v/>
      </c>
      <c r="K9902" s="45" t="str">
        <f>IF(Table2[[#This Row],[Description]]="","",DATE(Table2[[#This Row],[Year]],Table2[[#This Row],[Month]],1))</f>
        <v/>
      </c>
    </row>
    <row r="9903" spans="7:11" x14ac:dyDescent="0.25">
      <c r="G9903" s="1" t="str">
        <f>IF(Table2[[#This Row],[Description]]="","",VLOOKUP(Table2[[#This Row],[Description]],$Q$1:$S$101,2,FALSE))</f>
        <v/>
      </c>
      <c r="H9903" s="1" t="str">
        <f>IF(Table2[[#This Row],[Description]]="","",VLOOKUP(Table2[[#This Row],[Description]],$Q$1:$S$101,3,FALSE))</f>
        <v/>
      </c>
      <c r="I9903" s="1" t="str">
        <f>IF(Table2[[#This Row],[Description]]="","",IF(Table2[[#This Row],[Currency]]=$O$2,$P$2,HLOOKUP(Table2[[#This Row],[Date]],Funds!$C$10:$GV$11,2,FALSE)))</f>
        <v/>
      </c>
      <c r="J9903" s="215" t="str">
        <f>IF(Table2[[#This Row],[Description]]="","",Table2[[#This Row],[Value]]/Table2[[#This Row],[Conversion]])</f>
        <v/>
      </c>
      <c r="K9903" s="45" t="str">
        <f>IF(Table2[[#This Row],[Description]]="","",DATE(Table2[[#This Row],[Year]],Table2[[#This Row],[Month]],1))</f>
        <v/>
      </c>
    </row>
    <row r="9904" spans="7:11" x14ac:dyDescent="0.25">
      <c r="G9904" s="1" t="str">
        <f>IF(Table2[[#This Row],[Description]]="","",VLOOKUP(Table2[[#This Row],[Description]],$Q$1:$S$101,2,FALSE))</f>
        <v/>
      </c>
      <c r="H9904" s="1" t="str">
        <f>IF(Table2[[#This Row],[Description]]="","",VLOOKUP(Table2[[#This Row],[Description]],$Q$1:$S$101,3,FALSE))</f>
        <v/>
      </c>
      <c r="I9904" s="1" t="str">
        <f>IF(Table2[[#This Row],[Description]]="","",IF(Table2[[#This Row],[Currency]]=$O$2,$P$2,HLOOKUP(Table2[[#This Row],[Date]],Funds!$C$10:$GV$11,2,FALSE)))</f>
        <v/>
      </c>
      <c r="J9904" s="215" t="str">
        <f>IF(Table2[[#This Row],[Description]]="","",Table2[[#This Row],[Value]]/Table2[[#This Row],[Conversion]])</f>
        <v/>
      </c>
      <c r="K9904" s="45" t="str">
        <f>IF(Table2[[#This Row],[Description]]="","",DATE(Table2[[#This Row],[Year]],Table2[[#This Row],[Month]],1))</f>
        <v/>
      </c>
    </row>
    <row r="9905" spans="7:11" x14ac:dyDescent="0.25">
      <c r="G9905" s="1" t="str">
        <f>IF(Table2[[#This Row],[Description]]="","",VLOOKUP(Table2[[#This Row],[Description]],$Q$1:$S$101,2,FALSE))</f>
        <v/>
      </c>
      <c r="H9905" s="1" t="str">
        <f>IF(Table2[[#This Row],[Description]]="","",VLOOKUP(Table2[[#This Row],[Description]],$Q$1:$S$101,3,FALSE))</f>
        <v/>
      </c>
      <c r="I9905" s="1" t="str">
        <f>IF(Table2[[#This Row],[Description]]="","",IF(Table2[[#This Row],[Currency]]=$O$2,$P$2,HLOOKUP(Table2[[#This Row],[Date]],Funds!$C$10:$GV$11,2,FALSE)))</f>
        <v/>
      </c>
      <c r="J9905" s="215" t="str">
        <f>IF(Table2[[#This Row],[Description]]="","",Table2[[#This Row],[Value]]/Table2[[#This Row],[Conversion]])</f>
        <v/>
      </c>
      <c r="K9905" s="45" t="str">
        <f>IF(Table2[[#This Row],[Description]]="","",DATE(Table2[[#This Row],[Year]],Table2[[#This Row],[Month]],1))</f>
        <v/>
      </c>
    </row>
    <row r="9906" spans="7:11" x14ac:dyDescent="0.25">
      <c r="G9906" s="1" t="str">
        <f>IF(Table2[[#This Row],[Description]]="","",VLOOKUP(Table2[[#This Row],[Description]],$Q$1:$S$101,2,FALSE))</f>
        <v/>
      </c>
      <c r="H9906" s="1" t="str">
        <f>IF(Table2[[#This Row],[Description]]="","",VLOOKUP(Table2[[#This Row],[Description]],$Q$1:$S$101,3,FALSE))</f>
        <v/>
      </c>
      <c r="I9906" s="1" t="str">
        <f>IF(Table2[[#This Row],[Description]]="","",IF(Table2[[#This Row],[Currency]]=$O$2,$P$2,HLOOKUP(Table2[[#This Row],[Date]],Funds!$C$10:$GV$11,2,FALSE)))</f>
        <v/>
      </c>
      <c r="J9906" s="215" t="str">
        <f>IF(Table2[[#This Row],[Description]]="","",Table2[[#This Row],[Value]]/Table2[[#This Row],[Conversion]])</f>
        <v/>
      </c>
      <c r="K9906" s="45" t="str">
        <f>IF(Table2[[#This Row],[Description]]="","",DATE(Table2[[#This Row],[Year]],Table2[[#This Row],[Month]],1))</f>
        <v/>
      </c>
    </row>
    <row r="9907" spans="7:11" x14ac:dyDescent="0.25">
      <c r="G9907" s="1" t="str">
        <f>IF(Table2[[#This Row],[Description]]="","",VLOOKUP(Table2[[#This Row],[Description]],$Q$1:$S$101,2,FALSE))</f>
        <v/>
      </c>
      <c r="H9907" s="1" t="str">
        <f>IF(Table2[[#This Row],[Description]]="","",VLOOKUP(Table2[[#This Row],[Description]],$Q$1:$S$101,3,FALSE))</f>
        <v/>
      </c>
      <c r="I9907" s="1" t="str">
        <f>IF(Table2[[#This Row],[Description]]="","",IF(Table2[[#This Row],[Currency]]=$O$2,$P$2,HLOOKUP(Table2[[#This Row],[Date]],Funds!$C$10:$GV$11,2,FALSE)))</f>
        <v/>
      </c>
      <c r="J9907" s="215" t="str">
        <f>IF(Table2[[#This Row],[Description]]="","",Table2[[#This Row],[Value]]/Table2[[#This Row],[Conversion]])</f>
        <v/>
      </c>
      <c r="K9907" s="45" t="str">
        <f>IF(Table2[[#This Row],[Description]]="","",DATE(Table2[[#This Row],[Year]],Table2[[#This Row],[Month]],1))</f>
        <v/>
      </c>
    </row>
    <row r="9908" spans="7:11" x14ac:dyDescent="0.25">
      <c r="G9908" s="1" t="str">
        <f>IF(Table2[[#This Row],[Description]]="","",VLOOKUP(Table2[[#This Row],[Description]],$Q$1:$S$101,2,FALSE))</f>
        <v/>
      </c>
      <c r="H9908" s="1" t="str">
        <f>IF(Table2[[#This Row],[Description]]="","",VLOOKUP(Table2[[#This Row],[Description]],$Q$1:$S$101,3,FALSE))</f>
        <v/>
      </c>
      <c r="I9908" s="1" t="str">
        <f>IF(Table2[[#This Row],[Description]]="","",IF(Table2[[#This Row],[Currency]]=$O$2,$P$2,HLOOKUP(Table2[[#This Row],[Date]],Funds!$C$10:$GV$11,2,FALSE)))</f>
        <v/>
      </c>
      <c r="J9908" s="215" t="str">
        <f>IF(Table2[[#This Row],[Description]]="","",Table2[[#This Row],[Value]]/Table2[[#This Row],[Conversion]])</f>
        <v/>
      </c>
      <c r="K9908" s="45" t="str">
        <f>IF(Table2[[#This Row],[Description]]="","",DATE(Table2[[#This Row],[Year]],Table2[[#This Row],[Month]],1))</f>
        <v/>
      </c>
    </row>
    <row r="9909" spans="7:11" x14ac:dyDescent="0.25">
      <c r="G9909" s="1" t="str">
        <f>IF(Table2[[#This Row],[Description]]="","",VLOOKUP(Table2[[#This Row],[Description]],$Q$1:$S$101,2,FALSE))</f>
        <v/>
      </c>
      <c r="H9909" s="1" t="str">
        <f>IF(Table2[[#This Row],[Description]]="","",VLOOKUP(Table2[[#This Row],[Description]],$Q$1:$S$101,3,FALSE))</f>
        <v/>
      </c>
      <c r="I9909" s="1" t="str">
        <f>IF(Table2[[#This Row],[Description]]="","",IF(Table2[[#This Row],[Currency]]=$O$2,$P$2,HLOOKUP(Table2[[#This Row],[Date]],Funds!$C$10:$GV$11,2,FALSE)))</f>
        <v/>
      </c>
      <c r="J9909" s="215" t="str">
        <f>IF(Table2[[#This Row],[Description]]="","",Table2[[#This Row],[Value]]/Table2[[#This Row],[Conversion]])</f>
        <v/>
      </c>
      <c r="K9909" s="45" t="str">
        <f>IF(Table2[[#This Row],[Description]]="","",DATE(Table2[[#This Row],[Year]],Table2[[#This Row],[Month]],1))</f>
        <v/>
      </c>
    </row>
    <row r="9910" spans="7:11" x14ac:dyDescent="0.25">
      <c r="G9910" s="1" t="str">
        <f>IF(Table2[[#This Row],[Description]]="","",VLOOKUP(Table2[[#This Row],[Description]],$Q$1:$S$101,2,FALSE))</f>
        <v/>
      </c>
      <c r="H9910" s="1" t="str">
        <f>IF(Table2[[#This Row],[Description]]="","",VLOOKUP(Table2[[#This Row],[Description]],$Q$1:$S$101,3,FALSE))</f>
        <v/>
      </c>
      <c r="I9910" s="1" t="str">
        <f>IF(Table2[[#This Row],[Description]]="","",IF(Table2[[#This Row],[Currency]]=$O$2,$P$2,HLOOKUP(Table2[[#This Row],[Date]],Funds!$C$10:$GV$11,2,FALSE)))</f>
        <v/>
      </c>
      <c r="J9910" s="215" t="str">
        <f>IF(Table2[[#This Row],[Description]]="","",Table2[[#This Row],[Value]]/Table2[[#This Row],[Conversion]])</f>
        <v/>
      </c>
      <c r="K9910" s="45" t="str">
        <f>IF(Table2[[#This Row],[Description]]="","",DATE(Table2[[#This Row],[Year]],Table2[[#This Row],[Month]],1))</f>
        <v/>
      </c>
    </row>
    <row r="9911" spans="7:11" x14ac:dyDescent="0.25">
      <c r="G9911" s="1" t="str">
        <f>IF(Table2[[#This Row],[Description]]="","",VLOOKUP(Table2[[#This Row],[Description]],$Q$1:$S$101,2,FALSE))</f>
        <v/>
      </c>
      <c r="H9911" s="1" t="str">
        <f>IF(Table2[[#This Row],[Description]]="","",VLOOKUP(Table2[[#This Row],[Description]],$Q$1:$S$101,3,FALSE))</f>
        <v/>
      </c>
      <c r="I9911" s="1" t="str">
        <f>IF(Table2[[#This Row],[Description]]="","",IF(Table2[[#This Row],[Currency]]=$O$2,$P$2,HLOOKUP(Table2[[#This Row],[Date]],Funds!$C$10:$GV$11,2,FALSE)))</f>
        <v/>
      </c>
      <c r="J9911" s="215" t="str">
        <f>IF(Table2[[#This Row],[Description]]="","",Table2[[#This Row],[Value]]/Table2[[#This Row],[Conversion]])</f>
        <v/>
      </c>
      <c r="K9911" s="45" t="str">
        <f>IF(Table2[[#This Row],[Description]]="","",DATE(Table2[[#This Row],[Year]],Table2[[#This Row],[Month]],1))</f>
        <v/>
      </c>
    </row>
    <row r="9912" spans="7:11" x14ac:dyDescent="0.25">
      <c r="G9912" s="1" t="str">
        <f>IF(Table2[[#This Row],[Description]]="","",VLOOKUP(Table2[[#This Row],[Description]],$Q$1:$S$101,2,FALSE))</f>
        <v/>
      </c>
      <c r="H9912" s="1" t="str">
        <f>IF(Table2[[#This Row],[Description]]="","",VLOOKUP(Table2[[#This Row],[Description]],$Q$1:$S$101,3,FALSE))</f>
        <v/>
      </c>
      <c r="I9912" s="1" t="str">
        <f>IF(Table2[[#This Row],[Description]]="","",IF(Table2[[#This Row],[Currency]]=$O$2,$P$2,HLOOKUP(Table2[[#This Row],[Date]],Funds!$C$10:$GV$11,2,FALSE)))</f>
        <v/>
      </c>
      <c r="J9912" s="215" t="str">
        <f>IF(Table2[[#This Row],[Description]]="","",Table2[[#This Row],[Value]]/Table2[[#This Row],[Conversion]])</f>
        <v/>
      </c>
      <c r="K9912" s="45" t="str">
        <f>IF(Table2[[#This Row],[Description]]="","",DATE(Table2[[#This Row],[Year]],Table2[[#This Row],[Month]],1))</f>
        <v/>
      </c>
    </row>
    <row r="9913" spans="7:11" x14ac:dyDescent="0.25">
      <c r="G9913" s="1" t="str">
        <f>IF(Table2[[#This Row],[Description]]="","",VLOOKUP(Table2[[#This Row],[Description]],$Q$1:$S$101,2,FALSE))</f>
        <v/>
      </c>
      <c r="H9913" s="1" t="str">
        <f>IF(Table2[[#This Row],[Description]]="","",VLOOKUP(Table2[[#This Row],[Description]],$Q$1:$S$101,3,FALSE))</f>
        <v/>
      </c>
      <c r="I9913" s="1" t="str">
        <f>IF(Table2[[#This Row],[Description]]="","",IF(Table2[[#This Row],[Currency]]=$O$2,$P$2,HLOOKUP(Table2[[#This Row],[Date]],Funds!$C$10:$GV$11,2,FALSE)))</f>
        <v/>
      </c>
      <c r="J9913" s="215" t="str">
        <f>IF(Table2[[#This Row],[Description]]="","",Table2[[#This Row],[Value]]/Table2[[#This Row],[Conversion]])</f>
        <v/>
      </c>
      <c r="K9913" s="45" t="str">
        <f>IF(Table2[[#This Row],[Description]]="","",DATE(Table2[[#This Row],[Year]],Table2[[#This Row],[Month]],1))</f>
        <v/>
      </c>
    </row>
    <row r="9914" spans="7:11" x14ac:dyDescent="0.25">
      <c r="G9914" s="1" t="str">
        <f>IF(Table2[[#This Row],[Description]]="","",VLOOKUP(Table2[[#This Row],[Description]],$Q$1:$S$101,2,FALSE))</f>
        <v/>
      </c>
      <c r="H9914" s="1" t="str">
        <f>IF(Table2[[#This Row],[Description]]="","",VLOOKUP(Table2[[#This Row],[Description]],$Q$1:$S$101,3,FALSE))</f>
        <v/>
      </c>
      <c r="I9914" s="1" t="str">
        <f>IF(Table2[[#This Row],[Description]]="","",IF(Table2[[#This Row],[Currency]]=$O$2,$P$2,HLOOKUP(Table2[[#This Row],[Date]],Funds!$C$10:$GV$11,2,FALSE)))</f>
        <v/>
      </c>
      <c r="J9914" s="215" t="str">
        <f>IF(Table2[[#This Row],[Description]]="","",Table2[[#This Row],[Value]]/Table2[[#This Row],[Conversion]])</f>
        <v/>
      </c>
      <c r="K9914" s="45" t="str">
        <f>IF(Table2[[#This Row],[Description]]="","",DATE(Table2[[#This Row],[Year]],Table2[[#This Row],[Month]],1))</f>
        <v/>
      </c>
    </row>
    <row r="9915" spans="7:11" x14ac:dyDescent="0.25">
      <c r="G9915" s="1" t="str">
        <f>IF(Table2[[#This Row],[Description]]="","",VLOOKUP(Table2[[#This Row],[Description]],$Q$1:$S$101,2,FALSE))</f>
        <v/>
      </c>
      <c r="H9915" s="1" t="str">
        <f>IF(Table2[[#This Row],[Description]]="","",VLOOKUP(Table2[[#This Row],[Description]],$Q$1:$S$101,3,FALSE))</f>
        <v/>
      </c>
      <c r="I9915" s="1" t="str">
        <f>IF(Table2[[#This Row],[Description]]="","",IF(Table2[[#This Row],[Currency]]=$O$2,$P$2,HLOOKUP(Table2[[#This Row],[Date]],Funds!$C$10:$GV$11,2,FALSE)))</f>
        <v/>
      </c>
      <c r="J9915" s="215" t="str">
        <f>IF(Table2[[#This Row],[Description]]="","",Table2[[#This Row],[Value]]/Table2[[#This Row],[Conversion]])</f>
        <v/>
      </c>
      <c r="K9915" s="45" t="str">
        <f>IF(Table2[[#This Row],[Description]]="","",DATE(Table2[[#This Row],[Year]],Table2[[#This Row],[Month]],1))</f>
        <v/>
      </c>
    </row>
    <row r="9916" spans="7:11" x14ac:dyDescent="0.25">
      <c r="G9916" s="1" t="str">
        <f>IF(Table2[[#This Row],[Description]]="","",VLOOKUP(Table2[[#This Row],[Description]],$Q$1:$S$101,2,FALSE))</f>
        <v/>
      </c>
      <c r="H9916" s="1" t="str">
        <f>IF(Table2[[#This Row],[Description]]="","",VLOOKUP(Table2[[#This Row],[Description]],$Q$1:$S$101,3,FALSE))</f>
        <v/>
      </c>
      <c r="I9916" s="1" t="str">
        <f>IF(Table2[[#This Row],[Description]]="","",IF(Table2[[#This Row],[Currency]]=$O$2,$P$2,HLOOKUP(Table2[[#This Row],[Date]],Funds!$C$10:$GV$11,2,FALSE)))</f>
        <v/>
      </c>
      <c r="J9916" s="215" t="str">
        <f>IF(Table2[[#This Row],[Description]]="","",Table2[[#This Row],[Value]]/Table2[[#This Row],[Conversion]])</f>
        <v/>
      </c>
      <c r="K9916" s="45" t="str">
        <f>IF(Table2[[#This Row],[Description]]="","",DATE(Table2[[#This Row],[Year]],Table2[[#This Row],[Month]],1))</f>
        <v/>
      </c>
    </row>
    <row r="9917" spans="7:11" x14ac:dyDescent="0.25">
      <c r="G9917" s="1" t="str">
        <f>IF(Table2[[#This Row],[Description]]="","",VLOOKUP(Table2[[#This Row],[Description]],$Q$1:$S$101,2,FALSE))</f>
        <v/>
      </c>
      <c r="H9917" s="1" t="str">
        <f>IF(Table2[[#This Row],[Description]]="","",VLOOKUP(Table2[[#This Row],[Description]],$Q$1:$S$101,3,FALSE))</f>
        <v/>
      </c>
      <c r="I9917" s="1" t="str">
        <f>IF(Table2[[#This Row],[Description]]="","",IF(Table2[[#This Row],[Currency]]=$O$2,$P$2,HLOOKUP(Table2[[#This Row],[Date]],Funds!$C$10:$GV$11,2,FALSE)))</f>
        <v/>
      </c>
      <c r="J9917" s="215" t="str">
        <f>IF(Table2[[#This Row],[Description]]="","",Table2[[#This Row],[Value]]/Table2[[#This Row],[Conversion]])</f>
        <v/>
      </c>
      <c r="K9917" s="45" t="str">
        <f>IF(Table2[[#This Row],[Description]]="","",DATE(Table2[[#This Row],[Year]],Table2[[#This Row],[Month]],1))</f>
        <v/>
      </c>
    </row>
    <row r="9918" spans="7:11" x14ac:dyDescent="0.25">
      <c r="G9918" s="1" t="str">
        <f>IF(Table2[[#This Row],[Description]]="","",VLOOKUP(Table2[[#This Row],[Description]],$Q$1:$S$101,2,FALSE))</f>
        <v/>
      </c>
      <c r="H9918" s="1" t="str">
        <f>IF(Table2[[#This Row],[Description]]="","",VLOOKUP(Table2[[#This Row],[Description]],$Q$1:$S$101,3,FALSE))</f>
        <v/>
      </c>
      <c r="I9918" s="1" t="str">
        <f>IF(Table2[[#This Row],[Description]]="","",IF(Table2[[#This Row],[Currency]]=$O$2,$P$2,HLOOKUP(Table2[[#This Row],[Date]],Funds!$C$10:$GV$11,2,FALSE)))</f>
        <v/>
      </c>
      <c r="J9918" s="215" t="str">
        <f>IF(Table2[[#This Row],[Description]]="","",Table2[[#This Row],[Value]]/Table2[[#This Row],[Conversion]])</f>
        <v/>
      </c>
      <c r="K9918" s="45" t="str">
        <f>IF(Table2[[#This Row],[Description]]="","",DATE(Table2[[#This Row],[Year]],Table2[[#This Row],[Month]],1))</f>
        <v/>
      </c>
    </row>
    <row r="9919" spans="7:11" x14ac:dyDescent="0.25">
      <c r="G9919" s="1" t="str">
        <f>IF(Table2[[#This Row],[Description]]="","",VLOOKUP(Table2[[#This Row],[Description]],$Q$1:$S$101,2,FALSE))</f>
        <v/>
      </c>
      <c r="H9919" s="1" t="str">
        <f>IF(Table2[[#This Row],[Description]]="","",VLOOKUP(Table2[[#This Row],[Description]],$Q$1:$S$101,3,FALSE))</f>
        <v/>
      </c>
      <c r="I9919" s="1" t="str">
        <f>IF(Table2[[#This Row],[Description]]="","",IF(Table2[[#This Row],[Currency]]=$O$2,$P$2,HLOOKUP(Table2[[#This Row],[Date]],Funds!$C$10:$GV$11,2,FALSE)))</f>
        <v/>
      </c>
      <c r="J9919" s="215" t="str">
        <f>IF(Table2[[#This Row],[Description]]="","",Table2[[#This Row],[Value]]/Table2[[#This Row],[Conversion]])</f>
        <v/>
      </c>
      <c r="K9919" s="45" t="str">
        <f>IF(Table2[[#This Row],[Description]]="","",DATE(Table2[[#This Row],[Year]],Table2[[#This Row],[Month]],1))</f>
        <v/>
      </c>
    </row>
    <row r="9920" spans="7:11" x14ac:dyDescent="0.25">
      <c r="G9920" s="1" t="str">
        <f>IF(Table2[[#This Row],[Description]]="","",VLOOKUP(Table2[[#This Row],[Description]],$Q$1:$S$101,2,FALSE))</f>
        <v/>
      </c>
      <c r="H9920" s="1" t="str">
        <f>IF(Table2[[#This Row],[Description]]="","",VLOOKUP(Table2[[#This Row],[Description]],$Q$1:$S$101,3,FALSE))</f>
        <v/>
      </c>
      <c r="I9920" s="1" t="str">
        <f>IF(Table2[[#This Row],[Description]]="","",IF(Table2[[#This Row],[Currency]]=$O$2,$P$2,HLOOKUP(Table2[[#This Row],[Date]],Funds!$C$10:$GV$11,2,FALSE)))</f>
        <v/>
      </c>
      <c r="J9920" s="215" t="str">
        <f>IF(Table2[[#This Row],[Description]]="","",Table2[[#This Row],[Value]]/Table2[[#This Row],[Conversion]])</f>
        <v/>
      </c>
      <c r="K9920" s="45" t="str">
        <f>IF(Table2[[#This Row],[Description]]="","",DATE(Table2[[#This Row],[Year]],Table2[[#This Row],[Month]],1))</f>
        <v/>
      </c>
    </row>
    <row r="9921" spans="7:11" x14ac:dyDescent="0.25">
      <c r="G9921" s="1" t="str">
        <f>IF(Table2[[#This Row],[Description]]="","",VLOOKUP(Table2[[#This Row],[Description]],$Q$1:$S$101,2,FALSE))</f>
        <v/>
      </c>
      <c r="H9921" s="1" t="str">
        <f>IF(Table2[[#This Row],[Description]]="","",VLOOKUP(Table2[[#This Row],[Description]],$Q$1:$S$101,3,FALSE))</f>
        <v/>
      </c>
      <c r="I9921" s="1" t="str">
        <f>IF(Table2[[#This Row],[Description]]="","",IF(Table2[[#This Row],[Currency]]=$O$2,$P$2,HLOOKUP(Table2[[#This Row],[Date]],Funds!$C$10:$GV$11,2,FALSE)))</f>
        <v/>
      </c>
      <c r="J9921" s="215" t="str">
        <f>IF(Table2[[#This Row],[Description]]="","",Table2[[#This Row],[Value]]/Table2[[#This Row],[Conversion]])</f>
        <v/>
      </c>
      <c r="K9921" s="45" t="str">
        <f>IF(Table2[[#This Row],[Description]]="","",DATE(Table2[[#This Row],[Year]],Table2[[#This Row],[Month]],1))</f>
        <v/>
      </c>
    </row>
    <row r="9922" spans="7:11" x14ac:dyDescent="0.25">
      <c r="G9922" s="1" t="str">
        <f>IF(Table2[[#This Row],[Description]]="","",VLOOKUP(Table2[[#This Row],[Description]],$Q$1:$S$101,2,FALSE))</f>
        <v/>
      </c>
      <c r="H9922" s="1" t="str">
        <f>IF(Table2[[#This Row],[Description]]="","",VLOOKUP(Table2[[#This Row],[Description]],$Q$1:$S$101,3,FALSE))</f>
        <v/>
      </c>
      <c r="I9922" s="1" t="str">
        <f>IF(Table2[[#This Row],[Description]]="","",IF(Table2[[#This Row],[Currency]]=$O$2,$P$2,HLOOKUP(Table2[[#This Row],[Date]],Funds!$C$10:$GV$11,2,FALSE)))</f>
        <v/>
      </c>
      <c r="J9922" s="215" t="str">
        <f>IF(Table2[[#This Row],[Description]]="","",Table2[[#This Row],[Value]]/Table2[[#This Row],[Conversion]])</f>
        <v/>
      </c>
      <c r="K9922" s="45" t="str">
        <f>IF(Table2[[#This Row],[Description]]="","",DATE(Table2[[#This Row],[Year]],Table2[[#This Row],[Month]],1))</f>
        <v/>
      </c>
    </row>
    <row r="9923" spans="7:11" x14ac:dyDescent="0.25">
      <c r="G9923" s="1" t="str">
        <f>IF(Table2[[#This Row],[Description]]="","",VLOOKUP(Table2[[#This Row],[Description]],$Q$1:$S$101,2,FALSE))</f>
        <v/>
      </c>
      <c r="H9923" s="1" t="str">
        <f>IF(Table2[[#This Row],[Description]]="","",VLOOKUP(Table2[[#This Row],[Description]],$Q$1:$S$101,3,FALSE))</f>
        <v/>
      </c>
      <c r="I9923" s="1" t="str">
        <f>IF(Table2[[#This Row],[Description]]="","",IF(Table2[[#This Row],[Currency]]=$O$2,$P$2,HLOOKUP(Table2[[#This Row],[Date]],Funds!$C$10:$GV$11,2,FALSE)))</f>
        <v/>
      </c>
      <c r="J9923" s="215" t="str">
        <f>IF(Table2[[#This Row],[Description]]="","",Table2[[#This Row],[Value]]/Table2[[#This Row],[Conversion]])</f>
        <v/>
      </c>
      <c r="K9923" s="45" t="str">
        <f>IF(Table2[[#This Row],[Description]]="","",DATE(Table2[[#This Row],[Year]],Table2[[#This Row],[Month]],1))</f>
        <v/>
      </c>
    </row>
    <row r="9924" spans="7:11" x14ac:dyDescent="0.25">
      <c r="G9924" s="1" t="str">
        <f>IF(Table2[[#This Row],[Description]]="","",VLOOKUP(Table2[[#This Row],[Description]],$Q$1:$S$101,2,FALSE))</f>
        <v/>
      </c>
      <c r="H9924" s="1" t="str">
        <f>IF(Table2[[#This Row],[Description]]="","",VLOOKUP(Table2[[#This Row],[Description]],$Q$1:$S$101,3,FALSE))</f>
        <v/>
      </c>
      <c r="I9924" s="1" t="str">
        <f>IF(Table2[[#This Row],[Description]]="","",IF(Table2[[#This Row],[Currency]]=$O$2,$P$2,HLOOKUP(Table2[[#This Row],[Date]],Funds!$C$10:$GV$11,2,FALSE)))</f>
        <v/>
      </c>
      <c r="J9924" s="215" t="str">
        <f>IF(Table2[[#This Row],[Description]]="","",Table2[[#This Row],[Value]]/Table2[[#This Row],[Conversion]])</f>
        <v/>
      </c>
      <c r="K9924" s="45" t="str">
        <f>IF(Table2[[#This Row],[Description]]="","",DATE(Table2[[#This Row],[Year]],Table2[[#This Row],[Month]],1))</f>
        <v/>
      </c>
    </row>
    <row r="9925" spans="7:11" x14ac:dyDescent="0.25">
      <c r="G9925" s="1" t="str">
        <f>IF(Table2[[#This Row],[Description]]="","",VLOOKUP(Table2[[#This Row],[Description]],$Q$1:$S$101,2,FALSE))</f>
        <v/>
      </c>
      <c r="H9925" s="1" t="str">
        <f>IF(Table2[[#This Row],[Description]]="","",VLOOKUP(Table2[[#This Row],[Description]],$Q$1:$S$101,3,FALSE))</f>
        <v/>
      </c>
      <c r="I9925" s="1" t="str">
        <f>IF(Table2[[#This Row],[Description]]="","",IF(Table2[[#This Row],[Currency]]=$O$2,$P$2,HLOOKUP(Table2[[#This Row],[Date]],Funds!$C$10:$GV$11,2,FALSE)))</f>
        <v/>
      </c>
      <c r="J9925" s="215" t="str">
        <f>IF(Table2[[#This Row],[Description]]="","",Table2[[#This Row],[Value]]/Table2[[#This Row],[Conversion]])</f>
        <v/>
      </c>
      <c r="K9925" s="45" t="str">
        <f>IF(Table2[[#This Row],[Description]]="","",DATE(Table2[[#This Row],[Year]],Table2[[#This Row],[Month]],1))</f>
        <v/>
      </c>
    </row>
    <row r="9926" spans="7:11" x14ac:dyDescent="0.25">
      <c r="G9926" s="1" t="str">
        <f>IF(Table2[[#This Row],[Description]]="","",VLOOKUP(Table2[[#This Row],[Description]],$Q$1:$S$101,2,FALSE))</f>
        <v/>
      </c>
      <c r="H9926" s="1" t="str">
        <f>IF(Table2[[#This Row],[Description]]="","",VLOOKUP(Table2[[#This Row],[Description]],$Q$1:$S$101,3,FALSE))</f>
        <v/>
      </c>
      <c r="I9926" s="1" t="str">
        <f>IF(Table2[[#This Row],[Description]]="","",IF(Table2[[#This Row],[Currency]]=$O$2,$P$2,HLOOKUP(Table2[[#This Row],[Date]],Funds!$C$10:$GV$11,2,FALSE)))</f>
        <v/>
      </c>
      <c r="J9926" s="215" t="str">
        <f>IF(Table2[[#This Row],[Description]]="","",Table2[[#This Row],[Value]]/Table2[[#This Row],[Conversion]])</f>
        <v/>
      </c>
      <c r="K9926" s="45" t="str">
        <f>IF(Table2[[#This Row],[Description]]="","",DATE(Table2[[#This Row],[Year]],Table2[[#This Row],[Month]],1))</f>
        <v/>
      </c>
    </row>
    <row r="9927" spans="7:11" x14ac:dyDescent="0.25">
      <c r="G9927" s="1" t="str">
        <f>IF(Table2[[#This Row],[Description]]="","",VLOOKUP(Table2[[#This Row],[Description]],$Q$1:$S$101,2,FALSE))</f>
        <v/>
      </c>
      <c r="H9927" s="1" t="str">
        <f>IF(Table2[[#This Row],[Description]]="","",VLOOKUP(Table2[[#This Row],[Description]],$Q$1:$S$101,3,FALSE))</f>
        <v/>
      </c>
      <c r="I9927" s="1" t="str">
        <f>IF(Table2[[#This Row],[Description]]="","",IF(Table2[[#This Row],[Currency]]=$O$2,$P$2,HLOOKUP(Table2[[#This Row],[Date]],Funds!$C$10:$GV$11,2,FALSE)))</f>
        <v/>
      </c>
      <c r="J9927" s="215" t="str">
        <f>IF(Table2[[#This Row],[Description]]="","",Table2[[#This Row],[Value]]/Table2[[#This Row],[Conversion]])</f>
        <v/>
      </c>
      <c r="K9927" s="45" t="str">
        <f>IF(Table2[[#This Row],[Description]]="","",DATE(Table2[[#This Row],[Year]],Table2[[#This Row],[Month]],1))</f>
        <v/>
      </c>
    </row>
    <row r="9928" spans="7:11" x14ac:dyDescent="0.25">
      <c r="G9928" s="1" t="str">
        <f>IF(Table2[[#This Row],[Description]]="","",VLOOKUP(Table2[[#This Row],[Description]],$Q$1:$S$101,2,FALSE))</f>
        <v/>
      </c>
      <c r="H9928" s="1" t="str">
        <f>IF(Table2[[#This Row],[Description]]="","",VLOOKUP(Table2[[#This Row],[Description]],$Q$1:$S$101,3,FALSE))</f>
        <v/>
      </c>
      <c r="I9928" s="1" t="str">
        <f>IF(Table2[[#This Row],[Description]]="","",IF(Table2[[#This Row],[Currency]]=$O$2,$P$2,HLOOKUP(Table2[[#This Row],[Date]],Funds!$C$10:$GV$11,2,FALSE)))</f>
        <v/>
      </c>
      <c r="J9928" s="215" t="str">
        <f>IF(Table2[[#This Row],[Description]]="","",Table2[[#This Row],[Value]]/Table2[[#This Row],[Conversion]])</f>
        <v/>
      </c>
      <c r="K9928" s="45" t="str">
        <f>IF(Table2[[#This Row],[Description]]="","",DATE(Table2[[#This Row],[Year]],Table2[[#This Row],[Month]],1))</f>
        <v/>
      </c>
    </row>
    <row r="9929" spans="7:11" x14ac:dyDescent="0.25">
      <c r="G9929" s="1" t="str">
        <f>IF(Table2[[#This Row],[Description]]="","",VLOOKUP(Table2[[#This Row],[Description]],$Q$1:$S$101,2,FALSE))</f>
        <v/>
      </c>
      <c r="H9929" s="1" t="str">
        <f>IF(Table2[[#This Row],[Description]]="","",VLOOKUP(Table2[[#This Row],[Description]],$Q$1:$S$101,3,FALSE))</f>
        <v/>
      </c>
      <c r="I9929" s="1" t="str">
        <f>IF(Table2[[#This Row],[Description]]="","",IF(Table2[[#This Row],[Currency]]=$O$2,$P$2,HLOOKUP(Table2[[#This Row],[Date]],Funds!$C$10:$GV$11,2,FALSE)))</f>
        <v/>
      </c>
      <c r="J9929" s="215" t="str">
        <f>IF(Table2[[#This Row],[Description]]="","",Table2[[#This Row],[Value]]/Table2[[#This Row],[Conversion]])</f>
        <v/>
      </c>
      <c r="K9929" s="45" t="str">
        <f>IF(Table2[[#This Row],[Description]]="","",DATE(Table2[[#This Row],[Year]],Table2[[#This Row],[Month]],1))</f>
        <v/>
      </c>
    </row>
    <row r="9930" spans="7:11" x14ac:dyDescent="0.25">
      <c r="G9930" s="1" t="str">
        <f>IF(Table2[[#This Row],[Description]]="","",VLOOKUP(Table2[[#This Row],[Description]],$Q$1:$S$101,2,FALSE))</f>
        <v/>
      </c>
      <c r="H9930" s="1" t="str">
        <f>IF(Table2[[#This Row],[Description]]="","",VLOOKUP(Table2[[#This Row],[Description]],$Q$1:$S$101,3,FALSE))</f>
        <v/>
      </c>
      <c r="I9930" s="1" t="str">
        <f>IF(Table2[[#This Row],[Description]]="","",IF(Table2[[#This Row],[Currency]]=$O$2,$P$2,HLOOKUP(Table2[[#This Row],[Date]],Funds!$C$10:$GV$11,2,FALSE)))</f>
        <v/>
      </c>
      <c r="J9930" s="215" t="str">
        <f>IF(Table2[[#This Row],[Description]]="","",Table2[[#This Row],[Value]]/Table2[[#This Row],[Conversion]])</f>
        <v/>
      </c>
      <c r="K9930" s="45" t="str">
        <f>IF(Table2[[#This Row],[Description]]="","",DATE(Table2[[#This Row],[Year]],Table2[[#This Row],[Month]],1))</f>
        <v/>
      </c>
    </row>
    <row r="9931" spans="7:11" x14ac:dyDescent="0.25">
      <c r="G9931" s="1" t="str">
        <f>IF(Table2[[#This Row],[Description]]="","",VLOOKUP(Table2[[#This Row],[Description]],$Q$1:$S$101,2,FALSE))</f>
        <v/>
      </c>
      <c r="H9931" s="1" t="str">
        <f>IF(Table2[[#This Row],[Description]]="","",VLOOKUP(Table2[[#This Row],[Description]],$Q$1:$S$101,3,FALSE))</f>
        <v/>
      </c>
      <c r="I9931" s="1" t="str">
        <f>IF(Table2[[#This Row],[Description]]="","",IF(Table2[[#This Row],[Currency]]=$O$2,$P$2,HLOOKUP(Table2[[#This Row],[Date]],Funds!$C$10:$GV$11,2,FALSE)))</f>
        <v/>
      </c>
      <c r="J9931" s="215" t="str">
        <f>IF(Table2[[#This Row],[Description]]="","",Table2[[#This Row],[Value]]/Table2[[#This Row],[Conversion]])</f>
        <v/>
      </c>
      <c r="K9931" s="45" t="str">
        <f>IF(Table2[[#This Row],[Description]]="","",DATE(Table2[[#This Row],[Year]],Table2[[#This Row],[Month]],1))</f>
        <v/>
      </c>
    </row>
    <row r="9932" spans="7:11" x14ac:dyDescent="0.25">
      <c r="G9932" s="1" t="str">
        <f>IF(Table2[[#This Row],[Description]]="","",VLOOKUP(Table2[[#This Row],[Description]],$Q$1:$S$101,2,FALSE))</f>
        <v/>
      </c>
      <c r="H9932" s="1" t="str">
        <f>IF(Table2[[#This Row],[Description]]="","",VLOOKUP(Table2[[#This Row],[Description]],$Q$1:$S$101,3,FALSE))</f>
        <v/>
      </c>
      <c r="I9932" s="1" t="str">
        <f>IF(Table2[[#This Row],[Description]]="","",IF(Table2[[#This Row],[Currency]]=$O$2,$P$2,HLOOKUP(Table2[[#This Row],[Date]],Funds!$C$10:$GV$11,2,FALSE)))</f>
        <v/>
      </c>
      <c r="J9932" s="215" t="str">
        <f>IF(Table2[[#This Row],[Description]]="","",Table2[[#This Row],[Value]]/Table2[[#This Row],[Conversion]])</f>
        <v/>
      </c>
      <c r="K9932" s="45" t="str">
        <f>IF(Table2[[#This Row],[Description]]="","",DATE(Table2[[#This Row],[Year]],Table2[[#This Row],[Month]],1))</f>
        <v/>
      </c>
    </row>
    <row r="9933" spans="7:11" x14ac:dyDescent="0.25">
      <c r="G9933" s="1" t="str">
        <f>IF(Table2[[#This Row],[Description]]="","",VLOOKUP(Table2[[#This Row],[Description]],$Q$1:$S$101,2,FALSE))</f>
        <v/>
      </c>
      <c r="H9933" s="1" t="str">
        <f>IF(Table2[[#This Row],[Description]]="","",VLOOKUP(Table2[[#This Row],[Description]],$Q$1:$S$101,3,FALSE))</f>
        <v/>
      </c>
      <c r="I9933" s="1" t="str">
        <f>IF(Table2[[#This Row],[Description]]="","",IF(Table2[[#This Row],[Currency]]=$O$2,$P$2,HLOOKUP(Table2[[#This Row],[Date]],Funds!$C$10:$GV$11,2,FALSE)))</f>
        <v/>
      </c>
      <c r="J9933" s="215" t="str">
        <f>IF(Table2[[#This Row],[Description]]="","",Table2[[#This Row],[Value]]/Table2[[#This Row],[Conversion]])</f>
        <v/>
      </c>
      <c r="K9933" s="45" t="str">
        <f>IF(Table2[[#This Row],[Description]]="","",DATE(Table2[[#This Row],[Year]],Table2[[#This Row],[Month]],1))</f>
        <v/>
      </c>
    </row>
    <row r="9934" spans="7:11" x14ac:dyDescent="0.25">
      <c r="G9934" s="1" t="str">
        <f>IF(Table2[[#This Row],[Description]]="","",VLOOKUP(Table2[[#This Row],[Description]],$Q$1:$S$101,2,FALSE))</f>
        <v/>
      </c>
      <c r="H9934" s="1" t="str">
        <f>IF(Table2[[#This Row],[Description]]="","",VLOOKUP(Table2[[#This Row],[Description]],$Q$1:$S$101,3,FALSE))</f>
        <v/>
      </c>
      <c r="I9934" s="1" t="str">
        <f>IF(Table2[[#This Row],[Description]]="","",IF(Table2[[#This Row],[Currency]]=$O$2,$P$2,HLOOKUP(Table2[[#This Row],[Date]],Funds!$C$10:$GV$11,2,FALSE)))</f>
        <v/>
      </c>
      <c r="J9934" s="215" t="str">
        <f>IF(Table2[[#This Row],[Description]]="","",Table2[[#This Row],[Value]]/Table2[[#This Row],[Conversion]])</f>
        <v/>
      </c>
      <c r="K9934" s="45" t="str">
        <f>IF(Table2[[#This Row],[Description]]="","",DATE(Table2[[#This Row],[Year]],Table2[[#This Row],[Month]],1))</f>
        <v/>
      </c>
    </row>
    <row r="9935" spans="7:11" x14ac:dyDescent="0.25">
      <c r="G9935" s="1" t="str">
        <f>IF(Table2[[#This Row],[Description]]="","",VLOOKUP(Table2[[#This Row],[Description]],$Q$1:$S$101,2,FALSE))</f>
        <v/>
      </c>
      <c r="H9935" s="1" t="str">
        <f>IF(Table2[[#This Row],[Description]]="","",VLOOKUP(Table2[[#This Row],[Description]],$Q$1:$S$101,3,FALSE))</f>
        <v/>
      </c>
      <c r="I9935" s="1" t="str">
        <f>IF(Table2[[#This Row],[Description]]="","",IF(Table2[[#This Row],[Currency]]=$O$2,$P$2,HLOOKUP(Table2[[#This Row],[Date]],Funds!$C$10:$GV$11,2,FALSE)))</f>
        <v/>
      </c>
      <c r="J9935" s="215" t="str">
        <f>IF(Table2[[#This Row],[Description]]="","",Table2[[#This Row],[Value]]/Table2[[#This Row],[Conversion]])</f>
        <v/>
      </c>
      <c r="K9935" s="45" t="str">
        <f>IF(Table2[[#This Row],[Description]]="","",DATE(Table2[[#This Row],[Year]],Table2[[#This Row],[Month]],1))</f>
        <v/>
      </c>
    </row>
    <row r="9936" spans="7:11" x14ac:dyDescent="0.25">
      <c r="G9936" s="1" t="str">
        <f>IF(Table2[[#This Row],[Description]]="","",VLOOKUP(Table2[[#This Row],[Description]],$Q$1:$S$101,2,FALSE))</f>
        <v/>
      </c>
      <c r="H9936" s="1" t="str">
        <f>IF(Table2[[#This Row],[Description]]="","",VLOOKUP(Table2[[#This Row],[Description]],$Q$1:$S$101,3,FALSE))</f>
        <v/>
      </c>
      <c r="I9936" s="1" t="str">
        <f>IF(Table2[[#This Row],[Description]]="","",IF(Table2[[#This Row],[Currency]]=$O$2,$P$2,HLOOKUP(Table2[[#This Row],[Date]],Funds!$C$10:$GV$11,2,FALSE)))</f>
        <v/>
      </c>
      <c r="J9936" s="215" t="str">
        <f>IF(Table2[[#This Row],[Description]]="","",Table2[[#This Row],[Value]]/Table2[[#This Row],[Conversion]])</f>
        <v/>
      </c>
      <c r="K9936" s="45" t="str">
        <f>IF(Table2[[#This Row],[Description]]="","",DATE(Table2[[#This Row],[Year]],Table2[[#This Row],[Month]],1))</f>
        <v/>
      </c>
    </row>
    <row r="9937" spans="7:11" x14ac:dyDescent="0.25">
      <c r="G9937" s="1" t="str">
        <f>IF(Table2[[#This Row],[Description]]="","",VLOOKUP(Table2[[#This Row],[Description]],$Q$1:$S$101,2,FALSE))</f>
        <v/>
      </c>
      <c r="H9937" s="1" t="str">
        <f>IF(Table2[[#This Row],[Description]]="","",VLOOKUP(Table2[[#This Row],[Description]],$Q$1:$S$101,3,FALSE))</f>
        <v/>
      </c>
      <c r="I9937" s="1" t="str">
        <f>IF(Table2[[#This Row],[Description]]="","",IF(Table2[[#This Row],[Currency]]=$O$2,$P$2,HLOOKUP(Table2[[#This Row],[Date]],Funds!$C$10:$GV$11,2,FALSE)))</f>
        <v/>
      </c>
      <c r="J9937" s="215" t="str">
        <f>IF(Table2[[#This Row],[Description]]="","",Table2[[#This Row],[Value]]/Table2[[#This Row],[Conversion]])</f>
        <v/>
      </c>
      <c r="K9937" s="45" t="str">
        <f>IF(Table2[[#This Row],[Description]]="","",DATE(Table2[[#This Row],[Year]],Table2[[#This Row],[Month]],1))</f>
        <v/>
      </c>
    </row>
    <row r="9938" spans="7:11" x14ac:dyDescent="0.25">
      <c r="G9938" s="1" t="str">
        <f>IF(Table2[[#This Row],[Description]]="","",VLOOKUP(Table2[[#This Row],[Description]],$Q$1:$S$101,2,FALSE))</f>
        <v/>
      </c>
      <c r="H9938" s="1" t="str">
        <f>IF(Table2[[#This Row],[Description]]="","",VLOOKUP(Table2[[#This Row],[Description]],$Q$1:$S$101,3,FALSE))</f>
        <v/>
      </c>
      <c r="I9938" s="1" t="str">
        <f>IF(Table2[[#This Row],[Description]]="","",IF(Table2[[#This Row],[Currency]]=$O$2,$P$2,HLOOKUP(Table2[[#This Row],[Date]],Funds!$C$10:$GV$11,2,FALSE)))</f>
        <v/>
      </c>
      <c r="J9938" s="215" t="str">
        <f>IF(Table2[[#This Row],[Description]]="","",Table2[[#This Row],[Value]]/Table2[[#This Row],[Conversion]])</f>
        <v/>
      </c>
      <c r="K9938" s="45" t="str">
        <f>IF(Table2[[#This Row],[Description]]="","",DATE(Table2[[#This Row],[Year]],Table2[[#This Row],[Month]],1))</f>
        <v/>
      </c>
    </row>
    <row r="9939" spans="7:11" x14ac:dyDescent="0.25">
      <c r="G9939" s="1" t="str">
        <f>IF(Table2[[#This Row],[Description]]="","",VLOOKUP(Table2[[#This Row],[Description]],$Q$1:$S$101,2,FALSE))</f>
        <v/>
      </c>
      <c r="H9939" s="1" t="str">
        <f>IF(Table2[[#This Row],[Description]]="","",VLOOKUP(Table2[[#This Row],[Description]],$Q$1:$S$101,3,FALSE))</f>
        <v/>
      </c>
      <c r="I9939" s="1" t="str">
        <f>IF(Table2[[#This Row],[Description]]="","",IF(Table2[[#This Row],[Currency]]=$O$2,$P$2,HLOOKUP(Table2[[#This Row],[Date]],Funds!$C$10:$GV$11,2,FALSE)))</f>
        <v/>
      </c>
      <c r="J9939" s="215" t="str">
        <f>IF(Table2[[#This Row],[Description]]="","",Table2[[#This Row],[Value]]/Table2[[#This Row],[Conversion]])</f>
        <v/>
      </c>
      <c r="K9939" s="45" t="str">
        <f>IF(Table2[[#This Row],[Description]]="","",DATE(Table2[[#This Row],[Year]],Table2[[#This Row],[Month]],1))</f>
        <v/>
      </c>
    </row>
    <row r="9940" spans="7:11" x14ac:dyDescent="0.25">
      <c r="G9940" s="1" t="str">
        <f>IF(Table2[[#This Row],[Description]]="","",VLOOKUP(Table2[[#This Row],[Description]],$Q$1:$S$101,2,FALSE))</f>
        <v/>
      </c>
      <c r="H9940" s="1" t="str">
        <f>IF(Table2[[#This Row],[Description]]="","",VLOOKUP(Table2[[#This Row],[Description]],$Q$1:$S$101,3,FALSE))</f>
        <v/>
      </c>
      <c r="I9940" s="1" t="str">
        <f>IF(Table2[[#This Row],[Description]]="","",IF(Table2[[#This Row],[Currency]]=$O$2,$P$2,HLOOKUP(Table2[[#This Row],[Date]],Funds!$C$10:$GV$11,2,FALSE)))</f>
        <v/>
      </c>
      <c r="J9940" s="215" t="str">
        <f>IF(Table2[[#This Row],[Description]]="","",Table2[[#This Row],[Value]]/Table2[[#This Row],[Conversion]])</f>
        <v/>
      </c>
      <c r="K9940" s="45" t="str">
        <f>IF(Table2[[#This Row],[Description]]="","",DATE(Table2[[#This Row],[Year]],Table2[[#This Row],[Month]],1))</f>
        <v/>
      </c>
    </row>
    <row r="9941" spans="7:11" x14ac:dyDescent="0.25">
      <c r="G9941" s="1" t="str">
        <f>IF(Table2[[#This Row],[Description]]="","",VLOOKUP(Table2[[#This Row],[Description]],$Q$1:$S$101,2,FALSE))</f>
        <v/>
      </c>
      <c r="H9941" s="1" t="str">
        <f>IF(Table2[[#This Row],[Description]]="","",VLOOKUP(Table2[[#This Row],[Description]],$Q$1:$S$101,3,FALSE))</f>
        <v/>
      </c>
      <c r="I9941" s="1" t="str">
        <f>IF(Table2[[#This Row],[Description]]="","",IF(Table2[[#This Row],[Currency]]=$O$2,$P$2,HLOOKUP(Table2[[#This Row],[Date]],Funds!$C$10:$GV$11,2,FALSE)))</f>
        <v/>
      </c>
      <c r="J9941" s="215" t="str">
        <f>IF(Table2[[#This Row],[Description]]="","",Table2[[#This Row],[Value]]/Table2[[#This Row],[Conversion]])</f>
        <v/>
      </c>
      <c r="K9941" s="45" t="str">
        <f>IF(Table2[[#This Row],[Description]]="","",DATE(Table2[[#This Row],[Year]],Table2[[#This Row],[Month]],1))</f>
        <v/>
      </c>
    </row>
    <row r="9942" spans="7:11" x14ac:dyDescent="0.25">
      <c r="G9942" s="1" t="str">
        <f>IF(Table2[[#This Row],[Description]]="","",VLOOKUP(Table2[[#This Row],[Description]],$Q$1:$S$101,2,FALSE))</f>
        <v/>
      </c>
      <c r="H9942" s="1" t="str">
        <f>IF(Table2[[#This Row],[Description]]="","",VLOOKUP(Table2[[#This Row],[Description]],$Q$1:$S$101,3,FALSE))</f>
        <v/>
      </c>
      <c r="I9942" s="1" t="str">
        <f>IF(Table2[[#This Row],[Description]]="","",IF(Table2[[#This Row],[Currency]]=$O$2,$P$2,HLOOKUP(Table2[[#This Row],[Date]],Funds!$C$10:$GV$11,2,FALSE)))</f>
        <v/>
      </c>
      <c r="J9942" s="215" t="str">
        <f>IF(Table2[[#This Row],[Description]]="","",Table2[[#This Row],[Value]]/Table2[[#This Row],[Conversion]])</f>
        <v/>
      </c>
      <c r="K9942" s="45" t="str">
        <f>IF(Table2[[#This Row],[Description]]="","",DATE(Table2[[#This Row],[Year]],Table2[[#This Row],[Month]],1))</f>
        <v/>
      </c>
    </row>
    <row r="9943" spans="7:11" x14ac:dyDescent="0.25">
      <c r="G9943" s="1" t="str">
        <f>IF(Table2[[#This Row],[Description]]="","",VLOOKUP(Table2[[#This Row],[Description]],$Q$1:$S$101,2,FALSE))</f>
        <v/>
      </c>
      <c r="H9943" s="1" t="str">
        <f>IF(Table2[[#This Row],[Description]]="","",VLOOKUP(Table2[[#This Row],[Description]],$Q$1:$S$101,3,FALSE))</f>
        <v/>
      </c>
      <c r="I9943" s="1" t="str">
        <f>IF(Table2[[#This Row],[Description]]="","",IF(Table2[[#This Row],[Currency]]=$O$2,$P$2,HLOOKUP(Table2[[#This Row],[Date]],Funds!$C$10:$GV$11,2,FALSE)))</f>
        <v/>
      </c>
      <c r="J9943" s="215" t="str">
        <f>IF(Table2[[#This Row],[Description]]="","",Table2[[#This Row],[Value]]/Table2[[#This Row],[Conversion]])</f>
        <v/>
      </c>
      <c r="K9943" s="45" t="str">
        <f>IF(Table2[[#This Row],[Description]]="","",DATE(Table2[[#This Row],[Year]],Table2[[#This Row],[Month]],1))</f>
        <v/>
      </c>
    </row>
    <row r="9944" spans="7:11" x14ac:dyDescent="0.25">
      <c r="G9944" s="1" t="str">
        <f>IF(Table2[[#This Row],[Description]]="","",VLOOKUP(Table2[[#This Row],[Description]],$Q$1:$S$101,2,FALSE))</f>
        <v/>
      </c>
      <c r="H9944" s="1" t="str">
        <f>IF(Table2[[#This Row],[Description]]="","",VLOOKUP(Table2[[#This Row],[Description]],$Q$1:$S$101,3,FALSE))</f>
        <v/>
      </c>
      <c r="I9944" s="1" t="str">
        <f>IF(Table2[[#This Row],[Description]]="","",IF(Table2[[#This Row],[Currency]]=$O$2,$P$2,HLOOKUP(Table2[[#This Row],[Date]],Funds!$C$10:$GV$11,2,FALSE)))</f>
        <v/>
      </c>
      <c r="J9944" s="215" t="str">
        <f>IF(Table2[[#This Row],[Description]]="","",Table2[[#This Row],[Value]]/Table2[[#This Row],[Conversion]])</f>
        <v/>
      </c>
      <c r="K9944" s="45" t="str">
        <f>IF(Table2[[#This Row],[Description]]="","",DATE(Table2[[#This Row],[Year]],Table2[[#This Row],[Month]],1))</f>
        <v/>
      </c>
    </row>
    <row r="9945" spans="7:11" x14ac:dyDescent="0.25">
      <c r="G9945" s="1" t="str">
        <f>IF(Table2[[#This Row],[Description]]="","",VLOOKUP(Table2[[#This Row],[Description]],$Q$1:$S$101,2,FALSE))</f>
        <v/>
      </c>
      <c r="H9945" s="1" t="str">
        <f>IF(Table2[[#This Row],[Description]]="","",VLOOKUP(Table2[[#This Row],[Description]],$Q$1:$S$101,3,FALSE))</f>
        <v/>
      </c>
      <c r="I9945" s="1" t="str">
        <f>IF(Table2[[#This Row],[Description]]="","",IF(Table2[[#This Row],[Currency]]=$O$2,$P$2,HLOOKUP(Table2[[#This Row],[Date]],Funds!$C$10:$GV$11,2,FALSE)))</f>
        <v/>
      </c>
      <c r="J9945" s="215" t="str">
        <f>IF(Table2[[#This Row],[Description]]="","",Table2[[#This Row],[Value]]/Table2[[#This Row],[Conversion]])</f>
        <v/>
      </c>
      <c r="K9945" s="45" t="str">
        <f>IF(Table2[[#This Row],[Description]]="","",DATE(Table2[[#This Row],[Year]],Table2[[#This Row],[Month]],1))</f>
        <v/>
      </c>
    </row>
    <row r="9946" spans="7:11" x14ac:dyDescent="0.25">
      <c r="G9946" s="1" t="str">
        <f>IF(Table2[[#This Row],[Description]]="","",VLOOKUP(Table2[[#This Row],[Description]],$Q$1:$S$101,2,FALSE))</f>
        <v/>
      </c>
      <c r="H9946" s="1" t="str">
        <f>IF(Table2[[#This Row],[Description]]="","",VLOOKUP(Table2[[#This Row],[Description]],$Q$1:$S$101,3,FALSE))</f>
        <v/>
      </c>
      <c r="I9946" s="1" t="str">
        <f>IF(Table2[[#This Row],[Description]]="","",IF(Table2[[#This Row],[Currency]]=$O$2,$P$2,HLOOKUP(Table2[[#This Row],[Date]],Funds!$C$10:$GV$11,2,FALSE)))</f>
        <v/>
      </c>
      <c r="J9946" s="215" t="str">
        <f>IF(Table2[[#This Row],[Description]]="","",Table2[[#This Row],[Value]]/Table2[[#This Row],[Conversion]])</f>
        <v/>
      </c>
      <c r="K9946" s="45" t="str">
        <f>IF(Table2[[#This Row],[Description]]="","",DATE(Table2[[#This Row],[Year]],Table2[[#This Row],[Month]],1))</f>
        <v/>
      </c>
    </row>
    <row r="9947" spans="7:11" x14ac:dyDescent="0.25">
      <c r="G9947" s="1" t="str">
        <f>IF(Table2[[#This Row],[Description]]="","",VLOOKUP(Table2[[#This Row],[Description]],$Q$1:$S$101,2,FALSE))</f>
        <v/>
      </c>
      <c r="H9947" s="1" t="str">
        <f>IF(Table2[[#This Row],[Description]]="","",VLOOKUP(Table2[[#This Row],[Description]],$Q$1:$S$101,3,FALSE))</f>
        <v/>
      </c>
      <c r="I9947" s="1" t="str">
        <f>IF(Table2[[#This Row],[Description]]="","",IF(Table2[[#This Row],[Currency]]=$O$2,$P$2,HLOOKUP(Table2[[#This Row],[Date]],Funds!$C$10:$GV$11,2,FALSE)))</f>
        <v/>
      </c>
      <c r="J9947" s="215" t="str">
        <f>IF(Table2[[#This Row],[Description]]="","",Table2[[#This Row],[Value]]/Table2[[#This Row],[Conversion]])</f>
        <v/>
      </c>
      <c r="K9947" s="45" t="str">
        <f>IF(Table2[[#This Row],[Description]]="","",DATE(Table2[[#This Row],[Year]],Table2[[#This Row],[Month]],1))</f>
        <v/>
      </c>
    </row>
    <row r="9948" spans="7:11" x14ac:dyDescent="0.25">
      <c r="G9948" s="1" t="str">
        <f>IF(Table2[[#This Row],[Description]]="","",VLOOKUP(Table2[[#This Row],[Description]],$Q$1:$S$101,2,FALSE))</f>
        <v/>
      </c>
      <c r="H9948" s="1" t="str">
        <f>IF(Table2[[#This Row],[Description]]="","",VLOOKUP(Table2[[#This Row],[Description]],$Q$1:$S$101,3,FALSE))</f>
        <v/>
      </c>
      <c r="I9948" s="1" t="str">
        <f>IF(Table2[[#This Row],[Description]]="","",IF(Table2[[#This Row],[Currency]]=$O$2,$P$2,HLOOKUP(Table2[[#This Row],[Date]],Funds!$C$10:$GV$11,2,FALSE)))</f>
        <v/>
      </c>
      <c r="J9948" s="215" t="str">
        <f>IF(Table2[[#This Row],[Description]]="","",Table2[[#This Row],[Value]]/Table2[[#This Row],[Conversion]])</f>
        <v/>
      </c>
      <c r="K9948" s="45" t="str">
        <f>IF(Table2[[#This Row],[Description]]="","",DATE(Table2[[#This Row],[Year]],Table2[[#This Row],[Month]],1))</f>
        <v/>
      </c>
    </row>
    <row r="9949" spans="7:11" x14ac:dyDescent="0.25">
      <c r="G9949" s="1" t="str">
        <f>IF(Table2[[#This Row],[Description]]="","",VLOOKUP(Table2[[#This Row],[Description]],$Q$1:$S$101,2,FALSE))</f>
        <v/>
      </c>
      <c r="H9949" s="1" t="str">
        <f>IF(Table2[[#This Row],[Description]]="","",VLOOKUP(Table2[[#This Row],[Description]],$Q$1:$S$101,3,FALSE))</f>
        <v/>
      </c>
      <c r="I9949" s="1" t="str">
        <f>IF(Table2[[#This Row],[Description]]="","",IF(Table2[[#This Row],[Currency]]=$O$2,$P$2,HLOOKUP(Table2[[#This Row],[Date]],Funds!$C$10:$GV$11,2,FALSE)))</f>
        <v/>
      </c>
      <c r="J9949" s="215" t="str">
        <f>IF(Table2[[#This Row],[Description]]="","",Table2[[#This Row],[Value]]/Table2[[#This Row],[Conversion]])</f>
        <v/>
      </c>
      <c r="K9949" s="45" t="str">
        <f>IF(Table2[[#This Row],[Description]]="","",DATE(Table2[[#This Row],[Year]],Table2[[#This Row],[Month]],1))</f>
        <v/>
      </c>
    </row>
    <row r="9950" spans="7:11" x14ac:dyDescent="0.25">
      <c r="G9950" s="1" t="str">
        <f>IF(Table2[[#This Row],[Description]]="","",VLOOKUP(Table2[[#This Row],[Description]],$Q$1:$S$101,2,FALSE))</f>
        <v/>
      </c>
      <c r="H9950" s="1" t="str">
        <f>IF(Table2[[#This Row],[Description]]="","",VLOOKUP(Table2[[#This Row],[Description]],$Q$1:$S$101,3,FALSE))</f>
        <v/>
      </c>
      <c r="I9950" s="1" t="str">
        <f>IF(Table2[[#This Row],[Description]]="","",IF(Table2[[#This Row],[Currency]]=$O$2,$P$2,HLOOKUP(Table2[[#This Row],[Date]],Funds!$C$10:$GV$11,2,FALSE)))</f>
        <v/>
      </c>
      <c r="J9950" s="215" t="str">
        <f>IF(Table2[[#This Row],[Description]]="","",Table2[[#This Row],[Value]]/Table2[[#This Row],[Conversion]])</f>
        <v/>
      </c>
      <c r="K9950" s="45" t="str">
        <f>IF(Table2[[#This Row],[Description]]="","",DATE(Table2[[#This Row],[Year]],Table2[[#This Row],[Month]],1))</f>
        <v/>
      </c>
    </row>
    <row r="9951" spans="7:11" x14ac:dyDescent="0.25">
      <c r="G9951" s="1" t="str">
        <f>IF(Table2[[#This Row],[Description]]="","",VLOOKUP(Table2[[#This Row],[Description]],$Q$1:$S$101,2,FALSE))</f>
        <v/>
      </c>
      <c r="H9951" s="1" t="str">
        <f>IF(Table2[[#This Row],[Description]]="","",VLOOKUP(Table2[[#This Row],[Description]],$Q$1:$S$101,3,FALSE))</f>
        <v/>
      </c>
      <c r="I9951" s="1" t="str">
        <f>IF(Table2[[#This Row],[Description]]="","",IF(Table2[[#This Row],[Currency]]=$O$2,$P$2,HLOOKUP(Table2[[#This Row],[Date]],Funds!$C$10:$GV$11,2,FALSE)))</f>
        <v/>
      </c>
      <c r="J9951" s="215" t="str">
        <f>IF(Table2[[#This Row],[Description]]="","",Table2[[#This Row],[Value]]/Table2[[#This Row],[Conversion]])</f>
        <v/>
      </c>
      <c r="K9951" s="45" t="str">
        <f>IF(Table2[[#This Row],[Description]]="","",DATE(Table2[[#This Row],[Year]],Table2[[#This Row],[Month]],1))</f>
        <v/>
      </c>
    </row>
    <row r="9952" spans="7:11" x14ac:dyDescent="0.25">
      <c r="G9952" s="1" t="str">
        <f>IF(Table2[[#This Row],[Description]]="","",VLOOKUP(Table2[[#This Row],[Description]],$Q$1:$S$101,2,FALSE))</f>
        <v/>
      </c>
      <c r="H9952" s="1" t="str">
        <f>IF(Table2[[#This Row],[Description]]="","",VLOOKUP(Table2[[#This Row],[Description]],$Q$1:$S$101,3,FALSE))</f>
        <v/>
      </c>
      <c r="I9952" s="1" t="str">
        <f>IF(Table2[[#This Row],[Description]]="","",IF(Table2[[#This Row],[Currency]]=$O$2,$P$2,HLOOKUP(Table2[[#This Row],[Date]],Funds!$C$10:$GV$11,2,FALSE)))</f>
        <v/>
      </c>
      <c r="J9952" s="215" t="str">
        <f>IF(Table2[[#This Row],[Description]]="","",Table2[[#This Row],[Value]]/Table2[[#This Row],[Conversion]])</f>
        <v/>
      </c>
      <c r="K9952" s="45" t="str">
        <f>IF(Table2[[#This Row],[Description]]="","",DATE(Table2[[#This Row],[Year]],Table2[[#This Row],[Month]],1))</f>
        <v/>
      </c>
    </row>
    <row r="9953" spans="7:11" x14ac:dyDescent="0.25">
      <c r="G9953" s="1" t="str">
        <f>IF(Table2[[#This Row],[Description]]="","",VLOOKUP(Table2[[#This Row],[Description]],$Q$1:$S$101,2,FALSE))</f>
        <v/>
      </c>
      <c r="H9953" s="1" t="str">
        <f>IF(Table2[[#This Row],[Description]]="","",VLOOKUP(Table2[[#This Row],[Description]],$Q$1:$S$101,3,FALSE))</f>
        <v/>
      </c>
      <c r="I9953" s="1" t="str">
        <f>IF(Table2[[#This Row],[Description]]="","",IF(Table2[[#This Row],[Currency]]=$O$2,$P$2,HLOOKUP(Table2[[#This Row],[Date]],Funds!$C$10:$GV$11,2,FALSE)))</f>
        <v/>
      </c>
      <c r="J9953" s="215" t="str">
        <f>IF(Table2[[#This Row],[Description]]="","",Table2[[#This Row],[Value]]/Table2[[#This Row],[Conversion]])</f>
        <v/>
      </c>
      <c r="K9953" s="45" t="str">
        <f>IF(Table2[[#This Row],[Description]]="","",DATE(Table2[[#This Row],[Year]],Table2[[#This Row],[Month]],1))</f>
        <v/>
      </c>
    </row>
    <row r="9954" spans="7:11" x14ac:dyDescent="0.25">
      <c r="G9954" s="1" t="str">
        <f>IF(Table2[[#This Row],[Description]]="","",VLOOKUP(Table2[[#This Row],[Description]],$Q$1:$S$101,2,FALSE))</f>
        <v/>
      </c>
      <c r="H9954" s="1" t="str">
        <f>IF(Table2[[#This Row],[Description]]="","",VLOOKUP(Table2[[#This Row],[Description]],$Q$1:$S$101,3,FALSE))</f>
        <v/>
      </c>
      <c r="I9954" s="1" t="str">
        <f>IF(Table2[[#This Row],[Description]]="","",IF(Table2[[#This Row],[Currency]]=$O$2,$P$2,HLOOKUP(Table2[[#This Row],[Date]],Funds!$C$10:$GV$11,2,FALSE)))</f>
        <v/>
      </c>
      <c r="J9954" s="215" t="str">
        <f>IF(Table2[[#This Row],[Description]]="","",Table2[[#This Row],[Value]]/Table2[[#This Row],[Conversion]])</f>
        <v/>
      </c>
      <c r="K9954" s="45" t="str">
        <f>IF(Table2[[#This Row],[Description]]="","",DATE(Table2[[#This Row],[Year]],Table2[[#This Row],[Month]],1))</f>
        <v/>
      </c>
    </row>
    <row r="9955" spans="7:11" x14ac:dyDescent="0.25">
      <c r="G9955" s="1" t="str">
        <f>IF(Table2[[#This Row],[Description]]="","",VLOOKUP(Table2[[#This Row],[Description]],$Q$1:$S$101,2,FALSE))</f>
        <v/>
      </c>
      <c r="H9955" s="1" t="str">
        <f>IF(Table2[[#This Row],[Description]]="","",VLOOKUP(Table2[[#This Row],[Description]],$Q$1:$S$101,3,FALSE))</f>
        <v/>
      </c>
      <c r="I9955" s="1" t="str">
        <f>IF(Table2[[#This Row],[Description]]="","",IF(Table2[[#This Row],[Currency]]=$O$2,$P$2,HLOOKUP(Table2[[#This Row],[Date]],Funds!$C$10:$GV$11,2,FALSE)))</f>
        <v/>
      </c>
      <c r="J9955" s="215" t="str">
        <f>IF(Table2[[#This Row],[Description]]="","",Table2[[#This Row],[Value]]/Table2[[#This Row],[Conversion]])</f>
        <v/>
      </c>
      <c r="K9955" s="45" t="str">
        <f>IF(Table2[[#This Row],[Description]]="","",DATE(Table2[[#This Row],[Year]],Table2[[#This Row],[Month]],1))</f>
        <v/>
      </c>
    </row>
    <row r="9956" spans="7:11" x14ac:dyDescent="0.25">
      <c r="G9956" s="1" t="str">
        <f>IF(Table2[[#This Row],[Description]]="","",VLOOKUP(Table2[[#This Row],[Description]],$Q$1:$S$101,2,FALSE))</f>
        <v/>
      </c>
      <c r="H9956" s="1" t="str">
        <f>IF(Table2[[#This Row],[Description]]="","",VLOOKUP(Table2[[#This Row],[Description]],$Q$1:$S$101,3,FALSE))</f>
        <v/>
      </c>
      <c r="I9956" s="1" t="str">
        <f>IF(Table2[[#This Row],[Description]]="","",IF(Table2[[#This Row],[Currency]]=$O$2,$P$2,HLOOKUP(Table2[[#This Row],[Date]],Funds!$C$10:$GV$11,2,FALSE)))</f>
        <v/>
      </c>
      <c r="J9956" s="215" t="str">
        <f>IF(Table2[[#This Row],[Description]]="","",Table2[[#This Row],[Value]]/Table2[[#This Row],[Conversion]])</f>
        <v/>
      </c>
      <c r="K9956" s="45" t="str">
        <f>IF(Table2[[#This Row],[Description]]="","",DATE(Table2[[#This Row],[Year]],Table2[[#This Row],[Month]],1))</f>
        <v/>
      </c>
    </row>
    <row r="9957" spans="7:11" x14ac:dyDescent="0.25">
      <c r="G9957" s="1" t="str">
        <f>IF(Table2[[#This Row],[Description]]="","",VLOOKUP(Table2[[#This Row],[Description]],$Q$1:$S$101,2,FALSE))</f>
        <v/>
      </c>
      <c r="H9957" s="1" t="str">
        <f>IF(Table2[[#This Row],[Description]]="","",VLOOKUP(Table2[[#This Row],[Description]],$Q$1:$S$101,3,FALSE))</f>
        <v/>
      </c>
      <c r="I9957" s="1" t="str">
        <f>IF(Table2[[#This Row],[Description]]="","",IF(Table2[[#This Row],[Currency]]=$O$2,$P$2,HLOOKUP(Table2[[#This Row],[Date]],Funds!$C$10:$GV$11,2,FALSE)))</f>
        <v/>
      </c>
      <c r="J9957" s="215" t="str">
        <f>IF(Table2[[#This Row],[Description]]="","",Table2[[#This Row],[Value]]/Table2[[#This Row],[Conversion]])</f>
        <v/>
      </c>
      <c r="K9957" s="45" t="str">
        <f>IF(Table2[[#This Row],[Description]]="","",DATE(Table2[[#This Row],[Year]],Table2[[#This Row],[Month]],1))</f>
        <v/>
      </c>
    </row>
    <row r="9958" spans="7:11" x14ac:dyDescent="0.25">
      <c r="G9958" s="1" t="str">
        <f>IF(Table2[[#This Row],[Description]]="","",VLOOKUP(Table2[[#This Row],[Description]],$Q$1:$S$101,2,FALSE))</f>
        <v/>
      </c>
      <c r="H9958" s="1" t="str">
        <f>IF(Table2[[#This Row],[Description]]="","",VLOOKUP(Table2[[#This Row],[Description]],$Q$1:$S$101,3,FALSE))</f>
        <v/>
      </c>
      <c r="I9958" s="1" t="str">
        <f>IF(Table2[[#This Row],[Description]]="","",IF(Table2[[#This Row],[Currency]]=$O$2,$P$2,HLOOKUP(Table2[[#This Row],[Date]],Funds!$C$10:$GV$11,2,FALSE)))</f>
        <v/>
      </c>
      <c r="J9958" s="215" t="str">
        <f>IF(Table2[[#This Row],[Description]]="","",Table2[[#This Row],[Value]]/Table2[[#This Row],[Conversion]])</f>
        <v/>
      </c>
      <c r="K9958" s="45" t="str">
        <f>IF(Table2[[#This Row],[Description]]="","",DATE(Table2[[#This Row],[Year]],Table2[[#This Row],[Month]],1))</f>
        <v/>
      </c>
    </row>
    <row r="9959" spans="7:11" x14ac:dyDescent="0.25">
      <c r="G9959" s="1" t="str">
        <f>IF(Table2[[#This Row],[Description]]="","",VLOOKUP(Table2[[#This Row],[Description]],$Q$1:$S$101,2,FALSE))</f>
        <v/>
      </c>
      <c r="H9959" s="1" t="str">
        <f>IF(Table2[[#This Row],[Description]]="","",VLOOKUP(Table2[[#This Row],[Description]],$Q$1:$S$101,3,FALSE))</f>
        <v/>
      </c>
      <c r="I9959" s="1" t="str">
        <f>IF(Table2[[#This Row],[Description]]="","",IF(Table2[[#This Row],[Currency]]=$O$2,$P$2,HLOOKUP(Table2[[#This Row],[Date]],Funds!$C$10:$GV$11,2,FALSE)))</f>
        <v/>
      </c>
      <c r="J9959" s="215" t="str">
        <f>IF(Table2[[#This Row],[Description]]="","",Table2[[#This Row],[Value]]/Table2[[#This Row],[Conversion]])</f>
        <v/>
      </c>
      <c r="K9959" s="45" t="str">
        <f>IF(Table2[[#This Row],[Description]]="","",DATE(Table2[[#This Row],[Year]],Table2[[#This Row],[Month]],1))</f>
        <v/>
      </c>
    </row>
    <row r="9960" spans="7:11" x14ac:dyDescent="0.25">
      <c r="G9960" s="1" t="str">
        <f>IF(Table2[[#This Row],[Description]]="","",VLOOKUP(Table2[[#This Row],[Description]],$Q$1:$S$101,2,FALSE))</f>
        <v/>
      </c>
      <c r="H9960" s="1" t="str">
        <f>IF(Table2[[#This Row],[Description]]="","",VLOOKUP(Table2[[#This Row],[Description]],$Q$1:$S$101,3,FALSE))</f>
        <v/>
      </c>
      <c r="I9960" s="1" t="str">
        <f>IF(Table2[[#This Row],[Description]]="","",IF(Table2[[#This Row],[Currency]]=$O$2,$P$2,HLOOKUP(Table2[[#This Row],[Date]],Funds!$C$10:$GV$11,2,FALSE)))</f>
        <v/>
      </c>
      <c r="J9960" s="215" t="str">
        <f>IF(Table2[[#This Row],[Description]]="","",Table2[[#This Row],[Value]]/Table2[[#This Row],[Conversion]])</f>
        <v/>
      </c>
      <c r="K9960" s="45" t="str">
        <f>IF(Table2[[#This Row],[Description]]="","",DATE(Table2[[#This Row],[Year]],Table2[[#This Row],[Month]],1))</f>
        <v/>
      </c>
    </row>
    <row r="9961" spans="7:11" x14ac:dyDescent="0.25">
      <c r="G9961" s="1" t="str">
        <f>IF(Table2[[#This Row],[Description]]="","",VLOOKUP(Table2[[#This Row],[Description]],$Q$1:$S$101,2,FALSE))</f>
        <v/>
      </c>
      <c r="H9961" s="1" t="str">
        <f>IF(Table2[[#This Row],[Description]]="","",VLOOKUP(Table2[[#This Row],[Description]],$Q$1:$S$101,3,FALSE))</f>
        <v/>
      </c>
      <c r="I9961" s="1" t="str">
        <f>IF(Table2[[#This Row],[Description]]="","",IF(Table2[[#This Row],[Currency]]=$O$2,$P$2,HLOOKUP(Table2[[#This Row],[Date]],Funds!$C$10:$GV$11,2,FALSE)))</f>
        <v/>
      </c>
      <c r="J9961" s="215" t="str">
        <f>IF(Table2[[#This Row],[Description]]="","",Table2[[#This Row],[Value]]/Table2[[#This Row],[Conversion]])</f>
        <v/>
      </c>
      <c r="K9961" s="45" t="str">
        <f>IF(Table2[[#This Row],[Description]]="","",DATE(Table2[[#This Row],[Year]],Table2[[#This Row],[Month]],1))</f>
        <v/>
      </c>
    </row>
    <row r="9962" spans="7:11" x14ac:dyDescent="0.25">
      <c r="G9962" s="1" t="str">
        <f>IF(Table2[[#This Row],[Description]]="","",VLOOKUP(Table2[[#This Row],[Description]],$Q$1:$S$101,2,FALSE))</f>
        <v/>
      </c>
      <c r="H9962" s="1" t="str">
        <f>IF(Table2[[#This Row],[Description]]="","",VLOOKUP(Table2[[#This Row],[Description]],$Q$1:$S$101,3,FALSE))</f>
        <v/>
      </c>
      <c r="I9962" s="1" t="str">
        <f>IF(Table2[[#This Row],[Description]]="","",IF(Table2[[#This Row],[Currency]]=$O$2,$P$2,HLOOKUP(Table2[[#This Row],[Date]],Funds!$C$10:$GV$11,2,FALSE)))</f>
        <v/>
      </c>
      <c r="J9962" s="215" t="str">
        <f>IF(Table2[[#This Row],[Description]]="","",Table2[[#This Row],[Value]]/Table2[[#This Row],[Conversion]])</f>
        <v/>
      </c>
      <c r="K9962" s="45" t="str">
        <f>IF(Table2[[#This Row],[Description]]="","",DATE(Table2[[#This Row],[Year]],Table2[[#This Row],[Month]],1))</f>
        <v/>
      </c>
    </row>
    <row r="9963" spans="7:11" x14ac:dyDescent="0.25">
      <c r="G9963" s="1" t="str">
        <f>IF(Table2[[#This Row],[Description]]="","",VLOOKUP(Table2[[#This Row],[Description]],$Q$1:$S$101,2,FALSE))</f>
        <v/>
      </c>
      <c r="H9963" s="1" t="str">
        <f>IF(Table2[[#This Row],[Description]]="","",VLOOKUP(Table2[[#This Row],[Description]],$Q$1:$S$101,3,FALSE))</f>
        <v/>
      </c>
      <c r="I9963" s="1" t="str">
        <f>IF(Table2[[#This Row],[Description]]="","",IF(Table2[[#This Row],[Currency]]=$O$2,$P$2,HLOOKUP(Table2[[#This Row],[Date]],Funds!$C$10:$GV$11,2,FALSE)))</f>
        <v/>
      </c>
      <c r="J9963" s="215" t="str">
        <f>IF(Table2[[#This Row],[Description]]="","",Table2[[#This Row],[Value]]/Table2[[#This Row],[Conversion]])</f>
        <v/>
      </c>
      <c r="K9963" s="45" t="str">
        <f>IF(Table2[[#This Row],[Description]]="","",DATE(Table2[[#This Row],[Year]],Table2[[#This Row],[Month]],1))</f>
        <v/>
      </c>
    </row>
    <row r="9964" spans="7:11" x14ac:dyDescent="0.25">
      <c r="G9964" s="1" t="str">
        <f>IF(Table2[[#This Row],[Description]]="","",VLOOKUP(Table2[[#This Row],[Description]],$Q$1:$S$101,2,FALSE))</f>
        <v/>
      </c>
      <c r="H9964" s="1" t="str">
        <f>IF(Table2[[#This Row],[Description]]="","",VLOOKUP(Table2[[#This Row],[Description]],$Q$1:$S$101,3,FALSE))</f>
        <v/>
      </c>
      <c r="I9964" s="1" t="str">
        <f>IF(Table2[[#This Row],[Description]]="","",IF(Table2[[#This Row],[Currency]]=$O$2,$P$2,HLOOKUP(Table2[[#This Row],[Date]],Funds!$C$10:$GV$11,2,FALSE)))</f>
        <v/>
      </c>
      <c r="J9964" s="215" t="str">
        <f>IF(Table2[[#This Row],[Description]]="","",Table2[[#This Row],[Value]]/Table2[[#This Row],[Conversion]])</f>
        <v/>
      </c>
      <c r="K9964" s="45" t="str">
        <f>IF(Table2[[#This Row],[Description]]="","",DATE(Table2[[#This Row],[Year]],Table2[[#This Row],[Month]],1))</f>
        <v/>
      </c>
    </row>
    <row r="9965" spans="7:11" x14ac:dyDescent="0.25">
      <c r="G9965" s="1" t="str">
        <f>IF(Table2[[#This Row],[Description]]="","",VLOOKUP(Table2[[#This Row],[Description]],$Q$1:$S$101,2,FALSE))</f>
        <v/>
      </c>
      <c r="H9965" s="1" t="str">
        <f>IF(Table2[[#This Row],[Description]]="","",VLOOKUP(Table2[[#This Row],[Description]],$Q$1:$S$101,3,FALSE))</f>
        <v/>
      </c>
      <c r="I9965" s="1" t="str">
        <f>IF(Table2[[#This Row],[Description]]="","",IF(Table2[[#This Row],[Currency]]=$O$2,$P$2,HLOOKUP(Table2[[#This Row],[Date]],Funds!$C$10:$GV$11,2,FALSE)))</f>
        <v/>
      </c>
      <c r="J9965" s="215" t="str">
        <f>IF(Table2[[#This Row],[Description]]="","",Table2[[#This Row],[Value]]/Table2[[#This Row],[Conversion]])</f>
        <v/>
      </c>
      <c r="K9965" s="45" t="str">
        <f>IF(Table2[[#This Row],[Description]]="","",DATE(Table2[[#This Row],[Year]],Table2[[#This Row],[Month]],1))</f>
        <v/>
      </c>
    </row>
    <row r="9966" spans="7:11" x14ac:dyDescent="0.25">
      <c r="G9966" s="1" t="str">
        <f>IF(Table2[[#This Row],[Description]]="","",VLOOKUP(Table2[[#This Row],[Description]],$Q$1:$S$101,2,FALSE))</f>
        <v/>
      </c>
      <c r="H9966" s="1" t="str">
        <f>IF(Table2[[#This Row],[Description]]="","",VLOOKUP(Table2[[#This Row],[Description]],$Q$1:$S$101,3,FALSE))</f>
        <v/>
      </c>
      <c r="I9966" s="1" t="str">
        <f>IF(Table2[[#This Row],[Description]]="","",IF(Table2[[#This Row],[Currency]]=$O$2,$P$2,HLOOKUP(Table2[[#This Row],[Date]],Funds!$C$10:$GV$11,2,FALSE)))</f>
        <v/>
      </c>
      <c r="J9966" s="215" t="str">
        <f>IF(Table2[[#This Row],[Description]]="","",Table2[[#This Row],[Value]]/Table2[[#This Row],[Conversion]])</f>
        <v/>
      </c>
      <c r="K9966" s="45" t="str">
        <f>IF(Table2[[#This Row],[Description]]="","",DATE(Table2[[#This Row],[Year]],Table2[[#This Row],[Month]],1))</f>
        <v/>
      </c>
    </row>
    <row r="9967" spans="7:11" x14ac:dyDescent="0.25">
      <c r="G9967" s="1" t="str">
        <f>IF(Table2[[#This Row],[Description]]="","",VLOOKUP(Table2[[#This Row],[Description]],$Q$1:$S$101,2,FALSE))</f>
        <v/>
      </c>
      <c r="H9967" s="1" t="str">
        <f>IF(Table2[[#This Row],[Description]]="","",VLOOKUP(Table2[[#This Row],[Description]],$Q$1:$S$101,3,FALSE))</f>
        <v/>
      </c>
      <c r="I9967" s="1" t="str">
        <f>IF(Table2[[#This Row],[Description]]="","",IF(Table2[[#This Row],[Currency]]=$O$2,$P$2,HLOOKUP(Table2[[#This Row],[Date]],Funds!$C$10:$GV$11,2,FALSE)))</f>
        <v/>
      </c>
      <c r="J9967" s="215" t="str">
        <f>IF(Table2[[#This Row],[Description]]="","",Table2[[#This Row],[Value]]/Table2[[#This Row],[Conversion]])</f>
        <v/>
      </c>
      <c r="K9967" s="45" t="str">
        <f>IF(Table2[[#This Row],[Description]]="","",DATE(Table2[[#This Row],[Year]],Table2[[#This Row],[Month]],1))</f>
        <v/>
      </c>
    </row>
    <row r="9968" spans="7:11" x14ac:dyDescent="0.25">
      <c r="G9968" s="1" t="str">
        <f>IF(Table2[[#This Row],[Description]]="","",VLOOKUP(Table2[[#This Row],[Description]],$Q$1:$S$101,2,FALSE))</f>
        <v/>
      </c>
      <c r="H9968" s="1" t="str">
        <f>IF(Table2[[#This Row],[Description]]="","",VLOOKUP(Table2[[#This Row],[Description]],$Q$1:$S$101,3,FALSE))</f>
        <v/>
      </c>
      <c r="I9968" s="1" t="str">
        <f>IF(Table2[[#This Row],[Description]]="","",IF(Table2[[#This Row],[Currency]]=$O$2,$P$2,HLOOKUP(Table2[[#This Row],[Date]],Funds!$C$10:$GV$11,2,FALSE)))</f>
        <v/>
      </c>
      <c r="J9968" s="215" t="str">
        <f>IF(Table2[[#This Row],[Description]]="","",Table2[[#This Row],[Value]]/Table2[[#This Row],[Conversion]])</f>
        <v/>
      </c>
      <c r="K9968" s="45" t="str">
        <f>IF(Table2[[#This Row],[Description]]="","",DATE(Table2[[#This Row],[Year]],Table2[[#This Row],[Month]],1))</f>
        <v/>
      </c>
    </row>
    <row r="9969" spans="7:11" x14ac:dyDescent="0.25">
      <c r="G9969" s="1" t="str">
        <f>IF(Table2[[#This Row],[Description]]="","",VLOOKUP(Table2[[#This Row],[Description]],$Q$1:$S$101,2,FALSE))</f>
        <v/>
      </c>
      <c r="H9969" s="1" t="str">
        <f>IF(Table2[[#This Row],[Description]]="","",VLOOKUP(Table2[[#This Row],[Description]],$Q$1:$S$101,3,FALSE))</f>
        <v/>
      </c>
      <c r="I9969" s="1" t="str">
        <f>IF(Table2[[#This Row],[Description]]="","",IF(Table2[[#This Row],[Currency]]=$O$2,$P$2,HLOOKUP(Table2[[#This Row],[Date]],Funds!$C$10:$GV$11,2,FALSE)))</f>
        <v/>
      </c>
      <c r="J9969" s="215" t="str">
        <f>IF(Table2[[#This Row],[Description]]="","",Table2[[#This Row],[Value]]/Table2[[#This Row],[Conversion]])</f>
        <v/>
      </c>
      <c r="K9969" s="45" t="str">
        <f>IF(Table2[[#This Row],[Description]]="","",DATE(Table2[[#This Row],[Year]],Table2[[#This Row],[Month]],1))</f>
        <v/>
      </c>
    </row>
    <row r="9970" spans="7:11" x14ac:dyDescent="0.25">
      <c r="G9970" s="1" t="str">
        <f>IF(Table2[[#This Row],[Description]]="","",VLOOKUP(Table2[[#This Row],[Description]],$Q$1:$S$101,2,FALSE))</f>
        <v/>
      </c>
      <c r="H9970" s="1" t="str">
        <f>IF(Table2[[#This Row],[Description]]="","",VLOOKUP(Table2[[#This Row],[Description]],$Q$1:$S$101,3,FALSE))</f>
        <v/>
      </c>
      <c r="I9970" s="1" t="str">
        <f>IF(Table2[[#This Row],[Description]]="","",IF(Table2[[#This Row],[Currency]]=$O$2,$P$2,HLOOKUP(Table2[[#This Row],[Date]],Funds!$C$10:$GV$11,2,FALSE)))</f>
        <v/>
      </c>
      <c r="J9970" s="215" t="str">
        <f>IF(Table2[[#This Row],[Description]]="","",Table2[[#This Row],[Value]]/Table2[[#This Row],[Conversion]])</f>
        <v/>
      </c>
      <c r="K9970" s="45" t="str">
        <f>IF(Table2[[#This Row],[Description]]="","",DATE(Table2[[#This Row],[Year]],Table2[[#This Row],[Month]],1))</f>
        <v/>
      </c>
    </row>
    <row r="9971" spans="7:11" x14ac:dyDescent="0.25">
      <c r="G9971" s="1" t="str">
        <f>IF(Table2[[#This Row],[Description]]="","",VLOOKUP(Table2[[#This Row],[Description]],$Q$1:$S$101,2,FALSE))</f>
        <v/>
      </c>
      <c r="H9971" s="1" t="str">
        <f>IF(Table2[[#This Row],[Description]]="","",VLOOKUP(Table2[[#This Row],[Description]],$Q$1:$S$101,3,FALSE))</f>
        <v/>
      </c>
      <c r="I9971" s="1" t="str">
        <f>IF(Table2[[#This Row],[Description]]="","",IF(Table2[[#This Row],[Currency]]=$O$2,$P$2,HLOOKUP(Table2[[#This Row],[Date]],Funds!$C$10:$GV$11,2,FALSE)))</f>
        <v/>
      </c>
      <c r="J9971" s="215" t="str">
        <f>IF(Table2[[#This Row],[Description]]="","",Table2[[#This Row],[Value]]/Table2[[#This Row],[Conversion]])</f>
        <v/>
      </c>
      <c r="K9971" s="45" t="str">
        <f>IF(Table2[[#This Row],[Description]]="","",DATE(Table2[[#This Row],[Year]],Table2[[#This Row],[Month]],1))</f>
        <v/>
      </c>
    </row>
    <row r="9972" spans="7:11" x14ac:dyDescent="0.25">
      <c r="G9972" s="1" t="str">
        <f>IF(Table2[[#This Row],[Description]]="","",VLOOKUP(Table2[[#This Row],[Description]],$Q$1:$S$101,2,FALSE))</f>
        <v/>
      </c>
      <c r="H9972" s="1" t="str">
        <f>IF(Table2[[#This Row],[Description]]="","",VLOOKUP(Table2[[#This Row],[Description]],$Q$1:$S$101,3,FALSE))</f>
        <v/>
      </c>
      <c r="I9972" s="1" t="str">
        <f>IF(Table2[[#This Row],[Description]]="","",IF(Table2[[#This Row],[Currency]]=$O$2,$P$2,HLOOKUP(Table2[[#This Row],[Date]],Funds!$C$10:$GV$11,2,FALSE)))</f>
        <v/>
      </c>
      <c r="J9972" s="215" t="str">
        <f>IF(Table2[[#This Row],[Description]]="","",Table2[[#This Row],[Value]]/Table2[[#This Row],[Conversion]])</f>
        <v/>
      </c>
      <c r="K9972" s="45" t="str">
        <f>IF(Table2[[#This Row],[Description]]="","",DATE(Table2[[#This Row],[Year]],Table2[[#This Row],[Month]],1))</f>
        <v/>
      </c>
    </row>
    <row r="9973" spans="7:11" x14ac:dyDescent="0.25">
      <c r="G9973" s="1" t="str">
        <f>IF(Table2[[#This Row],[Description]]="","",VLOOKUP(Table2[[#This Row],[Description]],$Q$1:$S$101,2,FALSE))</f>
        <v/>
      </c>
      <c r="H9973" s="1" t="str">
        <f>IF(Table2[[#This Row],[Description]]="","",VLOOKUP(Table2[[#This Row],[Description]],$Q$1:$S$101,3,FALSE))</f>
        <v/>
      </c>
      <c r="I9973" s="1" t="str">
        <f>IF(Table2[[#This Row],[Description]]="","",IF(Table2[[#This Row],[Currency]]=$O$2,$P$2,HLOOKUP(Table2[[#This Row],[Date]],Funds!$C$10:$GV$11,2,FALSE)))</f>
        <v/>
      </c>
      <c r="J9973" s="215" t="str">
        <f>IF(Table2[[#This Row],[Description]]="","",Table2[[#This Row],[Value]]/Table2[[#This Row],[Conversion]])</f>
        <v/>
      </c>
      <c r="K9973" s="45" t="str">
        <f>IF(Table2[[#This Row],[Description]]="","",DATE(Table2[[#This Row],[Year]],Table2[[#This Row],[Month]],1))</f>
        <v/>
      </c>
    </row>
    <row r="9974" spans="7:11" x14ac:dyDescent="0.25">
      <c r="G9974" s="1" t="str">
        <f>IF(Table2[[#This Row],[Description]]="","",VLOOKUP(Table2[[#This Row],[Description]],$Q$1:$S$101,2,FALSE))</f>
        <v/>
      </c>
      <c r="H9974" s="1" t="str">
        <f>IF(Table2[[#This Row],[Description]]="","",VLOOKUP(Table2[[#This Row],[Description]],$Q$1:$S$101,3,FALSE))</f>
        <v/>
      </c>
      <c r="I9974" s="1" t="str">
        <f>IF(Table2[[#This Row],[Description]]="","",IF(Table2[[#This Row],[Currency]]=$O$2,$P$2,HLOOKUP(Table2[[#This Row],[Date]],Funds!$C$10:$GV$11,2,FALSE)))</f>
        <v/>
      </c>
      <c r="J9974" s="215" t="str">
        <f>IF(Table2[[#This Row],[Description]]="","",Table2[[#This Row],[Value]]/Table2[[#This Row],[Conversion]])</f>
        <v/>
      </c>
      <c r="K9974" s="45" t="str">
        <f>IF(Table2[[#This Row],[Description]]="","",DATE(Table2[[#This Row],[Year]],Table2[[#This Row],[Month]],1))</f>
        <v/>
      </c>
    </row>
    <row r="9975" spans="7:11" x14ac:dyDescent="0.25">
      <c r="G9975" s="1" t="str">
        <f>IF(Table2[[#This Row],[Description]]="","",VLOOKUP(Table2[[#This Row],[Description]],$Q$1:$S$101,2,FALSE))</f>
        <v/>
      </c>
      <c r="H9975" s="1" t="str">
        <f>IF(Table2[[#This Row],[Description]]="","",VLOOKUP(Table2[[#This Row],[Description]],$Q$1:$S$101,3,FALSE))</f>
        <v/>
      </c>
      <c r="I9975" s="1" t="str">
        <f>IF(Table2[[#This Row],[Description]]="","",IF(Table2[[#This Row],[Currency]]=$O$2,$P$2,HLOOKUP(Table2[[#This Row],[Date]],Funds!$C$10:$GV$11,2,FALSE)))</f>
        <v/>
      </c>
      <c r="J9975" s="215" t="str">
        <f>IF(Table2[[#This Row],[Description]]="","",Table2[[#This Row],[Value]]/Table2[[#This Row],[Conversion]])</f>
        <v/>
      </c>
      <c r="K9975" s="45" t="str">
        <f>IF(Table2[[#This Row],[Description]]="","",DATE(Table2[[#This Row],[Year]],Table2[[#This Row],[Month]],1))</f>
        <v/>
      </c>
    </row>
    <row r="9976" spans="7:11" x14ac:dyDescent="0.25">
      <c r="G9976" s="1" t="str">
        <f>IF(Table2[[#This Row],[Description]]="","",VLOOKUP(Table2[[#This Row],[Description]],$Q$1:$S$101,2,FALSE))</f>
        <v/>
      </c>
      <c r="H9976" s="1" t="str">
        <f>IF(Table2[[#This Row],[Description]]="","",VLOOKUP(Table2[[#This Row],[Description]],$Q$1:$S$101,3,FALSE))</f>
        <v/>
      </c>
      <c r="I9976" s="1" t="str">
        <f>IF(Table2[[#This Row],[Description]]="","",IF(Table2[[#This Row],[Currency]]=$O$2,$P$2,HLOOKUP(Table2[[#This Row],[Date]],Funds!$C$10:$GV$11,2,FALSE)))</f>
        <v/>
      </c>
      <c r="J9976" s="215" t="str">
        <f>IF(Table2[[#This Row],[Description]]="","",Table2[[#This Row],[Value]]/Table2[[#This Row],[Conversion]])</f>
        <v/>
      </c>
      <c r="K9976" s="45" t="str">
        <f>IF(Table2[[#This Row],[Description]]="","",DATE(Table2[[#This Row],[Year]],Table2[[#This Row],[Month]],1))</f>
        <v/>
      </c>
    </row>
    <row r="9977" spans="7:11" x14ac:dyDescent="0.25">
      <c r="G9977" s="1" t="str">
        <f>IF(Table2[[#This Row],[Description]]="","",VLOOKUP(Table2[[#This Row],[Description]],$Q$1:$S$101,2,FALSE))</f>
        <v/>
      </c>
      <c r="H9977" s="1" t="str">
        <f>IF(Table2[[#This Row],[Description]]="","",VLOOKUP(Table2[[#This Row],[Description]],$Q$1:$S$101,3,FALSE))</f>
        <v/>
      </c>
      <c r="I9977" s="1" t="str">
        <f>IF(Table2[[#This Row],[Description]]="","",IF(Table2[[#This Row],[Currency]]=$O$2,$P$2,HLOOKUP(Table2[[#This Row],[Date]],Funds!$C$10:$GV$11,2,FALSE)))</f>
        <v/>
      </c>
      <c r="J9977" s="215" t="str">
        <f>IF(Table2[[#This Row],[Description]]="","",Table2[[#This Row],[Value]]/Table2[[#This Row],[Conversion]])</f>
        <v/>
      </c>
      <c r="K9977" s="45" t="str">
        <f>IF(Table2[[#This Row],[Description]]="","",DATE(Table2[[#This Row],[Year]],Table2[[#This Row],[Month]],1))</f>
        <v/>
      </c>
    </row>
    <row r="9978" spans="7:11" x14ac:dyDescent="0.25">
      <c r="G9978" s="1" t="str">
        <f>IF(Table2[[#This Row],[Description]]="","",VLOOKUP(Table2[[#This Row],[Description]],$Q$1:$S$101,2,FALSE))</f>
        <v/>
      </c>
      <c r="H9978" s="1" t="str">
        <f>IF(Table2[[#This Row],[Description]]="","",VLOOKUP(Table2[[#This Row],[Description]],$Q$1:$S$101,3,FALSE))</f>
        <v/>
      </c>
      <c r="I9978" s="1" t="str">
        <f>IF(Table2[[#This Row],[Description]]="","",IF(Table2[[#This Row],[Currency]]=$O$2,$P$2,HLOOKUP(Table2[[#This Row],[Date]],Funds!$C$10:$GV$11,2,FALSE)))</f>
        <v/>
      </c>
      <c r="J9978" s="215" t="str">
        <f>IF(Table2[[#This Row],[Description]]="","",Table2[[#This Row],[Value]]/Table2[[#This Row],[Conversion]])</f>
        <v/>
      </c>
      <c r="K9978" s="45" t="str">
        <f>IF(Table2[[#This Row],[Description]]="","",DATE(Table2[[#This Row],[Year]],Table2[[#This Row],[Month]],1))</f>
        <v/>
      </c>
    </row>
    <row r="9979" spans="7:11" x14ac:dyDescent="0.25">
      <c r="G9979" s="1" t="str">
        <f>IF(Table2[[#This Row],[Description]]="","",VLOOKUP(Table2[[#This Row],[Description]],$Q$1:$S$101,2,FALSE))</f>
        <v/>
      </c>
      <c r="H9979" s="1" t="str">
        <f>IF(Table2[[#This Row],[Description]]="","",VLOOKUP(Table2[[#This Row],[Description]],$Q$1:$S$101,3,FALSE))</f>
        <v/>
      </c>
      <c r="I9979" s="1" t="str">
        <f>IF(Table2[[#This Row],[Description]]="","",IF(Table2[[#This Row],[Currency]]=$O$2,$P$2,HLOOKUP(Table2[[#This Row],[Date]],Funds!$C$10:$GV$11,2,FALSE)))</f>
        <v/>
      </c>
      <c r="J9979" s="215" t="str">
        <f>IF(Table2[[#This Row],[Description]]="","",Table2[[#This Row],[Value]]/Table2[[#This Row],[Conversion]])</f>
        <v/>
      </c>
      <c r="K9979" s="45" t="str">
        <f>IF(Table2[[#This Row],[Description]]="","",DATE(Table2[[#This Row],[Year]],Table2[[#This Row],[Month]],1))</f>
        <v/>
      </c>
    </row>
    <row r="9980" spans="7:11" x14ac:dyDescent="0.25">
      <c r="G9980" s="1" t="str">
        <f>IF(Table2[[#This Row],[Description]]="","",VLOOKUP(Table2[[#This Row],[Description]],$Q$1:$S$101,2,FALSE))</f>
        <v/>
      </c>
      <c r="H9980" s="1" t="str">
        <f>IF(Table2[[#This Row],[Description]]="","",VLOOKUP(Table2[[#This Row],[Description]],$Q$1:$S$101,3,FALSE))</f>
        <v/>
      </c>
      <c r="I9980" s="1" t="str">
        <f>IF(Table2[[#This Row],[Description]]="","",IF(Table2[[#This Row],[Currency]]=$O$2,$P$2,HLOOKUP(Table2[[#This Row],[Date]],Funds!$C$10:$GV$11,2,FALSE)))</f>
        <v/>
      </c>
      <c r="J9980" s="215" t="str">
        <f>IF(Table2[[#This Row],[Description]]="","",Table2[[#This Row],[Value]]/Table2[[#This Row],[Conversion]])</f>
        <v/>
      </c>
      <c r="K9980" s="45" t="str">
        <f>IF(Table2[[#This Row],[Description]]="","",DATE(Table2[[#This Row],[Year]],Table2[[#This Row],[Month]],1))</f>
        <v/>
      </c>
    </row>
    <row r="9981" spans="7:11" x14ac:dyDescent="0.25">
      <c r="G9981" s="1" t="str">
        <f>IF(Table2[[#This Row],[Description]]="","",VLOOKUP(Table2[[#This Row],[Description]],$Q$1:$S$101,2,FALSE))</f>
        <v/>
      </c>
      <c r="H9981" s="1" t="str">
        <f>IF(Table2[[#This Row],[Description]]="","",VLOOKUP(Table2[[#This Row],[Description]],$Q$1:$S$101,3,FALSE))</f>
        <v/>
      </c>
      <c r="I9981" s="1" t="str">
        <f>IF(Table2[[#This Row],[Description]]="","",IF(Table2[[#This Row],[Currency]]=$O$2,$P$2,HLOOKUP(Table2[[#This Row],[Date]],Funds!$C$10:$GV$11,2,FALSE)))</f>
        <v/>
      </c>
      <c r="J9981" s="215" t="str">
        <f>IF(Table2[[#This Row],[Description]]="","",Table2[[#This Row],[Value]]/Table2[[#This Row],[Conversion]])</f>
        <v/>
      </c>
      <c r="K9981" s="45" t="str">
        <f>IF(Table2[[#This Row],[Description]]="","",DATE(Table2[[#This Row],[Year]],Table2[[#This Row],[Month]],1))</f>
        <v/>
      </c>
    </row>
    <row r="9982" spans="7:11" x14ac:dyDescent="0.25">
      <c r="G9982" s="1" t="str">
        <f>IF(Table2[[#This Row],[Description]]="","",VLOOKUP(Table2[[#This Row],[Description]],$Q$1:$S$101,2,FALSE))</f>
        <v/>
      </c>
      <c r="H9982" s="1" t="str">
        <f>IF(Table2[[#This Row],[Description]]="","",VLOOKUP(Table2[[#This Row],[Description]],$Q$1:$S$101,3,FALSE))</f>
        <v/>
      </c>
      <c r="I9982" s="1" t="str">
        <f>IF(Table2[[#This Row],[Description]]="","",IF(Table2[[#This Row],[Currency]]=$O$2,$P$2,HLOOKUP(Table2[[#This Row],[Date]],Funds!$C$10:$GV$11,2,FALSE)))</f>
        <v/>
      </c>
      <c r="J9982" s="215" t="str">
        <f>IF(Table2[[#This Row],[Description]]="","",Table2[[#This Row],[Value]]/Table2[[#This Row],[Conversion]])</f>
        <v/>
      </c>
      <c r="K9982" s="45" t="str">
        <f>IF(Table2[[#This Row],[Description]]="","",DATE(Table2[[#This Row],[Year]],Table2[[#This Row],[Month]],1))</f>
        <v/>
      </c>
    </row>
    <row r="9983" spans="7:11" x14ac:dyDescent="0.25">
      <c r="G9983" s="1" t="str">
        <f>IF(Table2[[#This Row],[Description]]="","",VLOOKUP(Table2[[#This Row],[Description]],$Q$1:$S$101,2,FALSE))</f>
        <v/>
      </c>
      <c r="H9983" s="1" t="str">
        <f>IF(Table2[[#This Row],[Description]]="","",VLOOKUP(Table2[[#This Row],[Description]],$Q$1:$S$101,3,FALSE))</f>
        <v/>
      </c>
      <c r="I9983" s="1" t="str">
        <f>IF(Table2[[#This Row],[Description]]="","",IF(Table2[[#This Row],[Currency]]=$O$2,$P$2,HLOOKUP(Table2[[#This Row],[Date]],Funds!$C$10:$GV$11,2,FALSE)))</f>
        <v/>
      </c>
      <c r="J9983" s="215" t="str">
        <f>IF(Table2[[#This Row],[Description]]="","",Table2[[#This Row],[Value]]/Table2[[#This Row],[Conversion]])</f>
        <v/>
      </c>
      <c r="K9983" s="45" t="str">
        <f>IF(Table2[[#This Row],[Description]]="","",DATE(Table2[[#This Row],[Year]],Table2[[#This Row],[Month]],1))</f>
        <v/>
      </c>
    </row>
    <row r="9984" spans="7:11" x14ac:dyDescent="0.25">
      <c r="G9984" s="1" t="str">
        <f>IF(Table2[[#This Row],[Description]]="","",VLOOKUP(Table2[[#This Row],[Description]],$Q$1:$S$101,2,FALSE))</f>
        <v/>
      </c>
      <c r="H9984" s="1" t="str">
        <f>IF(Table2[[#This Row],[Description]]="","",VLOOKUP(Table2[[#This Row],[Description]],$Q$1:$S$101,3,FALSE))</f>
        <v/>
      </c>
      <c r="I9984" s="1" t="str">
        <f>IF(Table2[[#This Row],[Description]]="","",IF(Table2[[#This Row],[Currency]]=$O$2,$P$2,HLOOKUP(Table2[[#This Row],[Date]],Funds!$C$10:$GV$11,2,FALSE)))</f>
        <v/>
      </c>
      <c r="J9984" s="215" t="str">
        <f>IF(Table2[[#This Row],[Description]]="","",Table2[[#This Row],[Value]]/Table2[[#This Row],[Conversion]])</f>
        <v/>
      </c>
      <c r="K9984" s="45" t="str">
        <f>IF(Table2[[#This Row],[Description]]="","",DATE(Table2[[#This Row],[Year]],Table2[[#This Row],[Month]],1))</f>
        <v/>
      </c>
    </row>
    <row r="9985" spans="7:11" x14ac:dyDescent="0.25">
      <c r="G9985" s="1" t="str">
        <f>IF(Table2[[#This Row],[Description]]="","",VLOOKUP(Table2[[#This Row],[Description]],$Q$1:$S$101,2,FALSE))</f>
        <v/>
      </c>
      <c r="H9985" s="1" t="str">
        <f>IF(Table2[[#This Row],[Description]]="","",VLOOKUP(Table2[[#This Row],[Description]],$Q$1:$S$101,3,FALSE))</f>
        <v/>
      </c>
      <c r="I9985" s="1" t="str">
        <f>IF(Table2[[#This Row],[Description]]="","",IF(Table2[[#This Row],[Currency]]=$O$2,$P$2,HLOOKUP(Table2[[#This Row],[Date]],Funds!$C$10:$GV$11,2,FALSE)))</f>
        <v/>
      </c>
      <c r="J9985" s="215" t="str">
        <f>IF(Table2[[#This Row],[Description]]="","",Table2[[#This Row],[Value]]/Table2[[#This Row],[Conversion]])</f>
        <v/>
      </c>
      <c r="K9985" s="45" t="str">
        <f>IF(Table2[[#This Row],[Description]]="","",DATE(Table2[[#This Row],[Year]],Table2[[#This Row],[Month]],1))</f>
        <v/>
      </c>
    </row>
    <row r="9986" spans="7:11" x14ac:dyDescent="0.25">
      <c r="G9986" s="1" t="str">
        <f>IF(Table2[[#This Row],[Description]]="","",VLOOKUP(Table2[[#This Row],[Description]],$Q$1:$S$101,2,FALSE))</f>
        <v/>
      </c>
      <c r="H9986" s="1" t="str">
        <f>IF(Table2[[#This Row],[Description]]="","",VLOOKUP(Table2[[#This Row],[Description]],$Q$1:$S$101,3,FALSE))</f>
        <v/>
      </c>
      <c r="I9986" s="1" t="str">
        <f>IF(Table2[[#This Row],[Description]]="","",IF(Table2[[#This Row],[Currency]]=$O$2,$P$2,HLOOKUP(Table2[[#This Row],[Date]],Funds!$C$10:$GV$11,2,FALSE)))</f>
        <v/>
      </c>
      <c r="J9986" s="215" t="str">
        <f>IF(Table2[[#This Row],[Description]]="","",Table2[[#This Row],[Value]]/Table2[[#This Row],[Conversion]])</f>
        <v/>
      </c>
      <c r="K9986" s="45" t="str">
        <f>IF(Table2[[#This Row],[Description]]="","",DATE(Table2[[#This Row],[Year]],Table2[[#This Row],[Month]],1))</f>
        <v/>
      </c>
    </row>
    <row r="9987" spans="7:11" x14ac:dyDescent="0.25">
      <c r="G9987" s="1" t="str">
        <f>IF(Table2[[#This Row],[Description]]="","",VLOOKUP(Table2[[#This Row],[Description]],$Q$1:$S$101,2,FALSE))</f>
        <v/>
      </c>
      <c r="H9987" s="1" t="str">
        <f>IF(Table2[[#This Row],[Description]]="","",VLOOKUP(Table2[[#This Row],[Description]],$Q$1:$S$101,3,FALSE))</f>
        <v/>
      </c>
      <c r="I9987" s="1" t="str">
        <f>IF(Table2[[#This Row],[Description]]="","",IF(Table2[[#This Row],[Currency]]=$O$2,$P$2,HLOOKUP(Table2[[#This Row],[Date]],Funds!$C$10:$GV$11,2,FALSE)))</f>
        <v/>
      </c>
      <c r="J9987" s="215" t="str">
        <f>IF(Table2[[#This Row],[Description]]="","",Table2[[#This Row],[Value]]/Table2[[#This Row],[Conversion]])</f>
        <v/>
      </c>
      <c r="K9987" s="45" t="str">
        <f>IF(Table2[[#This Row],[Description]]="","",DATE(Table2[[#This Row],[Year]],Table2[[#This Row],[Month]],1))</f>
        <v/>
      </c>
    </row>
    <row r="9988" spans="7:11" x14ac:dyDescent="0.25">
      <c r="G9988" s="1" t="str">
        <f>IF(Table2[[#This Row],[Description]]="","",VLOOKUP(Table2[[#This Row],[Description]],$Q$1:$S$101,2,FALSE))</f>
        <v/>
      </c>
      <c r="H9988" s="1" t="str">
        <f>IF(Table2[[#This Row],[Description]]="","",VLOOKUP(Table2[[#This Row],[Description]],$Q$1:$S$101,3,FALSE))</f>
        <v/>
      </c>
      <c r="I9988" s="1" t="str">
        <f>IF(Table2[[#This Row],[Description]]="","",IF(Table2[[#This Row],[Currency]]=$O$2,$P$2,HLOOKUP(Table2[[#This Row],[Date]],Funds!$C$10:$GV$11,2,FALSE)))</f>
        <v/>
      </c>
      <c r="J9988" s="215" t="str">
        <f>IF(Table2[[#This Row],[Description]]="","",Table2[[#This Row],[Value]]/Table2[[#This Row],[Conversion]])</f>
        <v/>
      </c>
      <c r="K9988" s="45" t="str">
        <f>IF(Table2[[#This Row],[Description]]="","",DATE(Table2[[#This Row],[Year]],Table2[[#This Row],[Month]],1))</f>
        <v/>
      </c>
    </row>
    <row r="9989" spans="7:11" x14ac:dyDescent="0.25">
      <c r="G9989" s="1" t="str">
        <f>IF(Table2[[#This Row],[Description]]="","",VLOOKUP(Table2[[#This Row],[Description]],$Q$1:$S$101,2,FALSE))</f>
        <v/>
      </c>
      <c r="H9989" s="1" t="str">
        <f>IF(Table2[[#This Row],[Description]]="","",VLOOKUP(Table2[[#This Row],[Description]],$Q$1:$S$101,3,FALSE))</f>
        <v/>
      </c>
      <c r="I9989" s="1" t="str">
        <f>IF(Table2[[#This Row],[Description]]="","",IF(Table2[[#This Row],[Currency]]=$O$2,$P$2,HLOOKUP(Table2[[#This Row],[Date]],Funds!$C$10:$GV$11,2,FALSE)))</f>
        <v/>
      </c>
      <c r="J9989" s="215" t="str">
        <f>IF(Table2[[#This Row],[Description]]="","",Table2[[#This Row],[Value]]/Table2[[#This Row],[Conversion]])</f>
        <v/>
      </c>
      <c r="K9989" s="45" t="str">
        <f>IF(Table2[[#This Row],[Description]]="","",DATE(Table2[[#This Row],[Year]],Table2[[#This Row],[Month]],1))</f>
        <v/>
      </c>
    </row>
    <row r="9990" spans="7:11" x14ac:dyDescent="0.25">
      <c r="G9990" s="1" t="str">
        <f>IF(Table2[[#This Row],[Description]]="","",VLOOKUP(Table2[[#This Row],[Description]],$Q$1:$S$101,2,FALSE))</f>
        <v/>
      </c>
      <c r="H9990" s="1" t="str">
        <f>IF(Table2[[#This Row],[Description]]="","",VLOOKUP(Table2[[#This Row],[Description]],$Q$1:$S$101,3,FALSE))</f>
        <v/>
      </c>
      <c r="I9990" s="1" t="str">
        <f>IF(Table2[[#This Row],[Description]]="","",IF(Table2[[#This Row],[Currency]]=$O$2,$P$2,HLOOKUP(Table2[[#This Row],[Date]],Funds!$C$10:$GV$11,2,FALSE)))</f>
        <v/>
      </c>
      <c r="J9990" s="215" t="str">
        <f>IF(Table2[[#This Row],[Description]]="","",Table2[[#This Row],[Value]]/Table2[[#This Row],[Conversion]])</f>
        <v/>
      </c>
      <c r="K9990" s="45" t="str">
        <f>IF(Table2[[#This Row],[Description]]="","",DATE(Table2[[#This Row],[Year]],Table2[[#This Row],[Month]],1))</f>
        <v/>
      </c>
    </row>
    <row r="9991" spans="7:11" x14ac:dyDescent="0.25">
      <c r="G9991" s="1" t="str">
        <f>IF(Table2[[#This Row],[Description]]="","",VLOOKUP(Table2[[#This Row],[Description]],$Q$1:$S$101,2,FALSE))</f>
        <v/>
      </c>
      <c r="H9991" s="1" t="str">
        <f>IF(Table2[[#This Row],[Description]]="","",VLOOKUP(Table2[[#This Row],[Description]],$Q$1:$S$101,3,FALSE))</f>
        <v/>
      </c>
      <c r="I9991" s="1" t="str">
        <f>IF(Table2[[#This Row],[Description]]="","",IF(Table2[[#This Row],[Currency]]=$O$2,$P$2,HLOOKUP(Table2[[#This Row],[Date]],Funds!$C$10:$GV$11,2,FALSE)))</f>
        <v/>
      </c>
      <c r="J9991" s="215" t="str">
        <f>IF(Table2[[#This Row],[Description]]="","",Table2[[#This Row],[Value]]/Table2[[#This Row],[Conversion]])</f>
        <v/>
      </c>
      <c r="K9991" s="45" t="str">
        <f>IF(Table2[[#This Row],[Description]]="","",DATE(Table2[[#This Row],[Year]],Table2[[#This Row],[Month]],1))</f>
        <v/>
      </c>
    </row>
    <row r="9992" spans="7:11" x14ac:dyDescent="0.25">
      <c r="G9992" s="1" t="str">
        <f>IF(Table2[[#This Row],[Description]]="","",VLOOKUP(Table2[[#This Row],[Description]],$Q$1:$S$101,2,FALSE))</f>
        <v/>
      </c>
      <c r="H9992" s="1" t="str">
        <f>IF(Table2[[#This Row],[Description]]="","",VLOOKUP(Table2[[#This Row],[Description]],$Q$1:$S$101,3,FALSE))</f>
        <v/>
      </c>
      <c r="I9992" s="1" t="str">
        <f>IF(Table2[[#This Row],[Description]]="","",IF(Table2[[#This Row],[Currency]]=$O$2,$P$2,HLOOKUP(Table2[[#This Row],[Date]],Funds!$C$10:$GV$11,2,FALSE)))</f>
        <v/>
      </c>
      <c r="J9992" s="215" t="str">
        <f>IF(Table2[[#This Row],[Description]]="","",Table2[[#This Row],[Value]]/Table2[[#This Row],[Conversion]])</f>
        <v/>
      </c>
      <c r="K9992" s="45" t="str">
        <f>IF(Table2[[#This Row],[Description]]="","",DATE(Table2[[#This Row],[Year]],Table2[[#This Row],[Month]],1))</f>
        <v/>
      </c>
    </row>
    <row r="9993" spans="7:11" x14ac:dyDescent="0.25">
      <c r="G9993" s="1" t="str">
        <f>IF(Table2[[#This Row],[Description]]="","",VLOOKUP(Table2[[#This Row],[Description]],$Q$1:$S$101,2,FALSE))</f>
        <v/>
      </c>
      <c r="H9993" s="1" t="str">
        <f>IF(Table2[[#This Row],[Description]]="","",VLOOKUP(Table2[[#This Row],[Description]],$Q$1:$S$101,3,FALSE))</f>
        <v/>
      </c>
      <c r="I9993" s="1" t="str">
        <f>IF(Table2[[#This Row],[Description]]="","",IF(Table2[[#This Row],[Currency]]=$O$2,$P$2,HLOOKUP(Table2[[#This Row],[Date]],Funds!$C$10:$GV$11,2,FALSE)))</f>
        <v/>
      </c>
      <c r="J9993" s="215" t="str">
        <f>IF(Table2[[#This Row],[Description]]="","",Table2[[#This Row],[Value]]/Table2[[#This Row],[Conversion]])</f>
        <v/>
      </c>
      <c r="K9993" s="45" t="str">
        <f>IF(Table2[[#This Row],[Description]]="","",DATE(Table2[[#This Row],[Year]],Table2[[#This Row],[Month]],1))</f>
        <v/>
      </c>
    </row>
    <row r="9994" spans="7:11" x14ac:dyDescent="0.25">
      <c r="G9994" s="1" t="str">
        <f>IF(Table2[[#This Row],[Description]]="","",VLOOKUP(Table2[[#This Row],[Description]],$Q$1:$S$101,2,FALSE))</f>
        <v/>
      </c>
      <c r="H9994" s="1" t="str">
        <f>IF(Table2[[#This Row],[Description]]="","",VLOOKUP(Table2[[#This Row],[Description]],$Q$1:$S$101,3,FALSE))</f>
        <v/>
      </c>
      <c r="I9994" s="1" t="str">
        <f>IF(Table2[[#This Row],[Description]]="","",IF(Table2[[#This Row],[Currency]]=$O$2,$P$2,HLOOKUP(Table2[[#This Row],[Date]],Funds!$C$10:$GV$11,2,FALSE)))</f>
        <v/>
      </c>
      <c r="J9994" s="215" t="str">
        <f>IF(Table2[[#This Row],[Description]]="","",Table2[[#This Row],[Value]]/Table2[[#This Row],[Conversion]])</f>
        <v/>
      </c>
      <c r="K9994" s="45" t="str">
        <f>IF(Table2[[#This Row],[Description]]="","",DATE(Table2[[#This Row],[Year]],Table2[[#This Row],[Month]],1))</f>
        <v/>
      </c>
    </row>
    <row r="9995" spans="7:11" x14ac:dyDescent="0.25">
      <c r="G9995" s="1" t="str">
        <f>IF(Table2[[#This Row],[Description]]="","",VLOOKUP(Table2[[#This Row],[Description]],$Q$1:$S$101,2,FALSE))</f>
        <v/>
      </c>
      <c r="H9995" s="1" t="str">
        <f>IF(Table2[[#This Row],[Description]]="","",VLOOKUP(Table2[[#This Row],[Description]],$Q$1:$S$101,3,FALSE))</f>
        <v/>
      </c>
      <c r="I9995" s="1" t="str">
        <f>IF(Table2[[#This Row],[Description]]="","",IF(Table2[[#This Row],[Currency]]=$O$2,$P$2,HLOOKUP(Table2[[#This Row],[Date]],Funds!$C$10:$GV$11,2,FALSE)))</f>
        <v/>
      </c>
      <c r="J9995" s="215" t="str">
        <f>IF(Table2[[#This Row],[Description]]="","",Table2[[#This Row],[Value]]/Table2[[#This Row],[Conversion]])</f>
        <v/>
      </c>
      <c r="K9995" s="45" t="str">
        <f>IF(Table2[[#This Row],[Description]]="","",DATE(Table2[[#This Row],[Year]],Table2[[#This Row],[Month]],1))</f>
        <v/>
      </c>
    </row>
    <row r="9996" spans="7:11" x14ac:dyDescent="0.25">
      <c r="G9996" s="1" t="str">
        <f>IF(Table2[[#This Row],[Description]]="","",VLOOKUP(Table2[[#This Row],[Description]],$Q$1:$S$101,2,FALSE))</f>
        <v/>
      </c>
      <c r="H9996" s="1" t="str">
        <f>IF(Table2[[#This Row],[Description]]="","",VLOOKUP(Table2[[#This Row],[Description]],$Q$1:$S$101,3,FALSE))</f>
        <v/>
      </c>
      <c r="I9996" s="1" t="str">
        <f>IF(Table2[[#This Row],[Description]]="","",IF(Table2[[#This Row],[Currency]]=$O$2,$P$2,HLOOKUP(Table2[[#This Row],[Date]],Funds!$C$10:$GV$11,2,FALSE)))</f>
        <v/>
      </c>
      <c r="J9996" s="215" t="str">
        <f>IF(Table2[[#This Row],[Description]]="","",Table2[[#This Row],[Value]]/Table2[[#This Row],[Conversion]])</f>
        <v/>
      </c>
      <c r="K9996" s="45" t="str">
        <f>IF(Table2[[#This Row],[Description]]="","",DATE(Table2[[#This Row],[Year]],Table2[[#This Row],[Month]],1))</f>
        <v/>
      </c>
    </row>
    <row r="9997" spans="7:11" x14ac:dyDescent="0.25">
      <c r="G9997" s="1" t="str">
        <f>IF(Table2[[#This Row],[Description]]="","",VLOOKUP(Table2[[#This Row],[Description]],$Q$1:$S$101,2,FALSE))</f>
        <v/>
      </c>
      <c r="H9997" s="1" t="str">
        <f>IF(Table2[[#This Row],[Description]]="","",VLOOKUP(Table2[[#This Row],[Description]],$Q$1:$S$101,3,FALSE))</f>
        <v/>
      </c>
      <c r="I9997" s="1" t="str">
        <f>IF(Table2[[#This Row],[Description]]="","",IF(Table2[[#This Row],[Currency]]=$O$2,$P$2,HLOOKUP(Table2[[#This Row],[Date]],Funds!$C$10:$GV$11,2,FALSE)))</f>
        <v/>
      </c>
      <c r="J9997" s="215" t="str">
        <f>IF(Table2[[#This Row],[Description]]="","",Table2[[#This Row],[Value]]/Table2[[#This Row],[Conversion]])</f>
        <v/>
      </c>
      <c r="K9997" s="45" t="str">
        <f>IF(Table2[[#This Row],[Description]]="","",DATE(Table2[[#This Row],[Year]],Table2[[#This Row],[Month]],1))</f>
        <v/>
      </c>
    </row>
    <row r="9998" spans="7:11" x14ac:dyDescent="0.25">
      <c r="G9998" s="1" t="str">
        <f>IF(Table2[[#This Row],[Description]]="","",VLOOKUP(Table2[[#This Row],[Description]],$Q$1:$S$101,2,FALSE))</f>
        <v/>
      </c>
      <c r="H9998" s="1" t="str">
        <f>IF(Table2[[#This Row],[Description]]="","",VLOOKUP(Table2[[#This Row],[Description]],$Q$1:$S$101,3,FALSE))</f>
        <v/>
      </c>
      <c r="I9998" s="1" t="str">
        <f>IF(Table2[[#This Row],[Description]]="","",IF(Table2[[#This Row],[Currency]]=$O$2,$P$2,HLOOKUP(Table2[[#This Row],[Date]],Funds!$C$10:$GV$11,2,FALSE)))</f>
        <v/>
      </c>
      <c r="J9998" s="215" t="str">
        <f>IF(Table2[[#This Row],[Description]]="","",Table2[[#This Row],[Value]]/Table2[[#This Row],[Conversion]])</f>
        <v/>
      </c>
      <c r="K9998" s="45" t="str">
        <f>IF(Table2[[#This Row],[Description]]="","",DATE(Table2[[#This Row],[Year]],Table2[[#This Row],[Month]],1))</f>
        <v/>
      </c>
    </row>
    <row r="9999" spans="7:11" x14ac:dyDescent="0.25">
      <c r="G9999" s="1" t="str">
        <f>IF(Table2[[#This Row],[Description]]="","",VLOOKUP(Table2[[#This Row],[Description]],$Q$1:$S$101,2,FALSE))</f>
        <v/>
      </c>
      <c r="H9999" s="1" t="str">
        <f>IF(Table2[[#This Row],[Description]]="","",VLOOKUP(Table2[[#This Row],[Description]],$Q$1:$S$101,3,FALSE))</f>
        <v/>
      </c>
      <c r="I9999" s="1" t="str">
        <f>IF(Table2[[#This Row],[Description]]="","",IF(Table2[[#This Row],[Currency]]=$O$2,$P$2,HLOOKUP(Table2[[#This Row],[Date]],Funds!$C$10:$GV$11,2,FALSE)))</f>
        <v/>
      </c>
      <c r="J9999" s="215" t="str">
        <f>IF(Table2[[#This Row],[Description]]="","",Table2[[#This Row],[Value]]/Table2[[#This Row],[Conversion]])</f>
        <v/>
      </c>
      <c r="K9999" s="45" t="str">
        <f>IF(Table2[[#This Row],[Description]]="","",DATE(Table2[[#This Row],[Year]],Table2[[#This Row],[Month]],1))</f>
        <v/>
      </c>
    </row>
    <row r="10000" spans="7:11" x14ac:dyDescent="0.25">
      <c r="G10000" s="1" t="str">
        <f>IF(Table2[[#This Row],[Description]]="","",VLOOKUP(Table2[[#This Row],[Description]],$Q$1:$S$101,2,FALSE))</f>
        <v/>
      </c>
      <c r="H10000" s="1" t="str">
        <f>IF(Table2[[#This Row],[Description]]="","",VLOOKUP(Table2[[#This Row],[Description]],$Q$1:$S$101,3,FALSE))</f>
        <v/>
      </c>
      <c r="I10000" s="1" t="str">
        <f>IF(Table2[[#This Row],[Description]]="","",IF(Table2[[#This Row],[Currency]]=$O$2,$P$2,HLOOKUP(Table2[[#This Row],[Date]],Funds!$C$10:$GV$11,2,FALSE)))</f>
        <v/>
      </c>
      <c r="J10000" s="215" t="str">
        <f>IF(Table2[[#This Row],[Description]]="","",Table2[[#This Row],[Value]]/Table2[[#This Row],[Conversion]])</f>
        <v/>
      </c>
      <c r="K10000" s="45" t="str">
        <f>IF(Table2[[#This Row],[Description]]="","",DATE(Table2[[#This Row],[Year]],Table2[[#This Row],[Month]],1))</f>
        <v/>
      </c>
    </row>
  </sheetData>
  <dataValidations count="4">
    <dataValidation type="list" allowBlank="1" showInputMessage="1" showErrorMessage="1" sqref="C2:C10001" xr:uid="{2FE99C04-9972-467E-99A2-1A76A2B684E6}">
      <formula1>$M$2:$M$13</formula1>
    </dataValidation>
    <dataValidation type="list" allowBlank="1" showInputMessage="1" showErrorMessage="1" sqref="D1:D10001" xr:uid="{00830BC5-7B10-4922-AC58-9C0500A36B82}">
      <formula1>$N$2:$N$13</formula1>
    </dataValidation>
    <dataValidation type="list" allowBlank="1" showInputMessage="1" sqref="B1:B1048576" xr:uid="{08C6ECA3-B643-4081-9640-EB21E5C50CA4}">
      <formula1>$Q$2:$Q$101</formula1>
    </dataValidation>
    <dataValidation type="list" allowBlank="1" showInputMessage="1" showErrorMessage="1" sqref="F2:F10000" xr:uid="{5197DF59-5B98-4A9E-B663-E696EF07C8F2}">
      <formula1>$O$2:$O$3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7A27A-EBB8-45C0-AD3C-5189BBFC6F5E}">
  <dimension ref="B1:AJ51"/>
  <sheetViews>
    <sheetView topLeftCell="A4" zoomScaleNormal="100" workbookViewId="0">
      <selection activeCell="A18" sqref="A18"/>
    </sheetView>
  </sheetViews>
  <sheetFormatPr defaultRowHeight="15" x14ac:dyDescent="0.25"/>
  <cols>
    <col min="3" max="3" width="11.42578125" customWidth="1"/>
    <col min="4" max="5" width="9.5703125" style="1" bestFit="1" customWidth="1"/>
    <col min="6" max="6" width="15.5703125" style="1" customWidth="1"/>
    <col min="7" max="8" width="9.5703125" style="1" bestFit="1" customWidth="1"/>
    <col min="9" max="9" width="15.5703125" style="1" customWidth="1"/>
    <col min="10" max="10" width="11.7109375" style="1" customWidth="1"/>
    <col min="11" max="11" width="15.5703125" style="1" customWidth="1"/>
    <col min="12" max="12" width="8.85546875" style="1" bestFit="1" customWidth="1"/>
    <col min="13" max="13" width="12.85546875" customWidth="1"/>
    <col min="14" max="22" width="9.5703125" bestFit="1" customWidth="1"/>
    <col min="23" max="23" width="8.85546875" bestFit="1" customWidth="1"/>
    <col min="24" max="24" width="9.140625" bestFit="1" customWidth="1"/>
    <col min="25" max="28" width="8.85546875" bestFit="1" customWidth="1"/>
    <col min="29" max="35" width="10.140625" bestFit="1" customWidth="1"/>
  </cols>
  <sheetData>
    <row r="1" spans="2:22" x14ac:dyDescent="0.25">
      <c r="N1">
        <f>N6/5</f>
        <v>-3360</v>
      </c>
    </row>
    <row r="2" spans="2:22" ht="15.75" thickBot="1" x14ac:dyDescent="0.3"/>
    <row r="3" spans="2:22" ht="15.75" thickTop="1" x14ac:dyDescent="0.25">
      <c r="B3" s="413" t="s">
        <v>548</v>
      </c>
      <c r="C3" s="414"/>
      <c r="D3" s="414"/>
      <c r="E3" s="414"/>
      <c r="F3" s="414"/>
      <c r="G3" s="414"/>
      <c r="H3" s="414"/>
      <c r="I3" s="414"/>
      <c r="J3" s="414"/>
      <c r="K3" s="415"/>
    </row>
    <row r="4" spans="2:22" s="323" customFormat="1" ht="30" x14ac:dyDescent="0.25">
      <c r="B4" s="362" t="s">
        <v>549</v>
      </c>
      <c r="C4" s="363"/>
      <c r="D4" s="363"/>
      <c r="E4" s="363"/>
      <c r="F4" s="363" t="str">
        <f>"@LC before taxes"</f>
        <v>@LC before taxes</v>
      </c>
      <c r="G4" s="363" t="s">
        <v>322</v>
      </c>
      <c r="H4" s="363" t="s">
        <v>345</v>
      </c>
      <c r="I4" s="363" t="str">
        <f>"@LC after taxes"</f>
        <v>@LC after taxes</v>
      </c>
      <c r="J4" s="364" t="s">
        <v>550</v>
      </c>
      <c r="K4" s="365" t="str">
        <f>"USD after taxes"</f>
        <v>USD after taxes</v>
      </c>
      <c r="L4" s="382"/>
      <c r="M4" s="328" t="s">
        <v>349</v>
      </c>
      <c r="N4" s="329" t="s">
        <v>21</v>
      </c>
      <c r="O4" s="329" t="s">
        <v>153</v>
      </c>
      <c r="P4" s="330" t="s">
        <v>555</v>
      </c>
      <c r="S4" s="410" t="s">
        <v>561</v>
      </c>
      <c r="T4" s="411"/>
      <c r="U4" s="411"/>
      <c r="V4" s="412"/>
    </row>
    <row r="5" spans="2:22" x14ac:dyDescent="0.25">
      <c r="B5" s="366" t="s">
        <v>21</v>
      </c>
      <c r="C5" s="367" t="s">
        <v>7</v>
      </c>
      <c r="D5" s="368" t="s">
        <v>197</v>
      </c>
      <c r="E5" s="368" t="s">
        <v>193</v>
      </c>
      <c r="F5" s="367">
        <f>Funds!P13</f>
        <v>635</v>
      </c>
      <c r="G5" s="369">
        <v>0</v>
      </c>
      <c r="H5" s="370">
        <v>0</v>
      </c>
      <c r="I5" s="367">
        <f>F5-G5</f>
        <v>635</v>
      </c>
      <c r="J5" s="369">
        <v>1</v>
      </c>
      <c r="K5" s="371">
        <f>I5/J5</f>
        <v>635</v>
      </c>
      <c r="M5" s="14" t="s">
        <v>382</v>
      </c>
      <c r="N5" s="40">
        <f>-V14</f>
        <v>-1761</v>
      </c>
      <c r="O5" s="10">
        <v>1</v>
      </c>
      <c r="P5" s="41">
        <f>N5/O5</f>
        <v>-1761</v>
      </c>
      <c r="S5" s="14" t="s">
        <v>31</v>
      </c>
      <c r="T5" s="383">
        <v>1750</v>
      </c>
      <c r="U5" s="384">
        <v>0.6</v>
      </c>
      <c r="V5" s="41">
        <f>T5*U5</f>
        <v>1050</v>
      </c>
    </row>
    <row r="6" spans="2:22" x14ac:dyDescent="0.25">
      <c r="B6" s="345" t="s">
        <v>21</v>
      </c>
      <c r="C6" s="350" t="s">
        <v>8</v>
      </c>
      <c r="D6" s="347" t="s">
        <v>190</v>
      </c>
      <c r="E6" s="347" t="s">
        <v>192</v>
      </c>
      <c r="F6" s="346">
        <f>Funds!P14</f>
        <v>17155.93</v>
      </c>
      <c r="G6" s="142">
        <v>0</v>
      </c>
      <c r="H6" s="348">
        <f>G6/F5</f>
        <v>0</v>
      </c>
      <c r="I6" s="346">
        <f t="shared" ref="I6:I10" si="0">F6-G6</f>
        <v>17155.93</v>
      </c>
      <c r="J6" s="142">
        <v>1</v>
      </c>
      <c r="K6" s="349">
        <f t="shared" ref="K6:K19" si="1">I6/J6</f>
        <v>17155.93</v>
      </c>
      <c r="M6" s="14" t="s">
        <v>472</v>
      </c>
      <c r="N6" s="40">
        <v>-16800</v>
      </c>
      <c r="O6" s="10">
        <v>31</v>
      </c>
      <c r="P6" s="41">
        <f t="shared" ref="P6:P9" si="2">N6/O6</f>
        <v>-541.93548387096769</v>
      </c>
      <c r="S6" s="14" t="s">
        <v>562</v>
      </c>
      <c r="T6" s="383">
        <v>10</v>
      </c>
      <c r="U6" s="384">
        <v>0.5</v>
      </c>
      <c r="V6" s="41">
        <f t="shared" ref="V6:V12" si="3">T6*U6</f>
        <v>5</v>
      </c>
    </row>
    <row r="7" spans="2:22" x14ac:dyDescent="0.25">
      <c r="B7" s="345" t="s">
        <v>21</v>
      </c>
      <c r="C7" s="350" t="s">
        <v>8</v>
      </c>
      <c r="D7" s="347"/>
      <c r="E7" s="347" t="s">
        <v>193</v>
      </c>
      <c r="F7" s="346">
        <f>Funds!P15</f>
        <v>320</v>
      </c>
      <c r="G7" s="142">
        <v>0</v>
      </c>
      <c r="H7" s="348">
        <f t="shared" ref="H7:H19" si="4">G7/F7</f>
        <v>0</v>
      </c>
      <c r="I7" s="346">
        <f t="shared" si="0"/>
        <v>320</v>
      </c>
      <c r="J7" s="142">
        <v>1</v>
      </c>
      <c r="K7" s="349">
        <f t="shared" si="1"/>
        <v>320</v>
      </c>
      <c r="M7" s="14" t="s">
        <v>70</v>
      </c>
      <c r="N7" s="40">
        <v>-2300</v>
      </c>
      <c r="O7" s="10">
        <v>12</v>
      </c>
      <c r="P7" s="41">
        <f t="shared" si="2"/>
        <v>-191.66666666666666</v>
      </c>
      <c r="S7" s="14" t="s">
        <v>545</v>
      </c>
      <c r="T7" s="383">
        <v>40</v>
      </c>
      <c r="U7" s="384">
        <v>0.5</v>
      </c>
      <c r="V7" s="41">
        <f t="shared" si="3"/>
        <v>20</v>
      </c>
    </row>
    <row r="8" spans="2:22" x14ac:dyDescent="0.25">
      <c r="B8" s="345" t="s">
        <v>21</v>
      </c>
      <c r="C8" s="346" t="s">
        <v>7</v>
      </c>
      <c r="D8" s="347" t="s">
        <v>191</v>
      </c>
      <c r="E8" s="347" t="s">
        <v>192</v>
      </c>
      <c r="F8" s="346">
        <f>Funds!P17</f>
        <v>591.41999999999996</v>
      </c>
      <c r="G8" s="142">
        <v>0</v>
      </c>
      <c r="H8" s="348">
        <f t="shared" si="4"/>
        <v>0</v>
      </c>
      <c r="I8" s="346">
        <f t="shared" si="0"/>
        <v>591.41999999999996</v>
      </c>
      <c r="J8" s="142">
        <v>1</v>
      </c>
      <c r="K8" s="349">
        <f t="shared" si="1"/>
        <v>591.41999999999996</v>
      </c>
      <c r="M8" s="14"/>
      <c r="N8" s="40"/>
      <c r="O8" s="10"/>
      <c r="P8" s="41"/>
      <c r="S8" s="14" t="s">
        <v>33</v>
      </c>
      <c r="T8" s="383">
        <v>192</v>
      </c>
      <c r="U8" s="384">
        <v>0.5</v>
      </c>
      <c r="V8" s="41">
        <f t="shared" si="3"/>
        <v>96</v>
      </c>
    </row>
    <row r="9" spans="2:22" x14ac:dyDescent="0.25">
      <c r="B9" s="345" t="s">
        <v>21</v>
      </c>
      <c r="C9" s="346" t="s">
        <v>7</v>
      </c>
      <c r="D9" s="347"/>
      <c r="E9" s="347" t="s">
        <v>193</v>
      </c>
      <c r="F9" s="346">
        <f>Funds!P18</f>
        <v>105.52</v>
      </c>
      <c r="G9" s="142">
        <v>0</v>
      </c>
      <c r="H9" s="348">
        <f t="shared" si="4"/>
        <v>0</v>
      </c>
      <c r="I9" s="346">
        <f t="shared" si="0"/>
        <v>105.52</v>
      </c>
      <c r="J9" s="142">
        <v>1</v>
      </c>
      <c r="K9" s="349">
        <f t="shared" si="1"/>
        <v>105.52</v>
      </c>
      <c r="M9" s="14" t="s">
        <v>554</v>
      </c>
      <c r="N9" s="40">
        <v>-1200</v>
      </c>
      <c r="O9" s="10">
        <v>12</v>
      </c>
      <c r="P9" s="41">
        <f t="shared" si="2"/>
        <v>-100</v>
      </c>
      <c r="S9" s="14" t="s">
        <v>35</v>
      </c>
      <c r="T9" s="383">
        <v>120</v>
      </c>
      <c r="U9" s="384">
        <v>0.5</v>
      </c>
      <c r="V9" s="41">
        <f t="shared" si="3"/>
        <v>60</v>
      </c>
    </row>
    <row r="10" spans="2:22" x14ac:dyDescent="0.25">
      <c r="B10" s="345" t="s">
        <v>21</v>
      </c>
      <c r="C10" s="346" t="s">
        <v>8</v>
      </c>
      <c r="D10" s="347"/>
      <c r="E10" s="347" t="s">
        <v>257</v>
      </c>
      <c r="F10" s="346">
        <f>Funds!P19</f>
        <v>200</v>
      </c>
      <c r="G10" s="142">
        <v>0</v>
      </c>
      <c r="H10" s="348">
        <f t="shared" si="4"/>
        <v>0</v>
      </c>
      <c r="I10" s="346">
        <f t="shared" si="0"/>
        <v>200</v>
      </c>
      <c r="J10" s="142">
        <v>1</v>
      </c>
      <c r="K10" s="349">
        <f t="shared" si="1"/>
        <v>200</v>
      </c>
      <c r="M10" s="14"/>
      <c r="N10" s="40"/>
      <c r="O10" s="9"/>
      <c r="P10" s="41"/>
      <c r="S10" s="14" t="s">
        <v>37</v>
      </c>
      <c r="T10" s="383">
        <v>600</v>
      </c>
      <c r="U10" s="384">
        <v>0.5</v>
      </c>
      <c r="V10" s="41">
        <f t="shared" si="3"/>
        <v>300</v>
      </c>
    </row>
    <row r="11" spans="2:22" x14ac:dyDescent="0.25">
      <c r="B11" s="345" t="s">
        <v>21</v>
      </c>
      <c r="C11" s="346" t="s">
        <v>8</v>
      </c>
      <c r="D11" s="347" t="s">
        <v>514</v>
      </c>
      <c r="E11" s="347" t="s">
        <v>193</v>
      </c>
      <c r="F11" s="346">
        <f>Investments!J4</f>
        <v>2019.34</v>
      </c>
      <c r="G11" s="346">
        <f>Investments!K4</f>
        <v>1110.6369999999999</v>
      </c>
      <c r="H11" s="348">
        <f t="shared" si="4"/>
        <v>0.55000000000000004</v>
      </c>
      <c r="I11" s="346">
        <f t="shared" ref="I11:I19" si="5">F11-G11</f>
        <v>908.70299999999997</v>
      </c>
      <c r="J11" s="142">
        <v>1</v>
      </c>
      <c r="K11" s="349">
        <f t="shared" si="1"/>
        <v>908.70299999999997</v>
      </c>
      <c r="M11" s="14"/>
      <c r="N11" s="40"/>
      <c r="O11" s="9"/>
      <c r="P11" s="41"/>
      <c r="S11" s="14" t="s">
        <v>39</v>
      </c>
      <c r="T11" s="383">
        <v>210</v>
      </c>
      <c r="U11" s="384">
        <v>0.5</v>
      </c>
      <c r="V11" s="41">
        <f t="shared" si="3"/>
        <v>105</v>
      </c>
    </row>
    <row r="12" spans="2:22" x14ac:dyDescent="0.25">
      <c r="B12" s="372" t="s">
        <v>21</v>
      </c>
      <c r="C12" s="373" t="s">
        <v>8</v>
      </c>
      <c r="D12" s="374" t="s">
        <v>204</v>
      </c>
      <c r="E12" s="374" t="s">
        <v>193</v>
      </c>
      <c r="F12" s="373">
        <f>Investments!J5</f>
        <v>10175.120000000001</v>
      </c>
      <c r="G12" s="373">
        <f>Investments!K5</f>
        <v>4477.0528000000013</v>
      </c>
      <c r="H12" s="375">
        <f t="shared" si="4"/>
        <v>0.44000000000000011</v>
      </c>
      <c r="I12" s="373">
        <f t="shared" si="5"/>
        <v>5698.0671999999995</v>
      </c>
      <c r="J12" s="376">
        <v>1</v>
      </c>
      <c r="K12" s="377">
        <f t="shared" si="1"/>
        <v>5698.0671999999995</v>
      </c>
      <c r="M12" s="14"/>
      <c r="N12" s="40"/>
      <c r="O12" s="9"/>
      <c r="P12" s="41"/>
      <c r="S12" s="14" t="s">
        <v>41</v>
      </c>
      <c r="T12" s="383">
        <v>250</v>
      </c>
      <c r="U12" s="384">
        <v>0.5</v>
      </c>
      <c r="V12" s="41">
        <f t="shared" si="3"/>
        <v>125</v>
      </c>
    </row>
    <row r="13" spans="2:22" x14ac:dyDescent="0.25">
      <c r="B13" s="356" t="s">
        <v>22</v>
      </c>
      <c r="C13" s="357" t="s">
        <v>8</v>
      </c>
      <c r="D13" s="358" t="s">
        <v>194</v>
      </c>
      <c r="E13" s="358" t="s">
        <v>193</v>
      </c>
      <c r="F13" s="357">
        <f>Funds!P32</f>
        <v>0</v>
      </c>
      <c r="G13" s="359">
        <v>0</v>
      </c>
      <c r="H13" s="360">
        <v>0</v>
      </c>
      <c r="I13" s="357">
        <f t="shared" si="5"/>
        <v>0</v>
      </c>
      <c r="J13" s="357">
        <f>Funds!P11</f>
        <v>5.49</v>
      </c>
      <c r="K13" s="361">
        <f t="shared" si="1"/>
        <v>0</v>
      </c>
      <c r="M13" s="14"/>
      <c r="N13" s="40"/>
      <c r="O13" s="9"/>
      <c r="P13" s="41"/>
      <c r="S13" s="14"/>
      <c r="T13" s="383"/>
      <c r="U13" s="384"/>
      <c r="V13" s="41"/>
    </row>
    <row r="14" spans="2:22" x14ac:dyDescent="0.25">
      <c r="B14" s="345" t="s">
        <v>22</v>
      </c>
      <c r="C14" s="346" t="s">
        <v>8</v>
      </c>
      <c r="D14" s="347" t="s">
        <v>195</v>
      </c>
      <c r="E14" s="347" t="s">
        <v>193</v>
      </c>
      <c r="F14" s="346">
        <f>Funds!P33</f>
        <v>0</v>
      </c>
      <c r="G14" s="142">
        <v>0</v>
      </c>
      <c r="H14" s="348">
        <v>0</v>
      </c>
      <c r="I14" s="346">
        <f t="shared" si="5"/>
        <v>0</v>
      </c>
      <c r="J14" s="346">
        <f>J13</f>
        <v>5.49</v>
      </c>
      <c r="K14" s="349">
        <f t="shared" si="1"/>
        <v>0</v>
      </c>
      <c r="M14" s="15" t="s">
        <v>92</v>
      </c>
      <c r="N14" s="43"/>
      <c r="O14" s="26"/>
      <c r="P14" s="331">
        <f>SUM(P5:P13)</f>
        <v>-2594.6021505376343</v>
      </c>
      <c r="S14" s="15"/>
      <c r="T14" s="26"/>
      <c r="U14" s="26"/>
      <c r="V14" s="385">
        <f>SUM(V5:V13)</f>
        <v>1761</v>
      </c>
    </row>
    <row r="15" spans="2:22" x14ac:dyDescent="0.25">
      <c r="B15" s="345" t="s">
        <v>22</v>
      </c>
      <c r="C15" s="346" t="s">
        <v>8</v>
      </c>
      <c r="D15" s="347" t="s">
        <v>196</v>
      </c>
      <c r="E15" s="347" t="s">
        <v>193</v>
      </c>
      <c r="F15" s="346">
        <f>Funds!P34</f>
        <v>925.69</v>
      </c>
      <c r="G15" s="142">
        <v>0</v>
      </c>
      <c r="H15" s="348">
        <f t="shared" si="4"/>
        <v>0</v>
      </c>
      <c r="I15" s="346">
        <f t="shared" si="5"/>
        <v>925.69</v>
      </c>
      <c r="J15" s="346">
        <f t="shared" ref="J15:J19" si="6">J14</f>
        <v>5.49</v>
      </c>
      <c r="K15" s="349">
        <f t="shared" si="1"/>
        <v>168.61384335154827</v>
      </c>
    </row>
    <row r="16" spans="2:22" x14ac:dyDescent="0.25">
      <c r="B16" s="345" t="s">
        <v>22</v>
      </c>
      <c r="C16" s="346" t="s">
        <v>7</v>
      </c>
      <c r="D16" s="347" t="s">
        <v>196</v>
      </c>
      <c r="E16" s="347" t="s">
        <v>193</v>
      </c>
      <c r="F16" s="346">
        <f>Funds!P35</f>
        <v>3.18</v>
      </c>
      <c r="G16" s="142">
        <v>0</v>
      </c>
      <c r="H16" s="348">
        <f t="shared" si="4"/>
        <v>0</v>
      </c>
      <c r="I16" s="346">
        <f t="shared" si="5"/>
        <v>3.18</v>
      </c>
      <c r="J16" s="346">
        <f t="shared" si="6"/>
        <v>5.49</v>
      </c>
      <c r="K16" s="349">
        <f t="shared" si="1"/>
        <v>0.57923497267759561</v>
      </c>
      <c r="N16" s="1">
        <v>2019</v>
      </c>
      <c r="O16" s="1">
        <v>2020</v>
      </c>
      <c r="P16" s="1">
        <v>2021</v>
      </c>
    </row>
    <row r="17" spans="2:36" x14ac:dyDescent="0.25">
      <c r="B17" s="345" t="s">
        <v>22</v>
      </c>
      <c r="C17" s="346" t="s">
        <v>7</v>
      </c>
      <c r="D17" s="347" t="s">
        <v>199</v>
      </c>
      <c r="E17" s="347" t="s">
        <v>193</v>
      </c>
      <c r="F17" s="346">
        <f>Funds!P36</f>
        <v>0</v>
      </c>
      <c r="G17" s="142">
        <v>0</v>
      </c>
      <c r="H17" s="348">
        <v>0</v>
      </c>
      <c r="I17" s="346">
        <f t="shared" si="5"/>
        <v>0</v>
      </c>
      <c r="J17" s="346">
        <f t="shared" si="6"/>
        <v>5.49</v>
      </c>
      <c r="K17" s="349">
        <f t="shared" si="1"/>
        <v>0</v>
      </c>
      <c r="M17" t="s">
        <v>556</v>
      </c>
      <c r="N17" s="44">
        <v>6300</v>
      </c>
      <c r="O17" s="44">
        <v>10400</v>
      </c>
      <c r="P17" s="44">
        <v>14400</v>
      </c>
    </row>
    <row r="18" spans="2:36" x14ac:dyDescent="0.25">
      <c r="B18" s="345" t="s">
        <v>22</v>
      </c>
      <c r="C18" s="346" t="s">
        <v>8</v>
      </c>
      <c r="D18" s="347" t="s">
        <v>200</v>
      </c>
      <c r="E18" s="347" t="s">
        <v>201</v>
      </c>
      <c r="F18" s="346">
        <f>Funds!P37</f>
        <v>0</v>
      </c>
      <c r="G18" s="142">
        <v>0</v>
      </c>
      <c r="H18" s="348">
        <v>0</v>
      </c>
      <c r="I18" s="346">
        <f t="shared" si="5"/>
        <v>0</v>
      </c>
      <c r="J18" s="346">
        <f t="shared" si="6"/>
        <v>5.49</v>
      </c>
      <c r="K18" s="349">
        <f t="shared" si="1"/>
        <v>0</v>
      </c>
    </row>
    <row r="19" spans="2:36" ht="30.75" thickBot="1" x14ac:dyDescent="0.3">
      <c r="B19" s="351" t="s">
        <v>22</v>
      </c>
      <c r="C19" s="352" t="s">
        <v>8</v>
      </c>
      <c r="D19" s="353" t="s">
        <v>198</v>
      </c>
      <c r="E19" s="353" t="s">
        <v>193</v>
      </c>
      <c r="F19" s="352">
        <f>SUM(Investments!J7:J18)</f>
        <v>102761.91</v>
      </c>
      <c r="G19" s="352">
        <f>SUM(Investments!K7:K18)</f>
        <v>2266.2699999999995</v>
      </c>
      <c r="H19" s="354">
        <f t="shared" si="4"/>
        <v>2.2053599431929589E-2</v>
      </c>
      <c r="I19" s="352">
        <f t="shared" si="5"/>
        <v>100495.64</v>
      </c>
      <c r="J19" s="352">
        <f t="shared" si="6"/>
        <v>5.49</v>
      </c>
      <c r="K19" s="355">
        <f t="shared" si="1"/>
        <v>18305.216757741346</v>
      </c>
      <c r="M19" s="276" t="s">
        <v>557</v>
      </c>
      <c r="N19" s="44">
        <v>13874.15159570484</v>
      </c>
      <c r="O19" s="44">
        <v>12489.369750171561</v>
      </c>
      <c r="P19" s="44">
        <v>8377.2135000000035</v>
      </c>
    </row>
    <row r="20" spans="2:36" ht="15.75" thickTop="1" x14ac:dyDescent="0.25">
      <c r="F20" s="1" t="s">
        <v>323</v>
      </c>
      <c r="I20" s="1" t="s">
        <v>570</v>
      </c>
      <c r="K20" s="1" t="s">
        <v>571</v>
      </c>
      <c r="M20" t="s">
        <v>558</v>
      </c>
      <c r="N20" s="44">
        <v>6937.0757978524198</v>
      </c>
      <c r="O20" s="44">
        <v>6244.6848750857807</v>
      </c>
      <c r="P20" s="44">
        <v>4188.6067500000017</v>
      </c>
    </row>
    <row r="21" spans="2:36" x14ac:dyDescent="0.25">
      <c r="E21" s="324" t="s">
        <v>21</v>
      </c>
      <c r="F21" s="166">
        <f>SUM(F5:F12)</f>
        <v>31202.33</v>
      </c>
      <c r="I21" s="166">
        <f>SUM(I5:I12)</f>
        <v>25614.640200000002</v>
      </c>
      <c r="K21" s="166">
        <f>SUM(K5:K12)</f>
        <v>25614.640200000002</v>
      </c>
    </row>
    <row r="22" spans="2:36" x14ac:dyDescent="0.25">
      <c r="E22" s="324" t="s">
        <v>22</v>
      </c>
      <c r="F22" s="166">
        <f>SUM(F13:F19)</f>
        <v>103690.78</v>
      </c>
      <c r="I22" s="166">
        <f>SUM(I13:I19)</f>
        <v>101424.51</v>
      </c>
      <c r="K22" s="166">
        <f>SUM(K13:K19)</f>
        <v>18474.40983606557</v>
      </c>
    </row>
    <row r="23" spans="2:36" x14ac:dyDescent="0.25">
      <c r="J23" s="1" t="s">
        <v>552</v>
      </c>
      <c r="K23" s="326">
        <f>SUM(K21:K22)/2</f>
        <v>22044.525018032786</v>
      </c>
      <c r="M23" s="217">
        <f>SUM(K21:K22)</f>
        <v>44089.050036065571</v>
      </c>
    </row>
    <row r="24" spans="2:36" ht="15.75" thickBot="1" x14ac:dyDescent="0.3">
      <c r="W24" t="s">
        <v>564</v>
      </c>
    </row>
    <row r="25" spans="2:36" ht="15.75" thickTop="1" x14ac:dyDescent="0.25">
      <c r="B25" s="334"/>
      <c r="C25" s="335">
        <f>'Cash flow'!N3</f>
        <v>43922</v>
      </c>
      <c r="D25" s="335">
        <f>'Cash flow'!O3</f>
        <v>43952</v>
      </c>
      <c r="E25" s="335">
        <f>'Cash flow'!P3</f>
        <v>43983</v>
      </c>
      <c r="F25" s="335">
        <f>'Cash flow'!Q3</f>
        <v>44013</v>
      </c>
      <c r="G25" s="335">
        <f>'Cash flow'!R3</f>
        <v>44044</v>
      </c>
      <c r="H25" s="335">
        <f>'Cash flow'!S3</f>
        <v>44075</v>
      </c>
      <c r="I25" s="335">
        <f>'Cash flow'!T3</f>
        <v>44105</v>
      </c>
      <c r="J25" s="335">
        <f>'Cash flow'!U3</f>
        <v>44136</v>
      </c>
      <c r="K25" s="335">
        <f>'Cash flow'!V3</f>
        <v>44166</v>
      </c>
      <c r="L25" s="335">
        <f>'Cash flow'!W3</f>
        <v>44197</v>
      </c>
      <c r="M25" s="335">
        <f>'Cash flow'!X3</f>
        <v>44228</v>
      </c>
      <c r="N25" s="335">
        <f>'Cash flow'!Y3</f>
        <v>44256</v>
      </c>
      <c r="O25" s="335">
        <f>'Cash flow'!Z3</f>
        <v>44287</v>
      </c>
      <c r="P25" s="335">
        <f>'Cash flow'!AA3</f>
        <v>44317</v>
      </c>
      <c r="Q25" s="335">
        <f>'Cash flow'!AB3</f>
        <v>44348</v>
      </c>
      <c r="R25" s="335">
        <f>'Cash flow'!AC3</f>
        <v>44378</v>
      </c>
      <c r="S25" s="335">
        <f>'Cash flow'!AD3</f>
        <v>44409</v>
      </c>
      <c r="T25" s="335">
        <f>'Cash flow'!AE3</f>
        <v>44440</v>
      </c>
      <c r="U25" s="335">
        <f>'Cash flow'!AF3</f>
        <v>44470</v>
      </c>
      <c r="V25" s="335">
        <f>'Cash flow'!AG3</f>
        <v>44501</v>
      </c>
      <c r="W25" s="336">
        <f>'Cash flow'!AH3</f>
        <v>44531</v>
      </c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325"/>
    </row>
    <row r="26" spans="2:36" x14ac:dyDescent="0.25">
      <c r="B26" s="337" t="s">
        <v>551</v>
      </c>
      <c r="C26" s="338"/>
      <c r="D26" s="338">
        <f>-(K5+K8+K9)-5000</f>
        <v>-6331.9400000000005</v>
      </c>
      <c r="E26" s="338">
        <f>(K23+D26)/-19</f>
        <v>-826.97815884383078</v>
      </c>
      <c r="F26" s="338">
        <f>E26</f>
        <v>-826.97815884383078</v>
      </c>
      <c r="G26" s="338">
        <f t="shared" ref="G26:W26" si="7">F26</f>
        <v>-826.97815884383078</v>
      </c>
      <c r="H26" s="338">
        <f t="shared" si="7"/>
        <v>-826.97815884383078</v>
      </c>
      <c r="I26" s="338">
        <f t="shared" si="7"/>
        <v>-826.97815884383078</v>
      </c>
      <c r="J26" s="338">
        <f t="shared" si="7"/>
        <v>-826.97815884383078</v>
      </c>
      <c r="K26" s="338">
        <f t="shared" si="7"/>
        <v>-826.97815884383078</v>
      </c>
      <c r="L26" s="338">
        <f t="shared" si="7"/>
        <v>-826.97815884383078</v>
      </c>
      <c r="M26" s="338">
        <f t="shared" si="7"/>
        <v>-826.97815884383078</v>
      </c>
      <c r="N26" s="338">
        <f t="shared" si="7"/>
        <v>-826.97815884383078</v>
      </c>
      <c r="O26" s="338">
        <f t="shared" si="7"/>
        <v>-826.97815884383078</v>
      </c>
      <c r="P26" s="338">
        <f t="shared" si="7"/>
        <v>-826.97815884383078</v>
      </c>
      <c r="Q26" s="338">
        <f t="shared" si="7"/>
        <v>-826.97815884383078</v>
      </c>
      <c r="R26" s="338">
        <f t="shared" si="7"/>
        <v>-826.97815884383078</v>
      </c>
      <c r="S26" s="338">
        <f t="shared" si="7"/>
        <v>-826.97815884383078</v>
      </c>
      <c r="T26" s="338">
        <f t="shared" si="7"/>
        <v>-826.97815884383078</v>
      </c>
      <c r="U26" s="338">
        <f t="shared" si="7"/>
        <v>-826.97815884383078</v>
      </c>
      <c r="V26" s="338">
        <f t="shared" si="7"/>
        <v>-826.97815884383078</v>
      </c>
      <c r="W26" s="339">
        <f t="shared" si="7"/>
        <v>-826.97815884383078</v>
      </c>
      <c r="X26" s="327"/>
      <c r="Y26" s="327"/>
      <c r="Z26" s="327"/>
      <c r="AA26" s="327"/>
      <c r="AB26" s="327"/>
      <c r="AC26" s="327"/>
      <c r="AD26" s="327"/>
      <c r="AE26" s="327"/>
      <c r="AF26" s="327"/>
      <c r="AG26" s="327"/>
      <c r="AH26" s="327"/>
      <c r="AI26" s="327"/>
    </row>
    <row r="27" spans="2:36" x14ac:dyDescent="0.25">
      <c r="B27" s="337" t="s">
        <v>553</v>
      </c>
      <c r="C27" s="338"/>
      <c r="D27" s="340">
        <f>P14</f>
        <v>-2594.6021505376343</v>
      </c>
      <c r="E27" s="338">
        <f>D27</f>
        <v>-2594.6021505376343</v>
      </c>
      <c r="F27" s="338">
        <f t="shared" ref="F27:W27" si="8">E27</f>
        <v>-2594.6021505376343</v>
      </c>
      <c r="G27" s="338">
        <f t="shared" si="8"/>
        <v>-2594.6021505376343</v>
      </c>
      <c r="H27" s="338">
        <f t="shared" si="8"/>
        <v>-2594.6021505376343</v>
      </c>
      <c r="I27" s="338">
        <f t="shared" si="8"/>
        <v>-2594.6021505376343</v>
      </c>
      <c r="J27" s="338">
        <f t="shared" si="8"/>
        <v>-2594.6021505376343</v>
      </c>
      <c r="K27" s="338">
        <f t="shared" si="8"/>
        <v>-2594.6021505376343</v>
      </c>
      <c r="L27" s="338">
        <f t="shared" si="8"/>
        <v>-2594.6021505376343</v>
      </c>
      <c r="M27" s="338">
        <f t="shared" si="8"/>
        <v>-2594.6021505376343</v>
      </c>
      <c r="N27" s="338">
        <f t="shared" si="8"/>
        <v>-2594.6021505376343</v>
      </c>
      <c r="O27" s="338">
        <f t="shared" si="8"/>
        <v>-2594.6021505376343</v>
      </c>
      <c r="P27" s="338">
        <f t="shared" si="8"/>
        <v>-2594.6021505376343</v>
      </c>
      <c r="Q27" s="338">
        <f t="shared" si="8"/>
        <v>-2594.6021505376343</v>
      </c>
      <c r="R27" s="338">
        <f t="shared" si="8"/>
        <v>-2594.6021505376343</v>
      </c>
      <c r="S27" s="338">
        <f t="shared" si="8"/>
        <v>-2594.6021505376343</v>
      </c>
      <c r="T27" s="338">
        <f t="shared" si="8"/>
        <v>-2594.6021505376343</v>
      </c>
      <c r="U27" s="338">
        <f t="shared" si="8"/>
        <v>-2594.6021505376343</v>
      </c>
      <c r="V27" s="338">
        <f t="shared" si="8"/>
        <v>-2594.6021505376343</v>
      </c>
      <c r="W27" s="339">
        <f t="shared" si="8"/>
        <v>-2594.6021505376343</v>
      </c>
      <c r="X27" s="327"/>
      <c r="Y27" s="327"/>
      <c r="Z27" s="327"/>
      <c r="AA27" s="327"/>
      <c r="AB27" s="327"/>
      <c r="AC27" s="327"/>
      <c r="AD27" s="327"/>
      <c r="AE27" s="327"/>
      <c r="AF27" s="327"/>
      <c r="AG27" s="327"/>
      <c r="AH27" s="327"/>
      <c r="AI27" s="327"/>
    </row>
    <row r="28" spans="2:36" ht="15.75" thickBot="1" x14ac:dyDescent="0.3">
      <c r="B28" s="341" t="s">
        <v>92</v>
      </c>
      <c r="C28" s="342"/>
      <c r="D28" s="343">
        <f>D26+D27</f>
        <v>-8926.5421505376344</v>
      </c>
      <c r="E28" s="343">
        <f t="shared" ref="E28:W28" si="9">E26+E27</f>
        <v>-3421.5803093814652</v>
      </c>
      <c r="F28" s="343">
        <f t="shared" si="9"/>
        <v>-3421.5803093814652</v>
      </c>
      <c r="G28" s="343">
        <f t="shared" si="9"/>
        <v>-3421.5803093814652</v>
      </c>
      <c r="H28" s="343">
        <f t="shared" si="9"/>
        <v>-3421.5803093814652</v>
      </c>
      <c r="I28" s="343">
        <f t="shared" si="9"/>
        <v>-3421.5803093814652</v>
      </c>
      <c r="J28" s="343">
        <f t="shared" si="9"/>
        <v>-3421.5803093814652</v>
      </c>
      <c r="K28" s="343">
        <f t="shared" si="9"/>
        <v>-3421.5803093814652</v>
      </c>
      <c r="L28" s="343">
        <f t="shared" si="9"/>
        <v>-3421.5803093814652</v>
      </c>
      <c r="M28" s="343">
        <f t="shared" si="9"/>
        <v>-3421.5803093814652</v>
      </c>
      <c r="N28" s="343">
        <f t="shared" si="9"/>
        <v>-3421.5803093814652</v>
      </c>
      <c r="O28" s="343">
        <f t="shared" si="9"/>
        <v>-3421.5803093814652</v>
      </c>
      <c r="P28" s="343">
        <f t="shared" si="9"/>
        <v>-3421.5803093814652</v>
      </c>
      <c r="Q28" s="343">
        <f t="shared" si="9"/>
        <v>-3421.5803093814652</v>
      </c>
      <c r="R28" s="343">
        <f t="shared" si="9"/>
        <v>-3421.5803093814652</v>
      </c>
      <c r="S28" s="343">
        <f t="shared" si="9"/>
        <v>-3421.5803093814652</v>
      </c>
      <c r="T28" s="343">
        <f t="shared" si="9"/>
        <v>-3421.5803093814652</v>
      </c>
      <c r="U28" s="343">
        <f t="shared" si="9"/>
        <v>-3421.5803093814652</v>
      </c>
      <c r="V28" s="343">
        <f t="shared" si="9"/>
        <v>-3421.5803093814652</v>
      </c>
      <c r="W28" s="344">
        <f t="shared" si="9"/>
        <v>-3421.5803093814652</v>
      </c>
    </row>
    <row r="29" spans="2:36" ht="15.75" thickTop="1" x14ac:dyDescent="0.25"/>
    <row r="30" spans="2:36" ht="15.75" thickBot="1" x14ac:dyDescent="0.3">
      <c r="D30" s="1" t="s">
        <v>569</v>
      </c>
      <c r="P30">
        <v>16500</v>
      </c>
      <c r="R30">
        <f>P30/7</f>
        <v>2357.1428571428573</v>
      </c>
    </row>
    <row r="31" spans="2:36" ht="15.75" thickTop="1" x14ac:dyDescent="0.25">
      <c r="C31" s="334"/>
      <c r="D31" s="335">
        <v>43952</v>
      </c>
      <c r="E31" s="335">
        <v>43983</v>
      </c>
      <c r="F31" s="335">
        <v>44013</v>
      </c>
      <c r="G31" s="335">
        <v>44044</v>
      </c>
      <c r="H31" s="335">
        <v>44075</v>
      </c>
      <c r="I31" s="335">
        <v>44105</v>
      </c>
      <c r="J31" s="335">
        <v>44136</v>
      </c>
      <c r="K31" s="335">
        <v>44166</v>
      </c>
      <c r="L31" s="336">
        <v>44197</v>
      </c>
      <c r="O31" t="s">
        <v>552</v>
      </c>
    </row>
    <row r="32" spans="2:36" x14ac:dyDescent="0.25">
      <c r="C32" s="337"/>
      <c r="D32" s="378">
        <v>-1500</v>
      </c>
      <c r="E32" s="378"/>
      <c r="F32" s="378"/>
      <c r="G32" s="378">
        <v>-3000</v>
      </c>
      <c r="H32" s="378"/>
      <c r="I32" s="378"/>
      <c r="J32" s="378"/>
      <c r="K32" s="378"/>
      <c r="L32" s="379">
        <v>-3000</v>
      </c>
      <c r="N32" s="53">
        <v>43952</v>
      </c>
      <c r="O32" s="394">
        <f>6000-(F5+F8+F9)</f>
        <v>4668.0599999999995</v>
      </c>
      <c r="P32" s="240">
        <f>P30/20</f>
        <v>825</v>
      </c>
      <c r="Q32" s="393">
        <f>O32+P32</f>
        <v>5493.0599999999995</v>
      </c>
    </row>
    <row r="33" spans="3:17" x14ac:dyDescent="0.25">
      <c r="C33" s="337"/>
      <c r="D33" s="378">
        <f>-D26</f>
        <v>6331.9400000000005</v>
      </c>
      <c r="E33" s="378">
        <f t="shared" ref="E33:L33" si="10">-E26</f>
        <v>826.97815884383078</v>
      </c>
      <c r="F33" s="378">
        <f t="shared" si="10"/>
        <v>826.97815884383078</v>
      </c>
      <c r="G33" s="378">
        <f t="shared" si="10"/>
        <v>826.97815884383078</v>
      </c>
      <c r="H33" s="378">
        <f t="shared" si="10"/>
        <v>826.97815884383078</v>
      </c>
      <c r="I33" s="378">
        <f t="shared" si="10"/>
        <v>826.97815884383078</v>
      </c>
      <c r="J33" s="378">
        <f t="shared" si="10"/>
        <v>826.97815884383078</v>
      </c>
      <c r="K33" s="378">
        <f t="shared" si="10"/>
        <v>826.97815884383078</v>
      </c>
      <c r="L33" s="379">
        <f t="shared" si="10"/>
        <v>826.97815884383078</v>
      </c>
      <c r="N33" s="53">
        <v>43983</v>
      </c>
      <c r="O33" s="394">
        <f>(K23-O32)/10</f>
        <v>1737.6465018032789</v>
      </c>
      <c r="P33" s="240">
        <f>P32</f>
        <v>825</v>
      </c>
      <c r="Q33" s="393">
        <f t="shared" ref="Q33:Q51" si="11">O33+P33</f>
        <v>2562.6465018032786</v>
      </c>
    </row>
    <row r="34" spans="3:17" x14ac:dyDescent="0.25">
      <c r="C34" s="337"/>
      <c r="D34" s="378">
        <v>542</v>
      </c>
      <c r="E34" s="378">
        <v>542</v>
      </c>
      <c r="F34" s="378">
        <v>542</v>
      </c>
      <c r="G34" s="378">
        <v>542</v>
      </c>
      <c r="H34" s="378">
        <v>542</v>
      </c>
      <c r="I34" s="378">
        <v>542</v>
      </c>
      <c r="J34" s="378">
        <v>542</v>
      </c>
      <c r="K34" s="378">
        <v>542</v>
      </c>
      <c r="L34" s="379">
        <v>542</v>
      </c>
      <c r="N34" s="53">
        <v>44013</v>
      </c>
      <c r="O34" s="394">
        <f>O33</f>
        <v>1737.6465018032789</v>
      </c>
      <c r="P34" s="240">
        <f t="shared" ref="P34:P51" si="12">P33</f>
        <v>825</v>
      </c>
      <c r="Q34" s="393">
        <f t="shared" si="11"/>
        <v>2562.6465018032786</v>
      </c>
    </row>
    <row r="35" spans="3:17" ht="15.75" thickBot="1" x14ac:dyDescent="0.3">
      <c r="C35" s="341" t="s">
        <v>572</v>
      </c>
      <c r="D35" s="380">
        <f ca="1">SUM(D32:D35)</f>
        <v>5373.9400000000005</v>
      </c>
      <c r="E35" s="380">
        <f ca="1">SUM($D$32:E35)</f>
        <v>6763.018222893299</v>
      </c>
      <c r="F35" s="380">
        <f ca="1">SUM($D$32:F35)</f>
        <v>8152.0964457865975</v>
      </c>
      <c r="G35" s="380">
        <f ca="1">SUM($D$32:G35)</f>
        <v>6541.174668679897</v>
      </c>
      <c r="H35" s="380">
        <f ca="1">SUM($D$32:H35)</f>
        <v>7930.2528915731955</v>
      </c>
      <c r="I35" s="380">
        <f ca="1">SUM($D$32:I35)</f>
        <v>9319.3311144664949</v>
      </c>
      <c r="J35" s="380">
        <f ca="1">SUM($D$32:J35)</f>
        <v>10708.409337359793</v>
      </c>
      <c r="K35" s="380">
        <f ca="1">SUM($D$32:K35)</f>
        <v>12097.487560253092</v>
      </c>
      <c r="L35" s="381">
        <f ca="1">SUM($D$32:L35)</f>
        <v>10486.56578314639</v>
      </c>
      <c r="N35" s="53">
        <v>44044</v>
      </c>
      <c r="O35" s="394">
        <f t="shared" ref="O35:O42" si="13">O34</f>
        <v>1737.6465018032789</v>
      </c>
      <c r="P35" s="240">
        <f t="shared" si="12"/>
        <v>825</v>
      </c>
      <c r="Q35" s="393">
        <f t="shared" si="11"/>
        <v>2562.6465018032786</v>
      </c>
    </row>
    <row r="36" spans="3:17" ht="15.75" thickTop="1" x14ac:dyDescent="0.25">
      <c r="N36" s="53">
        <v>44075</v>
      </c>
      <c r="O36" s="394">
        <f t="shared" si="13"/>
        <v>1737.6465018032789</v>
      </c>
      <c r="P36" s="240">
        <f t="shared" si="12"/>
        <v>825</v>
      </c>
      <c r="Q36" s="393">
        <f t="shared" si="11"/>
        <v>2562.6465018032786</v>
      </c>
    </row>
    <row r="37" spans="3:17" x14ac:dyDescent="0.25">
      <c r="D37" s="12"/>
      <c r="N37" s="53">
        <v>44105</v>
      </c>
      <c r="O37" s="394">
        <f t="shared" si="13"/>
        <v>1737.6465018032789</v>
      </c>
      <c r="P37" s="240">
        <f t="shared" si="12"/>
        <v>825</v>
      </c>
      <c r="Q37" s="393">
        <f t="shared" si="11"/>
        <v>2562.6465018032786</v>
      </c>
    </row>
    <row r="38" spans="3:17" x14ac:dyDescent="0.25">
      <c r="N38" s="53">
        <v>44136</v>
      </c>
      <c r="O38" s="394">
        <f t="shared" si="13"/>
        <v>1737.6465018032789</v>
      </c>
      <c r="P38" s="240">
        <f t="shared" si="12"/>
        <v>825</v>
      </c>
      <c r="Q38" s="393">
        <f t="shared" si="11"/>
        <v>2562.6465018032786</v>
      </c>
    </row>
    <row r="39" spans="3:17" x14ac:dyDescent="0.25">
      <c r="N39" s="53">
        <v>44166</v>
      </c>
      <c r="O39" s="394">
        <f t="shared" si="13"/>
        <v>1737.6465018032789</v>
      </c>
      <c r="P39" s="240">
        <f t="shared" si="12"/>
        <v>825</v>
      </c>
      <c r="Q39" s="393">
        <f t="shared" si="11"/>
        <v>2562.6465018032786</v>
      </c>
    </row>
    <row r="40" spans="3:17" x14ac:dyDescent="0.25">
      <c r="N40" s="53">
        <v>44197</v>
      </c>
      <c r="O40" s="394">
        <f t="shared" si="13"/>
        <v>1737.6465018032789</v>
      </c>
      <c r="P40" s="240">
        <f t="shared" si="12"/>
        <v>825</v>
      </c>
      <c r="Q40" s="393">
        <f t="shared" si="11"/>
        <v>2562.6465018032786</v>
      </c>
    </row>
    <row r="41" spans="3:17" x14ac:dyDescent="0.25">
      <c r="N41" s="53">
        <v>44228</v>
      </c>
      <c r="O41" s="394">
        <f t="shared" si="13"/>
        <v>1737.6465018032789</v>
      </c>
      <c r="P41" s="240">
        <f t="shared" si="12"/>
        <v>825</v>
      </c>
      <c r="Q41" s="393">
        <f t="shared" si="11"/>
        <v>2562.6465018032786</v>
      </c>
    </row>
    <row r="42" spans="3:17" x14ac:dyDescent="0.25">
      <c r="N42" s="53">
        <v>44256</v>
      </c>
      <c r="O42" s="394">
        <f t="shared" si="13"/>
        <v>1737.6465018032789</v>
      </c>
      <c r="P42" s="240">
        <f t="shared" si="12"/>
        <v>825</v>
      </c>
      <c r="Q42" s="393">
        <f t="shared" si="11"/>
        <v>2562.6465018032786</v>
      </c>
    </row>
    <row r="43" spans="3:17" x14ac:dyDescent="0.25">
      <c r="N43" s="53">
        <v>44287</v>
      </c>
      <c r="P43" s="240">
        <f t="shared" si="12"/>
        <v>825</v>
      </c>
      <c r="Q43" s="393">
        <f t="shared" si="11"/>
        <v>825</v>
      </c>
    </row>
    <row r="44" spans="3:17" x14ac:dyDescent="0.25">
      <c r="N44" s="53">
        <v>44317</v>
      </c>
      <c r="P44" s="240">
        <f t="shared" si="12"/>
        <v>825</v>
      </c>
      <c r="Q44" s="393">
        <f t="shared" si="11"/>
        <v>825</v>
      </c>
    </row>
    <row r="45" spans="3:17" x14ac:dyDescent="0.25">
      <c r="N45" s="53">
        <v>44348</v>
      </c>
      <c r="P45" s="240">
        <f t="shared" si="12"/>
        <v>825</v>
      </c>
      <c r="Q45" s="393">
        <f t="shared" si="11"/>
        <v>825</v>
      </c>
    </row>
    <row r="46" spans="3:17" x14ac:dyDescent="0.25">
      <c r="N46" s="53">
        <v>44378</v>
      </c>
      <c r="P46" s="240">
        <f t="shared" si="12"/>
        <v>825</v>
      </c>
      <c r="Q46" s="393">
        <f t="shared" si="11"/>
        <v>825</v>
      </c>
    </row>
    <row r="47" spans="3:17" x14ac:dyDescent="0.25">
      <c r="N47" s="53">
        <v>44409</v>
      </c>
      <c r="P47" s="240">
        <f t="shared" si="12"/>
        <v>825</v>
      </c>
      <c r="Q47" s="393">
        <f t="shared" si="11"/>
        <v>825</v>
      </c>
    </row>
    <row r="48" spans="3:17" x14ac:dyDescent="0.25">
      <c r="N48" s="53">
        <v>44440</v>
      </c>
      <c r="P48" s="240">
        <f t="shared" si="12"/>
        <v>825</v>
      </c>
      <c r="Q48" s="393">
        <f t="shared" si="11"/>
        <v>825</v>
      </c>
    </row>
    <row r="49" spans="14:17" x14ac:dyDescent="0.25">
      <c r="N49" s="53">
        <v>44470</v>
      </c>
      <c r="P49" s="240">
        <f t="shared" si="12"/>
        <v>825</v>
      </c>
      <c r="Q49" s="393">
        <f t="shared" si="11"/>
        <v>825</v>
      </c>
    </row>
    <row r="50" spans="14:17" x14ac:dyDescent="0.25">
      <c r="N50" s="53">
        <v>44501</v>
      </c>
      <c r="P50" s="240">
        <f t="shared" si="12"/>
        <v>825</v>
      </c>
      <c r="Q50" s="393">
        <f t="shared" si="11"/>
        <v>825</v>
      </c>
    </row>
    <row r="51" spans="14:17" x14ac:dyDescent="0.25">
      <c r="N51" s="53">
        <v>44531</v>
      </c>
      <c r="P51" s="240">
        <f t="shared" si="12"/>
        <v>825</v>
      </c>
      <c r="Q51" s="393">
        <f t="shared" si="11"/>
        <v>825</v>
      </c>
    </row>
  </sheetData>
  <mergeCells count="2">
    <mergeCell ref="S4:V4"/>
    <mergeCell ref="B3:K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28DD6-80A0-421B-A700-1E17979FECCC}">
  <sheetPr>
    <tabColor theme="8" tint="0.79998168889431442"/>
  </sheetPr>
  <dimension ref="B1:I21"/>
  <sheetViews>
    <sheetView workbookViewId="0">
      <selection activeCell="B1" sqref="B1"/>
    </sheetView>
  </sheetViews>
  <sheetFormatPr defaultRowHeight="15" x14ac:dyDescent="0.25"/>
  <cols>
    <col min="3" max="3" width="15" customWidth="1"/>
    <col min="4" max="4" width="8.7109375" style="1"/>
    <col min="7" max="7" width="8.7109375" style="51"/>
  </cols>
  <sheetData>
    <row r="1" spans="2:9" x14ac:dyDescent="0.25">
      <c r="F1" t="s">
        <v>312</v>
      </c>
      <c r="G1" s="51">
        <f>SUMIFS(D:D,B:B,F1)</f>
        <v>1.5</v>
      </c>
    </row>
    <row r="2" spans="2:9" x14ac:dyDescent="0.25">
      <c r="B2" s="1" t="s">
        <v>294</v>
      </c>
      <c r="C2" s="1" t="s">
        <v>295</v>
      </c>
      <c r="D2" s="1">
        <v>40</v>
      </c>
      <c r="F2" s="231" t="s">
        <v>294</v>
      </c>
      <c r="G2" s="51">
        <f>SUMIFS(D:D,B:B,F2)</f>
        <v>49.833333333333329</v>
      </c>
      <c r="H2" s="231"/>
      <c r="I2" s="51">
        <f>G4/2-G2</f>
        <v>0.2916666666666714</v>
      </c>
    </row>
    <row r="3" spans="2:9" x14ac:dyDescent="0.25">
      <c r="B3" s="1" t="s">
        <v>294</v>
      </c>
      <c r="C3" s="1" t="s">
        <v>310</v>
      </c>
      <c r="D3" s="1">
        <v>5</v>
      </c>
      <c r="F3" s="231" t="s">
        <v>296</v>
      </c>
      <c r="G3" s="51">
        <f>SUMIFS(D:D,B:B,F3)</f>
        <v>48.916666666666664</v>
      </c>
      <c r="H3" s="231"/>
    </row>
    <row r="4" spans="2:9" x14ac:dyDescent="0.25">
      <c r="B4" s="1" t="s">
        <v>296</v>
      </c>
      <c r="C4" s="1" t="s">
        <v>297</v>
      </c>
      <c r="D4" s="1">
        <f>45/60*7</f>
        <v>5.25</v>
      </c>
      <c r="G4" s="51">
        <f>SUM(G1:G3)</f>
        <v>100.25</v>
      </c>
    </row>
    <row r="5" spans="2:9" x14ac:dyDescent="0.25">
      <c r="B5" s="1" t="s">
        <v>296</v>
      </c>
      <c r="C5" s="1" t="s">
        <v>295</v>
      </c>
      <c r="D5" s="1">
        <v>3.5</v>
      </c>
    </row>
    <row r="6" spans="2:9" x14ac:dyDescent="0.25">
      <c r="B6" s="1" t="s">
        <v>294</v>
      </c>
      <c r="C6" s="1" t="s">
        <v>298</v>
      </c>
      <c r="D6" s="232">
        <f>10/60*7+15/60</f>
        <v>1.4166666666666665</v>
      </c>
    </row>
    <row r="7" spans="2:9" x14ac:dyDescent="0.25">
      <c r="B7" s="1" t="s">
        <v>294</v>
      </c>
      <c r="C7" s="1" t="s">
        <v>299</v>
      </c>
      <c r="D7" s="1">
        <f>0.5*3</f>
        <v>1.5</v>
      </c>
    </row>
    <row r="8" spans="2:9" x14ac:dyDescent="0.25">
      <c r="B8" s="1" t="s">
        <v>296</v>
      </c>
      <c r="C8" s="1" t="s">
        <v>309</v>
      </c>
      <c r="D8" s="1">
        <v>0.5</v>
      </c>
    </row>
    <row r="9" spans="2:9" x14ac:dyDescent="0.25">
      <c r="B9" s="1" t="s">
        <v>296</v>
      </c>
      <c r="C9" s="1" t="s">
        <v>300</v>
      </c>
      <c r="D9" s="1">
        <v>0.5</v>
      </c>
    </row>
    <row r="10" spans="2:9" x14ac:dyDescent="0.25">
      <c r="B10" s="1" t="s">
        <v>294</v>
      </c>
      <c r="C10" s="1" t="s">
        <v>301</v>
      </c>
      <c r="D10" s="1">
        <v>0.5</v>
      </c>
    </row>
    <row r="11" spans="2:9" x14ac:dyDescent="0.25">
      <c r="B11" s="1" t="s">
        <v>296</v>
      </c>
      <c r="C11" s="1" t="s">
        <v>302</v>
      </c>
      <c r="D11" s="1">
        <v>0.5</v>
      </c>
    </row>
    <row r="12" spans="2:9" x14ac:dyDescent="0.25">
      <c r="B12" s="1" t="s">
        <v>296</v>
      </c>
      <c r="C12" s="1" t="s">
        <v>303</v>
      </c>
      <c r="D12" s="232">
        <f>20/60*2</f>
        <v>0.66666666666666663</v>
      </c>
    </row>
    <row r="13" spans="2:9" x14ac:dyDescent="0.25">
      <c r="B13" s="1" t="s">
        <v>294</v>
      </c>
      <c r="C13" s="1" t="s">
        <v>313</v>
      </c>
      <c r="D13" s="232">
        <f>(30+45)/60/3</f>
        <v>0.41666666666666669</v>
      </c>
    </row>
    <row r="14" spans="2:9" x14ac:dyDescent="0.25">
      <c r="B14" s="1" t="s">
        <v>312</v>
      </c>
      <c r="C14" s="1" t="s">
        <v>314</v>
      </c>
      <c r="D14" s="232">
        <f>30/60</f>
        <v>0.5</v>
      </c>
      <c r="F14" s="233"/>
    </row>
    <row r="15" spans="2:9" x14ac:dyDescent="0.25">
      <c r="B15" s="1" t="s">
        <v>294</v>
      </c>
      <c r="C15" s="1" t="s">
        <v>304</v>
      </c>
      <c r="D15" s="1">
        <v>1</v>
      </c>
    </row>
    <row r="16" spans="2:9" x14ac:dyDescent="0.25">
      <c r="B16" s="1" t="s">
        <v>296</v>
      </c>
      <c r="C16" s="1" t="s">
        <v>305</v>
      </c>
      <c r="D16" s="1">
        <v>0.5</v>
      </c>
    </row>
    <row r="17" spans="2:5" x14ac:dyDescent="0.25">
      <c r="B17" s="1" t="s">
        <v>312</v>
      </c>
      <c r="C17" s="1" t="s">
        <v>311</v>
      </c>
      <c r="D17" s="1">
        <f>1</f>
        <v>1</v>
      </c>
      <c r="E17" t="s">
        <v>308</v>
      </c>
    </row>
    <row r="18" spans="2:5" x14ac:dyDescent="0.25">
      <c r="B18" s="1" t="s">
        <v>296</v>
      </c>
      <c r="C18" s="1" t="s">
        <v>306</v>
      </c>
      <c r="E18">
        <v>5</v>
      </c>
    </row>
    <row r="19" spans="2:5" x14ac:dyDescent="0.25">
      <c r="B19" s="1" t="s">
        <v>296</v>
      </c>
      <c r="C19" s="1" t="s">
        <v>310</v>
      </c>
      <c r="D19" s="1">
        <f>1.5*5</f>
        <v>7.5</v>
      </c>
      <c r="E19">
        <v>3</v>
      </c>
    </row>
    <row r="20" spans="2:5" x14ac:dyDescent="0.25">
      <c r="B20" s="1" t="s">
        <v>296</v>
      </c>
      <c r="C20" s="1" t="s">
        <v>307</v>
      </c>
      <c r="E20">
        <v>15</v>
      </c>
    </row>
    <row r="21" spans="2:5" x14ac:dyDescent="0.25">
      <c r="B21" s="1" t="s">
        <v>296</v>
      </c>
      <c r="C21" s="1" t="s">
        <v>295</v>
      </c>
      <c r="D21" s="1"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F93D4-7F99-464A-901F-297D3781FE18}">
  <sheetPr>
    <tabColor rgb="FFCC99FF"/>
  </sheetPr>
  <dimension ref="A2:GV62"/>
  <sheetViews>
    <sheetView topLeftCell="L1" zoomScale="115" zoomScaleNormal="115" workbookViewId="0">
      <selection activeCell="Q3" sqref="Q3"/>
    </sheetView>
  </sheetViews>
  <sheetFormatPr defaultColWidth="8.7109375" defaultRowHeight="15" x14ac:dyDescent="0.25"/>
  <cols>
    <col min="1" max="1" width="8.7109375" style="166"/>
    <col min="2" max="2" width="10.5703125" style="168" customWidth="1"/>
    <col min="3" max="3" width="8.7109375" style="168"/>
    <col min="4" max="4" width="9.140625" style="166" customWidth="1"/>
    <col min="5" max="5" width="10.42578125" style="166" customWidth="1"/>
    <col min="6" max="6" width="9.85546875" style="166" customWidth="1"/>
    <col min="7" max="8" width="10" style="166" customWidth="1"/>
    <col min="9" max="9" width="10.140625" style="166" bestFit="1" customWidth="1"/>
    <col min="10" max="13" width="9.85546875" style="166" bestFit="1" customWidth="1"/>
    <col min="14" max="14" width="12.7109375" style="166" customWidth="1"/>
    <col min="15" max="15" width="11.5703125" style="166" customWidth="1"/>
    <col min="16" max="16" width="10.42578125" style="166" customWidth="1"/>
    <col min="17" max="17" width="11.42578125" style="166" customWidth="1"/>
    <col min="18" max="18" width="9.85546875" style="166" customWidth="1"/>
    <col min="19" max="20" width="8.7109375" style="166"/>
    <col min="21" max="21" width="12" style="166" bestFit="1" customWidth="1"/>
    <col min="22" max="22" width="8.7109375" style="166"/>
    <col min="23" max="23" width="9.85546875" style="166" customWidth="1"/>
    <col min="24" max="16384" width="8.7109375" style="166"/>
  </cols>
  <sheetData>
    <row r="2" spans="1:204" x14ac:dyDescent="0.25">
      <c r="C2" s="166" t="s">
        <v>66</v>
      </c>
      <c r="D2" s="178">
        <f>'Cash flow'!B31</f>
        <v>17985.859477163733</v>
      </c>
      <c r="E2" s="178">
        <f>'Cash flow'!C31</f>
        <v>14737.052169994709</v>
      </c>
      <c r="F2" s="178">
        <f>'Cash flow'!D31</f>
        <v>11289.397362838183</v>
      </c>
      <c r="G2" s="178">
        <f>'Cash flow'!E31</f>
        <v>10992.968130010155</v>
      </c>
      <c r="H2" s="178">
        <f>'Cash flow'!F31</f>
        <v>10795.643066721614</v>
      </c>
      <c r="I2" s="178">
        <f>'Cash flow'!G31</f>
        <v>8933.7963738540202</v>
      </c>
      <c r="J2" s="178">
        <f>'Cash flow'!H31</f>
        <v>8601.5048204934337</v>
      </c>
      <c r="K2" s="178">
        <f>'Cash flow'!I31</f>
        <v>7583.7916374700271</v>
      </c>
      <c r="L2" s="178">
        <f>'Cash flow'!J31</f>
        <v>8939.3642248420347</v>
      </c>
      <c r="M2" s="178">
        <f>'Cash flow'!K31</f>
        <v>7943.7500684138531</v>
      </c>
      <c r="N2" s="178">
        <f>'Cash flow'!L31</f>
        <v>10355.084644102206</v>
      </c>
      <c r="O2" s="178">
        <f>'Cash flow'!M31</f>
        <v>9289.6520582448211</v>
      </c>
      <c r="P2" s="178">
        <f>'Cash flow'!N31</f>
        <v>9910.6888364155202</v>
      </c>
      <c r="Q2" s="178">
        <f>'Cash flow'!O31</f>
        <v>14262.304024430501</v>
      </c>
      <c r="R2" s="178">
        <f>'Cash flow'!P31</f>
        <v>14313.810735874282</v>
      </c>
    </row>
    <row r="3" spans="1:204" x14ac:dyDescent="0.25">
      <c r="C3" s="166" t="s">
        <v>111</v>
      </c>
      <c r="D3" s="178">
        <f>'Cash flow'!B47</f>
        <v>-400.12342148116505</v>
      </c>
      <c r="E3" s="178">
        <f>'Cash flow'!C47</f>
        <v>-281.37420719545082</v>
      </c>
      <c r="F3" s="178">
        <f>'Cash flow'!D47</f>
        <v>-112.60250861246877</v>
      </c>
      <c r="G3" s="178">
        <f>'Cash flow'!E47</f>
        <v>216.43021298036524</v>
      </c>
      <c r="H3" s="178">
        <f>'Cash flow'!F47</f>
        <v>407.65024074485518</v>
      </c>
      <c r="I3" s="178">
        <f>'Cash flow'!G47</f>
        <v>441.63993205108864</v>
      </c>
      <c r="J3" s="178">
        <f>'Cash flow'!H47</f>
        <v>923.57403837966558</v>
      </c>
      <c r="K3" s="178">
        <f>'Cash flow'!I47</f>
        <v>1239.7642185764646</v>
      </c>
      <c r="L3" s="178">
        <f>'Cash flow'!J47</f>
        <v>1519.8957274499658</v>
      </c>
      <c r="M3" s="178">
        <f>'Cash flow'!K47</f>
        <v>1958.7937186198487</v>
      </c>
      <c r="N3" s="178">
        <f>'Cash flow'!L47</f>
        <v>1861.0561746139551</v>
      </c>
      <c r="O3" s="178">
        <f>'Cash flow'!M47</f>
        <v>2401.228045381707</v>
      </c>
      <c r="P3" s="178">
        <f>'Cash flow'!N47</f>
        <v>2639.6580548000925</v>
      </c>
      <c r="Q3" s="178">
        <f>'Cash flow'!O47</f>
        <v>2884.8880302682569</v>
      </c>
      <c r="R3" s="178">
        <f>'Cash flow'!P47</f>
        <v>3338.2203368395467</v>
      </c>
    </row>
    <row r="4" spans="1:204" x14ac:dyDescent="0.25">
      <c r="C4" s="166" t="s">
        <v>121</v>
      </c>
      <c r="D4" s="178">
        <f>'Cash flow'!B43</f>
        <v>1152.4877583305924</v>
      </c>
      <c r="E4" s="178">
        <f>'Cash flow'!C43</f>
        <v>1436.7054011877351</v>
      </c>
      <c r="F4" s="178">
        <f>'Cash flow'!D43</f>
        <v>389.55088165241091</v>
      </c>
      <c r="G4" s="178">
        <f>'Cash flow'!E43</f>
        <v>1838.2761159433271</v>
      </c>
      <c r="H4" s="178">
        <f>'Cash flow'!F43</f>
        <v>1995.0966703777613</v>
      </c>
      <c r="I4" s="178">
        <f>'Cash flow'!G43</f>
        <v>765.6860022146725</v>
      </c>
      <c r="J4" s="178">
        <f>'Cash flow'!H43</f>
        <v>1901.6390443939681</v>
      </c>
      <c r="K4" s="178">
        <f>'Cash flow'!I43</f>
        <v>1753.3178466247473</v>
      </c>
      <c r="L4" s="178">
        <f>'Cash flow'!J43</f>
        <v>3702.1685704046449</v>
      </c>
      <c r="M4" s="178">
        <f>'Cash flow'!K43</f>
        <v>4560.7868275382289</v>
      </c>
      <c r="N4" s="178">
        <f>'Cash flow'!L43</f>
        <v>5486.8610662520405</v>
      </c>
      <c r="O4" s="178">
        <f>'Cash flow'!M43</f>
        <v>6467.2242668908038</v>
      </c>
      <c r="P4" s="178">
        <f>'Cash flow'!N43</f>
        <v>6701.5623517971644</v>
      </c>
      <c r="Q4" s="178">
        <f>'Cash flow'!O43</f>
        <v>7453.3307838196351</v>
      </c>
      <c r="R4" s="178">
        <f>'Cash flow'!P43</f>
        <v>6818.0651357679371</v>
      </c>
    </row>
    <row r="5" spans="1:204" s="218" customFormat="1" x14ac:dyDescent="0.25">
      <c r="B5" s="219"/>
      <c r="C5" s="218" t="s">
        <v>272</v>
      </c>
      <c r="D5" s="218">
        <f t="shared" ref="D5:I5" si="0">SUM(D2:D4)</f>
        <v>18738.223814013159</v>
      </c>
      <c r="E5" s="218">
        <f t="shared" si="0"/>
        <v>15892.383363986994</v>
      </c>
      <c r="F5" s="218">
        <f t="shared" si="0"/>
        <v>11566.345735878125</v>
      </c>
      <c r="G5" s="218">
        <f t="shared" si="0"/>
        <v>13047.674458933847</v>
      </c>
      <c r="H5" s="218">
        <f t="shared" si="0"/>
        <v>13198.38997784423</v>
      </c>
      <c r="I5" s="218">
        <f t="shared" si="0"/>
        <v>10141.12230811978</v>
      </c>
      <c r="J5" s="218">
        <f t="shared" ref="J5:K5" si="1">SUM(J2:J4)</f>
        <v>11426.717903267068</v>
      </c>
      <c r="K5" s="218">
        <f t="shared" si="1"/>
        <v>10576.873702671241</v>
      </c>
      <c r="L5" s="218">
        <f t="shared" ref="L5:N5" si="2">SUM(L2:L4)</f>
        <v>14161.428522696646</v>
      </c>
      <c r="M5" s="218">
        <f t="shared" si="2"/>
        <v>14463.330614571929</v>
      </c>
      <c r="N5" s="218">
        <f t="shared" si="2"/>
        <v>17703.001884968202</v>
      </c>
      <c r="O5" s="218">
        <f t="shared" ref="O5" si="3">SUM(O2:O4)</f>
        <v>18158.104370517332</v>
      </c>
      <c r="P5" s="218">
        <f t="shared" ref="P5:Q5" si="4">SUM(P2:P4)</f>
        <v>19251.909243012778</v>
      </c>
      <c r="Q5" s="218">
        <f t="shared" si="4"/>
        <v>24600.522838518391</v>
      </c>
      <c r="R5" s="218">
        <f t="shared" ref="R5" si="5">SUM(R2:R4)</f>
        <v>24470.096208481766</v>
      </c>
    </row>
    <row r="6" spans="1:204" s="220" customFormat="1" x14ac:dyDescent="0.25">
      <c r="B6" s="221"/>
      <c r="C6" s="220" t="s">
        <v>273</v>
      </c>
      <c r="D6" s="222">
        <f t="shared" ref="D6:I6" si="6">SUM(D13:D19)</f>
        <v>7668.62</v>
      </c>
      <c r="E6" s="222">
        <f t="shared" si="6"/>
        <v>9264.82</v>
      </c>
      <c r="F6" s="222">
        <f t="shared" si="6"/>
        <v>6388.74</v>
      </c>
      <c r="G6" s="222">
        <f t="shared" si="6"/>
        <v>7840.78</v>
      </c>
      <c r="H6" s="222">
        <f t="shared" si="6"/>
        <v>9933.9300000000021</v>
      </c>
      <c r="I6" s="222">
        <f t="shared" si="6"/>
        <v>9194.1299999999992</v>
      </c>
      <c r="J6" s="222">
        <f t="shared" ref="J6:K6" si="7">SUM(J13:J19)</f>
        <v>9864.989999999998</v>
      </c>
      <c r="K6" s="222">
        <f t="shared" si="7"/>
        <v>10067.289999999999</v>
      </c>
      <c r="L6" s="222">
        <f t="shared" ref="L6" si="8">SUM(L13:L19)</f>
        <v>13024.44</v>
      </c>
      <c r="M6" s="222">
        <f t="shared" ref="M6:R6" si="9">SUM(M13:M19)</f>
        <v>13439.35</v>
      </c>
      <c r="N6" s="222">
        <f t="shared" si="9"/>
        <v>17395.379999999997</v>
      </c>
      <c r="O6" s="222">
        <f t="shared" si="9"/>
        <v>17958.989999999998</v>
      </c>
      <c r="P6" s="222">
        <f t="shared" si="9"/>
        <v>19007.87</v>
      </c>
      <c r="Q6" s="222">
        <f t="shared" si="9"/>
        <v>23433.969999999998</v>
      </c>
      <c r="R6" s="222">
        <f t="shared" si="9"/>
        <v>23217.14</v>
      </c>
    </row>
    <row r="7" spans="1:204" s="220" customFormat="1" x14ac:dyDescent="0.25">
      <c r="B7" s="221"/>
      <c r="C7" s="220" t="s">
        <v>274</v>
      </c>
      <c r="D7" s="222">
        <f t="shared" ref="D7:I7" si="10">SUM(D23:D28)</f>
        <v>11081.989473684212</v>
      </c>
      <c r="E7" s="222">
        <f t="shared" si="10"/>
        <v>6618.658163265306</v>
      </c>
      <c r="F7" s="222">
        <f t="shared" si="10"/>
        <v>5159.6093750000009</v>
      </c>
      <c r="G7" s="222">
        <f t="shared" si="10"/>
        <v>5188.9055118110246</v>
      </c>
      <c r="H7" s="222">
        <f t="shared" si="10"/>
        <v>3246.4661835748793</v>
      </c>
      <c r="I7" s="222">
        <f t="shared" si="10"/>
        <v>929.00483091787441</v>
      </c>
      <c r="J7" s="222">
        <f t="shared" ref="J7:K7" si="11">SUM(J23:J28)</f>
        <v>1543.7368421052631</v>
      </c>
      <c r="K7" s="222">
        <f t="shared" si="11"/>
        <v>509.58490566037739</v>
      </c>
      <c r="L7" s="222">
        <f t="shared" ref="L7:N7" si="12">SUM(L23:L28)</f>
        <v>1137.2768079800499</v>
      </c>
      <c r="M7" s="222">
        <f t="shared" si="12"/>
        <v>763.43973120537601</v>
      </c>
      <c r="N7" s="222">
        <f t="shared" si="12"/>
        <v>329.90909090909088</v>
      </c>
      <c r="O7" s="222">
        <f>SUM(O23:O28)</f>
        <v>232.59730250481692</v>
      </c>
      <c r="P7" s="222">
        <f>SUM(P23:P28)</f>
        <v>169.19307832422587</v>
      </c>
      <c r="Q7" s="222">
        <f>SUM(Q23:Q28)</f>
        <v>1166.7490636704122</v>
      </c>
      <c r="R7" s="222">
        <f>SUM(R23:R28)</f>
        <v>1380.201465201465</v>
      </c>
    </row>
    <row r="8" spans="1:204" s="218" customFormat="1" x14ac:dyDescent="0.25">
      <c r="B8" s="219"/>
      <c r="C8" s="218" t="s">
        <v>275</v>
      </c>
      <c r="D8" s="218">
        <f t="shared" ref="D8:I8" si="13">SUM(D6:D7)</f>
        <v>18750.609473684213</v>
      </c>
      <c r="E8" s="218">
        <f t="shared" si="13"/>
        <v>15883.478163265307</v>
      </c>
      <c r="F8" s="218">
        <f t="shared" si="13"/>
        <v>11548.349375000002</v>
      </c>
      <c r="G8" s="218">
        <f t="shared" si="13"/>
        <v>13029.685511811025</v>
      </c>
      <c r="H8" s="218">
        <f t="shared" si="13"/>
        <v>13180.396183574881</v>
      </c>
      <c r="I8" s="218">
        <f t="shared" si="13"/>
        <v>10123.134830917874</v>
      </c>
      <c r="J8" s="218">
        <f t="shared" ref="J8:K8" si="14">SUM(J6:J7)</f>
        <v>11408.726842105261</v>
      </c>
      <c r="K8" s="218">
        <f t="shared" si="14"/>
        <v>10576.874905660376</v>
      </c>
      <c r="L8" s="218">
        <f t="shared" ref="L8:N8" si="15">SUM(L6:L7)</f>
        <v>14161.71680798005</v>
      </c>
      <c r="M8" s="218">
        <f t="shared" si="15"/>
        <v>14202.789731205376</v>
      </c>
      <c r="N8" s="218">
        <f t="shared" si="15"/>
        <v>17725.289090909089</v>
      </c>
      <c r="O8" s="218">
        <f t="shared" ref="O8:P8" si="16">SUM(O6:O7)</f>
        <v>18191.587302504813</v>
      </c>
      <c r="P8" s="218">
        <f t="shared" si="16"/>
        <v>19177.063078324223</v>
      </c>
      <c r="Q8" s="218">
        <f t="shared" ref="Q8:R8" si="17">SUM(Q6:Q7)</f>
        <v>24600.719063670411</v>
      </c>
      <c r="R8" s="218">
        <f t="shared" si="17"/>
        <v>24597.341465201465</v>
      </c>
    </row>
    <row r="9" spans="1:204" s="220" customFormat="1" x14ac:dyDescent="0.25">
      <c r="B9" s="221"/>
      <c r="C9" s="220" t="s">
        <v>276</v>
      </c>
      <c r="D9" s="222">
        <f t="shared" ref="D9:I9" si="18">D8-D5</f>
        <v>12.385659671053872</v>
      </c>
      <c r="E9" s="222">
        <f t="shared" si="18"/>
        <v>-8.9052007216869242</v>
      </c>
      <c r="F9" s="222">
        <f t="shared" si="18"/>
        <v>-17.996360878123596</v>
      </c>
      <c r="G9" s="222">
        <f t="shared" si="18"/>
        <v>-17.988947122821628</v>
      </c>
      <c r="H9" s="222">
        <f t="shared" si="18"/>
        <v>-17.993794269348655</v>
      </c>
      <c r="I9" s="222">
        <f t="shared" si="18"/>
        <v>-17.987477201906586</v>
      </c>
      <c r="J9" s="222">
        <f t="shared" ref="J9:K9" si="19">J8-J5</f>
        <v>-17.991061161807011</v>
      </c>
      <c r="K9" s="222">
        <f t="shared" si="19"/>
        <v>1.2029891349811805E-3</v>
      </c>
      <c r="L9" s="222">
        <f t="shared" ref="L9:N9" si="20">L8-L5</f>
        <v>0.28828528340454795</v>
      </c>
      <c r="M9" s="222">
        <f t="shared" si="20"/>
        <v>-260.54088336655332</v>
      </c>
      <c r="N9" s="222">
        <f t="shared" si="20"/>
        <v>22.287205940887361</v>
      </c>
      <c r="O9" s="222">
        <f t="shared" ref="O9:P9" si="21">O8-O5</f>
        <v>33.482931987480697</v>
      </c>
      <c r="P9" s="222">
        <f t="shared" si="21"/>
        <v>-74.846164688555291</v>
      </c>
      <c r="Q9" s="222">
        <f t="shared" ref="Q9:R9" si="22">Q8-Q5</f>
        <v>0.19622515201990609</v>
      </c>
      <c r="R9" s="222">
        <f t="shared" si="22"/>
        <v>127.24525671969968</v>
      </c>
    </row>
    <row r="10" spans="1:204" s="170" customFormat="1" x14ac:dyDescent="0.25">
      <c r="B10" s="171"/>
      <c r="C10" s="171"/>
      <c r="D10" s="170">
        <v>43556</v>
      </c>
      <c r="E10" s="170">
        <v>43586</v>
      </c>
      <c r="F10" s="170">
        <v>43617</v>
      </c>
      <c r="G10" s="170">
        <v>43647</v>
      </c>
      <c r="H10" s="170">
        <v>43678</v>
      </c>
      <c r="I10" s="170">
        <v>43709</v>
      </c>
      <c r="J10" s="170">
        <v>43739</v>
      </c>
      <c r="K10" s="170">
        <v>43770</v>
      </c>
      <c r="L10" s="170">
        <v>43800</v>
      </c>
      <c r="M10" s="170">
        <v>43831</v>
      </c>
      <c r="N10" s="170">
        <v>43862</v>
      </c>
      <c r="O10" s="170">
        <v>43891</v>
      </c>
      <c r="P10" s="170">
        <v>43922</v>
      </c>
      <c r="Q10" s="170">
        <v>43952</v>
      </c>
      <c r="R10" s="170">
        <v>43983</v>
      </c>
      <c r="S10" s="170">
        <v>44013</v>
      </c>
      <c r="T10" s="170">
        <v>44044</v>
      </c>
      <c r="U10" s="170">
        <v>44075</v>
      </c>
      <c r="V10" s="170">
        <v>44105</v>
      </c>
      <c r="W10" s="170">
        <v>44136</v>
      </c>
      <c r="X10" s="170">
        <v>44166</v>
      </c>
      <c r="Y10" s="170">
        <v>44197</v>
      </c>
      <c r="Z10" s="170">
        <v>44228</v>
      </c>
      <c r="AA10" s="170">
        <v>44256</v>
      </c>
      <c r="AB10" s="170">
        <v>44287</v>
      </c>
      <c r="AC10" s="170">
        <v>44317</v>
      </c>
      <c r="AD10" s="170">
        <v>44348</v>
      </c>
      <c r="AE10" s="170">
        <v>44378</v>
      </c>
      <c r="AF10" s="170">
        <v>44409</v>
      </c>
      <c r="AG10" s="170">
        <v>44440</v>
      </c>
      <c r="AH10" s="170">
        <v>44470</v>
      </c>
      <c r="AI10" s="170">
        <v>44501</v>
      </c>
      <c r="AJ10" s="170">
        <v>44531</v>
      </c>
      <c r="AK10" s="170">
        <v>44562</v>
      </c>
      <c r="AL10" s="170">
        <v>44593</v>
      </c>
      <c r="AM10" s="170">
        <v>44621</v>
      </c>
      <c r="AN10" s="170">
        <v>44652</v>
      </c>
      <c r="AO10" s="170">
        <v>44682</v>
      </c>
      <c r="AP10" s="170">
        <v>44713</v>
      </c>
      <c r="AQ10" s="170">
        <v>44743</v>
      </c>
      <c r="AR10" s="170">
        <v>44774</v>
      </c>
      <c r="AS10" s="170">
        <v>44805</v>
      </c>
      <c r="AT10" s="170">
        <v>44835</v>
      </c>
      <c r="AU10" s="170">
        <v>44866</v>
      </c>
      <c r="AV10" s="170">
        <v>44896</v>
      </c>
      <c r="AW10" s="170">
        <v>44927</v>
      </c>
      <c r="AX10" s="170">
        <v>44958</v>
      </c>
      <c r="AY10" s="170">
        <v>44986</v>
      </c>
      <c r="AZ10" s="170">
        <v>45017</v>
      </c>
      <c r="BA10" s="170">
        <v>45047</v>
      </c>
      <c r="BB10" s="170">
        <v>45078</v>
      </c>
      <c r="BC10" s="170">
        <v>45108</v>
      </c>
      <c r="BD10" s="170">
        <v>45139</v>
      </c>
      <c r="BE10" s="170">
        <v>45170</v>
      </c>
      <c r="BF10" s="170">
        <v>45200</v>
      </c>
      <c r="BG10" s="170">
        <v>45231</v>
      </c>
      <c r="BH10" s="170">
        <v>45261</v>
      </c>
      <c r="BI10" s="170">
        <v>45292</v>
      </c>
      <c r="BJ10" s="170">
        <v>45323</v>
      </c>
      <c r="BK10" s="170">
        <v>45352</v>
      </c>
      <c r="BL10" s="170">
        <v>45383</v>
      </c>
      <c r="BM10" s="170">
        <v>45413</v>
      </c>
      <c r="BN10" s="170">
        <v>45444</v>
      </c>
      <c r="BO10" s="170">
        <v>45474</v>
      </c>
      <c r="BP10" s="170">
        <v>45505</v>
      </c>
      <c r="BQ10" s="170">
        <v>45536</v>
      </c>
      <c r="BR10" s="170">
        <v>45566</v>
      </c>
      <c r="BS10" s="170">
        <v>45597</v>
      </c>
      <c r="BT10" s="170">
        <v>45627</v>
      </c>
      <c r="BU10" s="170">
        <v>45658</v>
      </c>
      <c r="BV10" s="170">
        <v>45689</v>
      </c>
      <c r="BW10" s="170">
        <v>45717</v>
      </c>
      <c r="BX10" s="170">
        <v>45748</v>
      </c>
      <c r="BY10" s="170">
        <v>45778</v>
      </c>
      <c r="BZ10" s="170">
        <v>45809</v>
      </c>
      <c r="CA10" s="170">
        <v>45839</v>
      </c>
      <c r="CB10" s="170">
        <v>45870</v>
      </c>
      <c r="CC10" s="170">
        <v>45901</v>
      </c>
      <c r="CD10" s="170">
        <v>45931</v>
      </c>
      <c r="CE10" s="170">
        <v>45962</v>
      </c>
      <c r="CF10" s="170">
        <v>45992</v>
      </c>
      <c r="CG10" s="170">
        <v>46023</v>
      </c>
      <c r="CH10" s="170">
        <v>46054</v>
      </c>
      <c r="CI10" s="170">
        <v>46082</v>
      </c>
      <c r="CJ10" s="170">
        <v>46113</v>
      </c>
      <c r="CK10" s="170">
        <v>46143</v>
      </c>
      <c r="CL10" s="170">
        <v>46174</v>
      </c>
      <c r="CM10" s="170">
        <v>46204</v>
      </c>
      <c r="CN10" s="170">
        <v>46235</v>
      </c>
      <c r="CO10" s="170">
        <v>46266</v>
      </c>
      <c r="CP10" s="170">
        <v>46296</v>
      </c>
      <c r="CQ10" s="170">
        <v>46327</v>
      </c>
      <c r="CR10" s="170">
        <v>46357</v>
      </c>
      <c r="CS10" s="170">
        <v>46388</v>
      </c>
      <c r="CT10" s="170">
        <v>46419</v>
      </c>
      <c r="CU10" s="170">
        <v>46447</v>
      </c>
      <c r="CV10" s="170">
        <v>46478</v>
      </c>
      <c r="CW10" s="170">
        <v>46508</v>
      </c>
      <c r="CX10" s="170">
        <v>46539</v>
      </c>
      <c r="CY10" s="170">
        <v>46569</v>
      </c>
      <c r="CZ10" s="170">
        <v>46600</v>
      </c>
      <c r="DA10" s="170">
        <v>46631</v>
      </c>
      <c r="DB10" s="170">
        <v>46661</v>
      </c>
      <c r="DC10" s="170">
        <v>46692</v>
      </c>
      <c r="DD10" s="170">
        <v>46722</v>
      </c>
      <c r="DE10" s="170">
        <v>46753</v>
      </c>
      <c r="DF10" s="170">
        <v>46784</v>
      </c>
      <c r="DG10" s="170">
        <v>46813</v>
      </c>
      <c r="DH10" s="170">
        <v>46844</v>
      </c>
      <c r="DI10" s="170">
        <v>46874</v>
      </c>
      <c r="DJ10" s="170">
        <v>46905</v>
      </c>
      <c r="DK10" s="170">
        <v>46935</v>
      </c>
      <c r="DL10" s="170">
        <v>46966</v>
      </c>
      <c r="DM10" s="170">
        <v>46997</v>
      </c>
      <c r="DN10" s="170">
        <v>47027</v>
      </c>
      <c r="DO10" s="170">
        <v>47058</v>
      </c>
      <c r="DP10" s="170">
        <v>47088</v>
      </c>
      <c r="DQ10" s="170">
        <v>47119</v>
      </c>
      <c r="DR10" s="170">
        <v>47150</v>
      </c>
      <c r="DS10" s="170">
        <v>47178</v>
      </c>
      <c r="DT10" s="170">
        <v>47209</v>
      </c>
      <c r="DU10" s="170">
        <v>47239</v>
      </c>
      <c r="DV10" s="170">
        <v>47270</v>
      </c>
      <c r="DW10" s="170">
        <v>47300</v>
      </c>
      <c r="DX10" s="170">
        <v>47331</v>
      </c>
      <c r="DY10" s="170">
        <v>47362</v>
      </c>
      <c r="DZ10" s="170">
        <v>47392</v>
      </c>
      <c r="EA10" s="170">
        <v>47423</v>
      </c>
      <c r="EB10" s="170">
        <v>47453</v>
      </c>
      <c r="EC10" s="170">
        <v>47484</v>
      </c>
      <c r="ED10" s="170">
        <v>47515</v>
      </c>
      <c r="EE10" s="170">
        <v>47543</v>
      </c>
      <c r="EF10" s="170">
        <v>47574</v>
      </c>
      <c r="EG10" s="170">
        <v>47604</v>
      </c>
      <c r="EH10" s="170">
        <v>47635</v>
      </c>
      <c r="EI10" s="170">
        <v>47665</v>
      </c>
      <c r="EJ10" s="170">
        <v>47696</v>
      </c>
      <c r="EK10" s="170">
        <v>47727</v>
      </c>
      <c r="EL10" s="170">
        <v>47757</v>
      </c>
      <c r="EM10" s="170">
        <v>47788</v>
      </c>
      <c r="EN10" s="170">
        <v>47818</v>
      </c>
      <c r="EO10" s="170">
        <v>47849</v>
      </c>
      <c r="EP10" s="170">
        <v>47880</v>
      </c>
      <c r="EQ10" s="170">
        <v>47908</v>
      </c>
      <c r="ER10" s="170">
        <v>47939</v>
      </c>
      <c r="ES10" s="170">
        <v>47969</v>
      </c>
      <c r="ET10" s="170">
        <v>48000</v>
      </c>
      <c r="EU10" s="170">
        <v>48030</v>
      </c>
      <c r="EV10" s="170">
        <v>48061</v>
      </c>
      <c r="EW10" s="170">
        <v>48092</v>
      </c>
      <c r="EX10" s="170">
        <v>48122</v>
      </c>
      <c r="EY10" s="170">
        <v>48153</v>
      </c>
      <c r="EZ10" s="170">
        <v>48183</v>
      </c>
      <c r="FA10" s="170">
        <v>48214</v>
      </c>
      <c r="FB10" s="170">
        <v>48245</v>
      </c>
      <c r="FC10" s="170">
        <v>48274</v>
      </c>
      <c r="FD10" s="170">
        <v>48305</v>
      </c>
      <c r="FE10" s="170">
        <v>48335</v>
      </c>
      <c r="FF10" s="170">
        <v>48366</v>
      </c>
      <c r="FG10" s="170">
        <v>48396</v>
      </c>
      <c r="FH10" s="170">
        <v>48427</v>
      </c>
      <c r="FI10" s="170">
        <v>48458</v>
      </c>
      <c r="FJ10" s="170">
        <v>48488</v>
      </c>
      <c r="FK10" s="170">
        <v>48519</v>
      </c>
      <c r="FL10" s="170">
        <v>48549</v>
      </c>
      <c r="FM10" s="170">
        <v>48580</v>
      </c>
      <c r="FN10" s="170">
        <v>48611</v>
      </c>
      <c r="FO10" s="170">
        <v>48639</v>
      </c>
      <c r="FP10" s="170">
        <v>48670</v>
      </c>
      <c r="FQ10" s="170">
        <v>48700</v>
      </c>
      <c r="FR10" s="170">
        <v>48731</v>
      </c>
      <c r="FS10" s="170">
        <v>48761</v>
      </c>
      <c r="FT10" s="170">
        <v>48792</v>
      </c>
      <c r="FU10" s="170">
        <v>48823</v>
      </c>
      <c r="FV10" s="170">
        <v>48853</v>
      </c>
      <c r="FW10" s="170">
        <v>48884</v>
      </c>
      <c r="FX10" s="170">
        <v>48914</v>
      </c>
      <c r="FY10" s="170">
        <v>48945</v>
      </c>
      <c r="FZ10" s="170">
        <v>48976</v>
      </c>
      <c r="GA10" s="170">
        <v>49004</v>
      </c>
      <c r="GB10" s="170">
        <v>49035</v>
      </c>
      <c r="GC10" s="170">
        <v>49065</v>
      </c>
      <c r="GD10" s="170">
        <v>49096</v>
      </c>
      <c r="GE10" s="170">
        <v>49126</v>
      </c>
      <c r="GF10" s="170">
        <v>49157</v>
      </c>
      <c r="GG10" s="170">
        <v>49188</v>
      </c>
      <c r="GH10" s="170">
        <v>49218</v>
      </c>
      <c r="GI10" s="170">
        <v>49249</v>
      </c>
      <c r="GJ10" s="170">
        <v>49279</v>
      </c>
      <c r="GK10" s="170">
        <v>49310</v>
      </c>
      <c r="GL10" s="170">
        <v>49341</v>
      </c>
      <c r="GM10" s="170">
        <v>49369</v>
      </c>
      <c r="GN10" s="170">
        <v>49400</v>
      </c>
      <c r="GO10" s="170">
        <v>49430</v>
      </c>
      <c r="GP10" s="170">
        <v>49461</v>
      </c>
      <c r="GQ10" s="170">
        <v>49491</v>
      </c>
      <c r="GR10" s="170">
        <v>49522</v>
      </c>
      <c r="GS10" s="170">
        <v>49553</v>
      </c>
      <c r="GT10" s="170">
        <v>49583</v>
      </c>
      <c r="GU10" s="170">
        <v>49614</v>
      </c>
      <c r="GV10" s="170">
        <v>49644</v>
      </c>
    </row>
    <row r="11" spans="1:204" x14ac:dyDescent="0.25">
      <c r="C11" s="168" t="s">
        <v>188</v>
      </c>
      <c r="D11" s="167">
        <v>3.8</v>
      </c>
      <c r="E11" s="167">
        <v>3.92</v>
      </c>
      <c r="F11" s="167">
        <v>3.84</v>
      </c>
      <c r="G11" s="167">
        <v>3.81</v>
      </c>
      <c r="H11" s="167">
        <v>4.1399999999999997</v>
      </c>
      <c r="I11" s="167">
        <f t="shared" ref="I11:BR11" si="23">H11</f>
        <v>4.1399999999999997</v>
      </c>
      <c r="J11" s="167">
        <v>3.99</v>
      </c>
      <c r="K11" s="167">
        <v>4.24</v>
      </c>
      <c r="L11" s="167">
        <v>4.01</v>
      </c>
      <c r="M11" s="167">
        <v>4.2858000000000001</v>
      </c>
      <c r="N11" s="167">
        <v>4.29</v>
      </c>
      <c r="O11" s="167">
        <v>5.19</v>
      </c>
      <c r="P11" s="167">
        <v>5.49</v>
      </c>
      <c r="Q11" s="167">
        <v>5.34</v>
      </c>
      <c r="R11" s="167">
        <v>5.46</v>
      </c>
      <c r="S11" s="166">
        <f t="shared" si="23"/>
        <v>5.46</v>
      </c>
      <c r="T11" s="166">
        <f t="shared" si="23"/>
        <v>5.46</v>
      </c>
      <c r="U11" s="166">
        <f t="shared" si="23"/>
        <v>5.46</v>
      </c>
      <c r="V11" s="166">
        <f t="shared" si="23"/>
        <v>5.46</v>
      </c>
      <c r="W11" s="166">
        <f t="shared" si="23"/>
        <v>5.46</v>
      </c>
      <c r="X11" s="166">
        <f t="shared" si="23"/>
        <v>5.46</v>
      </c>
      <c r="Y11" s="166">
        <f t="shared" si="23"/>
        <v>5.46</v>
      </c>
      <c r="Z11" s="166">
        <f t="shared" si="23"/>
        <v>5.46</v>
      </c>
      <c r="AA11" s="166">
        <f t="shared" si="23"/>
        <v>5.46</v>
      </c>
      <c r="AB11" s="166">
        <f t="shared" si="23"/>
        <v>5.46</v>
      </c>
      <c r="AC11" s="166">
        <f t="shared" si="23"/>
        <v>5.46</v>
      </c>
      <c r="AD11" s="166">
        <f t="shared" si="23"/>
        <v>5.46</v>
      </c>
      <c r="AE11" s="166">
        <f t="shared" si="23"/>
        <v>5.46</v>
      </c>
      <c r="AF11" s="166">
        <f t="shared" si="23"/>
        <v>5.46</v>
      </c>
      <c r="AG11" s="166">
        <f t="shared" si="23"/>
        <v>5.46</v>
      </c>
      <c r="AH11" s="166">
        <f t="shared" si="23"/>
        <v>5.46</v>
      </c>
      <c r="AI11" s="166">
        <f t="shared" si="23"/>
        <v>5.46</v>
      </c>
      <c r="AJ11" s="166">
        <f t="shared" si="23"/>
        <v>5.46</v>
      </c>
      <c r="AK11" s="166">
        <f t="shared" si="23"/>
        <v>5.46</v>
      </c>
      <c r="AL11" s="166">
        <f t="shared" si="23"/>
        <v>5.46</v>
      </c>
      <c r="AM11" s="166">
        <f t="shared" si="23"/>
        <v>5.46</v>
      </c>
      <c r="AN11" s="166">
        <f t="shared" si="23"/>
        <v>5.46</v>
      </c>
      <c r="AO11" s="166">
        <f t="shared" si="23"/>
        <v>5.46</v>
      </c>
      <c r="AP11" s="166">
        <f t="shared" si="23"/>
        <v>5.46</v>
      </c>
      <c r="AQ11" s="166">
        <f t="shared" si="23"/>
        <v>5.46</v>
      </c>
      <c r="AR11" s="166">
        <f t="shared" si="23"/>
        <v>5.46</v>
      </c>
      <c r="AS11" s="166">
        <f t="shared" si="23"/>
        <v>5.46</v>
      </c>
      <c r="AT11" s="166">
        <f t="shared" si="23"/>
        <v>5.46</v>
      </c>
      <c r="AU11" s="166">
        <f t="shared" si="23"/>
        <v>5.46</v>
      </c>
      <c r="AV11" s="166">
        <f t="shared" si="23"/>
        <v>5.46</v>
      </c>
      <c r="AW11" s="166">
        <f t="shared" si="23"/>
        <v>5.46</v>
      </c>
      <c r="AX11" s="166">
        <f t="shared" si="23"/>
        <v>5.46</v>
      </c>
      <c r="AY11" s="166">
        <f t="shared" si="23"/>
        <v>5.46</v>
      </c>
      <c r="AZ11" s="166">
        <f t="shared" si="23"/>
        <v>5.46</v>
      </c>
      <c r="BA11" s="166">
        <f t="shared" si="23"/>
        <v>5.46</v>
      </c>
      <c r="BB11" s="166">
        <f t="shared" si="23"/>
        <v>5.46</v>
      </c>
      <c r="BC11" s="166">
        <f t="shared" si="23"/>
        <v>5.46</v>
      </c>
      <c r="BD11" s="166">
        <f t="shared" si="23"/>
        <v>5.46</v>
      </c>
      <c r="BE11" s="166">
        <f t="shared" si="23"/>
        <v>5.46</v>
      </c>
      <c r="BF11" s="166">
        <f t="shared" si="23"/>
        <v>5.46</v>
      </c>
      <c r="BG11" s="166">
        <f t="shared" si="23"/>
        <v>5.46</v>
      </c>
      <c r="BH11" s="166">
        <f t="shared" si="23"/>
        <v>5.46</v>
      </c>
      <c r="BI11" s="166">
        <f t="shared" si="23"/>
        <v>5.46</v>
      </c>
      <c r="BJ11" s="166">
        <f t="shared" si="23"/>
        <v>5.46</v>
      </c>
      <c r="BK11" s="166">
        <f t="shared" si="23"/>
        <v>5.46</v>
      </c>
      <c r="BL11" s="166">
        <f t="shared" si="23"/>
        <v>5.46</v>
      </c>
      <c r="BM11" s="166">
        <f t="shared" si="23"/>
        <v>5.46</v>
      </c>
      <c r="BN11" s="166">
        <f t="shared" si="23"/>
        <v>5.46</v>
      </c>
      <c r="BO11" s="166">
        <f t="shared" si="23"/>
        <v>5.46</v>
      </c>
      <c r="BP11" s="166">
        <f t="shared" si="23"/>
        <v>5.46</v>
      </c>
      <c r="BQ11" s="166">
        <f t="shared" si="23"/>
        <v>5.46</v>
      </c>
      <c r="BR11" s="166">
        <f t="shared" si="23"/>
        <v>5.46</v>
      </c>
      <c r="BS11" s="166">
        <f t="shared" ref="BS11:ED11" si="24">BR11</f>
        <v>5.46</v>
      </c>
      <c r="BT11" s="166">
        <f t="shared" si="24"/>
        <v>5.46</v>
      </c>
      <c r="BU11" s="166">
        <f t="shared" si="24"/>
        <v>5.46</v>
      </c>
      <c r="BV11" s="166">
        <f t="shared" si="24"/>
        <v>5.46</v>
      </c>
      <c r="BW11" s="166">
        <f t="shared" si="24"/>
        <v>5.46</v>
      </c>
      <c r="BX11" s="166">
        <f t="shared" si="24"/>
        <v>5.46</v>
      </c>
      <c r="BY11" s="166">
        <f t="shared" si="24"/>
        <v>5.46</v>
      </c>
      <c r="BZ11" s="166">
        <f t="shared" si="24"/>
        <v>5.46</v>
      </c>
      <c r="CA11" s="166">
        <f t="shared" si="24"/>
        <v>5.46</v>
      </c>
      <c r="CB11" s="166">
        <f t="shared" si="24"/>
        <v>5.46</v>
      </c>
      <c r="CC11" s="166">
        <f t="shared" si="24"/>
        <v>5.46</v>
      </c>
      <c r="CD11" s="166">
        <f t="shared" si="24"/>
        <v>5.46</v>
      </c>
      <c r="CE11" s="166">
        <f t="shared" si="24"/>
        <v>5.46</v>
      </c>
      <c r="CF11" s="166">
        <f t="shared" si="24"/>
        <v>5.46</v>
      </c>
      <c r="CG11" s="166">
        <f t="shared" si="24"/>
        <v>5.46</v>
      </c>
      <c r="CH11" s="166">
        <f t="shared" si="24"/>
        <v>5.46</v>
      </c>
      <c r="CI11" s="166">
        <f t="shared" si="24"/>
        <v>5.46</v>
      </c>
      <c r="CJ11" s="166">
        <f t="shared" si="24"/>
        <v>5.46</v>
      </c>
      <c r="CK11" s="166">
        <f t="shared" si="24"/>
        <v>5.46</v>
      </c>
      <c r="CL11" s="166">
        <f t="shared" si="24"/>
        <v>5.46</v>
      </c>
      <c r="CM11" s="166">
        <f t="shared" si="24"/>
        <v>5.46</v>
      </c>
      <c r="CN11" s="166">
        <f t="shared" si="24"/>
        <v>5.46</v>
      </c>
      <c r="CO11" s="166">
        <f t="shared" si="24"/>
        <v>5.46</v>
      </c>
      <c r="CP11" s="166">
        <f t="shared" si="24"/>
        <v>5.46</v>
      </c>
      <c r="CQ11" s="166">
        <f t="shared" si="24"/>
        <v>5.46</v>
      </c>
      <c r="CR11" s="166">
        <f t="shared" si="24"/>
        <v>5.46</v>
      </c>
      <c r="CS11" s="166">
        <f t="shared" si="24"/>
        <v>5.46</v>
      </c>
      <c r="CT11" s="166">
        <f t="shared" si="24"/>
        <v>5.46</v>
      </c>
      <c r="CU11" s="166">
        <f t="shared" si="24"/>
        <v>5.46</v>
      </c>
      <c r="CV11" s="166">
        <f t="shared" si="24"/>
        <v>5.46</v>
      </c>
      <c r="CW11" s="166">
        <f t="shared" si="24"/>
        <v>5.46</v>
      </c>
      <c r="CX11" s="166">
        <f t="shared" si="24"/>
        <v>5.46</v>
      </c>
      <c r="CY11" s="166">
        <f t="shared" si="24"/>
        <v>5.46</v>
      </c>
      <c r="CZ11" s="166">
        <f t="shared" si="24"/>
        <v>5.46</v>
      </c>
      <c r="DA11" s="166">
        <f t="shared" si="24"/>
        <v>5.46</v>
      </c>
      <c r="DB11" s="166">
        <f t="shared" si="24"/>
        <v>5.46</v>
      </c>
      <c r="DC11" s="166">
        <f t="shared" si="24"/>
        <v>5.46</v>
      </c>
      <c r="DD11" s="166">
        <f t="shared" si="24"/>
        <v>5.46</v>
      </c>
      <c r="DE11" s="166">
        <f t="shared" si="24"/>
        <v>5.46</v>
      </c>
      <c r="DF11" s="166">
        <f t="shared" si="24"/>
        <v>5.46</v>
      </c>
      <c r="DG11" s="166">
        <f t="shared" si="24"/>
        <v>5.46</v>
      </c>
      <c r="DH11" s="166">
        <f t="shared" si="24"/>
        <v>5.46</v>
      </c>
      <c r="DI11" s="166">
        <f t="shared" si="24"/>
        <v>5.46</v>
      </c>
      <c r="DJ11" s="166">
        <f t="shared" si="24"/>
        <v>5.46</v>
      </c>
      <c r="DK11" s="166">
        <f t="shared" si="24"/>
        <v>5.46</v>
      </c>
      <c r="DL11" s="166">
        <f t="shared" si="24"/>
        <v>5.46</v>
      </c>
      <c r="DM11" s="166">
        <f t="shared" si="24"/>
        <v>5.46</v>
      </c>
      <c r="DN11" s="166">
        <f t="shared" si="24"/>
        <v>5.46</v>
      </c>
      <c r="DO11" s="166">
        <f t="shared" si="24"/>
        <v>5.46</v>
      </c>
      <c r="DP11" s="166">
        <f t="shared" si="24"/>
        <v>5.46</v>
      </c>
      <c r="DQ11" s="166">
        <f t="shared" si="24"/>
        <v>5.46</v>
      </c>
      <c r="DR11" s="166">
        <f t="shared" si="24"/>
        <v>5.46</v>
      </c>
      <c r="DS11" s="166">
        <f t="shared" si="24"/>
        <v>5.46</v>
      </c>
      <c r="DT11" s="166">
        <f t="shared" si="24"/>
        <v>5.46</v>
      </c>
      <c r="DU11" s="166">
        <f t="shared" si="24"/>
        <v>5.46</v>
      </c>
      <c r="DV11" s="166">
        <f t="shared" si="24"/>
        <v>5.46</v>
      </c>
      <c r="DW11" s="166">
        <f t="shared" si="24"/>
        <v>5.46</v>
      </c>
      <c r="DX11" s="166">
        <f t="shared" si="24"/>
        <v>5.46</v>
      </c>
      <c r="DY11" s="166">
        <f t="shared" si="24"/>
        <v>5.46</v>
      </c>
      <c r="DZ11" s="166">
        <f t="shared" si="24"/>
        <v>5.46</v>
      </c>
      <c r="EA11" s="166">
        <f t="shared" si="24"/>
        <v>5.46</v>
      </c>
      <c r="EB11" s="166">
        <f t="shared" si="24"/>
        <v>5.46</v>
      </c>
      <c r="EC11" s="166">
        <f t="shared" si="24"/>
        <v>5.46</v>
      </c>
      <c r="ED11" s="166">
        <f t="shared" si="24"/>
        <v>5.46</v>
      </c>
      <c r="EE11" s="166">
        <f t="shared" ref="EE11:GP11" si="25">ED11</f>
        <v>5.46</v>
      </c>
      <c r="EF11" s="166">
        <f t="shared" si="25"/>
        <v>5.46</v>
      </c>
      <c r="EG11" s="166">
        <f t="shared" si="25"/>
        <v>5.46</v>
      </c>
      <c r="EH11" s="166">
        <f t="shared" si="25"/>
        <v>5.46</v>
      </c>
      <c r="EI11" s="166">
        <f t="shared" si="25"/>
        <v>5.46</v>
      </c>
      <c r="EJ11" s="166">
        <f t="shared" si="25"/>
        <v>5.46</v>
      </c>
      <c r="EK11" s="166">
        <f t="shared" si="25"/>
        <v>5.46</v>
      </c>
      <c r="EL11" s="166">
        <f t="shared" si="25"/>
        <v>5.46</v>
      </c>
      <c r="EM11" s="166">
        <f t="shared" si="25"/>
        <v>5.46</v>
      </c>
      <c r="EN11" s="166">
        <f t="shared" si="25"/>
        <v>5.46</v>
      </c>
      <c r="EO11" s="166">
        <f t="shared" si="25"/>
        <v>5.46</v>
      </c>
      <c r="EP11" s="166">
        <f t="shared" si="25"/>
        <v>5.46</v>
      </c>
      <c r="EQ11" s="166">
        <f t="shared" si="25"/>
        <v>5.46</v>
      </c>
      <c r="ER11" s="166">
        <f t="shared" si="25"/>
        <v>5.46</v>
      </c>
      <c r="ES11" s="166">
        <f t="shared" si="25"/>
        <v>5.46</v>
      </c>
      <c r="ET11" s="166">
        <f t="shared" si="25"/>
        <v>5.46</v>
      </c>
      <c r="EU11" s="166">
        <f t="shared" si="25"/>
        <v>5.46</v>
      </c>
      <c r="EV11" s="166">
        <f t="shared" si="25"/>
        <v>5.46</v>
      </c>
      <c r="EW11" s="166">
        <f t="shared" si="25"/>
        <v>5.46</v>
      </c>
      <c r="EX11" s="166">
        <f t="shared" si="25"/>
        <v>5.46</v>
      </c>
      <c r="EY11" s="166">
        <f t="shared" si="25"/>
        <v>5.46</v>
      </c>
      <c r="EZ11" s="166">
        <f t="shared" si="25"/>
        <v>5.46</v>
      </c>
      <c r="FA11" s="166">
        <f t="shared" si="25"/>
        <v>5.46</v>
      </c>
      <c r="FB11" s="166">
        <f t="shared" si="25"/>
        <v>5.46</v>
      </c>
      <c r="FC11" s="166">
        <f t="shared" si="25"/>
        <v>5.46</v>
      </c>
      <c r="FD11" s="166">
        <f t="shared" si="25"/>
        <v>5.46</v>
      </c>
      <c r="FE11" s="166">
        <f t="shared" si="25"/>
        <v>5.46</v>
      </c>
      <c r="FF11" s="166">
        <f t="shared" si="25"/>
        <v>5.46</v>
      </c>
      <c r="FG11" s="166">
        <f t="shared" si="25"/>
        <v>5.46</v>
      </c>
      <c r="FH11" s="166">
        <f t="shared" si="25"/>
        <v>5.46</v>
      </c>
      <c r="FI11" s="166">
        <f t="shared" si="25"/>
        <v>5.46</v>
      </c>
      <c r="FJ11" s="166">
        <f t="shared" si="25"/>
        <v>5.46</v>
      </c>
      <c r="FK11" s="166">
        <f t="shared" si="25"/>
        <v>5.46</v>
      </c>
      <c r="FL11" s="166">
        <f t="shared" si="25"/>
        <v>5.46</v>
      </c>
      <c r="FM11" s="166">
        <f t="shared" si="25"/>
        <v>5.46</v>
      </c>
      <c r="FN11" s="166">
        <f t="shared" si="25"/>
        <v>5.46</v>
      </c>
      <c r="FO11" s="166">
        <f t="shared" si="25"/>
        <v>5.46</v>
      </c>
      <c r="FP11" s="166">
        <f t="shared" si="25"/>
        <v>5.46</v>
      </c>
      <c r="FQ11" s="166">
        <f t="shared" si="25"/>
        <v>5.46</v>
      </c>
      <c r="FR11" s="166">
        <f t="shared" si="25"/>
        <v>5.46</v>
      </c>
      <c r="FS11" s="166">
        <f t="shared" si="25"/>
        <v>5.46</v>
      </c>
      <c r="FT11" s="166">
        <f t="shared" si="25"/>
        <v>5.46</v>
      </c>
      <c r="FU11" s="166">
        <f t="shared" si="25"/>
        <v>5.46</v>
      </c>
      <c r="FV11" s="166">
        <f t="shared" si="25"/>
        <v>5.46</v>
      </c>
      <c r="FW11" s="166">
        <f t="shared" si="25"/>
        <v>5.46</v>
      </c>
      <c r="FX11" s="166">
        <f t="shared" si="25"/>
        <v>5.46</v>
      </c>
      <c r="FY11" s="166">
        <f t="shared" si="25"/>
        <v>5.46</v>
      </c>
      <c r="FZ11" s="166">
        <f t="shared" si="25"/>
        <v>5.46</v>
      </c>
      <c r="GA11" s="166">
        <f t="shared" si="25"/>
        <v>5.46</v>
      </c>
      <c r="GB11" s="166">
        <f t="shared" si="25"/>
        <v>5.46</v>
      </c>
      <c r="GC11" s="166">
        <f t="shared" si="25"/>
        <v>5.46</v>
      </c>
      <c r="GD11" s="166">
        <f t="shared" si="25"/>
        <v>5.46</v>
      </c>
      <c r="GE11" s="166">
        <f t="shared" si="25"/>
        <v>5.46</v>
      </c>
      <c r="GF11" s="166">
        <f t="shared" si="25"/>
        <v>5.46</v>
      </c>
      <c r="GG11" s="166">
        <f t="shared" si="25"/>
        <v>5.46</v>
      </c>
      <c r="GH11" s="166">
        <f t="shared" si="25"/>
        <v>5.46</v>
      </c>
      <c r="GI11" s="166">
        <f t="shared" si="25"/>
        <v>5.46</v>
      </c>
      <c r="GJ11" s="166">
        <f t="shared" si="25"/>
        <v>5.46</v>
      </c>
      <c r="GK11" s="166">
        <f t="shared" si="25"/>
        <v>5.46</v>
      </c>
      <c r="GL11" s="166">
        <f t="shared" si="25"/>
        <v>5.46</v>
      </c>
      <c r="GM11" s="166">
        <f t="shared" si="25"/>
        <v>5.46</v>
      </c>
      <c r="GN11" s="166">
        <f t="shared" si="25"/>
        <v>5.46</v>
      </c>
      <c r="GO11" s="166">
        <f t="shared" si="25"/>
        <v>5.46</v>
      </c>
      <c r="GP11" s="166">
        <f t="shared" si="25"/>
        <v>5.46</v>
      </c>
      <c r="GQ11" s="166">
        <f t="shared" ref="GQ11:GV11" si="26">GP11</f>
        <v>5.46</v>
      </c>
      <c r="GR11" s="166">
        <f t="shared" si="26"/>
        <v>5.46</v>
      </c>
      <c r="GS11" s="166">
        <f t="shared" si="26"/>
        <v>5.46</v>
      </c>
      <c r="GT11" s="166">
        <f t="shared" si="26"/>
        <v>5.46</v>
      </c>
      <c r="GU11" s="166">
        <f t="shared" si="26"/>
        <v>5.46</v>
      </c>
      <c r="GV11" s="166">
        <f t="shared" si="26"/>
        <v>5.46</v>
      </c>
    </row>
    <row r="12" spans="1:204" x14ac:dyDescent="0.25">
      <c r="C12" s="169" t="s">
        <v>189</v>
      </c>
      <c r="D12" s="399"/>
      <c r="E12" s="399"/>
      <c r="F12" s="399"/>
      <c r="G12" s="399"/>
      <c r="H12" s="399"/>
      <c r="I12" s="399"/>
      <c r="J12" s="399"/>
      <c r="K12" s="399"/>
      <c r="L12" s="399"/>
      <c r="M12" s="399"/>
      <c r="N12" s="399"/>
      <c r="O12" s="399"/>
      <c r="P12" s="399"/>
      <c r="Q12" s="399"/>
    </row>
    <row r="13" spans="1:204" s="172" customFormat="1" x14ac:dyDescent="0.25">
      <c r="A13" s="416" t="s">
        <v>590</v>
      </c>
      <c r="B13" s="173" t="s">
        <v>197</v>
      </c>
      <c r="C13" s="173" t="s">
        <v>193</v>
      </c>
      <c r="D13" s="179">
        <v>700</v>
      </c>
      <c r="E13" s="179">
        <v>700</v>
      </c>
      <c r="F13" s="179">
        <v>700</v>
      </c>
      <c r="G13" s="179">
        <v>700</v>
      </c>
      <c r="H13" s="179">
        <v>635</v>
      </c>
      <c r="I13" s="179">
        <v>635</v>
      </c>
      <c r="J13" s="179">
        <v>635</v>
      </c>
      <c r="K13" s="179">
        <v>635</v>
      </c>
      <c r="L13" s="179">
        <v>635</v>
      </c>
      <c r="M13" s="179">
        <v>635</v>
      </c>
      <c r="N13" s="179">
        <v>635</v>
      </c>
      <c r="O13" s="179">
        <v>635</v>
      </c>
      <c r="P13" s="179">
        <v>635</v>
      </c>
      <c r="Q13" s="179">
        <v>635</v>
      </c>
      <c r="R13" s="179">
        <v>635</v>
      </c>
    </row>
    <row r="14" spans="1:204" s="92" customFormat="1" x14ac:dyDescent="0.25">
      <c r="A14" s="417"/>
      <c r="B14" s="174" t="s">
        <v>190</v>
      </c>
      <c r="C14" s="174" t="s">
        <v>192</v>
      </c>
      <c r="D14" s="91"/>
      <c r="E14" s="91">
        <v>2452.2199999999998</v>
      </c>
      <c r="F14" s="91">
        <v>4515.12</v>
      </c>
      <c r="G14" s="91">
        <v>5880.53</v>
      </c>
      <c r="H14" s="91">
        <v>8266.2900000000009</v>
      </c>
      <c r="I14" s="91">
        <v>7666.11</v>
      </c>
      <c r="J14" s="91">
        <v>8435.9699999999993</v>
      </c>
      <c r="K14" s="91">
        <v>8703.25</v>
      </c>
      <c r="L14" s="91">
        <v>9926</v>
      </c>
      <c r="M14" s="91">
        <v>11285</v>
      </c>
      <c r="N14" s="91">
        <v>13192</v>
      </c>
      <c r="O14" s="91">
        <v>16094.05</v>
      </c>
      <c r="P14" s="91">
        <v>17155.93</v>
      </c>
      <c r="Q14" s="91">
        <v>20713.62</v>
      </c>
      <c r="R14" s="91">
        <v>20749.12</v>
      </c>
    </row>
    <row r="15" spans="1:204" s="92" customFormat="1" x14ac:dyDescent="0.25">
      <c r="A15" s="417"/>
      <c r="B15" s="174"/>
      <c r="C15" s="174" t="s">
        <v>193</v>
      </c>
      <c r="D15" s="91"/>
      <c r="E15" s="91">
        <v>25</v>
      </c>
      <c r="F15" s="91">
        <v>325</v>
      </c>
      <c r="G15" s="91">
        <v>320</v>
      </c>
      <c r="H15" s="91">
        <v>320</v>
      </c>
      <c r="I15" s="91">
        <v>320</v>
      </c>
      <c r="J15" s="91">
        <v>320</v>
      </c>
      <c r="K15" s="91">
        <v>320</v>
      </c>
      <c r="L15" s="91">
        <v>320</v>
      </c>
      <c r="M15" s="91">
        <v>320</v>
      </c>
      <c r="N15" s="91">
        <v>320</v>
      </c>
      <c r="O15" s="91">
        <v>320</v>
      </c>
      <c r="P15" s="91">
        <v>320</v>
      </c>
      <c r="Q15" s="91">
        <v>320</v>
      </c>
      <c r="R15" s="91">
        <v>320</v>
      </c>
    </row>
    <row r="16" spans="1:204" s="92" customFormat="1" x14ac:dyDescent="0.25">
      <c r="A16" s="417"/>
      <c r="B16" s="174" t="s">
        <v>589</v>
      </c>
      <c r="C16" s="174" t="s">
        <v>192</v>
      </c>
      <c r="D16" s="400"/>
      <c r="E16" s="400"/>
      <c r="F16" s="400"/>
      <c r="G16" s="400"/>
      <c r="H16" s="400"/>
      <c r="I16" s="400"/>
      <c r="J16" s="400"/>
      <c r="K16" s="400"/>
      <c r="L16" s="400"/>
      <c r="M16" s="400"/>
      <c r="N16" s="400"/>
      <c r="O16" s="400"/>
      <c r="P16" s="400"/>
      <c r="Q16" s="91">
        <v>946.39</v>
      </c>
      <c r="R16" s="91">
        <f>669.21+14.86+9.99</f>
        <v>694.06000000000006</v>
      </c>
      <c r="T16" s="409"/>
    </row>
    <row r="17" spans="1:20" s="92" customFormat="1" x14ac:dyDescent="0.25">
      <c r="A17" s="417"/>
      <c r="B17" s="174" t="s">
        <v>191</v>
      </c>
      <c r="C17" s="174" t="s">
        <v>192</v>
      </c>
      <c r="D17" s="91">
        <v>5863.37</v>
      </c>
      <c r="E17" s="91">
        <v>4706.21</v>
      </c>
      <c r="F17" s="91">
        <v>603.19000000000005</v>
      </c>
      <c r="G17" s="91">
        <v>694.82</v>
      </c>
      <c r="H17" s="91">
        <v>299.19</v>
      </c>
      <c r="I17" s="91">
        <v>147.56</v>
      </c>
      <c r="J17" s="91">
        <v>147.56</v>
      </c>
      <c r="K17" s="91">
        <v>147.56</v>
      </c>
      <c r="L17" s="91">
        <v>1102.95</v>
      </c>
      <c r="M17" s="91">
        <v>1093.8399999999999</v>
      </c>
      <c r="N17" s="91">
        <v>3082.87</v>
      </c>
      <c r="O17" s="91">
        <v>591.41999999999996</v>
      </c>
      <c r="P17" s="91">
        <v>591.41999999999996</v>
      </c>
      <c r="Q17" s="91">
        <v>591.41999999999996</v>
      </c>
      <c r="R17" s="91">
        <v>591.41999999999996</v>
      </c>
    </row>
    <row r="18" spans="1:20" s="92" customFormat="1" x14ac:dyDescent="0.25">
      <c r="A18" s="417"/>
      <c r="B18" s="174"/>
      <c r="C18" s="174" t="s">
        <v>193</v>
      </c>
      <c r="D18" s="91">
        <v>1105.25</v>
      </c>
      <c r="E18" s="91">
        <v>1105.3900000000001</v>
      </c>
      <c r="F18" s="91">
        <v>105.43</v>
      </c>
      <c r="G18" s="91">
        <v>105.43</v>
      </c>
      <c r="H18" s="91">
        <v>105.45</v>
      </c>
      <c r="I18" s="91">
        <v>105.46</v>
      </c>
      <c r="J18" s="91">
        <v>105.46</v>
      </c>
      <c r="K18" s="91">
        <v>105.48</v>
      </c>
      <c r="L18" s="91">
        <v>105.49</v>
      </c>
      <c r="M18" s="91">
        <v>105.51</v>
      </c>
      <c r="N18" s="91">
        <v>105.51</v>
      </c>
      <c r="O18" s="91">
        <v>105.52</v>
      </c>
      <c r="P18" s="91">
        <v>105.52</v>
      </c>
      <c r="Q18" s="91">
        <v>105.54</v>
      </c>
      <c r="R18" s="91">
        <v>105.54</v>
      </c>
    </row>
    <row r="19" spans="1:20" s="175" customFormat="1" x14ac:dyDescent="0.25">
      <c r="A19" s="418"/>
      <c r="B19" s="176"/>
      <c r="C19" s="176" t="s">
        <v>257</v>
      </c>
      <c r="D19" s="401"/>
      <c r="E19" s="401">
        <v>276</v>
      </c>
      <c r="F19" s="401">
        <v>140</v>
      </c>
      <c r="G19" s="401">
        <v>140</v>
      </c>
      <c r="H19" s="401">
        <v>308</v>
      </c>
      <c r="I19" s="401">
        <v>320</v>
      </c>
      <c r="J19" s="401">
        <v>221</v>
      </c>
      <c r="K19" s="401">
        <v>156</v>
      </c>
      <c r="L19" s="401">
        <f>230+600+105</f>
        <v>935</v>
      </c>
      <c r="M19" s="401"/>
      <c r="N19" s="401">
        <v>60</v>
      </c>
      <c r="O19" s="401">
        <v>213</v>
      </c>
      <c r="P19" s="401">
        <f>93+107</f>
        <v>200</v>
      </c>
      <c r="Q19" s="401">
        <v>122</v>
      </c>
      <c r="R19" s="401">
        <v>122</v>
      </c>
      <c r="S19" s="408"/>
    </row>
    <row r="20" spans="1:20" x14ac:dyDescent="0.25">
      <c r="A20" s="416" t="s">
        <v>591</v>
      </c>
      <c r="B20" s="168" t="s">
        <v>589</v>
      </c>
      <c r="C20" s="168" t="s">
        <v>193</v>
      </c>
      <c r="D20" s="218"/>
      <c r="E20" s="218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167">
        <v>1000.25</v>
      </c>
      <c r="R20" s="167">
        <v>3639.72</v>
      </c>
      <c r="S20" s="178"/>
    </row>
    <row r="21" spans="1:20" x14ac:dyDescent="0.25">
      <c r="A21" s="419"/>
      <c r="B21" s="168" t="s">
        <v>514</v>
      </c>
      <c r="C21" s="168" t="s">
        <v>193</v>
      </c>
      <c r="D21" s="167"/>
      <c r="E21" s="167"/>
      <c r="F21" s="167"/>
      <c r="G21" s="167"/>
      <c r="H21" s="167"/>
      <c r="I21" s="167"/>
      <c r="J21" s="167"/>
      <c r="K21" s="167"/>
      <c r="L21" s="167"/>
      <c r="M21" s="167">
        <v>247.9905</v>
      </c>
      <c r="N21" s="167">
        <v>415.79999999999995</v>
      </c>
      <c r="O21" s="167">
        <v>725.35949999999991</v>
      </c>
      <c r="P21" s="167">
        <v>849.38400000000001</v>
      </c>
      <c r="Q21" s="167">
        <v>892.22849999999994</v>
      </c>
      <c r="R21" s="167">
        <v>908.70299999999997</v>
      </c>
    </row>
    <row r="22" spans="1:20" x14ac:dyDescent="0.25">
      <c r="A22" s="418"/>
      <c r="B22" s="168" t="s">
        <v>560</v>
      </c>
      <c r="C22" s="168" t="s">
        <v>193</v>
      </c>
      <c r="D22" s="167"/>
      <c r="E22" s="167"/>
      <c r="F22" s="167">
        <v>176.31600000000003</v>
      </c>
      <c r="G22" s="167">
        <v>516.36480000000006</v>
      </c>
      <c r="H22" s="167">
        <v>862.0920000000001</v>
      </c>
      <c r="I22" s="167">
        <v>1366.7360000000001</v>
      </c>
      <c r="J22" s="167">
        <v>1803.3456000000008</v>
      </c>
      <c r="K22" s="167">
        <v>2207.5200000000004</v>
      </c>
      <c r="L22" s="167">
        <v>2628.6400000000008</v>
      </c>
      <c r="M22" s="167">
        <v>2954.6271999999994</v>
      </c>
      <c r="N22" s="167">
        <v>3066.5599999999995</v>
      </c>
      <c r="O22" s="167">
        <v>3419.4384</v>
      </c>
      <c r="P22" s="167">
        <v>4122.4399999999996</v>
      </c>
      <c r="Q22" s="167">
        <v>5212.6591999999991</v>
      </c>
      <c r="R22" s="167">
        <v>5698.0671999999995</v>
      </c>
      <c r="S22" s="178"/>
    </row>
    <row r="23" spans="1:20" s="172" customFormat="1" x14ac:dyDescent="0.25">
      <c r="A23" s="420" t="s">
        <v>590</v>
      </c>
      <c r="B23" s="173" t="s">
        <v>194</v>
      </c>
      <c r="C23" s="173" t="s">
        <v>193</v>
      </c>
      <c r="D23" s="172">
        <f>D32/D$11</f>
        <v>6562.1605263157899</v>
      </c>
      <c r="E23" s="172">
        <f>E32/E$11</f>
        <v>4978.8086734693879</v>
      </c>
      <c r="F23" s="172">
        <f>F32/F$11</f>
        <v>1879.3333333333335</v>
      </c>
      <c r="G23" s="172">
        <f t="shared" ref="G23:H23" si="27">G32/G$11</f>
        <v>1842.0367454068241</v>
      </c>
      <c r="H23" s="172">
        <f t="shared" si="27"/>
        <v>0</v>
      </c>
      <c r="I23" s="172">
        <f t="shared" ref="I23:J23" si="28">I32/I$11</f>
        <v>0</v>
      </c>
      <c r="J23" s="172">
        <f t="shared" si="28"/>
        <v>0</v>
      </c>
      <c r="K23" s="172">
        <f t="shared" ref="J23:K24" si="29">K32/K$11</f>
        <v>0</v>
      </c>
      <c r="L23" s="172">
        <f t="shared" ref="L23:N23" si="30">L32/L$11</f>
        <v>0</v>
      </c>
      <c r="M23" s="172">
        <f t="shared" si="30"/>
        <v>0</v>
      </c>
      <c r="N23" s="172">
        <f t="shared" si="30"/>
        <v>0</v>
      </c>
      <c r="O23" s="172">
        <f t="shared" ref="O23:P23" si="31">O32/O$11</f>
        <v>0</v>
      </c>
      <c r="P23" s="172">
        <f t="shared" si="31"/>
        <v>0</v>
      </c>
      <c r="Q23" s="172">
        <f t="shared" ref="Q23:R23" si="32">Q32/Q$11</f>
        <v>0</v>
      </c>
      <c r="R23" s="172">
        <f t="shared" si="32"/>
        <v>0</v>
      </c>
    </row>
    <row r="24" spans="1:20" s="92" customFormat="1" x14ac:dyDescent="0.25">
      <c r="A24" s="421"/>
      <c r="B24" s="174" t="s">
        <v>195</v>
      </c>
      <c r="C24" s="174" t="s">
        <v>193</v>
      </c>
      <c r="D24" s="92">
        <f t="shared" ref="D24:E29" si="33">D33/D$11</f>
        <v>1422.2578947368422</v>
      </c>
      <c r="E24" s="92">
        <f t="shared" si="33"/>
        <v>1006.5969387755102</v>
      </c>
      <c r="F24" s="92">
        <f t="shared" ref="F24:G29" si="34">F33/F$11</f>
        <v>2653.3828125</v>
      </c>
      <c r="G24" s="92">
        <f t="shared" si="34"/>
        <v>2580.6535433070867</v>
      </c>
      <c r="H24" s="92">
        <f t="shared" ref="H24:I24" si="35">H33/H$11</f>
        <v>900.92753623188412</v>
      </c>
      <c r="I24" s="92">
        <f t="shared" si="35"/>
        <v>98.78985507246378</v>
      </c>
      <c r="J24" s="92">
        <f t="shared" si="29"/>
        <v>486.22055137844609</v>
      </c>
      <c r="K24" s="92">
        <f t="shared" si="29"/>
        <v>457.63679245283021</v>
      </c>
      <c r="L24" s="92">
        <f t="shared" ref="L24:N24" si="36">L33/L$11</f>
        <v>531.36408977556107</v>
      </c>
      <c r="M24" s="92">
        <f t="shared" si="36"/>
        <v>497.26305473890523</v>
      </c>
      <c r="N24" s="92">
        <f t="shared" si="36"/>
        <v>117.60606060606059</v>
      </c>
      <c r="O24" s="92">
        <f t="shared" ref="O24:P24" si="37">O33/O$11</f>
        <v>0</v>
      </c>
      <c r="P24" s="92">
        <f t="shared" si="37"/>
        <v>0</v>
      </c>
      <c r="Q24" s="92">
        <f t="shared" ref="Q24:R24" si="38">Q33/Q$11</f>
        <v>0</v>
      </c>
      <c r="R24" s="92">
        <f t="shared" si="38"/>
        <v>0</v>
      </c>
      <c r="S24" s="402"/>
      <c r="T24" s="402"/>
    </row>
    <row r="25" spans="1:20" s="92" customFormat="1" x14ac:dyDescent="0.25">
      <c r="A25" s="421"/>
      <c r="B25" s="174" t="s">
        <v>196</v>
      </c>
      <c r="C25" s="174" t="s">
        <v>193</v>
      </c>
      <c r="D25" s="92">
        <f t="shared" si="33"/>
        <v>440.52368421052631</v>
      </c>
      <c r="E25" s="92">
        <f t="shared" si="33"/>
        <v>632.44642857142856</v>
      </c>
      <c r="F25" s="92">
        <f t="shared" si="34"/>
        <v>626.06510416666674</v>
      </c>
      <c r="G25" s="92">
        <f t="shared" si="34"/>
        <v>765.38057742782144</v>
      </c>
      <c r="H25" s="92">
        <f t="shared" ref="H25:I25" si="39">H34/H$11</f>
        <v>2344.7705314009663</v>
      </c>
      <c r="I25" s="92">
        <f t="shared" si="39"/>
        <v>829.44685990338166</v>
      </c>
      <c r="J25" s="92">
        <f t="shared" ref="J25:K25" si="40">J34/J$11</f>
        <v>1056.719298245614</v>
      </c>
      <c r="K25" s="92">
        <f t="shared" si="40"/>
        <v>51.198113207547173</v>
      </c>
      <c r="L25" s="92">
        <f t="shared" ref="L25:N25" si="41">L34/L$11</f>
        <v>605.11970074812962</v>
      </c>
      <c r="M25" s="92">
        <f t="shared" si="41"/>
        <v>265.43469130617387</v>
      </c>
      <c r="N25" s="92">
        <f t="shared" si="41"/>
        <v>211.56177156177156</v>
      </c>
      <c r="O25" s="92">
        <f t="shared" ref="O25:P25" si="42">O34/O$11</f>
        <v>231.98458574181114</v>
      </c>
      <c r="P25" s="92">
        <f t="shared" si="42"/>
        <v>168.61384335154827</v>
      </c>
      <c r="Q25" s="92">
        <f t="shared" ref="Q25:R25" si="43">Q34/Q$11</f>
        <v>1166.1535580524346</v>
      </c>
      <c r="R25" s="92">
        <f t="shared" si="43"/>
        <v>1379.6190476190475</v>
      </c>
    </row>
    <row r="26" spans="1:20" s="92" customFormat="1" x14ac:dyDescent="0.25">
      <c r="A26" s="421"/>
      <c r="B26" s="174" t="s">
        <v>196</v>
      </c>
      <c r="C26" s="174" t="s">
        <v>193</v>
      </c>
      <c r="D26" s="92">
        <f t="shared" si="33"/>
        <v>0</v>
      </c>
      <c r="E26" s="92">
        <f t="shared" si="33"/>
        <v>0.80612244897959184</v>
      </c>
      <c r="F26" s="92">
        <f t="shared" si="34"/>
        <v>0.82812500000000011</v>
      </c>
      <c r="G26" s="92">
        <f t="shared" si="34"/>
        <v>0.83464566929133865</v>
      </c>
      <c r="H26" s="92">
        <f t="shared" ref="H26:I26" si="44">H35/H$11</f>
        <v>0.76811594202898559</v>
      </c>
      <c r="I26" s="92">
        <f t="shared" si="44"/>
        <v>0.76811594202898559</v>
      </c>
      <c r="J26" s="92">
        <f t="shared" ref="J26:K26" si="45">J35/J$11</f>
        <v>0.79699248120300747</v>
      </c>
      <c r="K26" s="92">
        <f t="shared" si="45"/>
        <v>0.75</v>
      </c>
      <c r="L26" s="92">
        <f t="shared" ref="L26:N26" si="46">L35/L$11</f>
        <v>0.79301745635910237</v>
      </c>
      <c r="M26" s="92">
        <f t="shared" si="46"/>
        <v>0.74198516029679407</v>
      </c>
      <c r="N26" s="92">
        <f t="shared" si="46"/>
        <v>0.74125874125874125</v>
      </c>
      <c r="O26" s="92">
        <f t="shared" ref="O26:P26" si="47">O35/O$11</f>
        <v>0.61271676300578037</v>
      </c>
      <c r="P26" s="92">
        <f t="shared" si="47"/>
        <v>0.57923497267759561</v>
      </c>
      <c r="Q26" s="92">
        <f t="shared" ref="Q26:R26" si="48">Q35/Q$11</f>
        <v>0.5955056179775281</v>
      </c>
      <c r="R26" s="92">
        <f t="shared" si="48"/>
        <v>0.58241758241758246</v>
      </c>
    </row>
    <row r="27" spans="1:20" s="92" customFormat="1" x14ac:dyDescent="0.25">
      <c r="A27" s="421"/>
      <c r="B27" s="174" t="s">
        <v>199</v>
      </c>
      <c r="C27" s="174" t="s">
        <v>193</v>
      </c>
      <c r="D27" s="92">
        <f t="shared" si="33"/>
        <v>2472.8368421052633</v>
      </c>
      <c r="E27" s="92">
        <f t="shared" si="33"/>
        <v>0</v>
      </c>
      <c r="F27" s="92">
        <f t="shared" si="34"/>
        <v>0</v>
      </c>
      <c r="G27" s="92">
        <f t="shared" si="34"/>
        <v>0</v>
      </c>
      <c r="H27" s="92">
        <f t="shared" ref="H27:I27" si="49">H36/H$11</f>
        <v>0</v>
      </c>
      <c r="I27" s="92">
        <f t="shared" si="49"/>
        <v>0</v>
      </c>
      <c r="J27" s="92">
        <f t="shared" ref="J27:K27" si="50">J36/J$11</f>
        <v>0</v>
      </c>
      <c r="K27" s="92">
        <f t="shared" si="50"/>
        <v>0</v>
      </c>
      <c r="L27" s="92">
        <f t="shared" ref="L27:N27" si="51">L36/L$11</f>
        <v>0</v>
      </c>
      <c r="M27" s="92">
        <f t="shared" si="51"/>
        <v>0</v>
      </c>
      <c r="N27" s="92">
        <f t="shared" si="51"/>
        <v>0</v>
      </c>
      <c r="O27" s="92">
        <f t="shared" ref="O27:P27" si="52">O36/O$11</f>
        <v>0</v>
      </c>
      <c r="P27" s="92">
        <f t="shared" si="52"/>
        <v>0</v>
      </c>
      <c r="Q27" s="92">
        <f t="shared" ref="Q27:R27" si="53">Q36/Q$11</f>
        <v>0</v>
      </c>
      <c r="R27" s="92">
        <f t="shared" si="53"/>
        <v>0</v>
      </c>
    </row>
    <row r="28" spans="1:20" s="175" customFormat="1" x14ac:dyDescent="0.25">
      <c r="A28" s="422"/>
      <c r="B28" s="176" t="s">
        <v>200</v>
      </c>
      <c r="C28" s="176" t="s">
        <v>201</v>
      </c>
      <c r="D28" s="175">
        <f t="shared" si="33"/>
        <v>184.21052631578948</v>
      </c>
      <c r="E28" s="175">
        <f t="shared" si="33"/>
        <v>0</v>
      </c>
      <c r="F28" s="175">
        <f t="shared" si="34"/>
        <v>0</v>
      </c>
      <c r="G28" s="175">
        <f t="shared" si="34"/>
        <v>0</v>
      </c>
      <c r="H28" s="175">
        <f t="shared" ref="H28:I28" si="54">H37/H$11</f>
        <v>0</v>
      </c>
      <c r="I28" s="175">
        <f t="shared" si="54"/>
        <v>0</v>
      </c>
      <c r="J28" s="175">
        <f t="shared" ref="J28:K28" si="55">J37/J$11</f>
        <v>0</v>
      </c>
      <c r="K28" s="175">
        <f t="shared" si="55"/>
        <v>0</v>
      </c>
      <c r="L28" s="175">
        <f t="shared" ref="L28:N28" si="56">L37/L$11</f>
        <v>0</v>
      </c>
      <c r="M28" s="175">
        <f t="shared" si="56"/>
        <v>0</v>
      </c>
      <c r="N28" s="175">
        <f t="shared" si="56"/>
        <v>0</v>
      </c>
      <c r="O28" s="175">
        <f t="shared" ref="O28:P28" si="57">O37/O$11</f>
        <v>0</v>
      </c>
      <c r="P28" s="175">
        <f t="shared" si="57"/>
        <v>0</v>
      </c>
      <c r="Q28" s="175">
        <f t="shared" ref="Q28:R28" si="58">Q37/Q$11</f>
        <v>0</v>
      </c>
      <c r="R28" s="175">
        <f t="shared" si="58"/>
        <v>0</v>
      </c>
    </row>
    <row r="29" spans="1:20" s="175" customFormat="1" x14ac:dyDescent="0.25">
      <c r="A29" s="176" t="s">
        <v>591</v>
      </c>
      <c r="B29" s="176" t="s">
        <v>198</v>
      </c>
      <c r="C29" s="176" t="s">
        <v>193</v>
      </c>
      <c r="D29" s="175">
        <f t="shared" si="33"/>
        <v>21814.618421052633</v>
      </c>
      <c r="E29" s="175">
        <f t="shared" si="33"/>
        <v>22309.426020408162</v>
      </c>
      <c r="F29" s="175">
        <f t="shared" si="34"/>
        <v>25018.0234375</v>
      </c>
      <c r="G29" s="175">
        <f t="shared" si="34"/>
        <v>25371.758530183724</v>
      </c>
      <c r="H29" s="175">
        <f t="shared" ref="H29:I29" si="59">H38/H$11</f>
        <v>24663.678743961354</v>
      </c>
      <c r="I29" s="175">
        <f t="shared" si="59"/>
        <v>26924.753623188404</v>
      </c>
      <c r="J29" s="175">
        <f t="shared" ref="J29:K29" si="60">J38/J$11</f>
        <v>29113.533834586466</v>
      </c>
      <c r="K29" s="175">
        <f t="shared" si="60"/>
        <v>27561.32075471698</v>
      </c>
      <c r="L29" s="175">
        <f t="shared" ref="L29:N29" si="61">L38/L$11</f>
        <v>28876.53366583541</v>
      </c>
      <c r="M29" s="175">
        <f t="shared" si="61"/>
        <v>27018.269634607306</v>
      </c>
      <c r="N29" s="175">
        <f t="shared" si="61"/>
        <v>26993.473193473194</v>
      </c>
      <c r="O29" s="175">
        <f t="shared" ref="O29:P29" si="62">O38/O$11</f>
        <v>21971.543352601155</v>
      </c>
      <c r="P29" s="175">
        <f t="shared" si="62"/>
        <v>20703.965391621128</v>
      </c>
      <c r="Q29" s="175">
        <f t="shared" ref="Q29:R29" si="63">Q38/Q$11</f>
        <v>20193.831460674159</v>
      </c>
      <c r="R29" s="175">
        <f t="shared" si="63"/>
        <v>18405.794871794871</v>
      </c>
    </row>
    <row r="30" spans="1:20" x14ac:dyDescent="0.25">
      <c r="C30" s="168" t="s">
        <v>152</v>
      </c>
      <c r="D30" s="166">
        <f>SUM(D13:D29)</f>
        <v>40565.227894736847</v>
      </c>
      <c r="E30" s="166">
        <f>SUM(E13:E29)</f>
        <v>38192.904183673469</v>
      </c>
      <c r="F30" s="166">
        <f>SUM(F13:F29)</f>
        <v>36742.688812499997</v>
      </c>
      <c r="G30" s="166">
        <f t="shared" ref="G30:H30" si="64">SUM(G13:G29)</f>
        <v>38917.808841994745</v>
      </c>
      <c r="H30" s="166">
        <f t="shared" si="64"/>
        <v>38706.166927536236</v>
      </c>
      <c r="I30" s="166">
        <f t="shared" ref="I30:J30" si="65">SUM(I13:I29)</f>
        <v>38414.624454106277</v>
      </c>
      <c r="J30" s="166">
        <f t="shared" si="65"/>
        <v>42325.606276691731</v>
      </c>
      <c r="K30" s="166">
        <f t="shared" ref="K30:L30" si="66">SUM(K13:K29)</f>
        <v>40345.715660377355</v>
      </c>
      <c r="L30" s="166">
        <f t="shared" si="66"/>
        <v>45666.890473815467</v>
      </c>
      <c r="M30" s="166">
        <f t="shared" ref="M30:N30" si="67">SUM(M13:M29)</f>
        <v>44423.677065812684</v>
      </c>
      <c r="N30" s="166">
        <f t="shared" si="67"/>
        <v>48201.122284382276</v>
      </c>
      <c r="O30" s="166">
        <f t="shared" ref="O30:P30" si="68">SUM(O13:O29)</f>
        <v>44307.928555105973</v>
      </c>
      <c r="P30" s="166">
        <f t="shared" si="68"/>
        <v>44852.852469945356</v>
      </c>
      <c r="Q30" s="166">
        <f t="shared" ref="Q30:R30" si="69">SUM(Q13:Q29)</f>
        <v>51899.688224344573</v>
      </c>
      <c r="R30" s="166">
        <f t="shared" si="69"/>
        <v>53249.626536996337</v>
      </c>
    </row>
    <row r="31" spans="1:20" s="178" customFormat="1" ht="11.25" x14ac:dyDescent="0.2">
      <c r="C31" s="178" t="s">
        <v>521</v>
      </c>
      <c r="D31" s="178">
        <f>D30*D11</f>
        <v>154147.86600000001</v>
      </c>
      <c r="E31" s="178">
        <f t="shared" ref="E31:K31" si="70">E30*E11</f>
        <v>149716.1844</v>
      </c>
      <c r="F31" s="178">
        <f t="shared" si="70"/>
        <v>141091.92503999997</v>
      </c>
      <c r="G31" s="178">
        <f t="shared" si="70"/>
        <v>148276.851688</v>
      </c>
      <c r="H31" s="178">
        <f t="shared" si="70"/>
        <v>160243.53108000002</v>
      </c>
      <c r="I31" s="178">
        <f t="shared" si="70"/>
        <v>159036.54523999998</v>
      </c>
      <c r="J31" s="178">
        <f t="shared" si="70"/>
        <v>168879.16904400001</v>
      </c>
      <c r="K31" s="178">
        <f t="shared" si="70"/>
        <v>171065.83439999999</v>
      </c>
      <c r="L31" s="178">
        <f t="shared" ref="L31:N31" si="71">L30*L11</f>
        <v>183124.23080000002</v>
      </c>
      <c r="M31" s="178">
        <f t="shared" si="71"/>
        <v>190390.99516866001</v>
      </c>
      <c r="N31" s="178">
        <f t="shared" si="71"/>
        <v>206782.81459999995</v>
      </c>
      <c r="O31" s="178">
        <f t="shared" ref="O31:P31" si="72">O30*O11</f>
        <v>229958.14920100002</v>
      </c>
      <c r="P31" s="178">
        <f t="shared" si="72"/>
        <v>246242.16006000002</v>
      </c>
      <c r="Q31" s="178">
        <f t="shared" ref="Q31:R31" si="73">Q30*Q11</f>
        <v>277144.33511799999</v>
      </c>
      <c r="R31" s="178">
        <f t="shared" si="73"/>
        <v>290742.960892</v>
      </c>
    </row>
    <row r="32" spans="1:20" s="172" customFormat="1" x14ac:dyDescent="0.25">
      <c r="A32" s="420" t="s">
        <v>590</v>
      </c>
      <c r="B32" s="173" t="s">
        <v>194</v>
      </c>
      <c r="C32" s="173" t="s">
        <v>193</v>
      </c>
      <c r="D32" s="179">
        <v>24936.21</v>
      </c>
      <c r="E32" s="179">
        <v>19516.93</v>
      </c>
      <c r="F32" s="179">
        <v>7216.64</v>
      </c>
      <c r="G32" s="179">
        <v>7018.16</v>
      </c>
      <c r="H32" s="403"/>
      <c r="I32" s="403"/>
      <c r="J32" s="403"/>
      <c r="K32" s="403"/>
      <c r="L32" s="403"/>
      <c r="M32" s="403"/>
      <c r="N32" s="403"/>
      <c r="O32" s="403"/>
      <c r="P32" s="403"/>
      <c r="Q32" s="403"/>
      <c r="R32" s="403"/>
    </row>
    <row r="33" spans="1:20" s="92" customFormat="1" x14ac:dyDescent="0.25">
      <c r="A33" s="421"/>
      <c r="B33" s="174" t="s">
        <v>195</v>
      </c>
      <c r="C33" s="174" t="s">
        <v>193</v>
      </c>
      <c r="D33" s="91">
        <v>5404.58</v>
      </c>
      <c r="E33" s="91">
        <v>3945.86</v>
      </c>
      <c r="F33" s="91">
        <v>10188.99</v>
      </c>
      <c r="G33" s="91">
        <v>9832.2900000000009</v>
      </c>
      <c r="H33" s="91">
        <v>3729.84</v>
      </c>
      <c r="I33" s="91">
        <v>408.99</v>
      </c>
      <c r="J33" s="91">
        <v>1940.02</v>
      </c>
      <c r="K33" s="91">
        <v>1940.38</v>
      </c>
      <c r="L33" s="91">
        <v>2130.77</v>
      </c>
      <c r="M33" s="91">
        <v>2131.17</v>
      </c>
      <c r="N33" s="91">
        <v>504.53</v>
      </c>
      <c r="O33" s="400"/>
      <c r="P33" s="400"/>
      <c r="Q33" s="400"/>
      <c r="R33" s="400"/>
    </row>
    <row r="34" spans="1:20" s="92" customFormat="1" x14ac:dyDescent="0.25">
      <c r="A34" s="421"/>
      <c r="B34" s="174" t="s">
        <v>196</v>
      </c>
      <c r="C34" s="174" t="s">
        <v>193</v>
      </c>
      <c r="D34" s="91">
        <v>1673.99</v>
      </c>
      <c r="E34" s="91">
        <v>2479.19</v>
      </c>
      <c r="F34" s="91">
        <v>2404.09</v>
      </c>
      <c r="G34" s="91">
        <f>2733.35+182.75</f>
        <v>2916.1</v>
      </c>
      <c r="H34" s="91">
        <v>9707.35</v>
      </c>
      <c r="I34" s="91">
        <f>3743-400+90.91</f>
        <v>3433.91</v>
      </c>
      <c r="J34" s="91">
        <v>4216.3100000000004</v>
      </c>
      <c r="K34" s="91">
        <v>217.08</v>
      </c>
      <c r="L34" s="91">
        <f>959+1467.53</f>
        <v>2426.5299999999997</v>
      </c>
      <c r="M34" s="91">
        <f>N34+230</f>
        <v>1137.5999999999999</v>
      </c>
      <c r="N34" s="91">
        <v>907.6</v>
      </c>
      <c r="O34" s="91">
        <f>714.71+489.29</f>
        <v>1204</v>
      </c>
      <c r="P34" s="91">
        <v>925.69</v>
      </c>
      <c r="Q34" s="91">
        <v>6227.26</v>
      </c>
      <c r="R34" s="91">
        <v>7532.7199999999993</v>
      </c>
    </row>
    <row r="35" spans="1:20" s="92" customFormat="1" x14ac:dyDescent="0.25">
      <c r="A35" s="421"/>
      <c r="B35" s="174" t="s">
        <v>196</v>
      </c>
      <c r="C35" s="174" t="s">
        <v>193</v>
      </c>
      <c r="D35" s="91"/>
      <c r="E35" s="91">
        <v>3.16</v>
      </c>
      <c r="F35" s="91">
        <v>3.18</v>
      </c>
      <c r="G35" s="91">
        <v>3.18</v>
      </c>
      <c r="H35" s="91">
        <v>3.18</v>
      </c>
      <c r="I35" s="91">
        <v>3.18</v>
      </c>
      <c r="J35" s="91">
        <v>3.18</v>
      </c>
      <c r="K35" s="91">
        <v>3.18</v>
      </c>
      <c r="L35" s="91">
        <v>3.18</v>
      </c>
      <c r="M35" s="91">
        <v>3.18</v>
      </c>
      <c r="N35" s="91">
        <v>3.18</v>
      </c>
      <c r="O35" s="91">
        <v>3.18</v>
      </c>
      <c r="P35" s="91">
        <v>3.18</v>
      </c>
      <c r="Q35" s="91">
        <v>3.18</v>
      </c>
      <c r="R35" s="91">
        <v>3.18</v>
      </c>
    </row>
    <row r="36" spans="1:20" s="92" customFormat="1" x14ac:dyDescent="0.25">
      <c r="A36" s="421"/>
      <c r="B36" s="174" t="s">
        <v>199</v>
      </c>
      <c r="C36" s="174" t="s">
        <v>193</v>
      </c>
      <c r="D36" s="91">
        <v>9396.7800000000007</v>
      </c>
      <c r="E36" s="400"/>
      <c r="F36" s="400"/>
      <c r="G36" s="400"/>
      <c r="H36" s="400"/>
      <c r="I36" s="400"/>
      <c r="J36" s="400"/>
      <c r="K36" s="400"/>
      <c r="L36" s="400"/>
      <c r="M36" s="400"/>
      <c r="N36" s="400"/>
      <c r="O36" s="400"/>
      <c r="P36" s="400"/>
      <c r="Q36" s="400"/>
      <c r="R36" s="400"/>
    </row>
    <row r="37" spans="1:20" s="175" customFormat="1" x14ac:dyDescent="0.25">
      <c r="A37" s="422"/>
      <c r="B37" s="176" t="s">
        <v>200</v>
      </c>
      <c r="C37" s="176" t="s">
        <v>201</v>
      </c>
      <c r="D37" s="401">
        <v>700</v>
      </c>
      <c r="E37" s="404"/>
      <c r="F37" s="404"/>
      <c r="G37" s="404"/>
      <c r="H37" s="404"/>
      <c r="I37" s="404"/>
      <c r="J37" s="404"/>
      <c r="K37" s="404"/>
      <c r="L37" s="404"/>
      <c r="M37" s="404"/>
      <c r="N37" s="404"/>
      <c r="O37" s="404"/>
      <c r="P37" s="404"/>
      <c r="Q37" s="404"/>
      <c r="R37" s="404"/>
    </row>
    <row r="38" spans="1:20" s="407" customFormat="1" x14ac:dyDescent="0.25">
      <c r="A38" s="405" t="s">
        <v>591</v>
      </c>
      <c r="B38" s="405" t="s">
        <v>198</v>
      </c>
      <c r="C38" s="405" t="s">
        <v>193</v>
      </c>
      <c r="D38" s="406">
        <v>82895.55</v>
      </c>
      <c r="E38" s="406">
        <f>14193+73259.95</f>
        <v>87452.95</v>
      </c>
      <c r="F38" s="406">
        <f>33.06+96036.15</f>
        <v>96069.209999999992</v>
      </c>
      <c r="G38" s="406">
        <v>96666.4</v>
      </c>
      <c r="H38" s="406">
        <v>102107.63</v>
      </c>
      <c r="I38" s="406">
        <v>111468.47999999998</v>
      </c>
      <c r="J38" s="406">
        <v>116163</v>
      </c>
      <c r="K38" s="406">
        <v>116860</v>
      </c>
      <c r="L38" s="406">
        <v>115794.9</v>
      </c>
      <c r="M38" s="406">
        <f>L38</f>
        <v>115794.9</v>
      </c>
      <c r="N38" s="406">
        <v>115802</v>
      </c>
      <c r="O38" s="406">
        <v>114032.31</v>
      </c>
      <c r="P38" s="406">
        <v>113664.76999999999</v>
      </c>
      <c r="Q38" s="406">
        <v>107835.06</v>
      </c>
      <c r="R38" s="406">
        <v>100495.64</v>
      </c>
    </row>
    <row r="39" spans="1:20" x14ac:dyDescent="0.25">
      <c r="E39" s="178"/>
      <c r="F39" s="178"/>
    </row>
    <row r="40" spans="1:20" x14ac:dyDescent="0.25">
      <c r="D40" s="300">
        <f t="shared" ref="D40:I40" si="74">D2-D6</f>
        <v>10317.239477163734</v>
      </c>
      <c r="E40" s="300">
        <f t="shared" si="74"/>
        <v>5472.2321699947097</v>
      </c>
      <c r="F40" s="300">
        <f t="shared" si="74"/>
        <v>4900.657362838183</v>
      </c>
      <c r="G40" s="300">
        <f t="shared" si="74"/>
        <v>3152.188130010155</v>
      </c>
      <c r="H40" s="300">
        <f t="shared" si="74"/>
        <v>861.71306672161154</v>
      </c>
      <c r="I40" s="300">
        <f t="shared" si="74"/>
        <v>-260.333626145979</v>
      </c>
      <c r="J40" s="300">
        <f t="shared" ref="J40:K40" si="75">J2-J6</f>
        <v>-1263.4851795065642</v>
      </c>
      <c r="K40" s="300">
        <f t="shared" si="75"/>
        <v>-2483.4983625299719</v>
      </c>
      <c r="L40" s="300">
        <f t="shared" ref="L40:M40" si="76">L2-L6</f>
        <v>-4085.0757751579658</v>
      </c>
      <c r="M40" s="300">
        <f t="shared" si="76"/>
        <v>-5495.5999315861472</v>
      </c>
      <c r="N40" s="300">
        <f t="shared" ref="N40:O40" si="77">N2-N6</f>
        <v>-7040.2953558977915</v>
      </c>
      <c r="O40" s="300">
        <f t="shared" si="77"/>
        <v>-8669.3379417551769</v>
      </c>
      <c r="P40" s="300">
        <f t="shared" ref="P40:Q40" si="78">P2-P6</f>
        <v>-9097.1811635844788</v>
      </c>
      <c r="Q40" s="300">
        <f t="shared" si="78"/>
        <v>-9171.6659755694964</v>
      </c>
      <c r="T40" s="178"/>
    </row>
    <row r="41" spans="1:20" x14ac:dyDescent="0.25">
      <c r="B41" s="166"/>
      <c r="C41" s="169" t="s">
        <v>21</v>
      </c>
      <c r="D41" s="300">
        <f>D7-(D42+D43)</f>
        <v>1164.8734180016436</v>
      </c>
      <c r="E41" s="300">
        <f t="shared" ref="E41:I41" si="79">E7-(E42+E43)</f>
        <v>1427.8002004660475</v>
      </c>
      <c r="F41" s="300">
        <f t="shared" si="79"/>
        <v>371.55452077428708</v>
      </c>
      <c r="G41" s="300">
        <f t="shared" si="79"/>
        <v>1820.2871688205041</v>
      </c>
      <c r="H41" s="300">
        <f t="shared" si="79"/>
        <v>1977.1028761084126</v>
      </c>
      <c r="I41" s="300">
        <f t="shared" si="79"/>
        <v>487.36489886678578</v>
      </c>
      <c r="J41" s="300">
        <f t="shared" ref="J41:K41" si="80">J7-(J42+J43)</f>
        <v>620.16280372559754</v>
      </c>
      <c r="K41" s="300">
        <f t="shared" si="80"/>
        <v>0</v>
      </c>
      <c r="L41" s="300">
        <f t="shared" ref="L41:M41" si="81">L7-(L42+L43)</f>
        <v>0</v>
      </c>
      <c r="M41" s="300">
        <f t="shared" si="81"/>
        <v>0</v>
      </c>
      <c r="N41" s="300">
        <f t="shared" ref="N41:O41" si="82">N7-(N42+N43)</f>
        <v>0</v>
      </c>
      <c r="O41" s="300">
        <f t="shared" si="82"/>
        <v>0</v>
      </c>
      <c r="P41" s="300">
        <f t="shared" ref="P41:Q41" si="83">P7-(P42+P43)</f>
        <v>0</v>
      </c>
      <c r="Q41" s="300">
        <f t="shared" si="83"/>
        <v>0</v>
      </c>
    </row>
    <row r="42" spans="1:20" x14ac:dyDescent="0.25">
      <c r="B42" s="168" t="s">
        <v>277</v>
      </c>
      <c r="C42" s="168" t="s">
        <v>66</v>
      </c>
      <c r="D42" s="166">
        <f t="shared" ref="D42:I42" si="84">IF(D40&lt;0,0,D40)</f>
        <v>10317.239477163734</v>
      </c>
      <c r="E42" s="166">
        <f t="shared" si="84"/>
        <v>5472.2321699947097</v>
      </c>
      <c r="F42" s="166">
        <f t="shared" si="84"/>
        <v>4900.657362838183</v>
      </c>
      <c r="G42" s="166">
        <f t="shared" si="84"/>
        <v>3152.188130010155</v>
      </c>
      <c r="H42" s="166">
        <f t="shared" si="84"/>
        <v>861.71306672161154</v>
      </c>
      <c r="I42" s="166">
        <f t="shared" si="84"/>
        <v>0</v>
      </c>
      <c r="J42" s="166">
        <f t="shared" ref="J42:K42" si="85">IF(J40&lt;0,0,J40)</f>
        <v>0</v>
      </c>
      <c r="K42" s="166">
        <f t="shared" si="85"/>
        <v>0</v>
      </c>
      <c r="L42" s="166">
        <f t="shared" ref="L42:M42" si="86">IF(L40&lt;0,0,L40)</f>
        <v>0</v>
      </c>
      <c r="M42" s="166">
        <f t="shared" si="86"/>
        <v>0</v>
      </c>
      <c r="N42" s="166">
        <f t="shared" ref="N42:O42" si="87">IF(N40&lt;0,0,N40)</f>
        <v>0</v>
      </c>
      <c r="O42" s="166">
        <f t="shared" si="87"/>
        <v>0</v>
      </c>
      <c r="P42" s="166">
        <f t="shared" ref="P42:Q42" si="88">IF(P40&lt;0,0,P40)</f>
        <v>0</v>
      </c>
      <c r="Q42" s="166">
        <f t="shared" si="88"/>
        <v>0</v>
      </c>
    </row>
    <row r="43" spans="1:20" x14ac:dyDescent="0.25">
      <c r="C43" s="168" t="s">
        <v>111</v>
      </c>
      <c r="D43" s="166">
        <f>IF(D3&gt;D7,D7,D3)</f>
        <v>-400.12342148116505</v>
      </c>
      <c r="E43" s="166">
        <f t="shared" ref="E43:I43" si="89">IF(E3&gt;E7,E7,E3)</f>
        <v>-281.37420719545082</v>
      </c>
      <c r="F43" s="166">
        <f t="shared" si="89"/>
        <v>-112.60250861246877</v>
      </c>
      <c r="G43" s="166">
        <f t="shared" si="89"/>
        <v>216.43021298036524</v>
      </c>
      <c r="H43" s="166">
        <f t="shared" si="89"/>
        <v>407.65024074485518</v>
      </c>
      <c r="I43" s="166">
        <f t="shared" si="89"/>
        <v>441.63993205108864</v>
      </c>
      <c r="J43" s="166">
        <f t="shared" ref="J43:K43" si="90">IF(J3&gt;J7,J7,J3)</f>
        <v>923.57403837966558</v>
      </c>
      <c r="K43" s="166">
        <f t="shared" si="90"/>
        <v>509.58490566037739</v>
      </c>
      <c r="L43" s="166">
        <f t="shared" ref="L43:M43" si="91">IF(L3&gt;L7,L7,L3)</f>
        <v>1137.2768079800499</v>
      </c>
      <c r="M43" s="166">
        <f t="shared" si="91"/>
        <v>763.43973120537601</v>
      </c>
      <c r="N43" s="166">
        <f t="shared" ref="N43:O43" si="92">IF(N3&gt;N7,N7,N3)</f>
        <v>329.90909090909088</v>
      </c>
      <c r="O43" s="166">
        <f t="shared" si="92"/>
        <v>232.59730250481692</v>
      </c>
      <c r="P43" s="166">
        <f t="shared" ref="P43:Q43" si="93">IF(P3&gt;P7,P7,P3)</f>
        <v>169.19307832422587</v>
      </c>
      <c r="Q43" s="166">
        <f t="shared" si="93"/>
        <v>1166.7490636704122</v>
      </c>
    </row>
    <row r="44" spans="1:20" x14ac:dyDescent="0.25">
      <c r="C44" s="168" t="s">
        <v>121</v>
      </c>
      <c r="D44" s="166">
        <f>IF(D41&gt;0,D41,0)</f>
        <v>1164.8734180016436</v>
      </c>
      <c r="E44" s="166">
        <f t="shared" ref="E44:I44" si="94">IF(E41&gt;0,E41,0)</f>
        <v>1427.8002004660475</v>
      </c>
      <c r="F44" s="166">
        <f t="shared" si="94"/>
        <v>371.55452077428708</v>
      </c>
      <c r="G44" s="166">
        <f t="shared" si="94"/>
        <v>1820.2871688205041</v>
      </c>
      <c r="H44" s="166">
        <f t="shared" si="94"/>
        <v>1977.1028761084126</v>
      </c>
      <c r="I44" s="166">
        <f t="shared" si="94"/>
        <v>487.36489886678578</v>
      </c>
      <c r="J44" s="166">
        <f t="shared" ref="J44:K44" si="95">IF(J41&gt;0,J41,0)</f>
        <v>620.16280372559754</v>
      </c>
      <c r="K44" s="166">
        <f t="shared" si="95"/>
        <v>0</v>
      </c>
      <c r="L44" s="166">
        <f t="shared" ref="L44:M44" si="96">IF(L41&gt;0,L41,0)</f>
        <v>0</v>
      </c>
      <c r="M44" s="166">
        <f t="shared" si="96"/>
        <v>0</v>
      </c>
      <c r="N44" s="166">
        <f t="shared" ref="N44:O44" si="97">IF(N41&gt;0,N41,0)</f>
        <v>0</v>
      </c>
      <c r="O44" s="166">
        <f t="shared" si="97"/>
        <v>0</v>
      </c>
      <c r="P44" s="166">
        <f t="shared" ref="P44:Q44" si="98">IF(P41&gt;0,P41,0)</f>
        <v>0</v>
      </c>
      <c r="Q44" s="166">
        <f t="shared" si="98"/>
        <v>0</v>
      </c>
      <c r="R44" s="44"/>
    </row>
    <row r="45" spans="1:20" x14ac:dyDescent="0.25">
      <c r="L45" s="178">
        <f>(M22+M21)/(1-44%)</f>
        <v>5718.9601785714267</v>
      </c>
    </row>
    <row r="46" spans="1:20" x14ac:dyDescent="0.25">
      <c r="C46" s="169" t="s">
        <v>278</v>
      </c>
    </row>
    <row r="47" spans="1:20" x14ac:dyDescent="0.25">
      <c r="C47" s="168" t="s">
        <v>66</v>
      </c>
      <c r="D47" s="166">
        <f t="shared" ref="D47:K49" si="99">D42*D$11/E$11</f>
        <v>10001.405615617905</v>
      </c>
      <c r="E47" s="166">
        <f t="shared" si="99"/>
        <v>5586.2370068695991</v>
      </c>
      <c r="F47" s="166">
        <f t="shared" si="99"/>
        <v>4939.245216088877</v>
      </c>
      <c r="G47" s="166">
        <f t="shared" si="99"/>
        <v>2900.9267573281863</v>
      </c>
      <c r="H47" s="166">
        <f t="shared" si="99"/>
        <v>861.71306672161154</v>
      </c>
      <c r="I47" s="166">
        <f t="shared" si="99"/>
        <v>0</v>
      </c>
      <c r="J47" s="166">
        <f t="shared" si="99"/>
        <v>0</v>
      </c>
      <c r="K47" s="166">
        <f t="shared" si="99"/>
        <v>0</v>
      </c>
      <c r="L47" s="166">
        <f>L42*L$11/M$11</f>
        <v>0</v>
      </c>
      <c r="M47" s="166">
        <f t="shared" ref="M47:Q49" si="100">M42*M$11/N$11</f>
        <v>0</v>
      </c>
      <c r="N47" s="166">
        <f t="shared" si="100"/>
        <v>0</v>
      </c>
      <c r="O47" s="166">
        <f t="shared" si="100"/>
        <v>0</v>
      </c>
      <c r="P47" s="166">
        <f t="shared" si="100"/>
        <v>0</v>
      </c>
      <c r="Q47" s="166">
        <f t="shared" si="100"/>
        <v>0</v>
      </c>
    </row>
    <row r="48" spans="1:20" x14ac:dyDescent="0.25">
      <c r="C48" s="168" t="s">
        <v>111</v>
      </c>
      <c r="D48" s="166">
        <f t="shared" si="99"/>
        <v>-387.87474531337426</v>
      </c>
      <c r="E48" s="166">
        <f t="shared" si="99"/>
        <v>-287.23616984535602</v>
      </c>
      <c r="F48" s="166">
        <f t="shared" si="99"/>
        <v>-113.48914253855119</v>
      </c>
      <c r="G48" s="166">
        <f t="shared" si="99"/>
        <v>199.17852933700283</v>
      </c>
      <c r="H48" s="166">
        <f t="shared" si="99"/>
        <v>407.65024074485518</v>
      </c>
      <c r="I48" s="166">
        <f t="shared" si="99"/>
        <v>458.24293701541524</v>
      </c>
      <c r="J48" s="166">
        <f t="shared" si="99"/>
        <v>869.11802196577025</v>
      </c>
      <c r="K48" s="166">
        <f t="shared" si="99"/>
        <v>538.81296758104747</v>
      </c>
      <c r="L48" s="166">
        <f t="shared" ref="L48:L49" si="101">L43*L$11/M$11</f>
        <v>1064.0907181856362</v>
      </c>
      <c r="M48" s="166">
        <f t="shared" si="100"/>
        <v>762.69230769230785</v>
      </c>
      <c r="N48" s="166">
        <f t="shared" si="100"/>
        <v>272.69942196531787</v>
      </c>
      <c r="O48" s="166">
        <f t="shared" si="100"/>
        <v>219.88706739526407</v>
      </c>
      <c r="P48" s="166">
        <f t="shared" si="100"/>
        <v>173.94569288389513</v>
      </c>
      <c r="Q48" s="166">
        <f t="shared" si="100"/>
        <v>1141.1062271062272</v>
      </c>
    </row>
    <row r="49" spans="3:17" x14ac:dyDescent="0.25">
      <c r="C49" s="168" t="s">
        <v>121</v>
      </c>
      <c r="D49" s="166">
        <f t="shared" si="99"/>
        <v>1129.2140276546545</v>
      </c>
      <c r="E49" s="166">
        <f t="shared" si="99"/>
        <v>1457.5460379757569</v>
      </c>
      <c r="F49" s="166">
        <f t="shared" si="99"/>
        <v>374.48014692211609</v>
      </c>
      <c r="G49" s="166">
        <f t="shared" si="99"/>
        <v>1675.1918147840872</v>
      </c>
      <c r="H49" s="166">
        <f t="shared" si="99"/>
        <v>1977.1028761084126</v>
      </c>
      <c r="I49" s="166">
        <f t="shared" si="99"/>
        <v>505.68688754598816</v>
      </c>
      <c r="J49" s="166">
        <f t="shared" si="99"/>
        <v>583.59660067573918</v>
      </c>
      <c r="K49" s="166">
        <f t="shared" si="99"/>
        <v>0</v>
      </c>
      <c r="L49" s="166">
        <f t="shared" si="101"/>
        <v>0</v>
      </c>
      <c r="M49" s="166">
        <f t="shared" si="100"/>
        <v>0</v>
      </c>
      <c r="N49" s="166">
        <f t="shared" si="100"/>
        <v>0</v>
      </c>
      <c r="O49" s="166">
        <f t="shared" si="100"/>
        <v>0</v>
      </c>
      <c r="P49" s="166">
        <f t="shared" si="100"/>
        <v>0</v>
      </c>
      <c r="Q49" s="166">
        <f t="shared" si="100"/>
        <v>0</v>
      </c>
    </row>
    <row r="50" spans="3:17" x14ac:dyDescent="0.25"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</row>
    <row r="51" spans="3:17" x14ac:dyDescent="0.25">
      <c r="C51" s="223" t="s">
        <v>279</v>
      </c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</row>
    <row r="52" spans="3:17" x14ac:dyDescent="0.25">
      <c r="C52" s="168" t="s">
        <v>66</v>
      </c>
      <c r="D52" s="166">
        <f t="shared" ref="D52:E54" si="102">D47-D42</f>
        <v>-315.83386154582877</v>
      </c>
      <c r="E52" s="166">
        <f t="shared" si="102"/>
        <v>114.00483687488941</v>
      </c>
      <c r="F52" s="166">
        <f t="shared" ref="F52:G52" si="103">F47-F42</f>
        <v>38.587853250694025</v>
      </c>
      <c r="G52" s="166">
        <f t="shared" si="103"/>
        <v>-251.26137268196862</v>
      </c>
      <c r="H52" s="166">
        <f t="shared" ref="H52:I52" si="104">H47-H42</f>
        <v>0</v>
      </c>
      <c r="I52" s="166">
        <f t="shared" si="104"/>
        <v>0</v>
      </c>
      <c r="J52" s="166">
        <f t="shared" ref="J52:K52" si="105">J47-J42</f>
        <v>0</v>
      </c>
      <c r="K52" s="166">
        <f t="shared" si="105"/>
        <v>0</v>
      </c>
      <c r="L52" s="166">
        <f t="shared" ref="L52:M52" si="106">L47-L42</f>
        <v>0</v>
      </c>
      <c r="M52" s="166">
        <f t="shared" si="106"/>
        <v>0</v>
      </c>
      <c r="N52" s="166">
        <f t="shared" ref="N52:O52" si="107">N47-N42</f>
        <v>0</v>
      </c>
      <c r="O52" s="166">
        <f t="shared" si="107"/>
        <v>0</v>
      </c>
      <c r="P52" s="166">
        <f t="shared" ref="P52:Q52" si="108">P47-P42</f>
        <v>0</v>
      </c>
      <c r="Q52" s="166">
        <f t="shared" si="108"/>
        <v>0</v>
      </c>
    </row>
    <row r="53" spans="3:17" x14ac:dyDescent="0.25">
      <c r="C53" s="168" t="s">
        <v>111</v>
      </c>
      <c r="D53" s="166">
        <f t="shared" si="102"/>
        <v>12.248676167790791</v>
      </c>
      <c r="E53" s="166">
        <f t="shared" si="102"/>
        <v>-5.8619626499051947</v>
      </c>
      <c r="F53" s="166">
        <f t="shared" ref="F53:G53" si="109">F48-F43</f>
        <v>-0.88663392608242475</v>
      </c>
      <c r="G53" s="166">
        <f t="shared" si="109"/>
        <v>-17.251683643362412</v>
      </c>
      <c r="H53" s="166">
        <f t="shared" ref="H53:I53" si="110">H48-H43</f>
        <v>0</v>
      </c>
      <c r="I53" s="166">
        <f t="shared" si="110"/>
        <v>16.603004964326601</v>
      </c>
      <c r="J53" s="166">
        <f t="shared" ref="J53:K53" si="111">J48-J43</f>
        <v>-54.456016413895327</v>
      </c>
      <c r="K53" s="166">
        <f t="shared" si="111"/>
        <v>29.228061920670086</v>
      </c>
      <c r="L53" s="166">
        <f t="shared" ref="L53:M53" si="112">L48-L43</f>
        <v>-73.186089794413647</v>
      </c>
      <c r="M53" s="166">
        <f t="shared" si="112"/>
        <v>-0.74742351306815635</v>
      </c>
      <c r="N53" s="166">
        <f t="shared" ref="N53:O53" si="113">N48-N43</f>
        <v>-57.209668943773011</v>
      </c>
      <c r="O53" s="166">
        <f t="shared" si="113"/>
        <v>-12.710235109552855</v>
      </c>
      <c r="P53" s="166">
        <f t="shared" ref="P53:Q53" si="114">P48-P43</f>
        <v>4.7526145596692686</v>
      </c>
      <c r="Q53" s="166">
        <f t="shared" si="114"/>
        <v>-25.642836564185018</v>
      </c>
    </row>
    <row r="54" spans="3:17" x14ac:dyDescent="0.25">
      <c r="C54" s="168" t="s">
        <v>121</v>
      </c>
      <c r="D54" s="166">
        <f t="shared" si="102"/>
        <v>-35.659390346989085</v>
      </c>
      <c r="E54" s="166">
        <f t="shared" si="102"/>
        <v>29.745837509709418</v>
      </c>
      <c r="F54" s="166">
        <f t="shared" ref="F54:G54" si="115">F49-F44</f>
        <v>2.9256261478290071</v>
      </c>
      <c r="G54" s="166">
        <f t="shared" si="115"/>
        <v>-145.09535403641689</v>
      </c>
      <c r="H54" s="166">
        <f t="shared" ref="H54:I54" si="116">H49-H44</f>
        <v>0</v>
      </c>
      <c r="I54" s="166">
        <f t="shared" si="116"/>
        <v>18.321988679202377</v>
      </c>
      <c r="J54" s="166">
        <f t="shared" ref="J54:K54" si="117">J49-J44</f>
        <v>-36.566203049858359</v>
      </c>
      <c r="K54" s="166">
        <f t="shared" si="117"/>
        <v>0</v>
      </c>
      <c r="L54" s="166">
        <f t="shared" ref="L54:M54" si="118">L49-L44</f>
        <v>0</v>
      </c>
      <c r="M54" s="166">
        <f t="shared" si="118"/>
        <v>0</v>
      </c>
      <c r="N54" s="166">
        <f t="shared" ref="N54:O54" si="119">N49-N44</f>
        <v>0</v>
      </c>
      <c r="O54" s="166">
        <f t="shared" si="119"/>
        <v>0</v>
      </c>
      <c r="P54" s="166">
        <f t="shared" ref="P54:Q54" si="120">P49-P44</f>
        <v>0</v>
      </c>
      <c r="Q54" s="166">
        <f t="shared" si="120"/>
        <v>0</v>
      </c>
    </row>
    <row r="55" spans="3:17" x14ac:dyDescent="0.25">
      <c r="C55" s="178"/>
    </row>
    <row r="56" spans="3:17" x14ac:dyDescent="0.25">
      <c r="C56" s="178"/>
    </row>
    <row r="57" spans="3:17" x14ac:dyDescent="0.25">
      <c r="C57" s="178"/>
    </row>
    <row r="58" spans="3:17" x14ac:dyDescent="0.25">
      <c r="C58" s="178"/>
    </row>
    <row r="62" spans="3:17" x14ac:dyDescent="0.25">
      <c r="D62" s="177"/>
      <c r="E62" s="177"/>
    </row>
  </sheetData>
  <mergeCells count="4">
    <mergeCell ref="A13:A19"/>
    <mergeCell ref="A20:A22"/>
    <mergeCell ref="A23:A28"/>
    <mergeCell ref="A32:A37"/>
  </mergeCell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A11F4-4A0C-414D-9BFD-54CCB44AF083}">
  <sheetPr>
    <tabColor rgb="FFFFFF00"/>
  </sheetPr>
  <dimension ref="A1:GT66"/>
  <sheetViews>
    <sheetView topLeftCell="A2" zoomScaleNormal="100" workbookViewId="0">
      <pane xSplit="1" ySplit="2" topLeftCell="AA22" activePane="bottomRight" state="frozen"/>
      <selection activeCell="A2" sqref="A2"/>
      <selection pane="topRight" activeCell="B2" sqref="B2"/>
      <selection pane="bottomLeft" activeCell="A3" sqref="A3"/>
      <selection pane="bottomRight" activeCell="AJ30" sqref="AJ30"/>
    </sheetView>
  </sheetViews>
  <sheetFormatPr defaultRowHeight="15" x14ac:dyDescent="0.25"/>
  <cols>
    <col min="1" max="1" width="9.85546875" customWidth="1"/>
  </cols>
  <sheetData>
    <row r="1" spans="1:202" x14ac:dyDescent="0.25">
      <c r="A1" s="81"/>
      <c r="B1" s="51"/>
      <c r="C1" s="54" t="str">
        <f>CONCATENATE(MONTH(C3)," ",YEAR(C3))</f>
        <v>5 2019</v>
      </c>
      <c r="D1" s="54" t="str">
        <f t="shared" ref="D1:BO1" si="0">CONCATENATE(MONTH(D3)," ",YEAR(D3))</f>
        <v>6 2019</v>
      </c>
      <c r="E1" s="54" t="str">
        <f t="shared" si="0"/>
        <v>7 2019</v>
      </c>
      <c r="F1" s="54" t="str">
        <f t="shared" si="0"/>
        <v>8 2019</v>
      </c>
      <c r="G1" s="54" t="str">
        <f t="shared" si="0"/>
        <v>9 2019</v>
      </c>
      <c r="H1" s="54" t="str">
        <f t="shared" si="0"/>
        <v>10 2019</v>
      </c>
      <c r="I1" s="54" t="str">
        <f t="shared" si="0"/>
        <v>11 2019</v>
      </c>
      <c r="J1" s="54" t="str">
        <f t="shared" si="0"/>
        <v>12 2019</v>
      </c>
      <c r="K1" s="54" t="str">
        <f t="shared" si="0"/>
        <v>1 2020</v>
      </c>
      <c r="L1" s="54" t="str">
        <f t="shared" si="0"/>
        <v>2 2020</v>
      </c>
      <c r="M1" s="54" t="str">
        <f t="shared" si="0"/>
        <v>3 2020</v>
      </c>
      <c r="N1" s="54" t="str">
        <f t="shared" si="0"/>
        <v>4 2020</v>
      </c>
      <c r="O1" s="54" t="str">
        <f t="shared" si="0"/>
        <v>5 2020</v>
      </c>
      <c r="P1" s="54" t="str">
        <f t="shared" si="0"/>
        <v>6 2020</v>
      </c>
      <c r="Q1" s="54" t="str">
        <f t="shared" si="0"/>
        <v>7 2020</v>
      </c>
      <c r="R1" s="54" t="str">
        <f t="shared" si="0"/>
        <v>8 2020</v>
      </c>
      <c r="S1" s="54" t="str">
        <f t="shared" si="0"/>
        <v>9 2020</v>
      </c>
      <c r="T1" s="54" t="str">
        <f t="shared" si="0"/>
        <v>10 2020</v>
      </c>
      <c r="U1" s="54" t="str">
        <f t="shared" si="0"/>
        <v>11 2020</v>
      </c>
      <c r="V1" s="54" t="str">
        <f t="shared" si="0"/>
        <v>12 2020</v>
      </c>
      <c r="W1" s="54" t="str">
        <f t="shared" si="0"/>
        <v>1 2021</v>
      </c>
      <c r="X1" s="54" t="str">
        <f t="shared" si="0"/>
        <v>2 2021</v>
      </c>
      <c r="Y1" s="54" t="str">
        <f t="shared" si="0"/>
        <v>3 2021</v>
      </c>
      <c r="Z1" s="54" t="str">
        <f t="shared" si="0"/>
        <v>4 2021</v>
      </c>
      <c r="AA1" s="54" t="str">
        <f t="shared" si="0"/>
        <v>5 2021</v>
      </c>
      <c r="AB1" s="54" t="str">
        <f t="shared" si="0"/>
        <v>6 2021</v>
      </c>
      <c r="AC1" s="54" t="str">
        <f t="shared" si="0"/>
        <v>7 2021</v>
      </c>
      <c r="AD1" s="54" t="str">
        <f t="shared" si="0"/>
        <v>8 2021</v>
      </c>
      <c r="AE1" s="54" t="str">
        <f t="shared" si="0"/>
        <v>9 2021</v>
      </c>
      <c r="AF1" s="54" t="str">
        <f t="shared" si="0"/>
        <v>10 2021</v>
      </c>
      <c r="AG1" s="54" t="str">
        <f t="shared" si="0"/>
        <v>11 2021</v>
      </c>
      <c r="AH1" s="54" t="str">
        <f t="shared" si="0"/>
        <v>12 2021</v>
      </c>
      <c r="AI1" s="54" t="str">
        <f t="shared" si="0"/>
        <v>1 2022</v>
      </c>
      <c r="AJ1" s="54" t="str">
        <f t="shared" si="0"/>
        <v>2 2022</v>
      </c>
      <c r="AK1" s="54" t="str">
        <f t="shared" si="0"/>
        <v>3 2022</v>
      </c>
      <c r="AL1" s="54" t="str">
        <f t="shared" si="0"/>
        <v>4 2022</v>
      </c>
      <c r="AM1" s="54" t="str">
        <f t="shared" si="0"/>
        <v>5 2022</v>
      </c>
      <c r="AN1" s="54" t="str">
        <f t="shared" si="0"/>
        <v>6 2022</v>
      </c>
      <c r="AO1" s="54" t="str">
        <f t="shared" si="0"/>
        <v>7 2022</v>
      </c>
      <c r="AP1" s="54" t="str">
        <f t="shared" si="0"/>
        <v>8 2022</v>
      </c>
      <c r="AQ1" s="54" t="str">
        <f t="shared" si="0"/>
        <v>9 2022</v>
      </c>
      <c r="AR1" s="54" t="str">
        <f t="shared" si="0"/>
        <v>10 2022</v>
      </c>
      <c r="AS1" s="54" t="str">
        <f t="shared" si="0"/>
        <v>11 2022</v>
      </c>
      <c r="AT1" s="54" t="str">
        <f t="shared" si="0"/>
        <v>12 2022</v>
      </c>
      <c r="AU1" s="54" t="str">
        <f t="shared" si="0"/>
        <v>1 2023</v>
      </c>
      <c r="AV1" s="54" t="str">
        <f t="shared" si="0"/>
        <v>2 2023</v>
      </c>
      <c r="AW1" s="54" t="str">
        <f t="shared" si="0"/>
        <v>3 2023</v>
      </c>
      <c r="AX1" s="54" t="str">
        <f t="shared" si="0"/>
        <v>4 2023</v>
      </c>
      <c r="AY1" s="54" t="str">
        <f t="shared" si="0"/>
        <v>5 2023</v>
      </c>
      <c r="AZ1" s="54" t="str">
        <f t="shared" si="0"/>
        <v>6 2023</v>
      </c>
      <c r="BA1" s="54" t="str">
        <f t="shared" si="0"/>
        <v>7 2023</v>
      </c>
      <c r="BB1" s="54" t="str">
        <f t="shared" si="0"/>
        <v>8 2023</v>
      </c>
      <c r="BC1" s="54" t="str">
        <f t="shared" si="0"/>
        <v>9 2023</v>
      </c>
      <c r="BD1" s="54" t="str">
        <f t="shared" si="0"/>
        <v>10 2023</v>
      </c>
      <c r="BE1" s="54" t="str">
        <f t="shared" si="0"/>
        <v>11 2023</v>
      </c>
      <c r="BF1" s="54" t="str">
        <f t="shared" si="0"/>
        <v>12 2023</v>
      </c>
      <c r="BG1" s="54" t="str">
        <f t="shared" si="0"/>
        <v>1 2024</v>
      </c>
      <c r="BH1" s="54" t="str">
        <f t="shared" si="0"/>
        <v>2 2024</v>
      </c>
      <c r="BI1" s="54" t="str">
        <f t="shared" si="0"/>
        <v>3 2024</v>
      </c>
      <c r="BJ1" s="54" t="str">
        <f t="shared" si="0"/>
        <v>4 2024</v>
      </c>
      <c r="BK1" s="54" t="str">
        <f t="shared" si="0"/>
        <v>5 2024</v>
      </c>
      <c r="BL1" s="54" t="str">
        <f t="shared" si="0"/>
        <v>6 2024</v>
      </c>
      <c r="BM1" s="54" t="str">
        <f t="shared" si="0"/>
        <v>7 2024</v>
      </c>
      <c r="BN1" s="54" t="str">
        <f t="shared" si="0"/>
        <v>8 2024</v>
      </c>
      <c r="BO1" s="54" t="str">
        <f t="shared" si="0"/>
        <v>9 2024</v>
      </c>
      <c r="BP1" s="54" t="str">
        <f t="shared" ref="BP1:EA1" si="1">CONCATENATE(MONTH(BP3)," ",YEAR(BP3))</f>
        <v>10 2024</v>
      </c>
      <c r="BQ1" s="54" t="str">
        <f t="shared" si="1"/>
        <v>11 2024</v>
      </c>
      <c r="BR1" s="54" t="str">
        <f t="shared" si="1"/>
        <v>12 2024</v>
      </c>
      <c r="BS1" s="54" t="str">
        <f t="shared" si="1"/>
        <v>1 2025</v>
      </c>
      <c r="BT1" s="54" t="str">
        <f t="shared" si="1"/>
        <v>2 2025</v>
      </c>
      <c r="BU1" s="54" t="str">
        <f t="shared" si="1"/>
        <v>3 2025</v>
      </c>
      <c r="BV1" s="54" t="str">
        <f t="shared" si="1"/>
        <v>4 2025</v>
      </c>
      <c r="BW1" s="54" t="str">
        <f t="shared" si="1"/>
        <v>5 2025</v>
      </c>
      <c r="BX1" s="54" t="str">
        <f t="shared" si="1"/>
        <v>6 2025</v>
      </c>
      <c r="BY1" s="54" t="str">
        <f t="shared" si="1"/>
        <v>7 2025</v>
      </c>
      <c r="BZ1" s="54" t="str">
        <f t="shared" si="1"/>
        <v>8 2025</v>
      </c>
      <c r="CA1" s="54" t="str">
        <f t="shared" si="1"/>
        <v>9 2025</v>
      </c>
      <c r="CB1" s="54" t="str">
        <f t="shared" si="1"/>
        <v>10 2025</v>
      </c>
      <c r="CC1" s="54" t="str">
        <f t="shared" si="1"/>
        <v>11 2025</v>
      </c>
      <c r="CD1" s="54" t="str">
        <f t="shared" si="1"/>
        <v>12 2025</v>
      </c>
      <c r="CE1" s="54" t="str">
        <f t="shared" si="1"/>
        <v>1 2026</v>
      </c>
      <c r="CF1" s="54" t="str">
        <f t="shared" si="1"/>
        <v>2 2026</v>
      </c>
      <c r="CG1" s="54" t="str">
        <f t="shared" si="1"/>
        <v>3 2026</v>
      </c>
      <c r="CH1" s="54" t="str">
        <f t="shared" si="1"/>
        <v>4 2026</v>
      </c>
      <c r="CI1" s="54" t="str">
        <f t="shared" si="1"/>
        <v>5 2026</v>
      </c>
      <c r="CJ1" s="54" t="str">
        <f t="shared" si="1"/>
        <v>6 2026</v>
      </c>
      <c r="CK1" s="54" t="str">
        <f t="shared" si="1"/>
        <v>7 2026</v>
      </c>
      <c r="CL1" s="54" t="str">
        <f t="shared" si="1"/>
        <v>8 2026</v>
      </c>
      <c r="CM1" s="54" t="str">
        <f t="shared" si="1"/>
        <v>9 2026</v>
      </c>
      <c r="CN1" s="54" t="str">
        <f t="shared" si="1"/>
        <v>10 2026</v>
      </c>
      <c r="CO1" s="54" t="str">
        <f t="shared" si="1"/>
        <v>11 2026</v>
      </c>
      <c r="CP1" s="54" t="str">
        <f t="shared" si="1"/>
        <v>12 2026</v>
      </c>
      <c r="CQ1" s="54" t="str">
        <f t="shared" si="1"/>
        <v>1 2027</v>
      </c>
      <c r="CR1" s="54" t="str">
        <f t="shared" si="1"/>
        <v>2 2027</v>
      </c>
      <c r="CS1" s="54" t="str">
        <f t="shared" si="1"/>
        <v>3 2027</v>
      </c>
      <c r="CT1" s="54" t="str">
        <f t="shared" si="1"/>
        <v>4 2027</v>
      </c>
      <c r="CU1" s="54" t="str">
        <f t="shared" si="1"/>
        <v>5 2027</v>
      </c>
      <c r="CV1" s="54" t="str">
        <f t="shared" si="1"/>
        <v>6 2027</v>
      </c>
      <c r="CW1" s="54" t="str">
        <f t="shared" si="1"/>
        <v>7 2027</v>
      </c>
      <c r="CX1" s="54" t="str">
        <f t="shared" si="1"/>
        <v>8 2027</v>
      </c>
      <c r="CY1" s="54" t="str">
        <f t="shared" si="1"/>
        <v>9 2027</v>
      </c>
      <c r="CZ1" s="54" t="str">
        <f t="shared" si="1"/>
        <v>10 2027</v>
      </c>
      <c r="DA1" s="54" t="str">
        <f t="shared" si="1"/>
        <v>11 2027</v>
      </c>
      <c r="DB1" s="54" t="str">
        <f t="shared" si="1"/>
        <v>12 2027</v>
      </c>
      <c r="DC1" s="54" t="str">
        <f t="shared" si="1"/>
        <v>1 2028</v>
      </c>
      <c r="DD1" s="54" t="str">
        <f t="shared" si="1"/>
        <v>2 2028</v>
      </c>
      <c r="DE1" s="54" t="str">
        <f t="shared" si="1"/>
        <v>3 2028</v>
      </c>
      <c r="DF1" s="54" t="str">
        <f t="shared" si="1"/>
        <v>4 2028</v>
      </c>
      <c r="DG1" s="54" t="str">
        <f t="shared" si="1"/>
        <v>5 2028</v>
      </c>
      <c r="DH1" s="54" t="str">
        <f t="shared" si="1"/>
        <v>6 2028</v>
      </c>
      <c r="DI1" s="54" t="str">
        <f t="shared" si="1"/>
        <v>7 2028</v>
      </c>
      <c r="DJ1" s="54" t="str">
        <f t="shared" si="1"/>
        <v>8 2028</v>
      </c>
      <c r="DK1" s="54" t="str">
        <f t="shared" si="1"/>
        <v>9 2028</v>
      </c>
      <c r="DL1" s="54" t="str">
        <f t="shared" si="1"/>
        <v>10 2028</v>
      </c>
      <c r="DM1" s="54" t="str">
        <f t="shared" si="1"/>
        <v>11 2028</v>
      </c>
      <c r="DN1" s="54" t="str">
        <f t="shared" si="1"/>
        <v>12 2028</v>
      </c>
      <c r="DO1" s="54" t="str">
        <f t="shared" si="1"/>
        <v>1 2029</v>
      </c>
      <c r="DP1" s="54" t="str">
        <f t="shared" si="1"/>
        <v>2 2029</v>
      </c>
      <c r="DQ1" s="54" t="str">
        <f t="shared" si="1"/>
        <v>3 2029</v>
      </c>
      <c r="DR1" s="54" t="str">
        <f t="shared" si="1"/>
        <v>4 2029</v>
      </c>
      <c r="DS1" s="54" t="str">
        <f t="shared" si="1"/>
        <v>5 2029</v>
      </c>
      <c r="DT1" s="54" t="str">
        <f t="shared" si="1"/>
        <v>6 2029</v>
      </c>
      <c r="DU1" s="54" t="str">
        <f t="shared" si="1"/>
        <v>7 2029</v>
      </c>
      <c r="DV1" s="54" t="str">
        <f t="shared" si="1"/>
        <v>8 2029</v>
      </c>
      <c r="DW1" s="54" t="str">
        <f t="shared" si="1"/>
        <v>9 2029</v>
      </c>
      <c r="DX1" s="54" t="str">
        <f t="shared" si="1"/>
        <v>10 2029</v>
      </c>
      <c r="DY1" s="54" t="str">
        <f t="shared" si="1"/>
        <v>11 2029</v>
      </c>
      <c r="DZ1" s="54" t="str">
        <f t="shared" si="1"/>
        <v>12 2029</v>
      </c>
      <c r="EA1" s="54" t="str">
        <f t="shared" si="1"/>
        <v>1 2030</v>
      </c>
      <c r="EB1" s="54" t="str">
        <f t="shared" ref="EB1:GM1" si="2">CONCATENATE(MONTH(EB3)," ",YEAR(EB3))</f>
        <v>2 2030</v>
      </c>
      <c r="EC1" s="54" t="str">
        <f t="shared" si="2"/>
        <v>3 2030</v>
      </c>
      <c r="ED1" s="54" t="str">
        <f t="shared" si="2"/>
        <v>4 2030</v>
      </c>
      <c r="EE1" s="54" t="str">
        <f t="shared" si="2"/>
        <v>5 2030</v>
      </c>
      <c r="EF1" s="54" t="str">
        <f t="shared" si="2"/>
        <v>6 2030</v>
      </c>
      <c r="EG1" s="54" t="str">
        <f t="shared" si="2"/>
        <v>7 2030</v>
      </c>
      <c r="EH1" s="54" t="str">
        <f t="shared" si="2"/>
        <v>8 2030</v>
      </c>
      <c r="EI1" s="54" t="str">
        <f t="shared" si="2"/>
        <v>9 2030</v>
      </c>
      <c r="EJ1" s="54" t="str">
        <f t="shared" si="2"/>
        <v>10 2030</v>
      </c>
      <c r="EK1" s="54" t="str">
        <f t="shared" si="2"/>
        <v>11 2030</v>
      </c>
      <c r="EL1" s="54" t="str">
        <f t="shared" si="2"/>
        <v>12 2030</v>
      </c>
      <c r="EM1" s="54" t="str">
        <f t="shared" si="2"/>
        <v>1 2031</v>
      </c>
      <c r="EN1" s="54" t="str">
        <f t="shared" si="2"/>
        <v>2 2031</v>
      </c>
      <c r="EO1" s="54" t="str">
        <f t="shared" si="2"/>
        <v>3 2031</v>
      </c>
      <c r="EP1" s="54" t="str">
        <f t="shared" si="2"/>
        <v>4 2031</v>
      </c>
      <c r="EQ1" s="54" t="str">
        <f t="shared" si="2"/>
        <v>5 2031</v>
      </c>
      <c r="ER1" s="54" t="str">
        <f t="shared" si="2"/>
        <v>6 2031</v>
      </c>
      <c r="ES1" s="54" t="str">
        <f t="shared" si="2"/>
        <v>7 2031</v>
      </c>
      <c r="ET1" s="54" t="str">
        <f t="shared" si="2"/>
        <v>8 2031</v>
      </c>
      <c r="EU1" s="54" t="str">
        <f t="shared" si="2"/>
        <v>9 2031</v>
      </c>
      <c r="EV1" s="54" t="str">
        <f t="shared" si="2"/>
        <v>10 2031</v>
      </c>
      <c r="EW1" s="54" t="str">
        <f t="shared" si="2"/>
        <v>11 2031</v>
      </c>
      <c r="EX1" s="54" t="str">
        <f t="shared" si="2"/>
        <v>12 2031</v>
      </c>
      <c r="EY1" s="54" t="str">
        <f t="shared" si="2"/>
        <v>1 2032</v>
      </c>
      <c r="EZ1" s="54" t="str">
        <f t="shared" si="2"/>
        <v>2 2032</v>
      </c>
      <c r="FA1" s="54" t="str">
        <f t="shared" si="2"/>
        <v>3 2032</v>
      </c>
      <c r="FB1" s="54" t="str">
        <f t="shared" si="2"/>
        <v>4 2032</v>
      </c>
      <c r="FC1" s="54" t="str">
        <f t="shared" si="2"/>
        <v>5 2032</v>
      </c>
      <c r="FD1" s="54" t="str">
        <f t="shared" si="2"/>
        <v>6 2032</v>
      </c>
      <c r="FE1" s="54" t="str">
        <f t="shared" si="2"/>
        <v>7 2032</v>
      </c>
      <c r="FF1" s="54" t="str">
        <f t="shared" si="2"/>
        <v>8 2032</v>
      </c>
      <c r="FG1" s="54" t="str">
        <f t="shared" si="2"/>
        <v>9 2032</v>
      </c>
      <c r="FH1" s="54" t="str">
        <f t="shared" si="2"/>
        <v>10 2032</v>
      </c>
      <c r="FI1" s="54" t="str">
        <f t="shared" si="2"/>
        <v>11 2032</v>
      </c>
      <c r="FJ1" s="54" t="str">
        <f t="shared" si="2"/>
        <v>12 2032</v>
      </c>
      <c r="FK1" s="54" t="str">
        <f t="shared" si="2"/>
        <v>1 2033</v>
      </c>
      <c r="FL1" s="54" t="str">
        <f t="shared" si="2"/>
        <v>2 2033</v>
      </c>
      <c r="FM1" s="54" t="str">
        <f t="shared" si="2"/>
        <v>3 2033</v>
      </c>
      <c r="FN1" s="54" t="str">
        <f t="shared" si="2"/>
        <v>4 2033</v>
      </c>
      <c r="FO1" s="54" t="str">
        <f t="shared" si="2"/>
        <v>5 2033</v>
      </c>
      <c r="FP1" s="54" t="str">
        <f t="shared" si="2"/>
        <v>6 2033</v>
      </c>
      <c r="FQ1" s="54" t="str">
        <f t="shared" si="2"/>
        <v>7 2033</v>
      </c>
      <c r="FR1" s="54" t="str">
        <f t="shared" si="2"/>
        <v>8 2033</v>
      </c>
      <c r="FS1" s="54" t="str">
        <f t="shared" si="2"/>
        <v>9 2033</v>
      </c>
      <c r="FT1" s="54" t="str">
        <f t="shared" si="2"/>
        <v>10 2033</v>
      </c>
      <c r="FU1" s="54" t="str">
        <f t="shared" si="2"/>
        <v>11 2033</v>
      </c>
      <c r="FV1" s="54" t="str">
        <f t="shared" si="2"/>
        <v>12 2033</v>
      </c>
      <c r="FW1" s="54" t="str">
        <f t="shared" si="2"/>
        <v>1 2034</v>
      </c>
      <c r="FX1" s="54" t="str">
        <f t="shared" si="2"/>
        <v>2 2034</v>
      </c>
      <c r="FY1" s="54" t="str">
        <f t="shared" si="2"/>
        <v>3 2034</v>
      </c>
      <c r="FZ1" s="54" t="str">
        <f t="shared" si="2"/>
        <v>4 2034</v>
      </c>
      <c r="GA1" s="54" t="str">
        <f t="shared" si="2"/>
        <v>5 2034</v>
      </c>
      <c r="GB1" s="54" t="str">
        <f t="shared" si="2"/>
        <v>6 2034</v>
      </c>
      <c r="GC1" s="54" t="str">
        <f t="shared" si="2"/>
        <v>7 2034</v>
      </c>
      <c r="GD1" s="54" t="str">
        <f t="shared" si="2"/>
        <v>8 2034</v>
      </c>
      <c r="GE1" s="54" t="str">
        <f t="shared" si="2"/>
        <v>9 2034</v>
      </c>
      <c r="GF1" s="54" t="str">
        <f t="shared" si="2"/>
        <v>10 2034</v>
      </c>
      <c r="GG1" s="54" t="str">
        <f t="shared" si="2"/>
        <v>11 2034</v>
      </c>
      <c r="GH1" s="54" t="str">
        <f t="shared" si="2"/>
        <v>12 2034</v>
      </c>
      <c r="GI1" s="54" t="str">
        <f t="shared" si="2"/>
        <v>1 2035</v>
      </c>
      <c r="GJ1" s="54" t="str">
        <f t="shared" si="2"/>
        <v>2 2035</v>
      </c>
      <c r="GK1" s="54" t="str">
        <f t="shared" si="2"/>
        <v>3 2035</v>
      </c>
      <c r="GL1" s="54" t="str">
        <f t="shared" si="2"/>
        <v>4 2035</v>
      </c>
      <c r="GM1" s="54" t="str">
        <f t="shared" si="2"/>
        <v>5 2035</v>
      </c>
      <c r="GN1" s="54" t="str">
        <f t="shared" ref="GN1:GT1" si="3">CONCATENATE(MONTH(GN3)," ",YEAR(GN3))</f>
        <v>6 2035</v>
      </c>
      <c r="GO1" s="54" t="str">
        <f t="shared" si="3"/>
        <v>7 2035</v>
      </c>
      <c r="GP1" s="54" t="str">
        <f t="shared" si="3"/>
        <v>8 2035</v>
      </c>
      <c r="GQ1" s="54" t="str">
        <f t="shared" si="3"/>
        <v>9 2035</v>
      </c>
      <c r="GR1" s="54" t="str">
        <f t="shared" si="3"/>
        <v>10 2035</v>
      </c>
      <c r="GS1" s="54" t="str">
        <f t="shared" si="3"/>
        <v>11 2035</v>
      </c>
      <c r="GT1" s="54" t="str">
        <f t="shared" si="3"/>
        <v>12 2035</v>
      </c>
    </row>
    <row r="2" spans="1:202" ht="11.45" customHeight="1" x14ac:dyDescent="0.25">
      <c r="A2" s="51"/>
      <c r="B2" s="51"/>
      <c r="C2" s="54" t="b">
        <f t="shared" ref="C2:AH2" si="4">$A$3&gt;=C3</f>
        <v>1</v>
      </c>
      <c r="D2" s="54" t="b">
        <f t="shared" si="4"/>
        <v>1</v>
      </c>
      <c r="E2" s="54" t="b">
        <f t="shared" si="4"/>
        <v>1</v>
      </c>
      <c r="F2" s="54" t="b">
        <f t="shared" si="4"/>
        <v>1</v>
      </c>
      <c r="G2" s="54" t="b">
        <f t="shared" si="4"/>
        <v>1</v>
      </c>
      <c r="H2" s="54" t="b">
        <f t="shared" si="4"/>
        <v>1</v>
      </c>
      <c r="I2" s="54" t="b">
        <f t="shared" si="4"/>
        <v>1</v>
      </c>
      <c r="J2" s="54" t="b">
        <f t="shared" si="4"/>
        <v>1</v>
      </c>
      <c r="K2" s="54" t="b">
        <f t="shared" si="4"/>
        <v>1</v>
      </c>
      <c r="L2" s="54" t="b">
        <f t="shared" si="4"/>
        <v>1</v>
      </c>
      <c r="M2" s="54" t="b">
        <f t="shared" si="4"/>
        <v>1</v>
      </c>
      <c r="N2" s="54" t="b">
        <f t="shared" si="4"/>
        <v>1</v>
      </c>
      <c r="O2" s="54" t="b">
        <f t="shared" si="4"/>
        <v>1</v>
      </c>
      <c r="P2" s="54" t="b">
        <f t="shared" si="4"/>
        <v>1</v>
      </c>
      <c r="Q2" s="54" t="b">
        <f t="shared" si="4"/>
        <v>0</v>
      </c>
      <c r="R2" s="54" t="b">
        <f t="shared" si="4"/>
        <v>0</v>
      </c>
      <c r="S2" s="54" t="b">
        <f t="shared" si="4"/>
        <v>0</v>
      </c>
      <c r="T2" s="54" t="b">
        <f t="shared" si="4"/>
        <v>0</v>
      </c>
      <c r="U2" s="54" t="b">
        <f t="shared" si="4"/>
        <v>0</v>
      </c>
      <c r="V2" s="54" t="b">
        <f t="shared" si="4"/>
        <v>0</v>
      </c>
      <c r="W2" s="54" t="b">
        <f t="shared" si="4"/>
        <v>0</v>
      </c>
      <c r="X2" s="54" t="b">
        <f t="shared" si="4"/>
        <v>0</v>
      </c>
      <c r="Y2" s="54" t="b">
        <f t="shared" si="4"/>
        <v>0</v>
      </c>
      <c r="Z2" s="54" t="b">
        <f t="shared" si="4"/>
        <v>0</v>
      </c>
      <c r="AA2" s="54" t="b">
        <f t="shared" si="4"/>
        <v>0</v>
      </c>
      <c r="AB2" s="54" t="b">
        <f t="shared" si="4"/>
        <v>0</v>
      </c>
      <c r="AC2" s="54" t="b">
        <f t="shared" si="4"/>
        <v>0</v>
      </c>
      <c r="AD2" s="54" t="b">
        <f t="shared" si="4"/>
        <v>0</v>
      </c>
      <c r="AE2" s="54" t="b">
        <f t="shared" si="4"/>
        <v>0</v>
      </c>
      <c r="AF2" s="54" t="b">
        <f t="shared" si="4"/>
        <v>0</v>
      </c>
      <c r="AG2" s="54" t="b">
        <f t="shared" si="4"/>
        <v>0</v>
      </c>
      <c r="AH2" s="54" t="b">
        <f t="shared" si="4"/>
        <v>0</v>
      </c>
      <c r="AI2" s="54" t="b">
        <f t="shared" ref="AI2:BN2" si="5">$A$3&gt;=AI3</f>
        <v>0</v>
      </c>
      <c r="AJ2" s="54" t="b">
        <f t="shared" si="5"/>
        <v>0</v>
      </c>
      <c r="AK2" s="54" t="b">
        <f t="shared" si="5"/>
        <v>0</v>
      </c>
      <c r="AL2" s="54" t="b">
        <f t="shared" si="5"/>
        <v>0</v>
      </c>
      <c r="AM2" s="54" t="b">
        <f t="shared" si="5"/>
        <v>0</v>
      </c>
      <c r="AN2" s="54" t="b">
        <f t="shared" si="5"/>
        <v>0</v>
      </c>
      <c r="AO2" s="54" t="b">
        <f t="shared" si="5"/>
        <v>0</v>
      </c>
      <c r="AP2" s="54" t="b">
        <f t="shared" si="5"/>
        <v>0</v>
      </c>
      <c r="AQ2" s="54" t="b">
        <f t="shared" si="5"/>
        <v>0</v>
      </c>
      <c r="AR2" s="54" t="b">
        <f t="shared" si="5"/>
        <v>0</v>
      </c>
      <c r="AS2" s="54" t="b">
        <f t="shared" si="5"/>
        <v>0</v>
      </c>
      <c r="AT2" s="54" t="b">
        <f t="shared" si="5"/>
        <v>0</v>
      </c>
      <c r="AU2" s="54" t="b">
        <f t="shared" si="5"/>
        <v>0</v>
      </c>
      <c r="AV2" s="54" t="b">
        <f t="shared" si="5"/>
        <v>0</v>
      </c>
      <c r="AW2" s="54" t="b">
        <f t="shared" si="5"/>
        <v>0</v>
      </c>
      <c r="AX2" s="54" t="b">
        <f t="shared" si="5"/>
        <v>0</v>
      </c>
      <c r="AY2" s="54" t="b">
        <f t="shared" si="5"/>
        <v>0</v>
      </c>
      <c r="AZ2" s="54" t="b">
        <f t="shared" si="5"/>
        <v>0</v>
      </c>
      <c r="BA2" s="54" t="b">
        <f t="shared" si="5"/>
        <v>0</v>
      </c>
      <c r="BB2" s="54" t="b">
        <f t="shared" si="5"/>
        <v>0</v>
      </c>
      <c r="BC2" s="54" t="b">
        <f t="shared" si="5"/>
        <v>0</v>
      </c>
      <c r="BD2" s="54" t="b">
        <f t="shared" si="5"/>
        <v>0</v>
      </c>
      <c r="BE2" s="54" t="b">
        <f t="shared" si="5"/>
        <v>0</v>
      </c>
      <c r="BF2" s="54" t="b">
        <f t="shared" si="5"/>
        <v>0</v>
      </c>
      <c r="BG2" s="54" t="b">
        <f t="shared" si="5"/>
        <v>0</v>
      </c>
      <c r="BH2" s="54" t="b">
        <f t="shared" si="5"/>
        <v>0</v>
      </c>
      <c r="BI2" s="54" t="b">
        <f t="shared" si="5"/>
        <v>0</v>
      </c>
      <c r="BJ2" s="54" t="b">
        <f t="shared" si="5"/>
        <v>0</v>
      </c>
      <c r="BK2" s="54" t="b">
        <f t="shared" si="5"/>
        <v>0</v>
      </c>
      <c r="BL2" s="54" t="b">
        <f t="shared" si="5"/>
        <v>0</v>
      </c>
      <c r="BM2" s="54" t="b">
        <f t="shared" si="5"/>
        <v>0</v>
      </c>
      <c r="BN2" s="54" t="b">
        <f t="shared" si="5"/>
        <v>0</v>
      </c>
      <c r="BO2" s="54" t="b">
        <f t="shared" ref="BO2:CT2" si="6">$A$3&gt;=BO3</f>
        <v>0</v>
      </c>
      <c r="BP2" s="54" t="b">
        <f t="shared" si="6"/>
        <v>0</v>
      </c>
      <c r="BQ2" s="54" t="b">
        <f t="shared" si="6"/>
        <v>0</v>
      </c>
      <c r="BR2" s="54" t="b">
        <f t="shared" si="6"/>
        <v>0</v>
      </c>
      <c r="BS2" s="54" t="b">
        <f t="shared" si="6"/>
        <v>0</v>
      </c>
      <c r="BT2" s="54" t="b">
        <f t="shared" si="6"/>
        <v>0</v>
      </c>
      <c r="BU2" s="54" t="b">
        <f t="shared" si="6"/>
        <v>0</v>
      </c>
      <c r="BV2" s="54" t="b">
        <f t="shared" si="6"/>
        <v>0</v>
      </c>
      <c r="BW2" s="54" t="b">
        <f t="shared" si="6"/>
        <v>0</v>
      </c>
      <c r="BX2" s="54" t="b">
        <f t="shared" si="6"/>
        <v>0</v>
      </c>
      <c r="BY2" s="54" t="b">
        <f t="shared" si="6"/>
        <v>0</v>
      </c>
      <c r="BZ2" s="54" t="b">
        <f t="shared" si="6"/>
        <v>0</v>
      </c>
      <c r="CA2" s="54" t="b">
        <f t="shared" si="6"/>
        <v>0</v>
      </c>
      <c r="CB2" s="54" t="b">
        <f t="shared" si="6"/>
        <v>0</v>
      </c>
      <c r="CC2" s="54" t="b">
        <f t="shared" si="6"/>
        <v>0</v>
      </c>
      <c r="CD2" s="54" t="b">
        <f t="shared" si="6"/>
        <v>0</v>
      </c>
      <c r="CE2" s="54" t="b">
        <f t="shared" si="6"/>
        <v>0</v>
      </c>
      <c r="CF2" s="54" t="b">
        <f t="shared" si="6"/>
        <v>0</v>
      </c>
      <c r="CG2" s="54" t="b">
        <f t="shared" si="6"/>
        <v>0</v>
      </c>
      <c r="CH2" s="54" t="b">
        <f t="shared" si="6"/>
        <v>0</v>
      </c>
      <c r="CI2" s="54" t="b">
        <f t="shared" si="6"/>
        <v>0</v>
      </c>
      <c r="CJ2" s="54" t="b">
        <f t="shared" si="6"/>
        <v>0</v>
      </c>
      <c r="CK2" s="54" t="b">
        <f t="shared" si="6"/>
        <v>0</v>
      </c>
      <c r="CL2" s="54" t="b">
        <f t="shared" si="6"/>
        <v>0</v>
      </c>
      <c r="CM2" s="54" t="b">
        <f t="shared" si="6"/>
        <v>0</v>
      </c>
      <c r="CN2" s="54" t="b">
        <f t="shared" si="6"/>
        <v>0</v>
      </c>
      <c r="CO2" s="54" t="b">
        <f t="shared" si="6"/>
        <v>0</v>
      </c>
      <c r="CP2" s="54" t="b">
        <f t="shared" si="6"/>
        <v>0</v>
      </c>
      <c r="CQ2" s="54" t="b">
        <f t="shared" si="6"/>
        <v>0</v>
      </c>
      <c r="CR2" s="54" t="b">
        <f t="shared" si="6"/>
        <v>0</v>
      </c>
      <c r="CS2" s="54" t="b">
        <f t="shared" si="6"/>
        <v>0</v>
      </c>
      <c r="CT2" s="54" t="b">
        <f t="shared" si="6"/>
        <v>0</v>
      </c>
      <c r="CU2" s="54" t="b">
        <f t="shared" ref="CU2:DZ2" si="7">$A$3&gt;=CU3</f>
        <v>0</v>
      </c>
      <c r="CV2" s="54" t="b">
        <f t="shared" si="7"/>
        <v>0</v>
      </c>
      <c r="CW2" s="54" t="b">
        <f t="shared" si="7"/>
        <v>0</v>
      </c>
      <c r="CX2" s="54" t="b">
        <f t="shared" si="7"/>
        <v>0</v>
      </c>
      <c r="CY2" s="54" t="b">
        <f t="shared" si="7"/>
        <v>0</v>
      </c>
      <c r="CZ2" s="54" t="b">
        <f t="shared" si="7"/>
        <v>0</v>
      </c>
      <c r="DA2" s="54" t="b">
        <f t="shared" si="7"/>
        <v>0</v>
      </c>
      <c r="DB2" s="54" t="b">
        <f t="shared" si="7"/>
        <v>0</v>
      </c>
      <c r="DC2" s="54" t="b">
        <f t="shared" si="7"/>
        <v>0</v>
      </c>
      <c r="DD2" s="54" t="b">
        <f t="shared" si="7"/>
        <v>0</v>
      </c>
      <c r="DE2" s="54" t="b">
        <f t="shared" si="7"/>
        <v>0</v>
      </c>
      <c r="DF2" s="54" t="b">
        <f t="shared" si="7"/>
        <v>0</v>
      </c>
      <c r="DG2" s="54" t="b">
        <f t="shared" si="7"/>
        <v>0</v>
      </c>
      <c r="DH2" s="54" t="b">
        <f t="shared" si="7"/>
        <v>0</v>
      </c>
      <c r="DI2" s="54" t="b">
        <f t="shared" si="7"/>
        <v>0</v>
      </c>
      <c r="DJ2" s="54" t="b">
        <f t="shared" si="7"/>
        <v>0</v>
      </c>
      <c r="DK2" s="54" t="b">
        <f t="shared" si="7"/>
        <v>0</v>
      </c>
      <c r="DL2" s="54" t="b">
        <f t="shared" si="7"/>
        <v>0</v>
      </c>
      <c r="DM2" s="54" t="b">
        <f t="shared" si="7"/>
        <v>0</v>
      </c>
      <c r="DN2" s="54" t="b">
        <f t="shared" si="7"/>
        <v>0</v>
      </c>
      <c r="DO2" s="54" t="b">
        <f t="shared" si="7"/>
        <v>0</v>
      </c>
      <c r="DP2" s="54" t="b">
        <f t="shared" si="7"/>
        <v>0</v>
      </c>
      <c r="DQ2" s="54" t="b">
        <f t="shared" si="7"/>
        <v>0</v>
      </c>
      <c r="DR2" s="54" t="b">
        <f t="shared" si="7"/>
        <v>0</v>
      </c>
      <c r="DS2" s="54" t="b">
        <f t="shared" si="7"/>
        <v>0</v>
      </c>
      <c r="DT2" s="54" t="b">
        <f t="shared" si="7"/>
        <v>0</v>
      </c>
      <c r="DU2" s="54" t="b">
        <f t="shared" si="7"/>
        <v>0</v>
      </c>
      <c r="DV2" s="54" t="b">
        <f t="shared" si="7"/>
        <v>0</v>
      </c>
      <c r="DW2" s="54" t="b">
        <f t="shared" si="7"/>
        <v>0</v>
      </c>
      <c r="DX2" s="54" t="b">
        <f t="shared" si="7"/>
        <v>0</v>
      </c>
      <c r="DY2" s="54" t="b">
        <f t="shared" si="7"/>
        <v>0</v>
      </c>
      <c r="DZ2" s="54" t="b">
        <f t="shared" si="7"/>
        <v>0</v>
      </c>
      <c r="EA2" s="54" t="b">
        <f t="shared" ref="EA2:FF2" si="8">$A$3&gt;=EA3</f>
        <v>0</v>
      </c>
      <c r="EB2" s="54" t="b">
        <f t="shared" si="8"/>
        <v>0</v>
      </c>
      <c r="EC2" s="54" t="b">
        <f t="shared" si="8"/>
        <v>0</v>
      </c>
      <c r="ED2" s="54" t="b">
        <f t="shared" si="8"/>
        <v>0</v>
      </c>
      <c r="EE2" s="54" t="b">
        <f t="shared" si="8"/>
        <v>0</v>
      </c>
      <c r="EF2" s="54" t="b">
        <f t="shared" si="8"/>
        <v>0</v>
      </c>
      <c r="EG2" s="54" t="b">
        <f t="shared" si="8"/>
        <v>0</v>
      </c>
      <c r="EH2" s="54" t="b">
        <f t="shared" si="8"/>
        <v>0</v>
      </c>
      <c r="EI2" s="54" t="b">
        <f t="shared" si="8"/>
        <v>0</v>
      </c>
      <c r="EJ2" s="54" t="b">
        <f t="shared" si="8"/>
        <v>0</v>
      </c>
      <c r="EK2" s="54" t="b">
        <f t="shared" si="8"/>
        <v>0</v>
      </c>
      <c r="EL2" s="54" t="b">
        <f t="shared" si="8"/>
        <v>0</v>
      </c>
      <c r="EM2" s="54" t="b">
        <f t="shared" si="8"/>
        <v>0</v>
      </c>
      <c r="EN2" s="54" t="b">
        <f t="shared" si="8"/>
        <v>0</v>
      </c>
      <c r="EO2" s="54" t="b">
        <f t="shared" si="8"/>
        <v>0</v>
      </c>
      <c r="EP2" s="54" t="b">
        <f t="shared" si="8"/>
        <v>0</v>
      </c>
      <c r="EQ2" s="54" t="b">
        <f t="shared" si="8"/>
        <v>0</v>
      </c>
      <c r="ER2" s="54" t="b">
        <f t="shared" si="8"/>
        <v>0</v>
      </c>
      <c r="ES2" s="54" t="b">
        <f t="shared" si="8"/>
        <v>0</v>
      </c>
      <c r="ET2" s="54" t="b">
        <f t="shared" si="8"/>
        <v>0</v>
      </c>
      <c r="EU2" s="54" t="b">
        <f t="shared" si="8"/>
        <v>0</v>
      </c>
      <c r="EV2" s="54" t="b">
        <f t="shared" si="8"/>
        <v>0</v>
      </c>
      <c r="EW2" s="54" t="b">
        <f t="shared" si="8"/>
        <v>0</v>
      </c>
      <c r="EX2" s="54" t="b">
        <f t="shared" si="8"/>
        <v>0</v>
      </c>
      <c r="EY2" s="54" t="b">
        <f t="shared" si="8"/>
        <v>0</v>
      </c>
      <c r="EZ2" s="54" t="b">
        <f t="shared" si="8"/>
        <v>0</v>
      </c>
      <c r="FA2" s="54" t="b">
        <f t="shared" si="8"/>
        <v>0</v>
      </c>
      <c r="FB2" s="54" t="b">
        <f t="shared" si="8"/>
        <v>0</v>
      </c>
      <c r="FC2" s="54" t="b">
        <f t="shared" si="8"/>
        <v>0</v>
      </c>
      <c r="FD2" s="54" t="b">
        <f t="shared" si="8"/>
        <v>0</v>
      </c>
      <c r="FE2" s="54" t="b">
        <f t="shared" si="8"/>
        <v>0</v>
      </c>
      <c r="FF2" s="54" t="b">
        <f t="shared" si="8"/>
        <v>0</v>
      </c>
      <c r="FG2" s="54" t="b">
        <f t="shared" ref="FG2:GL2" si="9">$A$3&gt;=FG3</f>
        <v>0</v>
      </c>
      <c r="FH2" s="54" t="b">
        <f t="shared" si="9"/>
        <v>0</v>
      </c>
      <c r="FI2" s="54" t="b">
        <f t="shared" si="9"/>
        <v>0</v>
      </c>
      <c r="FJ2" s="54" t="b">
        <f t="shared" si="9"/>
        <v>0</v>
      </c>
      <c r="FK2" s="54" t="b">
        <f t="shared" si="9"/>
        <v>0</v>
      </c>
      <c r="FL2" s="54" t="b">
        <f t="shared" si="9"/>
        <v>0</v>
      </c>
      <c r="FM2" s="54" t="b">
        <f t="shared" si="9"/>
        <v>0</v>
      </c>
      <c r="FN2" s="54" t="b">
        <f t="shared" si="9"/>
        <v>0</v>
      </c>
      <c r="FO2" s="54" t="b">
        <f t="shared" si="9"/>
        <v>0</v>
      </c>
      <c r="FP2" s="54" t="b">
        <f t="shared" si="9"/>
        <v>0</v>
      </c>
      <c r="FQ2" s="54" t="b">
        <f t="shared" si="9"/>
        <v>0</v>
      </c>
      <c r="FR2" s="54" t="b">
        <f t="shared" si="9"/>
        <v>0</v>
      </c>
      <c r="FS2" s="54" t="b">
        <f t="shared" si="9"/>
        <v>0</v>
      </c>
      <c r="FT2" s="54" t="b">
        <f t="shared" si="9"/>
        <v>0</v>
      </c>
      <c r="FU2" s="54" t="b">
        <f t="shared" si="9"/>
        <v>0</v>
      </c>
      <c r="FV2" s="54" t="b">
        <f t="shared" si="9"/>
        <v>0</v>
      </c>
      <c r="FW2" s="54" t="b">
        <f t="shared" si="9"/>
        <v>0</v>
      </c>
      <c r="FX2" s="54" t="b">
        <f t="shared" si="9"/>
        <v>0</v>
      </c>
      <c r="FY2" s="54" t="b">
        <f t="shared" si="9"/>
        <v>0</v>
      </c>
      <c r="FZ2" s="54" t="b">
        <f t="shared" si="9"/>
        <v>0</v>
      </c>
      <c r="GA2" s="54" t="b">
        <f t="shared" si="9"/>
        <v>0</v>
      </c>
      <c r="GB2" s="54" t="b">
        <f t="shared" si="9"/>
        <v>0</v>
      </c>
      <c r="GC2" s="54" t="b">
        <f t="shared" si="9"/>
        <v>0</v>
      </c>
      <c r="GD2" s="54" t="b">
        <f t="shared" si="9"/>
        <v>0</v>
      </c>
      <c r="GE2" s="54" t="b">
        <f t="shared" si="9"/>
        <v>0</v>
      </c>
      <c r="GF2" s="54" t="b">
        <f t="shared" si="9"/>
        <v>0</v>
      </c>
      <c r="GG2" s="54" t="b">
        <f t="shared" si="9"/>
        <v>0</v>
      </c>
      <c r="GH2" s="54" t="b">
        <f t="shared" si="9"/>
        <v>0</v>
      </c>
      <c r="GI2" s="54" t="b">
        <f t="shared" si="9"/>
        <v>0</v>
      </c>
      <c r="GJ2" s="54" t="b">
        <f t="shared" si="9"/>
        <v>0</v>
      </c>
      <c r="GK2" s="54" t="b">
        <f t="shared" si="9"/>
        <v>0</v>
      </c>
      <c r="GL2" s="54" t="b">
        <f t="shared" si="9"/>
        <v>0</v>
      </c>
      <c r="GM2" s="54" t="b">
        <f t="shared" ref="GM2:GT2" si="10">$A$3&gt;=GM3</f>
        <v>0</v>
      </c>
      <c r="GN2" s="54" t="b">
        <f t="shared" si="10"/>
        <v>0</v>
      </c>
      <c r="GO2" s="54" t="b">
        <f t="shared" si="10"/>
        <v>0</v>
      </c>
      <c r="GP2" s="54" t="b">
        <f t="shared" si="10"/>
        <v>0</v>
      </c>
      <c r="GQ2" s="54" t="b">
        <f t="shared" si="10"/>
        <v>0</v>
      </c>
      <c r="GR2" s="54" t="b">
        <f t="shared" si="10"/>
        <v>0</v>
      </c>
      <c r="GS2" s="54" t="b">
        <f t="shared" si="10"/>
        <v>0</v>
      </c>
      <c r="GT2" s="54" t="b">
        <f t="shared" si="10"/>
        <v>0</v>
      </c>
    </row>
    <row r="3" spans="1:202" x14ac:dyDescent="0.25">
      <c r="A3" s="82">
        <f>'P&amp;L USA'!B1</f>
        <v>43983</v>
      </c>
      <c r="C3" s="46">
        <v>43586</v>
      </c>
      <c r="D3" s="46">
        <v>43617</v>
      </c>
      <c r="E3" s="46">
        <v>43647</v>
      </c>
      <c r="F3" s="46">
        <v>43678</v>
      </c>
      <c r="G3" s="46">
        <v>43709</v>
      </c>
      <c r="H3" s="46">
        <v>43739</v>
      </c>
      <c r="I3" s="46">
        <v>43770</v>
      </c>
      <c r="J3" s="46">
        <v>43800</v>
      </c>
      <c r="K3" s="46">
        <v>43831</v>
      </c>
      <c r="L3" s="46">
        <v>43862</v>
      </c>
      <c r="M3" s="46">
        <v>43891</v>
      </c>
      <c r="N3" s="46">
        <v>43922</v>
      </c>
      <c r="O3" s="46">
        <v>43952</v>
      </c>
      <c r="P3" s="46">
        <v>43983</v>
      </c>
      <c r="Q3" s="46">
        <v>44013</v>
      </c>
      <c r="R3" s="46">
        <v>44044</v>
      </c>
      <c r="S3" s="46">
        <v>44075</v>
      </c>
      <c r="T3" s="46">
        <v>44105</v>
      </c>
      <c r="U3" s="46">
        <v>44136</v>
      </c>
      <c r="V3" s="46">
        <v>44166</v>
      </c>
      <c r="W3" s="46">
        <v>44197</v>
      </c>
      <c r="X3" s="46">
        <v>44228</v>
      </c>
      <c r="Y3" s="46">
        <v>44256</v>
      </c>
      <c r="Z3" s="46">
        <v>44287</v>
      </c>
      <c r="AA3" s="46">
        <v>44317</v>
      </c>
      <c r="AB3" s="46">
        <v>44348</v>
      </c>
      <c r="AC3" s="46">
        <v>44378</v>
      </c>
      <c r="AD3" s="46">
        <v>44409</v>
      </c>
      <c r="AE3" s="46">
        <v>44440</v>
      </c>
      <c r="AF3" s="46">
        <v>44470</v>
      </c>
      <c r="AG3" s="46">
        <v>44501</v>
      </c>
      <c r="AH3" s="46">
        <v>44531</v>
      </c>
      <c r="AI3" s="46">
        <v>44562</v>
      </c>
      <c r="AJ3" s="46">
        <v>44593</v>
      </c>
      <c r="AK3" s="46">
        <v>44621</v>
      </c>
      <c r="AL3" s="46">
        <v>44652</v>
      </c>
      <c r="AM3" s="46">
        <v>44682</v>
      </c>
      <c r="AN3" s="46">
        <v>44713</v>
      </c>
      <c r="AO3" s="46">
        <v>44743</v>
      </c>
      <c r="AP3" s="46">
        <v>44774</v>
      </c>
      <c r="AQ3" s="46">
        <v>44805</v>
      </c>
      <c r="AR3" s="46">
        <v>44835</v>
      </c>
      <c r="AS3" s="46">
        <v>44866</v>
      </c>
      <c r="AT3" s="46">
        <v>44896</v>
      </c>
      <c r="AU3" s="46">
        <v>44927</v>
      </c>
      <c r="AV3" s="46">
        <v>44958</v>
      </c>
      <c r="AW3" s="46">
        <v>44986</v>
      </c>
      <c r="AX3" s="46">
        <v>45017</v>
      </c>
      <c r="AY3" s="46">
        <v>45047</v>
      </c>
      <c r="AZ3" s="46">
        <v>45078</v>
      </c>
      <c r="BA3" s="46">
        <v>45108</v>
      </c>
      <c r="BB3" s="46">
        <v>45139</v>
      </c>
      <c r="BC3" s="46">
        <v>45170</v>
      </c>
      <c r="BD3" s="46">
        <v>45200</v>
      </c>
      <c r="BE3" s="46">
        <v>45231</v>
      </c>
      <c r="BF3" s="46">
        <v>45261</v>
      </c>
      <c r="BG3" s="46">
        <v>45292</v>
      </c>
      <c r="BH3" s="46">
        <v>45323</v>
      </c>
      <c r="BI3" s="46">
        <v>45352</v>
      </c>
      <c r="BJ3" s="46">
        <v>45383</v>
      </c>
      <c r="BK3" s="46">
        <v>45413</v>
      </c>
      <c r="BL3" s="46">
        <v>45444</v>
      </c>
      <c r="BM3" s="46">
        <v>45474</v>
      </c>
      <c r="BN3" s="46">
        <v>45505</v>
      </c>
      <c r="BO3" s="46">
        <v>45536</v>
      </c>
      <c r="BP3" s="46">
        <v>45566</v>
      </c>
      <c r="BQ3" s="46">
        <v>45597</v>
      </c>
      <c r="BR3" s="46">
        <v>45627</v>
      </c>
      <c r="BS3" s="46">
        <v>45658</v>
      </c>
      <c r="BT3" s="46">
        <v>45689</v>
      </c>
      <c r="BU3" s="46">
        <v>45717</v>
      </c>
      <c r="BV3" s="46">
        <v>45748</v>
      </c>
      <c r="BW3" s="46">
        <v>45778</v>
      </c>
      <c r="BX3" s="46">
        <v>45809</v>
      </c>
      <c r="BY3" s="46">
        <v>45839</v>
      </c>
      <c r="BZ3" s="46">
        <v>45870</v>
      </c>
      <c r="CA3" s="46">
        <v>45901</v>
      </c>
      <c r="CB3" s="46">
        <v>45931</v>
      </c>
      <c r="CC3" s="46">
        <v>45962</v>
      </c>
      <c r="CD3" s="46">
        <v>45992</v>
      </c>
      <c r="CE3" s="46">
        <v>46023</v>
      </c>
      <c r="CF3" s="46">
        <v>46054</v>
      </c>
      <c r="CG3" s="46">
        <v>46082</v>
      </c>
      <c r="CH3" s="46">
        <v>46113</v>
      </c>
      <c r="CI3" s="46">
        <v>46143</v>
      </c>
      <c r="CJ3" s="46">
        <v>46174</v>
      </c>
      <c r="CK3" s="46">
        <v>46204</v>
      </c>
      <c r="CL3" s="46">
        <v>46235</v>
      </c>
      <c r="CM3" s="46">
        <v>46266</v>
      </c>
      <c r="CN3" s="46">
        <v>46296</v>
      </c>
      <c r="CO3" s="46">
        <v>46327</v>
      </c>
      <c r="CP3" s="46">
        <v>46357</v>
      </c>
      <c r="CQ3" s="46">
        <v>46388</v>
      </c>
      <c r="CR3" s="46">
        <v>46419</v>
      </c>
      <c r="CS3" s="46">
        <v>46447</v>
      </c>
      <c r="CT3" s="46">
        <v>46478</v>
      </c>
      <c r="CU3" s="46">
        <v>46508</v>
      </c>
      <c r="CV3" s="46">
        <v>46539</v>
      </c>
      <c r="CW3" s="46">
        <v>46569</v>
      </c>
      <c r="CX3" s="46">
        <v>46600</v>
      </c>
      <c r="CY3" s="46">
        <v>46631</v>
      </c>
      <c r="CZ3" s="46">
        <v>46661</v>
      </c>
      <c r="DA3" s="46">
        <v>46692</v>
      </c>
      <c r="DB3" s="46">
        <v>46722</v>
      </c>
      <c r="DC3" s="46">
        <v>46753</v>
      </c>
      <c r="DD3" s="46">
        <v>46784</v>
      </c>
      <c r="DE3" s="46">
        <v>46813</v>
      </c>
      <c r="DF3" s="46">
        <v>46844</v>
      </c>
      <c r="DG3" s="46">
        <v>46874</v>
      </c>
      <c r="DH3" s="46">
        <v>46905</v>
      </c>
      <c r="DI3" s="46">
        <v>46935</v>
      </c>
      <c r="DJ3" s="46">
        <v>46966</v>
      </c>
      <c r="DK3" s="46">
        <v>46997</v>
      </c>
      <c r="DL3" s="46">
        <v>47027</v>
      </c>
      <c r="DM3" s="46">
        <v>47058</v>
      </c>
      <c r="DN3" s="46">
        <v>47088</v>
      </c>
      <c r="DO3" s="46">
        <v>47119</v>
      </c>
      <c r="DP3" s="46">
        <v>47150</v>
      </c>
      <c r="DQ3" s="46">
        <v>47178</v>
      </c>
      <c r="DR3" s="46">
        <v>47209</v>
      </c>
      <c r="DS3" s="46">
        <v>47239</v>
      </c>
      <c r="DT3" s="46">
        <v>47270</v>
      </c>
      <c r="DU3" s="46">
        <v>47300</v>
      </c>
      <c r="DV3" s="46">
        <v>47331</v>
      </c>
      <c r="DW3" s="46">
        <v>47362</v>
      </c>
      <c r="DX3" s="46">
        <v>47392</v>
      </c>
      <c r="DY3" s="46">
        <v>47423</v>
      </c>
      <c r="DZ3" s="46">
        <v>47453</v>
      </c>
      <c r="EA3" s="46">
        <v>47484</v>
      </c>
      <c r="EB3" s="46">
        <v>47515</v>
      </c>
      <c r="EC3" s="46">
        <v>47543</v>
      </c>
      <c r="ED3" s="46">
        <v>47574</v>
      </c>
      <c r="EE3" s="46">
        <v>47604</v>
      </c>
      <c r="EF3" s="46">
        <v>47635</v>
      </c>
      <c r="EG3" s="46">
        <v>47665</v>
      </c>
      <c r="EH3" s="46">
        <v>47696</v>
      </c>
      <c r="EI3" s="46">
        <v>47727</v>
      </c>
      <c r="EJ3" s="46">
        <v>47757</v>
      </c>
      <c r="EK3" s="46">
        <v>47788</v>
      </c>
      <c r="EL3" s="46">
        <v>47818</v>
      </c>
      <c r="EM3" s="46">
        <v>47849</v>
      </c>
      <c r="EN3" s="46">
        <v>47880</v>
      </c>
      <c r="EO3" s="46">
        <v>47908</v>
      </c>
      <c r="EP3" s="46">
        <v>47939</v>
      </c>
      <c r="EQ3" s="46">
        <v>47969</v>
      </c>
      <c r="ER3" s="46">
        <v>48000</v>
      </c>
      <c r="ES3" s="46">
        <v>48030</v>
      </c>
      <c r="ET3" s="46">
        <v>48061</v>
      </c>
      <c r="EU3" s="46">
        <v>48092</v>
      </c>
      <c r="EV3" s="46">
        <v>48122</v>
      </c>
      <c r="EW3" s="46">
        <v>48153</v>
      </c>
      <c r="EX3" s="46">
        <v>48183</v>
      </c>
      <c r="EY3" s="46">
        <v>48214</v>
      </c>
      <c r="EZ3" s="46">
        <v>48245</v>
      </c>
      <c r="FA3" s="46">
        <v>48274</v>
      </c>
      <c r="FB3" s="46">
        <v>48305</v>
      </c>
      <c r="FC3" s="46">
        <v>48335</v>
      </c>
      <c r="FD3" s="46">
        <v>48366</v>
      </c>
      <c r="FE3" s="46">
        <v>48396</v>
      </c>
      <c r="FF3" s="46">
        <v>48427</v>
      </c>
      <c r="FG3" s="46">
        <v>48458</v>
      </c>
      <c r="FH3" s="46">
        <v>48488</v>
      </c>
      <c r="FI3" s="46">
        <v>48519</v>
      </c>
      <c r="FJ3" s="46">
        <v>48549</v>
      </c>
      <c r="FK3" s="46">
        <v>48580</v>
      </c>
      <c r="FL3" s="46">
        <v>48611</v>
      </c>
      <c r="FM3" s="46">
        <v>48639</v>
      </c>
      <c r="FN3" s="46">
        <v>48670</v>
      </c>
      <c r="FO3" s="46">
        <v>48700</v>
      </c>
      <c r="FP3" s="46">
        <v>48731</v>
      </c>
      <c r="FQ3" s="46">
        <v>48761</v>
      </c>
      <c r="FR3" s="46">
        <v>48792</v>
      </c>
      <c r="FS3" s="46">
        <v>48823</v>
      </c>
      <c r="FT3" s="46">
        <v>48853</v>
      </c>
      <c r="FU3" s="46">
        <v>48884</v>
      </c>
      <c r="FV3" s="46">
        <v>48914</v>
      </c>
      <c r="FW3" s="46">
        <v>48945</v>
      </c>
      <c r="FX3" s="46">
        <v>48976</v>
      </c>
      <c r="FY3" s="46">
        <v>49004</v>
      </c>
      <c r="FZ3" s="46">
        <v>49035</v>
      </c>
      <c r="GA3" s="46">
        <v>49065</v>
      </c>
      <c r="GB3" s="46">
        <v>49096</v>
      </c>
      <c r="GC3" s="46">
        <v>49126</v>
      </c>
      <c r="GD3" s="46">
        <v>49157</v>
      </c>
      <c r="GE3" s="46">
        <v>49188</v>
      </c>
      <c r="GF3" s="46">
        <v>49218</v>
      </c>
      <c r="GG3" s="46">
        <v>49249</v>
      </c>
      <c r="GH3" s="46">
        <v>49279</v>
      </c>
      <c r="GI3" s="46">
        <v>49310</v>
      </c>
      <c r="GJ3" s="46">
        <v>49341</v>
      </c>
      <c r="GK3" s="46">
        <v>49369</v>
      </c>
      <c r="GL3" s="46">
        <v>49400</v>
      </c>
      <c r="GM3" s="46">
        <v>49430</v>
      </c>
      <c r="GN3" s="46">
        <v>49461</v>
      </c>
      <c r="GO3" s="46">
        <v>49491</v>
      </c>
      <c r="GP3" s="46">
        <v>49522</v>
      </c>
      <c r="GQ3" s="46">
        <v>49553</v>
      </c>
      <c r="GR3" s="46">
        <v>49583</v>
      </c>
      <c r="GS3" s="46">
        <v>49614</v>
      </c>
      <c r="GT3" s="46">
        <v>49644</v>
      </c>
    </row>
    <row r="4" spans="1:202" s="59" customFormat="1" x14ac:dyDescent="0.25">
      <c r="A4" s="59" t="s">
        <v>83</v>
      </c>
      <c r="C4" s="60"/>
      <c r="D4" s="60"/>
      <c r="E4" s="60"/>
      <c r="F4" s="60"/>
      <c r="G4" s="60"/>
      <c r="H4" s="60"/>
      <c r="I4" s="60"/>
      <c r="J4" s="60"/>
      <c r="K4" s="60"/>
      <c r="L4" s="60"/>
      <c r="M4" s="322">
        <f>4%*(1-35%)</f>
        <v>2.6000000000000002E-2</v>
      </c>
      <c r="N4" s="61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60"/>
      <c r="ET4" s="60"/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/>
      <c r="FL4" s="60"/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</row>
    <row r="5" spans="1:202" x14ac:dyDescent="0.25">
      <c r="A5" t="s">
        <v>79</v>
      </c>
      <c r="C5" s="62">
        <f>2785*52/2</f>
        <v>72410</v>
      </c>
      <c r="D5" s="44">
        <f>C5*(1+D4)</f>
        <v>72410</v>
      </c>
      <c r="E5" s="44">
        <f t="shared" ref="E5:N5" si="11">D5*(1+E4)</f>
        <v>72410</v>
      </c>
      <c r="F5" s="44">
        <f t="shared" si="11"/>
        <v>72410</v>
      </c>
      <c r="G5" s="44">
        <f t="shared" si="11"/>
        <v>72410</v>
      </c>
      <c r="H5" s="44">
        <f t="shared" si="11"/>
        <v>72410</v>
      </c>
      <c r="I5" s="44">
        <f t="shared" si="11"/>
        <v>72410</v>
      </c>
      <c r="J5" s="44">
        <f t="shared" si="11"/>
        <v>72410</v>
      </c>
      <c r="K5" s="44">
        <f t="shared" si="11"/>
        <v>72410</v>
      </c>
      <c r="L5" s="44">
        <f t="shared" si="11"/>
        <v>72410</v>
      </c>
      <c r="M5" s="44">
        <f t="shared" si="11"/>
        <v>74292.66</v>
      </c>
      <c r="N5" s="44">
        <f t="shared" si="11"/>
        <v>74292.66</v>
      </c>
      <c r="O5" s="44">
        <f t="shared" ref="O5:BZ5" si="12">N5</f>
        <v>74292.66</v>
      </c>
      <c r="P5" s="44">
        <f t="shared" si="12"/>
        <v>74292.66</v>
      </c>
      <c r="Q5" s="44">
        <f t="shared" si="12"/>
        <v>74292.66</v>
      </c>
      <c r="R5" s="44">
        <f t="shared" si="12"/>
        <v>74292.66</v>
      </c>
      <c r="S5" s="44">
        <f t="shared" si="12"/>
        <v>74292.66</v>
      </c>
      <c r="T5" s="44">
        <f t="shared" si="12"/>
        <v>74292.66</v>
      </c>
      <c r="U5" s="44">
        <f t="shared" si="12"/>
        <v>74292.66</v>
      </c>
      <c r="V5" s="44">
        <f t="shared" si="12"/>
        <v>74292.66</v>
      </c>
      <c r="W5" s="44">
        <f t="shared" si="12"/>
        <v>74292.66</v>
      </c>
      <c r="X5" s="44">
        <f t="shared" si="12"/>
        <v>74292.66</v>
      </c>
      <c r="Y5" s="44">
        <f t="shared" si="12"/>
        <v>74292.66</v>
      </c>
      <c r="Z5" s="44">
        <f t="shared" si="12"/>
        <v>74292.66</v>
      </c>
      <c r="AA5" s="44">
        <f t="shared" si="12"/>
        <v>74292.66</v>
      </c>
      <c r="AB5" s="44">
        <f t="shared" si="12"/>
        <v>74292.66</v>
      </c>
      <c r="AC5" s="44">
        <f t="shared" si="12"/>
        <v>74292.66</v>
      </c>
      <c r="AD5" s="44">
        <f t="shared" si="12"/>
        <v>74292.66</v>
      </c>
      <c r="AE5" s="44">
        <f t="shared" si="12"/>
        <v>74292.66</v>
      </c>
      <c r="AF5" s="44">
        <f t="shared" si="12"/>
        <v>74292.66</v>
      </c>
      <c r="AG5" s="44">
        <f t="shared" si="12"/>
        <v>74292.66</v>
      </c>
      <c r="AH5" s="44">
        <f t="shared" si="12"/>
        <v>74292.66</v>
      </c>
      <c r="AI5" s="44">
        <f t="shared" si="12"/>
        <v>74292.66</v>
      </c>
      <c r="AJ5" s="44">
        <f t="shared" si="12"/>
        <v>74292.66</v>
      </c>
      <c r="AK5" s="44">
        <f t="shared" si="12"/>
        <v>74292.66</v>
      </c>
      <c r="AL5" s="44">
        <f t="shared" si="12"/>
        <v>74292.66</v>
      </c>
      <c r="AM5" s="44">
        <f t="shared" si="12"/>
        <v>74292.66</v>
      </c>
      <c r="AN5" s="44">
        <f t="shared" si="12"/>
        <v>74292.66</v>
      </c>
      <c r="AO5" s="44">
        <f t="shared" si="12"/>
        <v>74292.66</v>
      </c>
      <c r="AP5" s="44">
        <f t="shared" si="12"/>
        <v>74292.66</v>
      </c>
      <c r="AQ5" s="44">
        <f t="shared" si="12"/>
        <v>74292.66</v>
      </c>
      <c r="AR5" s="44">
        <f t="shared" si="12"/>
        <v>74292.66</v>
      </c>
      <c r="AS5" s="44">
        <f t="shared" si="12"/>
        <v>74292.66</v>
      </c>
      <c r="AT5" s="44">
        <f t="shared" si="12"/>
        <v>74292.66</v>
      </c>
      <c r="AU5" s="44">
        <f t="shared" si="12"/>
        <v>74292.66</v>
      </c>
      <c r="AV5" s="44">
        <f t="shared" si="12"/>
        <v>74292.66</v>
      </c>
      <c r="AW5" s="44">
        <f t="shared" si="12"/>
        <v>74292.66</v>
      </c>
      <c r="AX5" s="44">
        <f t="shared" si="12"/>
        <v>74292.66</v>
      </c>
      <c r="AY5" s="44">
        <f t="shared" si="12"/>
        <v>74292.66</v>
      </c>
      <c r="AZ5" s="44">
        <f t="shared" si="12"/>
        <v>74292.66</v>
      </c>
      <c r="BA5" s="44">
        <f t="shared" si="12"/>
        <v>74292.66</v>
      </c>
      <c r="BB5" s="44">
        <f t="shared" si="12"/>
        <v>74292.66</v>
      </c>
      <c r="BC5" s="44">
        <f t="shared" si="12"/>
        <v>74292.66</v>
      </c>
      <c r="BD5" s="44">
        <f t="shared" si="12"/>
        <v>74292.66</v>
      </c>
      <c r="BE5" s="44">
        <f t="shared" si="12"/>
        <v>74292.66</v>
      </c>
      <c r="BF5" s="44">
        <f t="shared" si="12"/>
        <v>74292.66</v>
      </c>
      <c r="BG5" s="44">
        <f t="shared" si="12"/>
        <v>74292.66</v>
      </c>
      <c r="BH5" s="44">
        <f t="shared" si="12"/>
        <v>74292.66</v>
      </c>
      <c r="BI5" s="44">
        <f t="shared" si="12"/>
        <v>74292.66</v>
      </c>
      <c r="BJ5" s="44">
        <f t="shared" si="12"/>
        <v>74292.66</v>
      </c>
      <c r="BK5" s="44">
        <f t="shared" si="12"/>
        <v>74292.66</v>
      </c>
      <c r="BL5" s="44">
        <f t="shared" si="12"/>
        <v>74292.66</v>
      </c>
      <c r="BM5" s="44">
        <f t="shared" si="12"/>
        <v>74292.66</v>
      </c>
      <c r="BN5" s="44">
        <f t="shared" si="12"/>
        <v>74292.66</v>
      </c>
      <c r="BO5" s="44">
        <f t="shared" si="12"/>
        <v>74292.66</v>
      </c>
      <c r="BP5" s="44">
        <f t="shared" si="12"/>
        <v>74292.66</v>
      </c>
      <c r="BQ5" s="44">
        <f t="shared" si="12"/>
        <v>74292.66</v>
      </c>
      <c r="BR5" s="44">
        <f t="shared" si="12"/>
        <v>74292.66</v>
      </c>
      <c r="BS5" s="44">
        <f t="shared" si="12"/>
        <v>74292.66</v>
      </c>
      <c r="BT5" s="44">
        <f t="shared" si="12"/>
        <v>74292.66</v>
      </c>
      <c r="BU5" s="44">
        <f t="shared" si="12"/>
        <v>74292.66</v>
      </c>
      <c r="BV5" s="44">
        <f t="shared" si="12"/>
        <v>74292.66</v>
      </c>
      <c r="BW5" s="44">
        <f t="shared" si="12"/>
        <v>74292.66</v>
      </c>
      <c r="BX5" s="44">
        <f t="shared" si="12"/>
        <v>74292.66</v>
      </c>
      <c r="BY5" s="44">
        <f t="shared" si="12"/>
        <v>74292.66</v>
      </c>
      <c r="BZ5" s="44">
        <f t="shared" si="12"/>
        <v>74292.66</v>
      </c>
      <c r="CA5" s="44">
        <f t="shared" ref="CA5:EL5" si="13">BZ5</f>
        <v>74292.66</v>
      </c>
      <c r="CB5" s="44">
        <f t="shared" si="13"/>
        <v>74292.66</v>
      </c>
      <c r="CC5" s="44">
        <f t="shared" si="13"/>
        <v>74292.66</v>
      </c>
      <c r="CD5" s="44">
        <f t="shared" si="13"/>
        <v>74292.66</v>
      </c>
      <c r="CE5" s="44">
        <f t="shared" si="13"/>
        <v>74292.66</v>
      </c>
      <c r="CF5" s="44">
        <f t="shared" si="13"/>
        <v>74292.66</v>
      </c>
      <c r="CG5" s="44">
        <f t="shared" si="13"/>
        <v>74292.66</v>
      </c>
      <c r="CH5" s="44">
        <f t="shared" si="13"/>
        <v>74292.66</v>
      </c>
      <c r="CI5" s="44">
        <f t="shared" si="13"/>
        <v>74292.66</v>
      </c>
      <c r="CJ5" s="44">
        <f t="shared" si="13"/>
        <v>74292.66</v>
      </c>
      <c r="CK5" s="44">
        <f t="shared" si="13"/>
        <v>74292.66</v>
      </c>
      <c r="CL5" s="44">
        <f t="shared" si="13"/>
        <v>74292.66</v>
      </c>
      <c r="CM5" s="44">
        <f t="shared" si="13"/>
        <v>74292.66</v>
      </c>
      <c r="CN5" s="44">
        <f t="shared" si="13"/>
        <v>74292.66</v>
      </c>
      <c r="CO5" s="44">
        <f t="shared" si="13"/>
        <v>74292.66</v>
      </c>
      <c r="CP5" s="44">
        <f t="shared" si="13"/>
        <v>74292.66</v>
      </c>
      <c r="CQ5" s="44">
        <f t="shared" si="13"/>
        <v>74292.66</v>
      </c>
      <c r="CR5" s="44">
        <f t="shared" si="13"/>
        <v>74292.66</v>
      </c>
      <c r="CS5" s="44">
        <f t="shared" si="13"/>
        <v>74292.66</v>
      </c>
      <c r="CT5" s="44">
        <f t="shared" si="13"/>
        <v>74292.66</v>
      </c>
      <c r="CU5" s="44">
        <f t="shared" si="13"/>
        <v>74292.66</v>
      </c>
      <c r="CV5" s="44">
        <f t="shared" si="13"/>
        <v>74292.66</v>
      </c>
      <c r="CW5" s="44">
        <f t="shared" si="13"/>
        <v>74292.66</v>
      </c>
      <c r="CX5" s="44">
        <f t="shared" si="13"/>
        <v>74292.66</v>
      </c>
      <c r="CY5" s="44">
        <f t="shared" si="13"/>
        <v>74292.66</v>
      </c>
      <c r="CZ5" s="44">
        <f t="shared" si="13"/>
        <v>74292.66</v>
      </c>
      <c r="DA5" s="44">
        <f t="shared" si="13"/>
        <v>74292.66</v>
      </c>
      <c r="DB5" s="44">
        <f t="shared" si="13"/>
        <v>74292.66</v>
      </c>
      <c r="DC5" s="44">
        <f t="shared" si="13"/>
        <v>74292.66</v>
      </c>
      <c r="DD5" s="44">
        <f t="shared" si="13"/>
        <v>74292.66</v>
      </c>
      <c r="DE5" s="44">
        <f t="shared" si="13"/>
        <v>74292.66</v>
      </c>
      <c r="DF5" s="44">
        <f t="shared" si="13"/>
        <v>74292.66</v>
      </c>
      <c r="DG5" s="44">
        <f t="shared" si="13"/>
        <v>74292.66</v>
      </c>
      <c r="DH5" s="44">
        <f t="shared" si="13"/>
        <v>74292.66</v>
      </c>
      <c r="DI5" s="44">
        <f t="shared" si="13"/>
        <v>74292.66</v>
      </c>
      <c r="DJ5" s="44">
        <f t="shared" si="13"/>
        <v>74292.66</v>
      </c>
      <c r="DK5" s="44">
        <f t="shared" si="13"/>
        <v>74292.66</v>
      </c>
      <c r="DL5" s="44">
        <f t="shared" si="13"/>
        <v>74292.66</v>
      </c>
      <c r="DM5" s="44">
        <f t="shared" si="13"/>
        <v>74292.66</v>
      </c>
      <c r="DN5" s="44">
        <f t="shared" si="13"/>
        <v>74292.66</v>
      </c>
      <c r="DO5" s="44">
        <f t="shared" si="13"/>
        <v>74292.66</v>
      </c>
      <c r="DP5" s="44">
        <f t="shared" si="13"/>
        <v>74292.66</v>
      </c>
      <c r="DQ5" s="44">
        <f t="shared" si="13"/>
        <v>74292.66</v>
      </c>
      <c r="DR5" s="44">
        <f t="shared" si="13"/>
        <v>74292.66</v>
      </c>
      <c r="DS5" s="44">
        <f t="shared" si="13"/>
        <v>74292.66</v>
      </c>
      <c r="DT5" s="44">
        <f t="shared" si="13"/>
        <v>74292.66</v>
      </c>
      <c r="DU5" s="44">
        <f t="shared" si="13"/>
        <v>74292.66</v>
      </c>
      <c r="DV5" s="44">
        <f t="shared" si="13"/>
        <v>74292.66</v>
      </c>
      <c r="DW5" s="44">
        <f t="shared" si="13"/>
        <v>74292.66</v>
      </c>
      <c r="DX5" s="44">
        <f t="shared" si="13"/>
        <v>74292.66</v>
      </c>
      <c r="DY5" s="44">
        <f t="shared" si="13"/>
        <v>74292.66</v>
      </c>
      <c r="DZ5" s="44">
        <f t="shared" si="13"/>
        <v>74292.66</v>
      </c>
      <c r="EA5" s="44">
        <f t="shared" si="13"/>
        <v>74292.66</v>
      </c>
      <c r="EB5" s="44">
        <f t="shared" si="13"/>
        <v>74292.66</v>
      </c>
      <c r="EC5" s="44">
        <f t="shared" si="13"/>
        <v>74292.66</v>
      </c>
      <c r="ED5" s="44">
        <f t="shared" si="13"/>
        <v>74292.66</v>
      </c>
      <c r="EE5" s="44">
        <f t="shared" si="13"/>
        <v>74292.66</v>
      </c>
      <c r="EF5" s="44">
        <f t="shared" si="13"/>
        <v>74292.66</v>
      </c>
      <c r="EG5" s="44">
        <f t="shared" si="13"/>
        <v>74292.66</v>
      </c>
      <c r="EH5" s="44">
        <f t="shared" si="13"/>
        <v>74292.66</v>
      </c>
      <c r="EI5" s="44">
        <f t="shared" si="13"/>
        <v>74292.66</v>
      </c>
      <c r="EJ5" s="44">
        <f t="shared" si="13"/>
        <v>74292.66</v>
      </c>
      <c r="EK5" s="44">
        <f t="shared" si="13"/>
        <v>74292.66</v>
      </c>
      <c r="EL5" s="44">
        <f t="shared" si="13"/>
        <v>74292.66</v>
      </c>
      <c r="EM5" s="44">
        <f t="shared" ref="EM5:GT5" si="14">EL5</f>
        <v>74292.66</v>
      </c>
      <c r="EN5" s="44">
        <f t="shared" si="14"/>
        <v>74292.66</v>
      </c>
      <c r="EO5" s="44">
        <f t="shared" si="14"/>
        <v>74292.66</v>
      </c>
      <c r="EP5" s="44">
        <f t="shared" si="14"/>
        <v>74292.66</v>
      </c>
      <c r="EQ5" s="44">
        <f t="shared" si="14"/>
        <v>74292.66</v>
      </c>
      <c r="ER5" s="44">
        <f t="shared" si="14"/>
        <v>74292.66</v>
      </c>
      <c r="ES5" s="44">
        <f t="shared" si="14"/>
        <v>74292.66</v>
      </c>
      <c r="ET5" s="44">
        <f t="shared" si="14"/>
        <v>74292.66</v>
      </c>
      <c r="EU5" s="44">
        <f t="shared" si="14"/>
        <v>74292.66</v>
      </c>
      <c r="EV5" s="44">
        <f t="shared" si="14"/>
        <v>74292.66</v>
      </c>
      <c r="EW5" s="44">
        <f t="shared" si="14"/>
        <v>74292.66</v>
      </c>
      <c r="EX5" s="44">
        <f t="shared" si="14"/>
        <v>74292.66</v>
      </c>
      <c r="EY5" s="44">
        <f t="shared" si="14"/>
        <v>74292.66</v>
      </c>
      <c r="EZ5" s="44">
        <f t="shared" si="14"/>
        <v>74292.66</v>
      </c>
      <c r="FA5" s="44">
        <f t="shared" si="14"/>
        <v>74292.66</v>
      </c>
      <c r="FB5" s="44">
        <f t="shared" si="14"/>
        <v>74292.66</v>
      </c>
      <c r="FC5" s="44">
        <f t="shared" si="14"/>
        <v>74292.66</v>
      </c>
      <c r="FD5" s="44">
        <f t="shared" si="14"/>
        <v>74292.66</v>
      </c>
      <c r="FE5" s="44">
        <f t="shared" si="14"/>
        <v>74292.66</v>
      </c>
      <c r="FF5" s="44">
        <f t="shared" si="14"/>
        <v>74292.66</v>
      </c>
      <c r="FG5" s="44">
        <f t="shared" si="14"/>
        <v>74292.66</v>
      </c>
      <c r="FH5" s="44">
        <f t="shared" si="14"/>
        <v>74292.66</v>
      </c>
      <c r="FI5" s="44">
        <f t="shared" si="14"/>
        <v>74292.66</v>
      </c>
      <c r="FJ5" s="44">
        <f t="shared" si="14"/>
        <v>74292.66</v>
      </c>
      <c r="FK5" s="44">
        <f t="shared" si="14"/>
        <v>74292.66</v>
      </c>
      <c r="FL5" s="44">
        <f t="shared" si="14"/>
        <v>74292.66</v>
      </c>
      <c r="FM5" s="44">
        <f t="shared" si="14"/>
        <v>74292.66</v>
      </c>
      <c r="FN5" s="44">
        <f t="shared" si="14"/>
        <v>74292.66</v>
      </c>
      <c r="FO5" s="44">
        <f t="shared" si="14"/>
        <v>74292.66</v>
      </c>
      <c r="FP5" s="44">
        <f t="shared" si="14"/>
        <v>74292.66</v>
      </c>
      <c r="FQ5" s="44">
        <f t="shared" si="14"/>
        <v>74292.66</v>
      </c>
      <c r="FR5" s="44">
        <f t="shared" si="14"/>
        <v>74292.66</v>
      </c>
      <c r="FS5" s="44">
        <f t="shared" si="14"/>
        <v>74292.66</v>
      </c>
      <c r="FT5" s="44">
        <f t="shared" si="14"/>
        <v>74292.66</v>
      </c>
      <c r="FU5" s="44">
        <f t="shared" si="14"/>
        <v>74292.66</v>
      </c>
      <c r="FV5" s="44">
        <f t="shared" si="14"/>
        <v>74292.66</v>
      </c>
      <c r="FW5" s="44">
        <f t="shared" si="14"/>
        <v>74292.66</v>
      </c>
      <c r="FX5" s="44">
        <f t="shared" si="14"/>
        <v>74292.66</v>
      </c>
      <c r="FY5" s="44">
        <f t="shared" si="14"/>
        <v>74292.66</v>
      </c>
      <c r="FZ5" s="44">
        <f t="shared" si="14"/>
        <v>74292.66</v>
      </c>
      <c r="GA5" s="44">
        <f t="shared" si="14"/>
        <v>74292.66</v>
      </c>
      <c r="GB5" s="44">
        <f t="shared" si="14"/>
        <v>74292.66</v>
      </c>
      <c r="GC5" s="44">
        <f t="shared" si="14"/>
        <v>74292.66</v>
      </c>
      <c r="GD5" s="44">
        <f t="shared" si="14"/>
        <v>74292.66</v>
      </c>
      <c r="GE5" s="44">
        <f t="shared" si="14"/>
        <v>74292.66</v>
      </c>
      <c r="GF5" s="44">
        <f t="shared" si="14"/>
        <v>74292.66</v>
      </c>
      <c r="GG5" s="44">
        <f t="shared" si="14"/>
        <v>74292.66</v>
      </c>
      <c r="GH5" s="44">
        <f t="shared" si="14"/>
        <v>74292.66</v>
      </c>
      <c r="GI5" s="44">
        <f t="shared" si="14"/>
        <v>74292.66</v>
      </c>
      <c r="GJ5" s="44">
        <f t="shared" si="14"/>
        <v>74292.66</v>
      </c>
      <c r="GK5" s="44">
        <f t="shared" si="14"/>
        <v>74292.66</v>
      </c>
      <c r="GL5" s="44">
        <f t="shared" si="14"/>
        <v>74292.66</v>
      </c>
      <c r="GM5" s="44">
        <f t="shared" si="14"/>
        <v>74292.66</v>
      </c>
      <c r="GN5" s="44">
        <f t="shared" si="14"/>
        <v>74292.66</v>
      </c>
      <c r="GO5" s="44">
        <f t="shared" si="14"/>
        <v>74292.66</v>
      </c>
      <c r="GP5" s="44">
        <f t="shared" si="14"/>
        <v>74292.66</v>
      </c>
      <c r="GQ5" s="44">
        <f t="shared" si="14"/>
        <v>74292.66</v>
      </c>
      <c r="GR5" s="44">
        <f t="shared" si="14"/>
        <v>74292.66</v>
      </c>
      <c r="GS5" s="44">
        <f t="shared" si="14"/>
        <v>74292.66</v>
      </c>
      <c r="GT5" s="44">
        <f t="shared" si="14"/>
        <v>74292.66</v>
      </c>
    </row>
    <row r="6" spans="1:202" x14ac:dyDescent="0.25">
      <c r="A6" t="s">
        <v>325</v>
      </c>
      <c r="C6" s="44">
        <f>C5/52*2</f>
        <v>2785</v>
      </c>
      <c r="D6" s="44">
        <f>D5/52*2</f>
        <v>2785</v>
      </c>
      <c r="E6" s="44">
        <f t="shared" ref="E6:O6" si="15">E5/52*2</f>
        <v>2785</v>
      </c>
      <c r="F6" s="44">
        <f t="shared" si="15"/>
        <v>2785</v>
      </c>
      <c r="G6" s="44">
        <f t="shared" si="15"/>
        <v>2785</v>
      </c>
      <c r="H6" s="44">
        <f t="shared" si="15"/>
        <v>2785</v>
      </c>
      <c r="I6" s="44">
        <f t="shared" si="15"/>
        <v>2785</v>
      </c>
      <c r="J6" s="44">
        <f t="shared" si="15"/>
        <v>2785</v>
      </c>
      <c r="K6" s="44">
        <f t="shared" si="15"/>
        <v>2785</v>
      </c>
      <c r="L6" s="44">
        <f t="shared" si="15"/>
        <v>2785</v>
      </c>
      <c r="M6" s="44">
        <f t="shared" si="15"/>
        <v>2857.4100000000003</v>
      </c>
      <c r="N6" s="44">
        <f t="shared" si="15"/>
        <v>2857.4100000000003</v>
      </c>
      <c r="O6" s="44">
        <f t="shared" si="15"/>
        <v>2857.4100000000003</v>
      </c>
      <c r="P6" s="44">
        <f t="shared" ref="P6:AU6" si="16">P5/52*2</f>
        <v>2857.4100000000003</v>
      </c>
      <c r="Q6" s="44">
        <f t="shared" si="16"/>
        <v>2857.4100000000003</v>
      </c>
      <c r="R6" s="44">
        <f t="shared" si="16"/>
        <v>2857.4100000000003</v>
      </c>
      <c r="S6" s="44">
        <f t="shared" si="16"/>
        <v>2857.4100000000003</v>
      </c>
      <c r="T6" s="44">
        <f t="shared" si="16"/>
        <v>2857.4100000000003</v>
      </c>
      <c r="U6" s="44">
        <f t="shared" si="16"/>
        <v>2857.4100000000003</v>
      </c>
      <c r="V6" s="44">
        <f t="shared" si="16"/>
        <v>2857.4100000000003</v>
      </c>
      <c r="W6" s="44">
        <f t="shared" si="16"/>
        <v>2857.4100000000003</v>
      </c>
      <c r="X6" s="44">
        <f t="shared" si="16"/>
        <v>2857.4100000000003</v>
      </c>
      <c r="Y6" s="44">
        <f t="shared" si="16"/>
        <v>2857.4100000000003</v>
      </c>
      <c r="Z6" s="44">
        <f t="shared" si="16"/>
        <v>2857.4100000000003</v>
      </c>
      <c r="AA6" s="44">
        <f t="shared" si="16"/>
        <v>2857.4100000000003</v>
      </c>
      <c r="AB6" s="44">
        <f t="shared" si="16"/>
        <v>2857.4100000000003</v>
      </c>
      <c r="AC6" s="44">
        <f t="shared" si="16"/>
        <v>2857.4100000000003</v>
      </c>
      <c r="AD6" s="44">
        <f t="shared" si="16"/>
        <v>2857.4100000000003</v>
      </c>
      <c r="AE6" s="44">
        <f t="shared" si="16"/>
        <v>2857.4100000000003</v>
      </c>
      <c r="AF6" s="44">
        <f t="shared" si="16"/>
        <v>2857.4100000000003</v>
      </c>
      <c r="AG6" s="44">
        <f t="shared" si="16"/>
        <v>2857.4100000000003</v>
      </c>
      <c r="AH6" s="44">
        <f t="shared" si="16"/>
        <v>2857.4100000000003</v>
      </c>
      <c r="AI6" s="44">
        <f t="shared" si="16"/>
        <v>2857.4100000000003</v>
      </c>
      <c r="AJ6" s="44">
        <f t="shared" si="16"/>
        <v>2857.4100000000003</v>
      </c>
      <c r="AK6" s="44">
        <f t="shared" si="16"/>
        <v>2857.4100000000003</v>
      </c>
      <c r="AL6" s="44">
        <f t="shared" si="16"/>
        <v>2857.4100000000003</v>
      </c>
      <c r="AM6" s="44">
        <f t="shared" si="16"/>
        <v>2857.4100000000003</v>
      </c>
      <c r="AN6" s="44">
        <f t="shared" si="16"/>
        <v>2857.4100000000003</v>
      </c>
      <c r="AO6" s="44">
        <f t="shared" si="16"/>
        <v>2857.4100000000003</v>
      </c>
      <c r="AP6" s="44">
        <f t="shared" si="16"/>
        <v>2857.4100000000003</v>
      </c>
      <c r="AQ6" s="44">
        <f t="shared" si="16"/>
        <v>2857.4100000000003</v>
      </c>
      <c r="AR6" s="44">
        <f t="shared" si="16"/>
        <v>2857.4100000000003</v>
      </c>
      <c r="AS6" s="44">
        <f t="shared" si="16"/>
        <v>2857.4100000000003</v>
      </c>
      <c r="AT6" s="44">
        <f t="shared" si="16"/>
        <v>2857.4100000000003</v>
      </c>
      <c r="AU6" s="44">
        <f t="shared" si="16"/>
        <v>2857.4100000000003</v>
      </c>
      <c r="AV6" s="44">
        <f t="shared" ref="AV6:CA6" si="17">AV5/52*2</f>
        <v>2857.4100000000003</v>
      </c>
      <c r="AW6" s="44">
        <f t="shared" si="17"/>
        <v>2857.4100000000003</v>
      </c>
      <c r="AX6" s="44">
        <f t="shared" si="17"/>
        <v>2857.4100000000003</v>
      </c>
      <c r="AY6" s="44">
        <f t="shared" si="17"/>
        <v>2857.4100000000003</v>
      </c>
      <c r="AZ6" s="44">
        <f t="shared" si="17"/>
        <v>2857.4100000000003</v>
      </c>
      <c r="BA6" s="44">
        <f t="shared" si="17"/>
        <v>2857.4100000000003</v>
      </c>
      <c r="BB6" s="44">
        <f t="shared" si="17"/>
        <v>2857.4100000000003</v>
      </c>
      <c r="BC6" s="44">
        <f t="shared" si="17"/>
        <v>2857.4100000000003</v>
      </c>
      <c r="BD6" s="44">
        <f t="shared" si="17"/>
        <v>2857.4100000000003</v>
      </c>
      <c r="BE6" s="44">
        <f t="shared" si="17"/>
        <v>2857.4100000000003</v>
      </c>
      <c r="BF6" s="44">
        <f t="shared" si="17"/>
        <v>2857.4100000000003</v>
      </c>
      <c r="BG6" s="44">
        <f t="shared" si="17"/>
        <v>2857.4100000000003</v>
      </c>
      <c r="BH6" s="44">
        <f t="shared" si="17"/>
        <v>2857.4100000000003</v>
      </c>
      <c r="BI6" s="44">
        <f t="shared" si="17"/>
        <v>2857.4100000000003</v>
      </c>
      <c r="BJ6" s="44">
        <f t="shared" si="17"/>
        <v>2857.4100000000003</v>
      </c>
      <c r="BK6" s="44">
        <f t="shared" si="17"/>
        <v>2857.4100000000003</v>
      </c>
      <c r="BL6" s="44">
        <f t="shared" si="17"/>
        <v>2857.4100000000003</v>
      </c>
      <c r="BM6" s="44">
        <f t="shared" si="17"/>
        <v>2857.4100000000003</v>
      </c>
      <c r="BN6" s="44">
        <f t="shared" si="17"/>
        <v>2857.4100000000003</v>
      </c>
      <c r="BO6" s="44">
        <f t="shared" si="17"/>
        <v>2857.4100000000003</v>
      </c>
      <c r="BP6" s="44">
        <f t="shared" si="17"/>
        <v>2857.4100000000003</v>
      </c>
      <c r="BQ6" s="44">
        <f t="shared" si="17"/>
        <v>2857.4100000000003</v>
      </c>
      <c r="BR6" s="44">
        <f t="shared" si="17"/>
        <v>2857.4100000000003</v>
      </c>
      <c r="BS6" s="44">
        <f t="shared" si="17"/>
        <v>2857.4100000000003</v>
      </c>
      <c r="BT6" s="44">
        <f t="shared" si="17"/>
        <v>2857.4100000000003</v>
      </c>
      <c r="BU6" s="44">
        <f t="shared" si="17"/>
        <v>2857.4100000000003</v>
      </c>
      <c r="BV6" s="44">
        <f t="shared" si="17"/>
        <v>2857.4100000000003</v>
      </c>
      <c r="BW6" s="44">
        <f t="shared" si="17"/>
        <v>2857.4100000000003</v>
      </c>
      <c r="BX6" s="44">
        <f t="shared" si="17"/>
        <v>2857.4100000000003</v>
      </c>
      <c r="BY6" s="44">
        <f t="shared" si="17"/>
        <v>2857.4100000000003</v>
      </c>
      <c r="BZ6" s="44">
        <f t="shared" si="17"/>
        <v>2857.4100000000003</v>
      </c>
      <c r="CA6" s="44">
        <f t="shared" si="17"/>
        <v>2857.4100000000003</v>
      </c>
      <c r="CB6" s="44">
        <f t="shared" ref="CB6:DG6" si="18">CB5/52*2</f>
        <v>2857.4100000000003</v>
      </c>
      <c r="CC6" s="44">
        <f t="shared" si="18"/>
        <v>2857.4100000000003</v>
      </c>
      <c r="CD6" s="44">
        <f t="shared" si="18"/>
        <v>2857.4100000000003</v>
      </c>
      <c r="CE6" s="44">
        <f t="shared" si="18"/>
        <v>2857.4100000000003</v>
      </c>
      <c r="CF6" s="44">
        <f t="shared" si="18"/>
        <v>2857.4100000000003</v>
      </c>
      <c r="CG6" s="44">
        <f t="shared" si="18"/>
        <v>2857.4100000000003</v>
      </c>
      <c r="CH6" s="44">
        <f t="shared" si="18"/>
        <v>2857.4100000000003</v>
      </c>
      <c r="CI6" s="44">
        <f t="shared" si="18"/>
        <v>2857.4100000000003</v>
      </c>
      <c r="CJ6" s="44">
        <f t="shared" si="18"/>
        <v>2857.4100000000003</v>
      </c>
      <c r="CK6" s="44">
        <f t="shared" si="18"/>
        <v>2857.4100000000003</v>
      </c>
      <c r="CL6" s="44">
        <f t="shared" si="18"/>
        <v>2857.4100000000003</v>
      </c>
      <c r="CM6" s="44">
        <f t="shared" si="18"/>
        <v>2857.4100000000003</v>
      </c>
      <c r="CN6" s="44">
        <f t="shared" si="18"/>
        <v>2857.4100000000003</v>
      </c>
      <c r="CO6" s="44">
        <f t="shared" si="18"/>
        <v>2857.4100000000003</v>
      </c>
      <c r="CP6" s="44">
        <f t="shared" si="18"/>
        <v>2857.4100000000003</v>
      </c>
      <c r="CQ6" s="44">
        <f t="shared" si="18"/>
        <v>2857.4100000000003</v>
      </c>
      <c r="CR6" s="44">
        <f t="shared" si="18"/>
        <v>2857.4100000000003</v>
      </c>
      <c r="CS6" s="44">
        <f t="shared" si="18"/>
        <v>2857.4100000000003</v>
      </c>
      <c r="CT6" s="44">
        <f t="shared" si="18"/>
        <v>2857.4100000000003</v>
      </c>
      <c r="CU6" s="44">
        <f t="shared" si="18"/>
        <v>2857.4100000000003</v>
      </c>
      <c r="CV6" s="44">
        <f t="shared" si="18"/>
        <v>2857.4100000000003</v>
      </c>
      <c r="CW6" s="44">
        <f t="shared" si="18"/>
        <v>2857.4100000000003</v>
      </c>
      <c r="CX6" s="44">
        <f t="shared" si="18"/>
        <v>2857.4100000000003</v>
      </c>
      <c r="CY6" s="44">
        <f t="shared" si="18"/>
        <v>2857.4100000000003</v>
      </c>
      <c r="CZ6" s="44">
        <f t="shared" si="18"/>
        <v>2857.4100000000003</v>
      </c>
      <c r="DA6" s="44">
        <f t="shared" si="18"/>
        <v>2857.4100000000003</v>
      </c>
      <c r="DB6" s="44">
        <f t="shared" si="18"/>
        <v>2857.4100000000003</v>
      </c>
      <c r="DC6" s="44">
        <f t="shared" si="18"/>
        <v>2857.4100000000003</v>
      </c>
      <c r="DD6" s="44">
        <f t="shared" si="18"/>
        <v>2857.4100000000003</v>
      </c>
      <c r="DE6" s="44">
        <f t="shared" si="18"/>
        <v>2857.4100000000003</v>
      </c>
      <c r="DF6" s="44">
        <f t="shared" si="18"/>
        <v>2857.4100000000003</v>
      </c>
      <c r="DG6" s="44">
        <f t="shared" si="18"/>
        <v>2857.4100000000003</v>
      </c>
      <c r="DH6" s="44">
        <f t="shared" ref="DH6:EM6" si="19">DH5/52*2</f>
        <v>2857.4100000000003</v>
      </c>
      <c r="DI6" s="44">
        <f t="shared" si="19"/>
        <v>2857.4100000000003</v>
      </c>
      <c r="DJ6" s="44">
        <f t="shared" si="19"/>
        <v>2857.4100000000003</v>
      </c>
      <c r="DK6" s="44">
        <f t="shared" si="19"/>
        <v>2857.4100000000003</v>
      </c>
      <c r="DL6" s="44">
        <f t="shared" si="19"/>
        <v>2857.4100000000003</v>
      </c>
      <c r="DM6" s="44">
        <f t="shared" si="19"/>
        <v>2857.4100000000003</v>
      </c>
      <c r="DN6" s="44">
        <f t="shared" si="19"/>
        <v>2857.4100000000003</v>
      </c>
      <c r="DO6" s="44">
        <f t="shared" si="19"/>
        <v>2857.4100000000003</v>
      </c>
      <c r="DP6" s="44">
        <f t="shared" si="19"/>
        <v>2857.4100000000003</v>
      </c>
      <c r="DQ6" s="44">
        <f t="shared" si="19"/>
        <v>2857.4100000000003</v>
      </c>
      <c r="DR6" s="44">
        <f t="shared" si="19"/>
        <v>2857.4100000000003</v>
      </c>
      <c r="DS6" s="44">
        <f t="shared" si="19"/>
        <v>2857.4100000000003</v>
      </c>
      <c r="DT6" s="44">
        <f t="shared" si="19"/>
        <v>2857.4100000000003</v>
      </c>
      <c r="DU6" s="44">
        <f t="shared" si="19"/>
        <v>2857.4100000000003</v>
      </c>
      <c r="DV6" s="44">
        <f t="shared" si="19"/>
        <v>2857.4100000000003</v>
      </c>
      <c r="DW6" s="44">
        <f t="shared" si="19"/>
        <v>2857.4100000000003</v>
      </c>
      <c r="DX6" s="44">
        <f t="shared" si="19"/>
        <v>2857.4100000000003</v>
      </c>
      <c r="DY6" s="44">
        <f t="shared" si="19"/>
        <v>2857.4100000000003</v>
      </c>
      <c r="DZ6" s="44">
        <f t="shared" si="19"/>
        <v>2857.4100000000003</v>
      </c>
      <c r="EA6" s="44">
        <f t="shared" si="19"/>
        <v>2857.4100000000003</v>
      </c>
      <c r="EB6" s="44">
        <f t="shared" si="19"/>
        <v>2857.4100000000003</v>
      </c>
      <c r="EC6" s="44">
        <f t="shared" si="19"/>
        <v>2857.4100000000003</v>
      </c>
      <c r="ED6" s="44">
        <f t="shared" si="19"/>
        <v>2857.4100000000003</v>
      </c>
      <c r="EE6" s="44">
        <f t="shared" si="19"/>
        <v>2857.4100000000003</v>
      </c>
      <c r="EF6" s="44">
        <f t="shared" si="19"/>
        <v>2857.4100000000003</v>
      </c>
      <c r="EG6" s="44">
        <f t="shared" si="19"/>
        <v>2857.4100000000003</v>
      </c>
      <c r="EH6" s="44">
        <f t="shared" si="19"/>
        <v>2857.4100000000003</v>
      </c>
      <c r="EI6" s="44">
        <f t="shared" si="19"/>
        <v>2857.4100000000003</v>
      </c>
      <c r="EJ6" s="44">
        <f t="shared" si="19"/>
        <v>2857.4100000000003</v>
      </c>
      <c r="EK6" s="44">
        <f t="shared" si="19"/>
        <v>2857.4100000000003</v>
      </c>
      <c r="EL6" s="44">
        <f t="shared" si="19"/>
        <v>2857.4100000000003</v>
      </c>
      <c r="EM6" s="44">
        <f t="shared" si="19"/>
        <v>2857.4100000000003</v>
      </c>
      <c r="EN6" s="44">
        <f t="shared" ref="EN6:FS6" si="20">EN5/52*2</f>
        <v>2857.4100000000003</v>
      </c>
      <c r="EO6" s="44">
        <f t="shared" si="20"/>
        <v>2857.4100000000003</v>
      </c>
      <c r="EP6" s="44">
        <f t="shared" si="20"/>
        <v>2857.4100000000003</v>
      </c>
      <c r="EQ6" s="44">
        <f t="shared" si="20"/>
        <v>2857.4100000000003</v>
      </c>
      <c r="ER6" s="44">
        <f t="shared" si="20"/>
        <v>2857.4100000000003</v>
      </c>
      <c r="ES6" s="44">
        <f t="shared" si="20"/>
        <v>2857.4100000000003</v>
      </c>
      <c r="ET6" s="44">
        <f t="shared" si="20"/>
        <v>2857.4100000000003</v>
      </c>
      <c r="EU6" s="44">
        <f t="shared" si="20"/>
        <v>2857.4100000000003</v>
      </c>
      <c r="EV6" s="44">
        <f t="shared" si="20"/>
        <v>2857.4100000000003</v>
      </c>
      <c r="EW6" s="44">
        <f t="shared" si="20"/>
        <v>2857.4100000000003</v>
      </c>
      <c r="EX6" s="44">
        <f t="shared" si="20"/>
        <v>2857.4100000000003</v>
      </c>
      <c r="EY6" s="44">
        <f t="shared" si="20"/>
        <v>2857.4100000000003</v>
      </c>
      <c r="EZ6" s="44">
        <f t="shared" si="20"/>
        <v>2857.4100000000003</v>
      </c>
      <c r="FA6" s="44">
        <f t="shared" si="20"/>
        <v>2857.4100000000003</v>
      </c>
      <c r="FB6" s="44">
        <f t="shared" si="20"/>
        <v>2857.4100000000003</v>
      </c>
      <c r="FC6" s="44">
        <f t="shared" si="20"/>
        <v>2857.4100000000003</v>
      </c>
      <c r="FD6" s="44">
        <f t="shared" si="20"/>
        <v>2857.4100000000003</v>
      </c>
      <c r="FE6" s="44">
        <f t="shared" si="20"/>
        <v>2857.4100000000003</v>
      </c>
      <c r="FF6" s="44">
        <f t="shared" si="20"/>
        <v>2857.4100000000003</v>
      </c>
      <c r="FG6" s="44">
        <f t="shared" si="20"/>
        <v>2857.4100000000003</v>
      </c>
      <c r="FH6" s="44">
        <f t="shared" si="20"/>
        <v>2857.4100000000003</v>
      </c>
      <c r="FI6" s="44">
        <f t="shared" si="20"/>
        <v>2857.4100000000003</v>
      </c>
      <c r="FJ6" s="44">
        <f t="shared" si="20"/>
        <v>2857.4100000000003</v>
      </c>
      <c r="FK6" s="44">
        <f t="shared" si="20"/>
        <v>2857.4100000000003</v>
      </c>
      <c r="FL6" s="44">
        <f t="shared" si="20"/>
        <v>2857.4100000000003</v>
      </c>
      <c r="FM6" s="44">
        <f t="shared" si="20"/>
        <v>2857.4100000000003</v>
      </c>
      <c r="FN6" s="44">
        <f t="shared" si="20"/>
        <v>2857.4100000000003</v>
      </c>
      <c r="FO6" s="44">
        <f t="shared" si="20"/>
        <v>2857.4100000000003</v>
      </c>
      <c r="FP6" s="44">
        <f t="shared" si="20"/>
        <v>2857.4100000000003</v>
      </c>
      <c r="FQ6" s="44">
        <f t="shared" si="20"/>
        <v>2857.4100000000003</v>
      </c>
      <c r="FR6" s="44">
        <f t="shared" si="20"/>
        <v>2857.4100000000003</v>
      </c>
      <c r="FS6" s="44">
        <f t="shared" si="20"/>
        <v>2857.4100000000003</v>
      </c>
      <c r="FT6" s="44">
        <f t="shared" ref="FT6:GT6" si="21">FT5/52*2</f>
        <v>2857.4100000000003</v>
      </c>
      <c r="FU6" s="44">
        <f t="shared" si="21"/>
        <v>2857.4100000000003</v>
      </c>
      <c r="FV6" s="44">
        <f t="shared" si="21"/>
        <v>2857.4100000000003</v>
      </c>
      <c r="FW6" s="44">
        <f t="shared" si="21"/>
        <v>2857.4100000000003</v>
      </c>
      <c r="FX6" s="44">
        <f t="shared" si="21"/>
        <v>2857.4100000000003</v>
      </c>
      <c r="FY6" s="44">
        <f t="shared" si="21"/>
        <v>2857.4100000000003</v>
      </c>
      <c r="FZ6" s="44">
        <f t="shared" si="21"/>
        <v>2857.4100000000003</v>
      </c>
      <c r="GA6" s="44">
        <f t="shared" si="21"/>
        <v>2857.4100000000003</v>
      </c>
      <c r="GB6" s="44">
        <f t="shared" si="21"/>
        <v>2857.4100000000003</v>
      </c>
      <c r="GC6" s="44">
        <f t="shared" si="21"/>
        <v>2857.4100000000003</v>
      </c>
      <c r="GD6" s="44">
        <f t="shared" si="21"/>
        <v>2857.4100000000003</v>
      </c>
      <c r="GE6" s="44">
        <f t="shared" si="21"/>
        <v>2857.4100000000003</v>
      </c>
      <c r="GF6" s="44">
        <f t="shared" si="21"/>
        <v>2857.4100000000003</v>
      </c>
      <c r="GG6" s="44">
        <f t="shared" si="21"/>
        <v>2857.4100000000003</v>
      </c>
      <c r="GH6" s="44">
        <f t="shared" si="21"/>
        <v>2857.4100000000003</v>
      </c>
      <c r="GI6" s="44">
        <f t="shared" si="21"/>
        <v>2857.4100000000003</v>
      </c>
      <c r="GJ6" s="44">
        <f t="shared" si="21"/>
        <v>2857.4100000000003</v>
      </c>
      <c r="GK6" s="44">
        <f t="shared" si="21"/>
        <v>2857.4100000000003</v>
      </c>
      <c r="GL6" s="44">
        <f t="shared" si="21"/>
        <v>2857.4100000000003</v>
      </c>
      <c r="GM6" s="44">
        <f t="shared" si="21"/>
        <v>2857.4100000000003</v>
      </c>
      <c r="GN6" s="44">
        <f t="shared" si="21"/>
        <v>2857.4100000000003</v>
      </c>
      <c r="GO6" s="44">
        <f t="shared" si="21"/>
        <v>2857.4100000000003</v>
      </c>
      <c r="GP6" s="44">
        <f t="shared" si="21"/>
        <v>2857.4100000000003</v>
      </c>
      <c r="GQ6" s="44">
        <f t="shared" si="21"/>
        <v>2857.4100000000003</v>
      </c>
      <c r="GR6" s="44">
        <f t="shared" si="21"/>
        <v>2857.4100000000003</v>
      </c>
      <c r="GS6" s="44">
        <f t="shared" si="21"/>
        <v>2857.4100000000003</v>
      </c>
      <c r="GT6" s="44">
        <f t="shared" si="21"/>
        <v>2857.4100000000003</v>
      </c>
    </row>
    <row r="7" spans="1:202" s="56" customFormat="1" ht="11.25" x14ac:dyDescent="0.2">
      <c r="A7" s="56" t="s">
        <v>89</v>
      </c>
      <c r="C7" s="57">
        <f>COUNTIFS(Aux!$C$3:$C$435,'Cash flow'!C1)</f>
        <v>0</v>
      </c>
      <c r="D7" s="57">
        <f>COUNTIFS(Aux!$C$3:$C$435,'Cash flow'!D1)</f>
        <v>2</v>
      </c>
      <c r="E7" s="57">
        <f>COUNTIFS(Aux!$C$3:$C$435,'Cash flow'!E1)</f>
        <v>2</v>
      </c>
      <c r="F7" s="57">
        <f>COUNTIFS(Aux!$C$3:$C$435,'Cash flow'!F1)</f>
        <v>3</v>
      </c>
      <c r="G7" s="57">
        <f>COUNTIFS(Aux!$C$3:$C$435,'Cash flow'!G1)</f>
        <v>2</v>
      </c>
      <c r="H7" s="57">
        <f>COUNTIFS(Aux!$C$3:$C$435,'Cash flow'!H1)</f>
        <v>2</v>
      </c>
      <c r="I7" s="57">
        <f>COUNTIFS(Aux!$C$3:$C$435,'Cash flow'!I1)</f>
        <v>2</v>
      </c>
      <c r="J7" s="57">
        <f>COUNTIFS(Aux!$C$3:$C$435,'Cash flow'!J1)</f>
        <v>2</v>
      </c>
      <c r="K7" s="57">
        <f>COUNTIFS(Aux!$C$3:$C$435,'Cash flow'!K1)</f>
        <v>3</v>
      </c>
      <c r="L7" s="57">
        <f>COUNTIFS(Aux!$C$3:$C$435,'Cash flow'!L1)</f>
        <v>2</v>
      </c>
      <c r="M7" s="57">
        <f>COUNTIFS(Aux!$C$3:$C$435,'Cash flow'!M1)</f>
        <v>2</v>
      </c>
      <c r="N7" s="57">
        <f>COUNTIFS(Aux!$C$3:$C$435,'Cash flow'!N1)</f>
        <v>2</v>
      </c>
      <c r="O7" s="57">
        <f>COUNTIFS(Aux!$C$3:$C$435,'Cash flow'!O1)</f>
        <v>2</v>
      </c>
      <c r="P7" s="57">
        <f>COUNTIFS(Aux!$C$3:$C$435,'Cash flow'!P1)</f>
        <v>2</v>
      </c>
      <c r="Q7" s="57">
        <f>COUNTIFS(Aux!$C$3:$C$435,'Cash flow'!Q1)</f>
        <v>3</v>
      </c>
      <c r="R7" s="57">
        <f>COUNTIFS(Aux!$C$3:$C$435,'Cash flow'!R1)</f>
        <v>2</v>
      </c>
      <c r="S7" s="57">
        <f>COUNTIFS(Aux!$C$3:$C$435,'Cash flow'!S1)</f>
        <v>2</v>
      </c>
      <c r="T7" s="57">
        <f>COUNTIFS(Aux!$C$3:$C$435,'Cash flow'!T1)</f>
        <v>2</v>
      </c>
      <c r="U7" s="57">
        <f>COUNTIFS(Aux!$C$3:$C$435,'Cash flow'!U1)</f>
        <v>2</v>
      </c>
      <c r="V7" s="57">
        <f>COUNTIFS(Aux!$C$3:$C$435,'Cash flow'!V1)</f>
        <v>2</v>
      </c>
      <c r="W7" s="57">
        <f>COUNTIFS(Aux!$C$3:$C$435,'Cash flow'!W1)</f>
        <v>3</v>
      </c>
      <c r="X7" s="57">
        <f>COUNTIFS(Aux!$C$3:$C$435,'Cash flow'!X1)</f>
        <v>2</v>
      </c>
      <c r="Y7" s="57">
        <f>COUNTIFS(Aux!$C$3:$C$435,'Cash flow'!Y1)</f>
        <v>2</v>
      </c>
      <c r="Z7" s="57">
        <f>COUNTIFS(Aux!$C$3:$C$435,'Cash flow'!Z1)</f>
        <v>2</v>
      </c>
      <c r="AA7" s="57">
        <f>COUNTIFS(Aux!$C$3:$C$435,'Cash flow'!AA1)</f>
        <v>2</v>
      </c>
      <c r="AB7" s="57">
        <f>COUNTIFS(Aux!$C$3:$C$435,'Cash flow'!AB1)</f>
        <v>2</v>
      </c>
      <c r="AC7" s="57">
        <f>COUNTIFS(Aux!$C$3:$C$435,'Cash flow'!AC1)</f>
        <v>3</v>
      </c>
      <c r="AD7" s="57">
        <f>COUNTIFS(Aux!$C$3:$C$435,'Cash flow'!AD1)</f>
        <v>2</v>
      </c>
      <c r="AE7" s="57">
        <f>COUNTIFS(Aux!$C$3:$C$435,'Cash flow'!AE1)</f>
        <v>2</v>
      </c>
      <c r="AF7" s="57">
        <f>COUNTIFS(Aux!$C$3:$C$435,'Cash flow'!AF1)</f>
        <v>2</v>
      </c>
      <c r="AG7" s="57">
        <f>COUNTIFS(Aux!$C$3:$C$435,'Cash flow'!AG1)</f>
        <v>2</v>
      </c>
      <c r="AH7" s="57">
        <f>COUNTIFS(Aux!$C$3:$C$435,'Cash flow'!AH1)</f>
        <v>3</v>
      </c>
      <c r="AI7" s="57">
        <f>COUNTIFS(Aux!$C$3:$C$435,'Cash flow'!AI1)</f>
        <v>2</v>
      </c>
      <c r="AJ7" s="57">
        <f>COUNTIFS(Aux!$C$3:$C$435,'Cash flow'!AJ1)</f>
        <v>2</v>
      </c>
      <c r="AK7" s="57">
        <f>COUNTIFS(Aux!$C$3:$C$435,'Cash flow'!AK1)</f>
        <v>2</v>
      </c>
      <c r="AL7" s="57">
        <f>COUNTIFS(Aux!$C$3:$C$435,'Cash flow'!AL1)</f>
        <v>2</v>
      </c>
      <c r="AM7" s="57">
        <f>COUNTIFS(Aux!$C$3:$C$435,'Cash flow'!AM1)</f>
        <v>2</v>
      </c>
      <c r="AN7" s="57">
        <f>COUNTIFS(Aux!$C$3:$C$435,'Cash flow'!AN1)</f>
        <v>2</v>
      </c>
      <c r="AO7" s="57">
        <f>COUNTIFS(Aux!$C$3:$C$435,'Cash flow'!AO1)</f>
        <v>3</v>
      </c>
      <c r="AP7" s="57">
        <f>COUNTIFS(Aux!$C$3:$C$435,'Cash flow'!AP1)</f>
        <v>2</v>
      </c>
      <c r="AQ7" s="57">
        <f>COUNTIFS(Aux!$C$3:$C$435,'Cash flow'!AQ1)</f>
        <v>2</v>
      </c>
      <c r="AR7" s="57">
        <f>COUNTIFS(Aux!$C$3:$C$435,'Cash flow'!AR1)</f>
        <v>2</v>
      </c>
      <c r="AS7" s="57">
        <f>COUNTIFS(Aux!$C$3:$C$435,'Cash flow'!AS1)</f>
        <v>2</v>
      </c>
      <c r="AT7" s="57">
        <f>COUNTIFS(Aux!$C$3:$C$435,'Cash flow'!AT1)</f>
        <v>3</v>
      </c>
      <c r="AU7" s="57">
        <f>COUNTIFS(Aux!$C$3:$C$435,'Cash flow'!AU1)</f>
        <v>2</v>
      </c>
      <c r="AV7" s="57">
        <f>COUNTIFS(Aux!$C$3:$C$435,'Cash flow'!AV1)</f>
        <v>2</v>
      </c>
      <c r="AW7" s="57">
        <f>COUNTIFS(Aux!$C$3:$C$435,'Cash flow'!AW1)</f>
        <v>2</v>
      </c>
      <c r="AX7" s="57">
        <f>COUNTIFS(Aux!$C$3:$C$435,'Cash flow'!AX1)</f>
        <v>2</v>
      </c>
      <c r="AY7" s="57">
        <f>COUNTIFS(Aux!$C$3:$C$435,'Cash flow'!AY1)</f>
        <v>2</v>
      </c>
      <c r="AZ7" s="57">
        <f>COUNTIFS(Aux!$C$3:$C$435,'Cash flow'!AZ1)</f>
        <v>3</v>
      </c>
      <c r="BA7" s="57">
        <f>COUNTIFS(Aux!$C$3:$C$435,'Cash flow'!BA1)</f>
        <v>2</v>
      </c>
      <c r="BB7" s="57">
        <f>COUNTIFS(Aux!$C$3:$C$435,'Cash flow'!BB1)</f>
        <v>2</v>
      </c>
      <c r="BC7" s="57">
        <f>COUNTIFS(Aux!$C$3:$C$435,'Cash flow'!BC1)</f>
        <v>2</v>
      </c>
      <c r="BD7" s="57">
        <f>COUNTIFS(Aux!$C$3:$C$435,'Cash flow'!BD1)</f>
        <v>2</v>
      </c>
      <c r="BE7" s="57">
        <f>COUNTIFS(Aux!$C$3:$C$435,'Cash flow'!BE1)</f>
        <v>2</v>
      </c>
      <c r="BF7" s="57">
        <f>COUNTIFS(Aux!$C$3:$C$435,'Cash flow'!BF1)</f>
        <v>3</v>
      </c>
      <c r="BG7" s="57">
        <f>COUNTIFS(Aux!$C$3:$C$435,'Cash flow'!BG1)</f>
        <v>2</v>
      </c>
      <c r="BH7" s="57">
        <f>COUNTIFS(Aux!$C$3:$C$435,'Cash flow'!BH1)</f>
        <v>2</v>
      </c>
      <c r="BI7" s="57">
        <f>COUNTIFS(Aux!$C$3:$C$435,'Cash flow'!BI1)</f>
        <v>2</v>
      </c>
      <c r="BJ7" s="57">
        <f>COUNTIFS(Aux!$C$3:$C$435,'Cash flow'!BJ1)</f>
        <v>2</v>
      </c>
      <c r="BK7" s="57">
        <f>COUNTIFS(Aux!$C$3:$C$435,'Cash flow'!BK1)</f>
        <v>3</v>
      </c>
      <c r="BL7" s="57">
        <f>COUNTIFS(Aux!$C$3:$C$435,'Cash flow'!BL1)</f>
        <v>2</v>
      </c>
      <c r="BM7" s="57">
        <f>COUNTIFS(Aux!$C$3:$C$435,'Cash flow'!BM1)</f>
        <v>2</v>
      </c>
      <c r="BN7" s="57">
        <f>COUNTIFS(Aux!$C$3:$C$435,'Cash flow'!BN1)</f>
        <v>2</v>
      </c>
      <c r="BO7" s="57">
        <f>COUNTIFS(Aux!$C$3:$C$435,'Cash flow'!BO1)</f>
        <v>2</v>
      </c>
      <c r="BP7" s="57">
        <f>COUNTIFS(Aux!$C$3:$C$435,'Cash flow'!BP1)</f>
        <v>2</v>
      </c>
      <c r="BQ7" s="57">
        <f>COUNTIFS(Aux!$C$3:$C$435,'Cash flow'!BQ1)</f>
        <v>3</v>
      </c>
      <c r="BR7" s="57">
        <f>COUNTIFS(Aux!$C$3:$C$435,'Cash flow'!BR1)</f>
        <v>2</v>
      </c>
      <c r="BS7" s="57">
        <f>COUNTIFS(Aux!$C$3:$C$435,'Cash flow'!BS1)</f>
        <v>2</v>
      </c>
      <c r="BT7" s="57">
        <f>COUNTIFS(Aux!$C$3:$C$435,'Cash flow'!BT1)</f>
        <v>2</v>
      </c>
      <c r="BU7" s="57">
        <f>COUNTIFS(Aux!$C$3:$C$435,'Cash flow'!BU1)</f>
        <v>2</v>
      </c>
      <c r="BV7" s="57">
        <f>COUNTIFS(Aux!$C$3:$C$435,'Cash flow'!BV1)</f>
        <v>2</v>
      </c>
      <c r="BW7" s="57">
        <f>COUNTIFS(Aux!$C$3:$C$435,'Cash flow'!BW1)</f>
        <v>3</v>
      </c>
      <c r="BX7" s="57">
        <f>COUNTIFS(Aux!$C$3:$C$435,'Cash flow'!BX1)</f>
        <v>2</v>
      </c>
      <c r="BY7" s="57">
        <f>COUNTIFS(Aux!$C$3:$C$435,'Cash flow'!BY1)</f>
        <v>2</v>
      </c>
      <c r="BZ7" s="57">
        <f>COUNTIFS(Aux!$C$3:$C$435,'Cash flow'!BZ1)</f>
        <v>2</v>
      </c>
      <c r="CA7" s="57">
        <f>COUNTIFS(Aux!$C$3:$C$435,'Cash flow'!CA1)</f>
        <v>2</v>
      </c>
      <c r="CB7" s="57">
        <f>COUNTIFS(Aux!$C$3:$C$435,'Cash flow'!CB1)</f>
        <v>3</v>
      </c>
      <c r="CC7" s="57">
        <f>COUNTIFS(Aux!$C$3:$C$435,'Cash flow'!CC1)</f>
        <v>2</v>
      </c>
      <c r="CD7" s="57">
        <f>COUNTIFS(Aux!$C$3:$C$435,'Cash flow'!CD1)</f>
        <v>2</v>
      </c>
      <c r="CE7" s="57">
        <f>COUNTIFS(Aux!$C$3:$C$435,'Cash flow'!CE1)</f>
        <v>2</v>
      </c>
      <c r="CF7" s="57">
        <f>COUNTIFS(Aux!$C$3:$C$435,'Cash flow'!CF1)</f>
        <v>2</v>
      </c>
      <c r="CG7" s="57">
        <f>COUNTIFS(Aux!$C$3:$C$435,'Cash flow'!CG1)</f>
        <v>2</v>
      </c>
      <c r="CH7" s="57">
        <f>COUNTIFS(Aux!$C$3:$C$435,'Cash flow'!CH1)</f>
        <v>2</v>
      </c>
      <c r="CI7" s="57">
        <f>COUNTIFS(Aux!$C$3:$C$435,'Cash flow'!CI1)</f>
        <v>3</v>
      </c>
      <c r="CJ7" s="57">
        <f>COUNTIFS(Aux!$C$3:$C$435,'Cash flow'!CJ1)</f>
        <v>2</v>
      </c>
      <c r="CK7" s="57">
        <f>COUNTIFS(Aux!$C$3:$C$435,'Cash flow'!CK1)</f>
        <v>2</v>
      </c>
      <c r="CL7" s="57">
        <f>COUNTIFS(Aux!$C$3:$C$435,'Cash flow'!CL1)</f>
        <v>2</v>
      </c>
      <c r="CM7" s="57">
        <f>COUNTIFS(Aux!$C$3:$C$435,'Cash flow'!CM1)</f>
        <v>2</v>
      </c>
      <c r="CN7" s="57">
        <f>COUNTIFS(Aux!$C$3:$C$435,'Cash flow'!CN1)</f>
        <v>3</v>
      </c>
      <c r="CO7" s="57">
        <f>COUNTIFS(Aux!$C$3:$C$435,'Cash flow'!CO1)</f>
        <v>2</v>
      </c>
      <c r="CP7" s="57">
        <f>COUNTIFS(Aux!$C$3:$C$435,'Cash flow'!CP1)</f>
        <v>2</v>
      </c>
      <c r="CQ7" s="57">
        <f>COUNTIFS(Aux!$C$3:$C$435,'Cash flow'!CQ1)</f>
        <v>2</v>
      </c>
      <c r="CR7" s="57">
        <f>COUNTIFS(Aux!$C$3:$C$435,'Cash flow'!CR1)</f>
        <v>2</v>
      </c>
      <c r="CS7" s="57">
        <f>COUNTIFS(Aux!$C$3:$C$435,'Cash flow'!CS1)</f>
        <v>2</v>
      </c>
      <c r="CT7" s="57">
        <f>COUNTIFS(Aux!$C$3:$C$435,'Cash flow'!CT1)</f>
        <v>3</v>
      </c>
      <c r="CU7" s="57">
        <f>COUNTIFS(Aux!$C$3:$C$435,'Cash flow'!CU1)</f>
        <v>2</v>
      </c>
      <c r="CV7" s="57">
        <f>COUNTIFS(Aux!$C$3:$C$435,'Cash flow'!CV1)</f>
        <v>2</v>
      </c>
      <c r="CW7" s="57">
        <f>COUNTIFS(Aux!$C$3:$C$435,'Cash flow'!CW1)</f>
        <v>2</v>
      </c>
      <c r="CX7" s="57">
        <f>COUNTIFS(Aux!$C$3:$C$435,'Cash flow'!CX1)</f>
        <v>2</v>
      </c>
      <c r="CY7" s="57">
        <f>COUNTIFS(Aux!$C$3:$C$435,'Cash flow'!CY1)</f>
        <v>2</v>
      </c>
      <c r="CZ7" s="57">
        <f>COUNTIFS(Aux!$C$3:$C$435,'Cash flow'!CZ1)</f>
        <v>3</v>
      </c>
      <c r="DA7" s="57">
        <f>COUNTIFS(Aux!$C$3:$C$435,'Cash flow'!DA1)</f>
        <v>2</v>
      </c>
      <c r="DB7" s="57">
        <f>COUNTIFS(Aux!$C$3:$C$435,'Cash flow'!DB1)</f>
        <v>2</v>
      </c>
      <c r="DC7" s="57">
        <f>COUNTIFS(Aux!$C$3:$C$435,'Cash flow'!DC1)</f>
        <v>2</v>
      </c>
      <c r="DD7" s="57">
        <f>COUNTIFS(Aux!$C$3:$C$435,'Cash flow'!DD1)</f>
        <v>2</v>
      </c>
      <c r="DE7" s="57">
        <f>COUNTIFS(Aux!$C$3:$C$435,'Cash flow'!DE1)</f>
        <v>3</v>
      </c>
      <c r="DF7" s="57">
        <f>COUNTIFS(Aux!$C$3:$C$435,'Cash flow'!DF1)</f>
        <v>2</v>
      </c>
      <c r="DG7" s="57">
        <f>COUNTIFS(Aux!$C$3:$C$435,'Cash flow'!DG1)</f>
        <v>2</v>
      </c>
      <c r="DH7" s="57">
        <f>COUNTIFS(Aux!$C$3:$C$435,'Cash flow'!DH1)</f>
        <v>2</v>
      </c>
      <c r="DI7" s="57">
        <f>COUNTIFS(Aux!$C$3:$C$435,'Cash flow'!DI1)</f>
        <v>2</v>
      </c>
      <c r="DJ7" s="57">
        <f>COUNTIFS(Aux!$C$3:$C$435,'Cash flow'!DJ1)</f>
        <v>2</v>
      </c>
      <c r="DK7" s="57">
        <f>COUNTIFS(Aux!$C$3:$C$435,'Cash flow'!DK1)</f>
        <v>3</v>
      </c>
      <c r="DL7" s="57">
        <f>COUNTIFS(Aux!$C$3:$C$435,'Cash flow'!DL1)</f>
        <v>2</v>
      </c>
      <c r="DM7" s="57">
        <f>COUNTIFS(Aux!$C$3:$C$435,'Cash flow'!DM1)</f>
        <v>2</v>
      </c>
      <c r="DN7" s="57">
        <f>COUNTIFS(Aux!$C$3:$C$435,'Cash flow'!DN1)</f>
        <v>2</v>
      </c>
      <c r="DO7" s="57">
        <f>COUNTIFS(Aux!$C$3:$C$435,'Cash flow'!DO1)</f>
        <v>2</v>
      </c>
      <c r="DP7" s="57">
        <f>COUNTIFS(Aux!$C$3:$C$435,'Cash flow'!DP1)</f>
        <v>2</v>
      </c>
      <c r="DQ7" s="57">
        <f>COUNTIFS(Aux!$C$3:$C$435,'Cash flow'!DQ1)</f>
        <v>3</v>
      </c>
      <c r="DR7" s="57">
        <f>COUNTIFS(Aux!$C$3:$C$435,'Cash flow'!DR1)</f>
        <v>2</v>
      </c>
      <c r="DS7" s="57">
        <f>COUNTIFS(Aux!$C$3:$C$435,'Cash flow'!DS1)</f>
        <v>2</v>
      </c>
      <c r="DT7" s="57">
        <f>COUNTIFS(Aux!$C$3:$C$435,'Cash flow'!DT1)</f>
        <v>2</v>
      </c>
      <c r="DU7" s="57">
        <f>COUNTIFS(Aux!$C$3:$C$435,'Cash flow'!DU1)</f>
        <v>2</v>
      </c>
      <c r="DV7" s="57">
        <f>COUNTIFS(Aux!$C$3:$C$435,'Cash flow'!DV1)</f>
        <v>3</v>
      </c>
      <c r="DW7" s="57">
        <f>COUNTIFS(Aux!$C$3:$C$435,'Cash flow'!DW1)</f>
        <v>2</v>
      </c>
      <c r="DX7" s="57">
        <f>COUNTIFS(Aux!$C$3:$C$435,'Cash flow'!DX1)</f>
        <v>2</v>
      </c>
      <c r="DY7" s="57">
        <f>COUNTIFS(Aux!$C$3:$C$435,'Cash flow'!DY1)</f>
        <v>2</v>
      </c>
      <c r="DZ7" s="57">
        <f>COUNTIFS(Aux!$C$3:$C$435,'Cash flow'!DZ1)</f>
        <v>2</v>
      </c>
      <c r="EA7" s="57">
        <f>COUNTIFS(Aux!$C$3:$C$435,'Cash flow'!EA1)</f>
        <v>2</v>
      </c>
      <c r="EB7" s="57">
        <f>COUNTIFS(Aux!$C$3:$C$435,'Cash flow'!EB1)</f>
        <v>2</v>
      </c>
      <c r="EC7" s="57">
        <f>COUNTIFS(Aux!$C$3:$C$435,'Cash flow'!EC1)</f>
        <v>3</v>
      </c>
      <c r="ED7" s="57">
        <f>COUNTIFS(Aux!$C$3:$C$435,'Cash flow'!ED1)</f>
        <v>2</v>
      </c>
      <c r="EE7" s="57">
        <f>COUNTIFS(Aux!$C$3:$C$435,'Cash flow'!EE1)</f>
        <v>2</v>
      </c>
      <c r="EF7" s="57">
        <f>COUNTIFS(Aux!$C$3:$C$435,'Cash flow'!EF1)</f>
        <v>2</v>
      </c>
      <c r="EG7" s="57">
        <f>COUNTIFS(Aux!$C$3:$C$435,'Cash flow'!EG1)</f>
        <v>2</v>
      </c>
      <c r="EH7" s="57">
        <f>COUNTIFS(Aux!$C$3:$C$435,'Cash flow'!EH1)</f>
        <v>3</v>
      </c>
      <c r="EI7" s="57">
        <f>COUNTIFS(Aux!$C$3:$C$435,'Cash flow'!EI1)</f>
        <v>2</v>
      </c>
      <c r="EJ7" s="57">
        <f>COUNTIFS(Aux!$C$3:$C$435,'Cash flow'!EJ1)</f>
        <v>2</v>
      </c>
      <c r="EK7" s="57">
        <f>COUNTIFS(Aux!$C$3:$C$435,'Cash flow'!EK1)</f>
        <v>2</v>
      </c>
      <c r="EL7" s="57">
        <f>COUNTIFS(Aux!$C$3:$C$435,'Cash flow'!EL1)</f>
        <v>2</v>
      </c>
      <c r="EM7" s="57">
        <f>COUNTIFS(Aux!$C$3:$C$435,'Cash flow'!EM1)</f>
        <v>3</v>
      </c>
      <c r="EN7" s="57">
        <f>COUNTIFS(Aux!$C$3:$C$435,'Cash flow'!EN1)</f>
        <v>2</v>
      </c>
      <c r="EO7" s="57">
        <f>COUNTIFS(Aux!$C$3:$C$435,'Cash flow'!EO1)</f>
        <v>2</v>
      </c>
      <c r="EP7" s="57">
        <f>COUNTIFS(Aux!$C$3:$C$435,'Cash flow'!EP1)</f>
        <v>2</v>
      </c>
      <c r="EQ7" s="57">
        <f>COUNTIFS(Aux!$C$3:$C$435,'Cash flow'!EQ1)</f>
        <v>2</v>
      </c>
      <c r="ER7" s="57">
        <f>COUNTIFS(Aux!$C$3:$C$435,'Cash flow'!ER1)</f>
        <v>2</v>
      </c>
      <c r="ES7" s="57">
        <f>COUNTIFS(Aux!$C$3:$C$435,'Cash flow'!ES1)</f>
        <v>2</v>
      </c>
      <c r="ET7" s="57">
        <f>COUNTIFS(Aux!$C$3:$C$435,'Cash flow'!ET1)</f>
        <v>3</v>
      </c>
      <c r="EU7" s="57">
        <f>COUNTIFS(Aux!$C$3:$C$435,'Cash flow'!EU1)</f>
        <v>2</v>
      </c>
      <c r="EV7" s="57">
        <f>COUNTIFS(Aux!$C$3:$C$435,'Cash flow'!EV1)</f>
        <v>2</v>
      </c>
      <c r="EW7" s="57">
        <f>COUNTIFS(Aux!$C$3:$C$435,'Cash flow'!EW1)</f>
        <v>2</v>
      </c>
      <c r="EX7" s="57">
        <f>COUNTIFS(Aux!$C$3:$C$435,'Cash flow'!EX1)</f>
        <v>2</v>
      </c>
      <c r="EY7" s="57">
        <f>COUNTIFS(Aux!$C$3:$C$435,'Cash flow'!EY1)</f>
        <v>3</v>
      </c>
      <c r="EZ7" s="57">
        <f>COUNTIFS(Aux!$C$3:$C$435,'Cash flow'!EZ1)</f>
        <v>2</v>
      </c>
      <c r="FA7" s="57">
        <f>COUNTIFS(Aux!$C$3:$C$435,'Cash flow'!FA1)</f>
        <v>2</v>
      </c>
      <c r="FB7" s="57">
        <f>COUNTIFS(Aux!$C$3:$C$435,'Cash flow'!FB1)</f>
        <v>2</v>
      </c>
      <c r="FC7" s="57">
        <f>COUNTIFS(Aux!$C$3:$C$435,'Cash flow'!FC1)</f>
        <v>2</v>
      </c>
      <c r="FD7" s="57">
        <f>COUNTIFS(Aux!$C$3:$C$435,'Cash flow'!FD1)</f>
        <v>2</v>
      </c>
      <c r="FE7" s="57">
        <f>COUNTIFS(Aux!$C$3:$C$435,'Cash flow'!FE1)</f>
        <v>3</v>
      </c>
      <c r="FF7" s="57">
        <f>COUNTIFS(Aux!$C$3:$C$435,'Cash flow'!FF1)</f>
        <v>2</v>
      </c>
      <c r="FG7" s="57">
        <f>COUNTIFS(Aux!$C$3:$C$435,'Cash flow'!FG1)</f>
        <v>2</v>
      </c>
      <c r="FH7" s="57">
        <f>COUNTIFS(Aux!$C$3:$C$435,'Cash flow'!FH1)</f>
        <v>2</v>
      </c>
      <c r="FI7" s="57">
        <f>COUNTIFS(Aux!$C$3:$C$435,'Cash flow'!FI1)</f>
        <v>2</v>
      </c>
      <c r="FJ7" s="57">
        <f>COUNTIFS(Aux!$C$3:$C$435,'Cash flow'!FJ1)</f>
        <v>3</v>
      </c>
      <c r="FK7" s="57">
        <f>COUNTIFS(Aux!$C$3:$C$435,'Cash flow'!FK1)</f>
        <v>2</v>
      </c>
      <c r="FL7" s="57">
        <f>COUNTIFS(Aux!$C$3:$C$435,'Cash flow'!FL1)</f>
        <v>2</v>
      </c>
      <c r="FM7" s="57">
        <f>COUNTIFS(Aux!$C$3:$C$435,'Cash flow'!FM1)</f>
        <v>2</v>
      </c>
      <c r="FN7" s="57">
        <f>COUNTIFS(Aux!$C$3:$C$435,'Cash flow'!FN1)</f>
        <v>2</v>
      </c>
      <c r="FO7" s="57">
        <f>COUNTIFS(Aux!$C$3:$C$435,'Cash flow'!FO1)</f>
        <v>2</v>
      </c>
      <c r="FP7" s="57">
        <f>COUNTIFS(Aux!$C$3:$C$435,'Cash flow'!FP1)</f>
        <v>2</v>
      </c>
      <c r="FQ7" s="57">
        <f>COUNTIFS(Aux!$C$3:$C$435,'Cash flow'!FQ1)</f>
        <v>3</v>
      </c>
      <c r="FR7" s="57">
        <f>COUNTIFS(Aux!$C$3:$C$435,'Cash flow'!FR1)</f>
        <v>2</v>
      </c>
      <c r="FS7" s="57">
        <f>COUNTIFS(Aux!$C$3:$C$435,'Cash flow'!FS1)</f>
        <v>2</v>
      </c>
      <c r="FT7" s="57">
        <f>COUNTIFS(Aux!$C$3:$C$435,'Cash flow'!FT1)</f>
        <v>2</v>
      </c>
      <c r="FU7" s="57">
        <f>COUNTIFS(Aux!$C$3:$C$435,'Cash flow'!FU1)</f>
        <v>2</v>
      </c>
      <c r="FV7" s="57">
        <f>COUNTIFS(Aux!$C$3:$C$435,'Cash flow'!FV1)</f>
        <v>3</v>
      </c>
      <c r="FW7" s="57">
        <f>COUNTIFS(Aux!$C$3:$C$435,'Cash flow'!FW1)</f>
        <v>2</v>
      </c>
      <c r="FX7" s="57">
        <f>COUNTIFS(Aux!$C$3:$C$435,'Cash flow'!FX1)</f>
        <v>2</v>
      </c>
      <c r="FY7" s="57">
        <f>COUNTIFS(Aux!$C$3:$C$435,'Cash flow'!FY1)</f>
        <v>2</v>
      </c>
      <c r="FZ7" s="57">
        <f>COUNTIFS(Aux!$C$3:$C$435,'Cash flow'!FZ1)</f>
        <v>2</v>
      </c>
      <c r="GA7" s="57">
        <f>COUNTIFS(Aux!$C$3:$C$435,'Cash flow'!GA1)</f>
        <v>2</v>
      </c>
      <c r="GB7" s="57">
        <f>COUNTIFS(Aux!$C$3:$C$435,'Cash flow'!GB1)</f>
        <v>3</v>
      </c>
      <c r="GC7" s="57">
        <f>COUNTIFS(Aux!$C$3:$C$435,'Cash flow'!GC1)</f>
        <v>2</v>
      </c>
      <c r="GD7" s="57">
        <f>COUNTIFS(Aux!$C$3:$C$435,'Cash flow'!GD1)</f>
        <v>2</v>
      </c>
      <c r="GE7" s="57">
        <f>COUNTIFS(Aux!$C$3:$C$435,'Cash flow'!GE1)</f>
        <v>2</v>
      </c>
      <c r="GF7" s="57">
        <f>COUNTIFS(Aux!$C$3:$C$435,'Cash flow'!GF1)</f>
        <v>2</v>
      </c>
      <c r="GG7" s="57">
        <f>COUNTIFS(Aux!$C$3:$C$435,'Cash flow'!GG1)</f>
        <v>2</v>
      </c>
      <c r="GH7" s="57">
        <f>COUNTIFS(Aux!$C$3:$C$435,'Cash flow'!GH1)</f>
        <v>3</v>
      </c>
      <c r="GI7" s="57">
        <f>COUNTIFS(Aux!$C$3:$C$435,'Cash flow'!GI1)</f>
        <v>2</v>
      </c>
      <c r="GJ7" s="57">
        <f>COUNTIFS(Aux!$C$3:$C$435,'Cash flow'!GJ1)</f>
        <v>2</v>
      </c>
      <c r="GK7" s="57">
        <f>COUNTIFS(Aux!$C$3:$C$435,'Cash flow'!GK1)</f>
        <v>2</v>
      </c>
      <c r="GL7" s="57">
        <f>COUNTIFS(Aux!$C$3:$C$435,'Cash flow'!GL1)</f>
        <v>2</v>
      </c>
      <c r="GM7" s="57">
        <f>COUNTIFS(Aux!$C$3:$C$435,'Cash flow'!GM1)</f>
        <v>2</v>
      </c>
      <c r="GN7" s="57">
        <f>COUNTIFS(Aux!$C$3:$C$435,'Cash flow'!GN1)</f>
        <v>3</v>
      </c>
      <c r="GO7" s="57">
        <f>COUNTIFS(Aux!$C$3:$C$435,'Cash flow'!GO1)</f>
        <v>2</v>
      </c>
      <c r="GP7" s="57">
        <f>COUNTIFS(Aux!$C$3:$C$435,'Cash flow'!GP1)</f>
        <v>2</v>
      </c>
      <c r="GQ7" s="57">
        <f>COUNTIFS(Aux!$C$3:$C$435,'Cash flow'!GQ1)</f>
        <v>2</v>
      </c>
      <c r="GR7" s="57">
        <f>COUNTIFS(Aux!$C$3:$C$435,'Cash flow'!GR1)</f>
        <v>2</v>
      </c>
      <c r="GS7" s="57">
        <f>COUNTIFS(Aux!$C$3:$C$435,'Cash flow'!GS1)</f>
        <v>3</v>
      </c>
      <c r="GT7" s="57">
        <f>COUNTIFS(Aux!$C$3:$C$435,'Cash flow'!GT1)</f>
        <v>2</v>
      </c>
    </row>
    <row r="8" spans="1:202" x14ac:dyDescent="0.25">
      <c r="A8" t="s">
        <v>88</v>
      </c>
      <c r="C8" s="44">
        <f>C6*C7</f>
        <v>0</v>
      </c>
      <c r="D8" s="44">
        <f>D6*D7</f>
        <v>5570</v>
      </c>
      <c r="E8" s="44">
        <f t="shared" ref="E8:O8" si="22">E6*E7</f>
        <v>5570</v>
      </c>
      <c r="F8" s="44">
        <f t="shared" si="22"/>
        <v>8355</v>
      </c>
      <c r="G8" s="44">
        <f t="shared" si="22"/>
        <v>5570</v>
      </c>
      <c r="H8" s="44">
        <f t="shared" si="22"/>
        <v>5570</v>
      </c>
      <c r="I8" s="44">
        <f t="shared" si="22"/>
        <v>5570</v>
      </c>
      <c r="J8" s="44">
        <f t="shared" si="22"/>
        <v>5570</v>
      </c>
      <c r="K8" s="44">
        <f t="shared" si="22"/>
        <v>8355</v>
      </c>
      <c r="L8" s="44">
        <f t="shared" si="22"/>
        <v>5570</v>
      </c>
      <c r="M8" s="44">
        <f t="shared" si="22"/>
        <v>5714.8200000000006</v>
      </c>
      <c r="N8" s="44">
        <f t="shared" si="22"/>
        <v>5714.8200000000006</v>
      </c>
      <c r="O8" s="44">
        <f t="shared" si="22"/>
        <v>5714.8200000000006</v>
      </c>
      <c r="P8" s="44">
        <f t="shared" ref="P8:AU8" si="23">P6*P7</f>
        <v>5714.8200000000006</v>
      </c>
      <c r="Q8" s="44">
        <f t="shared" si="23"/>
        <v>8572.2300000000014</v>
      </c>
      <c r="R8" s="44">
        <f t="shared" si="23"/>
        <v>5714.8200000000006</v>
      </c>
      <c r="S8" s="44">
        <f t="shared" si="23"/>
        <v>5714.8200000000006</v>
      </c>
      <c r="T8" s="44">
        <f t="shared" si="23"/>
        <v>5714.8200000000006</v>
      </c>
      <c r="U8" s="44">
        <f t="shared" si="23"/>
        <v>5714.8200000000006</v>
      </c>
      <c r="V8" s="44">
        <f t="shared" si="23"/>
        <v>5714.8200000000006</v>
      </c>
      <c r="W8" s="44">
        <f t="shared" si="23"/>
        <v>8572.2300000000014</v>
      </c>
      <c r="X8" s="44">
        <f t="shared" si="23"/>
        <v>5714.8200000000006</v>
      </c>
      <c r="Y8" s="44">
        <f t="shared" si="23"/>
        <v>5714.8200000000006</v>
      </c>
      <c r="Z8" s="44">
        <f t="shared" si="23"/>
        <v>5714.8200000000006</v>
      </c>
      <c r="AA8" s="44">
        <f t="shared" si="23"/>
        <v>5714.8200000000006</v>
      </c>
      <c r="AB8" s="44">
        <f t="shared" si="23"/>
        <v>5714.8200000000006</v>
      </c>
      <c r="AC8" s="44">
        <f t="shared" si="23"/>
        <v>8572.2300000000014</v>
      </c>
      <c r="AD8" s="44">
        <f t="shared" si="23"/>
        <v>5714.8200000000006</v>
      </c>
      <c r="AE8" s="44">
        <f t="shared" si="23"/>
        <v>5714.8200000000006</v>
      </c>
      <c r="AF8" s="44">
        <f t="shared" si="23"/>
        <v>5714.8200000000006</v>
      </c>
      <c r="AG8" s="44">
        <f t="shared" si="23"/>
        <v>5714.8200000000006</v>
      </c>
      <c r="AH8" s="44">
        <f t="shared" si="23"/>
        <v>8572.2300000000014</v>
      </c>
      <c r="AI8" s="44">
        <f t="shared" si="23"/>
        <v>5714.8200000000006</v>
      </c>
      <c r="AJ8" s="44">
        <f t="shared" si="23"/>
        <v>5714.8200000000006</v>
      </c>
      <c r="AK8" s="44">
        <f t="shared" si="23"/>
        <v>5714.8200000000006</v>
      </c>
      <c r="AL8" s="44">
        <f t="shared" si="23"/>
        <v>5714.8200000000006</v>
      </c>
      <c r="AM8" s="44">
        <f t="shared" si="23"/>
        <v>5714.8200000000006</v>
      </c>
      <c r="AN8" s="44">
        <f t="shared" si="23"/>
        <v>5714.8200000000006</v>
      </c>
      <c r="AO8" s="44">
        <f t="shared" si="23"/>
        <v>8572.2300000000014</v>
      </c>
      <c r="AP8" s="44">
        <f t="shared" si="23"/>
        <v>5714.8200000000006</v>
      </c>
      <c r="AQ8" s="44">
        <f t="shared" si="23"/>
        <v>5714.8200000000006</v>
      </c>
      <c r="AR8" s="44">
        <f t="shared" si="23"/>
        <v>5714.8200000000006</v>
      </c>
      <c r="AS8" s="44">
        <f t="shared" si="23"/>
        <v>5714.8200000000006</v>
      </c>
      <c r="AT8" s="44">
        <f t="shared" si="23"/>
        <v>8572.2300000000014</v>
      </c>
      <c r="AU8" s="44">
        <f t="shared" si="23"/>
        <v>5714.8200000000006</v>
      </c>
      <c r="AV8" s="44">
        <f t="shared" ref="AV8:CA8" si="24">AV6*AV7</f>
        <v>5714.8200000000006</v>
      </c>
      <c r="AW8" s="44">
        <f t="shared" si="24"/>
        <v>5714.8200000000006</v>
      </c>
      <c r="AX8" s="44">
        <f t="shared" si="24"/>
        <v>5714.8200000000006</v>
      </c>
      <c r="AY8" s="44">
        <f t="shared" si="24"/>
        <v>5714.8200000000006</v>
      </c>
      <c r="AZ8" s="44">
        <f t="shared" si="24"/>
        <v>8572.2300000000014</v>
      </c>
      <c r="BA8" s="44">
        <f t="shared" si="24"/>
        <v>5714.8200000000006</v>
      </c>
      <c r="BB8" s="44">
        <f t="shared" si="24"/>
        <v>5714.8200000000006</v>
      </c>
      <c r="BC8" s="44">
        <f t="shared" si="24"/>
        <v>5714.8200000000006</v>
      </c>
      <c r="BD8" s="44">
        <f t="shared" si="24"/>
        <v>5714.8200000000006</v>
      </c>
      <c r="BE8" s="44">
        <f t="shared" si="24"/>
        <v>5714.8200000000006</v>
      </c>
      <c r="BF8" s="44">
        <f t="shared" si="24"/>
        <v>8572.2300000000014</v>
      </c>
      <c r="BG8" s="44">
        <f t="shared" si="24"/>
        <v>5714.8200000000006</v>
      </c>
      <c r="BH8" s="44">
        <f t="shared" si="24"/>
        <v>5714.8200000000006</v>
      </c>
      <c r="BI8" s="44">
        <f t="shared" si="24"/>
        <v>5714.8200000000006</v>
      </c>
      <c r="BJ8" s="44">
        <f t="shared" si="24"/>
        <v>5714.8200000000006</v>
      </c>
      <c r="BK8" s="44">
        <f t="shared" si="24"/>
        <v>8572.2300000000014</v>
      </c>
      <c r="BL8" s="44">
        <f t="shared" si="24"/>
        <v>5714.8200000000006</v>
      </c>
      <c r="BM8" s="44">
        <f t="shared" si="24"/>
        <v>5714.8200000000006</v>
      </c>
      <c r="BN8" s="44">
        <f t="shared" si="24"/>
        <v>5714.8200000000006</v>
      </c>
      <c r="BO8" s="44">
        <f t="shared" si="24"/>
        <v>5714.8200000000006</v>
      </c>
      <c r="BP8" s="44">
        <f t="shared" si="24"/>
        <v>5714.8200000000006</v>
      </c>
      <c r="BQ8" s="44">
        <f t="shared" si="24"/>
        <v>8572.2300000000014</v>
      </c>
      <c r="BR8" s="44">
        <f t="shared" si="24"/>
        <v>5714.8200000000006</v>
      </c>
      <c r="BS8" s="44">
        <f t="shared" si="24"/>
        <v>5714.8200000000006</v>
      </c>
      <c r="BT8" s="44">
        <f t="shared" si="24"/>
        <v>5714.8200000000006</v>
      </c>
      <c r="BU8" s="44">
        <f t="shared" si="24"/>
        <v>5714.8200000000006</v>
      </c>
      <c r="BV8" s="44">
        <f t="shared" si="24"/>
        <v>5714.8200000000006</v>
      </c>
      <c r="BW8" s="44">
        <f t="shared" si="24"/>
        <v>8572.2300000000014</v>
      </c>
      <c r="BX8" s="44">
        <f t="shared" si="24"/>
        <v>5714.8200000000006</v>
      </c>
      <c r="BY8" s="44">
        <f t="shared" si="24"/>
        <v>5714.8200000000006</v>
      </c>
      <c r="BZ8" s="44">
        <f t="shared" si="24"/>
        <v>5714.8200000000006</v>
      </c>
      <c r="CA8" s="44">
        <f t="shared" si="24"/>
        <v>5714.8200000000006</v>
      </c>
      <c r="CB8" s="44">
        <f t="shared" ref="CB8:DG8" si="25">CB6*CB7</f>
        <v>8572.2300000000014</v>
      </c>
      <c r="CC8" s="44">
        <f t="shared" si="25"/>
        <v>5714.8200000000006</v>
      </c>
      <c r="CD8" s="44">
        <f t="shared" si="25"/>
        <v>5714.8200000000006</v>
      </c>
      <c r="CE8" s="44">
        <f t="shared" si="25"/>
        <v>5714.8200000000006</v>
      </c>
      <c r="CF8" s="44">
        <f t="shared" si="25"/>
        <v>5714.8200000000006</v>
      </c>
      <c r="CG8" s="44">
        <f t="shared" si="25"/>
        <v>5714.8200000000006</v>
      </c>
      <c r="CH8" s="44">
        <f t="shared" si="25"/>
        <v>5714.8200000000006</v>
      </c>
      <c r="CI8" s="44">
        <f t="shared" si="25"/>
        <v>8572.2300000000014</v>
      </c>
      <c r="CJ8" s="44">
        <f t="shared" si="25"/>
        <v>5714.8200000000006</v>
      </c>
      <c r="CK8" s="44">
        <f t="shared" si="25"/>
        <v>5714.8200000000006</v>
      </c>
      <c r="CL8" s="44">
        <f t="shared" si="25"/>
        <v>5714.8200000000006</v>
      </c>
      <c r="CM8" s="44">
        <f t="shared" si="25"/>
        <v>5714.8200000000006</v>
      </c>
      <c r="CN8" s="44">
        <f t="shared" si="25"/>
        <v>8572.2300000000014</v>
      </c>
      <c r="CO8" s="44">
        <f t="shared" si="25"/>
        <v>5714.8200000000006</v>
      </c>
      <c r="CP8" s="44">
        <f t="shared" si="25"/>
        <v>5714.8200000000006</v>
      </c>
      <c r="CQ8" s="44">
        <f t="shared" si="25"/>
        <v>5714.8200000000006</v>
      </c>
      <c r="CR8" s="44">
        <f t="shared" si="25"/>
        <v>5714.8200000000006</v>
      </c>
      <c r="CS8" s="44">
        <f t="shared" si="25"/>
        <v>5714.8200000000006</v>
      </c>
      <c r="CT8" s="44">
        <f t="shared" si="25"/>
        <v>8572.2300000000014</v>
      </c>
      <c r="CU8" s="44">
        <f t="shared" si="25"/>
        <v>5714.8200000000006</v>
      </c>
      <c r="CV8" s="44">
        <f t="shared" si="25"/>
        <v>5714.8200000000006</v>
      </c>
      <c r="CW8" s="44">
        <f t="shared" si="25"/>
        <v>5714.8200000000006</v>
      </c>
      <c r="CX8" s="44">
        <f t="shared" si="25"/>
        <v>5714.8200000000006</v>
      </c>
      <c r="CY8" s="44">
        <f t="shared" si="25"/>
        <v>5714.8200000000006</v>
      </c>
      <c r="CZ8" s="44">
        <f t="shared" si="25"/>
        <v>8572.2300000000014</v>
      </c>
      <c r="DA8" s="44">
        <f t="shared" si="25"/>
        <v>5714.8200000000006</v>
      </c>
      <c r="DB8" s="44">
        <f t="shared" si="25"/>
        <v>5714.8200000000006</v>
      </c>
      <c r="DC8" s="44">
        <f t="shared" si="25"/>
        <v>5714.8200000000006</v>
      </c>
      <c r="DD8" s="44">
        <f t="shared" si="25"/>
        <v>5714.8200000000006</v>
      </c>
      <c r="DE8" s="44">
        <f t="shared" si="25"/>
        <v>8572.2300000000014</v>
      </c>
      <c r="DF8" s="44">
        <f t="shared" si="25"/>
        <v>5714.8200000000006</v>
      </c>
      <c r="DG8" s="44">
        <f t="shared" si="25"/>
        <v>5714.8200000000006</v>
      </c>
      <c r="DH8" s="44">
        <f t="shared" ref="DH8:EM8" si="26">DH6*DH7</f>
        <v>5714.8200000000006</v>
      </c>
      <c r="DI8" s="44">
        <f t="shared" si="26"/>
        <v>5714.8200000000006</v>
      </c>
      <c r="DJ8" s="44">
        <f t="shared" si="26"/>
        <v>5714.8200000000006</v>
      </c>
      <c r="DK8" s="44">
        <f t="shared" si="26"/>
        <v>8572.2300000000014</v>
      </c>
      <c r="DL8" s="44">
        <f t="shared" si="26"/>
        <v>5714.8200000000006</v>
      </c>
      <c r="DM8" s="44">
        <f t="shared" si="26"/>
        <v>5714.8200000000006</v>
      </c>
      <c r="DN8" s="44">
        <f t="shared" si="26"/>
        <v>5714.8200000000006</v>
      </c>
      <c r="DO8" s="44">
        <f t="shared" si="26"/>
        <v>5714.8200000000006</v>
      </c>
      <c r="DP8" s="44">
        <f t="shared" si="26"/>
        <v>5714.8200000000006</v>
      </c>
      <c r="DQ8" s="44">
        <f t="shared" si="26"/>
        <v>8572.2300000000014</v>
      </c>
      <c r="DR8" s="44">
        <f t="shared" si="26"/>
        <v>5714.8200000000006</v>
      </c>
      <c r="DS8" s="44">
        <f t="shared" si="26"/>
        <v>5714.8200000000006</v>
      </c>
      <c r="DT8" s="44">
        <f t="shared" si="26"/>
        <v>5714.8200000000006</v>
      </c>
      <c r="DU8" s="44">
        <f t="shared" si="26"/>
        <v>5714.8200000000006</v>
      </c>
      <c r="DV8" s="44">
        <f t="shared" si="26"/>
        <v>8572.2300000000014</v>
      </c>
      <c r="DW8" s="44">
        <f t="shared" si="26"/>
        <v>5714.8200000000006</v>
      </c>
      <c r="DX8" s="44">
        <f t="shared" si="26"/>
        <v>5714.8200000000006</v>
      </c>
      <c r="DY8" s="44">
        <f t="shared" si="26"/>
        <v>5714.8200000000006</v>
      </c>
      <c r="DZ8" s="44">
        <f t="shared" si="26"/>
        <v>5714.8200000000006</v>
      </c>
      <c r="EA8" s="44">
        <f t="shared" si="26"/>
        <v>5714.8200000000006</v>
      </c>
      <c r="EB8" s="44">
        <f t="shared" si="26"/>
        <v>5714.8200000000006</v>
      </c>
      <c r="EC8" s="44">
        <f t="shared" si="26"/>
        <v>8572.2300000000014</v>
      </c>
      <c r="ED8" s="44">
        <f t="shared" si="26"/>
        <v>5714.8200000000006</v>
      </c>
      <c r="EE8" s="44">
        <f t="shared" si="26"/>
        <v>5714.8200000000006</v>
      </c>
      <c r="EF8" s="44">
        <f t="shared" si="26"/>
        <v>5714.8200000000006</v>
      </c>
      <c r="EG8" s="44">
        <f t="shared" si="26"/>
        <v>5714.8200000000006</v>
      </c>
      <c r="EH8" s="44">
        <f t="shared" si="26"/>
        <v>8572.2300000000014</v>
      </c>
      <c r="EI8" s="44">
        <f t="shared" si="26"/>
        <v>5714.8200000000006</v>
      </c>
      <c r="EJ8" s="44">
        <f t="shared" si="26"/>
        <v>5714.8200000000006</v>
      </c>
      <c r="EK8" s="44">
        <f t="shared" si="26"/>
        <v>5714.8200000000006</v>
      </c>
      <c r="EL8" s="44">
        <f t="shared" si="26"/>
        <v>5714.8200000000006</v>
      </c>
      <c r="EM8" s="44">
        <f t="shared" si="26"/>
        <v>8572.2300000000014</v>
      </c>
      <c r="EN8" s="44">
        <f t="shared" ref="EN8:FS8" si="27">EN6*EN7</f>
        <v>5714.8200000000006</v>
      </c>
      <c r="EO8" s="44">
        <f t="shared" si="27"/>
        <v>5714.8200000000006</v>
      </c>
      <c r="EP8" s="44">
        <f t="shared" si="27"/>
        <v>5714.8200000000006</v>
      </c>
      <c r="EQ8" s="44">
        <f t="shared" si="27"/>
        <v>5714.8200000000006</v>
      </c>
      <c r="ER8" s="44">
        <f t="shared" si="27"/>
        <v>5714.8200000000006</v>
      </c>
      <c r="ES8" s="44">
        <f t="shared" si="27"/>
        <v>5714.8200000000006</v>
      </c>
      <c r="ET8" s="44">
        <f t="shared" si="27"/>
        <v>8572.2300000000014</v>
      </c>
      <c r="EU8" s="44">
        <f t="shared" si="27"/>
        <v>5714.8200000000006</v>
      </c>
      <c r="EV8" s="44">
        <f t="shared" si="27"/>
        <v>5714.8200000000006</v>
      </c>
      <c r="EW8" s="44">
        <f t="shared" si="27"/>
        <v>5714.8200000000006</v>
      </c>
      <c r="EX8" s="44">
        <f t="shared" si="27"/>
        <v>5714.8200000000006</v>
      </c>
      <c r="EY8" s="44">
        <f t="shared" si="27"/>
        <v>8572.2300000000014</v>
      </c>
      <c r="EZ8" s="44">
        <f t="shared" si="27"/>
        <v>5714.8200000000006</v>
      </c>
      <c r="FA8" s="44">
        <f t="shared" si="27"/>
        <v>5714.8200000000006</v>
      </c>
      <c r="FB8" s="44">
        <f t="shared" si="27"/>
        <v>5714.8200000000006</v>
      </c>
      <c r="FC8" s="44">
        <f t="shared" si="27"/>
        <v>5714.8200000000006</v>
      </c>
      <c r="FD8" s="44">
        <f t="shared" si="27"/>
        <v>5714.8200000000006</v>
      </c>
      <c r="FE8" s="44">
        <f t="shared" si="27"/>
        <v>8572.2300000000014</v>
      </c>
      <c r="FF8" s="44">
        <f t="shared" si="27"/>
        <v>5714.8200000000006</v>
      </c>
      <c r="FG8" s="44">
        <f t="shared" si="27"/>
        <v>5714.8200000000006</v>
      </c>
      <c r="FH8" s="44">
        <f t="shared" si="27"/>
        <v>5714.8200000000006</v>
      </c>
      <c r="FI8" s="44">
        <f t="shared" si="27"/>
        <v>5714.8200000000006</v>
      </c>
      <c r="FJ8" s="44">
        <f t="shared" si="27"/>
        <v>8572.2300000000014</v>
      </c>
      <c r="FK8" s="44">
        <f t="shared" si="27"/>
        <v>5714.8200000000006</v>
      </c>
      <c r="FL8" s="44">
        <f t="shared" si="27"/>
        <v>5714.8200000000006</v>
      </c>
      <c r="FM8" s="44">
        <f t="shared" si="27"/>
        <v>5714.8200000000006</v>
      </c>
      <c r="FN8" s="44">
        <f t="shared" si="27"/>
        <v>5714.8200000000006</v>
      </c>
      <c r="FO8" s="44">
        <f t="shared" si="27"/>
        <v>5714.8200000000006</v>
      </c>
      <c r="FP8" s="44">
        <f t="shared" si="27"/>
        <v>5714.8200000000006</v>
      </c>
      <c r="FQ8" s="44">
        <f t="shared" si="27"/>
        <v>8572.2300000000014</v>
      </c>
      <c r="FR8" s="44">
        <f t="shared" si="27"/>
        <v>5714.8200000000006</v>
      </c>
      <c r="FS8" s="44">
        <f t="shared" si="27"/>
        <v>5714.8200000000006</v>
      </c>
      <c r="FT8" s="44">
        <f t="shared" ref="FT8:GT8" si="28">FT6*FT7</f>
        <v>5714.8200000000006</v>
      </c>
      <c r="FU8" s="44">
        <f t="shared" si="28"/>
        <v>5714.8200000000006</v>
      </c>
      <c r="FV8" s="44">
        <f t="shared" si="28"/>
        <v>8572.2300000000014</v>
      </c>
      <c r="FW8" s="44">
        <f t="shared" si="28"/>
        <v>5714.8200000000006</v>
      </c>
      <c r="FX8" s="44">
        <f t="shared" si="28"/>
        <v>5714.8200000000006</v>
      </c>
      <c r="FY8" s="44">
        <f t="shared" si="28"/>
        <v>5714.8200000000006</v>
      </c>
      <c r="FZ8" s="44">
        <f t="shared" si="28"/>
        <v>5714.8200000000006</v>
      </c>
      <c r="GA8" s="44">
        <f t="shared" si="28"/>
        <v>5714.8200000000006</v>
      </c>
      <c r="GB8" s="44">
        <f t="shared" si="28"/>
        <v>8572.2300000000014</v>
      </c>
      <c r="GC8" s="44">
        <f t="shared" si="28"/>
        <v>5714.8200000000006</v>
      </c>
      <c r="GD8" s="44">
        <f t="shared" si="28"/>
        <v>5714.8200000000006</v>
      </c>
      <c r="GE8" s="44">
        <f t="shared" si="28"/>
        <v>5714.8200000000006</v>
      </c>
      <c r="GF8" s="44">
        <f t="shared" si="28"/>
        <v>5714.8200000000006</v>
      </c>
      <c r="GG8" s="44">
        <f t="shared" si="28"/>
        <v>5714.8200000000006</v>
      </c>
      <c r="GH8" s="44">
        <f t="shared" si="28"/>
        <v>8572.2300000000014</v>
      </c>
      <c r="GI8" s="44">
        <f t="shared" si="28"/>
        <v>5714.8200000000006</v>
      </c>
      <c r="GJ8" s="44">
        <f t="shared" si="28"/>
        <v>5714.8200000000006</v>
      </c>
      <c r="GK8" s="44">
        <f t="shared" si="28"/>
        <v>5714.8200000000006</v>
      </c>
      <c r="GL8" s="44">
        <f t="shared" si="28"/>
        <v>5714.8200000000006</v>
      </c>
      <c r="GM8" s="44">
        <f t="shared" si="28"/>
        <v>5714.8200000000006</v>
      </c>
      <c r="GN8" s="44">
        <f t="shared" si="28"/>
        <v>8572.2300000000014</v>
      </c>
      <c r="GO8" s="44">
        <f t="shared" si="28"/>
        <v>5714.8200000000006</v>
      </c>
      <c r="GP8" s="44">
        <f t="shared" si="28"/>
        <v>5714.8200000000006</v>
      </c>
      <c r="GQ8" s="44">
        <f t="shared" si="28"/>
        <v>5714.8200000000006</v>
      </c>
      <c r="GR8" s="44">
        <f t="shared" si="28"/>
        <v>5714.8200000000006</v>
      </c>
      <c r="GS8" s="44">
        <f t="shared" si="28"/>
        <v>8572.2300000000014</v>
      </c>
      <c r="GT8" s="44">
        <f t="shared" si="28"/>
        <v>5714.8200000000006</v>
      </c>
    </row>
    <row r="9" spans="1:202" s="59" customFormat="1" x14ac:dyDescent="0.25">
      <c r="A9" s="59" t="s">
        <v>84</v>
      </c>
      <c r="C9" s="62">
        <f>5800*(1+1/3+4/12+0.5)/3.8</f>
        <v>3307.0175438596493</v>
      </c>
      <c r="N9" s="62">
        <f>5500*(1-35%)</f>
        <v>3575</v>
      </c>
      <c r="O9" s="62">
        <v>1437</v>
      </c>
      <c r="P9" s="62">
        <v>2400</v>
      </c>
      <c r="AA9" s="62"/>
      <c r="AB9" s="62">
        <f>90000*10%*50%</f>
        <v>4500</v>
      </c>
      <c r="AM9" s="62"/>
      <c r="AN9" s="62">
        <f>90000*10%*50%</f>
        <v>4500</v>
      </c>
      <c r="AY9" s="62"/>
      <c r="AZ9" s="62">
        <f>90000*10%*50%</f>
        <v>4500</v>
      </c>
      <c r="BK9" s="62"/>
      <c r="BL9" s="62">
        <f>90000*10%*50%</f>
        <v>4500</v>
      </c>
      <c r="BW9" s="62"/>
      <c r="BX9" s="62">
        <f>90000*10%*50%</f>
        <v>4500</v>
      </c>
      <c r="CI9" s="62"/>
      <c r="CJ9" s="62">
        <f>90000*10%*50%</f>
        <v>4500</v>
      </c>
      <c r="CU9" s="62"/>
      <c r="CV9" s="62">
        <f>90000*10%*50%</f>
        <v>4500</v>
      </c>
      <c r="DG9" s="62"/>
      <c r="DH9" s="62">
        <f>90000*10%*50%</f>
        <v>4500</v>
      </c>
      <c r="DS9" s="62"/>
      <c r="DT9" s="62">
        <f>90000*10%*50%</f>
        <v>4500</v>
      </c>
      <c r="EE9" s="62"/>
      <c r="EF9" s="62">
        <f>90000*10%*50%</f>
        <v>4500</v>
      </c>
      <c r="EQ9" s="62"/>
      <c r="ER9" s="62">
        <f>90000*10%*50%</f>
        <v>4500</v>
      </c>
      <c r="FC9" s="62"/>
      <c r="FD9" s="62">
        <f>90000*10%*50%</f>
        <v>4500</v>
      </c>
      <c r="FO9" s="62"/>
      <c r="FP9" s="62">
        <f>90000*10%*50%</f>
        <v>4500</v>
      </c>
      <c r="GA9" s="62"/>
      <c r="GB9" s="62">
        <f>90000*10%*50%</f>
        <v>4500</v>
      </c>
      <c r="GM9" s="62"/>
      <c r="GN9" s="62">
        <f>90000*10%*50%</f>
        <v>4500</v>
      </c>
    </row>
    <row r="10" spans="1:202" s="68" customFormat="1" x14ac:dyDescent="0.25">
      <c r="A10" s="68" t="s">
        <v>80</v>
      </c>
      <c r="C10" s="69">
        <f>C8+C9</f>
        <v>3307.0175438596493</v>
      </c>
      <c r="D10" s="69">
        <f t="shared" ref="D10:BO10" si="29">D8+D9</f>
        <v>5570</v>
      </c>
      <c r="E10" s="69">
        <f t="shared" si="29"/>
        <v>5570</v>
      </c>
      <c r="F10" s="69">
        <f t="shared" si="29"/>
        <v>8355</v>
      </c>
      <c r="G10" s="69">
        <f t="shared" si="29"/>
        <v>5570</v>
      </c>
      <c r="H10" s="69">
        <f t="shared" si="29"/>
        <v>5570</v>
      </c>
      <c r="I10" s="69">
        <f t="shared" si="29"/>
        <v>5570</v>
      </c>
      <c r="J10" s="69">
        <f t="shared" si="29"/>
        <v>5570</v>
      </c>
      <c r="K10" s="69">
        <f t="shared" si="29"/>
        <v>8355</v>
      </c>
      <c r="L10" s="69">
        <f t="shared" si="29"/>
        <v>5570</v>
      </c>
      <c r="M10" s="69">
        <f t="shared" si="29"/>
        <v>5714.8200000000006</v>
      </c>
      <c r="N10" s="69">
        <f t="shared" si="29"/>
        <v>9289.82</v>
      </c>
      <c r="O10" s="69">
        <f t="shared" si="29"/>
        <v>7151.8200000000006</v>
      </c>
      <c r="P10" s="69">
        <f t="shared" si="29"/>
        <v>8114.8200000000006</v>
      </c>
      <c r="Q10" s="69">
        <f t="shared" si="29"/>
        <v>8572.2300000000014</v>
      </c>
      <c r="R10" s="69">
        <f t="shared" si="29"/>
        <v>5714.8200000000006</v>
      </c>
      <c r="S10" s="69">
        <f t="shared" si="29"/>
        <v>5714.8200000000006</v>
      </c>
      <c r="T10" s="69">
        <f t="shared" si="29"/>
        <v>5714.8200000000006</v>
      </c>
      <c r="U10" s="69">
        <f t="shared" si="29"/>
        <v>5714.8200000000006</v>
      </c>
      <c r="V10" s="69">
        <f t="shared" si="29"/>
        <v>5714.8200000000006</v>
      </c>
      <c r="W10" s="69">
        <f t="shared" si="29"/>
        <v>8572.2300000000014</v>
      </c>
      <c r="X10" s="69">
        <f t="shared" si="29"/>
        <v>5714.8200000000006</v>
      </c>
      <c r="Y10" s="69">
        <f t="shared" si="29"/>
        <v>5714.8200000000006</v>
      </c>
      <c r="Z10" s="69">
        <f t="shared" si="29"/>
        <v>5714.8200000000006</v>
      </c>
      <c r="AA10" s="69">
        <f t="shared" si="29"/>
        <v>5714.8200000000006</v>
      </c>
      <c r="AB10" s="69">
        <f t="shared" si="29"/>
        <v>10214.82</v>
      </c>
      <c r="AC10" s="69">
        <f t="shared" si="29"/>
        <v>8572.2300000000014</v>
      </c>
      <c r="AD10" s="69">
        <f t="shared" si="29"/>
        <v>5714.8200000000006</v>
      </c>
      <c r="AE10" s="69">
        <f t="shared" si="29"/>
        <v>5714.8200000000006</v>
      </c>
      <c r="AF10" s="69">
        <f t="shared" si="29"/>
        <v>5714.8200000000006</v>
      </c>
      <c r="AG10" s="69">
        <f t="shared" si="29"/>
        <v>5714.8200000000006</v>
      </c>
      <c r="AH10" s="69">
        <f t="shared" si="29"/>
        <v>8572.2300000000014</v>
      </c>
      <c r="AI10" s="69">
        <f t="shared" si="29"/>
        <v>5714.8200000000006</v>
      </c>
      <c r="AJ10" s="69">
        <f t="shared" si="29"/>
        <v>5714.8200000000006</v>
      </c>
      <c r="AK10" s="69">
        <f t="shared" si="29"/>
        <v>5714.8200000000006</v>
      </c>
      <c r="AL10" s="69">
        <f t="shared" si="29"/>
        <v>5714.8200000000006</v>
      </c>
      <c r="AM10" s="69">
        <f t="shared" si="29"/>
        <v>5714.8200000000006</v>
      </c>
      <c r="AN10" s="69">
        <f t="shared" si="29"/>
        <v>10214.82</v>
      </c>
      <c r="AO10" s="69">
        <f t="shared" si="29"/>
        <v>8572.2300000000014</v>
      </c>
      <c r="AP10" s="69">
        <f t="shared" si="29"/>
        <v>5714.8200000000006</v>
      </c>
      <c r="AQ10" s="69">
        <f t="shared" si="29"/>
        <v>5714.8200000000006</v>
      </c>
      <c r="AR10" s="69">
        <f t="shared" si="29"/>
        <v>5714.8200000000006</v>
      </c>
      <c r="AS10" s="69">
        <f t="shared" si="29"/>
        <v>5714.8200000000006</v>
      </c>
      <c r="AT10" s="69">
        <f t="shared" si="29"/>
        <v>8572.2300000000014</v>
      </c>
      <c r="AU10" s="69">
        <f t="shared" si="29"/>
        <v>5714.8200000000006</v>
      </c>
      <c r="AV10" s="69">
        <f t="shared" si="29"/>
        <v>5714.8200000000006</v>
      </c>
      <c r="AW10" s="69">
        <f t="shared" si="29"/>
        <v>5714.8200000000006</v>
      </c>
      <c r="AX10" s="69">
        <f t="shared" si="29"/>
        <v>5714.8200000000006</v>
      </c>
      <c r="AY10" s="69">
        <f t="shared" si="29"/>
        <v>5714.8200000000006</v>
      </c>
      <c r="AZ10" s="69">
        <f t="shared" si="29"/>
        <v>13072.230000000001</v>
      </c>
      <c r="BA10" s="69">
        <f t="shared" si="29"/>
        <v>5714.8200000000006</v>
      </c>
      <c r="BB10" s="69">
        <f t="shared" si="29"/>
        <v>5714.8200000000006</v>
      </c>
      <c r="BC10" s="69">
        <f t="shared" si="29"/>
        <v>5714.8200000000006</v>
      </c>
      <c r="BD10" s="69">
        <f t="shared" si="29"/>
        <v>5714.8200000000006</v>
      </c>
      <c r="BE10" s="69">
        <f t="shared" si="29"/>
        <v>5714.8200000000006</v>
      </c>
      <c r="BF10" s="69">
        <f t="shared" si="29"/>
        <v>8572.2300000000014</v>
      </c>
      <c r="BG10" s="69">
        <f t="shared" si="29"/>
        <v>5714.8200000000006</v>
      </c>
      <c r="BH10" s="69">
        <f t="shared" si="29"/>
        <v>5714.8200000000006</v>
      </c>
      <c r="BI10" s="69">
        <f t="shared" si="29"/>
        <v>5714.8200000000006</v>
      </c>
      <c r="BJ10" s="69">
        <f t="shared" si="29"/>
        <v>5714.8200000000006</v>
      </c>
      <c r="BK10" s="69">
        <f t="shared" si="29"/>
        <v>8572.2300000000014</v>
      </c>
      <c r="BL10" s="69">
        <f t="shared" si="29"/>
        <v>10214.82</v>
      </c>
      <c r="BM10" s="69">
        <f t="shared" si="29"/>
        <v>5714.8200000000006</v>
      </c>
      <c r="BN10" s="69">
        <f t="shared" si="29"/>
        <v>5714.8200000000006</v>
      </c>
      <c r="BO10" s="69">
        <f t="shared" si="29"/>
        <v>5714.8200000000006</v>
      </c>
      <c r="BP10" s="69">
        <f t="shared" ref="BP10:EA10" si="30">BP8+BP9</f>
        <v>5714.8200000000006</v>
      </c>
      <c r="BQ10" s="69">
        <f t="shared" si="30"/>
        <v>8572.2300000000014</v>
      </c>
      <c r="BR10" s="69">
        <f t="shared" si="30"/>
        <v>5714.8200000000006</v>
      </c>
      <c r="BS10" s="69">
        <f t="shared" si="30"/>
        <v>5714.8200000000006</v>
      </c>
      <c r="BT10" s="69">
        <f t="shared" si="30"/>
        <v>5714.8200000000006</v>
      </c>
      <c r="BU10" s="69">
        <f t="shared" si="30"/>
        <v>5714.8200000000006</v>
      </c>
      <c r="BV10" s="69">
        <f t="shared" si="30"/>
        <v>5714.8200000000006</v>
      </c>
      <c r="BW10" s="69">
        <f t="shared" si="30"/>
        <v>8572.2300000000014</v>
      </c>
      <c r="BX10" s="69">
        <f t="shared" si="30"/>
        <v>10214.82</v>
      </c>
      <c r="BY10" s="69">
        <f t="shared" si="30"/>
        <v>5714.8200000000006</v>
      </c>
      <c r="BZ10" s="69">
        <f t="shared" si="30"/>
        <v>5714.8200000000006</v>
      </c>
      <c r="CA10" s="69">
        <f t="shared" si="30"/>
        <v>5714.8200000000006</v>
      </c>
      <c r="CB10" s="69">
        <f t="shared" si="30"/>
        <v>8572.2300000000014</v>
      </c>
      <c r="CC10" s="69">
        <f t="shared" si="30"/>
        <v>5714.8200000000006</v>
      </c>
      <c r="CD10" s="69">
        <f t="shared" si="30"/>
        <v>5714.8200000000006</v>
      </c>
      <c r="CE10" s="69">
        <f t="shared" si="30"/>
        <v>5714.8200000000006</v>
      </c>
      <c r="CF10" s="69">
        <f t="shared" si="30"/>
        <v>5714.8200000000006</v>
      </c>
      <c r="CG10" s="69">
        <f t="shared" si="30"/>
        <v>5714.8200000000006</v>
      </c>
      <c r="CH10" s="69">
        <f t="shared" si="30"/>
        <v>5714.8200000000006</v>
      </c>
      <c r="CI10" s="69">
        <f t="shared" si="30"/>
        <v>8572.2300000000014</v>
      </c>
      <c r="CJ10" s="69">
        <f t="shared" si="30"/>
        <v>10214.82</v>
      </c>
      <c r="CK10" s="69">
        <f t="shared" si="30"/>
        <v>5714.8200000000006</v>
      </c>
      <c r="CL10" s="69">
        <f t="shared" si="30"/>
        <v>5714.8200000000006</v>
      </c>
      <c r="CM10" s="69">
        <f t="shared" si="30"/>
        <v>5714.8200000000006</v>
      </c>
      <c r="CN10" s="69">
        <f t="shared" si="30"/>
        <v>8572.2300000000014</v>
      </c>
      <c r="CO10" s="69">
        <f t="shared" si="30"/>
        <v>5714.8200000000006</v>
      </c>
      <c r="CP10" s="69">
        <f t="shared" si="30"/>
        <v>5714.8200000000006</v>
      </c>
      <c r="CQ10" s="69">
        <f t="shared" si="30"/>
        <v>5714.8200000000006</v>
      </c>
      <c r="CR10" s="69">
        <f t="shared" si="30"/>
        <v>5714.8200000000006</v>
      </c>
      <c r="CS10" s="69">
        <f t="shared" si="30"/>
        <v>5714.8200000000006</v>
      </c>
      <c r="CT10" s="69">
        <f t="shared" si="30"/>
        <v>8572.2300000000014</v>
      </c>
      <c r="CU10" s="69">
        <f t="shared" si="30"/>
        <v>5714.8200000000006</v>
      </c>
      <c r="CV10" s="69">
        <f t="shared" si="30"/>
        <v>10214.82</v>
      </c>
      <c r="CW10" s="69">
        <f t="shared" si="30"/>
        <v>5714.8200000000006</v>
      </c>
      <c r="CX10" s="69">
        <f t="shared" si="30"/>
        <v>5714.8200000000006</v>
      </c>
      <c r="CY10" s="69">
        <f t="shared" si="30"/>
        <v>5714.8200000000006</v>
      </c>
      <c r="CZ10" s="69">
        <f t="shared" si="30"/>
        <v>8572.2300000000014</v>
      </c>
      <c r="DA10" s="69">
        <f t="shared" si="30"/>
        <v>5714.8200000000006</v>
      </c>
      <c r="DB10" s="69">
        <f t="shared" si="30"/>
        <v>5714.8200000000006</v>
      </c>
      <c r="DC10" s="69">
        <f t="shared" si="30"/>
        <v>5714.8200000000006</v>
      </c>
      <c r="DD10" s="69">
        <f t="shared" si="30"/>
        <v>5714.8200000000006</v>
      </c>
      <c r="DE10" s="69">
        <f t="shared" si="30"/>
        <v>8572.2300000000014</v>
      </c>
      <c r="DF10" s="69">
        <f t="shared" si="30"/>
        <v>5714.8200000000006</v>
      </c>
      <c r="DG10" s="69">
        <f t="shared" si="30"/>
        <v>5714.8200000000006</v>
      </c>
      <c r="DH10" s="69">
        <f t="shared" si="30"/>
        <v>10214.82</v>
      </c>
      <c r="DI10" s="69">
        <f t="shared" si="30"/>
        <v>5714.8200000000006</v>
      </c>
      <c r="DJ10" s="69">
        <f t="shared" si="30"/>
        <v>5714.8200000000006</v>
      </c>
      <c r="DK10" s="69">
        <f t="shared" si="30"/>
        <v>8572.2300000000014</v>
      </c>
      <c r="DL10" s="69">
        <f t="shared" si="30"/>
        <v>5714.8200000000006</v>
      </c>
      <c r="DM10" s="69">
        <f t="shared" si="30"/>
        <v>5714.8200000000006</v>
      </c>
      <c r="DN10" s="69">
        <f t="shared" si="30"/>
        <v>5714.8200000000006</v>
      </c>
      <c r="DO10" s="69">
        <f t="shared" si="30"/>
        <v>5714.8200000000006</v>
      </c>
      <c r="DP10" s="69">
        <f t="shared" si="30"/>
        <v>5714.8200000000006</v>
      </c>
      <c r="DQ10" s="69">
        <f t="shared" si="30"/>
        <v>8572.2300000000014</v>
      </c>
      <c r="DR10" s="69">
        <f t="shared" si="30"/>
        <v>5714.8200000000006</v>
      </c>
      <c r="DS10" s="69">
        <f t="shared" si="30"/>
        <v>5714.8200000000006</v>
      </c>
      <c r="DT10" s="69">
        <f t="shared" si="30"/>
        <v>10214.82</v>
      </c>
      <c r="DU10" s="69">
        <f t="shared" si="30"/>
        <v>5714.8200000000006</v>
      </c>
      <c r="DV10" s="69">
        <f t="shared" si="30"/>
        <v>8572.2300000000014</v>
      </c>
      <c r="DW10" s="69">
        <f t="shared" si="30"/>
        <v>5714.8200000000006</v>
      </c>
      <c r="DX10" s="69">
        <f t="shared" si="30"/>
        <v>5714.8200000000006</v>
      </c>
      <c r="DY10" s="69">
        <f t="shared" si="30"/>
        <v>5714.8200000000006</v>
      </c>
      <c r="DZ10" s="69">
        <f t="shared" si="30"/>
        <v>5714.8200000000006</v>
      </c>
      <c r="EA10" s="69">
        <f t="shared" si="30"/>
        <v>5714.8200000000006</v>
      </c>
      <c r="EB10" s="69">
        <f t="shared" ref="EB10:GM10" si="31">EB8+EB9</f>
        <v>5714.8200000000006</v>
      </c>
      <c r="EC10" s="69">
        <f t="shared" si="31"/>
        <v>8572.2300000000014</v>
      </c>
      <c r="ED10" s="69">
        <f t="shared" si="31"/>
        <v>5714.8200000000006</v>
      </c>
      <c r="EE10" s="69">
        <f t="shared" si="31"/>
        <v>5714.8200000000006</v>
      </c>
      <c r="EF10" s="69">
        <f t="shared" si="31"/>
        <v>10214.82</v>
      </c>
      <c r="EG10" s="69">
        <f t="shared" si="31"/>
        <v>5714.8200000000006</v>
      </c>
      <c r="EH10" s="69">
        <f t="shared" si="31"/>
        <v>8572.2300000000014</v>
      </c>
      <c r="EI10" s="69">
        <f t="shared" si="31"/>
        <v>5714.8200000000006</v>
      </c>
      <c r="EJ10" s="69">
        <f t="shared" si="31"/>
        <v>5714.8200000000006</v>
      </c>
      <c r="EK10" s="69">
        <f t="shared" si="31"/>
        <v>5714.8200000000006</v>
      </c>
      <c r="EL10" s="69">
        <f t="shared" si="31"/>
        <v>5714.8200000000006</v>
      </c>
      <c r="EM10" s="69">
        <f t="shared" si="31"/>
        <v>8572.2300000000014</v>
      </c>
      <c r="EN10" s="69">
        <f t="shared" si="31"/>
        <v>5714.8200000000006</v>
      </c>
      <c r="EO10" s="69">
        <f t="shared" si="31"/>
        <v>5714.8200000000006</v>
      </c>
      <c r="EP10" s="69">
        <f t="shared" si="31"/>
        <v>5714.8200000000006</v>
      </c>
      <c r="EQ10" s="69">
        <f t="shared" si="31"/>
        <v>5714.8200000000006</v>
      </c>
      <c r="ER10" s="69">
        <f t="shared" si="31"/>
        <v>10214.82</v>
      </c>
      <c r="ES10" s="69">
        <f t="shared" si="31"/>
        <v>5714.8200000000006</v>
      </c>
      <c r="ET10" s="69">
        <f t="shared" si="31"/>
        <v>8572.2300000000014</v>
      </c>
      <c r="EU10" s="69">
        <f t="shared" si="31"/>
        <v>5714.8200000000006</v>
      </c>
      <c r="EV10" s="69">
        <f t="shared" si="31"/>
        <v>5714.8200000000006</v>
      </c>
      <c r="EW10" s="69">
        <f t="shared" si="31"/>
        <v>5714.8200000000006</v>
      </c>
      <c r="EX10" s="69">
        <f t="shared" si="31"/>
        <v>5714.8200000000006</v>
      </c>
      <c r="EY10" s="69">
        <f t="shared" si="31"/>
        <v>8572.2300000000014</v>
      </c>
      <c r="EZ10" s="69">
        <f t="shared" si="31"/>
        <v>5714.8200000000006</v>
      </c>
      <c r="FA10" s="69">
        <f t="shared" si="31"/>
        <v>5714.8200000000006</v>
      </c>
      <c r="FB10" s="69">
        <f t="shared" si="31"/>
        <v>5714.8200000000006</v>
      </c>
      <c r="FC10" s="69">
        <f t="shared" si="31"/>
        <v>5714.8200000000006</v>
      </c>
      <c r="FD10" s="69">
        <f t="shared" si="31"/>
        <v>10214.82</v>
      </c>
      <c r="FE10" s="69">
        <f t="shared" si="31"/>
        <v>8572.2300000000014</v>
      </c>
      <c r="FF10" s="69">
        <f t="shared" si="31"/>
        <v>5714.8200000000006</v>
      </c>
      <c r="FG10" s="69">
        <f t="shared" si="31"/>
        <v>5714.8200000000006</v>
      </c>
      <c r="FH10" s="69">
        <f t="shared" si="31"/>
        <v>5714.8200000000006</v>
      </c>
      <c r="FI10" s="69">
        <f t="shared" si="31"/>
        <v>5714.8200000000006</v>
      </c>
      <c r="FJ10" s="69">
        <f t="shared" si="31"/>
        <v>8572.2300000000014</v>
      </c>
      <c r="FK10" s="69">
        <f t="shared" si="31"/>
        <v>5714.8200000000006</v>
      </c>
      <c r="FL10" s="69">
        <f t="shared" si="31"/>
        <v>5714.8200000000006</v>
      </c>
      <c r="FM10" s="69">
        <f t="shared" si="31"/>
        <v>5714.8200000000006</v>
      </c>
      <c r="FN10" s="69">
        <f t="shared" si="31"/>
        <v>5714.8200000000006</v>
      </c>
      <c r="FO10" s="69">
        <f t="shared" si="31"/>
        <v>5714.8200000000006</v>
      </c>
      <c r="FP10" s="69">
        <f t="shared" si="31"/>
        <v>10214.82</v>
      </c>
      <c r="FQ10" s="69">
        <f t="shared" si="31"/>
        <v>8572.2300000000014</v>
      </c>
      <c r="FR10" s="69">
        <f t="shared" si="31"/>
        <v>5714.8200000000006</v>
      </c>
      <c r="FS10" s="69">
        <f t="shared" si="31"/>
        <v>5714.8200000000006</v>
      </c>
      <c r="FT10" s="69">
        <f t="shared" si="31"/>
        <v>5714.8200000000006</v>
      </c>
      <c r="FU10" s="69">
        <f t="shared" si="31"/>
        <v>5714.8200000000006</v>
      </c>
      <c r="FV10" s="69">
        <f t="shared" si="31"/>
        <v>8572.2300000000014</v>
      </c>
      <c r="FW10" s="69">
        <f t="shared" si="31"/>
        <v>5714.8200000000006</v>
      </c>
      <c r="FX10" s="69">
        <f t="shared" si="31"/>
        <v>5714.8200000000006</v>
      </c>
      <c r="FY10" s="69">
        <f t="shared" si="31"/>
        <v>5714.8200000000006</v>
      </c>
      <c r="FZ10" s="69">
        <f t="shared" si="31"/>
        <v>5714.8200000000006</v>
      </c>
      <c r="GA10" s="69">
        <f t="shared" si="31"/>
        <v>5714.8200000000006</v>
      </c>
      <c r="GB10" s="69">
        <f t="shared" si="31"/>
        <v>13072.230000000001</v>
      </c>
      <c r="GC10" s="69">
        <f t="shared" si="31"/>
        <v>5714.8200000000006</v>
      </c>
      <c r="GD10" s="69">
        <f t="shared" si="31"/>
        <v>5714.8200000000006</v>
      </c>
      <c r="GE10" s="69">
        <f t="shared" si="31"/>
        <v>5714.8200000000006</v>
      </c>
      <c r="GF10" s="69">
        <f t="shared" si="31"/>
        <v>5714.8200000000006</v>
      </c>
      <c r="GG10" s="69">
        <f t="shared" si="31"/>
        <v>5714.8200000000006</v>
      </c>
      <c r="GH10" s="69">
        <f t="shared" si="31"/>
        <v>8572.2300000000014</v>
      </c>
      <c r="GI10" s="69">
        <f t="shared" si="31"/>
        <v>5714.8200000000006</v>
      </c>
      <c r="GJ10" s="69">
        <f t="shared" si="31"/>
        <v>5714.8200000000006</v>
      </c>
      <c r="GK10" s="69">
        <f t="shared" si="31"/>
        <v>5714.8200000000006</v>
      </c>
      <c r="GL10" s="69">
        <f t="shared" si="31"/>
        <v>5714.8200000000006</v>
      </c>
      <c r="GM10" s="69">
        <f t="shared" si="31"/>
        <v>5714.8200000000006</v>
      </c>
      <c r="GN10" s="69">
        <f t="shared" ref="GN10:GT10" si="32">GN8+GN9</f>
        <v>13072.230000000001</v>
      </c>
      <c r="GO10" s="69">
        <f t="shared" si="32"/>
        <v>5714.8200000000006</v>
      </c>
      <c r="GP10" s="69">
        <f t="shared" si="32"/>
        <v>5714.8200000000006</v>
      </c>
      <c r="GQ10" s="69">
        <f t="shared" si="32"/>
        <v>5714.8200000000006</v>
      </c>
      <c r="GR10" s="69">
        <f t="shared" si="32"/>
        <v>5714.8200000000006</v>
      </c>
      <c r="GS10" s="69">
        <f t="shared" si="32"/>
        <v>8572.2300000000014</v>
      </c>
      <c r="GT10" s="69">
        <f t="shared" si="32"/>
        <v>5714.8200000000006</v>
      </c>
    </row>
    <row r="11" spans="1:202" s="59" customFormat="1" x14ac:dyDescent="0.25">
      <c r="A11" s="59" t="s">
        <v>86</v>
      </c>
      <c r="C11" s="59">
        <v>0</v>
      </c>
      <c r="D11" s="59">
        <v>0</v>
      </c>
      <c r="E11" s="59">
        <v>25</v>
      </c>
      <c r="F11" s="59">
        <v>10</v>
      </c>
      <c r="G11" s="59">
        <f t="shared" ref="G11:BQ11" si="33">F11</f>
        <v>10</v>
      </c>
      <c r="H11" s="59">
        <f t="shared" si="33"/>
        <v>10</v>
      </c>
      <c r="I11" s="59">
        <f t="shared" si="33"/>
        <v>10</v>
      </c>
      <c r="J11" s="59">
        <f t="shared" si="33"/>
        <v>10</v>
      </c>
      <c r="K11" s="59">
        <f t="shared" si="33"/>
        <v>10</v>
      </c>
      <c r="L11" s="59">
        <f t="shared" si="33"/>
        <v>10</v>
      </c>
      <c r="M11" s="59">
        <f t="shared" si="33"/>
        <v>10</v>
      </c>
      <c r="O11" s="59">
        <v>22</v>
      </c>
      <c r="P11" s="59">
        <f t="shared" si="33"/>
        <v>22</v>
      </c>
      <c r="Q11" s="59">
        <f t="shared" si="33"/>
        <v>22</v>
      </c>
      <c r="R11" s="59">
        <f t="shared" si="33"/>
        <v>22</v>
      </c>
      <c r="V11" s="282"/>
      <c r="W11" s="59">
        <v>22</v>
      </c>
      <c r="X11" s="59">
        <f t="shared" si="33"/>
        <v>22</v>
      </c>
      <c r="Y11" s="59">
        <f t="shared" si="33"/>
        <v>22</v>
      </c>
      <c r="Z11" s="59">
        <f t="shared" si="33"/>
        <v>22</v>
      </c>
      <c r="AA11" s="59">
        <f t="shared" si="33"/>
        <v>22</v>
      </c>
      <c r="AB11" s="59">
        <f t="shared" si="33"/>
        <v>22</v>
      </c>
      <c r="AC11" s="59">
        <f t="shared" si="33"/>
        <v>22</v>
      </c>
      <c r="AD11" s="59">
        <f t="shared" si="33"/>
        <v>22</v>
      </c>
      <c r="AE11" s="59">
        <f t="shared" si="33"/>
        <v>22</v>
      </c>
      <c r="AF11" s="59">
        <f t="shared" si="33"/>
        <v>22</v>
      </c>
      <c r="AG11" s="59">
        <f t="shared" si="33"/>
        <v>22</v>
      </c>
      <c r="AH11" s="59">
        <f t="shared" si="33"/>
        <v>22</v>
      </c>
      <c r="AI11" s="398">
        <v>20</v>
      </c>
      <c r="AJ11" s="59">
        <f t="shared" si="33"/>
        <v>20</v>
      </c>
      <c r="AK11" s="59">
        <f t="shared" si="33"/>
        <v>20</v>
      </c>
      <c r="AL11" s="59">
        <f t="shared" si="33"/>
        <v>20</v>
      </c>
      <c r="AM11" s="59">
        <f t="shared" si="33"/>
        <v>20</v>
      </c>
      <c r="AN11" s="59">
        <f t="shared" si="33"/>
        <v>20</v>
      </c>
      <c r="AO11" s="59">
        <f t="shared" si="33"/>
        <v>20</v>
      </c>
      <c r="AP11" s="59">
        <f t="shared" si="33"/>
        <v>20</v>
      </c>
      <c r="AQ11" s="59">
        <f t="shared" si="33"/>
        <v>20</v>
      </c>
      <c r="AR11" s="59">
        <f t="shared" si="33"/>
        <v>20</v>
      </c>
      <c r="AS11" s="59">
        <f t="shared" si="33"/>
        <v>20</v>
      </c>
      <c r="AT11" s="59">
        <f t="shared" si="33"/>
        <v>20</v>
      </c>
      <c r="AU11" s="59">
        <f t="shared" si="33"/>
        <v>20</v>
      </c>
      <c r="AV11" s="59">
        <f t="shared" si="33"/>
        <v>20</v>
      </c>
      <c r="AW11" s="59">
        <f t="shared" si="33"/>
        <v>20</v>
      </c>
      <c r="AX11" s="59">
        <f t="shared" si="33"/>
        <v>20</v>
      </c>
      <c r="AY11" s="59">
        <f t="shared" si="33"/>
        <v>20</v>
      </c>
      <c r="AZ11" s="59">
        <f t="shared" si="33"/>
        <v>20</v>
      </c>
      <c r="BA11" s="59">
        <f t="shared" si="33"/>
        <v>20</v>
      </c>
      <c r="BB11" s="59">
        <f t="shared" si="33"/>
        <v>20</v>
      </c>
      <c r="BC11" s="59">
        <f t="shared" si="33"/>
        <v>20</v>
      </c>
      <c r="BD11" s="59">
        <f t="shared" si="33"/>
        <v>20</v>
      </c>
      <c r="BE11" s="59">
        <f t="shared" si="33"/>
        <v>20</v>
      </c>
      <c r="BF11" s="59">
        <f t="shared" si="33"/>
        <v>20</v>
      </c>
      <c r="BG11" s="59">
        <f t="shared" si="33"/>
        <v>20</v>
      </c>
      <c r="BH11" s="59">
        <f t="shared" si="33"/>
        <v>20</v>
      </c>
      <c r="BI11" s="59">
        <f t="shared" si="33"/>
        <v>20</v>
      </c>
      <c r="BJ11" s="59">
        <f t="shared" si="33"/>
        <v>20</v>
      </c>
      <c r="BK11" s="59">
        <f t="shared" si="33"/>
        <v>20</v>
      </c>
      <c r="BL11" s="59">
        <f t="shared" si="33"/>
        <v>20</v>
      </c>
      <c r="BM11" s="59">
        <f t="shared" si="33"/>
        <v>20</v>
      </c>
      <c r="BN11" s="59">
        <f t="shared" si="33"/>
        <v>20</v>
      </c>
      <c r="BO11" s="59">
        <f t="shared" si="33"/>
        <v>20</v>
      </c>
      <c r="BP11" s="59">
        <f t="shared" si="33"/>
        <v>20</v>
      </c>
      <c r="BQ11" s="59">
        <f t="shared" si="33"/>
        <v>20</v>
      </c>
      <c r="BR11" s="59">
        <f t="shared" ref="BR11:EC11" si="34">BQ11</f>
        <v>20</v>
      </c>
      <c r="BS11" s="59">
        <f t="shared" si="34"/>
        <v>20</v>
      </c>
      <c r="BT11" s="59">
        <f t="shared" si="34"/>
        <v>20</v>
      </c>
      <c r="BU11" s="59">
        <f t="shared" si="34"/>
        <v>20</v>
      </c>
      <c r="BV11" s="59">
        <f t="shared" si="34"/>
        <v>20</v>
      </c>
      <c r="BW11" s="59">
        <f t="shared" si="34"/>
        <v>20</v>
      </c>
      <c r="BX11" s="59">
        <f t="shared" si="34"/>
        <v>20</v>
      </c>
      <c r="BY11" s="59">
        <f t="shared" si="34"/>
        <v>20</v>
      </c>
      <c r="BZ11" s="59">
        <f t="shared" si="34"/>
        <v>20</v>
      </c>
      <c r="CA11" s="59">
        <f t="shared" si="34"/>
        <v>20</v>
      </c>
      <c r="CB11" s="59">
        <f t="shared" si="34"/>
        <v>20</v>
      </c>
      <c r="CC11" s="59">
        <f t="shared" si="34"/>
        <v>20</v>
      </c>
      <c r="CD11" s="59">
        <f t="shared" si="34"/>
        <v>20</v>
      </c>
      <c r="CE11" s="59">
        <f t="shared" si="34"/>
        <v>20</v>
      </c>
      <c r="CF11" s="59">
        <f t="shared" si="34"/>
        <v>20</v>
      </c>
      <c r="CG11" s="59">
        <f t="shared" si="34"/>
        <v>20</v>
      </c>
      <c r="CH11" s="59">
        <f t="shared" si="34"/>
        <v>20</v>
      </c>
      <c r="CI11" s="59">
        <f t="shared" si="34"/>
        <v>20</v>
      </c>
      <c r="CJ11" s="59">
        <f t="shared" si="34"/>
        <v>20</v>
      </c>
      <c r="CK11" s="59">
        <f t="shared" si="34"/>
        <v>20</v>
      </c>
      <c r="CL11" s="59">
        <f t="shared" si="34"/>
        <v>20</v>
      </c>
      <c r="CM11" s="59">
        <f t="shared" si="34"/>
        <v>20</v>
      </c>
      <c r="CN11" s="59">
        <f t="shared" si="34"/>
        <v>20</v>
      </c>
      <c r="CO11" s="59">
        <f t="shared" si="34"/>
        <v>20</v>
      </c>
      <c r="CP11" s="59">
        <f t="shared" si="34"/>
        <v>20</v>
      </c>
      <c r="CQ11" s="59">
        <f t="shared" si="34"/>
        <v>20</v>
      </c>
      <c r="CR11" s="59">
        <f t="shared" si="34"/>
        <v>20</v>
      </c>
      <c r="CS11" s="59">
        <f t="shared" si="34"/>
        <v>20</v>
      </c>
      <c r="CT11" s="59">
        <f t="shared" si="34"/>
        <v>20</v>
      </c>
      <c r="CU11" s="59">
        <f t="shared" si="34"/>
        <v>20</v>
      </c>
      <c r="CV11" s="59">
        <f t="shared" si="34"/>
        <v>20</v>
      </c>
      <c r="CW11" s="59">
        <f t="shared" si="34"/>
        <v>20</v>
      </c>
      <c r="CX11" s="59">
        <f t="shared" si="34"/>
        <v>20</v>
      </c>
      <c r="CY11" s="59">
        <f t="shared" si="34"/>
        <v>20</v>
      </c>
      <c r="CZ11" s="59">
        <f t="shared" si="34"/>
        <v>20</v>
      </c>
      <c r="DA11" s="59">
        <f t="shared" si="34"/>
        <v>20</v>
      </c>
      <c r="DB11" s="59">
        <f t="shared" si="34"/>
        <v>20</v>
      </c>
      <c r="DC11" s="59">
        <f t="shared" si="34"/>
        <v>20</v>
      </c>
      <c r="DD11" s="59">
        <f t="shared" si="34"/>
        <v>20</v>
      </c>
      <c r="DE11" s="59">
        <f t="shared" si="34"/>
        <v>20</v>
      </c>
      <c r="DF11" s="59">
        <f t="shared" si="34"/>
        <v>20</v>
      </c>
      <c r="DG11" s="59">
        <f t="shared" si="34"/>
        <v>20</v>
      </c>
      <c r="DH11" s="59">
        <f t="shared" si="34"/>
        <v>20</v>
      </c>
      <c r="DI11" s="59">
        <f t="shared" si="34"/>
        <v>20</v>
      </c>
      <c r="DJ11" s="59">
        <f t="shared" si="34"/>
        <v>20</v>
      </c>
      <c r="DK11" s="59">
        <f t="shared" si="34"/>
        <v>20</v>
      </c>
      <c r="DL11" s="59">
        <f t="shared" si="34"/>
        <v>20</v>
      </c>
      <c r="DM11" s="59">
        <f t="shared" si="34"/>
        <v>20</v>
      </c>
      <c r="DN11" s="59">
        <f t="shared" si="34"/>
        <v>20</v>
      </c>
      <c r="DO11" s="59">
        <f t="shared" si="34"/>
        <v>20</v>
      </c>
      <c r="DP11" s="59">
        <f t="shared" si="34"/>
        <v>20</v>
      </c>
      <c r="DQ11" s="59">
        <f t="shared" si="34"/>
        <v>20</v>
      </c>
      <c r="DR11" s="59">
        <f t="shared" si="34"/>
        <v>20</v>
      </c>
      <c r="DS11" s="59">
        <f t="shared" si="34"/>
        <v>20</v>
      </c>
      <c r="DT11" s="59">
        <f t="shared" si="34"/>
        <v>20</v>
      </c>
      <c r="DU11" s="59">
        <f t="shared" si="34"/>
        <v>20</v>
      </c>
      <c r="DV11" s="59">
        <f t="shared" si="34"/>
        <v>20</v>
      </c>
      <c r="DW11" s="59">
        <f t="shared" si="34"/>
        <v>20</v>
      </c>
      <c r="DX11" s="59">
        <f t="shared" si="34"/>
        <v>20</v>
      </c>
      <c r="DY11" s="59">
        <f t="shared" si="34"/>
        <v>20</v>
      </c>
      <c r="DZ11" s="59">
        <f t="shared" si="34"/>
        <v>20</v>
      </c>
      <c r="EA11" s="59">
        <f t="shared" si="34"/>
        <v>20</v>
      </c>
      <c r="EB11" s="59">
        <f t="shared" si="34"/>
        <v>20</v>
      </c>
      <c r="EC11" s="59">
        <f t="shared" si="34"/>
        <v>20</v>
      </c>
      <c r="ED11" s="59">
        <f t="shared" ref="ED11:GO11" si="35">EC11</f>
        <v>20</v>
      </c>
      <c r="EE11" s="59">
        <f t="shared" si="35"/>
        <v>20</v>
      </c>
      <c r="EF11" s="59">
        <f t="shared" si="35"/>
        <v>20</v>
      </c>
      <c r="EG11" s="59">
        <f t="shared" si="35"/>
        <v>20</v>
      </c>
      <c r="EH11" s="59">
        <f t="shared" si="35"/>
        <v>20</v>
      </c>
      <c r="EI11" s="59">
        <f t="shared" si="35"/>
        <v>20</v>
      </c>
      <c r="EJ11" s="59">
        <f t="shared" si="35"/>
        <v>20</v>
      </c>
      <c r="EK11" s="59">
        <f t="shared" si="35"/>
        <v>20</v>
      </c>
      <c r="EL11" s="59">
        <f t="shared" si="35"/>
        <v>20</v>
      </c>
      <c r="EM11" s="59">
        <f t="shared" si="35"/>
        <v>20</v>
      </c>
      <c r="EN11" s="59">
        <f t="shared" si="35"/>
        <v>20</v>
      </c>
      <c r="EO11" s="59">
        <f t="shared" si="35"/>
        <v>20</v>
      </c>
      <c r="EP11" s="59">
        <f t="shared" si="35"/>
        <v>20</v>
      </c>
      <c r="EQ11" s="59">
        <f t="shared" si="35"/>
        <v>20</v>
      </c>
      <c r="ER11" s="59">
        <f t="shared" si="35"/>
        <v>20</v>
      </c>
      <c r="ES11" s="59">
        <f t="shared" si="35"/>
        <v>20</v>
      </c>
      <c r="ET11" s="59">
        <f t="shared" si="35"/>
        <v>20</v>
      </c>
      <c r="EU11" s="59">
        <f t="shared" si="35"/>
        <v>20</v>
      </c>
      <c r="EV11" s="59">
        <f t="shared" si="35"/>
        <v>20</v>
      </c>
      <c r="EW11" s="59">
        <f t="shared" si="35"/>
        <v>20</v>
      </c>
      <c r="EX11" s="59">
        <f t="shared" si="35"/>
        <v>20</v>
      </c>
      <c r="EY11" s="59">
        <f t="shared" si="35"/>
        <v>20</v>
      </c>
      <c r="EZ11" s="59">
        <f t="shared" si="35"/>
        <v>20</v>
      </c>
      <c r="FA11" s="59">
        <f t="shared" si="35"/>
        <v>20</v>
      </c>
      <c r="FB11" s="59">
        <f t="shared" si="35"/>
        <v>20</v>
      </c>
      <c r="FC11" s="59">
        <f t="shared" si="35"/>
        <v>20</v>
      </c>
      <c r="FD11" s="59">
        <f t="shared" si="35"/>
        <v>20</v>
      </c>
      <c r="FE11" s="59">
        <f t="shared" si="35"/>
        <v>20</v>
      </c>
      <c r="FF11" s="59">
        <f t="shared" si="35"/>
        <v>20</v>
      </c>
      <c r="FG11" s="59">
        <f t="shared" si="35"/>
        <v>20</v>
      </c>
      <c r="FH11" s="59">
        <f t="shared" si="35"/>
        <v>20</v>
      </c>
      <c r="FI11" s="59">
        <f t="shared" si="35"/>
        <v>20</v>
      </c>
      <c r="FJ11" s="59">
        <f t="shared" si="35"/>
        <v>20</v>
      </c>
      <c r="FK11" s="59">
        <f t="shared" si="35"/>
        <v>20</v>
      </c>
      <c r="FL11" s="59">
        <f t="shared" si="35"/>
        <v>20</v>
      </c>
      <c r="FM11" s="59">
        <f t="shared" si="35"/>
        <v>20</v>
      </c>
      <c r="FN11" s="59">
        <f t="shared" si="35"/>
        <v>20</v>
      </c>
      <c r="FO11" s="59">
        <f t="shared" si="35"/>
        <v>20</v>
      </c>
      <c r="FP11" s="59">
        <f t="shared" si="35"/>
        <v>20</v>
      </c>
      <c r="FQ11" s="59">
        <f t="shared" si="35"/>
        <v>20</v>
      </c>
      <c r="FR11" s="59">
        <f t="shared" si="35"/>
        <v>20</v>
      </c>
      <c r="FS11" s="59">
        <f t="shared" si="35"/>
        <v>20</v>
      </c>
      <c r="FT11" s="59">
        <f t="shared" si="35"/>
        <v>20</v>
      </c>
      <c r="FU11" s="59">
        <f t="shared" si="35"/>
        <v>20</v>
      </c>
      <c r="FV11" s="59">
        <f t="shared" si="35"/>
        <v>20</v>
      </c>
      <c r="FW11" s="59">
        <f t="shared" si="35"/>
        <v>20</v>
      </c>
      <c r="FX11" s="59">
        <f t="shared" si="35"/>
        <v>20</v>
      </c>
      <c r="FY11" s="59">
        <f t="shared" si="35"/>
        <v>20</v>
      </c>
      <c r="FZ11" s="59">
        <f t="shared" si="35"/>
        <v>20</v>
      </c>
      <c r="GA11" s="59">
        <f t="shared" si="35"/>
        <v>20</v>
      </c>
      <c r="GB11" s="59">
        <f t="shared" si="35"/>
        <v>20</v>
      </c>
      <c r="GC11" s="59">
        <f t="shared" si="35"/>
        <v>20</v>
      </c>
      <c r="GD11" s="59">
        <f t="shared" si="35"/>
        <v>20</v>
      </c>
      <c r="GE11" s="59">
        <f t="shared" si="35"/>
        <v>20</v>
      </c>
      <c r="GF11" s="59">
        <f t="shared" si="35"/>
        <v>20</v>
      </c>
      <c r="GG11" s="59">
        <f t="shared" si="35"/>
        <v>20</v>
      </c>
      <c r="GH11" s="59">
        <f t="shared" si="35"/>
        <v>20</v>
      </c>
      <c r="GI11" s="59">
        <f t="shared" si="35"/>
        <v>20</v>
      </c>
      <c r="GJ11" s="59">
        <f t="shared" si="35"/>
        <v>20</v>
      </c>
      <c r="GK11" s="59">
        <f t="shared" si="35"/>
        <v>20</v>
      </c>
      <c r="GL11" s="59">
        <f t="shared" si="35"/>
        <v>20</v>
      </c>
      <c r="GM11" s="59">
        <f t="shared" si="35"/>
        <v>20</v>
      </c>
      <c r="GN11" s="59">
        <f t="shared" si="35"/>
        <v>20</v>
      </c>
      <c r="GO11" s="59">
        <f t="shared" si="35"/>
        <v>20</v>
      </c>
      <c r="GP11" s="59">
        <f t="shared" ref="GP11:GT14" si="36">GO11</f>
        <v>20</v>
      </c>
      <c r="GQ11" s="59">
        <f t="shared" si="36"/>
        <v>20</v>
      </c>
      <c r="GR11" s="59">
        <f t="shared" si="36"/>
        <v>20</v>
      </c>
      <c r="GS11" s="59">
        <f t="shared" si="36"/>
        <v>20</v>
      </c>
      <c r="GT11" s="59">
        <f t="shared" si="36"/>
        <v>20</v>
      </c>
    </row>
    <row r="12" spans="1:202" s="59" customFormat="1" x14ac:dyDescent="0.25">
      <c r="A12" s="59" t="s">
        <v>87</v>
      </c>
      <c r="C12" s="59">
        <v>15</v>
      </c>
      <c r="D12" s="59">
        <f>C12</f>
        <v>15</v>
      </c>
      <c r="E12" s="59">
        <f>D12</f>
        <v>15</v>
      </c>
      <c r="F12" s="59">
        <f t="shared" ref="F12:BQ14" si="37">E12</f>
        <v>15</v>
      </c>
      <c r="G12" s="59">
        <v>30</v>
      </c>
      <c r="H12" s="59">
        <f t="shared" si="37"/>
        <v>30</v>
      </c>
      <c r="I12" s="59">
        <f t="shared" si="37"/>
        <v>30</v>
      </c>
      <c r="J12" s="59">
        <v>15</v>
      </c>
      <c r="K12" s="59">
        <f>I12</f>
        <v>30</v>
      </c>
      <c r="L12" s="59">
        <v>20</v>
      </c>
      <c r="M12" s="59">
        <f>K12</f>
        <v>30</v>
      </c>
      <c r="N12" s="59">
        <f t="shared" si="37"/>
        <v>30</v>
      </c>
      <c r="O12" s="59">
        <v>15</v>
      </c>
      <c r="P12" s="59">
        <f t="shared" si="37"/>
        <v>15</v>
      </c>
      <c r="Q12" s="59">
        <f t="shared" si="37"/>
        <v>15</v>
      </c>
      <c r="R12" s="59">
        <f t="shared" si="37"/>
        <v>15</v>
      </c>
      <c r="S12" s="59">
        <f t="shared" si="37"/>
        <v>15</v>
      </c>
      <c r="T12" s="59">
        <f t="shared" si="37"/>
        <v>15</v>
      </c>
      <c r="U12" s="59">
        <f t="shared" si="37"/>
        <v>15</v>
      </c>
      <c r="V12" s="59">
        <f t="shared" si="37"/>
        <v>15</v>
      </c>
      <c r="W12" s="59">
        <f t="shared" si="37"/>
        <v>15</v>
      </c>
      <c r="X12" s="59">
        <f t="shared" si="37"/>
        <v>15</v>
      </c>
      <c r="Y12" s="59">
        <f t="shared" si="37"/>
        <v>15</v>
      </c>
      <c r="Z12" s="59">
        <f t="shared" si="37"/>
        <v>15</v>
      </c>
      <c r="AA12" s="59">
        <f t="shared" si="37"/>
        <v>15</v>
      </c>
      <c r="AB12" s="59">
        <f t="shared" si="37"/>
        <v>15</v>
      </c>
      <c r="AC12" s="59">
        <f t="shared" si="37"/>
        <v>15</v>
      </c>
      <c r="AD12" s="59">
        <f t="shared" si="37"/>
        <v>15</v>
      </c>
      <c r="AE12" s="59">
        <f t="shared" si="37"/>
        <v>15</v>
      </c>
      <c r="AF12" s="59">
        <f t="shared" si="37"/>
        <v>15</v>
      </c>
      <c r="AG12" s="59">
        <f t="shared" si="37"/>
        <v>15</v>
      </c>
      <c r="AH12" s="59">
        <f t="shared" si="37"/>
        <v>15</v>
      </c>
      <c r="AI12" s="59">
        <f t="shared" si="37"/>
        <v>15</v>
      </c>
      <c r="AJ12" s="59">
        <f t="shared" si="37"/>
        <v>15</v>
      </c>
      <c r="AK12" s="59">
        <f t="shared" si="37"/>
        <v>15</v>
      </c>
      <c r="AL12" s="59">
        <f t="shared" si="37"/>
        <v>15</v>
      </c>
      <c r="AM12" s="59">
        <f t="shared" si="37"/>
        <v>15</v>
      </c>
      <c r="AN12" s="59">
        <f t="shared" si="37"/>
        <v>15</v>
      </c>
      <c r="AO12" s="59">
        <f t="shared" si="37"/>
        <v>15</v>
      </c>
      <c r="AP12" s="59">
        <f t="shared" si="37"/>
        <v>15</v>
      </c>
      <c r="AQ12" s="59">
        <f t="shared" si="37"/>
        <v>15</v>
      </c>
      <c r="AR12" s="59">
        <f t="shared" si="37"/>
        <v>15</v>
      </c>
      <c r="AS12" s="59">
        <f t="shared" si="37"/>
        <v>15</v>
      </c>
      <c r="AT12" s="59">
        <f t="shared" si="37"/>
        <v>15</v>
      </c>
      <c r="AU12" s="59">
        <f t="shared" si="37"/>
        <v>15</v>
      </c>
      <c r="AV12" s="59">
        <f t="shared" si="37"/>
        <v>15</v>
      </c>
      <c r="AW12" s="59">
        <f t="shared" si="37"/>
        <v>15</v>
      </c>
      <c r="AX12" s="59">
        <f t="shared" si="37"/>
        <v>15</v>
      </c>
      <c r="AY12" s="59">
        <f t="shared" si="37"/>
        <v>15</v>
      </c>
      <c r="AZ12" s="59">
        <f t="shared" si="37"/>
        <v>15</v>
      </c>
      <c r="BA12" s="59">
        <f t="shared" si="37"/>
        <v>15</v>
      </c>
      <c r="BB12" s="59">
        <f t="shared" si="37"/>
        <v>15</v>
      </c>
      <c r="BC12" s="59">
        <f t="shared" si="37"/>
        <v>15</v>
      </c>
      <c r="BD12" s="59">
        <f t="shared" si="37"/>
        <v>15</v>
      </c>
      <c r="BE12" s="59">
        <f t="shared" si="37"/>
        <v>15</v>
      </c>
      <c r="BF12" s="59">
        <f t="shared" si="37"/>
        <v>15</v>
      </c>
      <c r="BG12" s="59">
        <f t="shared" si="37"/>
        <v>15</v>
      </c>
      <c r="BH12" s="59">
        <f t="shared" si="37"/>
        <v>15</v>
      </c>
      <c r="BI12" s="59">
        <f t="shared" si="37"/>
        <v>15</v>
      </c>
      <c r="BJ12" s="59">
        <f t="shared" si="37"/>
        <v>15</v>
      </c>
      <c r="BK12" s="59">
        <f t="shared" si="37"/>
        <v>15</v>
      </c>
      <c r="BL12" s="59">
        <f t="shared" si="37"/>
        <v>15</v>
      </c>
      <c r="BM12" s="59">
        <f t="shared" si="37"/>
        <v>15</v>
      </c>
      <c r="BN12" s="59">
        <f t="shared" si="37"/>
        <v>15</v>
      </c>
      <c r="BO12" s="59">
        <f t="shared" si="37"/>
        <v>15</v>
      </c>
      <c r="BP12" s="59">
        <f t="shared" si="37"/>
        <v>15</v>
      </c>
      <c r="BQ12" s="59">
        <f t="shared" si="37"/>
        <v>15</v>
      </c>
      <c r="BR12" s="59">
        <f t="shared" ref="BR12:EC14" si="38">BQ12</f>
        <v>15</v>
      </c>
      <c r="BS12" s="59">
        <f t="shared" si="38"/>
        <v>15</v>
      </c>
      <c r="BT12" s="59">
        <f t="shared" si="38"/>
        <v>15</v>
      </c>
      <c r="BU12" s="59">
        <f t="shared" si="38"/>
        <v>15</v>
      </c>
      <c r="BV12" s="59">
        <f t="shared" si="38"/>
        <v>15</v>
      </c>
      <c r="BW12" s="59">
        <f t="shared" si="38"/>
        <v>15</v>
      </c>
      <c r="BX12" s="59">
        <f t="shared" si="38"/>
        <v>15</v>
      </c>
      <c r="BY12" s="59">
        <f t="shared" si="38"/>
        <v>15</v>
      </c>
      <c r="BZ12" s="59">
        <f t="shared" si="38"/>
        <v>15</v>
      </c>
      <c r="CA12" s="59">
        <f t="shared" si="38"/>
        <v>15</v>
      </c>
      <c r="CB12" s="59">
        <f t="shared" si="38"/>
        <v>15</v>
      </c>
      <c r="CC12" s="59">
        <f t="shared" si="38"/>
        <v>15</v>
      </c>
      <c r="CD12" s="59">
        <f t="shared" si="38"/>
        <v>15</v>
      </c>
      <c r="CE12" s="59">
        <f t="shared" si="38"/>
        <v>15</v>
      </c>
      <c r="CF12" s="59">
        <f t="shared" si="38"/>
        <v>15</v>
      </c>
      <c r="CG12" s="59">
        <f t="shared" si="38"/>
        <v>15</v>
      </c>
      <c r="CH12" s="59">
        <f t="shared" si="38"/>
        <v>15</v>
      </c>
      <c r="CI12" s="59">
        <f t="shared" si="38"/>
        <v>15</v>
      </c>
      <c r="CJ12" s="59">
        <f t="shared" si="38"/>
        <v>15</v>
      </c>
      <c r="CK12" s="59">
        <f t="shared" si="38"/>
        <v>15</v>
      </c>
      <c r="CL12" s="59">
        <f t="shared" si="38"/>
        <v>15</v>
      </c>
      <c r="CM12" s="59">
        <f t="shared" si="38"/>
        <v>15</v>
      </c>
      <c r="CN12" s="59">
        <f t="shared" si="38"/>
        <v>15</v>
      </c>
      <c r="CO12" s="59">
        <f t="shared" si="38"/>
        <v>15</v>
      </c>
      <c r="CP12" s="59">
        <f t="shared" si="38"/>
        <v>15</v>
      </c>
      <c r="CQ12" s="59">
        <f t="shared" si="38"/>
        <v>15</v>
      </c>
      <c r="CR12" s="59">
        <f t="shared" si="38"/>
        <v>15</v>
      </c>
      <c r="CS12" s="59">
        <f t="shared" si="38"/>
        <v>15</v>
      </c>
      <c r="CT12" s="59">
        <f t="shared" si="38"/>
        <v>15</v>
      </c>
      <c r="CU12" s="59">
        <f t="shared" si="38"/>
        <v>15</v>
      </c>
      <c r="CV12" s="59">
        <f t="shared" si="38"/>
        <v>15</v>
      </c>
      <c r="CW12" s="59">
        <f t="shared" si="38"/>
        <v>15</v>
      </c>
      <c r="CX12" s="59">
        <f t="shared" si="38"/>
        <v>15</v>
      </c>
      <c r="CY12" s="59">
        <f t="shared" si="38"/>
        <v>15</v>
      </c>
      <c r="CZ12" s="59">
        <f t="shared" si="38"/>
        <v>15</v>
      </c>
      <c r="DA12" s="59">
        <f t="shared" si="38"/>
        <v>15</v>
      </c>
      <c r="DB12" s="59">
        <f t="shared" si="38"/>
        <v>15</v>
      </c>
      <c r="DC12" s="59">
        <f t="shared" si="38"/>
        <v>15</v>
      </c>
      <c r="DD12" s="59">
        <f t="shared" si="38"/>
        <v>15</v>
      </c>
      <c r="DE12" s="59">
        <f t="shared" si="38"/>
        <v>15</v>
      </c>
      <c r="DF12" s="59">
        <f t="shared" si="38"/>
        <v>15</v>
      </c>
      <c r="DG12" s="59">
        <f t="shared" si="38"/>
        <v>15</v>
      </c>
      <c r="DH12" s="59">
        <f t="shared" si="38"/>
        <v>15</v>
      </c>
      <c r="DI12" s="59">
        <f t="shared" si="38"/>
        <v>15</v>
      </c>
      <c r="DJ12" s="59">
        <f t="shared" si="38"/>
        <v>15</v>
      </c>
      <c r="DK12" s="59">
        <f t="shared" si="38"/>
        <v>15</v>
      </c>
      <c r="DL12" s="59">
        <f t="shared" si="38"/>
        <v>15</v>
      </c>
      <c r="DM12" s="59">
        <f t="shared" si="38"/>
        <v>15</v>
      </c>
      <c r="DN12" s="59">
        <f t="shared" si="38"/>
        <v>15</v>
      </c>
      <c r="DO12" s="59">
        <f t="shared" si="38"/>
        <v>15</v>
      </c>
      <c r="DP12" s="59">
        <f t="shared" si="38"/>
        <v>15</v>
      </c>
      <c r="DQ12" s="59">
        <f t="shared" si="38"/>
        <v>15</v>
      </c>
      <c r="DR12" s="59">
        <f t="shared" si="38"/>
        <v>15</v>
      </c>
      <c r="DS12" s="59">
        <f t="shared" si="38"/>
        <v>15</v>
      </c>
      <c r="DT12" s="59">
        <f t="shared" si="38"/>
        <v>15</v>
      </c>
      <c r="DU12" s="59">
        <f t="shared" si="38"/>
        <v>15</v>
      </c>
      <c r="DV12" s="59">
        <f t="shared" si="38"/>
        <v>15</v>
      </c>
      <c r="DW12" s="59">
        <f t="shared" si="38"/>
        <v>15</v>
      </c>
      <c r="DX12" s="59">
        <f t="shared" si="38"/>
        <v>15</v>
      </c>
      <c r="DY12" s="59">
        <f t="shared" si="38"/>
        <v>15</v>
      </c>
      <c r="DZ12" s="59">
        <f t="shared" si="38"/>
        <v>15</v>
      </c>
      <c r="EA12" s="59">
        <f t="shared" si="38"/>
        <v>15</v>
      </c>
      <c r="EB12" s="59">
        <f t="shared" si="38"/>
        <v>15</v>
      </c>
      <c r="EC12" s="59">
        <f t="shared" si="38"/>
        <v>15</v>
      </c>
      <c r="ED12" s="59">
        <f t="shared" ref="ED12:GO14" si="39">EC12</f>
        <v>15</v>
      </c>
      <c r="EE12" s="59">
        <f t="shared" si="39"/>
        <v>15</v>
      </c>
      <c r="EF12" s="59">
        <f t="shared" si="39"/>
        <v>15</v>
      </c>
      <c r="EG12" s="59">
        <f t="shared" si="39"/>
        <v>15</v>
      </c>
      <c r="EH12" s="59">
        <f t="shared" si="39"/>
        <v>15</v>
      </c>
      <c r="EI12" s="59">
        <f t="shared" si="39"/>
        <v>15</v>
      </c>
      <c r="EJ12" s="59">
        <f t="shared" si="39"/>
        <v>15</v>
      </c>
      <c r="EK12" s="59">
        <f t="shared" si="39"/>
        <v>15</v>
      </c>
      <c r="EL12" s="59">
        <f t="shared" si="39"/>
        <v>15</v>
      </c>
      <c r="EM12" s="59">
        <f t="shared" si="39"/>
        <v>15</v>
      </c>
      <c r="EN12" s="59">
        <f t="shared" si="39"/>
        <v>15</v>
      </c>
      <c r="EO12" s="59">
        <f t="shared" si="39"/>
        <v>15</v>
      </c>
      <c r="EP12" s="59">
        <f t="shared" si="39"/>
        <v>15</v>
      </c>
      <c r="EQ12" s="59">
        <f t="shared" si="39"/>
        <v>15</v>
      </c>
      <c r="ER12" s="59">
        <f t="shared" si="39"/>
        <v>15</v>
      </c>
      <c r="ES12" s="59">
        <f t="shared" si="39"/>
        <v>15</v>
      </c>
      <c r="ET12" s="59">
        <f t="shared" si="39"/>
        <v>15</v>
      </c>
      <c r="EU12" s="59">
        <f t="shared" si="39"/>
        <v>15</v>
      </c>
      <c r="EV12" s="59">
        <f t="shared" si="39"/>
        <v>15</v>
      </c>
      <c r="EW12" s="59">
        <f t="shared" si="39"/>
        <v>15</v>
      </c>
      <c r="EX12" s="59">
        <f t="shared" si="39"/>
        <v>15</v>
      </c>
      <c r="EY12" s="59">
        <f t="shared" si="39"/>
        <v>15</v>
      </c>
      <c r="EZ12" s="59">
        <f t="shared" si="39"/>
        <v>15</v>
      </c>
      <c r="FA12" s="59">
        <f t="shared" si="39"/>
        <v>15</v>
      </c>
      <c r="FB12" s="59">
        <f t="shared" si="39"/>
        <v>15</v>
      </c>
      <c r="FC12" s="59">
        <f t="shared" si="39"/>
        <v>15</v>
      </c>
      <c r="FD12" s="59">
        <f t="shared" si="39"/>
        <v>15</v>
      </c>
      <c r="FE12" s="59">
        <f t="shared" si="39"/>
        <v>15</v>
      </c>
      <c r="FF12" s="59">
        <f t="shared" si="39"/>
        <v>15</v>
      </c>
      <c r="FG12" s="59">
        <f t="shared" si="39"/>
        <v>15</v>
      </c>
      <c r="FH12" s="59">
        <f t="shared" si="39"/>
        <v>15</v>
      </c>
      <c r="FI12" s="59">
        <f t="shared" si="39"/>
        <v>15</v>
      </c>
      <c r="FJ12" s="59">
        <f t="shared" si="39"/>
        <v>15</v>
      </c>
      <c r="FK12" s="59">
        <f t="shared" si="39"/>
        <v>15</v>
      </c>
      <c r="FL12" s="59">
        <f t="shared" si="39"/>
        <v>15</v>
      </c>
      <c r="FM12" s="59">
        <f t="shared" si="39"/>
        <v>15</v>
      </c>
      <c r="FN12" s="59">
        <f t="shared" si="39"/>
        <v>15</v>
      </c>
      <c r="FO12" s="59">
        <f t="shared" si="39"/>
        <v>15</v>
      </c>
      <c r="FP12" s="59">
        <f t="shared" si="39"/>
        <v>15</v>
      </c>
      <c r="FQ12" s="59">
        <f t="shared" si="39"/>
        <v>15</v>
      </c>
      <c r="FR12" s="59">
        <f t="shared" si="39"/>
        <v>15</v>
      </c>
      <c r="FS12" s="59">
        <f t="shared" si="39"/>
        <v>15</v>
      </c>
      <c r="FT12" s="59">
        <f t="shared" si="39"/>
        <v>15</v>
      </c>
      <c r="FU12" s="59">
        <f t="shared" si="39"/>
        <v>15</v>
      </c>
      <c r="FV12" s="59">
        <f t="shared" si="39"/>
        <v>15</v>
      </c>
      <c r="FW12" s="59">
        <f t="shared" si="39"/>
        <v>15</v>
      </c>
      <c r="FX12" s="59">
        <f t="shared" si="39"/>
        <v>15</v>
      </c>
      <c r="FY12" s="59">
        <f t="shared" si="39"/>
        <v>15</v>
      </c>
      <c r="FZ12" s="59">
        <f t="shared" si="39"/>
        <v>15</v>
      </c>
      <c r="GA12" s="59">
        <f t="shared" si="39"/>
        <v>15</v>
      </c>
      <c r="GB12" s="59">
        <f t="shared" si="39"/>
        <v>15</v>
      </c>
      <c r="GC12" s="59">
        <f t="shared" si="39"/>
        <v>15</v>
      </c>
      <c r="GD12" s="59">
        <f t="shared" si="39"/>
        <v>15</v>
      </c>
      <c r="GE12" s="59">
        <f t="shared" si="39"/>
        <v>15</v>
      </c>
      <c r="GF12" s="59">
        <f t="shared" si="39"/>
        <v>15</v>
      </c>
      <c r="GG12" s="59">
        <f t="shared" si="39"/>
        <v>15</v>
      </c>
      <c r="GH12" s="59">
        <f t="shared" si="39"/>
        <v>15</v>
      </c>
      <c r="GI12" s="59">
        <f t="shared" si="39"/>
        <v>15</v>
      </c>
      <c r="GJ12" s="59">
        <f t="shared" si="39"/>
        <v>15</v>
      </c>
      <c r="GK12" s="59">
        <f t="shared" si="39"/>
        <v>15</v>
      </c>
      <c r="GL12" s="59">
        <f t="shared" si="39"/>
        <v>15</v>
      </c>
      <c r="GM12" s="59">
        <f t="shared" si="39"/>
        <v>15</v>
      </c>
      <c r="GN12" s="59">
        <f t="shared" si="39"/>
        <v>15</v>
      </c>
      <c r="GO12" s="59">
        <f t="shared" si="39"/>
        <v>15</v>
      </c>
      <c r="GP12" s="59">
        <f t="shared" si="36"/>
        <v>15</v>
      </c>
      <c r="GQ12" s="59">
        <f t="shared" si="36"/>
        <v>15</v>
      </c>
      <c r="GR12" s="59">
        <f t="shared" si="36"/>
        <v>15</v>
      </c>
      <c r="GS12" s="59">
        <f t="shared" si="36"/>
        <v>15</v>
      </c>
      <c r="GT12" s="59">
        <f t="shared" si="36"/>
        <v>15</v>
      </c>
    </row>
    <row r="13" spans="1:202" s="67" customFormat="1" ht="11.25" x14ac:dyDescent="0.2">
      <c r="A13" s="67" t="s">
        <v>89</v>
      </c>
      <c r="C13" s="70">
        <v>4</v>
      </c>
      <c r="D13" s="70">
        <v>4</v>
      </c>
      <c r="E13" s="70">
        <v>4</v>
      </c>
      <c r="F13" s="70">
        <f>E13</f>
        <v>4</v>
      </c>
      <c r="G13" s="70">
        <f t="shared" si="37"/>
        <v>4</v>
      </c>
      <c r="H13" s="70">
        <f t="shared" si="37"/>
        <v>4</v>
      </c>
      <c r="I13" s="70">
        <f t="shared" si="37"/>
        <v>4</v>
      </c>
      <c r="J13" s="70">
        <f t="shared" si="37"/>
        <v>4</v>
      </c>
      <c r="K13" s="70">
        <f t="shared" si="37"/>
        <v>4</v>
      </c>
      <c r="L13" s="70">
        <f t="shared" si="37"/>
        <v>4</v>
      </c>
      <c r="M13" s="70">
        <f t="shared" si="37"/>
        <v>4</v>
      </c>
      <c r="N13" s="70">
        <f t="shared" si="37"/>
        <v>4</v>
      </c>
      <c r="O13" s="70">
        <f t="shared" si="37"/>
        <v>4</v>
      </c>
      <c r="P13" s="70">
        <f t="shared" si="37"/>
        <v>4</v>
      </c>
      <c r="Q13" s="70">
        <f t="shared" si="37"/>
        <v>4</v>
      </c>
      <c r="R13" s="70">
        <f t="shared" si="37"/>
        <v>4</v>
      </c>
      <c r="S13" s="70">
        <f t="shared" si="37"/>
        <v>4</v>
      </c>
      <c r="T13" s="70">
        <f t="shared" si="37"/>
        <v>4</v>
      </c>
      <c r="U13" s="70">
        <f t="shared" si="37"/>
        <v>4</v>
      </c>
      <c r="V13" s="70">
        <f t="shared" si="37"/>
        <v>4</v>
      </c>
      <c r="W13" s="70">
        <f t="shared" si="37"/>
        <v>4</v>
      </c>
      <c r="X13" s="70">
        <f t="shared" si="37"/>
        <v>4</v>
      </c>
      <c r="Y13" s="70">
        <f t="shared" si="37"/>
        <v>4</v>
      </c>
      <c r="Z13" s="70">
        <f t="shared" si="37"/>
        <v>4</v>
      </c>
      <c r="AA13" s="70">
        <f t="shared" si="37"/>
        <v>4</v>
      </c>
      <c r="AB13" s="70">
        <f t="shared" si="37"/>
        <v>4</v>
      </c>
      <c r="AC13" s="70">
        <f t="shared" si="37"/>
        <v>4</v>
      </c>
      <c r="AD13" s="70">
        <f t="shared" si="37"/>
        <v>4</v>
      </c>
      <c r="AE13" s="70">
        <f t="shared" si="37"/>
        <v>4</v>
      </c>
      <c r="AF13" s="70">
        <f t="shared" si="37"/>
        <v>4</v>
      </c>
      <c r="AG13" s="70">
        <f t="shared" si="37"/>
        <v>4</v>
      </c>
      <c r="AH13" s="70">
        <f t="shared" si="37"/>
        <v>4</v>
      </c>
      <c r="AI13" s="70">
        <f t="shared" si="37"/>
        <v>4</v>
      </c>
      <c r="AJ13" s="70">
        <f t="shared" si="37"/>
        <v>4</v>
      </c>
      <c r="AK13" s="70">
        <f t="shared" si="37"/>
        <v>4</v>
      </c>
      <c r="AL13" s="70">
        <f t="shared" si="37"/>
        <v>4</v>
      </c>
      <c r="AM13" s="70">
        <f t="shared" si="37"/>
        <v>4</v>
      </c>
      <c r="AN13" s="70">
        <f t="shared" si="37"/>
        <v>4</v>
      </c>
      <c r="AO13" s="70">
        <f t="shared" si="37"/>
        <v>4</v>
      </c>
      <c r="AP13" s="70">
        <f t="shared" si="37"/>
        <v>4</v>
      </c>
      <c r="AQ13" s="70">
        <f t="shared" si="37"/>
        <v>4</v>
      </c>
      <c r="AR13" s="70">
        <f t="shared" si="37"/>
        <v>4</v>
      </c>
      <c r="AS13" s="70">
        <f t="shared" si="37"/>
        <v>4</v>
      </c>
      <c r="AT13" s="70">
        <f t="shared" si="37"/>
        <v>4</v>
      </c>
      <c r="AU13" s="70">
        <f t="shared" si="37"/>
        <v>4</v>
      </c>
      <c r="AV13" s="70">
        <f t="shared" si="37"/>
        <v>4</v>
      </c>
      <c r="AW13" s="70">
        <f t="shared" si="37"/>
        <v>4</v>
      </c>
      <c r="AX13" s="70">
        <f t="shared" si="37"/>
        <v>4</v>
      </c>
      <c r="AY13" s="70">
        <f t="shared" si="37"/>
        <v>4</v>
      </c>
      <c r="AZ13" s="70">
        <f t="shared" si="37"/>
        <v>4</v>
      </c>
      <c r="BA13" s="70">
        <f t="shared" si="37"/>
        <v>4</v>
      </c>
      <c r="BB13" s="70">
        <f t="shared" si="37"/>
        <v>4</v>
      </c>
      <c r="BC13" s="70">
        <f t="shared" si="37"/>
        <v>4</v>
      </c>
      <c r="BD13" s="70">
        <f t="shared" si="37"/>
        <v>4</v>
      </c>
      <c r="BE13" s="70">
        <f t="shared" si="37"/>
        <v>4</v>
      </c>
      <c r="BF13" s="70">
        <f t="shared" si="37"/>
        <v>4</v>
      </c>
      <c r="BG13" s="70">
        <f t="shared" si="37"/>
        <v>4</v>
      </c>
      <c r="BH13" s="70">
        <f t="shared" si="37"/>
        <v>4</v>
      </c>
      <c r="BI13" s="70">
        <f t="shared" si="37"/>
        <v>4</v>
      </c>
      <c r="BJ13" s="70">
        <f t="shared" si="37"/>
        <v>4</v>
      </c>
      <c r="BK13" s="70">
        <f t="shared" si="37"/>
        <v>4</v>
      </c>
      <c r="BL13" s="70">
        <f t="shared" si="37"/>
        <v>4</v>
      </c>
      <c r="BM13" s="70">
        <f t="shared" si="37"/>
        <v>4</v>
      </c>
      <c r="BN13" s="70">
        <f t="shared" si="37"/>
        <v>4</v>
      </c>
      <c r="BO13" s="70">
        <f t="shared" si="37"/>
        <v>4</v>
      </c>
      <c r="BP13" s="70">
        <f t="shared" si="37"/>
        <v>4</v>
      </c>
      <c r="BQ13" s="70">
        <f t="shared" si="37"/>
        <v>4</v>
      </c>
      <c r="BR13" s="70">
        <f t="shared" si="38"/>
        <v>4</v>
      </c>
      <c r="BS13" s="70">
        <f t="shared" si="38"/>
        <v>4</v>
      </c>
      <c r="BT13" s="70">
        <f t="shared" si="38"/>
        <v>4</v>
      </c>
      <c r="BU13" s="70">
        <f t="shared" si="38"/>
        <v>4</v>
      </c>
      <c r="BV13" s="70">
        <f t="shared" si="38"/>
        <v>4</v>
      </c>
      <c r="BW13" s="70">
        <f t="shared" si="38"/>
        <v>4</v>
      </c>
      <c r="BX13" s="70">
        <f t="shared" si="38"/>
        <v>4</v>
      </c>
      <c r="BY13" s="70">
        <f t="shared" si="38"/>
        <v>4</v>
      </c>
      <c r="BZ13" s="70">
        <f t="shared" si="38"/>
        <v>4</v>
      </c>
      <c r="CA13" s="70">
        <f t="shared" si="38"/>
        <v>4</v>
      </c>
      <c r="CB13" s="70">
        <f t="shared" si="38"/>
        <v>4</v>
      </c>
      <c r="CC13" s="70">
        <f t="shared" si="38"/>
        <v>4</v>
      </c>
      <c r="CD13" s="70">
        <f t="shared" si="38"/>
        <v>4</v>
      </c>
      <c r="CE13" s="70">
        <f t="shared" si="38"/>
        <v>4</v>
      </c>
      <c r="CF13" s="70">
        <f t="shared" si="38"/>
        <v>4</v>
      </c>
      <c r="CG13" s="70">
        <f t="shared" si="38"/>
        <v>4</v>
      </c>
      <c r="CH13" s="70">
        <f t="shared" si="38"/>
        <v>4</v>
      </c>
      <c r="CI13" s="70">
        <f t="shared" si="38"/>
        <v>4</v>
      </c>
      <c r="CJ13" s="70">
        <f t="shared" si="38"/>
        <v>4</v>
      </c>
      <c r="CK13" s="70">
        <f t="shared" si="38"/>
        <v>4</v>
      </c>
      <c r="CL13" s="70">
        <f t="shared" si="38"/>
        <v>4</v>
      </c>
      <c r="CM13" s="70">
        <f t="shared" si="38"/>
        <v>4</v>
      </c>
      <c r="CN13" s="70">
        <f t="shared" si="38"/>
        <v>4</v>
      </c>
      <c r="CO13" s="70">
        <f t="shared" si="38"/>
        <v>4</v>
      </c>
      <c r="CP13" s="70">
        <f t="shared" si="38"/>
        <v>4</v>
      </c>
      <c r="CQ13" s="70">
        <f t="shared" si="38"/>
        <v>4</v>
      </c>
      <c r="CR13" s="70">
        <f t="shared" si="38"/>
        <v>4</v>
      </c>
      <c r="CS13" s="70">
        <f t="shared" si="38"/>
        <v>4</v>
      </c>
      <c r="CT13" s="70">
        <f t="shared" si="38"/>
        <v>4</v>
      </c>
      <c r="CU13" s="70">
        <f t="shared" si="38"/>
        <v>4</v>
      </c>
      <c r="CV13" s="70">
        <f t="shared" si="38"/>
        <v>4</v>
      </c>
      <c r="CW13" s="70">
        <f t="shared" si="38"/>
        <v>4</v>
      </c>
      <c r="CX13" s="70">
        <f t="shared" si="38"/>
        <v>4</v>
      </c>
      <c r="CY13" s="70">
        <f t="shared" si="38"/>
        <v>4</v>
      </c>
      <c r="CZ13" s="70">
        <f t="shared" si="38"/>
        <v>4</v>
      </c>
      <c r="DA13" s="70">
        <f t="shared" si="38"/>
        <v>4</v>
      </c>
      <c r="DB13" s="70">
        <f t="shared" si="38"/>
        <v>4</v>
      </c>
      <c r="DC13" s="70">
        <f t="shared" si="38"/>
        <v>4</v>
      </c>
      <c r="DD13" s="70">
        <f t="shared" si="38"/>
        <v>4</v>
      </c>
      <c r="DE13" s="70">
        <f t="shared" si="38"/>
        <v>4</v>
      </c>
      <c r="DF13" s="70">
        <f t="shared" si="38"/>
        <v>4</v>
      </c>
      <c r="DG13" s="70">
        <f t="shared" si="38"/>
        <v>4</v>
      </c>
      <c r="DH13" s="70">
        <f t="shared" si="38"/>
        <v>4</v>
      </c>
      <c r="DI13" s="70">
        <f t="shared" si="38"/>
        <v>4</v>
      </c>
      <c r="DJ13" s="70">
        <f t="shared" si="38"/>
        <v>4</v>
      </c>
      <c r="DK13" s="70">
        <f t="shared" si="38"/>
        <v>4</v>
      </c>
      <c r="DL13" s="70">
        <f t="shared" si="38"/>
        <v>4</v>
      </c>
      <c r="DM13" s="70">
        <f t="shared" si="38"/>
        <v>4</v>
      </c>
      <c r="DN13" s="70">
        <f t="shared" si="38"/>
        <v>4</v>
      </c>
      <c r="DO13" s="70">
        <f t="shared" si="38"/>
        <v>4</v>
      </c>
      <c r="DP13" s="70">
        <f t="shared" si="38"/>
        <v>4</v>
      </c>
      <c r="DQ13" s="70">
        <f t="shared" si="38"/>
        <v>4</v>
      </c>
      <c r="DR13" s="70">
        <f t="shared" si="38"/>
        <v>4</v>
      </c>
      <c r="DS13" s="70">
        <f t="shared" si="38"/>
        <v>4</v>
      </c>
      <c r="DT13" s="70">
        <f t="shared" si="38"/>
        <v>4</v>
      </c>
      <c r="DU13" s="70">
        <f t="shared" si="38"/>
        <v>4</v>
      </c>
      <c r="DV13" s="70">
        <f t="shared" si="38"/>
        <v>4</v>
      </c>
      <c r="DW13" s="70">
        <f t="shared" si="38"/>
        <v>4</v>
      </c>
      <c r="DX13" s="70">
        <f t="shared" si="38"/>
        <v>4</v>
      </c>
      <c r="DY13" s="70">
        <f t="shared" si="38"/>
        <v>4</v>
      </c>
      <c r="DZ13" s="70">
        <f t="shared" si="38"/>
        <v>4</v>
      </c>
      <c r="EA13" s="70">
        <f t="shared" si="38"/>
        <v>4</v>
      </c>
      <c r="EB13" s="70">
        <f t="shared" si="38"/>
        <v>4</v>
      </c>
      <c r="EC13" s="70">
        <f t="shared" si="38"/>
        <v>4</v>
      </c>
      <c r="ED13" s="70">
        <f t="shared" si="39"/>
        <v>4</v>
      </c>
      <c r="EE13" s="70">
        <f t="shared" si="39"/>
        <v>4</v>
      </c>
      <c r="EF13" s="70">
        <f t="shared" si="39"/>
        <v>4</v>
      </c>
      <c r="EG13" s="70">
        <f t="shared" si="39"/>
        <v>4</v>
      </c>
      <c r="EH13" s="70">
        <f t="shared" si="39"/>
        <v>4</v>
      </c>
      <c r="EI13" s="70">
        <f t="shared" si="39"/>
        <v>4</v>
      </c>
      <c r="EJ13" s="70">
        <f t="shared" si="39"/>
        <v>4</v>
      </c>
      <c r="EK13" s="70">
        <f t="shared" si="39"/>
        <v>4</v>
      </c>
      <c r="EL13" s="70">
        <f t="shared" si="39"/>
        <v>4</v>
      </c>
      <c r="EM13" s="70">
        <f t="shared" si="39"/>
        <v>4</v>
      </c>
      <c r="EN13" s="70">
        <f t="shared" si="39"/>
        <v>4</v>
      </c>
      <c r="EO13" s="70">
        <f t="shared" si="39"/>
        <v>4</v>
      </c>
      <c r="EP13" s="70">
        <f t="shared" si="39"/>
        <v>4</v>
      </c>
      <c r="EQ13" s="70">
        <f t="shared" si="39"/>
        <v>4</v>
      </c>
      <c r="ER13" s="70">
        <f t="shared" si="39"/>
        <v>4</v>
      </c>
      <c r="ES13" s="70">
        <f t="shared" si="39"/>
        <v>4</v>
      </c>
      <c r="ET13" s="70">
        <f t="shared" si="39"/>
        <v>4</v>
      </c>
      <c r="EU13" s="70">
        <f t="shared" si="39"/>
        <v>4</v>
      </c>
      <c r="EV13" s="70">
        <f t="shared" si="39"/>
        <v>4</v>
      </c>
      <c r="EW13" s="70">
        <f t="shared" si="39"/>
        <v>4</v>
      </c>
      <c r="EX13" s="70">
        <f t="shared" si="39"/>
        <v>4</v>
      </c>
      <c r="EY13" s="70">
        <f t="shared" si="39"/>
        <v>4</v>
      </c>
      <c r="EZ13" s="70">
        <f t="shared" si="39"/>
        <v>4</v>
      </c>
      <c r="FA13" s="70">
        <f t="shared" si="39"/>
        <v>4</v>
      </c>
      <c r="FB13" s="70">
        <f t="shared" si="39"/>
        <v>4</v>
      </c>
      <c r="FC13" s="70">
        <f t="shared" si="39"/>
        <v>4</v>
      </c>
      <c r="FD13" s="70">
        <f t="shared" si="39"/>
        <v>4</v>
      </c>
      <c r="FE13" s="70">
        <f t="shared" si="39"/>
        <v>4</v>
      </c>
      <c r="FF13" s="70">
        <f t="shared" si="39"/>
        <v>4</v>
      </c>
      <c r="FG13" s="70">
        <f t="shared" si="39"/>
        <v>4</v>
      </c>
      <c r="FH13" s="70">
        <f t="shared" si="39"/>
        <v>4</v>
      </c>
      <c r="FI13" s="70">
        <f t="shared" si="39"/>
        <v>4</v>
      </c>
      <c r="FJ13" s="70">
        <f t="shared" si="39"/>
        <v>4</v>
      </c>
      <c r="FK13" s="70">
        <f t="shared" si="39"/>
        <v>4</v>
      </c>
      <c r="FL13" s="70">
        <f t="shared" si="39"/>
        <v>4</v>
      </c>
      <c r="FM13" s="70">
        <f t="shared" si="39"/>
        <v>4</v>
      </c>
      <c r="FN13" s="70">
        <f t="shared" si="39"/>
        <v>4</v>
      </c>
      <c r="FO13" s="70">
        <f t="shared" si="39"/>
        <v>4</v>
      </c>
      <c r="FP13" s="70">
        <f t="shared" si="39"/>
        <v>4</v>
      </c>
      <c r="FQ13" s="70">
        <f t="shared" si="39"/>
        <v>4</v>
      </c>
      <c r="FR13" s="70">
        <f t="shared" si="39"/>
        <v>4</v>
      </c>
      <c r="FS13" s="70">
        <f t="shared" si="39"/>
        <v>4</v>
      </c>
      <c r="FT13" s="70">
        <f t="shared" si="39"/>
        <v>4</v>
      </c>
      <c r="FU13" s="70">
        <f t="shared" si="39"/>
        <v>4</v>
      </c>
      <c r="FV13" s="70">
        <f t="shared" si="39"/>
        <v>4</v>
      </c>
      <c r="FW13" s="70">
        <f t="shared" si="39"/>
        <v>4</v>
      </c>
      <c r="FX13" s="70">
        <f t="shared" si="39"/>
        <v>4</v>
      </c>
      <c r="FY13" s="70">
        <f t="shared" si="39"/>
        <v>4</v>
      </c>
      <c r="FZ13" s="70">
        <f t="shared" si="39"/>
        <v>4</v>
      </c>
      <c r="GA13" s="70">
        <f t="shared" si="39"/>
        <v>4</v>
      </c>
      <c r="GB13" s="70">
        <f t="shared" si="39"/>
        <v>4</v>
      </c>
      <c r="GC13" s="70">
        <f t="shared" si="39"/>
        <v>4</v>
      </c>
      <c r="GD13" s="70">
        <f t="shared" si="39"/>
        <v>4</v>
      </c>
      <c r="GE13" s="70">
        <f t="shared" si="39"/>
        <v>4</v>
      </c>
      <c r="GF13" s="70">
        <f t="shared" si="39"/>
        <v>4</v>
      </c>
      <c r="GG13" s="70">
        <f t="shared" si="39"/>
        <v>4</v>
      </c>
      <c r="GH13" s="70">
        <f t="shared" si="39"/>
        <v>4</v>
      </c>
      <c r="GI13" s="70">
        <f t="shared" si="39"/>
        <v>4</v>
      </c>
      <c r="GJ13" s="70">
        <f t="shared" si="39"/>
        <v>4</v>
      </c>
      <c r="GK13" s="70">
        <f t="shared" si="39"/>
        <v>4</v>
      </c>
      <c r="GL13" s="70">
        <f t="shared" si="39"/>
        <v>4</v>
      </c>
      <c r="GM13" s="70">
        <f t="shared" si="39"/>
        <v>4</v>
      </c>
      <c r="GN13" s="70">
        <f t="shared" si="39"/>
        <v>4</v>
      </c>
      <c r="GO13" s="70">
        <f t="shared" si="39"/>
        <v>4</v>
      </c>
      <c r="GP13" s="70">
        <f t="shared" si="36"/>
        <v>4</v>
      </c>
      <c r="GQ13" s="70">
        <f t="shared" si="36"/>
        <v>4</v>
      </c>
      <c r="GR13" s="70">
        <f t="shared" si="36"/>
        <v>4</v>
      </c>
      <c r="GS13" s="70">
        <f t="shared" si="36"/>
        <v>4</v>
      </c>
      <c r="GT13" s="70">
        <f t="shared" si="36"/>
        <v>4</v>
      </c>
    </row>
    <row r="14" spans="1:202" s="71" customFormat="1" x14ac:dyDescent="0.25">
      <c r="A14" s="71" t="s">
        <v>95</v>
      </c>
      <c r="C14" s="72">
        <f t="shared" ref="C14:D14" si="40">C11*C12*C13</f>
        <v>0</v>
      </c>
      <c r="D14" s="72">
        <f t="shared" si="40"/>
        <v>0</v>
      </c>
      <c r="E14" s="72">
        <f>E11*E12*E13</f>
        <v>1500</v>
      </c>
      <c r="F14" s="72">
        <f t="shared" ref="F14:AO14" si="41">F11*F12*F13</f>
        <v>600</v>
      </c>
      <c r="G14" s="72">
        <f t="shared" si="41"/>
        <v>1200</v>
      </c>
      <c r="H14" s="72">
        <f t="shared" si="41"/>
        <v>1200</v>
      </c>
      <c r="I14" s="72">
        <f t="shared" si="41"/>
        <v>1200</v>
      </c>
      <c r="J14" s="72">
        <f t="shared" si="41"/>
        <v>600</v>
      </c>
      <c r="K14" s="72">
        <f t="shared" si="41"/>
        <v>1200</v>
      </c>
      <c r="L14" s="72">
        <f t="shared" si="41"/>
        <v>800</v>
      </c>
      <c r="M14" s="72">
        <f t="shared" si="41"/>
        <v>1200</v>
      </c>
      <c r="N14" s="72">
        <f t="shared" si="41"/>
        <v>0</v>
      </c>
      <c r="O14" s="72">
        <f t="shared" si="41"/>
        <v>1320</v>
      </c>
      <c r="P14" s="72">
        <f t="shared" si="41"/>
        <v>1320</v>
      </c>
      <c r="Q14" s="72">
        <f t="shared" si="41"/>
        <v>1320</v>
      </c>
      <c r="R14" s="72">
        <f t="shared" si="41"/>
        <v>1320</v>
      </c>
      <c r="S14" s="72">
        <f t="shared" si="41"/>
        <v>0</v>
      </c>
      <c r="T14" s="72">
        <f t="shared" si="41"/>
        <v>0</v>
      </c>
      <c r="U14" s="72">
        <f t="shared" si="41"/>
        <v>0</v>
      </c>
      <c r="V14" s="72">
        <f t="shared" si="41"/>
        <v>0</v>
      </c>
      <c r="W14" s="72">
        <f t="shared" si="41"/>
        <v>1320</v>
      </c>
      <c r="X14" s="72">
        <f t="shared" si="41"/>
        <v>1320</v>
      </c>
      <c r="Y14" s="72">
        <f t="shared" si="41"/>
        <v>1320</v>
      </c>
      <c r="Z14" s="72">
        <f t="shared" si="41"/>
        <v>1320</v>
      </c>
      <c r="AA14" s="72">
        <f t="shared" si="41"/>
        <v>1320</v>
      </c>
      <c r="AB14" s="72">
        <f t="shared" si="41"/>
        <v>1320</v>
      </c>
      <c r="AC14" s="72">
        <f t="shared" si="41"/>
        <v>1320</v>
      </c>
      <c r="AD14" s="72">
        <f t="shared" si="41"/>
        <v>1320</v>
      </c>
      <c r="AE14" s="72">
        <f t="shared" si="41"/>
        <v>1320</v>
      </c>
      <c r="AF14" s="72">
        <f t="shared" si="41"/>
        <v>1320</v>
      </c>
      <c r="AG14" s="72">
        <f t="shared" si="41"/>
        <v>1320</v>
      </c>
      <c r="AH14" s="72">
        <f t="shared" si="41"/>
        <v>1320</v>
      </c>
      <c r="AI14" s="72">
        <f t="shared" si="41"/>
        <v>1200</v>
      </c>
      <c r="AJ14" s="72">
        <f t="shared" si="41"/>
        <v>1200</v>
      </c>
      <c r="AK14" s="72">
        <f t="shared" si="41"/>
        <v>1200</v>
      </c>
      <c r="AL14" s="72">
        <f t="shared" si="41"/>
        <v>1200</v>
      </c>
      <c r="AM14" s="72">
        <f t="shared" si="41"/>
        <v>1200</v>
      </c>
      <c r="AN14" s="72">
        <f t="shared" si="41"/>
        <v>1200</v>
      </c>
      <c r="AO14" s="72">
        <f t="shared" si="41"/>
        <v>1200</v>
      </c>
      <c r="AP14" s="298">
        <f>41000/12</f>
        <v>3416.6666666666665</v>
      </c>
      <c r="AQ14" s="72">
        <f>AP14</f>
        <v>3416.6666666666665</v>
      </c>
      <c r="AR14" s="72">
        <f t="shared" si="37"/>
        <v>3416.6666666666665</v>
      </c>
      <c r="AS14" s="72">
        <f t="shared" si="37"/>
        <v>3416.6666666666665</v>
      </c>
      <c r="AT14" s="72">
        <f t="shared" si="37"/>
        <v>3416.6666666666665</v>
      </c>
      <c r="AU14" s="72">
        <f t="shared" si="37"/>
        <v>3416.6666666666665</v>
      </c>
      <c r="AV14" s="72">
        <f t="shared" si="37"/>
        <v>3416.6666666666665</v>
      </c>
      <c r="AW14" s="72">
        <f t="shared" si="37"/>
        <v>3416.6666666666665</v>
      </c>
      <c r="AX14" s="72">
        <f t="shared" si="37"/>
        <v>3416.6666666666665</v>
      </c>
      <c r="AY14" s="72">
        <f t="shared" si="37"/>
        <v>3416.6666666666665</v>
      </c>
      <c r="AZ14" s="72">
        <f t="shared" si="37"/>
        <v>3416.6666666666665</v>
      </c>
      <c r="BA14" s="72">
        <f t="shared" si="37"/>
        <v>3416.6666666666665</v>
      </c>
      <c r="BB14" s="72">
        <f t="shared" si="37"/>
        <v>3416.6666666666665</v>
      </c>
      <c r="BC14" s="72">
        <f t="shared" si="37"/>
        <v>3416.6666666666665</v>
      </c>
      <c r="BD14" s="72">
        <f t="shared" si="37"/>
        <v>3416.6666666666665</v>
      </c>
      <c r="BE14" s="72">
        <f t="shared" si="37"/>
        <v>3416.6666666666665</v>
      </c>
      <c r="BF14" s="72">
        <f t="shared" si="37"/>
        <v>3416.6666666666665</v>
      </c>
      <c r="BG14" s="72">
        <f t="shared" si="37"/>
        <v>3416.6666666666665</v>
      </c>
      <c r="BH14" s="72">
        <f t="shared" si="37"/>
        <v>3416.6666666666665</v>
      </c>
      <c r="BI14" s="72">
        <f t="shared" si="37"/>
        <v>3416.6666666666665</v>
      </c>
      <c r="BJ14" s="72">
        <f t="shared" si="37"/>
        <v>3416.6666666666665</v>
      </c>
      <c r="BK14" s="72">
        <f t="shared" si="37"/>
        <v>3416.6666666666665</v>
      </c>
      <c r="BL14" s="72">
        <f t="shared" si="37"/>
        <v>3416.6666666666665</v>
      </c>
      <c r="BM14" s="72">
        <f t="shared" si="37"/>
        <v>3416.6666666666665</v>
      </c>
      <c r="BN14" s="72">
        <f t="shared" si="37"/>
        <v>3416.6666666666665</v>
      </c>
      <c r="BO14" s="72">
        <f t="shared" si="37"/>
        <v>3416.6666666666665</v>
      </c>
      <c r="BP14" s="72">
        <f t="shared" si="37"/>
        <v>3416.6666666666665</v>
      </c>
      <c r="BQ14" s="72">
        <f t="shared" si="37"/>
        <v>3416.6666666666665</v>
      </c>
      <c r="BR14" s="72">
        <f t="shared" si="38"/>
        <v>3416.6666666666665</v>
      </c>
      <c r="BS14" s="72">
        <f t="shared" si="38"/>
        <v>3416.6666666666665</v>
      </c>
      <c r="BT14" s="72">
        <f t="shared" si="38"/>
        <v>3416.6666666666665</v>
      </c>
      <c r="BU14" s="72">
        <f t="shared" si="38"/>
        <v>3416.6666666666665</v>
      </c>
      <c r="BV14" s="72">
        <f t="shared" si="38"/>
        <v>3416.6666666666665</v>
      </c>
      <c r="BW14" s="72">
        <f t="shared" si="38"/>
        <v>3416.6666666666665</v>
      </c>
      <c r="BX14" s="72">
        <f t="shared" si="38"/>
        <v>3416.6666666666665</v>
      </c>
      <c r="BY14" s="72">
        <f t="shared" si="38"/>
        <v>3416.6666666666665</v>
      </c>
      <c r="BZ14" s="72">
        <f t="shared" si="38"/>
        <v>3416.6666666666665</v>
      </c>
      <c r="CA14" s="72">
        <f t="shared" si="38"/>
        <v>3416.6666666666665</v>
      </c>
      <c r="CB14" s="72">
        <f t="shared" si="38"/>
        <v>3416.6666666666665</v>
      </c>
      <c r="CC14" s="72">
        <f t="shared" si="38"/>
        <v>3416.6666666666665</v>
      </c>
      <c r="CD14" s="72">
        <f t="shared" si="38"/>
        <v>3416.6666666666665</v>
      </c>
      <c r="CE14" s="72">
        <f t="shared" si="38"/>
        <v>3416.6666666666665</v>
      </c>
      <c r="CF14" s="72">
        <f t="shared" si="38"/>
        <v>3416.6666666666665</v>
      </c>
      <c r="CG14" s="72">
        <f t="shared" si="38"/>
        <v>3416.6666666666665</v>
      </c>
      <c r="CH14" s="72">
        <f t="shared" si="38"/>
        <v>3416.6666666666665</v>
      </c>
      <c r="CI14" s="72">
        <f t="shared" si="38"/>
        <v>3416.6666666666665</v>
      </c>
      <c r="CJ14" s="72">
        <f t="shared" si="38"/>
        <v>3416.6666666666665</v>
      </c>
      <c r="CK14" s="72">
        <f t="shared" si="38"/>
        <v>3416.6666666666665</v>
      </c>
      <c r="CL14" s="72">
        <f t="shared" si="38"/>
        <v>3416.6666666666665</v>
      </c>
      <c r="CM14" s="72">
        <f t="shared" si="38"/>
        <v>3416.6666666666665</v>
      </c>
      <c r="CN14" s="72">
        <f t="shared" si="38"/>
        <v>3416.6666666666665</v>
      </c>
      <c r="CO14" s="72">
        <f t="shared" si="38"/>
        <v>3416.6666666666665</v>
      </c>
      <c r="CP14" s="72">
        <f t="shared" si="38"/>
        <v>3416.6666666666665</v>
      </c>
      <c r="CQ14" s="72">
        <f t="shared" si="38"/>
        <v>3416.6666666666665</v>
      </c>
      <c r="CR14" s="72">
        <f t="shared" si="38"/>
        <v>3416.6666666666665</v>
      </c>
      <c r="CS14" s="72">
        <f t="shared" si="38"/>
        <v>3416.6666666666665</v>
      </c>
      <c r="CT14" s="72">
        <f t="shared" si="38"/>
        <v>3416.6666666666665</v>
      </c>
      <c r="CU14" s="72">
        <f t="shared" si="38"/>
        <v>3416.6666666666665</v>
      </c>
      <c r="CV14" s="72">
        <f t="shared" si="38"/>
        <v>3416.6666666666665</v>
      </c>
      <c r="CW14" s="72">
        <f t="shared" si="38"/>
        <v>3416.6666666666665</v>
      </c>
      <c r="CX14" s="72">
        <f t="shared" si="38"/>
        <v>3416.6666666666665</v>
      </c>
      <c r="CY14" s="72">
        <f t="shared" si="38"/>
        <v>3416.6666666666665</v>
      </c>
      <c r="CZ14" s="72">
        <f t="shared" si="38"/>
        <v>3416.6666666666665</v>
      </c>
      <c r="DA14" s="72">
        <f t="shared" si="38"/>
        <v>3416.6666666666665</v>
      </c>
      <c r="DB14" s="72">
        <f t="shared" si="38"/>
        <v>3416.6666666666665</v>
      </c>
      <c r="DC14" s="72">
        <f t="shared" si="38"/>
        <v>3416.6666666666665</v>
      </c>
      <c r="DD14" s="72">
        <f t="shared" si="38"/>
        <v>3416.6666666666665</v>
      </c>
      <c r="DE14" s="72">
        <f t="shared" si="38"/>
        <v>3416.6666666666665</v>
      </c>
      <c r="DF14" s="72">
        <f t="shared" si="38"/>
        <v>3416.6666666666665</v>
      </c>
      <c r="DG14" s="72">
        <f t="shared" si="38"/>
        <v>3416.6666666666665</v>
      </c>
      <c r="DH14" s="72">
        <f t="shared" si="38"/>
        <v>3416.6666666666665</v>
      </c>
      <c r="DI14" s="72">
        <f t="shared" si="38"/>
        <v>3416.6666666666665</v>
      </c>
      <c r="DJ14" s="72">
        <f t="shared" si="38"/>
        <v>3416.6666666666665</v>
      </c>
      <c r="DK14" s="72">
        <f t="shared" si="38"/>
        <v>3416.6666666666665</v>
      </c>
      <c r="DL14" s="72">
        <f t="shared" si="38"/>
        <v>3416.6666666666665</v>
      </c>
      <c r="DM14" s="72">
        <f t="shared" si="38"/>
        <v>3416.6666666666665</v>
      </c>
      <c r="DN14" s="72">
        <f t="shared" si="38"/>
        <v>3416.6666666666665</v>
      </c>
      <c r="DO14" s="72">
        <f t="shared" si="38"/>
        <v>3416.6666666666665</v>
      </c>
      <c r="DP14" s="72">
        <f t="shared" si="38"/>
        <v>3416.6666666666665</v>
      </c>
      <c r="DQ14" s="72">
        <f t="shared" si="38"/>
        <v>3416.6666666666665</v>
      </c>
      <c r="DR14" s="72">
        <f t="shared" si="38"/>
        <v>3416.6666666666665</v>
      </c>
      <c r="DS14" s="72">
        <f t="shared" si="38"/>
        <v>3416.6666666666665</v>
      </c>
      <c r="DT14" s="72">
        <f t="shared" si="38"/>
        <v>3416.6666666666665</v>
      </c>
      <c r="DU14" s="72">
        <f t="shared" si="38"/>
        <v>3416.6666666666665</v>
      </c>
      <c r="DV14" s="72">
        <f t="shared" si="38"/>
        <v>3416.6666666666665</v>
      </c>
      <c r="DW14" s="72">
        <f t="shared" si="38"/>
        <v>3416.6666666666665</v>
      </c>
      <c r="DX14" s="72">
        <f t="shared" si="38"/>
        <v>3416.6666666666665</v>
      </c>
      <c r="DY14" s="72">
        <f t="shared" si="38"/>
        <v>3416.6666666666665</v>
      </c>
      <c r="DZ14" s="72">
        <f t="shared" si="38"/>
        <v>3416.6666666666665</v>
      </c>
      <c r="EA14" s="72">
        <f t="shared" si="38"/>
        <v>3416.6666666666665</v>
      </c>
      <c r="EB14" s="72">
        <f t="shared" si="38"/>
        <v>3416.6666666666665</v>
      </c>
      <c r="EC14" s="72">
        <f t="shared" si="38"/>
        <v>3416.6666666666665</v>
      </c>
      <c r="ED14" s="72">
        <f t="shared" si="39"/>
        <v>3416.6666666666665</v>
      </c>
      <c r="EE14" s="72">
        <f t="shared" si="39"/>
        <v>3416.6666666666665</v>
      </c>
      <c r="EF14" s="72">
        <f t="shared" si="39"/>
        <v>3416.6666666666665</v>
      </c>
      <c r="EG14" s="72">
        <f t="shared" si="39"/>
        <v>3416.6666666666665</v>
      </c>
      <c r="EH14" s="72">
        <f t="shared" si="39"/>
        <v>3416.6666666666665</v>
      </c>
      <c r="EI14" s="72">
        <f t="shared" si="39"/>
        <v>3416.6666666666665</v>
      </c>
      <c r="EJ14" s="72">
        <f t="shared" si="39"/>
        <v>3416.6666666666665</v>
      </c>
      <c r="EK14" s="72">
        <f t="shared" si="39"/>
        <v>3416.6666666666665</v>
      </c>
      <c r="EL14" s="72">
        <f t="shared" si="39"/>
        <v>3416.6666666666665</v>
      </c>
      <c r="EM14" s="72">
        <f t="shared" si="39"/>
        <v>3416.6666666666665</v>
      </c>
      <c r="EN14" s="72">
        <f t="shared" si="39"/>
        <v>3416.6666666666665</v>
      </c>
      <c r="EO14" s="72">
        <f t="shared" si="39"/>
        <v>3416.6666666666665</v>
      </c>
      <c r="EP14" s="72">
        <f t="shared" si="39"/>
        <v>3416.6666666666665</v>
      </c>
      <c r="EQ14" s="72">
        <f t="shared" si="39"/>
        <v>3416.6666666666665</v>
      </c>
      <c r="ER14" s="72">
        <f t="shared" si="39"/>
        <v>3416.6666666666665</v>
      </c>
      <c r="ES14" s="72">
        <f t="shared" si="39"/>
        <v>3416.6666666666665</v>
      </c>
      <c r="ET14" s="72">
        <f t="shared" si="39"/>
        <v>3416.6666666666665</v>
      </c>
      <c r="EU14" s="72">
        <f t="shared" si="39"/>
        <v>3416.6666666666665</v>
      </c>
      <c r="EV14" s="72">
        <f t="shared" si="39"/>
        <v>3416.6666666666665</v>
      </c>
      <c r="EW14" s="72">
        <f t="shared" si="39"/>
        <v>3416.6666666666665</v>
      </c>
      <c r="EX14" s="72">
        <f t="shared" si="39"/>
        <v>3416.6666666666665</v>
      </c>
      <c r="EY14" s="72">
        <f t="shared" si="39"/>
        <v>3416.6666666666665</v>
      </c>
      <c r="EZ14" s="72">
        <f t="shared" si="39"/>
        <v>3416.6666666666665</v>
      </c>
      <c r="FA14" s="72">
        <f t="shared" si="39"/>
        <v>3416.6666666666665</v>
      </c>
      <c r="FB14" s="72">
        <f t="shared" si="39"/>
        <v>3416.6666666666665</v>
      </c>
      <c r="FC14" s="72">
        <f t="shared" si="39"/>
        <v>3416.6666666666665</v>
      </c>
      <c r="FD14" s="72">
        <f t="shared" si="39"/>
        <v>3416.6666666666665</v>
      </c>
      <c r="FE14" s="72">
        <f t="shared" si="39"/>
        <v>3416.6666666666665</v>
      </c>
      <c r="FF14" s="72">
        <f t="shared" si="39"/>
        <v>3416.6666666666665</v>
      </c>
      <c r="FG14" s="72">
        <f t="shared" si="39"/>
        <v>3416.6666666666665</v>
      </c>
      <c r="FH14" s="72">
        <f t="shared" si="39"/>
        <v>3416.6666666666665</v>
      </c>
      <c r="FI14" s="72">
        <f t="shared" si="39"/>
        <v>3416.6666666666665</v>
      </c>
      <c r="FJ14" s="72">
        <f t="shared" si="39"/>
        <v>3416.6666666666665</v>
      </c>
      <c r="FK14" s="72">
        <f t="shared" si="39"/>
        <v>3416.6666666666665</v>
      </c>
      <c r="FL14" s="72">
        <f t="shared" si="39"/>
        <v>3416.6666666666665</v>
      </c>
      <c r="FM14" s="72">
        <f t="shared" si="39"/>
        <v>3416.6666666666665</v>
      </c>
      <c r="FN14" s="72">
        <f t="shared" si="39"/>
        <v>3416.6666666666665</v>
      </c>
      <c r="FO14" s="72">
        <f t="shared" si="39"/>
        <v>3416.6666666666665</v>
      </c>
      <c r="FP14" s="72">
        <f t="shared" si="39"/>
        <v>3416.6666666666665</v>
      </c>
      <c r="FQ14" s="72">
        <f t="shared" si="39"/>
        <v>3416.6666666666665</v>
      </c>
      <c r="FR14" s="72">
        <f t="shared" si="39"/>
        <v>3416.6666666666665</v>
      </c>
      <c r="FS14" s="72">
        <f t="shared" si="39"/>
        <v>3416.6666666666665</v>
      </c>
      <c r="FT14" s="72">
        <f t="shared" si="39"/>
        <v>3416.6666666666665</v>
      </c>
      <c r="FU14" s="72">
        <f t="shared" si="39"/>
        <v>3416.6666666666665</v>
      </c>
      <c r="FV14" s="72">
        <f t="shared" si="39"/>
        <v>3416.6666666666665</v>
      </c>
      <c r="FW14" s="72">
        <f t="shared" si="39"/>
        <v>3416.6666666666665</v>
      </c>
      <c r="FX14" s="72">
        <f t="shared" si="39"/>
        <v>3416.6666666666665</v>
      </c>
      <c r="FY14" s="72">
        <f t="shared" si="39"/>
        <v>3416.6666666666665</v>
      </c>
      <c r="FZ14" s="72">
        <f t="shared" si="39"/>
        <v>3416.6666666666665</v>
      </c>
      <c r="GA14" s="72">
        <f t="shared" si="39"/>
        <v>3416.6666666666665</v>
      </c>
      <c r="GB14" s="72">
        <f t="shared" si="39"/>
        <v>3416.6666666666665</v>
      </c>
      <c r="GC14" s="72">
        <f t="shared" si="39"/>
        <v>3416.6666666666665</v>
      </c>
      <c r="GD14" s="72">
        <f t="shared" si="39"/>
        <v>3416.6666666666665</v>
      </c>
      <c r="GE14" s="72">
        <f t="shared" si="39"/>
        <v>3416.6666666666665</v>
      </c>
      <c r="GF14" s="72">
        <f t="shared" si="39"/>
        <v>3416.6666666666665</v>
      </c>
      <c r="GG14" s="72">
        <f t="shared" si="39"/>
        <v>3416.6666666666665</v>
      </c>
      <c r="GH14" s="72">
        <f t="shared" si="39"/>
        <v>3416.6666666666665</v>
      </c>
      <c r="GI14" s="72">
        <f t="shared" si="39"/>
        <v>3416.6666666666665</v>
      </c>
      <c r="GJ14" s="72">
        <f t="shared" si="39"/>
        <v>3416.6666666666665</v>
      </c>
      <c r="GK14" s="72">
        <f t="shared" si="39"/>
        <v>3416.6666666666665</v>
      </c>
      <c r="GL14" s="72">
        <f t="shared" si="39"/>
        <v>3416.6666666666665</v>
      </c>
      <c r="GM14" s="72">
        <f t="shared" si="39"/>
        <v>3416.6666666666665</v>
      </c>
      <c r="GN14" s="72">
        <f t="shared" si="39"/>
        <v>3416.6666666666665</v>
      </c>
      <c r="GO14" s="72">
        <f t="shared" si="39"/>
        <v>3416.6666666666665</v>
      </c>
      <c r="GP14" s="72">
        <f t="shared" si="36"/>
        <v>3416.6666666666665</v>
      </c>
      <c r="GQ14" s="72">
        <f t="shared" si="36"/>
        <v>3416.6666666666665</v>
      </c>
      <c r="GR14" s="72">
        <f t="shared" si="36"/>
        <v>3416.6666666666665</v>
      </c>
      <c r="GS14" s="72">
        <f t="shared" si="36"/>
        <v>3416.6666666666665</v>
      </c>
      <c r="GT14" s="72">
        <f t="shared" si="36"/>
        <v>3416.6666666666665</v>
      </c>
    </row>
    <row r="15" spans="1:202" s="73" customFormat="1" x14ac:dyDescent="0.25">
      <c r="A15" s="73" t="s">
        <v>96</v>
      </c>
      <c r="C15" s="62">
        <f>4000*(2*4/12*4/3+0.5)/3.8</f>
        <v>1461.9883040935674</v>
      </c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  <c r="AJ15" s="159"/>
      <c r="AK15" s="159"/>
      <c r="AL15" s="159"/>
      <c r="AM15" s="159"/>
      <c r="AN15" s="159"/>
      <c r="AO15" s="159"/>
      <c r="AP15" s="159"/>
      <c r="AQ15" s="159"/>
      <c r="AR15" s="159"/>
      <c r="AS15" s="159"/>
      <c r="AT15" s="159"/>
      <c r="AU15" s="159"/>
      <c r="AV15" s="159"/>
      <c r="AW15" s="159"/>
      <c r="AX15" s="159"/>
      <c r="AY15" s="159"/>
      <c r="AZ15" s="159"/>
      <c r="BA15" s="159"/>
      <c r="BB15" s="159"/>
      <c r="BC15" s="159"/>
      <c r="BD15" s="159"/>
      <c r="BE15" s="159"/>
      <c r="BF15" s="159"/>
      <c r="BG15" s="159"/>
      <c r="BH15" s="159"/>
      <c r="BI15" s="159"/>
      <c r="BJ15" s="159"/>
      <c r="BK15" s="159"/>
      <c r="BL15" s="159"/>
      <c r="BM15" s="159"/>
      <c r="BN15" s="159"/>
      <c r="BO15" s="159"/>
      <c r="BP15" s="159"/>
      <c r="BQ15" s="159"/>
      <c r="BR15" s="159"/>
      <c r="BS15" s="159"/>
      <c r="BT15" s="159"/>
      <c r="BU15" s="159"/>
      <c r="BV15" s="159"/>
      <c r="BW15" s="159"/>
      <c r="BX15" s="159"/>
      <c r="BY15" s="159"/>
      <c r="BZ15" s="159"/>
      <c r="CA15" s="159"/>
      <c r="CB15" s="159"/>
      <c r="CC15" s="159"/>
      <c r="CD15" s="159"/>
      <c r="CE15" s="159"/>
      <c r="CF15" s="159"/>
      <c r="CG15" s="159"/>
      <c r="CH15" s="159"/>
      <c r="CI15" s="159"/>
      <c r="CJ15" s="159"/>
      <c r="CK15" s="159"/>
      <c r="CL15" s="159"/>
      <c r="CM15" s="159"/>
      <c r="CN15" s="159"/>
      <c r="CO15" s="159"/>
      <c r="CP15" s="159"/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  <c r="DA15" s="159"/>
      <c r="DB15" s="159"/>
      <c r="DC15" s="159"/>
      <c r="DD15" s="159"/>
      <c r="DE15" s="159"/>
      <c r="DF15" s="159"/>
      <c r="DG15" s="159"/>
      <c r="DH15" s="159"/>
      <c r="DI15" s="159"/>
      <c r="DJ15" s="159"/>
      <c r="DK15" s="159"/>
      <c r="DL15" s="159"/>
      <c r="DM15" s="159"/>
      <c r="DN15" s="159"/>
      <c r="DO15" s="159"/>
      <c r="DP15" s="159"/>
      <c r="DQ15" s="159"/>
      <c r="DR15" s="159"/>
      <c r="DS15" s="159"/>
      <c r="DT15" s="159"/>
      <c r="DU15" s="159"/>
      <c r="DV15" s="159"/>
      <c r="DW15" s="159"/>
      <c r="DX15" s="159"/>
      <c r="DY15" s="159"/>
      <c r="DZ15" s="159"/>
      <c r="EA15" s="159"/>
      <c r="EB15" s="159"/>
      <c r="EC15" s="159"/>
      <c r="ED15" s="159"/>
      <c r="EE15" s="159"/>
      <c r="EF15" s="159"/>
      <c r="EG15" s="159"/>
      <c r="EH15" s="159"/>
      <c r="EI15" s="159"/>
      <c r="EJ15" s="159"/>
      <c r="EK15" s="159"/>
      <c r="EL15" s="159"/>
      <c r="EM15" s="159"/>
      <c r="EN15" s="159"/>
      <c r="EO15" s="159"/>
      <c r="EP15" s="159"/>
      <c r="EQ15" s="159"/>
      <c r="ER15" s="159"/>
      <c r="ES15" s="159"/>
      <c r="ET15" s="159"/>
      <c r="EU15" s="159"/>
      <c r="EV15" s="159"/>
      <c r="EW15" s="159"/>
      <c r="EX15" s="159"/>
      <c r="EY15" s="159"/>
      <c r="EZ15" s="159"/>
      <c r="FA15" s="159"/>
      <c r="FB15" s="159"/>
      <c r="FC15" s="159"/>
      <c r="FD15" s="159"/>
      <c r="FE15" s="159"/>
      <c r="FF15" s="159"/>
      <c r="FG15" s="159"/>
      <c r="FH15" s="159"/>
      <c r="FI15" s="159"/>
      <c r="FJ15" s="159"/>
      <c r="FK15" s="159"/>
      <c r="FL15" s="159"/>
      <c r="FM15" s="159"/>
      <c r="FN15" s="159"/>
      <c r="FO15" s="159"/>
      <c r="FP15" s="159"/>
      <c r="FQ15" s="159"/>
      <c r="FR15" s="159"/>
      <c r="FS15" s="159"/>
      <c r="FT15" s="159"/>
      <c r="FU15" s="159"/>
      <c r="FV15" s="159"/>
      <c r="FW15" s="159"/>
      <c r="FX15" s="159"/>
      <c r="FY15" s="159"/>
      <c r="FZ15" s="159"/>
      <c r="GA15" s="159"/>
      <c r="GB15" s="159"/>
      <c r="GC15" s="159"/>
      <c r="GD15" s="159"/>
      <c r="GE15" s="159"/>
      <c r="GF15" s="159"/>
      <c r="GG15" s="159"/>
      <c r="GH15" s="159"/>
      <c r="GI15" s="159"/>
      <c r="GJ15" s="159"/>
      <c r="GK15" s="159"/>
      <c r="GL15" s="159"/>
      <c r="GM15" s="159"/>
      <c r="GN15" s="159"/>
      <c r="GO15" s="159"/>
      <c r="GP15" s="159"/>
      <c r="GQ15" s="159"/>
      <c r="GR15" s="159"/>
      <c r="GS15" s="159"/>
      <c r="GT15" s="159"/>
    </row>
    <row r="16" spans="1:202" s="68" customFormat="1" x14ac:dyDescent="0.25">
      <c r="A16" s="68" t="s">
        <v>85</v>
      </c>
      <c r="C16" s="69">
        <f>C14+C15</f>
        <v>1461.9883040935674</v>
      </c>
      <c r="D16" s="69">
        <f t="shared" ref="D16:N16" si="42">D14+D15</f>
        <v>0</v>
      </c>
      <c r="E16" s="69">
        <f t="shared" si="42"/>
        <v>1500</v>
      </c>
      <c r="F16" s="69">
        <f t="shared" si="42"/>
        <v>600</v>
      </c>
      <c r="G16" s="69">
        <f t="shared" si="42"/>
        <v>1200</v>
      </c>
      <c r="H16" s="69">
        <f t="shared" si="42"/>
        <v>1200</v>
      </c>
      <c r="I16" s="69">
        <f t="shared" si="42"/>
        <v>1200</v>
      </c>
      <c r="J16" s="69">
        <f t="shared" si="42"/>
        <v>600</v>
      </c>
      <c r="K16" s="69">
        <f t="shared" si="42"/>
        <v>1200</v>
      </c>
      <c r="L16" s="69">
        <f t="shared" si="42"/>
        <v>800</v>
      </c>
      <c r="M16" s="69">
        <f t="shared" si="42"/>
        <v>1200</v>
      </c>
      <c r="N16" s="69">
        <f t="shared" si="42"/>
        <v>0</v>
      </c>
      <c r="O16" s="69">
        <f t="shared" ref="O16:AT16" si="43">O14+O15</f>
        <v>1320</v>
      </c>
      <c r="P16" s="69">
        <f t="shared" si="43"/>
        <v>1320</v>
      </c>
      <c r="Q16" s="69">
        <f t="shared" si="43"/>
        <v>1320</v>
      </c>
      <c r="R16" s="69">
        <f t="shared" si="43"/>
        <v>1320</v>
      </c>
      <c r="S16" s="69">
        <f t="shared" si="43"/>
        <v>0</v>
      </c>
      <c r="T16" s="69">
        <f t="shared" si="43"/>
        <v>0</v>
      </c>
      <c r="U16" s="69">
        <f t="shared" si="43"/>
        <v>0</v>
      </c>
      <c r="V16" s="69">
        <f t="shared" si="43"/>
        <v>0</v>
      </c>
      <c r="W16" s="69">
        <f t="shared" si="43"/>
        <v>1320</v>
      </c>
      <c r="X16" s="69">
        <f t="shared" si="43"/>
        <v>1320</v>
      </c>
      <c r="Y16" s="69">
        <f t="shared" si="43"/>
        <v>1320</v>
      </c>
      <c r="Z16" s="69">
        <f t="shared" si="43"/>
        <v>1320</v>
      </c>
      <c r="AA16" s="69">
        <f t="shared" si="43"/>
        <v>1320</v>
      </c>
      <c r="AB16" s="69">
        <f t="shared" si="43"/>
        <v>1320</v>
      </c>
      <c r="AC16" s="69">
        <f t="shared" si="43"/>
        <v>1320</v>
      </c>
      <c r="AD16" s="69">
        <f t="shared" si="43"/>
        <v>1320</v>
      </c>
      <c r="AE16" s="69">
        <f t="shared" si="43"/>
        <v>1320</v>
      </c>
      <c r="AF16" s="69">
        <f t="shared" si="43"/>
        <v>1320</v>
      </c>
      <c r="AG16" s="69">
        <f t="shared" si="43"/>
        <v>1320</v>
      </c>
      <c r="AH16" s="69">
        <f t="shared" si="43"/>
        <v>1320</v>
      </c>
      <c r="AI16" s="69">
        <f t="shared" si="43"/>
        <v>1200</v>
      </c>
      <c r="AJ16" s="69">
        <f t="shared" si="43"/>
        <v>1200</v>
      </c>
      <c r="AK16" s="69">
        <f t="shared" si="43"/>
        <v>1200</v>
      </c>
      <c r="AL16" s="69">
        <f t="shared" si="43"/>
        <v>1200</v>
      </c>
      <c r="AM16" s="69">
        <f t="shared" si="43"/>
        <v>1200</v>
      </c>
      <c r="AN16" s="69">
        <f t="shared" si="43"/>
        <v>1200</v>
      </c>
      <c r="AO16" s="69">
        <f t="shared" si="43"/>
        <v>1200</v>
      </c>
      <c r="AP16" s="69">
        <f t="shared" si="43"/>
        <v>3416.6666666666665</v>
      </c>
      <c r="AQ16" s="69">
        <f t="shared" si="43"/>
        <v>3416.6666666666665</v>
      </c>
      <c r="AR16" s="69">
        <f t="shared" si="43"/>
        <v>3416.6666666666665</v>
      </c>
      <c r="AS16" s="69">
        <f t="shared" si="43"/>
        <v>3416.6666666666665</v>
      </c>
      <c r="AT16" s="69">
        <f t="shared" si="43"/>
        <v>3416.6666666666665</v>
      </c>
      <c r="AU16" s="69">
        <f t="shared" ref="AU16:BZ16" si="44">AU14+AU15</f>
        <v>3416.6666666666665</v>
      </c>
      <c r="AV16" s="69">
        <f t="shared" si="44"/>
        <v>3416.6666666666665</v>
      </c>
      <c r="AW16" s="69">
        <f t="shared" si="44"/>
        <v>3416.6666666666665</v>
      </c>
      <c r="AX16" s="69">
        <f t="shared" si="44"/>
        <v>3416.6666666666665</v>
      </c>
      <c r="AY16" s="69">
        <f t="shared" si="44"/>
        <v>3416.6666666666665</v>
      </c>
      <c r="AZ16" s="69">
        <f t="shared" si="44"/>
        <v>3416.6666666666665</v>
      </c>
      <c r="BA16" s="69">
        <f t="shared" si="44"/>
        <v>3416.6666666666665</v>
      </c>
      <c r="BB16" s="69">
        <f t="shared" si="44"/>
        <v>3416.6666666666665</v>
      </c>
      <c r="BC16" s="69">
        <f t="shared" si="44"/>
        <v>3416.6666666666665</v>
      </c>
      <c r="BD16" s="69">
        <f t="shared" si="44"/>
        <v>3416.6666666666665</v>
      </c>
      <c r="BE16" s="69">
        <f t="shared" si="44"/>
        <v>3416.6666666666665</v>
      </c>
      <c r="BF16" s="69">
        <f t="shared" si="44"/>
        <v>3416.6666666666665</v>
      </c>
      <c r="BG16" s="69">
        <f t="shared" si="44"/>
        <v>3416.6666666666665</v>
      </c>
      <c r="BH16" s="69">
        <f t="shared" si="44"/>
        <v>3416.6666666666665</v>
      </c>
      <c r="BI16" s="69">
        <f t="shared" si="44"/>
        <v>3416.6666666666665</v>
      </c>
      <c r="BJ16" s="69">
        <f t="shared" si="44"/>
        <v>3416.6666666666665</v>
      </c>
      <c r="BK16" s="69">
        <f t="shared" si="44"/>
        <v>3416.6666666666665</v>
      </c>
      <c r="BL16" s="69">
        <f t="shared" si="44"/>
        <v>3416.6666666666665</v>
      </c>
      <c r="BM16" s="69">
        <f t="shared" si="44"/>
        <v>3416.6666666666665</v>
      </c>
      <c r="BN16" s="69">
        <f t="shared" si="44"/>
        <v>3416.6666666666665</v>
      </c>
      <c r="BO16" s="69">
        <f t="shared" si="44"/>
        <v>3416.6666666666665</v>
      </c>
      <c r="BP16" s="69">
        <f t="shared" si="44"/>
        <v>3416.6666666666665</v>
      </c>
      <c r="BQ16" s="69">
        <f t="shared" si="44"/>
        <v>3416.6666666666665</v>
      </c>
      <c r="BR16" s="69">
        <f t="shared" si="44"/>
        <v>3416.6666666666665</v>
      </c>
      <c r="BS16" s="69">
        <f t="shared" si="44"/>
        <v>3416.6666666666665</v>
      </c>
      <c r="BT16" s="69">
        <f t="shared" si="44"/>
        <v>3416.6666666666665</v>
      </c>
      <c r="BU16" s="69">
        <f t="shared" si="44"/>
        <v>3416.6666666666665</v>
      </c>
      <c r="BV16" s="69">
        <f t="shared" si="44"/>
        <v>3416.6666666666665</v>
      </c>
      <c r="BW16" s="69">
        <f t="shared" si="44"/>
        <v>3416.6666666666665</v>
      </c>
      <c r="BX16" s="69">
        <f t="shared" si="44"/>
        <v>3416.6666666666665</v>
      </c>
      <c r="BY16" s="69">
        <f t="shared" si="44"/>
        <v>3416.6666666666665</v>
      </c>
      <c r="BZ16" s="69">
        <f t="shared" si="44"/>
        <v>3416.6666666666665</v>
      </c>
      <c r="CA16" s="69">
        <f t="shared" ref="CA16:DF16" si="45">CA14+CA15</f>
        <v>3416.6666666666665</v>
      </c>
      <c r="CB16" s="69">
        <f t="shared" si="45"/>
        <v>3416.6666666666665</v>
      </c>
      <c r="CC16" s="69">
        <f t="shared" si="45"/>
        <v>3416.6666666666665</v>
      </c>
      <c r="CD16" s="69">
        <f t="shared" si="45"/>
        <v>3416.6666666666665</v>
      </c>
      <c r="CE16" s="69">
        <f t="shared" si="45"/>
        <v>3416.6666666666665</v>
      </c>
      <c r="CF16" s="69">
        <f t="shared" si="45"/>
        <v>3416.6666666666665</v>
      </c>
      <c r="CG16" s="69">
        <f t="shared" si="45"/>
        <v>3416.6666666666665</v>
      </c>
      <c r="CH16" s="69">
        <f t="shared" si="45"/>
        <v>3416.6666666666665</v>
      </c>
      <c r="CI16" s="69">
        <f t="shared" si="45"/>
        <v>3416.6666666666665</v>
      </c>
      <c r="CJ16" s="69">
        <f t="shared" si="45"/>
        <v>3416.6666666666665</v>
      </c>
      <c r="CK16" s="69">
        <f t="shared" si="45"/>
        <v>3416.6666666666665</v>
      </c>
      <c r="CL16" s="69">
        <f t="shared" si="45"/>
        <v>3416.6666666666665</v>
      </c>
      <c r="CM16" s="69">
        <f t="shared" si="45"/>
        <v>3416.6666666666665</v>
      </c>
      <c r="CN16" s="69">
        <f t="shared" si="45"/>
        <v>3416.6666666666665</v>
      </c>
      <c r="CO16" s="69">
        <f t="shared" si="45"/>
        <v>3416.6666666666665</v>
      </c>
      <c r="CP16" s="69">
        <f t="shared" si="45"/>
        <v>3416.6666666666665</v>
      </c>
      <c r="CQ16" s="69">
        <f t="shared" si="45"/>
        <v>3416.6666666666665</v>
      </c>
      <c r="CR16" s="69">
        <f t="shared" si="45"/>
        <v>3416.6666666666665</v>
      </c>
      <c r="CS16" s="69">
        <f t="shared" si="45"/>
        <v>3416.6666666666665</v>
      </c>
      <c r="CT16" s="69">
        <f t="shared" si="45"/>
        <v>3416.6666666666665</v>
      </c>
      <c r="CU16" s="69">
        <f t="shared" si="45"/>
        <v>3416.6666666666665</v>
      </c>
      <c r="CV16" s="69">
        <f t="shared" si="45"/>
        <v>3416.6666666666665</v>
      </c>
      <c r="CW16" s="69">
        <f t="shared" si="45"/>
        <v>3416.6666666666665</v>
      </c>
      <c r="CX16" s="69">
        <f t="shared" si="45"/>
        <v>3416.6666666666665</v>
      </c>
      <c r="CY16" s="69">
        <f t="shared" si="45"/>
        <v>3416.6666666666665</v>
      </c>
      <c r="CZ16" s="69">
        <f t="shared" si="45"/>
        <v>3416.6666666666665</v>
      </c>
      <c r="DA16" s="69">
        <f t="shared" si="45"/>
        <v>3416.6666666666665</v>
      </c>
      <c r="DB16" s="69">
        <f t="shared" si="45"/>
        <v>3416.6666666666665</v>
      </c>
      <c r="DC16" s="69">
        <f t="shared" si="45"/>
        <v>3416.6666666666665</v>
      </c>
      <c r="DD16" s="69">
        <f t="shared" si="45"/>
        <v>3416.6666666666665</v>
      </c>
      <c r="DE16" s="69">
        <f t="shared" si="45"/>
        <v>3416.6666666666665</v>
      </c>
      <c r="DF16" s="69">
        <f t="shared" si="45"/>
        <v>3416.6666666666665</v>
      </c>
      <c r="DG16" s="69">
        <f t="shared" ref="DG16:EL16" si="46">DG14+DG15</f>
        <v>3416.6666666666665</v>
      </c>
      <c r="DH16" s="69">
        <f t="shared" si="46"/>
        <v>3416.6666666666665</v>
      </c>
      <c r="DI16" s="69">
        <f t="shared" si="46"/>
        <v>3416.6666666666665</v>
      </c>
      <c r="DJ16" s="69">
        <f t="shared" si="46"/>
        <v>3416.6666666666665</v>
      </c>
      <c r="DK16" s="69">
        <f t="shared" si="46"/>
        <v>3416.6666666666665</v>
      </c>
      <c r="DL16" s="69">
        <f t="shared" si="46"/>
        <v>3416.6666666666665</v>
      </c>
      <c r="DM16" s="69">
        <f t="shared" si="46"/>
        <v>3416.6666666666665</v>
      </c>
      <c r="DN16" s="69">
        <f t="shared" si="46"/>
        <v>3416.6666666666665</v>
      </c>
      <c r="DO16" s="69">
        <f t="shared" si="46"/>
        <v>3416.6666666666665</v>
      </c>
      <c r="DP16" s="69">
        <f t="shared" si="46"/>
        <v>3416.6666666666665</v>
      </c>
      <c r="DQ16" s="69">
        <f t="shared" si="46"/>
        <v>3416.6666666666665</v>
      </c>
      <c r="DR16" s="69">
        <f t="shared" si="46"/>
        <v>3416.6666666666665</v>
      </c>
      <c r="DS16" s="69">
        <f t="shared" si="46"/>
        <v>3416.6666666666665</v>
      </c>
      <c r="DT16" s="69">
        <f t="shared" si="46"/>
        <v>3416.6666666666665</v>
      </c>
      <c r="DU16" s="69">
        <f t="shared" si="46"/>
        <v>3416.6666666666665</v>
      </c>
      <c r="DV16" s="69">
        <f t="shared" si="46"/>
        <v>3416.6666666666665</v>
      </c>
      <c r="DW16" s="69">
        <f t="shared" si="46"/>
        <v>3416.6666666666665</v>
      </c>
      <c r="DX16" s="69">
        <f t="shared" si="46"/>
        <v>3416.6666666666665</v>
      </c>
      <c r="DY16" s="69">
        <f t="shared" si="46"/>
        <v>3416.6666666666665</v>
      </c>
      <c r="DZ16" s="69">
        <f t="shared" si="46"/>
        <v>3416.6666666666665</v>
      </c>
      <c r="EA16" s="69">
        <f t="shared" si="46"/>
        <v>3416.6666666666665</v>
      </c>
      <c r="EB16" s="69">
        <f t="shared" si="46"/>
        <v>3416.6666666666665</v>
      </c>
      <c r="EC16" s="69">
        <f t="shared" si="46"/>
        <v>3416.6666666666665</v>
      </c>
      <c r="ED16" s="69">
        <f t="shared" si="46"/>
        <v>3416.6666666666665</v>
      </c>
      <c r="EE16" s="69">
        <f t="shared" si="46"/>
        <v>3416.6666666666665</v>
      </c>
      <c r="EF16" s="69">
        <f t="shared" si="46"/>
        <v>3416.6666666666665</v>
      </c>
      <c r="EG16" s="69">
        <f t="shared" si="46"/>
        <v>3416.6666666666665</v>
      </c>
      <c r="EH16" s="69">
        <f t="shared" si="46"/>
        <v>3416.6666666666665</v>
      </c>
      <c r="EI16" s="69">
        <f t="shared" si="46"/>
        <v>3416.6666666666665</v>
      </c>
      <c r="EJ16" s="69">
        <f t="shared" si="46"/>
        <v>3416.6666666666665</v>
      </c>
      <c r="EK16" s="69">
        <f t="shared" si="46"/>
        <v>3416.6666666666665</v>
      </c>
      <c r="EL16" s="69">
        <f t="shared" si="46"/>
        <v>3416.6666666666665</v>
      </c>
      <c r="EM16" s="69">
        <f t="shared" ref="EM16:FR16" si="47">EM14+EM15</f>
        <v>3416.6666666666665</v>
      </c>
      <c r="EN16" s="69">
        <f t="shared" si="47"/>
        <v>3416.6666666666665</v>
      </c>
      <c r="EO16" s="69">
        <f t="shared" si="47"/>
        <v>3416.6666666666665</v>
      </c>
      <c r="EP16" s="69">
        <f t="shared" si="47"/>
        <v>3416.6666666666665</v>
      </c>
      <c r="EQ16" s="69">
        <f t="shared" si="47"/>
        <v>3416.6666666666665</v>
      </c>
      <c r="ER16" s="69">
        <f t="shared" si="47"/>
        <v>3416.6666666666665</v>
      </c>
      <c r="ES16" s="69">
        <f t="shared" si="47"/>
        <v>3416.6666666666665</v>
      </c>
      <c r="ET16" s="69">
        <f t="shared" si="47"/>
        <v>3416.6666666666665</v>
      </c>
      <c r="EU16" s="69">
        <f t="shared" si="47"/>
        <v>3416.6666666666665</v>
      </c>
      <c r="EV16" s="69">
        <f t="shared" si="47"/>
        <v>3416.6666666666665</v>
      </c>
      <c r="EW16" s="69">
        <f t="shared" si="47"/>
        <v>3416.6666666666665</v>
      </c>
      <c r="EX16" s="69">
        <f t="shared" si="47"/>
        <v>3416.6666666666665</v>
      </c>
      <c r="EY16" s="69">
        <f t="shared" si="47"/>
        <v>3416.6666666666665</v>
      </c>
      <c r="EZ16" s="69">
        <f t="shared" si="47"/>
        <v>3416.6666666666665</v>
      </c>
      <c r="FA16" s="69">
        <f t="shared" si="47"/>
        <v>3416.6666666666665</v>
      </c>
      <c r="FB16" s="69">
        <f t="shared" si="47"/>
        <v>3416.6666666666665</v>
      </c>
      <c r="FC16" s="69">
        <f t="shared" si="47"/>
        <v>3416.6666666666665</v>
      </c>
      <c r="FD16" s="69">
        <f t="shared" si="47"/>
        <v>3416.6666666666665</v>
      </c>
      <c r="FE16" s="69">
        <f t="shared" si="47"/>
        <v>3416.6666666666665</v>
      </c>
      <c r="FF16" s="69">
        <f t="shared" si="47"/>
        <v>3416.6666666666665</v>
      </c>
      <c r="FG16" s="69">
        <f t="shared" si="47"/>
        <v>3416.6666666666665</v>
      </c>
      <c r="FH16" s="69">
        <f t="shared" si="47"/>
        <v>3416.6666666666665</v>
      </c>
      <c r="FI16" s="69">
        <f t="shared" si="47"/>
        <v>3416.6666666666665</v>
      </c>
      <c r="FJ16" s="69">
        <f t="shared" si="47"/>
        <v>3416.6666666666665</v>
      </c>
      <c r="FK16" s="69">
        <f t="shared" si="47"/>
        <v>3416.6666666666665</v>
      </c>
      <c r="FL16" s="69">
        <f t="shared" si="47"/>
        <v>3416.6666666666665</v>
      </c>
      <c r="FM16" s="69">
        <f t="shared" si="47"/>
        <v>3416.6666666666665</v>
      </c>
      <c r="FN16" s="69">
        <f t="shared" si="47"/>
        <v>3416.6666666666665</v>
      </c>
      <c r="FO16" s="69">
        <f t="shared" si="47"/>
        <v>3416.6666666666665</v>
      </c>
      <c r="FP16" s="69">
        <f t="shared" si="47"/>
        <v>3416.6666666666665</v>
      </c>
      <c r="FQ16" s="69">
        <f t="shared" si="47"/>
        <v>3416.6666666666665</v>
      </c>
      <c r="FR16" s="69">
        <f t="shared" si="47"/>
        <v>3416.6666666666665</v>
      </c>
      <c r="FS16" s="69">
        <f t="shared" ref="FS16:GT16" si="48">FS14+FS15</f>
        <v>3416.6666666666665</v>
      </c>
      <c r="FT16" s="69">
        <f t="shared" si="48"/>
        <v>3416.6666666666665</v>
      </c>
      <c r="FU16" s="69">
        <f t="shared" si="48"/>
        <v>3416.6666666666665</v>
      </c>
      <c r="FV16" s="69">
        <f t="shared" si="48"/>
        <v>3416.6666666666665</v>
      </c>
      <c r="FW16" s="69">
        <f t="shared" si="48"/>
        <v>3416.6666666666665</v>
      </c>
      <c r="FX16" s="69">
        <f t="shared" si="48"/>
        <v>3416.6666666666665</v>
      </c>
      <c r="FY16" s="69">
        <f t="shared" si="48"/>
        <v>3416.6666666666665</v>
      </c>
      <c r="FZ16" s="69">
        <f t="shared" si="48"/>
        <v>3416.6666666666665</v>
      </c>
      <c r="GA16" s="69">
        <f t="shared" si="48"/>
        <v>3416.6666666666665</v>
      </c>
      <c r="GB16" s="69">
        <f t="shared" si="48"/>
        <v>3416.6666666666665</v>
      </c>
      <c r="GC16" s="69">
        <f t="shared" si="48"/>
        <v>3416.6666666666665</v>
      </c>
      <c r="GD16" s="69">
        <f t="shared" si="48"/>
        <v>3416.6666666666665</v>
      </c>
      <c r="GE16" s="69">
        <f t="shared" si="48"/>
        <v>3416.6666666666665</v>
      </c>
      <c r="GF16" s="69">
        <f t="shared" si="48"/>
        <v>3416.6666666666665</v>
      </c>
      <c r="GG16" s="69">
        <f t="shared" si="48"/>
        <v>3416.6666666666665</v>
      </c>
      <c r="GH16" s="69">
        <f t="shared" si="48"/>
        <v>3416.6666666666665</v>
      </c>
      <c r="GI16" s="69">
        <f t="shared" si="48"/>
        <v>3416.6666666666665</v>
      </c>
      <c r="GJ16" s="69">
        <f t="shared" si="48"/>
        <v>3416.6666666666665</v>
      </c>
      <c r="GK16" s="69">
        <f t="shared" si="48"/>
        <v>3416.6666666666665</v>
      </c>
      <c r="GL16" s="69">
        <f t="shared" si="48"/>
        <v>3416.6666666666665</v>
      </c>
      <c r="GM16" s="69">
        <f t="shared" si="48"/>
        <v>3416.6666666666665</v>
      </c>
      <c r="GN16" s="69">
        <f t="shared" si="48"/>
        <v>3416.6666666666665</v>
      </c>
      <c r="GO16" s="69">
        <f t="shared" si="48"/>
        <v>3416.6666666666665</v>
      </c>
      <c r="GP16" s="69">
        <f t="shared" si="48"/>
        <v>3416.6666666666665</v>
      </c>
      <c r="GQ16" s="69">
        <f t="shared" si="48"/>
        <v>3416.6666666666665</v>
      </c>
      <c r="GR16" s="69">
        <f t="shared" si="48"/>
        <v>3416.6666666666665</v>
      </c>
      <c r="GS16" s="69">
        <f t="shared" si="48"/>
        <v>3416.6666666666665</v>
      </c>
      <c r="GT16" s="69">
        <f t="shared" si="48"/>
        <v>3416.6666666666665</v>
      </c>
    </row>
    <row r="17" spans="1:202" s="68" customFormat="1" x14ac:dyDescent="0.25">
      <c r="A17" s="68" t="s">
        <v>181</v>
      </c>
      <c r="C17" s="69">
        <f>C10+C16</f>
        <v>4769.0058479532163</v>
      </c>
      <c r="D17" s="69">
        <f t="shared" ref="D17:BO17" si="49">D10+D16</f>
        <v>5570</v>
      </c>
      <c r="E17" s="69">
        <f t="shared" si="49"/>
        <v>7070</v>
      </c>
      <c r="F17" s="69">
        <f t="shared" si="49"/>
        <v>8955</v>
      </c>
      <c r="G17" s="69">
        <f t="shared" si="49"/>
        <v>6770</v>
      </c>
      <c r="H17" s="69">
        <f t="shared" si="49"/>
        <v>6770</v>
      </c>
      <c r="I17" s="69">
        <f t="shared" si="49"/>
        <v>6770</v>
      </c>
      <c r="J17" s="69">
        <f t="shared" si="49"/>
        <v>6170</v>
      </c>
      <c r="K17" s="69">
        <f t="shared" si="49"/>
        <v>9555</v>
      </c>
      <c r="L17" s="69">
        <f t="shared" si="49"/>
        <v>6370</v>
      </c>
      <c r="M17" s="69">
        <f t="shared" si="49"/>
        <v>6914.8200000000006</v>
      </c>
      <c r="N17" s="69">
        <f t="shared" si="49"/>
        <v>9289.82</v>
      </c>
      <c r="O17" s="69">
        <f t="shared" si="49"/>
        <v>8471.82</v>
      </c>
      <c r="P17" s="69">
        <f t="shared" si="49"/>
        <v>9434.82</v>
      </c>
      <c r="Q17" s="69">
        <f t="shared" si="49"/>
        <v>9892.2300000000014</v>
      </c>
      <c r="R17" s="69">
        <f t="shared" si="49"/>
        <v>7034.8200000000006</v>
      </c>
      <c r="S17" s="69">
        <f t="shared" si="49"/>
        <v>5714.8200000000006</v>
      </c>
      <c r="T17" s="69">
        <f t="shared" si="49"/>
        <v>5714.8200000000006</v>
      </c>
      <c r="U17" s="69">
        <f t="shared" si="49"/>
        <v>5714.8200000000006</v>
      </c>
      <c r="V17" s="69">
        <f t="shared" si="49"/>
        <v>5714.8200000000006</v>
      </c>
      <c r="W17" s="69">
        <f t="shared" si="49"/>
        <v>9892.2300000000014</v>
      </c>
      <c r="X17" s="69">
        <f t="shared" si="49"/>
        <v>7034.8200000000006</v>
      </c>
      <c r="Y17" s="69">
        <f t="shared" si="49"/>
        <v>7034.8200000000006</v>
      </c>
      <c r="Z17" s="69">
        <f t="shared" si="49"/>
        <v>7034.8200000000006</v>
      </c>
      <c r="AA17" s="69">
        <f t="shared" si="49"/>
        <v>7034.8200000000006</v>
      </c>
      <c r="AB17" s="69">
        <f t="shared" si="49"/>
        <v>11534.82</v>
      </c>
      <c r="AC17" s="69">
        <f t="shared" si="49"/>
        <v>9892.2300000000014</v>
      </c>
      <c r="AD17" s="69">
        <f t="shared" si="49"/>
        <v>7034.8200000000006</v>
      </c>
      <c r="AE17" s="69">
        <f t="shared" si="49"/>
        <v>7034.8200000000006</v>
      </c>
      <c r="AF17" s="69">
        <f t="shared" si="49"/>
        <v>7034.8200000000006</v>
      </c>
      <c r="AG17" s="69">
        <f t="shared" si="49"/>
        <v>7034.8200000000006</v>
      </c>
      <c r="AH17" s="69">
        <f t="shared" si="49"/>
        <v>9892.2300000000014</v>
      </c>
      <c r="AI17" s="69">
        <f t="shared" si="49"/>
        <v>6914.8200000000006</v>
      </c>
      <c r="AJ17" s="69">
        <f t="shared" si="49"/>
        <v>6914.8200000000006</v>
      </c>
      <c r="AK17" s="69">
        <f t="shared" si="49"/>
        <v>6914.8200000000006</v>
      </c>
      <c r="AL17" s="69">
        <f t="shared" si="49"/>
        <v>6914.8200000000006</v>
      </c>
      <c r="AM17" s="69">
        <f t="shared" si="49"/>
        <v>6914.8200000000006</v>
      </c>
      <c r="AN17" s="69">
        <f t="shared" si="49"/>
        <v>11414.82</v>
      </c>
      <c r="AO17" s="69">
        <f t="shared" si="49"/>
        <v>9772.2300000000014</v>
      </c>
      <c r="AP17" s="69">
        <f t="shared" si="49"/>
        <v>9131.4866666666676</v>
      </c>
      <c r="AQ17" s="69">
        <f t="shared" si="49"/>
        <v>9131.4866666666676</v>
      </c>
      <c r="AR17" s="69">
        <f t="shared" si="49"/>
        <v>9131.4866666666676</v>
      </c>
      <c r="AS17" s="69">
        <f t="shared" si="49"/>
        <v>9131.4866666666676</v>
      </c>
      <c r="AT17" s="69">
        <f t="shared" si="49"/>
        <v>11988.896666666667</v>
      </c>
      <c r="AU17" s="69">
        <f t="shared" si="49"/>
        <v>9131.4866666666676</v>
      </c>
      <c r="AV17" s="69">
        <f t="shared" si="49"/>
        <v>9131.4866666666676</v>
      </c>
      <c r="AW17" s="69">
        <f t="shared" si="49"/>
        <v>9131.4866666666676</v>
      </c>
      <c r="AX17" s="69">
        <f t="shared" si="49"/>
        <v>9131.4866666666676</v>
      </c>
      <c r="AY17" s="69">
        <f t="shared" si="49"/>
        <v>9131.4866666666676</v>
      </c>
      <c r="AZ17" s="69">
        <f t="shared" si="49"/>
        <v>16488.896666666667</v>
      </c>
      <c r="BA17" s="69">
        <f t="shared" si="49"/>
        <v>9131.4866666666676</v>
      </c>
      <c r="BB17" s="69">
        <f t="shared" si="49"/>
        <v>9131.4866666666676</v>
      </c>
      <c r="BC17" s="69">
        <f t="shared" si="49"/>
        <v>9131.4866666666676</v>
      </c>
      <c r="BD17" s="69">
        <f t="shared" si="49"/>
        <v>9131.4866666666676</v>
      </c>
      <c r="BE17" s="69">
        <f t="shared" si="49"/>
        <v>9131.4866666666676</v>
      </c>
      <c r="BF17" s="69">
        <f t="shared" si="49"/>
        <v>11988.896666666667</v>
      </c>
      <c r="BG17" s="69">
        <f t="shared" si="49"/>
        <v>9131.4866666666676</v>
      </c>
      <c r="BH17" s="69">
        <f t="shared" si="49"/>
        <v>9131.4866666666676</v>
      </c>
      <c r="BI17" s="69">
        <f t="shared" si="49"/>
        <v>9131.4866666666676</v>
      </c>
      <c r="BJ17" s="69">
        <f t="shared" si="49"/>
        <v>9131.4866666666676</v>
      </c>
      <c r="BK17" s="69">
        <f t="shared" si="49"/>
        <v>11988.896666666667</v>
      </c>
      <c r="BL17" s="69">
        <f t="shared" si="49"/>
        <v>13631.486666666666</v>
      </c>
      <c r="BM17" s="69">
        <f t="shared" si="49"/>
        <v>9131.4866666666676</v>
      </c>
      <c r="BN17" s="69">
        <f t="shared" si="49"/>
        <v>9131.4866666666676</v>
      </c>
      <c r="BO17" s="69">
        <f t="shared" si="49"/>
        <v>9131.4866666666676</v>
      </c>
      <c r="BP17" s="69">
        <f t="shared" ref="BP17:EA17" si="50">BP10+BP16</f>
        <v>9131.4866666666676</v>
      </c>
      <c r="BQ17" s="69">
        <f t="shared" si="50"/>
        <v>11988.896666666667</v>
      </c>
      <c r="BR17" s="69">
        <f t="shared" si="50"/>
        <v>9131.4866666666676</v>
      </c>
      <c r="BS17" s="69">
        <f t="shared" si="50"/>
        <v>9131.4866666666676</v>
      </c>
      <c r="BT17" s="69">
        <f t="shared" si="50"/>
        <v>9131.4866666666676</v>
      </c>
      <c r="BU17" s="69">
        <f t="shared" si="50"/>
        <v>9131.4866666666676</v>
      </c>
      <c r="BV17" s="69">
        <f t="shared" si="50"/>
        <v>9131.4866666666676</v>
      </c>
      <c r="BW17" s="69">
        <f t="shared" si="50"/>
        <v>11988.896666666667</v>
      </c>
      <c r="BX17" s="69">
        <f t="shared" si="50"/>
        <v>13631.486666666666</v>
      </c>
      <c r="BY17" s="69">
        <f t="shared" si="50"/>
        <v>9131.4866666666676</v>
      </c>
      <c r="BZ17" s="69">
        <f t="shared" si="50"/>
        <v>9131.4866666666676</v>
      </c>
      <c r="CA17" s="69">
        <f t="shared" si="50"/>
        <v>9131.4866666666676</v>
      </c>
      <c r="CB17" s="69">
        <f t="shared" si="50"/>
        <v>11988.896666666667</v>
      </c>
      <c r="CC17" s="69">
        <f t="shared" si="50"/>
        <v>9131.4866666666676</v>
      </c>
      <c r="CD17" s="69">
        <f t="shared" si="50"/>
        <v>9131.4866666666676</v>
      </c>
      <c r="CE17" s="69">
        <f t="shared" si="50"/>
        <v>9131.4866666666676</v>
      </c>
      <c r="CF17" s="69">
        <f t="shared" si="50"/>
        <v>9131.4866666666676</v>
      </c>
      <c r="CG17" s="69">
        <f t="shared" si="50"/>
        <v>9131.4866666666676</v>
      </c>
      <c r="CH17" s="69">
        <f t="shared" si="50"/>
        <v>9131.4866666666676</v>
      </c>
      <c r="CI17" s="69">
        <f t="shared" si="50"/>
        <v>11988.896666666667</v>
      </c>
      <c r="CJ17" s="69">
        <f t="shared" si="50"/>
        <v>13631.486666666666</v>
      </c>
      <c r="CK17" s="69">
        <f t="shared" si="50"/>
        <v>9131.4866666666676</v>
      </c>
      <c r="CL17" s="69">
        <f t="shared" si="50"/>
        <v>9131.4866666666676</v>
      </c>
      <c r="CM17" s="69">
        <f t="shared" si="50"/>
        <v>9131.4866666666676</v>
      </c>
      <c r="CN17" s="69">
        <f t="shared" si="50"/>
        <v>11988.896666666667</v>
      </c>
      <c r="CO17" s="69">
        <f t="shared" si="50"/>
        <v>9131.4866666666676</v>
      </c>
      <c r="CP17" s="69">
        <f t="shared" si="50"/>
        <v>9131.4866666666676</v>
      </c>
      <c r="CQ17" s="69">
        <f t="shared" si="50"/>
        <v>9131.4866666666676</v>
      </c>
      <c r="CR17" s="69">
        <f t="shared" si="50"/>
        <v>9131.4866666666676</v>
      </c>
      <c r="CS17" s="69">
        <f t="shared" si="50"/>
        <v>9131.4866666666676</v>
      </c>
      <c r="CT17" s="69">
        <f t="shared" si="50"/>
        <v>11988.896666666667</v>
      </c>
      <c r="CU17" s="69">
        <f t="shared" si="50"/>
        <v>9131.4866666666676</v>
      </c>
      <c r="CV17" s="69">
        <f t="shared" si="50"/>
        <v>13631.486666666666</v>
      </c>
      <c r="CW17" s="69">
        <f t="shared" si="50"/>
        <v>9131.4866666666676</v>
      </c>
      <c r="CX17" s="69">
        <f t="shared" si="50"/>
        <v>9131.4866666666676</v>
      </c>
      <c r="CY17" s="69">
        <f t="shared" si="50"/>
        <v>9131.4866666666676</v>
      </c>
      <c r="CZ17" s="69">
        <f t="shared" si="50"/>
        <v>11988.896666666667</v>
      </c>
      <c r="DA17" s="69">
        <f t="shared" si="50"/>
        <v>9131.4866666666676</v>
      </c>
      <c r="DB17" s="69">
        <f t="shared" si="50"/>
        <v>9131.4866666666676</v>
      </c>
      <c r="DC17" s="69">
        <f t="shared" si="50"/>
        <v>9131.4866666666676</v>
      </c>
      <c r="DD17" s="69">
        <f t="shared" si="50"/>
        <v>9131.4866666666676</v>
      </c>
      <c r="DE17" s="69">
        <f t="shared" si="50"/>
        <v>11988.896666666667</v>
      </c>
      <c r="DF17" s="69">
        <f t="shared" si="50"/>
        <v>9131.4866666666676</v>
      </c>
      <c r="DG17" s="69">
        <f t="shared" si="50"/>
        <v>9131.4866666666676</v>
      </c>
      <c r="DH17" s="69">
        <f t="shared" si="50"/>
        <v>13631.486666666666</v>
      </c>
      <c r="DI17" s="69">
        <f t="shared" si="50"/>
        <v>9131.4866666666676</v>
      </c>
      <c r="DJ17" s="69">
        <f t="shared" si="50"/>
        <v>9131.4866666666676</v>
      </c>
      <c r="DK17" s="69">
        <f t="shared" si="50"/>
        <v>11988.896666666667</v>
      </c>
      <c r="DL17" s="69">
        <f t="shared" si="50"/>
        <v>9131.4866666666676</v>
      </c>
      <c r="DM17" s="69">
        <f t="shared" si="50"/>
        <v>9131.4866666666676</v>
      </c>
      <c r="DN17" s="69">
        <f t="shared" si="50"/>
        <v>9131.4866666666676</v>
      </c>
      <c r="DO17" s="69">
        <f t="shared" si="50"/>
        <v>9131.4866666666676</v>
      </c>
      <c r="DP17" s="69">
        <f t="shared" si="50"/>
        <v>9131.4866666666676</v>
      </c>
      <c r="DQ17" s="69">
        <f t="shared" si="50"/>
        <v>11988.896666666667</v>
      </c>
      <c r="DR17" s="69">
        <f t="shared" si="50"/>
        <v>9131.4866666666676</v>
      </c>
      <c r="DS17" s="69">
        <f t="shared" si="50"/>
        <v>9131.4866666666676</v>
      </c>
      <c r="DT17" s="69">
        <f t="shared" si="50"/>
        <v>13631.486666666666</v>
      </c>
      <c r="DU17" s="69">
        <f t="shared" si="50"/>
        <v>9131.4866666666676</v>
      </c>
      <c r="DV17" s="69">
        <f t="shared" si="50"/>
        <v>11988.896666666667</v>
      </c>
      <c r="DW17" s="69">
        <f t="shared" si="50"/>
        <v>9131.4866666666676</v>
      </c>
      <c r="DX17" s="69">
        <f t="shared" si="50"/>
        <v>9131.4866666666676</v>
      </c>
      <c r="DY17" s="69">
        <f t="shared" si="50"/>
        <v>9131.4866666666676</v>
      </c>
      <c r="DZ17" s="69">
        <f t="shared" si="50"/>
        <v>9131.4866666666676</v>
      </c>
      <c r="EA17" s="69">
        <f t="shared" si="50"/>
        <v>9131.4866666666676</v>
      </c>
      <c r="EB17" s="69">
        <f t="shared" ref="EB17:GM17" si="51">EB10+EB16</f>
        <v>9131.4866666666676</v>
      </c>
      <c r="EC17" s="69">
        <f t="shared" si="51"/>
        <v>11988.896666666667</v>
      </c>
      <c r="ED17" s="69">
        <f t="shared" si="51"/>
        <v>9131.4866666666676</v>
      </c>
      <c r="EE17" s="69">
        <f t="shared" si="51"/>
        <v>9131.4866666666676</v>
      </c>
      <c r="EF17" s="69">
        <f t="shared" si="51"/>
        <v>13631.486666666666</v>
      </c>
      <c r="EG17" s="69">
        <f t="shared" si="51"/>
        <v>9131.4866666666676</v>
      </c>
      <c r="EH17" s="69">
        <f t="shared" si="51"/>
        <v>11988.896666666667</v>
      </c>
      <c r="EI17" s="69">
        <f t="shared" si="51"/>
        <v>9131.4866666666676</v>
      </c>
      <c r="EJ17" s="69">
        <f t="shared" si="51"/>
        <v>9131.4866666666676</v>
      </c>
      <c r="EK17" s="69">
        <f t="shared" si="51"/>
        <v>9131.4866666666676</v>
      </c>
      <c r="EL17" s="69">
        <f t="shared" si="51"/>
        <v>9131.4866666666676</v>
      </c>
      <c r="EM17" s="69">
        <f t="shared" si="51"/>
        <v>11988.896666666667</v>
      </c>
      <c r="EN17" s="69">
        <f t="shared" si="51"/>
        <v>9131.4866666666676</v>
      </c>
      <c r="EO17" s="69">
        <f t="shared" si="51"/>
        <v>9131.4866666666676</v>
      </c>
      <c r="EP17" s="69">
        <f t="shared" si="51"/>
        <v>9131.4866666666676</v>
      </c>
      <c r="EQ17" s="69">
        <f t="shared" si="51"/>
        <v>9131.4866666666676</v>
      </c>
      <c r="ER17" s="69">
        <f t="shared" si="51"/>
        <v>13631.486666666666</v>
      </c>
      <c r="ES17" s="69">
        <f t="shared" si="51"/>
        <v>9131.4866666666676</v>
      </c>
      <c r="ET17" s="69">
        <f t="shared" si="51"/>
        <v>11988.896666666667</v>
      </c>
      <c r="EU17" s="69">
        <f t="shared" si="51"/>
        <v>9131.4866666666676</v>
      </c>
      <c r="EV17" s="69">
        <f t="shared" si="51"/>
        <v>9131.4866666666676</v>
      </c>
      <c r="EW17" s="69">
        <f t="shared" si="51"/>
        <v>9131.4866666666676</v>
      </c>
      <c r="EX17" s="69">
        <f t="shared" si="51"/>
        <v>9131.4866666666676</v>
      </c>
      <c r="EY17" s="69">
        <f t="shared" si="51"/>
        <v>11988.896666666667</v>
      </c>
      <c r="EZ17" s="69">
        <f t="shared" si="51"/>
        <v>9131.4866666666676</v>
      </c>
      <c r="FA17" s="69">
        <f t="shared" si="51"/>
        <v>9131.4866666666676</v>
      </c>
      <c r="FB17" s="69">
        <f t="shared" si="51"/>
        <v>9131.4866666666676</v>
      </c>
      <c r="FC17" s="69">
        <f t="shared" si="51"/>
        <v>9131.4866666666676</v>
      </c>
      <c r="FD17" s="69">
        <f t="shared" si="51"/>
        <v>13631.486666666666</v>
      </c>
      <c r="FE17" s="69">
        <f t="shared" si="51"/>
        <v>11988.896666666667</v>
      </c>
      <c r="FF17" s="69">
        <f t="shared" si="51"/>
        <v>9131.4866666666676</v>
      </c>
      <c r="FG17" s="69">
        <f t="shared" si="51"/>
        <v>9131.4866666666676</v>
      </c>
      <c r="FH17" s="69">
        <f t="shared" si="51"/>
        <v>9131.4866666666676</v>
      </c>
      <c r="FI17" s="69">
        <f t="shared" si="51"/>
        <v>9131.4866666666676</v>
      </c>
      <c r="FJ17" s="69">
        <f t="shared" si="51"/>
        <v>11988.896666666667</v>
      </c>
      <c r="FK17" s="69">
        <f t="shared" si="51"/>
        <v>9131.4866666666676</v>
      </c>
      <c r="FL17" s="69">
        <f t="shared" si="51"/>
        <v>9131.4866666666676</v>
      </c>
      <c r="FM17" s="69">
        <f t="shared" si="51"/>
        <v>9131.4866666666676</v>
      </c>
      <c r="FN17" s="69">
        <f t="shared" si="51"/>
        <v>9131.4866666666676</v>
      </c>
      <c r="FO17" s="69">
        <f t="shared" si="51"/>
        <v>9131.4866666666676</v>
      </c>
      <c r="FP17" s="69">
        <f t="shared" si="51"/>
        <v>13631.486666666666</v>
      </c>
      <c r="FQ17" s="69">
        <f t="shared" si="51"/>
        <v>11988.896666666667</v>
      </c>
      <c r="FR17" s="69">
        <f t="shared" si="51"/>
        <v>9131.4866666666676</v>
      </c>
      <c r="FS17" s="69">
        <f t="shared" si="51"/>
        <v>9131.4866666666676</v>
      </c>
      <c r="FT17" s="69">
        <f t="shared" si="51"/>
        <v>9131.4866666666676</v>
      </c>
      <c r="FU17" s="69">
        <f t="shared" si="51"/>
        <v>9131.4866666666676</v>
      </c>
      <c r="FV17" s="69">
        <f t="shared" si="51"/>
        <v>11988.896666666667</v>
      </c>
      <c r="FW17" s="69">
        <f t="shared" si="51"/>
        <v>9131.4866666666676</v>
      </c>
      <c r="FX17" s="69">
        <f t="shared" si="51"/>
        <v>9131.4866666666676</v>
      </c>
      <c r="FY17" s="69">
        <f t="shared" si="51"/>
        <v>9131.4866666666676</v>
      </c>
      <c r="FZ17" s="69">
        <f t="shared" si="51"/>
        <v>9131.4866666666676</v>
      </c>
      <c r="GA17" s="69">
        <f t="shared" si="51"/>
        <v>9131.4866666666676</v>
      </c>
      <c r="GB17" s="69">
        <f t="shared" si="51"/>
        <v>16488.896666666667</v>
      </c>
      <c r="GC17" s="69">
        <f t="shared" si="51"/>
        <v>9131.4866666666676</v>
      </c>
      <c r="GD17" s="69">
        <f t="shared" si="51"/>
        <v>9131.4866666666676</v>
      </c>
      <c r="GE17" s="69">
        <f t="shared" si="51"/>
        <v>9131.4866666666676</v>
      </c>
      <c r="GF17" s="69">
        <f t="shared" si="51"/>
        <v>9131.4866666666676</v>
      </c>
      <c r="GG17" s="69">
        <f t="shared" si="51"/>
        <v>9131.4866666666676</v>
      </c>
      <c r="GH17" s="69">
        <f t="shared" si="51"/>
        <v>11988.896666666667</v>
      </c>
      <c r="GI17" s="69">
        <f t="shared" si="51"/>
        <v>9131.4866666666676</v>
      </c>
      <c r="GJ17" s="69">
        <f t="shared" si="51"/>
        <v>9131.4866666666676</v>
      </c>
      <c r="GK17" s="69">
        <f t="shared" si="51"/>
        <v>9131.4866666666676</v>
      </c>
      <c r="GL17" s="69">
        <f t="shared" si="51"/>
        <v>9131.4866666666676</v>
      </c>
      <c r="GM17" s="69">
        <f t="shared" si="51"/>
        <v>9131.4866666666676</v>
      </c>
      <c r="GN17" s="69">
        <f t="shared" ref="GN17:GT17" si="52">GN10+GN16</f>
        <v>16488.896666666667</v>
      </c>
      <c r="GO17" s="69">
        <f t="shared" si="52"/>
        <v>9131.4866666666676</v>
      </c>
      <c r="GP17" s="69">
        <f t="shared" si="52"/>
        <v>9131.4866666666676</v>
      </c>
      <c r="GQ17" s="69">
        <f t="shared" si="52"/>
        <v>9131.4866666666676</v>
      </c>
      <c r="GR17" s="69">
        <f t="shared" si="52"/>
        <v>9131.4866666666676</v>
      </c>
      <c r="GS17" s="69">
        <f t="shared" si="52"/>
        <v>11988.896666666667</v>
      </c>
      <c r="GT17" s="69">
        <f t="shared" si="52"/>
        <v>9131.4866666666676</v>
      </c>
    </row>
    <row r="18" spans="1:202" s="68" customFormat="1" x14ac:dyDescent="0.25">
      <c r="A18" s="68" t="s">
        <v>182</v>
      </c>
      <c r="C18" s="69">
        <f>SUMIFS(Profit!$I:$I,Profit!$J:$J,'Cash flow'!C$3)</f>
        <v>6402.8979591836733</v>
      </c>
      <c r="D18" s="69">
        <f>SUMIFS(Profit!$I:$I,Profit!$J:$J,'Cash flow'!D$3)</f>
        <v>4188.4495537824205</v>
      </c>
      <c r="E18" s="69">
        <f>SUMIFS(Profit!$I:$I,Profit!$J:$J,'Cash flow'!E$3)</f>
        <v>7312.4223450796117</v>
      </c>
      <c r="F18" s="69">
        <f>SUMIFS(Profit!$I:$I,Profit!$J:$J,'Cash flow'!F$3)</f>
        <v>9018.7370014812059</v>
      </c>
      <c r="G18" s="69">
        <f>SUMIFS(Profit!$I:$I,Profit!$J:$J,'Cash flow'!G$3)</f>
        <v>6216.9358454106286</v>
      </c>
      <c r="H18" s="69">
        <f>SUMIFS(Profit!$I:$I,Profit!$J:$J,'Cash flow'!H$3)</f>
        <v>7094.5454274799922</v>
      </c>
      <c r="I18" s="69">
        <f>SUMIFS(Profit!$I:$I,Profit!$J:$J,'Cash flow'!I$3)</f>
        <v>6878.1106373463836</v>
      </c>
      <c r="J18" s="69">
        <f>SUMIFS(Profit!$I:$I,Profit!$J:$J,'Cash flow'!J$3)</f>
        <v>8066.5338071420701</v>
      </c>
      <c r="K18" s="69">
        <f>SUMIFS(Profit!$I:$I,Profit!$J:$J,'Cash flow'!K$3)</f>
        <v>9368.0666665703702</v>
      </c>
      <c r="L18" s="69">
        <f>SUMIFS(Profit!$I:$I,Profit!$J:$J,'Cash flow'!L$3)</f>
        <v>8541.7027272915821</v>
      </c>
      <c r="M18" s="69">
        <f>SUMIFS(Profit!$I:$I,Profit!$J:$J,'Cash flow'!M$3)</f>
        <v>9730.0688766019539</v>
      </c>
      <c r="N18" s="69">
        <f>SUMIFS(Profit!$I:$I,Profit!$J:$J,'Cash flow'!N$3)</f>
        <v>5693.8137400363339</v>
      </c>
      <c r="O18" s="69">
        <f>SUMIFS(Profit!$I:$I,Profit!$J:$J,'Cash flow'!O$3)</f>
        <v>8912.5214196966281</v>
      </c>
      <c r="P18" s="69">
        <f>SUMIFS(Profit!$I:$I,Profit!$J:$J,'Cash flow'!P$3)</f>
        <v>9289.0601557545797</v>
      </c>
      <c r="Q18" s="69">
        <f>SUMIFS(Profit!$I:$I,Profit!$J:$J,'Cash flow'!Q$3)</f>
        <v>0</v>
      </c>
      <c r="R18" s="69">
        <f>SUMIFS(Profit!$I:$I,Profit!$J:$J,'Cash flow'!R$3)</f>
        <v>0</v>
      </c>
      <c r="S18" s="69">
        <f>SUMIFS(Profit!$I:$I,Profit!$J:$J,'Cash flow'!S$3)</f>
        <v>0</v>
      </c>
      <c r="T18" s="69">
        <f>SUMIFS(Profit!$I:$I,Profit!$J:$J,'Cash flow'!T$3)</f>
        <v>0</v>
      </c>
      <c r="U18" s="69">
        <f>SUMIFS(Profit!$I:$I,Profit!$J:$J,'Cash flow'!U$3)</f>
        <v>0</v>
      </c>
      <c r="V18" s="69">
        <f>SUMIFS(Profit!$I:$I,Profit!$J:$J,'Cash flow'!V$3)</f>
        <v>0</v>
      </c>
      <c r="W18" s="69">
        <f>SUMIFS(Profit!$I:$I,Profit!$J:$J,'Cash flow'!W$3)</f>
        <v>0</v>
      </c>
      <c r="X18" s="69">
        <f>SUMIFS(Profit!$I:$I,Profit!$J:$J,'Cash flow'!X$3)</f>
        <v>0</v>
      </c>
      <c r="Y18" s="69">
        <f>SUMIFS(Profit!$I:$I,Profit!$J:$J,'Cash flow'!Y$3)</f>
        <v>0</v>
      </c>
      <c r="Z18" s="69">
        <f>SUMIFS(Profit!$I:$I,Profit!$J:$J,'Cash flow'!Z$3)</f>
        <v>0</v>
      </c>
      <c r="AA18" s="69">
        <f>SUMIFS(Profit!$I:$I,Profit!$J:$J,'Cash flow'!AA$3)</f>
        <v>0</v>
      </c>
      <c r="AB18" s="69">
        <f>SUMIFS(Profit!$I:$I,Profit!$J:$J,'Cash flow'!AB$3)</f>
        <v>0</v>
      </c>
      <c r="AC18" s="69">
        <f>SUMIFS(Profit!$I:$I,Profit!$J:$J,'Cash flow'!AC$3)</f>
        <v>0</v>
      </c>
      <c r="AD18" s="69">
        <f>SUMIFS(Profit!$I:$I,Profit!$J:$J,'Cash flow'!AD$3)</f>
        <v>0</v>
      </c>
      <c r="AE18" s="69">
        <f>SUMIFS(Profit!$I:$I,Profit!$J:$J,'Cash flow'!AE$3)</f>
        <v>0</v>
      </c>
      <c r="AF18" s="69">
        <f>SUMIFS(Profit!$I:$I,Profit!$J:$J,'Cash flow'!AF$3)</f>
        <v>0</v>
      </c>
      <c r="AG18" s="69">
        <f>SUMIFS(Profit!$I:$I,Profit!$J:$J,'Cash flow'!AG$3)</f>
        <v>0</v>
      </c>
      <c r="AH18" s="69">
        <f>SUMIFS(Profit!$I:$I,Profit!$J:$J,'Cash flow'!AH$3)</f>
        <v>0</v>
      </c>
      <c r="AI18" s="69">
        <f>SUMIFS(Profit!$I:$I,Profit!$J:$J,'Cash flow'!AI$3)</f>
        <v>0</v>
      </c>
      <c r="AJ18" s="69">
        <f>SUMIFS(Profit!$I:$I,Profit!$J:$J,'Cash flow'!AJ$3)</f>
        <v>0</v>
      </c>
      <c r="AK18" s="69">
        <f>SUMIFS(Profit!$I:$I,Profit!$J:$J,'Cash flow'!AK$3)</f>
        <v>0</v>
      </c>
      <c r="AL18" s="69">
        <f>SUMIFS(Profit!$I:$I,Profit!$J:$J,'Cash flow'!AL$3)</f>
        <v>0</v>
      </c>
      <c r="AM18" s="69">
        <f>SUMIFS(Profit!$I:$I,Profit!$J:$J,'Cash flow'!AM$3)</f>
        <v>0</v>
      </c>
      <c r="AN18" s="69">
        <f>SUMIFS(Profit!$I:$I,Profit!$J:$J,'Cash flow'!AN$3)</f>
        <v>0</v>
      </c>
      <c r="AO18" s="69">
        <f>SUMIFS(Profit!$I:$I,Profit!$J:$J,'Cash flow'!AO$3)</f>
        <v>0</v>
      </c>
      <c r="AP18" s="69">
        <f>SUMIFS(Profit!$I:$I,Profit!$J:$J,'Cash flow'!AP$3)</f>
        <v>0</v>
      </c>
      <c r="AQ18" s="69">
        <f>SUMIFS(Profit!$I:$I,Profit!$J:$J,'Cash flow'!AQ$3)</f>
        <v>0</v>
      </c>
      <c r="AR18" s="69">
        <f>SUMIFS(Profit!$I:$I,Profit!$J:$J,'Cash flow'!AR$3)</f>
        <v>0</v>
      </c>
      <c r="AS18" s="69">
        <f>SUMIFS(Profit!$I:$I,Profit!$J:$J,'Cash flow'!AS$3)</f>
        <v>0</v>
      </c>
      <c r="AT18" s="69">
        <f>SUMIFS(Profit!$I:$I,Profit!$J:$J,'Cash flow'!AT$3)</f>
        <v>0</v>
      </c>
      <c r="AU18" s="69">
        <f>SUMIFS(Profit!$I:$I,Profit!$J:$J,'Cash flow'!AU$3)</f>
        <v>0</v>
      </c>
      <c r="AV18" s="69">
        <f>SUMIFS(Profit!$I:$I,Profit!$J:$J,'Cash flow'!AV$3)</f>
        <v>0</v>
      </c>
      <c r="AW18" s="69">
        <f>SUMIFS(Profit!$I:$I,Profit!$J:$J,'Cash flow'!AW$3)</f>
        <v>0</v>
      </c>
      <c r="AX18" s="69">
        <f>SUMIFS(Profit!$I:$I,Profit!$J:$J,'Cash flow'!AX$3)</f>
        <v>0</v>
      </c>
      <c r="AY18" s="69">
        <f>SUMIFS(Profit!$I:$I,Profit!$J:$J,'Cash flow'!AY$3)</f>
        <v>0</v>
      </c>
      <c r="AZ18" s="69">
        <f>SUMIFS(Profit!$I:$I,Profit!$J:$J,'Cash flow'!AZ$3)</f>
        <v>0</v>
      </c>
      <c r="BA18" s="69">
        <f>SUMIFS(Profit!$I:$I,Profit!$J:$J,'Cash flow'!BA$3)</f>
        <v>0</v>
      </c>
      <c r="BB18" s="69">
        <f>SUMIFS(Profit!$I:$I,Profit!$J:$J,'Cash flow'!BB$3)</f>
        <v>0</v>
      </c>
      <c r="BC18" s="69">
        <f>SUMIFS(Profit!$I:$I,Profit!$J:$J,'Cash flow'!BC$3)</f>
        <v>0</v>
      </c>
      <c r="BD18" s="69">
        <f>SUMIFS(Profit!$I:$I,Profit!$J:$J,'Cash flow'!BD$3)</f>
        <v>0</v>
      </c>
      <c r="BE18" s="69">
        <f>SUMIFS(Profit!$I:$I,Profit!$J:$J,'Cash flow'!BE$3)</f>
        <v>0</v>
      </c>
      <c r="BF18" s="69">
        <f>SUMIFS(Profit!$I:$I,Profit!$J:$J,'Cash flow'!BF$3)</f>
        <v>0</v>
      </c>
      <c r="BG18" s="69">
        <f>SUMIFS(Profit!$I:$I,Profit!$J:$J,'Cash flow'!BG$3)</f>
        <v>0</v>
      </c>
      <c r="BH18" s="69">
        <f>SUMIFS(Profit!$I:$I,Profit!$J:$J,'Cash flow'!BH$3)</f>
        <v>0</v>
      </c>
      <c r="BI18" s="69">
        <f>SUMIFS(Profit!$I:$I,Profit!$J:$J,'Cash flow'!BI$3)</f>
        <v>0</v>
      </c>
      <c r="BJ18" s="69">
        <f>SUMIFS(Profit!$I:$I,Profit!$J:$J,'Cash flow'!BJ$3)</f>
        <v>0</v>
      </c>
      <c r="BK18" s="69">
        <f>SUMIFS(Profit!$I:$I,Profit!$J:$J,'Cash flow'!BK$3)</f>
        <v>0</v>
      </c>
      <c r="BL18" s="69">
        <f>SUMIFS(Profit!$I:$I,Profit!$J:$J,'Cash flow'!BL$3)</f>
        <v>0</v>
      </c>
      <c r="BM18" s="69">
        <f>SUMIFS(Profit!$I:$I,Profit!$J:$J,'Cash flow'!BM$3)</f>
        <v>0</v>
      </c>
      <c r="BN18" s="69">
        <f>SUMIFS(Profit!$I:$I,Profit!$J:$J,'Cash flow'!BN$3)</f>
        <v>0</v>
      </c>
      <c r="BO18" s="69">
        <f>SUMIFS(Profit!$I:$I,Profit!$J:$J,'Cash flow'!BO$3)</f>
        <v>0</v>
      </c>
      <c r="BP18" s="69">
        <f>SUMIFS(Profit!$I:$I,Profit!$J:$J,'Cash flow'!BP$3)</f>
        <v>0</v>
      </c>
      <c r="BQ18" s="69">
        <f>SUMIFS(Profit!$I:$I,Profit!$J:$J,'Cash flow'!BQ$3)</f>
        <v>0</v>
      </c>
      <c r="BR18" s="69">
        <f>SUMIFS(Profit!$I:$I,Profit!$J:$J,'Cash flow'!BR$3)</f>
        <v>0</v>
      </c>
      <c r="BS18" s="69">
        <f>SUMIFS(Profit!$I:$I,Profit!$J:$J,'Cash flow'!BS$3)</f>
        <v>0</v>
      </c>
      <c r="BT18" s="69">
        <f>SUMIFS(Profit!$I:$I,Profit!$J:$J,'Cash flow'!BT$3)</f>
        <v>0</v>
      </c>
      <c r="BU18" s="69">
        <f>SUMIFS(Profit!$I:$I,Profit!$J:$J,'Cash flow'!BU$3)</f>
        <v>0</v>
      </c>
      <c r="BV18" s="69">
        <f>SUMIFS(Profit!$I:$I,Profit!$J:$J,'Cash flow'!BV$3)</f>
        <v>0</v>
      </c>
      <c r="BW18" s="69">
        <f>SUMIFS(Profit!$I:$I,Profit!$J:$J,'Cash flow'!BW$3)</f>
        <v>0</v>
      </c>
      <c r="BX18" s="69">
        <f>SUMIFS(Profit!$I:$I,Profit!$J:$J,'Cash flow'!BX$3)</f>
        <v>0</v>
      </c>
      <c r="BY18" s="69">
        <f>SUMIFS(Profit!$I:$I,Profit!$J:$J,'Cash flow'!BY$3)</f>
        <v>0</v>
      </c>
      <c r="BZ18" s="69">
        <f>SUMIFS(Profit!$I:$I,Profit!$J:$J,'Cash flow'!BZ$3)</f>
        <v>0</v>
      </c>
      <c r="CA18" s="69">
        <f>SUMIFS(Profit!$I:$I,Profit!$J:$J,'Cash flow'!CA$3)</f>
        <v>0</v>
      </c>
      <c r="CB18" s="69">
        <f>SUMIFS(Profit!$I:$I,Profit!$J:$J,'Cash flow'!CB$3)</f>
        <v>0</v>
      </c>
      <c r="CC18" s="69">
        <f>SUMIFS(Profit!$I:$I,Profit!$J:$J,'Cash flow'!CC$3)</f>
        <v>0</v>
      </c>
      <c r="CD18" s="69">
        <f>SUMIFS(Profit!$I:$I,Profit!$J:$J,'Cash flow'!CD$3)</f>
        <v>0</v>
      </c>
      <c r="CE18" s="69">
        <f>SUMIFS(Profit!$I:$I,Profit!$J:$J,'Cash flow'!CE$3)</f>
        <v>0</v>
      </c>
      <c r="CF18" s="69">
        <f>SUMIFS(Profit!$I:$I,Profit!$J:$J,'Cash flow'!CF$3)</f>
        <v>0</v>
      </c>
      <c r="CG18" s="69">
        <f>SUMIFS(Profit!$I:$I,Profit!$J:$J,'Cash flow'!CG$3)</f>
        <v>0</v>
      </c>
      <c r="CH18" s="69">
        <f>SUMIFS(Profit!$I:$I,Profit!$J:$J,'Cash flow'!CH$3)</f>
        <v>0</v>
      </c>
      <c r="CI18" s="69">
        <f>SUMIFS(Profit!$I:$I,Profit!$J:$J,'Cash flow'!CI$3)</f>
        <v>0</v>
      </c>
      <c r="CJ18" s="69">
        <f>SUMIFS(Profit!$I:$I,Profit!$J:$J,'Cash flow'!CJ$3)</f>
        <v>0</v>
      </c>
      <c r="CK18" s="69">
        <f>SUMIFS(Profit!$I:$I,Profit!$J:$J,'Cash flow'!CK$3)</f>
        <v>0</v>
      </c>
      <c r="CL18" s="69">
        <f>SUMIFS(Profit!$I:$I,Profit!$J:$J,'Cash flow'!CL$3)</f>
        <v>0</v>
      </c>
      <c r="CM18" s="69">
        <f>SUMIFS(Profit!$I:$I,Profit!$J:$J,'Cash flow'!CM$3)</f>
        <v>0</v>
      </c>
      <c r="CN18" s="69">
        <f>SUMIFS(Profit!$I:$I,Profit!$J:$J,'Cash flow'!CN$3)</f>
        <v>0</v>
      </c>
      <c r="CO18" s="69">
        <f>SUMIFS(Profit!$I:$I,Profit!$J:$J,'Cash flow'!CO$3)</f>
        <v>0</v>
      </c>
      <c r="CP18" s="69">
        <f>SUMIFS(Profit!$I:$I,Profit!$J:$J,'Cash flow'!CP$3)</f>
        <v>0</v>
      </c>
      <c r="CQ18" s="69">
        <f>SUMIFS(Profit!$I:$I,Profit!$J:$J,'Cash flow'!CQ$3)</f>
        <v>0</v>
      </c>
      <c r="CR18" s="69">
        <f>SUMIFS(Profit!$I:$I,Profit!$J:$J,'Cash flow'!CR$3)</f>
        <v>0</v>
      </c>
      <c r="CS18" s="69">
        <f>SUMIFS(Profit!$I:$I,Profit!$J:$J,'Cash flow'!CS$3)</f>
        <v>0</v>
      </c>
      <c r="CT18" s="69">
        <f>SUMIFS(Profit!$I:$I,Profit!$J:$J,'Cash flow'!CT$3)</f>
        <v>0</v>
      </c>
      <c r="CU18" s="69">
        <f>SUMIFS(Profit!$I:$I,Profit!$J:$J,'Cash flow'!CU$3)</f>
        <v>0</v>
      </c>
      <c r="CV18" s="69">
        <f>SUMIFS(Profit!$I:$I,Profit!$J:$J,'Cash flow'!CV$3)</f>
        <v>0</v>
      </c>
      <c r="CW18" s="69">
        <f>SUMIFS(Profit!$I:$I,Profit!$J:$J,'Cash flow'!CW$3)</f>
        <v>0</v>
      </c>
      <c r="CX18" s="69">
        <f>SUMIFS(Profit!$I:$I,Profit!$J:$J,'Cash flow'!CX$3)</f>
        <v>0</v>
      </c>
      <c r="CY18" s="69">
        <f>SUMIFS(Profit!$I:$I,Profit!$J:$J,'Cash flow'!CY$3)</f>
        <v>0</v>
      </c>
      <c r="CZ18" s="69">
        <f>SUMIFS(Profit!$I:$I,Profit!$J:$J,'Cash flow'!CZ$3)</f>
        <v>0</v>
      </c>
      <c r="DA18" s="69">
        <f>SUMIFS(Profit!$I:$I,Profit!$J:$J,'Cash flow'!DA$3)</f>
        <v>0</v>
      </c>
      <c r="DB18" s="69">
        <f>SUMIFS(Profit!$I:$I,Profit!$J:$J,'Cash flow'!DB$3)</f>
        <v>0</v>
      </c>
      <c r="DC18" s="69">
        <f>SUMIFS(Profit!$I:$I,Profit!$J:$J,'Cash flow'!DC$3)</f>
        <v>0</v>
      </c>
      <c r="DD18" s="69">
        <f>SUMIFS(Profit!$I:$I,Profit!$J:$J,'Cash flow'!DD$3)</f>
        <v>0</v>
      </c>
      <c r="DE18" s="69">
        <f>SUMIFS(Profit!$I:$I,Profit!$J:$J,'Cash flow'!DE$3)</f>
        <v>0</v>
      </c>
      <c r="DF18" s="69">
        <f>SUMIFS(Profit!$I:$I,Profit!$J:$J,'Cash flow'!DF$3)</f>
        <v>0</v>
      </c>
      <c r="DG18" s="69">
        <f>SUMIFS(Profit!$I:$I,Profit!$J:$J,'Cash flow'!DG$3)</f>
        <v>0</v>
      </c>
      <c r="DH18" s="69">
        <f>SUMIFS(Profit!$I:$I,Profit!$J:$J,'Cash flow'!DH$3)</f>
        <v>0</v>
      </c>
      <c r="DI18" s="69">
        <f>SUMIFS(Profit!$I:$I,Profit!$J:$J,'Cash flow'!DI$3)</f>
        <v>0</v>
      </c>
      <c r="DJ18" s="69">
        <f>SUMIFS(Profit!$I:$I,Profit!$J:$J,'Cash flow'!DJ$3)</f>
        <v>0</v>
      </c>
      <c r="DK18" s="69">
        <f>SUMIFS(Profit!$I:$I,Profit!$J:$J,'Cash flow'!DK$3)</f>
        <v>0</v>
      </c>
      <c r="DL18" s="69">
        <f>SUMIFS(Profit!$I:$I,Profit!$J:$J,'Cash flow'!DL$3)</f>
        <v>0</v>
      </c>
      <c r="DM18" s="69">
        <f>SUMIFS(Profit!$I:$I,Profit!$J:$J,'Cash flow'!DM$3)</f>
        <v>0</v>
      </c>
      <c r="DN18" s="69">
        <f>SUMIFS(Profit!$I:$I,Profit!$J:$J,'Cash flow'!DN$3)</f>
        <v>0</v>
      </c>
      <c r="DO18" s="69">
        <f>SUMIFS(Profit!$I:$I,Profit!$J:$J,'Cash flow'!DO$3)</f>
        <v>0</v>
      </c>
      <c r="DP18" s="69">
        <f>SUMIFS(Profit!$I:$I,Profit!$J:$J,'Cash flow'!DP$3)</f>
        <v>0</v>
      </c>
      <c r="DQ18" s="69">
        <f>SUMIFS(Profit!$I:$I,Profit!$J:$J,'Cash flow'!DQ$3)</f>
        <v>0</v>
      </c>
      <c r="DR18" s="69">
        <f>SUMIFS(Profit!$I:$I,Profit!$J:$J,'Cash flow'!DR$3)</f>
        <v>0</v>
      </c>
      <c r="DS18" s="69">
        <f>SUMIFS(Profit!$I:$I,Profit!$J:$J,'Cash flow'!DS$3)</f>
        <v>0</v>
      </c>
      <c r="DT18" s="69">
        <f>SUMIFS(Profit!$I:$I,Profit!$J:$J,'Cash flow'!DT$3)</f>
        <v>0</v>
      </c>
      <c r="DU18" s="69">
        <f>SUMIFS(Profit!$I:$I,Profit!$J:$J,'Cash flow'!DU$3)</f>
        <v>0</v>
      </c>
      <c r="DV18" s="69">
        <f>SUMIFS(Profit!$I:$I,Profit!$J:$J,'Cash flow'!DV$3)</f>
        <v>0</v>
      </c>
      <c r="DW18" s="69">
        <f>SUMIFS(Profit!$I:$I,Profit!$J:$J,'Cash flow'!DW$3)</f>
        <v>0</v>
      </c>
      <c r="DX18" s="69">
        <f>SUMIFS(Profit!$I:$I,Profit!$J:$J,'Cash flow'!DX$3)</f>
        <v>0</v>
      </c>
      <c r="DY18" s="69">
        <f>SUMIFS(Profit!$I:$I,Profit!$J:$J,'Cash flow'!DY$3)</f>
        <v>0</v>
      </c>
      <c r="DZ18" s="69">
        <f>SUMIFS(Profit!$I:$I,Profit!$J:$J,'Cash flow'!DZ$3)</f>
        <v>0</v>
      </c>
      <c r="EA18" s="69">
        <f>SUMIFS(Profit!$I:$I,Profit!$J:$J,'Cash flow'!EA$3)</f>
        <v>0</v>
      </c>
      <c r="EB18" s="69">
        <f>SUMIFS(Profit!$I:$I,Profit!$J:$J,'Cash flow'!EB$3)</f>
        <v>0</v>
      </c>
      <c r="EC18" s="69">
        <f>SUMIFS(Profit!$I:$I,Profit!$J:$J,'Cash flow'!EC$3)</f>
        <v>0</v>
      </c>
      <c r="ED18" s="69">
        <f>SUMIFS(Profit!$I:$I,Profit!$J:$J,'Cash flow'!ED$3)</f>
        <v>0</v>
      </c>
      <c r="EE18" s="69">
        <f>SUMIFS(Profit!$I:$I,Profit!$J:$J,'Cash flow'!EE$3)</f>
        <v>0</v>
      </c>
      <c r="EF18" s="69">
        <f>SUMIFS(Profit!$I:$I,Profit!$J:$J,'Cash flow'!EF$3)</f>
        <v>0</v>
      </c>
      <c r="EG18" s="69">
        <f>SUMIFS(Profit!$I:$I,Profit!$J:$J,'Cash flow'!EG$3)</f>
        <v>0</v>
      </c>
      <c r="EH18" s="69">
        <f>SUMIFS(Profit!$I:$I,Profit!$J:$J,'Cash flow'!EH$3)</f>
        <v>0</v>
      </c>
      <c r="EI18" s="69">
        <f>SUMIFS(Profit!$I:$I,Profit!$J:$J,'Cash flow'!EI$3)</f>
        <v>0</v>
      </c>
      <c r="EJ18" s="69">
        <f>SUMIFS(Profit!$I:$I,Profit!$J:$J,'Cash flow'!EJ$3)</f>
        <v>0</v>
      </c>
      <c r="EK18" s="69">
        <f>SUMIFS(Profit!$I:$I,Profit!$J:$J,'Cash flow'!EK$3)</f>
        <v>0</v>
      </c>
      <c r="EL18" s="69">
        <f>SUMIFS(Profit!$I:$I,Profit!$J:$J,'Cash flow'!EL$3)</f>
        <v>0</v>
      </c>
      <c r="EM18" s="69">
        <f>SUMIFS(Profit!$I:$I,Profit!$J:$J,'Cash flow'!EM$3)</f>
        <v>0</v>
      </c>
      <c r="EN18" s="69">
        <f>SUMIFS(Profit!$I:$I,Profit!$J:$J,'Cash flow'!EN$3)</f>
        <v>0</v>
      </c>
      <c r="EO18" s="69">
        <f>SUMIFS(Profit!$I:$I,Profit!$J:$J,'Cash flow'!EO$3)</f>
        <v>0</v>
      </c>
      <c r="EP18" s="69">
        <f>SUMIFS(Profit!$I:$I,Profit!$J:$J,'Cash flow'!EP$3)</f>
        <v>0</v>
      </c>
      <c r="EQ18" s="69">
        <f>SUMIFS(Profit!$I:$I,Profit!$J:$J,'Cash flow'!EQ$3)</f>
        <v>0</v>
      </c>
      <c r="ER18" s="69">
        <f>SUMIFS(Profit!$I:$I,Profit!$J:$J,'Cash flow'!ER$3)</f>
        <v>0</v>
      </c>
      <c r="ES18" s="69">
        <f>SUMIFS(Profit!$I:$I,Profit!$J:$J,'Cash flow'!ES$3)</f>
        <v>0</v>
      </c>
      <c r="ET18" s="69">
        <f>SUMIFS(Profit!$I:$I,Profit!$J:$J,'Cash flow'!ET$3)</f>
        <v>0</v>
      </c>
      <c r="EU18" s="69">
        <f>SUMIFS(Profit!$I:$I,Profit!$J:$J,'Cash flow'!EU$3)</f>
        <v>0</v>
      </c>
      <c r="EV18" s="69">
        <f>SUMIFS(Profit!$I:$I,Profit!$J:$J,'Cash flow'!EV$3)</f>
        <v>0</v>
      </c>
      <c r="EW18" s="69">
        <f>SUMIFS(Profit!$I:$I,Profit!$J:$J,'Cash flow'!EW$3)</f>
        <v>0</v>
      </c>
      <c r="EX18" s="69">
        <f>SUMIFS(Profit!$I:$I,Profit!$J:$J,'Cash flow'!EX$3)</f>
        <v>0</v>
      </c>
      <c r="EY18" s="69">
        <f>SUMIFS(Profit!$I:$I,Profit!$J:$J,'Cash flow'!EY$3)</f>
        <v>0</v>
      </c>
      <c r="EZ18" s="69">
        <f>SUMIFS(Profit!$I:$I,Profit!$J:$J,'Cash flow'!EZ$3)</f>
        <v>0</v>
      </c>
      <c r="FA18" s="69">
        <f>SUMIFS(Profit!$I:$I,Profit!$J:$J,'Cash flow'!FA$3)</f>
        <v>0</v>
      </c>
      <c r="FB18" s="69">
        <f>SUMIFS(Profit!$I:$I,Profit!$J:$J,'Cash flow'!FB$3)</f>
        <v>0</v>
      </c>
      <c r="FC18" s="69">
        <f>SUMIFS(Profit!$I:$I,Profit!$J:$J,'Cash flow'!FC$3)</f>
        <v>0</v>
      </c>
      <c r="FD18" s="69">
        <f>SUMIFS(Profit!$I:$I,Profit!$J:$J,'Cash flow'!FD$3)</f>
        <v>0</v>
      </c>
      <c r="FE18" s="69">
        <f>SUMIFS(Profit!$I:$I,Profit!$J:$J,'Cash flow'!FE$3)</f>
        <v>0</v>
      </c>
      <c r="FF18" s="69">
        <f>SUMIFS(Profit!$I:$I,Profit!$J:$J,'Cash flow'!FF$3)</f>
        <v>0</v>
      </c>
      <c r="FG18" s="69">
        <f>SUMIFS(Profit!$I:$I,Profit!$J:$J,'Cash flow'!FG$3)</f>
        <v>0</v>
      </c>
      <c r="FH18" s="69">
        <f>SUMIFS(Profit!$I:$I,Profit!$J:$J,'Cash flow'!FH$3)</f>
        <v>0</v>
      </c>
      <c r="FI18" s="69">
        <f>SUMIFS(Profit!$I:$I,Profit!$J:$J,'Cash flow'!FI$3)</f>
        <v>0</v>
      </c>
      <c r="FJ18" s="69">
        <f>SUMIFS(Profit!$I:$I,Profit!$J:$J,'Cash flow'!FJ$3)</f>
        <v>0</v>
      </c>
      <c r="FK18" s="69">
        <f>SUMIFS(Profit!$I:$I,Profit!$J:$J,'Cash flow'!FK$3)</f>
        <v>0</v>
      </c>
      <c r="FL18" s="69">
        <f>SUMIFS(Profit!$I:$I,Profit!$J:$J,'Cash flow'!FL$3)</f>
        <v>0</v>
      </c>
      <c r="FM18" s="69">
        <f>SUMIFS(Profit!$I:$I,Profit!$J:$J,'Cash flow'!FM$3)</f>
        <v>0</v>
      </c>
      <c r="FN18" s="69">
        <f>SUMIFS(Profit!$I:$I,Profit!$J:$J,'Cash flow'!FN$3)</f>
        <v>0</v>
      </c>
      <c r="FO18" s="69">
        <f>SUMIFS(Profit!$I:$I,Profit!$J:$J,'Cash flow'!FO$3)</f>
        <v>0</v>
      </c>
      <c r="FP18" s="69">
        <f>SUMIFS(Profit!$I:$I,Profit!$J:$J,'Cash flow'!FP$3)</f>
        <v>0</v>
      </c>
      <c r="FQ18" s="69">
        <f>SUMIFS(Profit!$I:$I,Profit!$J:$J,'Cash flow'!FQ$3)</f>
        <v>0</v>
      </c>
      <c r="FR18" s="69">
        <f>SUMIFS(Profit!$I:$I,Profit!$J:$J,'Cash flow'!FR$3)</f>
        <v>0</v>
      </c>
      <c r="FS18" s="69">
        <f>SUMIFS(Profit!$I:$I,Profit!$J:$J,'Cash flow'!FS$3)</f>
        <v>0</v>
      </c>
      <c r="FT18" s="69">
        <f>SUMIFS(Profit!$I:$I,Profit!$J:$J,'Cash flow'!FT$3)</f>
        <v>0</v>
      </c>
      <c r="FU18" s="69">
        <f>SUMIFS(Profit!$I:$I,Profit!$J:$J,'Cash flow'!FU$3)</f>
        <v>0</v>
      </c>
      <c r="FV18" s="69">
        <f>SUMIFS(Profit!$I:$I,Profit!$J:$J,'Cash flow'!FV$3)</f>
        <v>0</v>
      </c>
      <c r="FW18" s="69">
        <f>SUMIFS(Profit!$I:$I,Profit!$J:$J,'Cash flow'!FW$3)</f>
        <v>0</v>
      </c>
      <c r="FX18" s="69">
        <f>SUMIFS(Profit!$I:$I,Profit!$J:$J,'Cash flow'!FX$3)</f>
        <v>0</v>
      </c>
      <c r="FY18" s="69">
        <f>SUMIFS(Profit!$I:$I,Profit!$J:$J,'Cash flow'!FY$3)</f>
        <v>0</v>
      </c>
      <c r="FZ18" s="69">
        <f>SUMIFS(Profit!$I:$I,Profit!$J:$J,'Cash flow'!FZ$3)</f>
        <v>0</v>
      </c>
      <c r="GA18" s="69">
        <f>SUMIFS(Profit!$I:$I,Profit!$J:$J,'Cash flow'!GA$3)</f>
        <v>0</v>
      </c>
      <c r="GB18" s="69">
        <f>SUMIFS(Profit!$I:$I,Profit!$J:$J,'Cash flow'!GB$3)</f>
        <v>0</v>
      </c>
      <c r="GC18" s="69">
        <f>SUMIFS(Profit!$I:$I,Profit!$J:$J,'Cash flow'!GC$3)</f>
        <v>0</v>
      </c>
      <c r="GD18" s="69">
        <f>SUMIFS(Profit!$I:$I,Profit!$J:$J,'Cash flow'!GD$3)</f>
        <v>0</v>
      </c>
      <c r="GE18" s="69">
        <f>SUMIFS(Profit!$I:$I,Profit!$J:$J,'Cash flow'!GE$3)</f>
        <v>0</v>
      </c>
      <c r="GF18" s="69">
        <f>SUMIFS(Profit!$I:$I,Profit!$J:$J,'Cash flow'!GF$3)</f>
        <v>0</v>
      </c>
      <c r="GG18" s="69">
        <f>SUMIFS(Profit!$I:$I,Profit!$J:$J,'Cash flow'!GG$3)</f>
        <v>0</v>
      </c>
      <c r="GH18" s="69">
        <f>SUMIFS(Profit!$I:$I,Profit!$J:$J,'Cash flow'!GH$3)</f>
        <v>0</v>
      </c>
      <c r="GI18" s="69">
        <f>SUMIFS(Profit!$I:$I,Profit!$J:$J,'Cash flow'!GI$3)</f>
        <v>0</v>
      </c>
      <c r="GJ18" s="69">
        <f>SUMIFS(Profit!$I:$I,Profit!$J:$J,'Cash flow'!GJ$3)</f>
        <v>0</v>
      </c>
      <c r="GK18" s="69">
        <f>SUMIFS(Profit!$I:$I,Profit!$J:$J,'Cash flow'!GK$3)</f>
        <v>0</v>
      </c>
      <c r="GL18" s="69">
        <f>SUMIFS(Profit!$I:$I,Profit!$J:$J,'Cash flow'!GL$3)</f>
        <v>0</v>
      </c>
      <c r="GM18" s="69">
        <f>SUMIFS(Profit!$I:$I,Profit!$J:$J,'Cash flow'!GM$3)</f>
        <v>0</v>
      </c>
      <c r="GN18" s="69">
        <f>SUMIFS(Profit!$I:$I,Profit!$J:$J,'Cash flow'!GN$3)</f>
        <v>0</v>
      </c>
      <c r="GO18" s="69">
        <f>SUMIFS(Profit!$I:$I,Profit!$J:$J,'Cash flow'!GO$3)</f>
        <v>0</v>
      </c>
      <c r="GP18" s="69">
        <f>SUMIFS(Profit!$I:$I,Profit!$J:$J,'Cash flow'!GP$3)</f>
        <v>0</v>
      </c>
      <c r="GQ18" s="69">
        <f>SUMIFS(Profit!$I:$I,Profit!$J:$J,'Cash flow'!GQ$3)</f>
        <v>0</v>
      </c>
      <c r="GR18" s="69">
        <f>SUMIFS(Profit!$I:$I,Profit!$J:$J,'Cash flow'!GR$3)</f>
        <v>0</v>
      </c>
      <c r="GS18" s="69">
        <f>SUMIFS(Profit!$I:$I,Profit!$J:$J,'Cash flow'!GS$3)</f>
        <v>0</v>
      </c>
      <c r="GT18" s="69">
        <f>SUMIFS(Profit!$I:$I,Profit!$J:$J,'Cash flow'!GT$3)</f>
        <v>0</v>
      </c>
    </row>
    <row r="19" spans="1:202" s="65" customFormat="1" x14ac:dyDescent="0.25">
      <c r="A19" s="65" t="s">
        <v>90</v>
      </c>
      <c r="C19" s="66">
        <f>IF(C2,C18,C17)</f>
        <v>6402.8979591836733</v>
      </c>
      <c r="D19" s="66">
        <f t="shared" ref="D19:BO19" si="53">IF(D2,D18,D17)</f>
        <v>4188.4495537824205</v>
      </c>
      <c r="E19" s="66">
        <f t="shared" si="53"/>
        <v>7312.4223450796117</v>
      </c>
      <c r="F19" s="66">
        <f t="shared" si="53"/>
        <v>9018.7370014812059</v>
      </c>
      <c r="G19" s="66">
        <f t="shared" si="53"/>
        <v>6216.9358454106286</v>
      </c>
      <c r="H19" s="66">
        <f t="shared" si="53"/>
        <v>7094.5454274799922</v>
      </c>
      <c r="I19" s="66">
        <f t="shared" si="53"/>
        <v>6878.1106373463836</v>
      </c>
      <c r="J19" s="66">
        <f t="shared" si="53"/>
        <v>8066.5338071420701</v>
      </c>
      <c r="K19" s="66">
        <f t="shared" si="53"/>
        <v>9368.0666665703702</v>
      </c>
      <c r="L19" s="66">
        <f t="shared" si="53"/>
        <v>8541.7027272915821</v>
      </c>
      <c r="M19" s="66">
        <f t="shared" si="53"/>
        <v>9730.0688766019539</v>
      </c>
      <c r="N19" s="66">
        <f t="shared" si="53"/>
        <v>5693.8137400363339</v>
      </c>
      <c r="O19" s="66">
        <f t="shared" si="53"/>
        <v>8912.5214196966281</v>
      </c>
      <c r="P19" s="66">
        <f t="shared" si="53"/>
        <v>9289.0601557545797</v>
      </c>
      <c r="Q19" s="66">
        <f t="shared" si="53"/>
        <v>9892.2300000000014</v>
      </c>
      <c r="R19" s="66">
        <f t="shared" si="53"/>
        <v>7034.8200000000006</v>
      </c>
      <c r="S19" s="66">
        <f t="shared" si="53"/>
        <v>5714.8200000000006</v>
      </c>
      <c r="T19" s="66">
        <f t="shared" si="53"/>
        <v>5714.8200000000006</v>
      </c>
      <c r="U19" s="66">
        <f t="shared" si="53"/>
        <v>5714.8200000000006</v>
      </c>
      <c r="V19" s="66">
        <f t="shared" si="53"/>
        <v>5714.8200000000006</v>
      </c>
      <c r="W19" s="66">
        <f t="shared" si="53"/>
        <v>9892.2300000000014</v>
      </c>
      <c r="X19" s="66">
        <f t="shared" si="53"/>
        <v>7034.8200000000006</v>
      </c>
      <c r="Y19" s="66">
        <f t="shared" si="53"/>
        <v>7034.8200000000006</v>
      </c>
      <c r="Z19" s="66">
        <f t="shared" si="53"/>
        <v>7034.8200000000006</v>
      </c>
      <c r="AA19" s="66">
        <f t="shared" si="53"/>
        <v>7034.8200000000006</v>
      </c>
      <c r="AB19" s="66">
        <f t="shared" si="53"/>
        <v>11534.82</v>
      </c>
      <c r="AC19" s="66">
        <f t="shared" si="53"/>
        <v>9892.2300000000014</v>
      </c>
      <c r="AD19" s="66">
        <f t="shared" si="53"/>
        <v>7034.8200000000006</v>
      </c>
      <c r="AE19" s="66">
        <f t="shared" si="53"/>
        <v>7034.8200000000006</v>
      </c>
      <c r="AF19" s="66">
        <f t="shared" si="53"/>
        <v>7034.8200000000006</v>
      </c>
      <c r="AG19" s="66">
        <f t="shared" si="53"/>
        <v>7034.8200000000006</v>
      </c>
      <c r="AH19" s="66">
        <f t="shared" si="53"/>
        <v>9892.2300000000014</v>
      </c>
      <c r="AI19" s="66">
        <f t="shared" si="53"/>
        <v>6914.8200000000006</v>
      </c>
      <c r="AJ19" s="66">
        <f t="shared" si="53"/>
        <v>6914.8200000000006</v>
      </c>
      <c r="AK19" s="66">
        <f t="shared" si="53"/>
        <v>6914.8200000000006</v>
      </c>
      <c r="AL19" s="66">
        <f t="shared" si="53"/>
        <v>6914.8200000000006</v>
      </c>
      <c r="AM19" s="66">
        <f t="shared" si="53"/>
        <v>6914.8200000000006</v>
      </c>
      <c r="AN19" s="66">
        <f t="shared" si="53"/>
        <v>11414.82</v>
      </c>
      <c r="AO19" s="66">
        <f t="shared" si="53"/>
        <v>9772.2300000000014</v>
      </c>
      <c r="AP19" s="66">
        <f t="shared" si="53"/>
        <v>9131.4866666666676</v>
      </c>
      <c r="AQ19" s="66">
        <f t="shared" si="53"/>
        <v>9131.4866666666676</v>
      </c>
      <c r="AR19" s="66">
        <f t="shared" si="53"/>
        <v>9131.4866666666676</v>
      </c>
      <c r="AS19" s="66">
        <f t="shared" si="53"/>
        <v>9131.4866666666676</v>
      </c>
      <c r="AT19" s="66">
        <f t="shared" si="53"/>
        <v>11988.896666666667</v>
      </c>
      <c r="AU19" s="66">
        <f t="shared" si="53"/>
        <v>9131.4866666666676</v>
      </c>
      <c r="AV19" s="66">
        <f t="shared" si="53"/>
        <v>9131.4866666666676</v>
      </c>
      <c r="AW19" s="66">
        <f t="shared" si="53"/>
        <v>9131.4866666666676</v>
      </c>
      <c r="AX19" s="66">
        <f t="shared" si="53"/>
        <v>9131.4866666666676</v>
      </c>
      <c r="AY19" s="66">
        <f t="shared" si="53"/>
        <v>9131.4866666666676</v>
      </c>
      <c r="AZ19" s="66">
        <f t="shared" si="53"/>
        <v>16488.896666666667</v>
      </c>
      <c r="BA19" s="66">
        <f t="shared" si="53"/>
        <v>9131.4866666666676</v>
      </c>
      <c r="BB19" s="66">
        <f t="shared" si="53"/>
        <v>9131.4866666666676</v>
      </c>
      <c r="BC19" s="66">
        <f t="shared" si="53"/>
        <v>9131.4866666666676</v>
      </c>
      <c r="BD19" s="66">
        <f t="shared" si="53"/>
        <v>9131.4866666666676</v>
      </c>
      <c r="BE19" s="66">
        <f t="shared" si="53"/>
        <v>9131.4866666666676</v>
      </c>
      <c r="BF19" s="66">
        <f t="shared" si="53"/>
        <v>11988.896666666667</v>
      </c>
      <c r="BG19" s="66">
        <f t="shared" si="53"/>
        <v>9131.4866666666676</v>
      </c>
      <c r="BH19" s="66">
        <f t="shared" si="53"/>
        <v>9131.4866666666676</v>
      </c>
      <c r="BI19" s="66">
        <f t="shared" si="53"/>
        <v>9131.4866666666676</v>
      </c>
      <c r="BJ19" s="66">
        <f t="shared" si="53"/>
        <v>9131.4866666666676</v>
      </c>
      <c r="BK19" s="66">
        <f t="shared" si="53"/>
        <v>11988.896666666667</v>
      </c>
      <c r="BL19" s="66">
        <f t="shared" si="53"/>
        <v>13631.486666666666</v>
      </c>
      <c r="BM19" s="66">
        <f t="shared" si="53"/>
        <v>9131.4866666666676</v>
      </c>
      <c r="BN19" s="66">
        <f t="shared" si="53"/>
        <v>9131.4866666666676</v>
      </c>
      <c r="BO19" s="66">
        <f t="shared" si="53"/>
        <v>9131.4866666666676</v>
      </c>
      <c r="BP19" s="66">
        <f t="shared" ref="BP19:EA19" si="54">IF(BP2,BP18,BP17)</f>
        <v>9131.4866666666676</v>
      </c>
      <c r="BQ19" s="66">
        <f t="shared" si="54"/>
        <v>11988.896666666667</v>
      </c>
      <c r="BR19" s="66">
        <f t="shared" si="54"/>
        <v>9131.4866666666676</v>
      </c>
      <c r="BS19" s="66">
        <f t="shared" si="54"/>
        <v>9131.4866666666676</v>
      </c>
      <c r="BT19" s="66">
        <f t="shared" si="54"/>
        <v>9131.4866666666676</v>
      </c>
      <c r="BU19" s="66">
        <f t="shared" si="54"/>
        <v>9131.4866666666676</v>
      </c>
      <c r="BV19" s="66">
        <f t="shared" si="54"/>
        <v>9131.4866666666676</v>
      </c>
      <c r="BW19" s="66">
        <f t="shared" si="54"/>
        <v>11988.896666666667</v>
      </c>
      <c r="BX19" s="66">
        <f t="shared" si="54"/>
        <v>13631.486666666666</v>
      </c>
      <c r="BY19" s="66">
        <f t="shared" si="54"/>
        <v>9131.4866666666676</v>
      </c>
      <c r="BZ19" s="66">
        <f t="shared" si="54"/>
        <v>9131.4866666666676</v>
      </c>
      <c r="CA19" s="66">
        <f t="shared" si="54"/>
        <v>9131.4866666666676</v>
      </c>
      <c r="CB19" s="66">
        <f t="shared" si="54"/>
        <v>11988.896666666667</v>
      </c>
      <c r="CC19" s="66">
        <f t="shared" si="54"/>
        <v>9131.4866666666676</v>
      </c>
      <c r="CD19" s="66">
        <f t="shared" si="54"/>
        <v>9131.4866666666676</v>
      </c>
      <c r="CE19" s="66">
        <f t="shared" si="54"/>
        <v>9131.4866666666676</v>
      </c>
      <c r="CF19" s="66">
        <f t="shared" si="54"/>
        <v>9131.4866666666676</v>
      </c>
      <c r="CG19" s="66">
        <f t="shared" si="54"/>
        <v>9131.4866666666676</v>
      </c>
      <c r="CH19" s="66">
        <f t="shared" si="54"/>
        <v>9131.4866666666676</v>
      </c>
      <c r="CI19" s="66">
        <f t="shared" si="54"/>
        <v>11988.896666666667</v>
      </c>
      <c r="CJ19" s="66">
        <f t="shared" si="54"/>
        <v>13631.486666666666</v>
      </c>
      <c r="CK19" s="66">
        <f t="shared" si="54"/>
        <v>9131.4866666666676</v>
      </c>
      <c r="CL19" s="66">
        <f t="shared" si="54"/>
        <v>9131.4866666666676</v>
      </c>
      <c r="CM19" s="66">
        <f t="shared" si="54"/>
        <v>9131.4866666666676</v>
      </c>
      <c r="CN19" s="66">
        <f t="shared" si="54"/>
        <v>11988.896666666667</v>
      </c>
      <c r="CO19" s="66">
        <f t="shared" si="54"/>
        <v>9131.4866666666676</v>
      </c>
      <c r="CP19" s="66">
        <f t="shared" si="54"/>
        <v>9131.4866666666676</v>
      </c>
      <c r="CQ19" s="66">
        <f t="shared" si="54"/>
        <v>9131.4866666666676</v>
      </c>
      <c r="CR19" s="66">
        <f t="shared" si="54"/>
        <v>9131.4866666666676</v>
      </c>
      <c r="CS19" s="66">
        <f t="shared" si="54"/>
        <v>9131.4866666666676</v>
      </c>
      <c r="CT19" s="66">
        <f t="shared" si="54"/>
        <v>11988.896666666667</v>
      </c>
      <c r="CU19" s="66">
        <f t="shared" si="54"/>
        <v>9131.4866666666676</v>
      </c>
      <c r="CV19" s="66">
        <f t="shared" si="54"/>
        <v>13631.486666666666</v>
      </c>
      <c r="CW19" s="66">
        <f t="shared" si="54"/>
        <v>9131.4866666666676</v>
      </c>
      <c r="CX19" s="66">
        <f t="shared" si="54"/>
        <v>9131.4866666666676</v>
      </c>
      <c r="CY19" s="66">
        <f t="shared" si="54"/>
        <v>9131.4866666666676</v>
      </c>
      <c r="CZ19" s="66">
        <f t="shared" si="54"/>
        <v>11988.896666666667</v>
      </c>
      <c r="DA19" s="66">
        <f t="shared" si="54"/>
        <v>9131.4866666666676</v>
      </c>
      <c r="DB19" s="66">
        <f t="shared" si="54"/>
        <v>9131.4866666666676</v>
      </c>
      <c r="DC19" s="66">
        <f t="shared" si="54"/>
        <v>9131.4866666666676</v>
      </c>
      <c r="DD19" s="66">
        <f t="shared" si="54"/>
        <v>9131.4866666666676</v>
      </c>
      <c r="DE19" s="66">
        <f t="shared" si="54"/>
        <v>11988.896666666667</v>
      </c>
      <c r="DF19" s="66">
        <f t="shared" si="54"/>
        <v>9131.4866666666676</v>
      </c>
      <c r="DG19" s="66">
        <f t="shared" si="54"/>
        <v>9131.4866666666676</v>
      </c>
      <c r="DH19" s="66">
        <f t="shared" si="54"/>
        <v>13631.486666666666</v>
      </c>
      <c r="DI19" s="66">
        <f t="shared" si="54"/>
        <v>9131.4866666666676</v>
      </c>
      <c r="DJ19" s="66">
        <f t="shared" si="54"/>
        <v>9131.4866666666676</v>
      </c>
      <c r="DK19" s="66">
        <f t="shared" si="54"/>
        <v>11988.896666666667</v>
      </c>
      <c r="DL19" s="66">
        <f t="shared" si="54"/>
        <v>9131.4866666666676</v>
      </c>
      <c r="DM19" s="66">
        <f t="shared" si="54"/>
        <v>9131.4866666666676</v>
      </c>
      <c r="DN19" s="66">
        <f t="shared" si="54"/>
        <v>9131.4866666666676</v>
      </c>
      <c r="DO19" s="66">
        <f t="shared" si="54"/>
        <v>9131.4866666666676</v>
      </c>
      <c r="DP19" s="66">
        <f t="shared" si="54"/>
        <v>9131.4866666666676</v>
      </c>
      <c r="DQ19" s="66">
        <f t="shared" si="54"/>
        <v>11988.896666666667</v>
      </c>
      <c r="DR19" s="66">
        <f t="shared" si="54"/>
        <v>9131.4866666666676</v>
      </c>
      <c r="DS19" s="66">
        <f t="shared" si="54"/>
        <v>9131.4866666666676</v>
      </c>
      <c r="DT19" s="66">
        <f t="shared" si="54"/>
        <v>13631.486666666666</v>
      </c>
      <c r="DU19" s="66">
        <f t="shared" si="54"/>
        <v>9131.4866666666676</v>
      </c>
      <c r="DV19" s="66">
        <f t="shared" si="54"/>
        <v>11988.896666666667</v>
      </c>
      <c r="DW19" s="66">
        <f t="shared" si="54"/>
        <v>9131.4866666666676</v>
      </c>
      <c r="DX19" s="66">
        <f t="shared" si="54"/>
        <v>9131.4866666666676</v>
      </c>
      <c r="DY19" s="66">
        <f t="shared" si="54"/>
        <v>9131.4866666666676</v>
      </c>
      <c r="DZ19" s="66">
        <f t="shared" si="54"/>
        <v>9131.4866666666676</v>
      </c>
      <c r="EA19" s="66">
        <f t="shared" si="54"/>
        <v>9131.4866666666676</v>
      </c>
      <c r="EB19" s="66">
        <f t="shared" ref="EB19:GM19" si="55">IF(EB2,EB18,EB17)</f>
        <v>9131.4866666666676</v>
      </c>
      <c r="EC19" s="66">
        <f t="shared" si="55"/>
        <v>11988.896666666667</v>
      </c>
      <c r="ED19" s="66">
        <f t="shared" si="55"/>
        <v>9131.4866666666676</v>
      </c>
      <c r="EE19" s="66">
        <f t="shared" si="55"/>
        <v>9131.4866666666676</v>
      </c>
      <c r="EF19" s="66">
        <f t="shared" si="55"/>
        <v>13631.486666666666</v>
      </c>
      <c r="EG19" s="66">
        <f t="shared" si="55"/>
        <v>9131.4866666666676</v>
      </c>
      <c r="EH19" s="66">
        <f t="shared" si="55"/>
        <v>11988.896666666667</v>
      </c>
      <c r="EI19" s="66">
        <f t="shared" si="55"/>
        <v>9131.4866666666676</v>
      </c>
      <c r="EJ19" s="66">
        <f t="shared" si="55"/>
        <v>9131.4866666666676</v>
      </c>
      <c r="EK19" s="66">
        <f t="shared" si="55"/>
        <v>9131.4866666666676</v>
      </c>
      <c r="EL19" s="66">
        <f t="shared" si="55"/>
        <v>9131.4866666666676</v>
      </c>
      <c r="EM19" s="66">
        <f t="shared" si="55"/>
        <v>11988.896666666667</v>
      </c>
      <c r="EN19" s="66">
        <f t="shared" si="55"/>
        <v>9131.4866666666676</v>
      </c>
      <c r="EO19" s="66">
        <f t="shared" si="55"/>
        <v>9131.4866666666676</v>
      </c>
      <c r="EP19" s="66">
        <f t="shared" si="55"/>
        <v>9131.4866666666676</v>
      </c>
      <c r="EQ19" s="66">
        <f t="shared" si="55"/>
        <v>9131.4866666666676</v>
      </c>
      <c r="ER19" s="66">
        <f t="shared" si="55"/>
        <v>13631.486666666666</v>
      </c>
      <c r="ES19" s="66">
        <f t="shared" si="55"/>
        <v>9131.4866666666676</v>
      </c>
      <c r="ET19" s="66">
        <f t="shared" si="55"/>
        <v>11988.896666666667</v>
      </c>
      <c r="EU19" s="66">
        <f t="shared" si="55"/>
        <v>9131.4866666666676</v>
      </c>
      <c r="EV19" s="66">
        <f t="shared" si="55"/>
        <v>9131.4866666666676</v>
      </c>
      <c r="EW19" s="66">
        <f t="shared" si="55"/>
        <v>9131.4866666666676</v>
      </c>
      <c r="EX19" s="66">
        <f t="shared" si="55"/>
        <v>9131.4866666666676</v>
      </c>
      <c r="EY19" s="66">
        <f t="shared" si="55"/>
        <v>11988.896666666667</v>
      </c>
      <c r="EZ19" s="66">
        <f t="shared" si="55"/>
        <v>9131.4866666666676</v>
      </c>
      <c r="FA19" s="66">
        <f t="shared" si="55"/>
        <v>9131.4866666666676</v>
      </c>
      <c r="FB19" s="66">
        <f t="shared" si="55"/>
        <v>9131.4866666666676</v>
      </c>
      <c r="FC19" s="66">
        <f t="shared" si="55"/>
        <v>9131.4866666666676</v>
      </c>
      <c r="FD19" s="66">
        <f t="shared" si="55"/>
        <v>13631.486666666666</v>
      </c>
      <c r="FE19" s="66">
        <f t="shared" si="55"/>
        <v>11988.896666666667</v>
      </c>
      <c r="FF19" s="66">
        <f t="shared" si="55"/>
        <v>9131.4866666666676</v>
      </c>
      <c r="FG19" s="66">
        <f t="shared" si="55"/>
        <v>9131.4866666666676</v>
      </c>
      <c r="FH19" s="66">
        <f t="shared" si="55"/>
        <v>9131.4866666666676</v>
      </c>
      <c r="FI19" s="66">
        <f t="shared" si="55"/>
        <v>9131.4866666666676</v>
      </c>
      <c r="FJ19" s="66">
        <f t="shared" si="55"/>
        <v>11988.896666666667</v>
      </c>
      <c r="FK19" s="66">
        <f t="shared" si="55"/>
        <v>9131.4866666666676</v>
      </c>
      <c r="FL19" s="66">
        <f t="shared" si="55"/>
        <v>9131.4866666666676</v>
      </c>
      <c r="FM19" s="66">
        <f t="shared" si="55"/>
        <v>9131.4866666666676</v>
      </c>
      <c r="FN19" s="66">
        <f t="shared" si="55"/>
        <v>9131.4866666666676</v>
      </c>
      <c r="FO19" s="66">
        <f t="shared" si="55"/>
        <v>9131.4866666666676</v>
      </c>
      <c r="FP19" s="66">
        <f t="shared" si="55"/>
        <v>13631.486666666666</v>
      </c>
      <c r="FQ19" s="66">
        <f t="shared" si="55"/>
        <v>11988.896666666667</v>
      </c>
      <c r="FR19" s="66">
        <f t="shared" si="55"/>
        <v>9131.4866666666676</v>
      </c>
      <c r="FS19" s="66">
        <f t="shared" si="55"/>
        <v>9131.4866666666676</v>
      </c>
      <c r="FT19" s="66">
        <f t="shared" si="55"/>
        <v>9131.4866666666676</v>
      </c>
      <c r="FU19" s="66">
        <f t="shared" si="55"/>
        <v>9131.4866666666676</v>
      </c>
      <c r="FV19" s="66">
        <f t="shared" si="55"/>
        <v>11988.896666666667</v>
      </c>
      <c r="FW19" s="66">
        <f t="shared" si="55"/>
        <v>9131.4866666666676</v>
      </c>
      <c r="FX19" s="66">
        <f t="shared" si="55"/>
        <v>9131.4866666666676</v>
      </c>
      <c r="FY19" s="66">
        <f t="shared" si="55"/>
        <v>9131.4866666666676</v>
      </c>
      <c r="FZ19" s="66">
        <f t="shared" si="55"/>
        <v>9131.4866666666676</v>
      </c>
      <c r="GA19" s="66">
        <f t="shared" si="55"/>
        <v>9131.4866666666676</v>
      </c>
      <c r="GB19" s="66">
        <f t="shared" si="55"/>
        <v>16488.896666666667</v>
      </c>
      <c r="GC19" s="66">
        <f t="shared" si="55"/>
        <v>9131.4866666666676</v>
      </c>
      <c r="GD19" s="66">
        <f t="shared" si="55"/>
        <v>9131.4866666666676</v>
      </c>
      <c r="GE19" s="66">
        <f t="shared" si="55"/>
        <v>9131.4866666666676</v>
      </c>
      <c r="GF19" s="66">
        <f t="shared" si="55"/>
        <v>9131.4866666666676</v>
      </c>
      <c r="GG19" s="66">
        <f t="shared" si="55"/>
        <v>9131.4866666666676</v>
      </c>
      <c r="GH19" s="66">
        <f t="shared" si="55"/>
        <v>11988.896666666667</v>
      </c>
      <c r="GI19" s="66">
        <f t="shared" si="55"/>
        <v>9131.4866666666676</v>
      </c>
      <c r="GJ19" s="66">
        <f t="shared" si="55"/>
        <v>9131.4866666666676</v>
      </c>
      <c r="GK19" s="66">
        <f t="shared" si="55"/>
        <v>9131.4866666666676</v>
      </c>
      <c r="GL19" s="66">
        <f t="shared" si="55"/>
        <v>9131.4866666666676</v>
      </c>
      <c r="GM19" s="66">
        <f t="shared" si="55"/>
        <v>9131.4866666666676</v>
      </c>
      <c r="GN19" s="66">
        <f t="shared" ref="GN19:GT19" si="56">IF(GN2,GN18,GN17)</f>
        <v>16488.896666666667</v>
      </c>
      <c r="GO19" s="66">
        <f t="shared" si="56"/>
        <v>9131.4866666666676</v>
      </c>
      <c r="GP19" s="66">
        <f t="shared" si="56"/>
        <v>9131.4866666666676</v>
      </c>
      <c r="GQ19" s="66">
        <f t="shared" si="56"/>
        <v>9131.4866666666676</v>
      </c>
      <c r="GR19" s="66">
        <f t="shared" si="56"/>
        <v>9131.4866666666676</v>
      </c>
      <c r="GS19" s="66">
        <f t="shared" si="56"/>
        <v>11988.896666666667</v>
      </c>
      <c r="GT19" s="66">
        <f t="shared" si="56"/>
        <v>9131.4866666666676</v>
      </c>
    </row>
    <row r="20" spans="1:202" x14ac:dyDescent="0.25">
      <c r="A20" t="s">
        <v>93</v>
      </c>
    </row>
    <row r="21" spans="1:202" s="74" customFormat="1" x14ac:dyDescent="0.25">
      <c r="A21" s="156" t="s">
        <v>183</v>
      </c>
      <c r="C21" s="75">
        <f>-'P&amp;L USA'!$C$13</f>
        <v>-3350.165</v>
      </c>
      <c r="D21" s="75">
        <f>C21</f>
        <v>-3350.165</v>
      </c>
      <c r="E21" s="75">
        <f t="shared" ref="E21:K21" si="57">D21</f>
        <v>-3350.165</v>
      </c>
      <c r="F21" s="75">
        <f t="shared" si="57"/>
        <v>-3350.165</v>
      </c>
      <c r="G21" s="75">
        <f t="shared" si="57"/>
        <v>-3350.165</v>
      </c>
      <c r="H21" s="75">
        <f t="shared" si="57"/>
        <v>-3350.165</v>
      </c>
      <c r="I21" s="75">
        <f t="shared" si="57"/>
        <v>-3350.165</v>
      </c>
      <c r="J21" s="75">
        <f t="shared" si="57"/>
        <v>-3350.165</v>
      </c>
      <c r="K21" s="75">
        <f t="shared" si="57"/>
        <v>-3350.165</v>
      </c>
      <c r="L21" s="75">
        <f t="shared" ref="L21:BW21" si="58">K21</f>
        <v>-3350.165</v>
      </c>
      <c r="M21" s="75">
        <f t="shared" si="58"/>
        <v>-3350.165</v>
      </c>
      <c r="N21" s="75">
        <f t="shared" si="58"/>
        <v>-3350.165</v>
      </c>
      <c r="O21" s="75">
        <f t="shared" si="58"/>
        <v>-3350.165</v>
      </c>
      <c r="P21" s="75">
        <f t="shared" si="58"/>
        <v>-3350.165</v>
      </c>
      <c r="Q21" s="75">
        <f t="shared" si="58"/>
        <v>-3350.165</v>
      </c>
      <c r="R21" s="75">
        <f t="shared" si="58"/>
        <v>-3350.165</v>
      </c>
      <c r="S21" s="75">
        <f t="shared" si="58"/>
        <v>-3350.165</v>
      </c>
      <c r="T21" s="75">
        <f t="shared" si="58"/>
        <v>-3350.165</v>
      </c>
      <c r="U21" s="75">
        <f t="shared" si="58"/>
        <v>-3350.165</v>
      </c>
      <c r="V21" s="75">
        <f t="shared" si="58"/>
        <v>-3350.165</v>
      </c>
      <c r="W21" s="75">
        <f t="shared" si="58"/>
        <v>-3350.165</v>
      </c>
      <c r="X21" s="75">
        <f t="shared" si="58"/>
        <v>-3350.165</v>
      </c>
      <c r="Y21" s="75">
        <f t="shared" si="58"/>
        <v>-3350.165</v>
      </c>
      <c r="Z21" s="75">
        <f t="shared" si="58"/>
        <v>-3350.165</v>
      </c>
      <c r="AA21" s="75">
        <f t="shared" si="58"/>
        <v>-3350.165</v>
      </c>
      <c r="AB21" s="75">
        <f t="shared" si="58"/>
        <v>-3350.165</v>
      </c>
      <c r="AC21" s="75">
        <f t="shared" si="58"/>
        <v>-3350.165</v>
      </c>
      <c r="AD21" s="75">
        <f t="shared" si="58"/>
        <v>-3350.165</v>
      </c>
      <c r="AE21" s="75">
        <f t="shared" si="58"/>
        <v>-3350.165</v>
      </c>
      <c r="AF21" s="75">
        <f t="shared" si="58"/>
        <v>-3350.165</v>
      </c>
      <c r="AG21" s="75">
        <f t="shared" si="58"/>
        <v>-3350.165</v>
      </c>
      <c r="AH21" s="75">
        <f t="shared" si="58"/>
        <v>-3350.165</v>
      </c>
      <c r="AI21" s="75">
        <f t="shared" si="58"/>
        <v>-3350.165</v>
      </c>
      <c r="AJ21" s="75">
        <f t="shared" si="58"/>
        <v>-3350.165</v>
      </c>
      <c r="AK21" s="75">
        <f t="shared" si="58"/>
        <v>-3350.165</v>
      </c>
      <c r="AL21" s="75">
        <f t="shared" si="58"/>
        <v>-3350.165</v>
      </c>
      <c r="AM21" s="75">
        <f t="shared" si="58"/>
        <v>-3350.165</v>
      </c>
      <c r="AN21" s="75">
        <f t="shared" si="58"/>
        <v>-3350.165</v>
      </c>
      <c r="AO21" s="75">
        <f t="shared" si="58"/>
        <v>-3350.165</v>
      </c>
      <c r="AP21" s="75">
        <f t="shared" si="58"/>
        <v>-3350.165</v>
      </c>
      <c r="AQ21" s="75">
        <f t="shared" si="58"/>
        <v>-3350.165</v>
      </c>
      <c r="AR21" s="75">
        <f t="shared" si="58"/>
        <v>-3350.165</v>
      </c>
      <c r="AS21" s="75">
        <f t="shared" si="58"/>
        <v>-3350.165</v>
      </c>
      <c r="AT21" s="75">
        <f t="shared" si="58"/>
        <v>-3350.165</v>
      </c>
      <c r="AU21" s="75">
        <f t="shared" si="58"/>
        <v>-3350.165</v>
      </c>
      <c r="AV21" s="75">
        <f t="shared" si="58"/>
        <v>-3350.165</v>
      </c>
      <c r="AW21" s="75">
        <f t="shared" si="58"/>
        <v>-3350.165</v>
      </c>
      <c r="AX21" s="75">
        <f t="shared" si="58"/>
        <v>-3350.165</v>
      </c>
      <c r="AY21" s="75">
        <f t="shared" si="58"/>
        <v>-3350.165</v>
      </c>
      <c r="AZ21" s="75">
        <f t="shared" si="58"/>
        <v>-3350.165</v>
      </c>
      <c r="BA21" s="75">
        <f t="shared" si="58"/>
        <v>-3350.165</v>
      </c>
      <c r="BB21" s="75">
        <f t="shared" si="58"/>
        <v>-3350.165</v>
      </c>
      <c r="BC21" s="75">
        <f t="shared" si="58"/>
        <v>-3350.165</v>
      </c>
      <c r="BD21" s="75">
        <f t="shared" si="58"/>
        <v>-3350.165</v>
      </c>
      <c r="BE21" s="75">
        <f t="shared" si="58"/>
        <v>-3350.165</v>
      </c>
      <c r="BF21" s="75">
        <f t="shared" si="58"/>
        <v>-3350.165</v>
      </c>
      <c r="BG21" s="75">
        <f t="shared" si="58"/>
        <v>-3350.165</v>
      </c>
      <c r="BH21" s="75">
        <f t="shared" si="58"/>
        <v>-3350.165</v>
      </c>
      <c r="BI21" s="75">
        <f t="shared" si="58"/>
        <v>-3350.165</v>
      </c>
      <c r="BJ21" s="75">
        <f t="shared" si="58"/>
        <v>-3350.165</v>
      </c>
      <c r="BK21" s="75">
        <f t="shared" si="58"/>
        <v>-3350.165</v>
      </c>
      <c r="BL21" s="75">
        <f t="shared" si="58"/>
        <v>-3350.165</v>
      </c>
      <c r="BM21" s="75">
        <f t="shared" si="58"/>
        <v>-3350.165</v>
      </c>
      <c r="BN21" s="75">
        <f t="shared" si="58"/>
        <v>-3350.165</v>
      </c>
      <c r="BO21" s="75">
        <f t="shared" si="58"/>
        <v>-3350.165</v>
      </c>
      <c r="BP21" s="75">
        <f t="shared" si="58"/>
        <v>-3350.165</v>
      </c>
      <c r="BQ21" s="75">
        <f t="shared" si="58"/>
        <v>-3350.165</v>
      </c>
      <c r="BR21" s="75">
        <f t="shared" si="58"/>
        <v>-3350.165</v>
      </c>
      <c r="BS21" s="75">
        <f t="shared" si="58"/>
        <v>-3350.165</v>
      </c>
      <c r="BT21" s="75">
        <f t="shared" si="58"/>
        <v>-3350.165</v>
      </c>
      <c r="BU21" s="75">
        <f t="shared" si="58"/>
        <v>-3350.165</v>
      </c>
      <c r="BV21" s="75">
        <f t="shared" si="58"/>
        <v>-3350.165</v>
      </c>
      <c r="BW21" s="75">
        <f t="shared" si="58"/>
        <v>-3350.165</v>
      </c>
      <c r="BX21" s="75">
        <f t="shared" ref="BX21:EI21" si="59">BW21</f>
        <v>-3350.165</v>
      </c>
      <c r="BY21" s="75">
        <f t="shared" si="59"/>
        <v>-3350.165</v>
      </c>
      <c r="BZ21" s="75">
        <f t="shared" si="59"/>
        <v>-3350.165</v>
      </c>
      <c r="CA21" s="75">
        <f t="shared" si="59"/>
        <v>-3350.165</v>
      </c>
      <c r="CB21" s="75">
        <f t="shared" si="59"/>
        <v>-3350.165</v>
      </c>
      <c r="CC21" s="75">
        <f t="shared" si="59"/>
        <v>-3350.165</v>
      </c>
      <c r="CD21" s="75">
        <f t="shared" si="59"/>
        <v>-3350.165</v>
      </c>
      <c r="CE21" s="75">
        <f t="shared" si="59"/>
        <v>-3350.165</v>
      </c>
      <c r="CF21" s="75">
        <f t="shared" si="59"/>
        <v>-3350.165</v>
      </c>
      <c r="CG21" s="75">
        <f t="shared" si="59"/>
        <v>-3350.165</v>
      </c>
      <c r="CH21" s="75">
        <f t="shared" si="59"/>
        <v>-3350.165</v>
      </c>
      <c r="CI21" s="75">
        <f t="shared" si="59"/>
        <v>-3350.165</v>
      </c>
      <c r="CJ21" s="75">
        <f t="shared" si="59"/>
        <v>-3350.165</v>
      </c>
      <c r="CK21" s="75">
        <f t="shared" si="59"/>
        <v>-3350.165</v>
      </c>
      <c r="CL21" s="75">
        <f t="shared" si="59"/>
        <v>-3350.165</v>
      </c>
      <c r="CM21" s="75">
        <f t="shared" si="59"/>
        <v>-3350.165</v>
      </c>
      <c r="CN21" s="75">
        <f t="shared" si="59"/>
        <v>-3350.165</v>
      </c>
      <c r="CO21" s="75">
        <f t="shared" si="59"/>
        <v>-3350.165</v>
      </c>
      <c r="CP21" s="75">
        <f t="shared" si="59"/>
        <v>-3350.165</v>
      </c>
      <c r="CQ21" s="75">
        <f t="shared" si="59"/>
        <v>-3350.165</v>
      </c>
      <c r="CR21" s="75">
        <f t="shared" si="59"/>
        <v>-3350.165</v>
      </c>
      <c r="CS21" s="75">
        <f t="shared" si="59"/>
        <v>-3350.165</v>
      </c>
      <c r="CT21" s="75">
        <f t="shared" si="59"/>
        <v>-3350.165</v>
      </c>
      <c r="CU21" s="75">
        <f t="shared" si="59"/>
        <v>-3350.165</v>
      </c>
      <c r="CV21" s="75">
        <f t="shared" si="59"/>
        <v>-3350.165</v>
      </c>
      <c r="CW21" s="75">
        <f t="shared" si="59"/>
        <v>-3350.165</v>
      </c>
      <c r="CX21" s="75">
        <f t="shared" si="59"/>
        <v>-3350.165</v>
      </c>
      <c r="CY21" s="75">
        <f t="shared" si="59"/>
        <v>-3350.165</v>
      </c>
      <c r="CZ21" s="75">
        <f t="shared" si="59"/>
        <v>-3350.165</v>
      </c>
      <c r="DA21" s="75">
        <f t="shared" si="59"/>
        <v>-3350.165</v>
      </c>
      <c r="DB21" s="75">
        <f t="shared" si="59"/>
        <v>-3350.165</v>
      </c>
      <c r="DC21" s="75">
        <f t="shared" si="59"/>
        <v>-3350.165</v>
      </c>
      <c r="DD21" s="75">
        <f t="shared" si="59"/>
        <v>-3350.165</v>
      </c>
      <c r="DE21" s="75">
        <f t="shared" si="59"/>
        <v>-3350.165</v>
      </c>
      <c r="DF21" s="75">
        <f t="shared" si="59"/>
        <v>-3350.165</v>
      </c>
      <c r="DG21" s="75">
        <f t="shared" si="59"/>
        <v>-3350.165</v>
      </c>
      <c r="DH21" s="75">
        <f t="shared" si="59"/>
        <v>-3350.165</v>
      </c>
      <c r="DI21" s="75">
        <f t="shared" si="59"/>
        <v>-3350.165</v>
      </c>
      <c r="DJ21" s="75">
        <f t="shared" si="59"/>
        <v>-3350.165</v>
      </c>
      <c r="DK21" s="75">
        <f t="shared" si="59"/>
        <v>-3350.165</v>
      </c>
      <c r="DL21" s="75">
        <f t="shared" si="59"/>
        <v>-3350.165</v>
      </c>
      <c r="DM21" s="75">
        <f t="shared" si="59"/>
        <v>-3350.165</v>
      </c>
      <c r="DN21" s="75">
        <f t="shared" si="59"/>
        <v>-3350.165</v>
      </c>
      <c r="DO21" s="75">
        <f t="shared" si="59"/>
        <v>-3350.165</v>
      </c>
      <c r="DP21" s="75">
        <f t="shared" si="59"/>
        <v>-3350.165</v>
      </c>
      <c r="DQ21" s="75">
        <f t="shared" si="59"/>
        <v>-3350.165</v>
      </c>
      <c r="DR21" s="75">
        <f t="shared" si="59"/>
        <v>-3350.165</v>
      </c>
      <c r="DS21" s="75">
        <f t="shared" si="59"/>
        <v>-3350.165</v>
      </c>
      <c r="DT21" s="75">
        <f t="shared" si="59"/>
        <v>-3350.165</v>
      </c>
      <c r="DU21" s="75">
        <f t="shared" si="59"/>
        <v>-3350.165</v>
      </c>
      <c r="DV21" s="75">
        <f t="shared" si="59"/>
        <v>-3350.165</v>
      </c>
      <c r="DW21" s="75">
        <f t="shared" si="59"/>
        <v>-3350.165</v>
      </c>
      <c r="DX21" s="75">
        <f t="shared" si="59"/>
        <v>-3350.165</v>
      </c>
      <c r="DY21" s="75">
        <f t="shared" si="59"/>
        <v>-3350.165</v>
      </c>
      <c r="DZ21" s="75">
        <f t="shared" si="59"/>
        <v>-3350.165</v>
      </c>
      <c r="EA21" s="75">
        <f t="shared" si="59"/>
        <v>-3350.165</v>
      </c>
      <c r="EB21" s="75">
        <f t="shared" si="59"/>
        <v>-3350.165</v>
      </c>
      <c r="EC21" s="75">
        <f t="shared" si="59"/>
        <v>-3350.165</v>
      </c>
      <c r="ED21" s="75">
        <f t="shared" si="59"/>
        <v>-3350.165</v>
      </c>
      <c r="EE21" s="75">
        <f t="shared" si="59"/>
        <v>-3350.165</v>
      </c>
      <c r="EF21" s="75">
        <f t="shared" si="59"/>
        <v>-3350.165</v>
      </c>
      <c r="EG21" s="75">
        <f t="shared" si="59"/>
        <v>-3350.165</v>
      </c>
      <c r="EH21" s="75">
        <f t="shared" si="59"/>
        <v>-3350.165</v>
      </c>
      <c r="EI21" s="75">
        <f t="shared" si="59"/>
        <v>-3350.165</v>
      </c>
      <c r="EJ21" s="75">
        <f t="shared" ref="EJ21:GT21" si="60">EI21</f>
        <v>-3350.165</v>
      </c>
      <c r="EK21" s="75">
        <f t="shared" si="60"/>
        <v>-3350.165</v>
      </c>
      <c r="EL21" s="75">
        <f t="shared" si="60"/>
        <v>-3350.165</v>
      </c>
      <c r="EM21" s="75">
        <f t="shared" si="60"/>
        <v>-3350.165</v>
      </c>
      <c r="EN21" s="75">
        <f t="shared" si="60"/>
        <v>-3350.165</v>
      </c>
      <c r="EO21" s="75">
        <f t="shared" si="60"/>
        <v>-3350.165</v>
      </c>
      <c r="EP21" s="75">
        <f t="shared" si="60"/>
        <v>-3350.165</v>
      </c>
      <c r="EQ21" s="75">
        <f t="shared" si="60"/>
        <v>-3350.165</v>
      </c>
      <c r="ER21" s="75">
        <f t="shared" si="60"/>
        <v>-3350.165</v>
      </c>
      <c r="ES21" s="75">
        <f t="shared" si="60"/>
        <v>-3350.165</v>
      </c>
      <c r="ET21" s="75">
        <f t="shared" si="60"/>
        <v>-3350.165</v>
      </c>
      <c r="EU21" s="75">
        <f t="shared" si="60"/>
        <v>-3350.165</v>
      </c>
      <c r="EV21" s="75">
        <f t="shared" si="60"/>
        <v>-3350.165</v>
      </c>
      <c r="EW21" s="75">
        <f t="shared" si="60"/>
        <v>-3350.165</v>
      </c>
      <c r="EX21" s="75">
        <f t="shared" si="60"/>
        <v>-3350.165</v>
      </c>
      <c r="EY21" s="75">
        <f t="shared" si="60"/>
        <v>-3350.165</v>
      </c>
      <c r="EZ21" s="75">
        <f t="shared" si="60"/>
        <v>-3350.165</v>
      </c>
      <c r="FA21" s="75">
        <f t="shared" si="60"/>
        <v>-3350.165</v>
      </c>
      <c r="FB21" s="75">
        <f t="shared" si="60"/>
        <v>-3350.165</v>
      </c>
      <c r="FC21" s="75">
        <f t="shared" si="60"/>
        <v>-3350.165</v>
      </c>
      <c r="FD21" s="75">
        <f t="shared" si="60"/>
        <v>-3350.165</v>
      </c>
      <c r="FE21" s="75">
        <f t="shared" si="60"/>
        <v>-3350.165</v>
      </c>
      <c r="FF21" s="75">
        <f t="shared" si="60"/>
        <v>-3350.165</v>
      </c>
      <c r="FG21" s="75">
        <f t="shared" si="60"/>
        <v>-3350.165</v>
      </c>
      <c r="FH21" s="75">
        <f t="shared" si="60"/>
        <v>-3350.165</v>
      </c>
      <c r="FI21" s="75">
        <f t="shared" si="60"/>
        <v>-3350.165</v>
      </c>
      <c r="FJ21" s="75">
        <f t="shared" si="60"/>
        <v>-3350.165</v>
      </c>
      <c r="FK21" s="75">
        <f t="shared" si="60"/>
        <v>-3350.165</v>
      </c>
      <c r="FL21" s="75">
        <f t="shared" si="60"/>
        <v>-3350.165</v>
      </c>
      <c r="FM21" s="75">
        <f t="shared" si="60"/>
        <v>-3350.165</v>
      </c>
      <c r="FN21" s="75">
        <f t="shared" si="60"/>
        <v>-3350.165</v>
      </c>
      <c r="FO21" s="75">
        <f t="shared" si="60"/>
        <v>-3350.165</v>
      </c>
      <c r="FP21" s="75">
        <f t="shared" si="60"/>
        <v>-3350.165</v>
      </c>
      <c r="FQ21" s="75">
        <f t="shared" si="60"/>
        <v>-3350.165</v>
      </c>
      <c r="FR21" s="75">
        <f t="shared" si="60"/>
        <v>-3350.165</v>
      </c>
      <c r="FS21" s="75">
        <f t="shared" si="60"/>
        <v>-3350.165</v>
      </c>
      <c r="FT21" s="75">
        <f t="shared" si="60"/>
        <v>-3350.165</v>
      </c>
      <c r="FU21" s="75">
        <f t="shared" si="60"/>
        <v>-3350.165</v>
      </c>
      <c r="FV21" s="75">
        <f t="shared" si="60"/>
        <v>-3350.165</v>
      </c>
      <c r="FW21" s="75">
        <f t="shared" si="60"/>
        <v>-3350.165</v>
      </c>
      <c r="FX21" s="75">
        <f t="shared" si="60"/>
        <v>-3350.165</v>
      </c>
      <c r="FY21" s="75">
        <f t="shared" si="60"/>
        <v>-3350.165</v>
      </c>
      <c r="FZ21" s="75">
        <f t="shared" si="60"/>
        <v>-3350.165</v>
      </c>
      <c r="GA21" s="75">
        <f t="shared" si="60"/>
        <v>-3350.165</v>
      </c>
      <c r="GB21" s="75">
        <f t="shared" si="60"/>
        <v>-3350.165</v>
      </c>
      <c r="GC21" s="75">
        <f t="shared" si="60"/>
        <v>-3350.165</v>
      </c>
      <c r="GD21" s="75">
        <f t="shared" si="60"/>
        <v>-3350.165</v>
      </c>
      <c r="GE21" s="75">
        <f t="shared" si="60"/>
        <v>-3350.165</v>
      </c>
      <c r="GF21" s="75">
        <f t="shared" si="60"/>
        <v>-3350.165</v>
      </c>
      <c r="GG21" s="75">
        <f t="shared" si="60"/>
        <v>-3350.165</v>
      </c>
      <c r="GH21" s="75">
        <f t="shared" si="60"/>
        <v>-3350.165</v>
      </c>
      <c r="GI21" s="75">
        <f t="shared" si="60"/>
        <v>-3350.165</v>
      </c>
      <c r="GJ21" s="75">
        <f t="shared" si="60"/>
        <v>-3350.165</v>
      </c>
      <c r="GK21" s="75">
        <f t="shared" si="60"/>
        <v>-3350.165</v>
      </c>
      <c r="GL21" s="75">
        <f t="shared" si="60"/>
        <v>-3350.165</v>
      </c>
      <c r="GM21" s="75">
        <f t="shared" si="60"/>
        <v>-3350.165</v>
      </c>
      <c r="GN21" s="75">
        <f t="shared" si="60"/>
        <v>-3350.165</v>
      </c>
      <c r="GO21" s="75">
        <f t="shared" si="60"/>
        <v>-3350.165</v>
      </c>
      <c r="GP21" s="75">
        <f t="shared" si="60"/>
        <v>-3350.165</v>
      </c>
      <c r="GQ21" s="75">
        <f t="shared" si="60"/>
        <v>-3350.165</v>
      </c>
      <c r="GR21" s="75">
        <f t="shared" si="60"/>
        <v>-3350.165</v>
      </c>
      <c r="GS21" s="75">
        <f t="shared" si="60"/>
        <v>-3350.165</v>
      </c>
      <c r="GT21" s="75">
        <f t="shared" si="60"/>
        <v>-3350.165</v>
      </c>
    </row>
    <row r="22" spans="1:202" s="74" customFormat="1" x14ac:dyDescent="0.25">
      <c r="A22" s="156" t="s">
        <v>184</v>
      </c>
      <c r="C22" s="74">
        <f>-SUMIFS(Losses!$J:$J,Losses!$K:$K,'Cash flow'!C$3,Losses!$H:$H,"Short")</f>
        <v>-4272.9136734693884</v>
      </c>
      <c r="D22" s="74">
        <f>-SUMIFS(Losses!$J:$J,Losses!$K:$K,'Cash flow'!D$3,Losses!$H:$H,"Short")</f>
        <v>-2932.3938107948338</v>
      </c>
      <c r="E22" s="74">
        <f>-SUMIFS(Losses!$J:$J,Losses!$K:$K,'Cash flow'!E$3,Losses!$H:$H,"Short")</f>
        <v>-3307.4666232948339</v>
      </c>
      <c r="F22" s="74">
        <f>-SUMIFS(Losses!$J:$J,Losses!$K:$K,'Cash flow'!F$3,Losses!$H:$H,"Short")</f>
        <v>-2923.3247207890136</v>
      </c>
      <c r="G22" s="74">
        <f>-SUMIFS(Losses!$J:$J,Losses!$K:$K,'Cash flow'!G$3,Losses!$H:$H,"Short")</f>
        <v>-3191.9728551788921</v>
      </c>
      <c r="H22" s="74">
        <f>-SUMIFS(Losses!$J:$J,Losses!$K:$K,'Cash flow'!H$3,Losses!$H:$H,"Short")</f>
        <v>-3170.1584629384611</v>
      </c>
      <c r="I22" s="74">
        <f>-SUMIFS(Losses!$J:$J,Losses!$K:$K,'Cash flow'!I$3,Losses!$H:$H,"Short")</f>
        <v>-3300.6212857572059</v>
      </c>
      <c r="J22" s="74">
        <f>-SUMIFS(Losses!$J:$J,Losses!$K:$K,'Cash flow'!J$3,Losses!$H:$H,"Short")</f>
        <v>-3147.053890811605</v>
      </c>
      <c r="K22" s="74">
        <f>-SUMIFS(Losses!$J:$J,Losses!$K:$K,'Cash flow'!K$3,Losses!$H:$H,"Short")</f>
        <v>-3597.7978530076211</v>
      </c>
      <c r="L22" s="74">
        <f>-SUMIFS(Losses!$J:$J,Losses!$K:$K,'Cash flow'!L$3,Losses!$H:$H,"Short")</f>
        <v>-2907.2306819391588</v>
      </c>
      <c r="M22" s="74">
        <f>-SUMIFS(Losses!$J:$J,Losses!$K:$K,'Cash flow'!M$3,Losses!$H:$H,"Short")</f>
        <v>-3485.9982761127994</v>
      </c>
      <c r="N22" s="74">
        <f>-SUMIFS(Losses!$J:$J,Losses!$K:$K,'Cash flow'!N$3,Losses!$H:$H,"Short")</f>
        <v>-3024.0767966875387</v>
      </c>
      <c r="O22" s="74">
        <f>-SUMIFS(Losses!$J:$J,Losses!$K:$K,'Cash flow'!O$3,Losses!$H:$H,"Short")</f>
        <v>-2795.321910333334</v>
      </c>
      <c r="P22" s="74">
        <f>-SUMIFS(Losses!$J:$J,Losses!$K:$K,'Cash flow'!P$3,Losses!$H:$H,"Short")</f>
        <v>-3108.6119103333335</v>
      </c>
      <c r="Q22" s="74">
        <f>-SUMIFS(Losses!$J:$J,Losses!$K:$K,'Cash flow'!Q$3,Losses!$H:$H,"Short")</f>
        <v>0</v>
      </c>
      <c r="R22" s="74">
        <f>-SUMIFS(Losses!$J:$J,Losses!$K:$K,'Cash flow'!R$3,Losses!$H:$H,"Short")</f>
        <v>0</v>
      </c>
      <c r="S22" s="74">
        <f>-SUMIFS(Losses!$J:$J,Losses!$K:$K,'Cash flow'!S$3,Losses!$H:$H,"Short")</f>
        <v>0</v>
      </c>
      <c r="T22" s="74">
        <f>-SUMIFS(Losses!$J:$J,Losses!$K:$K,'Cash flow'!T$3,Losses!$H:$H,"Short")</f>
        <v>0</v>
      </c>
      <c r="U22" s="74">
        <f>-SUMIFS(Losses!$J:$J,Losses!$K:$K,'Cash flow'!U$3,Losses!$H:$H,"Short")</f>
        <v>0</v>
      </c>
      <c r="V22" s="74">
        <f>-SUMIFS(Losses!$J:$J,Losses!$K:$K,'Cash flow'!V$3,Losses!$H:$H,"Short")</f>
        <v>0</v>
      </c>
      <c r="W22" s="74">
        <f>-SUMIFS(Losses!$J:$J,Losses!$K:$K,'Cash flow'!W$3,Losses!$H:$H,"Short")</f>
        <v>0</v>
      </c>
      <c r="X22" s="74">
        <f>-SUMIFS(Losses!$J:$J,Losses!$K:$K,'Cash flow'!X$3,Losses!$H:$H,"Short")</f>
        <v>0</v>
      </c>
      <c r="Y22" s="74">
        <f>-SUMIFS(Losses!$J:$J,Losses!$K:$K,'Cash flow'!Y$3,Losses!$H:$H,"Short")</f>
        <v>0</v>
      </c>
      <c r="Z22" s="74">
        <f>-SUMIFS(Losses!$J:$J,Losses!$K:$K,'Cash flow'!Z$3,Losses!$H:$H,"Short")</f>
        <v>0</v>
      </c>
      <c r="AA22" s="74">
        <f>-SUMIFS(Losses!$J:$J,Losses!$K:$K,'Cash flow'!AA$3,Losses!$H:$H,"Short")</f>
        <v>0</v>
      </c>
      <c r="AB22" s="74">
        <f>-SUMIFS(Losses!$J:$J,Losses!$K:$K,'Cash flow'!AB$3,Losses!$H:$H,"Short")</f>
        <v>0</v>
      </c>
      <c r="AC22" s="74">
        <f>-SUMIFS(Losses!$J:$J,Losses!$K:$K,'Cash flow'!AC$3,Losses!$H:$H,"Short")</f>
        <v>0</v>
      </c>
      <c r="AD22" s="74">
        <f>-SUMIFS(Losses!$J:$J,Losses!$K:$K,'Cash flow'!AD$3,Losses!$H:$H,"Short")</f>
        <v>0</v>
      </c>
      <c r="AE22" s="74">
        <f>-SUMIFS(Losses!$J:$J,Losses!$K:$K,'Cash flow'!AE$3,Losses!$H:$H,"Short")</f>
        <v>0</v>
      </c>
      <c r="AF22" s="74">
        <f>-SUMIFS(Losses!$J:$J,Losses!$K:$K,'Cash flow'!AF$3,Losses!$H:$H,"Short")</f>
        <v>0</v>
      </c>
      <c r="AG22" s="74">
        <f>-SUMIFS(Losses!$J:$J,Losses!$K:$K,'Cash flow'!AG$3,Losses!$H:$H,"Short")</f>
        <v>0</v>
      </c>
      <c r="AH22" s="74">
        <f>-SUMIFS(Losses!$J:$J,Losses!$K:$K,'Cash flow'!AH$3,Losses!$H:$H,"Short")</f>
        <v>0</v>
      </c>
      <c r="AI22" s="74">
        <f>-SUMIFS(Losses!$J:$J,Losses!$K:$K,'Cash flow'!AI$3,Losses!$H:$H,"Short")</f>
        <v>0</v>
      </c>
      <c r="AJ22" s="74">
        <f>-SUMIFS(Losses!$J:$J,Losses!$K:$K,'Cash flow'!AJ$3,Losses!$H:$H,"Short")</f>
        <v>0</v>
      </c>
      <c r="AK22" s="74">
        <f>-SUMIFS(Losses!$J:$J,Losses!$K:$K,'Cash flow'!AK$3,Losses!$H:$H,"Short")</f>
        <v>0</v>
      </c>
      <c r="AL22" s="74">
        <f>-SUMIFS(Losses!$J:$J,Losses!$K:$K,'Cash flow'!AL$3,Losses!$H:$H,"Short")</f>
        <v>0</v>
      </c>
      <c r="AM22" s="74">
        <f>-SUMIFS(Losses!$J:$J,Losses!$K:$K,'Cash flow'!AM$3,Losses!$H:$H,"Short")</f>
        <v>0</v>
      </c>
      <c r="AN22" s="74">
        <f>-SUMIFS(Losses!$J:$J,Losses!$K:$K,'Cash flow'!AN$3,Losses!$H:$H,"Short")</f>
        <v>0</v>
      </c>
      <c r="AO22" s="74">
        <f>-SUMIFS(Losses!$J:$J,Losses!$K:$K,'Cash flow'!AO$3,Losses!$H:$H,"Short")</f>
        <v>0</v>
      </c>
      <c r="AP22" s="74">
        <f>-SUMIFS(Losses!$J:$J,Losses!$K:$K,'Cash flow'!AP$3,Losses!$H:$H,"Short")</f>
        <v>0</v>
      </c>
      <c r="AQ22" s="74">
        <f>-SUMIFS(Losses!$J:$J,Losses!$K:$K,'Cash flow'!AQ$3,Losses!$H:$H,"Short")</f>
        <v>0</v>
      </c>
      <c r="AR22" s="74">
        <f>-SUMIFS(Losses!$J:$J,Losses!$K:$K,'Cash flow'!AR$3,Losses!$H:$H,"Short")</f>
        <v>0</v>
      </c>
      <c r="AS22" s="74">
        <f>-SUMIFS(Losses!$J:$J,Losses!$K:$K,'Cash flow'!AS$3,Losses!$H:$H,"Short")</f>
        <v>0</v>
      </c>
      <c r="AT22" s="74">
        <f>-SUMIFS(Losses!$J:$J,Losses!$K:$K,'Cash flow'!AT$3,Losses!$H:$H,"Short")</f>
        <v>0</v>
      </c>
      <c r="AU22" s="74">
        <f>-SUMIFS(Losses!$J:$J,Losses!$K:$K,'Cash flow'!AU$3,Losses!$H:$H,"Short")</f>
        <v>0</v>
      </c>
      <c r="AV22" s="74">
        <f>-SUMIFS(Losses!$J:$J,Losses!$K:$K,'Cash flow'!AV$3,Losses!$H:$H,"Short")</f>
        <v>0</v>
      </c>
      <c r="AW22" s="74">
        <f>-SUMIFS(Losses!$J:$J,Losses!$K:$K,'Cash flow'!AW$3,Losses!$H:$H,"Short")</f>
        <v>0</v>
      </c>
      <c r="AX22" s="74">
        <f>-SUMIFS(Losses!$J:$J,Losses!$K:$K,'Cash flow'!AX$3,Losses!$H:$H,"Short")</f>
        <v>0</v>
      </c>
      <c r="AY22" s="74">
        <f>-SUMIFS(Losses!$J:$J,Losses!$K:$K,'Cash flow'!AY$3,Losses!$H:$H,"Short")</f>
        <v>0</v>
      </c>
      <c r="AZ22" s="74">
        <f>-SUMIFS(Losses!$J:$J,Losses!$K:$K,'Cash flow'!AZ$3,Losses!$H:$H,"Short")</f>
        <v>0</v>
      </c>
      <c r="BA22" s="74">
        <f>-SUMIFS(Losses!$J:$J,Losses!$K:$K,'Cash flow'!BA$3,Losses!$H:$H,"Short")</f>
        <v>0</v>
      </c>
      <c r="BB22" s="74">
        <f>-SUMIFS(Losses!$J:$J,Losses!$K:$K,'Cash flow'!BB$3,Losses!$H:$H,"Short")</f>
        <v>0</v>
      </c>
      <c r="BC22" s="74">
        <f>-SUMIFS(Losses!$J:$J,Losses!$K:$K,'Cash flow'!BC$3,Losses!$H:$H,"Short")</f>
        <v>0</v>
      </c>
      <c r="BD22" s="74">
        <f>-SUMIFS(Losses!$J:$J,Losses!$K:$K,'Cash flow'!BD$3,Losses!$H:$H,"Short")</f>
        <v>0</v>
      </c>
      <c r="BE22" s="74">
        <f>-SUMIFS(Losses!$J:$J,Losses!$K:$K,'Cash flow'!BE$3,Losses!$H:$H,"Short")</f>
        <v>0</v>
      </c>
      <c r="BF22" s="74">
        <f>-SUMIFS(Losses!$J:$J,Losses!$K:$K,'Cash flow'!BF$3,Losses!$H:$H,"Short")</f>
        <v>0</v>
      </c>
      <c r="BG22" s="74">
        <f>-SUMIFS(Losses!$J:$J,Losses!$K:$K,'Cash flow'!BG$3,Losses!$H:$H,"Short")</f>
        <v>0</v>
      </c>
      <c r="BH22" s="74">
        <f>-SUMIFS(Losses!$J:$J,Losses!$K:$K,'Cash flow'!BH$3,Losses!$H:$H,"Short")</f>
        <v>0</v>
      </c>
      <c r="BI22" s="74">
        <f>-SUMIFS(Losses!$J:$J,Losses!$K:$K,'Cash flow'!BI$3,Losses!$H:$H,"Short")</f>
        <v>0</v>
      </c>
      <c r="BJ22" s="74">
        <f>-SUMIFS(Losses!$J:$J,Losses!$K:$K,'Cash flow'!BJ$3,Losses!$H:$H,"Short")</f>
        <v>0</v>
      </c>
      <c r="BK22" s="74">
        <f>-SUMIFS(Losses!$J:$J,Losses!$K:$K,'Cash flow'!BK$3,Losses!$H:$H,"Short")</f>
        <v>0</v>
      </c>
      <c r="BL22" s="74">
        <f>-SUMIFS(Losses!$J:$J,Losses!$K:$K,'Cash flow'!BL$3,Losses!$H:$H,"Short")</f>
        <v>0</v>
      </c>
      <c r="BM22" s="74">
        <f>-SUMIFS(Losses!$J:$J,Losses!$K:$K,'Cash flow'!BM$3,Losses!$H:$H,"Short")</f>
        <v>0</v>
      </c>
      <c r="BN22" s="74">
        <f>-SUMIFS(Losses!$J:$J,Losses!$K:$K,'Cash flow'!BN$3,Losses!$H:$H,"Short")</f>
        <v>0</v>
      </c>
      <c r="BO22" s="74">
        <f>-SUMIFS(Losses!$J:$J,Losses!$K:$K,'Cash flow'!BO$3,Losses!$H:$H,"Short")</f>
        <v>0</v>
      </c>
      <c r="BP22" s="74">
        <f>-SUMIFS(Losses!$J:$J,Losses!$K:$K,'Cash flow'!BP$3,Losses!$H:$H,"Short")</f>
        <v>0</v>
      </c>
      <c r="BQ22" s="74">
        <f>-SUMIFS(Losses!$J:$J,Losses!$K:$K,'Cash flow'!BQ$3,Losses!$H:$H,"Short")</f>
        <v>0</v>
      </c>
      <c r="BR22" s="74">
        <f>-SUMIFS(Losses!$J:$J,Losses!$K:$K,'Cash flow'!BR$3,Losses!$H:$H,"Short")</f>
        <v>0</v>
      </c>
      <c r="BS22" s="74">
        <f>-SUMIFS(Losses!$J:$J,Losses!$K:$K,'Cash flow'!BS$3,Losses!$H:$H,"Short")</f>
        <v>0</v>
      </c>
      <c r="BT22" s="74">
        <f>-SUMIFS(Losses!$J:$J,Losses!$K:$K,'Cash flow'!BT$3,Losses!$H:$H,"Short")</f>
        <v>0</v>
      </c>
      <c r="BU22" s="74">
        <f>-SUMIFS(Losses!$J:$J,Losses!$K:$K,'Cash flow'!BU$3,Losses!$H:$H,"Short")</f>
        <v>0</v>
      </c>
      <c r="BV22" s="74">
        <f>-SUMIFS(Losses!$J:$J,Losses!$K:$K,'Cash flow'!BV$3,Losses!$H:$H,"Short")</f>
        <v>0</v>
      </c>
      <c r="BW22" s="74">
        <f>-SUMIFS(Losses!$J:$J,Losses!$K:$K,'Cash flow'!BW$3,Losses!$H:$H,"Short")</f>
        <v>0</v>
      </c>
      <c r="BX22" s="74">
        <f>-SUMIFS(Losses!$J:$J,Losses!$K:$K,'Cash flow'!BX$3,Losses!$H:$H,"Short")</f>
        <v>0</v>
      </c>
      <c r="BY22" s="74">
        <f>-SUMIFS(Losses!$J:$J,Losses!$K:$K,'Cash flow'!BY$3,Losses!$H:$H,"Short")</f>
        <v>0</v>
      </c>
      <c r="BZ22" s="74">
        <f>-SUMIFS(Losses!$J:$J,Losses!$K:$K,'Cash flow'!BZ$3,Losses!$H:$H,"Short")</f>
        <v>0</v>
      </c>
      <c r="CA22" s="74">
        <f>-SUMIFS(Losses!$J:$J,Losses!$K:$K,'Cash flow'!CA$3,Losses!$H:$H,"Short")</f>
        <v>0</v>
      </c>
      <c r="CB22" s="74">
        <f>-SUMIFS(Losses!$J:$J,Losses!$K:$K,'Cash flow'!CB$3,Losses!$H:$H,"Short")</f>
        <v>0</v>
      </c>
      <c r="CC22" s="74">
        <f>-SUMIFS(Losses!$J:$J,Losses!$K:$K,'Cash flow'!CC$3,Losses!$H:$H,"Short")</f>
        <v>0</v>
      </c>
      <c r="CD22" s="74">
        <f>-SUMIFS(Losses!$J:$J,Losses!$K:$K,'Cash flow'!CD$3,Losses!$H:$H,"Short")</f>
        <v>0</v>
      </c>
      <c r="CE22" s="74">
        <f>-SUMIFS(Losses!$J:$J,Losses!$K:$K,'Cash flow'!CE$3,Losses!$H:$H,"Short")</f>
        <v>0</v>
      </c>
      <c r="CF22" s="74">
        <f>-SUMIFS(Losses!$J:$J,Losses!$K:$K,'Cash flow'!CF$3,Losses!$H:$H,"Short")</f>
        <v>0</v>
      </c>
      <c r="CG22" s="74">
        <f>-SUMIFS(Losses!$J:$J,Losses!$K:$K,'Cash flow'!CG$3,Losses!$H:$H,"Short")</f>
        <v>0</v>
      </c>
      <c r="CH22" s="74">
        <f>-SUMIFS(Losses!$J:$J,Losses!$K:$K,'Cash flow'!CH$3,Losses!$H:$H,"Short")</f>
        <v>0</v>
      </c>
      <c r="CI22" s="74">
        <f>-SUMIFS(Losses!$J:$J,Losses!$K:$K,'Cash flow'!CI$3,Losses!$H:$H,"Short")</f>
        <v>0</v>
      </c>
      <c r="CJ22" s="74">
        <f>-SUMIFS(Losses!$J:$J,Losses!$K:$K,'Cash flow'!CJ$3,Losses!$H:$H,"Short")</f>
        <v>0</v>
      </c>
      <c r="CK22" s="74">
        <f>-SUMIFS(Losses!$J:$J,Losses!$K:$K,'Cash flow'!CK$3,Losses!$H:$H,"Short")</f>
        <v>0</v>
      </c>
      <c r="CL22" s="74">
        <f>-SUMIFS(Losses!$J:$J,Losses!$K:$K,'Cash flow'!CL$3,Losses!$H:$H,"Short")</f>
        <v>0</v>
      </c>
      <c r="CM22" s="74">
        <f>-SUMIFS(Losses!$J:$J,Losses!$K:$K,'Cash flow'!CM$3,Losses!$H:$H,"Short")</f>
        <v>0</v>
      </c>
      <c r="CN22" s="74">
        <f>-SUMIFS(Losses!$J:$J,Losses!$K:$K,'Cash flow'!CN$3,Losses!$H:$H,"Short")</f>
        <v>0</v>
      </c>
      <c r="CO22" s="74">
        <f>-SUMIFS(Losses!$J:$J,Losses!$K:$K,'Cash flow'!CO$3,Losses!$H:$H,"Short")</f>
        <v>0</v>
      </c>
      <c r="CP22" s="74">
        <f>-SUMIFS(Losses!$J:$J,Losses!$K:$K,'Cash flow'!CP$3,Losses!$H:$H,"Short")</f>
        <v>0</v>
      </c>
      <c r="CQ22" s="74">
        <f>-SUMIFS(Losses!$J:$J,Losses!$K:$K,'Cash flow'!CQ$3,Losses!$H:$H,"Short")</f>
        <v>0</v>
      </c>
      <c r="CR22" s="74">
        <f>-SUMIFS(Losses!$J:$J,Losses!$K:$K,'Cash flow'!CR$3,Losses!$H:$H,"Short")</f>
        <v>0</v>
      </c>
      <c r="CS22" s="74">
        <f>-SUMIFS(Losses!$J:$J,Losses!$K:$K,'Cash flow'!CS$3,Losses!$H:$H,"Short")</f>
        <v>0</v>
      </c>
      <c r="CT22" s="74">
        <f>-SUMIFS(Losses!$J:$J,Losses!$K:$K,'Cash flow'!CT$3,Losses!$H:$H,"Short")</f>
        <v>0</v>
      </c>
      <c r="CU22" s="74">
        <f>-SUMIFS(Losses!$J:$J,Losses!$K:$K,'Cash flow'!CU$3,Losses!$H:$H,"Short")</f>
        <v>0</v>
      </c>
      <c r="CV22" s="74">
        <f>-SUMIFS(Losses!$J:$J,Losses!$K:$K,'Cash flow'!CV$3,Losses!$H:$H,"Short")</f>
        <v>0</v>
      </c>
      <c r="CW22" s="74">
        <f>-SUMIFS(Losses!$J:$J,Losses!$K:$K,'Cash flow'!CW$3,Losses!$H:$H,"Short")</f>
        <v>0</v>
      </c>
      <c r="CX22" s="74">
        <f>-SUMIFS(Losses!$J:$J,Losses!$K:$K,'Cash flow'!CX$3,Losses!$H:$H,"Short")</f>
        <v>0</v>
      </c>
      <c r="CY22" s="74">
        <f>-SUMIFS(Losses!$J:$J,Losses!$K:$K,'Cash flow'!CY$3,Losses!$H:$H,"Short")</f>
        <v>0</v>
      </c>
      <c r="CZ22" s="74">
        <f>-SUMIFS(Losses!$J:$J,Losses!$K:$K,'Cash flow'!CZ$3,Losses!$H:$H,"Short")</f>
        <v>0</v>
      </c>
      <c r="DA22" s="74">
        <f>-SUMIFS(Losses!$J:$J,Losses!$K:$K,'Cash flow'!DA$3,Losses!$H:$H,"Short")</f>
        <v>0</v>
      </c>
      <c r="DB22" s="74">
        <f>-SUMIFS(Losses!$J:$J,Losses!$K:$K,'Cash flow'!DB$3,Losses!$H:$H,"Short")</f>
        <v>0</v>
      </c>
      <c r="DC22" s="74">
        <f>-SUMIFS(Losses!$J:$J,Losses!$K:$K,'Cash flow'!DC$3,Losses!$H:$H,"Short")</f>
        <v>0</v>
      </c>
      <c r="DD22" s="74">
        <f>-SUMIFS(Losses!$J:$J,Losses!$K:$K,'Cash flow'!DD$3,Losses!$H:$H,"Short")</f>
        <v>0</v>
      </c>
      <c r="DE22" s="74">
        <f>-SUMIFS(Losses!$J:$J,Losses!$K:$K,'Cash flow'!DE$3,Losses!$H:$H,"Short")</f>
        <v>0</v>
      </c>
      <c r="DF22" s="74">
        <f>-SUMIFS(Losses!$J:$J,Losses!$K:$K,'Cash flow'!DF$3,Losses!$H:$H,"Short")</f>
        <v>0</v>
      </c>
      <c r="DG22" s="74">
        <f>-SUMIFS(Losses!$J:$J,Losses!$K:$K,'Cash flow'!DG$3,Losses!$H:$H,"Short")</f>
        <v>0</v>
      </c>
      <c r="DH22" s="74">
        <f>-SUMIFS(Losses!$J:$J,Losses!$K:$K,'Cash flow'!DH$3,Losses!$H:$H,"Short")</f>
        <v>0</v>
      </c>
      <c r="DI22" s="74">
        <f>-SUMIFS(Losses!$J:$J,Losses!$K:$K,'Cash flow'!DI$3,Losses!$H:$H,"Short")</f>
        <v>0</v>
      </c>
      <c r="DJ22" s="74">
        <f>-SUMIFS(Losses!$J:$J,Losses!$K:$K,'Cash flow'!DJ$3,Losses!$H:$H,"Short")</f>
        <v>0</v>
      </c>
      <c r="DK22" s="74">
        <f>-SUMIFS(Losses!$J:$J,Losses!$K:$K,'Cash flow'!DK$3,Losses!$H:$H,"Short")</f>
        <v>0</v>
      </c>
      <c r="DL22" s="74">
        <f>-SUMIFS(Losses!$J:$J,Losses!$K:$K,'Cash flow'!DL$3,Losses!$H:$H,"Short")</f>
        <v>0</v>
      </c>
      <c r="DM22" s="74">
        <f>-SUMIFS(Losses!$J:$J,Losses!$K:$K,'Cash flow'!DM$3,Losses!$H:$H,"Short")</f>
        <v>0</v>
      </c>
      <c r="DN22" s="74">
        <f>-SUMIFS(Losses!$J:$J,Losses!$K:$K,'Cash flow'!DN$3,Losses!$H:$H,"Short")</f>
        <v>0</v>
      </c>
      <c r="DO22" s="74">
        <f>-SUMIFS(Losses!$J:$J,Losses!$K:$K,'Cash flow'!DO$3,Losses!$H:$H,"Short")</f>
        <v>0</v>
      </c>
      <c r="DP22" s="74">
        <f>-SUMIFS(Losses!$J:$J,Losses!$K:$K,'Cash flow'!DP$3,Losses!$H:$H,"Short")</f>
        <v>0</v>
      </c>
      <c r="DQ22" s="74">
        <f>-SUMIFS(Losses!$J:$J,Losses!$K:$K,'Cash flow'!DQ$3,Losses!$H:$H,"Short")</f>
        <v>0</v>
      </c>
      <c r="DR22" s="74">
        <f>-SUMIFS(Losses!$J:$J,Losses!$K:$K,'Cash flow'!DR$3,Losses!$H:$H,"Short")</f>
        <v>0</v>
      </c>
      <c r="DS22" s="74">
        <f>-SUMIFS(Losses!$J:$J,Losses!$K:$K,'Cash flow'!DS$3,Losses!$H:$H,"Short")</f>
        <v>0</v>
      </c>
      <c r="DT22" s="74">
        <f>-SUMIFS(Losses!$J:$J,Losses!$K:$K,'Cash flow'!DT$3,Losses!$H:$H,"Short")</f>
        <v>0</v>
      </c>
      <c r="DU22" s="74">
        <f>-SUMIFS(Losses!$J:$J,Losses!$K:$K,'Cash flow'!DU$3,Losses!$H:$H,"Short")</f>
        <v>0</v>
      </c>
      <c r="DV22" s="74">
        <f>-SUMIFS(Losses!$J:$J,Losses!$K:$K,'Cash flow'!DV$3,Losses!$H:$H,"Short")</f>
        <v>0</v>
      </c>
      <c r="DW22" s="74">
        <f>-SUMIFS(Losses!$J:$J,Losses!$K:$K,'Cash flow'!DW$3,Losses!$H:$H,"Short")</f>
        <v>0</v>
      </c>
      <c r="DX22" s="74">
        <f>-SUMIFS(Losses!$J:$J,Losses!$K:$K,'Cash flow'!DX$3,Losses!$H:$H,"Short")</f>
        <v>0</v>
      </c>
      <c r="DY22" s="74">
        <f>-SUMIFS(Losses!$J:$J,Losses!$K:$K,'Cash flow'!DY$3,Losses!$H:$H,"Short")</f>
        <v>0</v>
      </c>
      <c r="DZ22" s="74">
        <f>-SUMIFS(Losses!$J:$J,Losses!$K:$K,'Cash flow'!DZ$3,Losses!$H:$H,"Short")</f>
        <v>0</v>
      </c>
      <c r="EA22" s="74">
        <f>-SUMIFS(Losses!$J:$J,Losses!$K:$K,'Cash flow'!EA$3,Losses!$H:$H,"Short")</f>
        <v>0</v>
      </c>
      <c r="EB22" s="74">
        <f>-SUMIFS(Losses!$J:$J,Losses!$K:$K,'Cash flow'!EB$3,Losses!$H:$H,"Short")</f>
        <v>0</v>
      </c>
      <c r="EC22" s="74">
        <f>-SUMIFS(Losses!$J:$J,Losses!$K:$K,'Cash flow'!EC$3,Losses!$H:$H,"Short")</f>
        <v>0</v>
      </c>
      <c r="ED22" s="74">
        <f>-SUMIFS(Losses!$J:$J,Losses!$K:$K,'Cash flow'!ED$3,Losses!$H:$H,"Short")</f>
        <v>0</v>
      </c>
      <c r="EE22" s="74">
        <f>-SUMIFS(Losses!$J:$J,Losses!$K:$K,'Cash flow'!EE$3,Losses!$H:$H,"Short")</f>
        <v>0</v>
      </c>
      <c r="EF22" s="74">
        <f>-SUMIFS(Losses!$J:$J,Losses!$K:$K,'Cash flow'!EF$3,Losses!$H:$H,"Short")</f>
        <v>0</v>
      </c>
      <c r="EG22" s="74">
        <f>-SUMIFS(Losses!$J:$J,Losses!$K:$K,'Cash flow'!EG$3,Losses!$H:$H,"Short")</f>
        <v>0</v>
      </c>
      <c r="EH22" s="74">
        <f>-SUMIFS(Losses!$J:$J,Losses!$K:$K,'Cash flow'!EH$3,Losses!$H:$H,"Short")</f>
        <v>0</v>
      </c>
      <c r="EI22" s="74">
        <f>-SUMIFS(Losses!$J:$J,Losses!$K:$K,'Cash flow'!EI$3,Losses!$H:$H,"Short")</f>
        <v>0</v>
      </c>
      <c r="EJ22" s="74">
        <f>-SUMIFS(Losses!$J:$J,Losses!$K:$K,'Cash flow'!EJ$3,Losses!$H:$H,"Short")</f>
        <v>0</v>
      </c>
      <c r="EK22" s="74">
        <f>-SUMIFS(Losses!$J:$J,Losses!$K:$K,'Cash flow'!EK$3,Losses!$H:$H,"Short")</f>
        <v>0</v>
      </c>
      <c r="EL22" s="74">
        <f>-SUMIFS(Losses!$J:$J,Losses!$K:$K,'Cash flow'!EL$3,Losses!$H:$H,"Short")</f>
        <v>0</v>
      </c>
      <c r="EM22" s="74">
        <f>-SUMIFS(Losses!$J:$J,Losses!$K:$K,'Cash flow'!EM$3,Losses!$H:$H,"Short")</f>
        <v>0</v>
      </c>
      <c r="EN22" s="74">
        <f>-SUMIFS(Losses!$J:$J,Losses!$K:$K,'Cash flow'!EN$3,Losses!$H:$H,"Short")</f>
        <v>0</v>
      </c>
      <c r="EO22" s="74">
        <f>-SUMIFS(Losses!$J:$J,Losses!$K:$K,'Cash flow'!EO$3,Losses!$H:$H,"Short")</f>
        <v>0</v>
      </c>
      <c r="EP22" s="74">
        <f>-SUMIFS(Losses!$J:$J,Losses!$K:$K,'Cash flow'!EP$3,Losses!$H:$H,"Short")</f>
        <v>0</v>
      </c>
      <c r="EQ22" s="74">
        <f>-SUMIFS(Losses!$J:$J,Losses!$K:$K,'Cash flow'!EQ$3,Losses!$H:$H,"Short")</f>
        <v>0</v>
      </c>
      <c r="ER22" s="74">
        <f>-SUMIFS(Losses!$J:$J,Losses!$K:$K,'Cash flow'!ER$3,Losses!$H:$H,"Short")</f>
        <v>0</v>
      </c>
      <c r="ES22" s="74">
        <f>-SUMIFS(Losses!$J:$J,Losses!$K:$K,'Cash flow'!ES$3,Losses!$H:$H,"Short")</f>
        <v>0</v>
      </c>
      <c r="ET22" s="74">
        <f>-SUMIFS(Losses!$J:$J,Losses!$K:$K,'Cash flow'!ET$3,Losses!$H:$H,"Short")</f>
        <v>0</v>
      </c>
      <c r="EU22" s="74">
        <f>-SUMIFS(Losses!$J:$J,Losses!$K:$K,'Cash flow'!EU$3,Losses!$H:$H,"Short")</f>
        <v>0</v>
      </c>
      <c r="EV22" s="74">
        <f>-SUMIFS(Losses!$J:$J,Losses!$K:$K,'Cash flow'!EV$3,Losses!$H:$H,"Short")</f>
        <v>0</v>
      </c>
      <c r="EW22" s="74">
        <f>-SUMIFS(Losses!$J:$J,Losses!$K:$K,'Cash flow'!EW$3,Losses!$H:$H,"Short")</f>
        <v>0</v>
      </c>
      <c r="EX22" s="74">
        <f>-SUMIFS(Losses!$J:$J,Losses!$K:$K,'Cash flow'!EX$3,Losses!$H:$H,"Short")</f>
        <v>0</v>
      </c>
      <c r="EY22" s="74">
        <f>-SUMIFS(Losses!$J:$J,Losses!$K:$K,'Cash flow'!EY$3,Losses!$H:$H,"Short")</f>
        <v>0</v>
      </c>
      <c r="EZ22" s="74">
        <f>-SUMIFS(Losses!$J:$J,Losses!$K:$K,'Cash flow'!EZ$3,Losses!$H:$H,"Short")</f>
        <v>0</v>
      </c>
      <c r="FA22" s="74">
        <f>-SUMIFS(Losses!$J:$J,Losses!$K:$K,'Cash flow'!FA$3,Losses!$H:$H,"Short")</f>
        <v>0</v>
      </c>
      <c r="FB22" s="74">
        <f>-SUMIFS(Losses!$J:$J,Losses!$K:$K,'Cash flow'!FB$3,Losses!$H:$H,"Short")</f>
        <v>0</v>
      </c>
      <c r="FC22" s="74">
        <f>-SUMIFS(Losses!$J:$J,Losses!$K:$K,'Cash flow'!FC$3,Losses!$H:$H,"Short")</f>
        <v>0</v>
      </c>
      <c r="FD22" s="74">
        <f>-SUMIFS(Losses!$J:$J,Losses!$K:$K,'Cash flow'!FD$3,Losses!$H:$H,"Short")</f>
        <v>0</v>
      </c>
      <c r="FE22" s="74">
        <f>-SUMIFS(Losses!$J:$J,Losses!$K:$K,'Cash flow'!FE$3,Losses!$H:$H,"Short")</f>
        <v>0</v>
      </c>
      <c r="FF22" s="74">
        <f>-SUMIFS(Losses!$J:$J,Losses!$K:$K,'Cash flow'!FF$3,Losses!$H:$H,"Short")</f>
        <v>0</v>
      </c>
      <c r="FG22" s="74">
        <f>-SUMIFS(Losses!$J:$J,Losses!$K:$K,'Cash flow'!FG$3,Losses!$H:$H,"Short")</f>
        <v>0</v>
      </c>
      <c r="FH22" s="74">
        <f>-SUMIFS(Losses!$J:$J,Losses!$K:$K,'Cash flow'!FH$3,Losses!$H:$H,"Short")</f>
        <v>0</v>
      </c>
      <c r="FI22" s="74">
        <f>-SUMIFS(Losses!$J:$J,Losses!$K:$K,'Cash flow'!FI$3,Losses!$H:$H,"Short")</f>
        <v>0</v>
      </c>
      <c r="FJ22" s="74">
        <f>-SUMIFS(Losses!$J:$J,Losses!$K:$K,'Cash flow'!FJ$3,Losses!$H:$H,"Short")</f>
        <v>0</v>
      </c>
      <c r="FK22" s="74">
        <f>-SUMIFS(Losses!$J:$J,Losses!$K:$K,'Cash flow'!FK$3,Losses!$H:$H,"Short")</f>
        <v>0</v>
      </c>
      <c r="FL22" s="74">
        <f>-SUMIFS(Losses!$J:$J,Losses!$K:$K,'Cash flow'!FL$3,Losses!$H:$H,"Short")</f>
        <v>0</v>
      </c>
      <c r="FM22" s="74">
        <f>-SUMIFS(Losses!$J:$J,Losses!$K:$K,'Cash flow'!FM$3,Losses!$H:$H,"Short")</f>
        <v>0</v>
      </c>
      <c r="FN22" s="74">
        <f>-SUMIFS(Losses!$J:$J,Losses!$K:$K,'Cash flow'!FN$3,Losses!$H:$H,"Short")</f>
        <v>0</v>
      </c>
      <c r="FO22" s="74">
        <f>-SUMIFS(Losses!$J:$J,Losses!$K:$K,'Cash flow'!FO$3,Losses!$H:$H,"Short")</f>
        <v>0</v>
      </c>
      <c r="FP22" s="74">
        <f>-SUMIFS(Losses!$J:$J,Losses!$K:$K,'Cash flow'!FP$3,Losses!$H:$H,"Short")</f>
        <v>0</v>
      </c>
      <c r="FQ22" s="74">
        <f>-SUMIFS(Losses!$J:$J,Losses!$K:$K,'Cash flow'!FQ$3,Losses!$H:$H,"Short")</f>
        <v>0</v>
      </c>
      <c r="FR22" s="74">
        <f>-SUMIFS(Losses!$J:$J,Losses!$K:$K,'Cash flow'!FR$3,Losses!$H:$H,"Short")</f>
        <v>0</v>
      </c>
      <c r="FS22" s="74">
        <f>-SUMIFS(Losses!$J:$J,Losses!$K:$K,'Cash flow'!FS$3,Losses!$H:$H,"Short")</f>
        <v>0</v>
      </c>
      <c r="FT22" s="74">
        <f>-SUMIFS(Losses!$J:$J,Losses!$K:$K,'Cash flow'!FT$3,Losses!$H:$H,"Short")</f>
        <v>0</v>
      </c>
      <c r="FU22" s="74">
        <f>-SUMIFS(Losses!$J:$J,Losses!$K:$K,'Cash flow'!FU$3,Losses!$H:$H,"Short")</f>
        <v>0</v>
      </c>
      <c r="FV22" s="74">
        <f>-SUMIFS(Losses!$J:$J,Losses!$K:$K,'Cash flow'!FV$3,Losses!$H:$H,"Short")</f>
        <v>0</v>
      </c>
      <c r="FW22" s="74">
        <f>-SUMIFS(Losses!$J:$J,Losses!$K:$K,'Cash flow'!FW$3,Losses!$H:$H,"Short")</f>
        <v>0</v>
      </c>
      <c r="FX22" s="74">
        <f>-SUMIFS(Losses!$J:$J,Losses!$K:$K,'Cash flow'!FX$3,Losses!$H:$H,"Short")</f>
        <v>0</v>
      </c>
      <c r="FY22" s="74">
        <f>-SUMIFS(Losses!$J:$J,Losses!$K:$K,'Cash flow'!FY$3,Losses!$H:$H,"Short")</f>
        <v>0</v>
      </c>
      <c r="FZ22" s="74">
        <f>-SUMIFS(Losses!$J:$J,Losses!$K:$K,'Cash flow'!FZ$3,Losses!$H:$H,"Short")</f>
        <v>0</v>
      </c>
      <c r="GA22" s="74">
        <f>-SUMIFS(Losses!$J:$J,Losses!$K:$K,'Cash flow'!GA$3,Losses!$H:$H,"Short")</f>
        <v>0</v>
      </c>
      <c r="GB22" s="74">
        <f>-SUMIFS(Losses!$J:$J,Losses!$K:$K,'Cash flow'!GB$3,Losses!$H:$H,"Short")</f>
        <v>0</v>
      </c>
      <c r="GC22" s="74">
        <f>-SUMIFS(Losses!$J:$J,Losses!$K:$K,'Cash flow'!GC$3,Losses!$H:$H,"Short")</f>
        <v>0</v>
      </c>
      <c r="GD22" s="74">
        <f>-SUMIFS(Losses!$J:$J,Losses!$K:$K,'Cash flow'!GD$3,Losses!$H:$H,"Short")</f>
        <v>0</v>
      </c>
      <c r="GE22" s="74">
        <f>-SUMIFS(Losses!$J:$J,Losses!$K:$K,'Cash flow'!GE$3,Losses!$H:$H,"Short")</f>
        <v>0</v>
      </c>
      <c r="GF22" s="74">
        <f>-SUMIFS(Losses!$J:$J,Losses!$K:$K,'Cash flow'!GF$3,Losses!$H:$H,"Short")</f>
        <v>0</v>
      </c>
      <c r="GG22" s="74">
        <f>-SUMIFS(Losses!$J:$J,Losses!$K:$K,'Cash flow'!GG$3,Losses!$H:$H,"Short")</f>
        <v>0</v>
      </c>
      <c r="GH22" s="74">
        <f>-SUMIFS(Losses!$J:$J,Losses!$K:$K,'Cash flow'!GH$3,Losses!$H:$H,"Short")</f>
        <v>0</v>
      </c>
      <c r="GI22" s="74">
        <f>-SUMIFS(Losses!$J:$J,Losses!$K:$K,'Cash flow'!GI$3,Losses!$H:$H,"Short")</f>
        <v>0</v>
      </c>
      <c r="GJ22" s="74">
        <f>-SUMIFS(Losses!$J:$J,Losses!$K:$K,'Cash flow'!GJ$3,Losses!$H:$H,"Short")</f>
        <v>0</v>
      </c>
      <c r="GK22" s="74">
        <f>-SUMIFS(Losses!$J:$J,Losses!$K:$K,'Cash flow'!GK$3,Losses!$H:$H,"Short")</f>
        <v>0</v>
      </c>
      <c r="GL22" s="74">
        <f>-SUMIFS(Losses!$J:$J,Losses!$K:$K,'Cash flow'!GL$3,Losses!$H:$H,"Short")</f>
        <v>0</v>
      </c>
      <c r="GM22" s="74">
        <f>-SUMIFS(Losses!$J:$J,Losses!$K:$K,'Cash flow'!GM$3,Losses!$H:$H,"Short")</f>
        <v>0</v>
      </c>
      <c r="GN22" s="74">
        <f>-SUMIFS(Losses!$J:$J,Losses!$K:$K,'Cash flow'!GN$3,Losses!$H:$H,"Short")</f>
        <v>0</v>
      </c>
      <c r="GO22" s="74">
        <f>-SUMIFS(Losses!$J:$J,Losses!$K:$K,'Cash flow'!GO$3,Losses!$H:$H,"Short")</f>
        <v>0</v>
      </c>
      <c r="GP22" s="74">
        <f>-SUMIFS(Losses!$J:$J,Losses!$K:$K,'Cash flow'!GP$3,Losses!$H:$H,"Short")</f>
        <v>0</v>
      </c>
      <c r="GQ22" s="74">
        <f>-SUMIFS(Losses!$J:$J,Losses!$K:$K,'Cash flow'!GQ$3,Losses!$H:$H,"Short")</f>
        <v>0</v>
      </c>
      <c r="GR22" s="74">
        <f>-SUMIFS(Losses!$J:$J,Losses!$K:$K,'Cash flow'!GR$3,Losses!$H:$H,"Short")</f>
        <v>0</v>
      </c>
      <c r="GS22" s="74">
        <f>-SUMIFS(Losses!$J:$J,Losses!$K:$K,'Cash flow'!GS$3,Losses!$H:$H,"Short")</f>
        <v>0</v>
      </c>
      <c r="GT22" s="74">
        <f>-SUMIFS(Losses!$J:$J,Losses!$K:$K,'Cash flow'!GT$3,Losses!$H:$H,"Short")</f>
        <v>0</v>
      </c>
    </row>
    <row r="23" spans="1:202" s="157" customFormat="1" x14ac:dyDescent="0.25">
      <c r="A23" s="157" t="s">
        <v>32</v>
      </c>
      <c r="C23" s="158">
        <f>IF(C2,C22,C21)</f>
        <v>-4272.9136734693884</v>
      </c>
      <c r="D23" s="158">
        <f>IF(D2,D22,D21)</f>
        <v>-2932.3938107948338</v>
      </c>
      <c r="E23" s="158">
        <f t="shared" ref="E23:BO23" si="61">IF(E2,E22,E21)</f>
        <v>-3307.4666232948339</v>
      </c>
      <c r="F23" s="158">
        <f t="shared" si="61"/>
        <v>-2923.3247207890136</v>
      </c>
      <c r="G23" s="158">
        <f t="shared" si="61"/>
        <v>-3191.9728551788921</v>
      </c>
      <c r="H23" s="158">
        <f t="shared" si="61"/>
        <v>-3170.1584629384611</v>
      </c>
      <c r="I23" s="158">
        <f t="shared" si="61"/>
        <v>-3300.6212857572059</v>
      </c>
      <c r="J23" s="158">
        <f t="shared" si="61"/>
        <v>-3147.053890811605</v>
      </c>
      <c r="K23" s="158">
        <f t="shared" si="61"/>
        <v>-3597.7978530076211</v>
      </c>
      <c r="L23" s="158">
        <f t="shared" si="61"/>
        <v>-2907.2306819391588</v>
      </c>
      <c r="M23" s="158">
        <f t="shared" si="61"/>
        <v>-3485.9982761127994</v>
      </c>
      <c r="N23" s="158">
        <f t="shared" si="61"/>
        <v>-3024.0767966875387</v>
      </c>
      <c r="O23" s="158">
        <f t="shared" si="61"/>
        <v>-2795.321910333334</v>
      </c>
      <c r="P23" s="158">
        <f t="shared" si="61"/>
        <v>-3108.6119103333335</v>
      </c>
      <c r="Q23" s="158">
        <f t="shared" si="61"/>
        <v>-3350.165</v>
      </c>
      <c r="R23" s="158">
        <f t="shared" si="61"/>
        <v>-3350.165</v>
      </c>
      <c r="S23" s="158">
        <f t="shared" si="61"/>
        <v>-3350.165</v>
      </c>
      <c r="T23" s="158">
        <f t="shared" si="61"/>
        <v>-3350.165</v>
      </c>
      <c r="U23" s="158">
        <f t="shared" si="61"/>
        <v>-3350.165</v>
      </c>
      <c r="V23" s="158">
        <f t="shared" si="61"/>
        <v>-3350.165</v>
      </c>
      <c r="W23" s="158">
        <f t="shared" si="61"/>
        <v>-3350.165</v>
      </c>
      <c r="X23" s="158">
        <f t="shared" si="61"/>
        <v>-3350.165</v>
      </c>
      <c r="Y23" s="158">
        <f t="shared" si="61"/>
        <v>-3350.165</v>
      </c>
      <c r="Z23" s="158">
        <f t="shared" si="61"/>
        <v>-3350.165</v>
      </c>
      <c r="AA23" s="158">
        <f t="shared" si="61"/>
        <v>-3350.165</v>
      </c>
      <c r="AB23" s="158">
        <f t="shared" si="61"/>
        <v>-3350.165</v>
      </c>
      <c r="AC23" s="158">
        <f t="shared" si="61"/>
        <v>-3350.165</v>
      </c>
      <c r="AD23" s="158">
        <f t="shared" si="61"/>
        <v>-3350.165</v>
      </c>
      <c r="AE23" s="158">
        <f t="shared" si="61"/>
        <v>-3350.165</v>
      </c>
      <c r="AF23" s="158">
        <f t="shared" si="61"/>
        <v>-3350.165</v>
      </c>
      <c r="AG23" s="158">
        <f t="shared" si="61"/>
        <v>-3350.165</v>
      </c>
      <c r="AH23" s="158">
        <f t="shared" si="61"/>
        <v>-3350.165</v>
      </c>
      <c r="AI23" s="158">
        <f t="shared" si="61"/>
        <v>-3350.165</v>
      </c>
      <c r="AJ23" s="158">
        <f t="shared" si="61"/>
        <v>-3350.165</v>
      </c>
      <c r="AK23" s="158">
        <f t="shared" si="61"/>
        <v>-3350.165</v>
      </c>
      <c r="AL23" s="158">
        <f t="shared" si="61"/>
        <v>-3350.165</v>
      </c>
      <c r="AM23" s="158">
        <f t="shared" si="61"/>
        <v>-3350.165</v>
      </c>
      <c r="AN23" s="158">
        <f t="shared" si="61"/>
        <v>-3350.165</v>
      </c>
      <c r="AO23" s="158">
        <f t="shared" si="61"/>
        <v>-3350.165</v>
      </c>
      <c r="AP23" s="158">
        <f t="shared" si="61"/>
        <v>-3350.165</v>
      </c>
      <c r="AQ23" s="158">
        <f t="shared" si="61"/>
        <v>-3350.165</v>
      </c>
      <c r="AR23" s="158">
        <f t="shared" si="61"/>
        <v>-3350.165</v>
      </c>
      <c r="AS23" s="158">
        <f t="shared" si="61"/>
        <v>-3350.165</v>
      </c>
      <c r="AT23" s="158">
        <f t="shared" si="61"/>
        <v>-3350.165</v>
      </c>
      <c r="AU23" s="158">
        <f t="shared" si="61"/>
        <v>-3350.165</v>
      </c>
      <c r="AV23" s="158">
        <f t="shared" si="61"/>
        <v>-3350.165</v>
      </c>
      <c r="AW23" s="158">
        <f t="shared" si="61"/>
        <v>-3350.165</v>
      </c>
      <c r="AX23" s="158">
        <f t="shared" si="61"/>
        <v>-3350.165</v>
      </c>
      <c r="AY23" s="158">
        <f t="shared" si="61"/>
        <v>-3350.165</v>
      </c>
      <c r="AZ23" s="158">
        <f t="shared" si="61"/>
        <v>-3350.165</v>
      </c>
      <c r="BA23" s="158">
        <f t="shared" si="61"/>
        <v>-3350.165</v>
      </c>
      <c r="BB23" s="158">
        <f t="shared" si="61"/>
        <v>-3350.165</v>
      </c>
      <c r="BC23" s="158">
        <f t="shared" si="61"/>
        <v>-3350.165</v>
      </c>
      <c r="BD23" s="158">
        <f t="shared" si="61"/>
        <v>-3350.165</v>
      </c>
      <c r="BE23" s="158">
        <f t="shared" si="61"/>
        <v>-3350.165</v>
      </c>
      <c r="BF23" s="158">
        <f t="shared" si="61"/>
        <v>-3350.165</v>
      </c>
      <c r="BG23" s="158">
        <f t="shared" si="61"/>
        <v>-3350.165</v>
      </c>
      <c r="BH23" s="158">
        <f t="shared" si="61"/>
        <v>-3350.165</v>
      </c>
      <c r="BI23" s="158">
        <f t="shared" si="61"/>
        <v>-3350.165</v>
      </c>
      <c r="BJ23" s="158">
        <f t="shared" si="61"/>
        <v>-3350.165</v>
      </c>
      <c r="BK23" s="158">
        <f t="shared" si="61"/>
        <v>-3350.165</v>
      </c>
      <c r="BL23" s="158">
        <f t="shared" si="61"/>
        <v>-3350.165</v>
      </c>
      <c r="BM23" s="158">
        <f t="shared" si="61"/>
        <v>-3350.165</v>
      </c>
      <c r="BN23" s="158">
        <f t="shared" si="61"/>
        <v>-3350.165</v>
      </c>
      <c r="BO23" s="158">
        <f t="shared" si="61"/>
        <v>-3350.165</v>
      </c>
      <c r="BP23" s="158">
        <f t="shared" ref="BP23:EA23" si="62">IF(BP2,BP22,BP21)</f>
        <v>-3350.165</v>
      </c>
      <c r="BQ23" s="158">
        <f t="shared" si="62"/>
        <v>-3350.165</v>
      </c>
      <c r="BR23" s="158">
        <f t="shared" si="62"/>
        <v>-3350.165</v>
      </c>
      <c r="BS23" s="158">
        <f t="shared" si="62"/>
        <v>-3350.165</v>
      </c>
      <c r="BT23" s="158">
        <f t="shared" si="62"/>
        <v>-3350.165</v>
      </c>
      <c r="BU23" s="158">
        <f t="shared" si="62"/>
        <v>-3350.165</v>
      </c>
      <c r="BV23" s="158">
        <f t="shared" si="62"/>
        <v>-3350.165</v>
      </c>
      <c r="BW23" s="158">
        <f t="shared" si="62"/>
        <v>-3350.165</v>
      </c>
      <c r="BX23" s="158">
        <f t="shared" si="62"/>
        <v>-3350.165</v>
      </c>
      <c r="BY23" s="158">
        <f t="shared" si="62"/>
        <v>-3350.165</v>
      </c>
      <c r="BZ23" s="158">
        <f t="shared" si="62"/>
        <v>-3350.165</v>
      </c>
      <c r="CA23" s="158">
        <f t="shared" si="62"/>
        <v>-3350.165</v>
      </c>
      <c r="CB23" s="158">
        <f t="shared" si="62"/>
        <v>-3350.165</v>
      </c>
      <c r="CC23" s="158">
        <f t="shared" si="62"/>
        <v>-3350.165</v>
      </c>
      <c r="CD23" s="158">
        <f t="shared" si="62"/>
        <v>-3350.165</v>
      </c>
      <c r="CE23" s="158">
        <f t="shared" si="62"/>
        <v>-3350.165</v>
      </c>
      <c r="CF23" s="158">
        <f t="shared" si="62"/>
        <v>-3350.165</v>
      </c>
      <c r="CG23" s="158">
        <f t="shared" si="62"/>
        <v>-3350.165</v>
      </c>
      <c r="CH23" s="158">
        <f t="shared" si="62"/>
        <v>-3350.165</v>
      </c>
      <c r="CI23" s="158">
        <f t="shared" si="62"/>
        <v>-3350.165</v>
      </c>
      <c r="CJ23" s="158">
        <f t="shared" si="62"/>
        <v>-3350.165</v>
      </c>
      <c r="CK23" s="158">
        <f t="shared" si="62"/>
        <v>-3350.165</v>
      </c>
      <c r="CL23" s="158">
        <f t="shared" si="62"/>
        <v>-3350.165</v>
      </c>
      <c r="CM23" s="158">
        <f t="shared" si="62"/>
        <v>-3350.165</v>
      </c>
      <c r="CN23" s="158">
        <f t="shared" si="62"/>
        <v>-3350.165</v>
      </c>
      <c r="CO23" s="158">
        <f t="shared" si="62"/>
        <v>-3350.165</v>
      </c>
      <c r="CP23" s="158">
        <f t="shared" si="62"/>
        <v>-3350.165</v>
      </c>
      <c r="CQ23" s="158">
        <f t="shared" si="62"/>
        <v>-3350.165</v>
      </c>
      <c r="CR23" s="158">
        <f t="shared" si="62"/>
        <v>-3350.165</v>
      </c>
      <c r="CS23" s="158">
        <f t="shared" si="62"/>
        <v>-3350.165</v>
      </c>
      <c r="CT23" s="158">
        <f t="shared" si="62"/>
        <v>-3350.165</v>
      </c>
      <c r="CU23" s="158">
        <f t="shared" si="62"/>
        <v>-3350.165</v>
      </c>
      <c r="CV23" s="158">
        <f t="shared" si="62"/>
        <v>-3350.165</v>
      </c>
      <c r="CW23" s="158">
        <f t="shared" si="62"/>
        <v>-3350.165</v>
      </c>
      <c r="CX23" s="158">
        <f t="shared" si="62"/>
        <v>-3350.165</v>
      </c>
      <c r="CY23" s="158">
        <f t="shared" si="62"/>
        <v>-3350.165</v>
      </c>
      <c r="CZ23" s="158">
        <f t="shared" si="62"/>
        <v>-3350.165</v>
      </c>
      <c r="DA23" s="158">
        <f t="shared" si="62"/>
        <v>-3350.165</v>
      </c>
      <c r="DB23" s="158">
        <f t="shared" si="62"/>
        <v>-3350.165</v>
      </c>
      <c r="DC23" s="158">
        <f t="shared" si="62"/>
        <v>-3350.165</v>
      </c>
      <c r="DD23" s="158">
        <f t="shared" si="62"/>
        <v>-3350.165</v>
      </c>
      <c r="DE23" s="158">
        <f t="shared" si="62"/>
        <v>-3350.165</v>
      </c>
      <c r="DF23" s="158">
        <f t="shared" si="62"/>
        <v>-3350.165</v>
      </c>
      <c r="DG23" s="158">
        <f t="shared" si="62"/>
        <v>-3350.165</v>
      </c>
      <c r="DH23" s="158">
        <f t="shared" si="62"/>
        <v>-3350.165</v>
      </c>
      <c r="DI23" s="158">
        <f t="shared" si="62"/>
        <v>-3350.165</v>
      </c>
      <c r="DJ23" s="158">
        <f t="shared" si="62"/>
        <v>-3350.165</v>
      </c>
      <c r="DK23" s="158">
        <f t="shared" si="62"/>
        <v>-3350.165</v>
      </c>
      <c r="DL23" s="158">
        <f t="shared" si="62"/>
        <v>-3350.165</v>
      </c>
      <c r="DM23" s="158">
        <f t="shared" si="62"/>
        <v>-3350.165</v>
      </c>
      <c r="DN23" s="158">
        <f t="shared" si="62"/>
        <v>-3350.165</v>
      </c>
      <c r="DO23" s="158">
        <f t="shared" si="62"/>
        <v>-3350.165</v>
      </c>
      <c r="DP23" s="158">
        <f t="shared" si="62"/>
        <v>-3350.165</v>
      </c>
      <c r="DQ23" s="158">
        <f t="shared" si="62"/>
        <v>-3350.165</v>
      </c>
      <c r="DR23" s="158">
        <f t="shared" si="62"/>
        <v>-3350.165</v>
      </c>
      <c r="DS23" s="158">
        <f t="shared" si="62"/>
        <v>-3350.165</v>
      </c>
      <c r="DT23" s="158">
        <f t="shared" si="62"/>
        <v>-3350.165</v>
      </c>
      <c r="DU23" s="158">
        <f t="shared" si="62"/>
        <v>-3350.165</v>
      </c>
      <c r="DV23" s="158">
        <f t="shared" si="62"/>
        <v>-3350.165</v>
      </c>
      <c r="DW23" s="158">
        <f t="shared" si="62"/>
        <v>-3350.165</v>
      </c>
      <c r="DX23" s="158">
        <f t="shared" si="62"/>
        <v>-3350.165</v>
      </c>
      <c r="DY23" s="158">
        <f t="shared" si="62"/>
        <v>-3350.165</v>
      </c>
      <c r="DZ23" s="158">
        <f t="shared" si="62"/>
        <v>-3350.165</v>
      </c>
      <c r="EA23" s="158">
        <f t="shared" si="62"/>
        <v>-3350.165</v>
      </c>
      <c r="EB23" s="158">
        <f t="shared" ref="EB23:GM23" si="63">IF(EB2,EB22,EB21)</f>
        <v>-3350.165</v>
      </c>
      <c r="EC23" s="158">
        <f t="shared" si="63"/>
        <v>-3350.165</v>
      </c>
      <c r="ED23" s="158">
        <f t="shared" si="63"/>
        <v>-3350.165</v>
      </c>
      <c r="EE23" s="158">
        <f t="shared" si="63"/>
        <v>-3350.165</v>
      </c>
      <c r="EF23" s="158">
        <f t="shared" si="63"/>
        <v>-3350.165</v>
      </c>
      <c r="EG23" s="158">
        <f t="shared" si="63"/>
        <v>-3350.165</v>
      </c>
      <c r="EH23" s="158">
        <f t="shared" si="63"/>
        <v>-3350.165</v>
      </c>
      <c r="EI23" s="158">
        <f t="shared" si="63"/>
        <v>-3350.165</v>
      </c>
      <c r="EJ23" s="158">
        <f t="shared" si="63"/>
        <v>-3350.165</v>
      </c>
      <c r="EK23" s="158">
        <f t="shared" si="63"/>
        <v>-3350.165</v>
      </c>
      <c r="EL23" s="158">
        <f t="shared" si="63"/>
        <v>-3350.165</v>
      </c>
      <c r="EM23" s="158">
        <f t="shared" si="63"/>
        <v>-3350.165</v>
      </c>
      <c r="EN23" s="158">
        <f t="shared" si="63"/>
        <v>-3350.165</v>
      </c>
      <c r="EO23" s="158">
        <f t="shared" si="63"/>
        <v>-3350.165</v>
      </c>
      <c r="EP23" s="158">
        <f t="shared" si="63"/>
        <v>-3350.165</v>
      </c>
      <c r="EQ23" s="158">
        <f t="shared" si="63"/>
        <v>-3350.165</v>
      </c>
      <c r="ER23" s="158">
        <f t="shared" si="63"/>
        <v>-3350.165</v>
      </c>
      <c r="ES23" s="158">
        <f t="shared" si="63"/>
        <v>-3350.165</v>
      </c>
      <c r="ET23" s="158">
        <f t="shared" si="63"/>
        <v>-3350.165</v>
      </c>
      <c r="EU23" s="158">
        <f t="shared" si="63"/>
        <v>-3350.165</v>
      </c>
      <c r="EV23" s="158">
        <f t="shared" si="63"/>
        <v>-3350.165</v>
      </c>
      <c r="EW23" s="158">
        <f t="shared" si="63"/>
        <v>-3350.165</v>
      </c>
      <c r="EX23" s="158">
        <f t="shared" si="63"/>
        <v>-3350.165</v>
      </c>
      <c r="EY23" s="158">
        <f t="shared" si="63"/>
        <v>-3350.165</v>
      </c>
      <c r="EZ23" s="158">
        <f t="shared" si="63"/>
        <v>-3350.165</v>
      </c>
      <c r="FA23" s="158">
        <f t="shared" si="63"/>
        <v>-3350.165</v>
      </c>
      <c r="FB23" s="158">
        <f t="shared" si="63"/>
        <v>-3350.165</v>
      </c>
      <c r="FC23" s="158">
        <f t="shared" si="63"/>
        <v>-3350.165</v>
      </c>
      <c r="FD23" s="158">
        <f t="shared" si="63"/>
        <v>-3350.165</v>
      </c>
      <c r="FE23" s="158">
        <f t="shared" si="63"/>
        <v>-3350.165</v>
      </c>
      <c r="FF23" s="158">
        <f t="shared" si="63"/>
        <v>-3350.165</v>
      </c>
      <c r="FG23" s="158">
        <f t="shared" si="63"/>
        <v>-3350.165</v>
      </c>
      <c r="FH23" s="158">
        <f t="shared" si="63"/>
        <v>-3350.165</v>
      </c>
      <c r="FI23" s="158">
        <f t="shared" si="63"/>
        <v>-3350.165</v>
      </c>
      <c r="FJ23" s="158">
        <f t="shared" si="63"/>
        <v>-3350.165</v>
      </c>
      <c r="FK23" s="158">
        <f t="shared" si="63"/>
        <v>-3350.165</v>
      </c>
      <c r="FL23" s="158">
        <f t="shared" si="63"/>
        <v>-3350.165</v>
      </c>
      <c r="FM23" s="158">
        <f t="shared" si="63"/>
        <v>-3350.165</v>
      </c>
      <c r="FN23" s="158">
        <f t="shared" si="63"/>
        <v>-3350.165</v>
      </c>
      <c r="FO23" s="158">
        <f t="shared" si="63"/>
        <v>-3350.165</v>
      </c>
      <c r="FP23" s="158">
        <f t="shared" si="63"/>
        <v>-3350.165</v>
      </c>
      <c r="FQ23" s="158">
        <f t="shared" si="63"/>
        <v>-3350.165</v>
      </c>
      <c r="FR23" s="158">
        <f t="shared" si="63"/>
        <v>-3350.165</v>
      </c>
      <c r="FS23" s="158">
        <f t="shared" si="63"/>
        <v>-3350.165</v>
      </c>
      <c r="FT23" s="158">
        <f t="shared" si="63"/>
        <v>-3350.165</v>
      </c>
      <c r="FU23" s="158">
        <f t="shared" si="63"/>
        <v>-3350.165</v>
      </c>
      <c r="FV23" s="158">
        <f t="shared" si="63"/>
        <v>-3350.165</v>
      </c>
      <c r="FW23" s="158">
        <f t="shared" si="63"/>
        <v>-3350.165</v>
      </c>
      <c r="FX23" s="158">
        <f t="shared" si="63"/>
        <v>-3350.165</v>
      </c>
      <c r="FY23" s="158">
        <f t="shared" si="63"/>
        <v>-3350.165</v>
      </c>
      <c r="FZ23" s="158">
        <f t="shared" si="63"/>
        <v>-3350.165</v>
      </c>
      <c r="GA23" s="158">
        <f t="shared" si="63"/>
        <v>-3350.165</v>
      </c>
      <c r="GB23" s="158">
        <f t="shared" si="63"/>
        <v>-3350.165</v>
      </c>
      <c r="GC23" s="158">
        <f t="shared" si="63"/>
        <v>-3350.165</v>
      </c>
      <c r="GD23" s="158">
        <f t="shared" si="63"/>
        <v>-3350.165</v>
      </c>
      <c r="GE23" s="158">
        <f t="shared" si="63"/>
        <v>-3350.165</v>
      </c>
      <c r="GF23" s="158">
        <f t="shared" si="63"/>
        <v>-3350.165</v>
      </c>
      <c r="GG23" s="158">
        <f t="shared" si="63"/>
        <v>-3350.165</v>
      </c>
      <c r="GH23" s="158">
        <f t="shared" si="63"/>
        <v>-3350.165</v>
      </c>
      <c r="GI23" s="158">
        <f t="shared" si="63"/>
        <v>-3350.165</v>
      </c>
      <c r="GJ23" s="158">
        <f t="shared" si="63"/>
        <v>-3350.165</v>
      </c>
      <c r="GK23" s="158">
        <f t="shared" si="63"/>
        <v>-3350.165</v>
      </c>
      <c r="GL23" s="158">
        <f t="shared" si="63"/>
        <v>-3350.165</v>
      </c>
      <c r="GM23" s="158">
        <f t="shared" si="63"/>
        <v>-3350.165</v>
      </c>
      <c r="GN23" s="158">
        <f t="shared" ref="GN23:GT23" si="64">IF(GN2,GN22,GN21)</f>
        <v>-3350.165</v>
      </c>
      <c r="GO23" s="158">
        <f t="shared" si="64"/>
        <v>-3350.165</v>
      </c>
      <c r="GP23" s="158">
        <f t="shared" si="64"/>
        <v>-3350.165</v>
      </c>
      <c r="GQ23" s="158">
        <f t="shared" si="64"/>
        <v>-3350.165</v>
      </c>
      <c r="GR23" s="158">
        <f t="shared" si="64"/>
        <v>-3350.165</v>
      </c>
      <c r="GS23" s="158">
        <f t="shared" si="64"/>
        <v>-3350.165</v>
      </c>
      <c r="GT23" s="158">
        <f t="shared" si="64"/>
        <v>-3350.165</v>
      </c>
    </row>
    <row r="24" spans="1:202" s="79" customFormat="1" x14ac:dyDescent="0.25">
      <c r="A24" s="79" t="s">
        <v>94</v>
      </c>
      <c r="C24" s="80">
        <f>C19+C23</f>
        <v>2129.9842857142849</v>
      </c>
      <c r="D24" s="80">
        <f t="shared" ref="D24:N24" si="65">D19+D23</f>
        <v>1256.0557429875867</v>
      </c>
      <c r="E24" s="80">
        <f t="shared" si="65"/>
        <v>4004.9557217847778</v>
      </c>
      <c r="F24" s="80">
        <f t="shared" si="65"/>
        <v>6095.4122806921923</v>
      </c>
      <c r="G24" s="80">
        <f t="shared" si="65"/>
        <v>3024.9629902317365</v>
      </c>
      <c r="H24" s="80">
        <f t="shared" si="65"/>
        <v>3924.3869645415311</v>
      </c>
      <c r="I24" s="80">
        <f t="shared" si="65"/>
        <v>3577.4893515891777</v>
      </c>
      <c r="J24" s="80">
        <f t="shared" si="65"/>
        <v>4919.4799163304651</v>
      </c>
      <c r="K24" s="80">
        <f t="shared" si="65"/>
        <v>5770.2688135627486</v>
      </c>
      <c r="L24" s="80">
        <f t="shared" si="65"/>
        <v>5634.4720453524233</v>
      </c>
      <c r="M24" s="80">
        <f t="shared" si="65"/>
        <v>6244.0706004891545</v>
      </c>
      <c r="N24" s="80">
        <f t="shared" si="65"/>
        <v>2669.7369433487952</v>
      </c>
      <c r="O24" s="80">
        <f t="shared" ref="O24:AT24" si="66">O19+O23</f>
        <v>6117.1995093632941</v>
      </c>
      <c r="P24" s="80">
        <f t="shared" si="66"/>
        <v>6180.4482454212466</v>
      </c>
      <c r="Q24" s="80">
        <f t="shared" si="66"/>
        <v>6542.0650000000014</v>
      </c>
      <c r="R24" s="80">
        <f t="shared" si="66"/>
        <v>3684.6550000000007</v>
      </c>
      <c r="S24" s="80">
        <f t="shared" si="66"/>
        <v>2364.6550000000007</v>
      </c>
      <c r="T24" s="80">
        <f t="shared" si="66"/>
        <v>2364.6550000000007</v>
      </c>
      <c r="U24" s="80">
        <f t="shared" si="66"/>
        <v>2364.6550000000007</v>
      </c>
      <c r="V24" s="80">
        <f t="shared" si="66"/>
        <v>2364.6550000000007</v>
      </c>
      <c r="W24" s="80">
        <f t="shared" si="66"/>
        <v>6542.0650000000014</v>
      </c>
      <c r="X24" s="80">
        <f t="shared" si="66"/>
        <v>3684.6550000000007</v>
      </c>
      <c r="Y24" s="80">
        <f t="shared" si="66"/>
        <v>3684.6550000000007</v>
      </c>
      <c r="Z24" s="80">
        <f t="shared" si="66"/>
        <v>3684.6550000000007</v>
      </c>
      <c r="AA24" s="80">
        <f t="shared" si="66"/>
        <v>3684.6550000000007</v>
      </c>
      <c r="AB24" s="80">
        <f t="shared" si="66"/>
        <v>8184.6549999999997</v>
      </c>
      <c r="AC24" s="80">
        <f t="shared" si="66"/>
        <v>6542.0650000000014</v>
      </c>
      <c r="AD24" s="80">
        <f t="shared" si="66"/>
        <v>3684.6550000000007</v>
      </c>
      <c r="AE24" s="80">
        <f t="shared" si="66"/>
        <v>3684.6550000000007</v>
      </c>
      <c r="AF24" s="80">
        <f t="shared" si="66"/>
        <v>3684.6550000000007</v>
      </c>
      <c r="AG24" s="80">
        <f t="shared" si="66"/>
        <v>3684.6550000000007</v>
      </c>
      <c r="AH24" s="80">
        <f t="shared" si="66"/>
        <v>6542.0650000000014</v>
      </c>
      <c r="AI24" s="80">
        <f t="shared" si="66"/>
        <v>3564.6550000000007</v>
      </c>
      <c r="AJ24" s="80">
        <f t="shared" si="66"/>
        <v>3564.6550000000007</v>
      </c>
      <c r="AK24" s="80">
        <f t="shared" si="66"/>
        <v>3564.6550000000007</v>
      </c>
      <c r="AL24" s="80">
        <f t="shared" si="66"/>
        <v>3564.6550000000007</v>
      </c>
      <c r="AM24" s="80">
        <f t="shared" si="66"/>
        <v>3564.6550000000007</v>
      </c>
      <c r="AN24" s="80">
        <f t="shared" si="66"/>
        <v>8064.6549999999997</v>
      </c>
      <c r="AO24" s="80">
        <f t="shared" si="66"/>
        <v>6422.0650000000014</v>
      </c>
      <c r="AP24" s="80">
        <f t="shared" si="66"/>
        <v>5781.3216666666676</v>
      </c>
      <c r="AQ24" s="80">
        <f t="shared" si="66"/>
        <v>5781.3216666666676</v>
      </c>
      <c r="AR24" s="80">
        <f t="shared" si="66"/>
        <v>5781.3216666666676</v>
      </c>
      <c r="AS24" s="80">
        <f t="shared" si="66"/>
        <v>5781.3216666666676</v>
      </c>
      <c r="AT24" s="80">
        <f t="shared" si="66"/>
        <v>8638.7316666666666</v>
      </c>
      <c r="AU24" s="80">
        <f t="shared" ref="AU24:BZ24" si="67">AU19+AU23</f>
        <v>5781.3216666666676</v>
      </c>
      <c r="AV24" s="80">
        <f t="shared" si="67"/>
        <v>5781.3216666666676</v>
      </c>
      <c r="AW24" s="80">
        <f t="shared" si="67"/>
        <v>5781.3216666666676</v>
      </c>
      <c r="AX24" s="80">
        <f t="shared" si="67"/>
        <v>5781.3216666666676</v>
      </c>
      <c r="AY24" s="80">
        <f t="shared" si="67"/>
        <v>5781.3216666666676</v>
      </c>
      <c r="AZ24" s="80">
        <f t="shared" si="67"/>
        <v>13138.731666666667</v>
      </c>
      <c r="BA24" s="80">
        <f t="shared" si="67"/>
        <v>5781.3216666666676</v>
      </c>
      <c r="BB24" s="80">
        <f t="shared" si="67"/>
        <v>5781.3216666666676</v>
      </c>
      <c r="BC24" s="80">
        <f t="shared" si="67"/>
        <v>5781.3216666666676</v>
      </c>
      <c r="BD24" s="80">
        <f t="shared" si="67"/>
        <v>5781.3216666666676</v>
      </c>
      <c r="BE24" s="80">
        <f t="shared" si="67"/>
        <v>5781.3216666666676</v>
      </c>
      <c r="BF24" s="80">
        <f t="shared" si="67"/>
        <v>8638.7316666666666</v>
      </c>
      <c r="BG24" s="80">
        <f t="shared" si="67"/>
        <v>5781.3216666666676</v>
      </c>
      <c r="BH24" s="80">
        <f t="shared" si="67"/>
        <v>5781.3216666666676</v>
      </c>
      <c r="BI24" s="80">
        <f t="shared" si="67"/>
        <v>5781.3216666666676</v>
      </c>
      <c r="BJ24" s="80">
        <f t="shared" si="67"/>
        <v>5781.3216666666676</v>
      </c>
      <c r="BK24" s="80">
        <f t="shared" si="67"/>
        <v>8638.7316666666666</v>
      </c>
      <c r="BL24" s="80">
        <f t="shared" si="67"/>
        <v>10281.321666666667</v>
      </c>
      <c r="BM24" s="80">
        <f t="shared" si="67"/>
        <v>5781.3216666666676</v>
      </c>
      <c r="BN24" s="80">
        <f t="shared" si="67"/>
        <v>5781.3216666666676</v>
      </c>
      <c r="BO24" s="80">
        <f t="shared" si="67"/>
        <v>5781.3216666666676</v>
      </c>
      <c r="BP24" s="80">
        <f t="shared" si="67"/>
        <v>5781.3216666666676</v>
      </c>
      <c r="BQ24" s="80">
        <f t="shared" si="67"/>
        <v>8638.7316666666666</v>
      </c>
      <c r="BR24" s="80">
        <f t="shared" si="67"/>
        <v>5781.3216666666676</v>
      </c>
      <c r="BS24" s="80">
        <f t="shared" si="67"/>
        <v>5781.3216666666676</v>
      </c>
      <c r="BT24" s="80">
        <f t="shared" si="67"/>
        <v>5781.3216666666676</v>
      </c>
      <c r="BU24" s="80">
        <f t="shared" si="67"/>
        <v>5781.3216666666676</v>
      </c>
      <c r="BV24" s="80">
        <f t="shared" si="67"/>
        <v>5781.3216666666676</v>
      </c>
      <c r="BW24" s="80">
        <f t="shared" si="67"/>
        <v>8638.7316666666666</v>
      </c>
      <c r="BX24" s="80">
        <f t="shared" si="67"/>
        <v>10281.321666666667</v>
      </c>
      <c r="BY24" s="80">
        <f t="shared" si="67"/>
        <v>5781.3216666666676</v>
      </c>
      <c r="BZ24" s="80">
        <f t="shared" si="67"/>
        <v>5781.3216666666676</v>
      </c>
      <c r="CA24" s="80">
        <f t="shared" ref="CA24:DF24" si="68">CA19+CA23</f>
        <v>5781.3216666666676</v>
      </c>
      <c r="CB24" s="80">
        <f t="shared" si="68"/>
        <v>8638.7316666666666</v>
      </c>
      <c r="CC24" s="80">
        <f t="shared" si="68"/>
        <v>5781.3216666666676</v>
      </c>
      <c r="CD24" s="80">
        <f t="shared" si="68"/>
        <v>5781.3216666666676</v>
      </c>
      <c r="CE24" s="80">
        <f t="shared" si="68"/>
        <v>5781.3216666666676</v>
      </c>
      <c r="CF24" s="80">
        <f t="shared" si="68"/>
        <v>5781.3216666666676</v>
      </c>
      <c r="CG24" s="80">
        <f t="shared" si="68"/>
        <v>5781.3216666666676</v>
      </c>
      <c r="CH24" s="80">
        <f t="shared" si="68"/>
        <v>5781.3216666666676</v>
      </c>
      <c r="CI24" s="80">
        <f t="shared" si="68"/>
        <v>8638.7316666666666</v>
      </c>
      <c r="CJ24" s="80">
        <f t="shared" si="68"/>
        <v>10281.321666666667</v>
      </c>
      <c r="CK24" s="80">
        <f t="shared" si="68"/>
        <v>5781.3216666666676</v>
      </c>
      <c r="CL24" s="80">
        <f t="shared" si="68"/>
        <v>5781.3216666666676</v>
      </c>
      <c r="CM24" s="80">
        <f t="shared" si="68"/>
        <v>5781.3216666666676</v>
      </c>
      <c r="CN24" s="80">
        <f t="shared" si="68"/>
        <v>8638.7316666666666</v>
      </c>
      <c r="CO24" s="80">
        <f t="shared" si="68"/>
        <v>5781.3216666666676</v>
      </c>
      <c r="CP24" s="80">
        <f t="shared" si="68"/>
        <v>5781.3216666666676</v>
      </c>
      <c r="CQ24" s="80">
        <f t="shared" si="68"/>
        <v>5781.3216666666676</v>
      </c>
      <c r="CR24" s="80">
        <f t="shared" si="68"/>
        <v>5781.3216666666676</v>
      </c>
      <c r="CS24" s="80">
        <f t="shared" si="68"/>
        <v>5781.3216666666676</v>
      </c>
      <c r="CT24" s="80">
        <f t="shared" si="68"/>
        <v>8638.7316666666666</v>
      </c>
      <c r="CU24" s="80">
        <f t="shared" si="68"/>
        <v>5781.3216666666676</v>
      </c>
      <c r="CV24" s="80">
        <f t="shared" si="68"/>
        <v>10281.321666666667</v>
      </c>
      <c r="CW24" s="80">
        <f t="shared" si="68"/>
        <v>5781.3216666666676</v>
      </c>
      <c r="CX24" s="80">
        <f t="shared" si="68"/>
        <v>5781.3216666666676</v>
      </c>
      <c r="CY24" s="80">
        <f t="shared" si="68"/>
        <v>5781.3216666666676</v>
      </c>
      <c r="CZ24" s="80">
        <f t="shared" si="68"/>
        <v>8638.7316666666666</v>
      </c>
      <c r="DA24" s="80">
        <f t="shared" si="68"/>
        <v>5781.3216666666676</v>
      </c>
      <c r="DB24" s="80">
        <f t="shared" si="68"/>
        <v>5781.3216666666676</v>
      </c>
      <c r="DC24" s="80">
        <f t="shared" si="68"/>
        <v>5781.3216666666676</v>
      </c>
      <c r="DD24" s="80">
        <f t="shared" si="68"/>
        <v>5781.3216666666676</v>
      </c>
      <c r="DE24" s="80">
        <f t="shared" si="68"/>
        <v>8638.7316666666666</v>
      </c>
      <c r="DF24" s="80">
        <f t="shared" si="68"/>
        <v>5781.3216666666676</v>
      </c>
      <c r="DG24" s="80">
        <f t="shared" ref="DG24:EL24" si="69">DG19+DG23</f>
        <v>5781.3216666666676</v>
      </c>
      <c r="DH24" s="80">
        <f t="shared" si="69"/>
        <v>10281.321666666667</v>
      </c>
      <c r="DI24" s="80">
        <f t="shared" si="69"/>
        <v>5781.3216666666676</v>
      </c>
      <c r="DJ24" s="80">
        <f t="shared" si="69"/>
        <v>5781.3216666666676</v>
      </c>
      <c r="DK24" s="80">
        <f t="shared" si="69"/>
        <v>8638.7316666666666</v>
      </c>
      <c r="DL24" s="80">
        <f t="shared" si="69"/>
        <v>5781.3216666666676</v>
      </c>
      <c r="DM24" s="80">
        <f t="shared" si="69"/>
        <v>5781.3216666666676</v>
      </c>
      <c r="DN24" s="80">
        <f t="shared" si="69"/>
        <v>5781.3216666666676</v>
      </c>
      <c r="DO24" s="80">
        <f t="shared" si="69"/>
        <v>5781.3216666666676</v>
      </c>
      <c r="DP24" s="80">
        <f t="shared" si="69"/>
        <v>5781.3216666666676</v>
      </c>
      <c r="DQ24" s="80">
        <f t="shared" si="69"/>
        <v>8638.7316666666666</v>
      </c>
      <c r="DR24" s="80">
        <f t="shared" si="69"/>
        <v>5781.3216666666676</v>
      </c>
      <c r="DS24" s="80">
        <f t="shared" si="69"/>
        <v>5781.3216666666676</v>
      </c>
      <c r="DT24" s="80">
        <f t="shared" si="69"/>
        <v>10281.321666666667</v>
      </c>
      <c r="DU24" s="80">
        <f t="shared" si="69"/>
        <v>5781.3216666666676</v>
      </c>
      <c r="DV24" s="80">
        <f t="shared" si="69"/>
        <v>8638.7316666666666</v>
      </c>
      <c r="DW24" s="80">
        <f t="shared" si="69"/>
        <v>5781.3216666666676</v>
      </c>
      <c r="DX24" s="80">
        <f t="shared" si="69"/>
        <v>5781.3216666666676</v>
      </c>
      <c r="DY24" s="80">
        <f t="shared" si="69"/>
        <v>5781.3216666666676</v>
      </c>
      <c r="DZ24" s="80">
        <f t="shared" si="69"/>
        <v>5781.3216666666676</v>
      </c>
      <c r="EA24" s="80">
        <f t="shared" si="69"/>
        <v>5781.3216666666676</v>
      </c>
      <c r="EB24" s="80">
        <f t="shared" si="69"/>
        <v>5781.3216666666676</v>
      </c>
      <c r="EC24" s="80">
        <f t="shared" si="69"/>
        <v>8638.7316666666666</v>
      </c>
      <c r="ED24" s="80">
        <f t="shared" si="69"/>
        <v>5781.3216666666676</v>
      </c>
      <c r="EE24" s="80">
        <f t="shared" si="69"/>
        <v>5781.3216666666676</v>
      </c>
      <c r="EF24" s="80">
        <f t="shared" si="69"/>
        <v>10281.321666666667</v>
      </c>
      <c r="EG24" s="80">
        <f t="shared" si="69"/>
        <v>5781.3216666666676</v>
      </c>
      <c r="EH24" s="80">
        <f t="shared" si="69"/>
        <v>8638.7316666666666</v>
      </c>
      <c r="EI24" s="80">
        <f t="shared" si="69"/>
        <v>5781.3216666666676</v>
      </c>
      <c r="EJ24" s="80">
        <f t="shared" si="69"/>
        <v>5781.3216666666676</v>
      </c>
      <c r="EK24" s="80">
        <f t="shared" si="69"/>
        <v>5781.3216666666676</v>
      </c>
      <c r="EL24" s="80">
        <f t="shared" si="69"/>
        <v>5781.3216666666676</v>
      </c>
      <c r="EM24" s="80">
        <f t="shared" ref="EM24:FR24" si="70">EM19+EM23</f>
        <v>8638.7316666666666</v>
      </c>
      <c r="EN24" s="80">
        <f t="shared" si="70"/>
        <v>5781.3216666666676</v>
      </c>
      <c r="EO24" s="80">
        <f t="shared" si="70"/>
        <v>5781.3216666666676</v>
      </c>
      <c r="EP24" s="80">
        <f t="shared" si="70"/>
        <v>5781.3216666666676</v>
      </c>
      <c r="EQ24" s="80">
        <f t="shared" si="70"/>
        <v>5781.3216666666676</v>
      </c>
      <c r="ER24" s="80">
        <f t="shared" si="70"/>
        <v>10281.321666666667</v>
      </c>
      <c r="ES24" s="80">
        <f t="shared" si="70"/>
        <v>5781.3216666666676</v>
      </c>
      <c r="ET24" s="80">
        <f t="shared" si="70"/>
        <v>8638.7316666666666</v>
      </c>
      <c r="EU24" s="80">
        <f t="shared" si="70"/>
        <v>5781.3216666666676</v>
      </c>
      <c r="EV24" s="80">
        <f t="shared" si="70"/>
        <v>5781.3216666666676</v>
      </c>
      <c r="EW24" s="80">
        <f t="shared" si="70"/>
        <v>5781.3216666666676</v>
      </c>
      <c r="EX24" s="80">
        <f t="shared" si="70"/>
        <v>5781.3216666666676</v>
      </c>
      <c r="EY24" s="80">
        <f t="shared" si="70"/>
        <v>8638.7316666666666</v>
      </c>
      <c r="EZ24" s="80">
        <f t="shared" si="70"/>
        <v>5781.3216666666676</v>
      </c>
      <c r="FA24" s="80">
        <f t="shared" si="70"/>
        <v>5781.3216666666676</v>
      </c>
      <c r="FB24" s="80">
        <f t="shared" si="70"/>
        <v>5781.3216666666676</v>
      </c>
      <c r="FC24" s="80">
        <f t="shared" si="70"/>
        <v>5781.3216666666676</v>
      </c>
      <c r="FD24" s="80">
        <f t="shared" si="70"/>
        <v>10281.321666666667</v>
      </c>
      <c r="FE24" s="80">
        <f t="shared" si="70"/>
        <v>8638.7316666666666</v>
      </c>
      <c r="FF24" s="80">
        <f t="shared" si="70"/>
        <v>5781.3216666666676</v>
      </c>
      <c r="FG24" s="80">
        <f t="shared" si="70"/>
        <v>5781.3216666666676</v>
      </c>
      <c r="FH24" s="80">
        <f t="shared" si="70"/>
        <v>5781.3216666666676</v>
      </c>
      <c r="FI24" s="80">
        <f t="shared" si="70"/>
        <v>5781.3216666666676</v>
      </c>
      <c r="FJ24" s="80">
        <f t="shared" si="70"/>
        <v>8638.7316666666666</v>
      </c>
      <c r="FK24" s="80">
        <f t="shared" si="70"/>
        <v>5781.3216666666676</v>
      </c>
      <c r="FL24" s="80">
        <f t="shared" si="70"/>
        <v>5781.3216666666676</v>
      </c>
      <c r="FM24" s="80">
        <f t="shared" si="70"/>
        <v>5781.3216666666676</v>
      </c>
      <c r="FN24" s="80">
        <f t="shared" si="70"/>
        <v>5781.3216666666676</v>
      </c>
      <c r="FO24" s="80">
        <f t="shared" si="70"/>
        <v>5781.3216666666676</v>
      </c>
      <c r="FP24" s="80">
        <f t="shared" si="70"/>
        <v>10281.321666666667</v>
      </c>
      <c r="FQ24" s="80">
        <f t="shared" si="70"/>
        <v>8638.7316666666666</v>
      </c>
      <c r="FR24" s="80">
        <f t="shared" si="70"/>
        <v>5781.3216666666676</v>
      </c>
      <c r="FS24" s="80">
        <f t="shared" ref="FS24:GT24" si="71">FS19+FS23</f>
        <v>5781.3216666666676</v>
      </c>
      <c r="FT24" s="80">
        <f t="shared" si="71"/>
        <v>5781.3216666666676</v>
      </c>
      <c r="FU24" s="80">
        <f t="shared" si="71"/>
        <v>5781.3216666666676</v>
      </c>
      <c r="FV24" s="80">
        <f t="shared" si="71"/>
        <v>8638.7316666666666</v>
      </c>
      <c r="FW24" s="80">
        <f t="shared" si="71"/>
        <v>5781.3216666666676</v>
      </c>
      <c r="FX24" s="80">
        <f t="shared" si="71"/>
        <v>5781.3216666666676</v>
      </c>
      <c r="FY24" s="80">
        <f t="shared" si="71"/>
        <v>5781.3216666666676</v>
      </c>
      <c r="FZ24" s="80">
        <f t="shared" si="71"/>
        <v>5781.3216666666676</v>
      </c>
      <c r="GA24" s="80">
        <f t="shared" si="71"/>
        <v>5781.3216666666676</v>
      </c>
      <c r="GB24" s="80">
        <f t="shared" si="71"/>
        <v>13138.731666666667</v>
      </c>
      <c r="GC24" s="80">
        <f t="shared" si="71"/>
        <v>5781.3216666666676</v>
      </c>
      <c r="GD24" s="80">
        <f t="shared" si="71"/>
        <v>5781.3216666666676</v>
      </c>
      <c r="GE24" s="80">
        <f t="shared" si="71"/>
        <v>5781.3216666666676</v>
      </c>
      <c r="GF24" s="80">
        <f t="shared" si="71"/>
        <v>5781.3216666666676</v>
      </c>
      <c r="GG24" s="80">
        <f t="shared" si="71"/>
        <v>5781.3216666666676</v>
      </c>
      <c r="GH24" s="80">
        <f t="shared" si="71"/>
        <v>8638.7316666666666</v>
      </c>
      <c r="GI24" s="80">
        <f t="shared" si="71"/>
        <v>5781.3216666666676</v>
      </c>
      <c r="GJ24" s="80">
        <f t="shared" si="71"/>
        <v>5781.3216666666676</v>
      </c>
      <c r="GK24" s="80">
        <f t="shared" si="71"/>
        <v>5781.3216666666676</v>
      </c>
      <c r="GL24" s="80">
        <f t="shared" si="71"/>
        <v>5781.3216666666676</v>
      </c>
      <c r="GM24" s="80">
        <f t="shared" si="71"/>
        <v>5781.3216666666676</v>
      </c>
      <c r="GN24" s="80">
        <f t="shared" si="71"/>
        <v>13138.731666666667</v>
      </c>
      <c r="GO24" s="80">
        <f t="shared" si="71"/>
        <v>5781.3216666666676</v>
      </c>
      <c r="GP24" s="80">
        <f t="shared" si="71"/>
        <v>5781.3216666666676</v>
      </c>
      <c r="GQ24" s="80">
        <f t="shared" si="71"/>
        <v>5781.3216666666676</v>
      </c>
      <c r="GR24" s="80">
        <f t="shared" si="71"/>
        <v>5781.3216666666676</v>
      </c>
      <c r="GS24" s="80">
        <f t="shared" si="71"/>
        <v>8638.7316666666666</v>
      </c>
      <c r="GT24" s="80">
        <f t="shared" si="71"/>
        <v>5781.3216666666676</v>
      </c>
    </row>
    <row r="25" spans="1:202" x14ac:dyDescent="0.25">
      <c r="A25" s="76" t="s">
        <v>97</v>
      </c>
    </row>
    <row r="26" spans="1:202" x14ac:dyDescent="0.25">
      <c r="A26" t="s">
        <v>99</v>
      </c>
      <c r="C26" s="44">
        <f>-SUMIFS(Losses!$AD:$AD,Losses!$X:$X,'Cash flow'!C3)</f>
        <v>-3552.6315789473683</v>
      </c>
      <c r="D26" s="44">
        <f>-SUMIFS(Losses!$AD:$AD,Losses!$X:$X,'Cash flow'!D3)</f>
        <v>1375</v>
      </c>
      <c r="E26" s="44">
        <f>-SUMIFS(Losses!$AD:$AD,Losses!$X:$X,'Cash flow'!E3)</f>
        <v>-476.90099335797299</v>
      </c>
      <c r="F26" s="44">
        <f>-SUMIFS(Losses!$AD:$AD,Losses!$X:$X,'Cash flow'!F3)</f>
        <v>-362.73000000000093</v>
      </c>
      <c r="G26" s="44">
        <f>-SUMIFS(Losses!$AD:$AD,Losses!$X:$X,'Cash flow'!G3)</f>
        <v>0</v>
      </c>
      <c r="H26" s="44">
        <f>-SUMIFS(Losses!$AD:$AD,Losses!$X:$X,'Cash flow'!H3)</f>
        <v>259.64000000000033</v>
      </c>
      <c r="I26" s="44">
        <f>-SUMIFS(Losses!$AD:$AD,Losses!$X:$X,'Cash flow'!I3)</f>
        <v>0</v>
      </c>
      <c r="J26" s="44">
        <f>-SUMIFS(Losses!$AD:$AD,Losses!$X:$X,'Cash flow'!J3)</f>
        <v>-939.64801699132988</v>
      </c>
      <c r="K26" s="44">
        <f>-SUMIFS(Losses!$AD:$AD,Losses!$X:$X,'Cash flow'!K3)</f>
        <v>-1217.8</v>
      </c>
      <c r="L26" s="44">
        <f>-SUMIFS(Losses!$AD:$AD,Losses!$X:$X,'Cash flow'!L3)</f>
        <v>0</v>
      </c>
      <c r="M26" s="44">
        <f>-SUMIFS(Losses!$AD:$AD,Losses!$X:$X,'Cash flow'!M3)</f>
        <v>116.31999999999789</v>
      </c>
      <c r="N26" s="44">
        <f>-SUMIFS(Losses!$AD:$AD,Losses!$X:$X,'Cash flow'!N3)</f>
        <v>0</v>
      </c>
      <c r="O26" s="44">
        <f>-SUMIFS(Losses!$AD:$AD,Losses!$X:$X,'Cash flow'!O3)</f>
        <v>0</v>
      </c>
      <c r="P26" s="44">
        <f>-SUMIFS(Losses!$AD:$AD,Losses!$X:$X,'Cash flow'!P3)</f>
        <v>-897.03000000000077</v>
      </c>
      <c r="Q26" s="44">
        <f>-SUMIFS(Losses!$AD:$AD,Losses!$X:$X,'Cash flow'!Q3)</f>
        <v>-500</v>
      </c>
      <c r="R26" s="44">
        <f>-SUMIFS(Losses!$AD:$AD,Losses!$X:$X,'Cash flow'!R3)</f>
        <v>-4000</v>
      </c>
      <c r="S26" s="44">
        <f>-SUMIFS(Losses!$AD:$AD,Losses!$X:$X,'Cash flow'!S3)</f>
        <v>-6800</v>
      </c>
      <c r="T26" s="44">
        <f>-SUMIFS(Losses!$AD:$AD,Losses!$X:$X,'Cash flow'!T3)</f>
        <v>-1200</v>
      </c>
      <c r="U26" s="44">
        <f>-SUMIFS(Losses!$AD:$AD,Losses!$X:$X,'Cash flow'!U3)</f>
        <v>0</v>
      </c>
      <c r="V26" s="44">
        <f>-SUMIFS(Losses!$AD:$AD,Losses!$X:$X,'Cash flow'!V3)</f>
        <v>-4280.4666435664358</v>
      </c>
      <c r="W26" s="44">
        <f>-SUMIFS(Losses!$AD:$AD,Losses!$X:$X,'Cash flow'!W3)</f>
        <v>-3800</v>
      </c>
      <c r="X26" s="44">
        <f>-SUMIFS(Losses!$AD:$AD,Losses!$X:$X,'Cash flow'!X3)</f>
        <v>0</v>
      </c>
      <c r="Y26" s="44">
        <f>-SUMIFS(Losses!$AD:$AD,Losses!$X:$X,'Cash flow'!Y3)</f>
        <v>0</v>
      </c>
      <c r="Z26" s="44">
        <f>-SUMIFS(Losses!$AD:$AD,Losses!$X:$X,'Cash flow'!Z3)</f>
        <v>-2400</v>
      </c>
      <c r="AA26" s="44">
        <f>-SUMIFS(Losses!$AD:$AD,Losses!$X:$X,'Cash flow'!AA3)</f>
        <v>0</v>
      </c>
      <c r="AB26" s="44">
        <f>-SUMIFS(Losses!$AD:$AD,Losses!$X:$X,'Cash flow'!AB3)</f>
        <v>-2800</v>
      </c>
      <c r="AC26" s="44">
        <f>-SUMIFS(Losses!$AD:$AD,Losses!$X:$X,'Cash flow'!AC3)</f>
        <v>0</v>
      </c>
      <c r="AD26" s="44">
        <f>-SUMIFS(Losses!$AD:$AD,Losses!$X:$X,'Cash flow'!AD3)</f>
        <v>-20000</v>
      </c>
      <c r="AE26" s="44">
        <f>-SUMIFS(Losses!$AD:$AD,Losses!$X:$X,'Cash flow'!AE3)</f>
        <v>-3800</v>
      </c>
      <c r="AF26" s="44">
        <f>-SUMIFS(Losses!$AD:$AD,Losses!$X:$X,'Cash flow'!AF3)</f>
        <v>-1200</v>
      </c>
      <c r="AG26" s="44">
        <f>-SUMIFS(Losses!$AD:$AD,Losses!$X:$X,'Cash flow'!AG3)</f>
        <v>0</v>
      </c>
      <c r="AH26" s="44">
        <f>-SUMIFS(Losses!$AD:$AD,Losses!$X:$X,'Cash flow'!AH3)</f>
        <v>-8400</v>
      </c>
      <c r="AI26" s="44">
        <f>-SUMIFS(Losses!$AD:$AD,Losses!$X:$X,'Cash flow'!AI3)</f>
        <v>0</v>
      </c>
      <c r="AJ26" s="44">
        <f>-SUMIFS(Losses!$AD:$AD,Losses!$X:$X,'Cash flow'!AJ3)</f>
        <v>-20000</v>
      </c>
      <c r="AK26" s="44">
        <f>-SUMIFS(Losses!$AD:$AD,Losses!$X:$X,'Cash flow'!AK3)</f>
        <v>0</v>
      </c>
      <c r="AL26" s="44">
        <f>-SUMIFS(Losses!$AD:$AD,Losses!$X:$X,'Cash flow'!AL3)</f>
        <v>-2400</v>
      </c>
      <c r="AM26" s="44">
        <f>-SUMIFS(Losses!$AD:$AD,Losses!$X:$X,'Cash flow'!AM3)</f>
        <v>0</v>
      </c>
      <c r="AN26" s="44">
        <f>-SUMIFS(Losses!$AD:$AD,Losses!$X:$X,'Cash flow'!AN3)</f>
        <v>-1200</v>
      </c>
      <c r="AO26" s="44">
        <f>-SUMIFS(Losses!$AD:$AD,Losses!$X:$X,'Cash flow'!AO3)</f>
        <v>0</v>
      </c>
      <c r="AP26" s="44">
        <f>-SUMIFS(Losses!$AD:$AD,Losses!$X:$X,'Cash flow'!AP3)</f>
        <v>-20000</v>
      </c>
      <c r="AQ26" s="44">
        <f>-SUMIFS(Losses!$AD:$AD,Losses!$X:$X,'Cash flow'!AQ3)</f>
        <v>0</v>
      </c>
      <c r="AR26" s="44">
        <f>-SUMIFS(Losses!$AD:$AD,Losses!$X:$X,'Cash flow'!AR3)</f>
        <v>-1200</v>
      </c>
      <c r="AS26" s="44">
        <f>-SUMIFS(Losses!$AD:$AD,Losses!$X:$X,'Cash flow'!AS3)</f>
        <v>0</v>
      </c>
      <c r="AT26" s="44">
        <f>-SUMIFS(Losses!$AD:$AD,Losses!$X:$X,'Cash flow'!AT3)</f>
        <v>-8400</v>
      </c>
      <c r="AU26" s="44">
        <f>-SUMIFS(Losses!$AD:$AD,Losses!$X:$X,'Cash flow'!AU3)</f>
        <v>0</v>
      </c>
      <c r="AV26" s="44">
        <f>-SUMIFS(Losses!$AD:$AD,Losses!$X:$X,'Cash flow'!AV3)</f>
        <v>-20000</v>
      </c>
      <c r="AW26" s="44">
        <f>-SUMIFS(Losses!$AD:$AD,Losses!$X:$X,'Cash flow'!AW3)</f>
        <v>0</v>
      </c>
      <c r="AX26" s="44">
        <f>-SUMIFS(Losses!$AD:$AD,Losses!$X:$X,'Cash flow'!AX3)</f>
        <v>-2400</v>
      </c>
      <c r="AY26" s="44">
        <f>-SUMIFS(Losses!$AD:$AD,Losses!$X:$X,'Cash flow'!AY3)</f>
        <v>0</v>
      </c>
      <c r="AZ26" s="44">
        <f>-SUMIFS(Losses!$AD:$AD,Losses!$X:$X,'Cash flow'!AZ3)</f>
        <v>-1200</v>
      </c>
      <c r="BA26" s="44">
        <f>-SUMIFS(Losses!$AD:$AD,Losses!$X:$X,'Cash flow'!BA3)</f>
        <v>0</v>
      </c>
      <c r="BB26" s="44">
        <f>-SUMIFS(Losses!$AD:$AD,Losses!$X:$X,'Cash flow'!BB3)</f>
        <v>0</v>
      </c>
      <c r="BC26" s="44">
        <f>-SUMIFS(Losses!$AD:$AD,Losses!$X:$X,'Cash flow'!BC3)</f>
        <v>0</v>
      </c>
      <c r="BD26" s="44">
        <f>-SUMIFS(Losses!$AD:$AD,Losses!$X:$X,'Cash flow'!BD3)</f>
        <v>-1200</v>
      </c>
      <c r="BE26" s="44">
        <f>-SUMIFS(Losses!$AD:$AD,Losses!$X:$X,'Cash flow'!BE3)</f>
        <v>0</v>
      </c>
      <c r="BF26" s="44">
        <f>-SUMIFS(Losses!$AD:$AD,Losses!$X:$X,'Cash flow'!BF3)</f>
        <v>-8400</v>
      </c>
      <c r="BG26" s="44">
        <f>-SUMIFS(Losses!$AD:$AD,Losses!$X:$X,'Cash flow'!BG3)</f>
        <v>0</v>
      </c>
      <c r="BH26" s="44">
        <f>-SUMIFS(Losses!$AD:$AD,Losses!$X:$X,'Cash flow'!BH3)</f>
        <v>0</v>
      </c>
      <c r="BI26" s="44">
        <f>-SUMIFS(Losses!$AD:$AD,Losses!$X:$X,'Cash flow'!BI3)</f>
        <v>0</v>
      </c>
      <c r="BJ26" s="44">
        <f>-SUMIFS(Losses!$AD:$AD,Losses!$X:$X,'Cash flow'!BJ3)</f>
        <v>-2400</v>
      </c>
      <c r="BK26" s="44">
        <f>-SUMIFS(Losses!$AD:$AD,Losses!$X:$X,'Cash flow'!BK3)</f>
        <v>0</v>
      </c>
      <c r="BL26" s="44">
        <f>-SUMIFS(Losses!$AD:$AD,Losses!$X:$X,'Cash flow'!BL3)</f>
        <v>-1200</v>
      </c>
      <c r="BM26" s="44">
        <f>-SUMIFS(Losses!$AD:$AD,Losses!$X:$X,'Cash flow'!BM3)</f>
        <v>0</v>
      </c>
      <c r="BN26" s="44">
        <f>-SUMIFS(Losses!$AD:$AD,Losses!$X:$X,'Cash flow'!BN3)</f>
        <v>-1000</v>
      </c>
      <c r="BO26" s="44">
        <f>-SUMIFS(Losses!$AD:$AD,Losses!$X:$X,'Cash flow'!BO3)</f>
        <v>0</v>
      </c>
      <c r="BP26" s="44">
        <f>-SUMIFS(Losses!$AD:$AD,Losses!$X:$X,'Cash flow'!BP3)</f>
        <v>-1200</v>
      </c>
      <c r="BQ26" s="44">
        <f>-SUMIFS(Losses!$AD:$AD,Losses!$X:$X,'Cash flow'!BQ3)</f>
        <v>0</v>
      </c>
      <c r="BR26" s="44">
        <f>-SUMIFS(Losses!$AD:$AD,Losses!$X:$X,'Cash flow'!BR3)</f>
        <v>-8400</v>
      </c>
      <c r="BS26" s="44">
        <f>-SUMIFS(Losses!$AD:$AD,Losses!$X:$X,'Cash flow'!BS3)</f>
        <v>0</v>
      </c>
      <c r="BT26" s="44">
        <f>-SUMIFS(Losses!$AD:$AD,Losses!$X:$X,'Cash flow'!BT3)</f>
        <v>0</v>
      </c>
      <c r="BU26" s="44">
        <f>-SUMIFS(Losses!$AD:$AD,Losses!$X:$X,'Cash flow'!BU3)</f>
        <v>0</v>
      </c>
      <c r="BV26" s="44">
        <f>-SUMIFS(Losses!$AD:$AD,Losses!$X:$X,'Cash flow'!BV3)</f>
        <v>-2400</v>
      </c>
      <c r="BW26" s="44">
        <f>-SUMIFS(Losses!$AD:$AD,Losses!$X:$X,'Cash flow'!BW3)</f>
        <v>0</v>
      </c>
      <c r="BX26" s="44">
        <f>-SUMIFS(Losses!$AD:$AD,Losses!$X:$X,'Cash flow'!BX3)</f>
        <v>-1200</v>
      </c>
      <c r="BY26" s="44">
        <f>-SUMIFS(Losses!$AD:$AD,Losses!$X:$X,'Cash flow'!BY3)</f>
        <v>0</v>
      </c>
      <c r="BZ26" s="44">
        <f>-SUMIFS(Losses!$AD:$AD,Losses!$X:$X,'Cash flow'!BZ3)</f>
        <v>0</v>
      </c>
      <c r="CA26" s="44">
        <f>-SUMIFS(Losses!$AD:$AD,Losses!$X:$X,'Cash flow'!CA3)</f>
        <v>0</v>
      </c>
      <c r="CB26" s="44">
        <f>-SUMIFS(Losses!$AD:$AD,Losses!$X:$X,'Cash flow'!CB3)</f>
        <v>-1200</v>
      </c>
      <c r="CC26" s="44">
        <f>-SUMIFS(Losses!$AD:$AD,Losses!$X:$X,'Cash flow'!CC3)</f>
        <v>0</v>
      </c>
      <c r="CD26" s="44">
        <f>-SUMIFS(Losses!$AD:$AD,Losses!$X:$X,'Cash flow'!CD3)</f>
        <v>-8400</v>
      </c>
      <c r="CE26" s="44">
        <f>-SUMIFS(Losses!$AD:$AD,Losses!$X:$X,'Cash flow'!CE3)</f>
        <v>0</v>
      </c>
      <c r="CF26" s="44">
        <f>-SUMIFS(Losses!$AD:$AD,Losses!$X:$X,'Cash flow'!CF3)</f>
        <v>0</v>
      </c>
      <c r="CG26" s="44">
        <f>-SUMIFS(Losses!$AD:$AD,Losses!$X:$X,'Cash flow'!CG3)</f>
        <v>0</v>
      </c>
      <c r="CH26" s="44">
        <f>-SUMIFS(Losses!$AD:$AD,Losses!$X:$X,'Cash flow'!CH3)</f>
        <v>-2400</v>
      </c>
      <c r="CI26" s="44">
        <f>-SUMIFS(Losses!$AD:$AD,Losses!$X:$X,'Cash flow'!CI3)</f>
        <v>0</v>
      </c>
      <c r="CJ26" s="44">
        <f>-SUMIFS(Losses!$AD:$AD,Losses!$X:$X,'Cash flow'!CJ3)</f>
        <v>-1200</v>
      </c>
      <c r="CK26" s="44">
        <f>-SUMIFS(Losses!$AD:$AD,Losses!$X:$X,'Cash flow'!CK3)</f>
        <v>0</v>
      </c>
      <c r="CL26" s="44">
        <f>-SUMIFS(Losses!$AD:$AD,Losses!$X:$X,'Cash flow'!CL3)</f>
        <v>0</v>
      </c>
      <c r="CM26" s="44">
        <f>-SUMIFS(Losses!$AD:$AD,Losses!$X:$X,'Cash flow'!CM3)</f>
        <v>0</v>
      </c>
      <c r="CN26" s="44">
        <f>-SUMIFS(Losses!$AD:$AD,Losses!$X:$X,'Cash flow'!CN3)</f>
        <v>-1200</v>
      </c>
      <c r="CO26" s="44">
        <f>-SUMIFS(Losses!$AD:$AD,Losses!$X:$X,'Cash flow'!CO3)</f>
        <v>0</v>
      </c>
      <c r="CP26" s="44">
        <f>-SUMIFS(Losses!$AD:$AD,Losses!$X:$X,'Cash flow'!CP3)</f>
        <v>-8400</v>
      </c>
      <c r="CQ26" s="44">
        <f>-SUMIFS(Losses!$AD:$AD,Losses!$X:$X,'Cash flow'!CQ3)</f>
        <v>0</v>
      </c>
      <c r="CR26" s="44">
        <f>-SUMIFS(Losses!$AD:$AD,Losses!$X:$X,'Cash flow'!CR3)</f>
        <v>0</v>
      </c>
      <c r="CS26" s="44">
        <f>-SUMIFS(Losses!$AD:$AD,Losses!$X:$X,'Cash flow'!CS3)</f>
        <v>0</v>
      </c>
      <c r="CT26" s="44">
        <f>-SUMIFS(Losses!$AD:$AD,Losses!$X:$X,'Cash flow'!CT3)</f>
        <v>-2400</v>
      </c>
      <c r="CU26" s="44">
        <f>-SUMIFS(Losses!$AD:$AD,Losses!$X:$X,'Cash flow'!CU3)</f>
        <v>0</v>
      </c>
      <c r="CV26" s="44">
        <f>-SUMIFS(Losses!$AD:$AD,Losses!$X:$X,'Cash flow'!CV3)</f>
        <v>-1200</v>
      </c>
      <c r="CW26" s="44">
        <f>-SUMIFS(Losses!$AD:$AD,Losses!$X:$X,'Cash flow'!CW3)</f>
        <v>0</v>
      </c>
      <c r="CX26" s="44">
        <f>-SUMIFS(Losses!$AD:$AD,Losses!$X:$X,'Cash flow'!CX3)</f>
        <v>0</v>
      </c>
      <c r="CY26" s="44">
        <f>-SUMIFS(Losses!$AD:$AD,Losses!$X:$X,'Cash flow'!CY3)</f>
        <v>0</v>
      </c>
      <c r="CZ26" s="44">
        <f>-SUMIFS(Losses!$AD:$AD,Losses!$X:$X,'Cash flow'!CZ3)</f>
        <v>-1200</v>
      </c>
      <c r="DA26" s="44">
        <f>-SUMIFS(Losses!$AD:$AD,Losses!$X:$X,'Cash flow'!DA3)</f>
        <v>0</v>
      </c>
      <c r="DB26" s="44">
        <f>-SUMIFS(Losses!$AD:$AD,Losses!$X:$X,'Cash flow'!DB3)</f>
        <v>-8400</v>
      </c>
      <c r="DC26" s="44">
        <f>-SUMIFS(Losses!$AD:$AD,Losses!$X:$X,'Cash flow'!DC3)</f>
        <v>0</v>
      </c>
      <c r="DD26" s="44">
        <f>-SUMIFS(Losses!$AD:$AD,Losses!$X:$X,'Cash flow'!DD3)</f>
        <v>0</v>
      </c>
      <c r="DE26" s="44">
        <f>-SUMIFS(Losses!$AD:$AD,Losses!$X:$X,'Cash flow'!DE3)</f>
        <v>0</v>
      </c>
      <c r="DF26" s="44">
        <f>-SUMIFS(Losses!$AD:$AD,Losses!$X:$X,'Cash flow'!DF3)</f>
        <v>-2400</v>
      </c>
      <c r="DG26" s="44">
        <f>-SUMIFS(Losses!$AD:$AD,Losses!$X:$X,'Cash flow'!DG3)</f>
        <v>0</v>
      </c>
      <c r="DH26" s="44">
        <f>-SUMIFS(Losses!$AD:$AD,Losses!$X:$X,'Cash flow'!DH3)</f>
        <v>-1200</v>
      </c>
      <c r="DI26" s="44">
        <f>-SUMIFS(Losses!$AD:$AD,Losses!$X:$X,'Cash flow'!DI3)</f>
        <v>0</v>
      </c>
      <c r="DJ26" s="44">
        <f>-SUMIFS(Losses!$AD:$AD,Losses!$X:$X,'Cash flow'!DJ3)</f>
        <v>0</v>
      </c>
      <c r="DK26" s="44">
        <f>-SUMIFS(Losses!$AD:$AD,Losses!$X:$X,'Cash flow'!DK3)</f>
        <v>0</v>
      </c>
      <c r="DL26" s="44">
        <f>-SUMIFS(Losses!$AD:$AD,Losses!$X:$X,'Cash flow'!DL3)</f>
        <v>-1200</v>
      </c>
      <c r="DM26" s="44">
        <f>-SUMIFS(Losses!$AD:$AD,Losses!$X:$X,'Cash flow'!DM3)</f>
        <v>0</v>
      </c>
      <c r="DN26" s="44">
        <f>-SUMIFS(Losses!$AD:$AD,Losses!$X:$X,'Cash flow'!DN3)</f>
        <v>-8400</v>
      </c>
      <c r="DO26" s="44">
        <f>-SUMIFS(Losses!$AD:$AD,Losses!$X:$X,'Cash flow'!DO3)</f>
        <v>0</v>
      </c>
      <c r="DP26" s="44">
        <f>-SUMIFS(Losses!$AD:$AD,Losses!$X:$X,'Cash flow'!DP3)</f>
        <v>0</v>
      </c>
      <c r="DQ26" s="44">
        <f>-SUMIFS(Losses!$AD:$AD,Losses!$X:$X,'Cash flow'!DQ3)</f>
        <v>0</v>
      </c>
      <c r="DR26" s="44">
        <f>-SUMIFS(Losses!$AD:$AD,Losses!$X:$X,'Cash flow'!DR3)</f>
        <v>-2400</v>
      </c>
      <c r="DS26" s="44">
        <f>-SUMIFS(Losses!$AD:$AD,Losses!$X:$X,'Cash flow'!DS3)</f>
        <v>0</v>
      </c>
      <c r="DT26" s="44">
        <f>-SUMIFS(Losses!$AD:$AD,Losses!$X:$X,'Cash flow'!DT3)</f>
        <v>-1200</v>
      </c>
      <c r="DU26" s="44">
        <f>-SUMIFS(Losses!$AD:$AD,Losses!$X:$X,'Cash flow'!DU3)</f>
        <v>0</v>
      </c>
      <c r="DV26" s="44">
        <f>-SUMIFS(Losses!$AD:$AD,Losses!$X:$X,'Cash flow'!DV3)</f>
        <v>0</v>
      </c>
      <c r="DW26" s="44">
        <f>-SUMIFS(Losses!$AD:$AD,Losses!$X:$X,'Cash flow'!DW3)</f>
        <v>0</v>
      </c>
      <c r="DX26" s="44">
        <f>-SUMIFS(Losses!$AD:$AD,Losses!$X:$X,'Cash flow'!DX3)</f>
        <v>-1200</v>
      </c>
      <c r="DY26" s="44">
        <f>-SUMIFS(Losses!$AD:$AD,Losses!$X:$X,'Cash flow'!DY3)</f>
        <v>0</v>
      </c>
      <c r="DZ26" s="44">
        <f>-SUMIFS(Losses!$AD:$AD,Losses!$X:$X,'Cash flow'!DZ3)</f>
        <v>-8400</v>
      </c>
      <c r="EA26" s="44">
        <f>-SUMIFS(Losses!$AD:$AD,Losses!$X:$X,'Cash flow'!EA3)</f>
        <v>0</v>
      </c>
      <c r="EB26" s="44">
        <f>-SUMIFS(Losses!$AD:$AD,Losses!$X:$X,'Cash flow'!EB3)</f>
        <v>0</v>
      </c>
      <c r="EC26" s="44">
        <f>-SUMIFS(Losses!$AD:$AD,Losses!$X:$X,'Cash flow'!EC3)</f>
        <v>0</v>
      </c>
      <c r="ED26" s="44">
        <f>-SUMIFS(Losses!$AD:$AD,Losses!$X:$X,'Cash flow'!ED3)</f>
        <v>-2400</v>
      </c>
      <c r="EE26" s="44">
        <f>-SUMIFS(Losses!$AD:$AD,Losses!$X:$X,'Cash flow'!EE3)</f>
        <v>0</v>
      </c>
      <c r="EF26" s="44">
        <f>-SUMIFS(Losses!$AD:$AD,Losses!$X:$X,'Cash flow'!EF3)</f>
        <v>-1200</v>
      </c>
      <c r="EG26" s="44">
        <f>-SUMIFS(Losses!$AD:$AD,Losses!$X:$X,'Cash flow'!EG3)</f>
        <v>0</v>
      </c>
      <c r="EH26" s="44">
        <f>-SUMIFS(Losses!$AD:$AD,Losses!$X:$X,'Cash flow'!EH3)</f>
        <v>0</v>
      </c>
      <c r="EI26" s="44">
        <f>-SUMIFS(Losses!$AD:$AD,Losses!$X:$X,'Cash flow'!EI3)</f>
        <v>0</v>
      </c>
      <c r="EJ26" s="44">
        <f>-SUMIFS(Losses!$AD:$AD,Losses!$X:$X,'Cash flow'!EJ3)</f>
        <v>-1200</v>
      </c>
      <c r="EK26" s="44">
        <f>-SUMIFS(Losses!$AD:$AD,Losses!$X:$X,'Cash flow'!EK3)</f>
        <v>0</v>
      </c>
      <c r="EL26" s="44">
        <f>-SUMIFS(Losses!$AD:$AD,Losses!$X:$X,'Cash flow'!EL3)</f>
        <v>-8400</v>
      </c>
      <c r="EM26" s="44">
        <f>-SUMIFS(Losses!$AD:$AD,Losses!$X:$X,'Cash flow'!EM3)</f>
        <v>0</v>
      </c>
      <c r="EN26" s="44">
        <f>-SUMIFS(Losses!$AD:$AD,Losses!$X:$X,'Cash flow'!EN3)</f>
        <v>0</v>
      </c>
      <c r="EO26" s="44">
        <f>-SUMIFS(Losses!$AD:$AD,Losses!$X:$X,'Cash flow'!EO3)</f>
        <v>0</v>
      </c>
      <c r="EP26" s="44">
        <f>-SUMIFS(Losses!$AD:$AD,Losses!$X:$X,'Cash flow'!EP3)</f>
        <v>0</v>
      </c>
      <c r="EQ26" s="44">
        <f>-SUMIFS(Losses!$AD:$AD,Losses!$X:$X,'Cash flow'!EQ3)</f>
        <v>0</v>
      </c>
      <c r="ER26" s="44">
        <f>-SUMIFS(Losses!$AD:$AD,Losses!$X:$X,'Cash flow'!ER3)</f>
        <v>0</v>
      </c>
      <c r="ES26" s="44">
        <f>-SUMIFS(Losses!$AD:$AD,Losses!$X:$X,'Cash flow'!ES3)</f>
        <v>0</v>
      </c>
      <c r="ET26" s="44">
        <f>-SUMIFS(Losses!$AD:$AD,Losses!$X:$X,'Cash flow'!ET3)</f>
        <v>0</v>
      </c>
      <c r="EU26" s="44">
        <f>-SUMIFS(Losses!$AD:$AD,Losses!$X:$X,'Cash flow'!EU3)</f>
        <v>0</v>
      </c>
      <c r="EV26" s="44">
        <f>-SUMIFS(Losses!$AD:$AD,Losses!$X:$X,'Cash flow'!EV3)</f>
        <v>0</v>
      </c>
      <c r="EW26" s="44">
        <f>-SUMIFS(Losses!$AD:$AD,Losses!$X:$X,'Cash flow'!EW3)</f>
        <v>0</v>
      </c>
      <c r="EX26" s="44">
        <f>-SUMIFS(Losses!$AD:$AD,Losses!$X:$X,'Cash flow'!EX3)</f>
        <v>0</v>
      </c>
      <c r="EY26" s="44">
        <f>-SUMIFS(Losses!$AD:$AD,Losses!$X:$X,'Cash flow'!EY3)</f>
        <v>0</v>
      </c>
      <c r="EZ26" s="44">
        <f>-SUMIFS(Losses!$AD:$AD,Losses!$X:$X,'Cash flow'!EZ3)</f>
        <v>0</v>
      </c>
      <c r="FA26" s="44">
        <f>-SUMIFS(Losses!$AD:$AD,Losses!$X:$X,'Cash flow'!FA3)</f>
        <v>0</v>
      </c>
      <c r="FB26" s="44">
        <f>-SUMIFS(Losses!$AD:$AD,Losses!$X:$X,'Cash flow'!FB3)</f>
        <v>0</v>
      </c>
      <c r="FC26" s="44">
        <f>-SUMIFS(Losses!$AD:$AD,Losses!$X:$X,'Cash flow'!FC3)</f>
        <v>0</v>
      </c>
      <c r="FD26" s="44">
        <f>-SUMIFS(Losses!$AD:$AD,Losses!$X:$X,'Cash flow'!FD3)</f>
        <v>0</v>
      </c>
      <c r="FE26" s="44">
        <f>-SUMIFS(Losses!$AD:$AD,Losses!$X:$X,'Cash flow'!FE3)</f>
        <v>0</v>
      </c>
      <c r="FF26" s="44">
        <f>-SUMIFS(Losses!$AD:$AD,Losses!$X:$X,'Cash flow'!FF3)</f>
        <v>0</v>
      </c>
      <c r="FG26" s="44">
        <f>-SUMIFS(Losses!$AD:$AD,Losses!$X:$X,'Cash flow'!FG3)</f>
        <v>0</v>
      </c>
      <c r="FH26" s="44">
        <f>-SUMIFS(Losses!$AD:$AD,Losses!$X:$X,'Cash flow'!FH3)</f>
        <v>0</v>
      </c>
      <c r="FI26" s="44">
        <f>-SUMIFS(Losses!$AD:$AD,Losses!$X:$X,'Cash flow'!FI3)</f>
        <v>0</v>
      </c>
      <c r="FJ26" s="44">
        <f>-SUMIFS(Losses!$AD:$AD,Losses!$X:$X,'Cash flow'!FJ3)</f>
        <v>0</v>
      </c>
      <c r="FK26" s="44">
        <f>-SUMIFS(Losses!$AD:$AD,Losses!$X:$X,'Cash flow'!FK3)</f>
        <v>0</v>
      </c>
      <c r="FL26" s="44">
        <f>-SUMIFS(Losses!$AD:$AD,Losses!$X:$X,'Cash flow'!FL3)</f>
        <v>0</v>
      </c>
      <c r="FM26" s="44">
        <f>-SUMIFS(Losses!$AD:$AD,Losses!$X:$X,'Cash flow'!FM3)</f>
        <v>0</v>
      </c>
      <c r="FN26" s="44">
        <f>-SUMIFS(Losses!$AD:$AD,Losses!$X:$X,'Cash flow'!FN3)</f>
        <v>0</v>
      </c>
      <c r="FO26" s="44">
        <f>-SUMIFS(Losses!$AD:$AD,Losses!$X:$X,'Cash flow'!FO3)</f>
        <v>0</v>
      </c>
      <c r="FP26" s="44">
        <f>-SUMIFS(Losses!$AD:$AD,Losses!$X:$X,'Cash flow'!FP3)</f>
        <v>0</v>
      </c>
      <c r="FQ26" s="44">
        <f>-SUMIFS(Losses!$AD:$AD,Losses!$X:$X,'Cash flow'!FQ3)</f>
        <v>0</v>
      </c>
      <c r="FR26" s="44">
        <f>-SUMIFS(Losses!$AD:$AD,Losses!$X:$X,'Cash flow'!FR3)</f>
        <v>0</v>
      </c>
      <c r="FS26" s="44">
        <f>-SUMIFS(Losses!$AD:$AD,Losses!$X:$X,'Cash flow'!FS3)</f>
        <v>0</v>
      </c>
      <c r="FT26" s="44">
        <f>-SUMIFS(Losses!$AD:$AD,Losses!$X:$X,'Cash flow'!FT3)</f>
        <v>0</v>
      </c>
      <c r="FU26" s="44">
        <f>-SUMIFS(Losses!$AD:$AD,Losses!$X:$X,'Cash flow'!FU3)</f>
        <v>0</v>
      </c>
      <c r="FV26" s="44">
        <f>-SUMIFS(Losses!$AD:$AD,Losses!$X:$X,'Cash flow'!FV3)</f>
        <v>0</v>
      </c>
      <c r="FW26" s="44">
        <f>-SUMIFS(Losses!$AD:$AD,Losses!$X:$X,'Cash flow'!FW3)</f>
        <v>0</v>
      </c>
      <c r="FX26" s="44">
        <f>-SUMIFS(Losses!$AD:$AD,Losses!$X:$X,'Cash flow'!FX3)</f>
        <v>0</v>
      </c>
      <c r="FY26" s="44">
        <f>-SUMIFS(Losses!$AD:$AD,Losses!$X:$X,'Cash flow'!FY3)</f>
        <v>0</v>
      </c>
      <c r="FZ26" s="44">
        <f>-SUMIFS(Losses!$AD:$AD,Losses!$X:$X,'Cash flow'!FZ3)</f>
        <v>0</v>
      </c>
      <c r="GA26" s="44">
        <f>-SUMIFS(Losses!$AD:$AD,Losses!$X:$X,'Cash flow'!GA3)</f>
        <v>0</v>
      </c>
      <c r="GB26" s="44">
        <f>-SUMIFS(Losses!$AD:$AD,Losses!$X:$X,'Cash flow'!GB3)</f>
        <v>0</v>
      </c>
      <c r="GC26" s="44">
        <f>-SUMIFS(Losses!$AD:$AD,Losses!$X:$X,'Cash flow'!GC3)</f>
        <v>0</v>
      </c>
      <c r="GD26" s="44">
        <f>-SUMIFS(Losses!$AD:$AD,Losses!$X:$X,'Cash flow'!GD3)</f>
        <v>0</v>
      </c>
      <c r="GE26" s="44">
        <f>-SUMIFS(Losses!$AD:$AD,Losses!$X:$X,'Cash flow'!GE3)</f>
        <v>0</v>
      </c>
      <c r="GF26" s="44">
        <f>-SUMIFS(Losses!$AD:$AD,Losses!$X:$X,'Cash flow'!GF3)</f>
        <v>0</v>
      </c>
      <c r="GG26" s="44">
        <f>-SUMIFS(Losses!$AD:$AD,Losses!$X:$X,'Cash flow'!GG3)</f>
        <v>0</v>
      </c>
      <c r="GH26" s="44">
        <f>-SUMIFS(Losses!$AD:$AD,Losses!$X:$X,'Cash flow'!GH3)</f>
        <v>0</v>
      </c>
      <c r="GI26" s="44">
        <f>-SUMIFS(Losses!$AD:$AD,Losses!$X:$X,'Cash flow'!GI3)</f>
        <v>0</v>
      </c>
      <c r="GJ26" s="44">
        <f>-SUMIFS(Losses!$AD:$AD,Losses!$X:$X,'Cash flow'!GJ3)</f>
        <v>0</v>
      </c>
      <c r="GK26" s="44">
        <f>-SUMIFS(Losses!$AD:$AD,Losses!$X:$X,'Cash flow'!GK3)</f>
        <v>0</v>
      </c>
      <c r="GL26" s="44">
        <f>-SUMIFS(Losses!$AD:$AD,Losses!$X:$X,'Cash flow'!GL3)</f>
        <v>0</v>
      </c>
      <c r="GM26" s="44">
        <f>-SUMIFS(Losses!$AD:$AD,Losses!$X:$X,'Cash flow'!GM3)</f>
        <v>0</v>
      </c>
      <c r="GN26" s="44">
        <f>-SUMIFS(Losses!$AD:$AD,Losses!$X:$X,'Cash flow'!GN3)</f>
        <v>0</v>
      </c>
      <c r="GO26" s="44">
        <f>-SUMIFS(Losses!$AD:$AD,Losses!$X:$X,'Cash flow'!GO3)</f>
        <v>0</v>
      </c>
      <c r="GP26" s="44">
        <f>-SUMIFS(Losses!$AD:$AD,Losses!$X:$X,'Cash flow'!GP3)</f>
        <v>0</v>
      </c>
      <c r="GQ26" s="44">
        <f>-SUMIFS(Losses!$AD:$AD,Losses!$X:$X,'Cash flow'!GQ3)</f>
        <v>0</v>
      </c>
      <c r="GR26" s="44">
        <f>-SUMIFS(Losses!$AD:$AD,Losses!$X:$X,'Cash flow'!GR3)</f>
        <v>0</v>
      </c>
      <c r="GS26" s="44">
        <f>-SUMIFS(Losses!$AD:$AD,Losses!$X:$X,'Cash flow'!GS3)</f>
        <v>0</v>
      </c>
      <c r="GT26" s="44">
        <f>-SUMIFS(Losses!$AD:$AD,Losses!$X:$X,'Cash flow'!GT3)</f>
        <v>0</v>
      </c>
    </row>
    <row r="27" spans="1:202" x14ac:dyDescent="0.25">
      <c r="A27" t="s">
        <v>98</v>
      </c>
      <c r="C27" s="44">
        <f>IF(C24&lt;0,C24,0)</f>
        <v>0</v>
      </c>
      <c r="D27" s="44">
        <f t="shared" ref="D27:Z27" si="72">IF(D24&lt;0,D24,0)</f>
        <v>0</v>
      </c>
      <c r="E27" s="44">
        <f t="shared" si="72"/>
        <v>0</v>
      </c>
      <c r="F27" s="44">
        <f t="shared" si="72"/>
        <v>0</v>
      </c>
      <c r="G27" s="44">
        <f t="shared" si="72"/>
        <v>0</v>
      </c>
      <c r="H27" s="44">
        <f t="shared" si="72"/>
        <v>0</v>
      </c>
      <c r="I27" s="44">
        <f t="shared" si="72"/>
        <v>0</v>
      </c>
      <c r="J27" s="44">
        <f t="shared" si="72"/>
        <v>0</v>
      </c>
      <c r="K27" s="44">
        <f t="shared" si="72"/>
        <v>0</v>
      </c>
      <c r="L27" s="44">
        <f t="shared" si="72"/>
        <v>0</v>
      </c>
      <c r="M27" s="44">
        <f t="shared" si="72"/>
        <v>0</v>
      </c>
      <c r="N27" s="44">
        <f t="shared" si="72"/>
        <v>0</v>
      </c>
      <c r="O27" s="44">
        <f t="shared" si="72"/>
        <v>0</v>
      </c>
      <c r="P27" s="44">
        <f t="shared" si="72"/>
        <v>0</v>
      </c>
      <c r="Q27" s="44">
        <f t="shared" si="72"/>
        <v>0</v>
      </c>
      <c r="R27" s="44">
        <f t="shared" si="72"/>
        <v>0</v>
      </c>
      <c r="S27" s="44">
        <f t="shared" si="72"/>
        <v>0</v>
      </c>
      <c r="T27" s="44">
        <f t="shared" si="72"/>
        <v>0</v>
      </c>
      <c r="U27" s="44">
        <f t="shared" si="72"/>
        <v>0</v>
      </c>
      <c r="V27" s="44">
        <f t="shared" si="72"/>
        <v>0</v>
      </c>
      <c r="W27" s="44">
        <f t="shared" si="72"/>
        <v>0</v>
      </c>
      <c r="X27" s="44">
        <f t="shared" si="72"/>
        <v>0</v>
      </c>
      <c r="Y27" s="44">
        <f t="shared" si="72"/>
        <v>0</v>
      </c>
      <c r="Z27" s="44">
        <f t="shared" si="72"/>
        <v>0</v>
      </c>
      <c r="AA27" s="44">
        <f t="shared" ref="AA27:CL27" si="73">IF(AA24&lt;0,AA24,0)</f>
        <v>0</v>
      </c>
      <c r="AB27" s="44">
        <f t="shared" si="73"/>
        <v>0</v>
      </c>
      <c r="AC27" s="44">
        <f t="shared" si="73"/>
        <v>0</v>
      </c>
      <c r="AD27" s="44">
        <f t="shared" si="73"/>
        <v>0</v>
      </c>
      <c r="AE27" s="44">
        <f t="shared" si="73"/>
        <v>0</v>
      </c>
      <c r="AF27" s="44">
        <f t="shared" si="73"/>
        <v>0</v>
      </c>
      <c r="AG27" s="44">
        <f t="shared" si="73"/>
        <v>0</v>
      </c>
      <c r="AH27" s="44">
        <f t="shared" si="73"/>
        <v>0</v>
      </c>
      <c r="AI27" s="44">
        <f t="shared" si="73"/>
        <v>0</v>
      </c>
      <c r="AJ27" s="44">
        <f t="shared" si="73"/>
        <v>0</v>
      </c>
      <c r="AK27" s="44">
        <f t="shared" si="73"/>
        <v>0</v>
      </c>
      <c r="AL27" s="44">
        <f t="shared" si="73"/>
        <v>0</v>
      </c>
      <c r="AM27" s="44">
        <f t="shared" si="73"/>
        <v>0</v>
      </c>
      <c r="AN27" s="44">
        <f t="shared" si="73"/>
        <v>0</v>
      </c>
      <c r="AO27" s="44">
        <f t="shared" si="73"/>
        <v>0</v>
      </c>
      <c r="AP27" s="44">
        <f t="shared" si="73"/>
        <v>0</v>
      </c>
      <c r="AQ27" s="44">
        <f t="shared" si="73"/>
        <v>0</v>
      </c>
      <c r="AR27" s="44">
        <f t="shared" si="73"/>
        <v>0</v>
      </c>
      <c r="AS27" s="44">
        <f t="shared" si="73"/>
        <v>0</v>
      </c>
      <c r="AT27" s="44">
        <f t="shared" si="73"/>
        <v>0</v>
      </c>
      <c r="AU27" s="44">
        <f t="shared" si="73"/>
        <v>0</v>
      </c>
      <c r="AV27" s="44">
        <f t="shared" si="73"/>
        <v>0</v>
      </c>
      <c r="AW27" s="44">
        <f t="shared" si="73"/>
        <v>0</v>
      </c>
      <c r="AX27" s="44">
        <f t="shared" si="73"/>
        <v>0</v>
      </c>
      <c r="AY27" s="44">
        <f t="shared" si="73"/>
        <v>0</v>
      </c>
      <c r="AZ27" s="44">
        <f t="shared" si="73"/>
        <v>0</v>
      </c>
      <c r="BA27" s="44">
        <f t="shared" si="73"/>
        <v>0</v>
      </c>
      <c r="BB27" s="44">
        <f t="shared" si="73"/>
        <v>0</v>
      </c>
      <c r="BC27" s="44">
        <f t="shared" si="73"/>
        <v>0</v>
      </c>
      <c r="BD27" s="44">
        <f t="shared" si="73"/>
        <v>0</v>
      </c>
      <c r="BE27" s="44">
        <f t="shared" si="73"/>
        <v>0</v>
      </c>
      <c r="BF27" s="44">
        <f t="shared" si="73"/>
        <v>0</v>
      </c>
      <c r="BG27" s="44">
        <f t="shared" si="73"/>
        <v>0</v>
      </c>
      <c r="BH27" s="44">
        <f t="shared" si="73"/>
        <v>0</v>
      </c>
      <c r="BI27" s="44">
        <f t="shared" si="73"/>
        <v>0</v>
      </c>
      <c r="BJ27" s="44">
        <f t="shared" si="73"/>
        <v>0</v>
      </c>
      <c r="BK27" s="44">
        <f t="shared" si="73"/>
        <v>0</v>
      </c>
      <c r="BL27" s="44">
        <f t="shared" si="73"/>
        <v>0</v>
      </c>
      <c r="BM27" s="44">
        <f t="shared" si="73"/>
        <v>0</v>
      </c>
      <c r="BN27" s="44">
        <f t="shared" si="73"/>
        <v>0</v>
      </c>
      <c r="BO27" s="44">
        <f t="shared" si="73"/>
        <v>0</v>
      </c>
      <c r="BP27" s="44">
        <f t="shared" si="73"/>
        <v>0</v>
      </c>
      <c r="BQ27" s="44">
        <f t="shared" si="73"/>
        <v>0</v>
      </c>
      <c r="BR27" s="44">
        <f t="shared" si="73"/>
        <v>0</v>
      </c>
      <c r="BS27" s="44">
        <f t="shared" si="73"/>
        <v>0</v>
      </c>
      <c r="BT27" s="44">
        <f t="shared" si="73"/>
        <v>0</v>
      </c>
      <c r="BU27" s="44">
        <f t="shared" si="73"/>
        <v>0</v>
      </c>
      <c r="BV27" s="44">
        <f t="shared" si="73"/>
        <v>0</v>
      </c>
      <c r="BW27" s="44">
        <f t="shared" si="73"/>
        <v>0</v>
      </c>
      <c r="BX27" s="44">
        <f t="shared" si="73"/>
        <v>0</v>
      </c>
      <c r="BY27" s="44">
        <f t="shared" si="73"/>
        <v>0</v>
      </c>
      <c r="BZ27" s="44">
        <f t="shared" si="73"/>
        <v>0</v>
      </c>
      <c r="CA27" s="44">
        <f t="shared" si="73"/>
        <v>0</v>
      </c>
      <c r="CB27" s="44">
        <f t="shared" si="73"/>
        <v>0</v>
      </c>
      <c r="CC27" s="44">
        <f t="shared" si="73"/>
        <v>0</v>
      </c>
      <c r="CD27" s="44">
        <f t="shared" si="73"/>
        <v>0</v>
      </c>
      <c r="CE27" s="44">
        <f t="shared" si="73"/>
        <v>0</v>
      </c>
      <c r="CF27" s="44">
        <f t="shared" si="73"/>
        <v>0</v>
      </c>
      <c r="CG27" s="44">
        <f t="shared" si="73"/>
        <v>0</v>
      </c>
      <c r="CH27" s="44">
        <f t="shared" si="73"/>
        <v>0</v>
      </c>
      <c r="CI27" s="44">
        <f t="shared" si="73"/>
        <v>0</v>
      </c>
      <c r="CJ27" s="44">
        <f t="shared" si="73"/>
        <v>0</v>
      </c>
      <c r="CK27" s="44">
        <f t="shared" si="73"/>
        <v>0</v>
      </c>
      <c r="CL27" s="44">
        <f t="shared" si="73"/>
        <v>0</v>
      </c>
      <c r="CM27" s="44">
        <f t="shared" ref="CM27:EX27" si="74">IF(CM24&lt;0,CM24,0)</f>
        <v>0</v>
      </c>
      <c r="CN27" s="44">
        <f t="shared" si="74"/>
        <v>0</v>
      </c>
      <c r="CO27" s="44">
        <f t="shared" si="74"/>
        <v>0</v>
      </c>
      <c r="CP27" s="44">
        <f t="shared" si="74"/>
        <v>0</v>
      </c>
      <c r="CQ27" s="44">
        <f t="shared" si="74"/>
        <v>0</v>
      </c>
      <c r="CR27" s="44">
        <f t="shared" si="74"/>
        <v>0</v>
      </c>
      <c r="CS27" s="44">
        <f t="shared" si="74"/>
        <v>0</v>
      </c>
      <c r="CT27" s="44">
        <f t="shared" si="74"/>
        <v>0</v>
      </c>
      <c r="CU27" s="44">
        <f t="shared" si="74"/>
        <v>0</v>
      </c>
      <c r="CV27" s="44">
        <f t="shared" si="74"/>
        <v>0</v>
      </c>
      <c r="CW27" s="44">
        <f t="shared" si="74"/>
        <v>0</v>
      </c>
      <c r="CX27" s="44">
        <f t="shared" si="74"/>
        <v>0</v>
      </c>
      <c r="CY27" s="44">
        <f t="shared" si="74"/>
        <v>0</v>
      </c>
      <c r="CZ27" s="44">
        <f t="shared" si="74"/>
        <v>0</v>
      </c>
      <c r="DA27" s="44">
        <f t="shared" si="74"/>
        <v>0</v>
      </c>
      <c r="DB27" s="44">
        <f t="shared" si="74"/>
        <v>0</v>
      </c>
      <c r="DC27" s="44">
        <f t="shared" si="74"/>
        <v>0</v>
      </c>
      <c r="DD27" s="44">
        <f t="shared" si="74"/>
        <v>0</v>
      </c>
      <c r="DE27" s="44">
        <f t="shared" si="74"/>
        <v>0</v>
      </c>
      <c r="DF27" s="44">
        <f t="shared" si="74"/>
        <v>0</v>
      </c>
      <c r="DG27" s="44">
        <f t="shared" si="74"/>
        <v>0</v>
      </c>
      <c r="DH27" s="44">
        <f t="shared" si="74"/>
        <v>0</v>
      </c>
      <c r="DI27" s="44">
        <f t="shared" si="74"/>
        <v>0</v>
      </c>
      <c r="DJ27" s="44">
        <f t="shared" si="74"/>
        <v>0</v>
      </c>
      <c r="DK27" s="44">
        <f t="shared" si="74"/>
        <v>0</v>
      </c>
      <c r="DL27" s="44">
        <f t="shared" si="74"/>
        <v>0</v>
      </c>
      <c r="DM27" s="44">
        <f t="shared" si="74"/>
        <v>0</v>
      </c>
      <c r="DN27" s="44">
        <f t="shared" si="74"/>
        <v>0</v>
      </c>
      <c r="DO27" s="44">
        <f t="shared" si="74"/>
        <v>0</v>
      </c>
      <c r="DP27" s="44">
        <f t="shared" si="74"/>
        <v>0</v>
      </c>
      <c r="DQ27" s="44">
        <f t="shared" si="74"/>
        <v>0</v>
      </c>
      <c r="DR27" s="44">
        <f t="shared" si="74"/>
        <v>0</v>
      </c>
      <c r="DS27" s="44">
        <f t="shared" si="74"/>
        <v>0</v>
      </c>
      <c r="DT27" s="44">
        <f t="shared" si="74"/>
        <v>0</v>
      </c>
      <c r="DU27" s="44">
        <f t="shared" si="74"/>
        <v>0</v>
      </c>
      <c r="DV27" s="44">
        <f t="shared" si="74"/>
        <v>0</v>
      </c>
      <c r="DW27" s="44">
        <f t="shared" si="74"/>
        <v>0</v>
      </c>
      <c r="DX27" s="44">
        <f t="shared" si="74"/>
        <v>0</v>
      </c>
      <c r="DY27" s="44">
        <f t="shared" si="74"/>
        <v>0</v>
      </c>
      <c r="DZ27" s="44">
        <f t="shared" si="74"/>
        <v>0</v>
      </c>
      <c r="EA27" s="44">
        <f t="shared" si="74"/>
        <v>0</v>
      </c>
      <c r="EB27" s="44">
        <f t="shared" si="74"/>
        <v>0</v>
      </c>
      <c r="EC27" s="44">
        <f t="shared" si="74"/>
        <v>0</v>
      </c>
      <c r="ED27" s="44">
        <f t="shared" si="74"/>
        <v>0</v>
      </c>
      <c r="EE27" s="44">
        <f t="shared" si="74"/>
        <v>0</v>
      </c>
      <c r="EF27" s="44">
        <f t="shared" si="74"/>
        <v>0</v>
      </c>
      <c r="EG27" s="44">
        <f t="shared" si="74"/>
        <v>0</v>
      </c>
      <c r="EH27" s="44">
        <f t="shared" si="74"/>
        <v>0</v>
      </c>
      <c r="EI27" s="44">
        <f t="shared" si="74"/>
        <v>0</v>
      </c>
      <c r="EJ27" s="44">
        <f t="shared" si="74"/>
        <v>0</v>
      </c>
      <c r="EK27" s="44">
        <f t="shared" si="74"/>
        <v>0</v>
      </c>
      <c r="EL27" s="44">
        <f t="shared" si="74"/>
        <v>0</v>
      </c>
      <c r="EM27" s="44">
        <f t="shared" si="74"/>
        <v>0</v>
      </c>
      <c r="EN27" s="44">
        <f t="shared" si="74"/>
        <v>0</v>
      </c>
      <c r="EO27" s="44">
        <f t="shared" si="74"/>
        <v>0</v>
      </c>
      <c r="EP27" s="44">
        <f t="shared" si="74"/>
        <v>0</v>
      </c>
      <c r="EQ27" s="44">
        <f t="shared" si="74"/>
        <v>0</v>
      </c>
      <c r="ER27" s="44">
        <f t="shared" si="74"/>
        <v>0</v>
      </c>
      <c r="ES27" s="44">
        <f t="shared" si="74"/>
        <v>0</v>
      </c>
      <c r="ET27" s="44">
        <f t="shared" si="74"/>
        <v>0</v>
      </c>
      <c r="EU27" s="44">
        <f t="shared" si="74"/>
        <v>0</v>
      </c>
      <c r="EV27" s="44">
        <f t="shared" si="74"/>
        <v>0</v>
      </c>
      <c r="EW27" s="44">
        <f t="shared" si="74"/>
        <v>0</v>
      </c>
      <c r="EX27" s="44">
        <f t="shared" si="74"/>
        <v>0</v>
      </c>
      <c r="EY27" s="44">
        <f t="shared" ref="EY27:GT27" si="75">IF(EY24&lt;0,EY24,0)</f>
        <v>0</v>
      </c>
      <c r="EZ27" s="44">
        <f t="shared" si="75"/>
        <v>0</v>
      </c>
      <c r="FA27" s="44">
        <f t="shared" si="75"/>
        <v>0</v>
      </c>
      <c r="FB27" s="44">
        <f t="shared" si="75"/>
        <v>0</v>
      </c>
      <c r="FC27" s="44">
        <f t="shared" si="75"/>
        <v>0</v>
      </c>
      <c r="FD27" s="44">
        <f t="shared" si="75"/>
        <v>0</v>
      </c>
      <c r="FE27" s="44">
        <f t="shared" si="75"/>
        <v>0</v>
      </c>
      <c r="FF27" s="44">
        <f t="shared" si="75"/>
        <v>0</v>
      </c>
      <c r="FG27" s="44">
        <f t="shared" si="75"/>
        <v>0</v>
      </c>
      <c r="FH27" s="44">
        <f t="shared" si="75"/>
        <v>0</v>
      </c>
      <c r="FI27" s="44">
        <f t="shared" si="75"/>
        <v>0</v>
      </c>
      <c r="FJ27" s="44">
        <f t="shared" si="75"/>
        <v>0</v>
      </c>
      <c r="FK27" s="44">
        <f t="shared" si="75"/>
        <v>0</v>
      </c>
      <c r="FL27" s="44">
        <f t="shared" si="75"/>
        <v>0</v>
      </c>
      <c r="FM27" s="44">
        <f t="shared" si="75"/>
        <v>0</v>
      </c>
      <c r="FN27" s="44">
        <f t="shared" si="75"/>
        <v>0</v>
      </c>
      <c r="FO27" s="44">
        <f t="shared" si="75"/>
        <v>0</v>
      </c>
      <c r="FP27" s="44">
        <f t="shared" si="75"/>
        <v>0</v>
      </c>
      <c r="FQ27" s="44">
        <f t="shared" si="75"/>
        <v>0</v>
      </c>
      <c r="FR27" s="44">
        <f t="shared" si="75"/>
        <v>0</v>
      </c>
      <c r="FS27" s="44">
        <f t="shared" si="75"/>
        <v>0</v>
      </c>
      <c r="FT27" s="44">
        <f t="shared" si="75"/>
        <v>0</v>
      </c>
      <c r="FU27" s="44">
        <f t="shared" si="75"/>
        <v>0</v>
      </c>
      <c r="FV27" s="44">
        <f t="shared" si="75"/>
        <v>0</v>
      </c>
      <c r="FW27" s="44">
        <f t="shared" si="75"/>
        <v>0</v>
      </c>
      <c r="FX27" s="44">
        <f t="shared" si="75"/>
        <v>0</v>
      </c>
      <c r="FY27" s="44">
        <f t="shared" si="75"/>
        <v>0</v>
      </c>
      <c r="FZ27" s="44">
        <f t="shared" si="75"/>
        <v>0</v>
      </c>
      <c r="GA27" s="44">
        <f t="shared" si="75"/>
        <v>0</v>
      </c>
      <c r="GB27" s="44">
        <f t="shared" si="75"/>
        <v>0</v>
      </c>
      <c r="GC27" s="44">
        <f t="shared" si="75"/>
        <v>0</v>
      </c>
      <c r="GD27" s="44">
        <f t="shared" si="75"/>
        <v>0</v>
      </c>
      <c r="GE27" s="44">
        <f t="shared" si="75"/>
        <v>0</v>
      </c>
      <c r="GF27" s="44">
        <f t="shared" si="75"/>
        <v>0</v>
      </c>
      <c r="GG27" s="44">
        <f t="shared" si="75"/>
        <v>0</v>
      </c>
      <c r="GH27" s="44">
        <f t="shared" si="75"/>
        <v>0</v>
      </c>
      <c r="GI27" s="44">
        <f t="shared" si="75"/>
        <v>0</v>
      </c>
      <c r="GJ27" s="44">
        <f t="shared" si="75"/>
        <v>0</v>
      </c>
      <c r="GK27" s="44">
        <f t="shared" si="75"/>
        <v>0</v>
      </c>
      <c r="GL27" s="44">
        <f t="shared" si="75"/>
        <v>0</v>
      </c>
      <c r="GM27" s="44">
        <f t="shared" si="75"/>
        <v>0</v>
      </c>
      <c r="GN27" s="44">
        <f t="shared" si="75"/>
        <v>0</v>
      </c>
      <c r="GO27" s="44">
        <f t="shared" si="75"/>
        <v>0</v>
      </c>
      <c r="GP27" s="44">
        <f t="shared" si="75"/>
        <v>0</v>
      </c>
      <c r="GQ27" s="44">
        <f t="shared" si="75"/>
        <v>0</v>
      </c>
      <c r="GR27" s="44">
        <f t="shared" si="75"/>
        <v>0</v>
      </c>
      <c r="GS27" s="44">
        <f t="shared" si="75"/>
        <v>0</v>
      </c>
      <c r="GT27" s="44">
        <f t="shared" si="75"/>
        <v>0</v>
      </c>
    </row>
    <row r="28" spans="1:202" s="63" customFormat="1" x14ac:dyDescent="0.25">
      <c r="A28" s="63" t="s">
        <v>113</v>
      </c>
      <c r="C28" s="64">
        <f>C26+C27</f>
        <v>-3552.6315789473683</v>
      </c>
      <c r="D28" s="64">
        <f t="shared" ref="D28:Z28" si="76">D26+D27</f>
        <v>1375</v>
      </c>
      <c r="E28" s="64">
        <f t="shared" si="76"/>
        <v>-476.90099335797299</v>
      </c>
      <c r="F28" s="64">
        <f t="shared" si="76"/>
        <v>-362.73000000000093</v>
      </c>
      <c r="G28" s="64">
        <f t="shared" si="76"/>
        <v>0</v>
      </c>
      <c r="H28" s="64">
        <f t="shared" si="76"/>
        <v>259.64000000000033</v>
      </c>
      <c r="I28" s="64">
        <f t="shared" si="76"/>
        <v>0</v>
      </c>
      <c r="J28" s="64">
        <f t="shared" si="76"/>
        <v>-939.64801699132988</v>
      </c>
      <c r="K28" s="64">
        <f t="shared" si="76"/>
        <v>-1217.8</v>
      </c>
      <c r="L28" s="64">
        <f t="shared" si="76"/>
        <v>0</v>
      </c>
      <c r="M28" s="64">
        <f t="shared" si="76"/>
        <v>116.31999999999789</v>
      </c>
      <c r="N28" s="64">
        <f t="shared" si="76"/>
        <v>0</v>
      </c>
      <c r="O28" s="64">
        <f t="shared" si="76"/>
        <v>0</v>
      </c>
      <c r="P28" s="64">
        <f t="shared" si="76"/>
        <v>-897.03000000000077</v>
      </c>
      <c r="Q28" s="64">
        <f t="shared" si="76"/>
        <v>-500</v>
      </c>
      <c r="R28" s="64">
        <f t="shared" si="76"/>
        <v>-4000</v>
      </c>
      <c r="S28" s="64">
        <f t="shared" si="76"/>
        <v>-6800</v>
      </c>
      <c r="T28" s="64">
        <f t="shared" si="76"/>
        <v>-1200</v>
      </c>
      <c r="U28" s="64">
        <f t="shared" si="76"/>
        <v>0</v>
      </c>
      <c r="V28" s="64">
        <f t="shared" si="76"/>
        <v>-4280.4666435664358</v>
      </c>
      <c r="W28" s="64">
        <f t="shared" si="76"/>
        <v>-3800</v>
      </c>
      <c r="X28" s="64">
        <f t="shared" si="76"/>
        <v>0</v>
      </c>
      <c r="Y28" s="64">
        <f t="shared" si="76"/>
        <v>0</v>
      </c>
      <c r="Z28" s="64">
        <f t="shared" si="76"/>
        <v>-2400</v>
      </c>
      <c r="AA28" s="64">
        <f t="shared" ref="AA28:BF28" si="77">AA26+AA27</f>
        <v>0</v>
      </c>
      <c r="AB28" s="64">
        <f t="shared" si="77"/>
        <v>-2800</v>
      </c>
      <c r="AC28" s="64">
        <f t="shared" si="77"/>
        <v>0</v>
      </c>
      <c r="AD28" s="64">
        <f t="shared" si="77"/>
        <v>-20000</v>
      </c>
      <c r="AE28" s="64">
        <f t="shared" si="77"/>
        <v>-3800</v>
      </c>
      <c r="AF28" s="64">
        <f t="shared" si="77"/>
        <v>-1200</v>
      </c>
      <c r="AG28" s="64">
        <f t="shared" si="77"/>
        <v>0</v>
      </c>
      <c r="AH28" s="64">
        <f t="shared" si="77"/>
        <v>-8400</v>
      </c>
      <c r="AI28" s="64">
        <f t="shared" si="77"/>
        <v>0</v>
      </c>
      <c r="AJ28" s="64">
        <f t="shared" si="77"/>
        <v>-20000</v>
      </c>
      <c r="AK28" s="64">
        <f t="shared" si="77"/>
        <v>0</v>
      </c>
      <c r="AL28" s="64">
        <f t="shared" si="77"/>
        <v>-2400</v>
      </c>
      <c r="AM28" s="64">
        <f t="shared" si="77"/>
        <v>0</v>
      </c>
      <c r="AN28" s="64">
        <f t="shared" si="77"/>
        <v>-1200</v>
      </c>
      <c r="AO28" s="64">
        <f t="shared" si="77"/>
        <v>0</v>
      </c>
      <c r="AP28" s="64">
        <f t="shared" si="77"/>
        <v>-20000</v>
      </c>
      <c r="AQ28" s="64">
        <f t="shared" si="77"/>
        <v>0</v>
      </c>
      <c r="AR28" s="64">
        <f t="shared" si="77"/>
        <v>-1200</v>
      </c>
      <c r="AS28" s="64">
        <f t="shared" si="77"/>
        <v>0</v>
      </c>
      <c r="AT28" s="64">
        <f t="shared" si="77"/>
        <v>-8400</v>
      </c>
      <c r="AU28" s="64">
        <f t="shared" si="77"/>
        <v>0</v>
      </c>
      <c r="AV28" s="64">
        <f t="shared" si="77"/>
        <v>-20000</v>
      </c>
      <c r="AW28" s="64">
        <f t="shared" si="77"/>
        <v>0</v>
      </c>
      <c r="AX28" s="64">
        <f t="shared" si="77"/>
        <v>-2400</v>
      </c>
      <c r="AY28" s="64">
        <f t="shared" si="77"/>
        <v>0</v>
      </c>
      <c r="AZ28" s="64">
        <f t="shared" si="77"/>
        <v>-1200</v>
      </c>
      <c r="BA28" s="64">
        <f t="shared" si="77"/>
        <v>0</v>
      </c>
      <c r="BB28" s="64">
        <f t="shared" si="77"/>
        <v>0</v>
      </c>
      <c r="BC28" s="64">
        <f t="shared" si="77"/>
        <v>0</v>
      </c>
      <c r="BD28" s="64">
        <f t="shared" si="77"/>
        <v>-1200</v>
      </c>
      <c r="BE28" s="64">
        <f t="shared" si="77"/>
        <v>0</v>
      </c>
      <c r="BF28" s="64">
        <f t="shared" si="77"/>
        <v>-8400</v>
      </c>
      <c r="BG28" s="64">
        <f t="shared" ref="BG28:CL28" si="78">BG26+BG27</f>
        <v>0</v>
      </c>
      <c r="BH28" s="64">
        <f t="shared" si="78"/>
        <v>0</v>
      </c>
      <c r="BI28" s="64">
        <f t="shared" si="78"/>
        <v>0</v>
      </c>
      <c r="BJ28" s="64">
        <f t="shared" si="78"/>
        <v>-2400</v>
      </c>
      <c r="BK28" s="64">
        <f t="shared" si="78"/>
        <v>0</v>
      </c>
      <c r="BL28" s="64">
        <f t="shared" si="78"/>
        <v>-1200</v>
      </c>
      <c r="BM28" s="64">
        <f t="shared" si="78"/>
        <v>0</v>
      </c>
      <c r="BN28" s="64">
        <f t="shared" si="78"/>
        <v>-1000</v>
      </c>
      <c r="BO28" s="64">
        <f t="shared" si="78"/>
        <v>0</v>
      </c>
      <c r="BP28" s="64">
        <f t="shared" si="78"/>
        <v>-1200</v>
      </c>
      <c r="BQ28" s="64">
        <f t="shared" si="78"/>
        <v>0</v>
      </c>
      <c r="BR28" s="64">
        <f t="shared" si="78"/>
        <v>-8400</v>
      </c>
      <c r="BS28" s="64">
        <f t="shared" si="78"/>
        <v>0</v>
      </c>
      <c r="BT28" s="64">
        <f t="shared" si="78"/>
        <v>0</v>
      </c>
      <c r="BU28" s="64">
        <f t="shared" si="78"/>
        <v>0</v>
      </c>
      <c r="BV28" s="64">
        <f t="shared" si="78"/>
        <v>-2400</v>
      </c>
      <c r="BW28" s="64">
        <f t="shared" si="78"/>
        <v>0</v>
      </c>
      <c r="BX28" s="64">
        <f t="shared" si="78"/>
        <v>-1200</v>
      </c>
      <c r="BY28" s="64">
        <f t="shared" si="78"/>
        <v>0</v>
      </c>
      <c r="BZ28" s="64">
        <f t="shared" si="78"/>
        <v>0</v>
      </c>
      <c r="CA28" s="64">
        <f t="shared" si="78"/>
        <v>0</v>
      </c>
      <c r="CB28" s="64">
        <f t="shared" si="78"/>
        <v>-1200</v>
      </c>
      <c r="CC28" s="64">
        <f t="shared" si="78"/>
        <v>0</v>
      </c>
      <c r="CD28" s="64">
        <f t="shared" si="78"/>
        <v>-8400</v>
      </c>
      <c r="CE28" s="64">
        <f t="shared" si="78"/>
        <v>0</v>
      </c>
      <c r="CF28" s="64">
        <f t="shared" si="78"/>
        <v>0</v>
      </c>
      <c r="CG28" s="64">
        <f t="shared" si="78"/>
        <v>0</v>
      </c>
      <c r="CH28" s="64">
        <f t="shared" si="78"/>
        <v>-2400</v>
      </c>
      <c r="CI28" s="64">
        <f t="shared" si="78"/>
        <v>0</v>
      </c>
      <c r="CJ28" s="64">
        <f t="shared" si="78"/>
        <v>-1200</v>
      </c>
      <c r="CK28" s="64">
        <f t="shared" si="78"/>
        <v>0</v>
      </c>
      <c r="CL28" s="64">
        <f t="shared" si="78"/>
        <v>0</v>
      </c>
      <c r="CM28" s="64">
        <f t="shared" ref="CM28:DR28" si="79">CM26+CM27</f>
        <v>0</v>
      </c>
      <c r="CN28" s="64">
        <f t="shared" si="79"/>
        <v>-1200</v>
      </c>
      <c r="CO28" s="64">
        <f t="shared" si="79"/>
        <v>0</v>
      </c>
      <c r="CP28" s="64">
        <f t="shared" si="79"/>
        <v>-8400</v>
      </c>
      <c r="CQ28" s="64">
        <f t="shared" si="79"/>
        <v>0</v>
      </c>
      <c r="CR28" s="64">
        <f t="shared" si="79"/>
        <v>0</v>
      </c>
      <c r="CS28" s="64">
        <f t="shared" si="79"/>
        <v>0</v>
      </c>
      <c r="CT28" s="64">
        <f t="shared" si="79"/>
        <v>-2400</v>
      </c>
      <c r="CU28" s="64">
        <f t="shared" si="79"/>
        <v>0</v>
      </c>
      <c r="CV28" s="64">
        <f t="shared" si="79"/>
        <v>-1200</v>
      </c>
      <c r="CW28" s="64">
        <f t="shared" si="79"/>
        <v>0</v>
      </c>
      <c r="CX28" s="64">
        <f t="shared" si="79"/>
        <v>0</v>
      </c>
      <c r="CY28" s="64">
        <f t="shared" si="79"/>
        <v>0</v>
      </c>
      <c r="CZ28" s="64">
        <f t="shared" si="79"/>
        <v>-1200</v>
      </c>
      <c r="DA28" s="64">
        <f t="shared" si="79"/>
        <v>0</v>
      </c>
      <c r="DB28" s="64">
        <f t="shared" si="79"/>
        <v>-8400</v>
      </c>
      <c r="DC28" s="64">
        <f t="shared" si="79"/>
        <v>0</v>
      </c>
      <c r="DD28" s="64">
        <f t="shared" si="79"/>
        <v>0</v>
      </c>
      <c r="DE28" s="64">
        <f t="shared" si="79"/>
        <v>0</v>
      </c>
      <c r="DF28" s="64">
        <f t="shared" si="79"/>
        <v>-2400</v>
      </c>
      <c r="DG28" s="64">
        <f t="shared" si="79"/>
        <v>0</v>
      </c>
      <c r="DH28" s="64">
        <f t="shared" si="79"/>
        <v>-1200</v>
      </c>
      <c r="DI28" s="64">
        <f t="shared" si="79"/>
        <v>0</v>
      </c>
      <c r="DJ28" s="64">
        <f t="shared" si="79"/>
        <v>0</v>
      </c>
      <c r="DK28" s="64">
        <f t="shared" si="79"/>
        <v>0</v>
      </c>
      <c r="DL28" s="64">
        <f t="shared" si="79"/>
        <v>-1200</v>
      </c>
      <c r="DM28" s="64">
        <f t="shared" si="79"/>
        <v>0</v>
      </c>
      <c r="DN28" s="64">
        <f t="shared" si="79"/>
        <v>-8400</v>
      </c>
      <c r="DO28" s="64">
        <f t="shared" si="79"/>
        <v>0</v>
      </c>
      <c r="DP28" s="64">
        <f t="shared" si="79"/>
        <v>0</v>
      </c>
      <c r="DQ28" s="64">
        <f t="shared" si="79"/>
        <v>0</v>
      </c>
      <c r="DR28" s="64">
        <f t="shared" si="79"/>
        <v>-2400</v>
      </c>
      <c r="DS28" s="64">
        <f t="shared" ref="DS28:EX28" si="80">DS26+DS27</f>
        <v>0</v>
      </c>
      <c r="DT28" s="64">
        <f t="shared" si="80"/>
        <v>-1200</v>
      </c>
      <c r="DU28" s="64">
        <f t="shared" si="80"/>
        <v>0</v>
      </c>
      <c r="DV28" s="64">
        <f t="shared" si="80"/>
        <v>0</v>
      </c>
      <c r="DW28" s="64">
        <f t="shared" si="80"/>
        <v>0</v>
      </c>
      <c r="DX28" s="64">
        <f t="shared" si="80"/>
        <v>-1200</v>
      </c>
      <c r="DY28" s="64">
        <f t="shared" si="80"/>
        <v>0</v>
      </c>
      <c r="DZ28" s="64">
        <f t="shared" si="80"/>
        <v>-8400</v>
      </c>
      <c r="EA28" s="64">
        <f t="shared" si="80"/>
        <v>0</v>
      </c>
      <c r="EB28" s="64">
        <f t="shared" si="80"/>
        <v>0</v>
      </c>
      <c r="EC28" s="64">
        <f t="shared" si="80"/>
        <v>0</v>
      </c>
      <c r="ED28" s="64">
        <f t="shared" si="80"/>
        <v>-2400</v>
      </c>
      <c r="EE28" s="64">
        <f t="shared" si="80"/>
        <v>0</v>
      </c>
      <c r="EF28" s="64">
        <f t="shared" si="80"/>
        <v>-1200</v>
      </c>
      <c r="EG28" s="64">
        <f t="shared" si="80"/>
        <v>0</v>
      </c>
      <c r="EH28" s="64">
        <f t="shared" si="80"/>
        <v>0</v>
      </c>
      <c r="EI28" s="64">
        <f t="shared" si="80"/>
        <v>0</v>
      </c>
      <c r="EJ28" s="64">
        <f t="shared" si="80"/>
        <v>-1200</v>
      </c>
      <c r="EK28" s="64">
        <f t="shared" si="80"/>
        <v>0</v>
      </c>
      <c r="EL28" s="64">
        <f t="shared" si="80"/>
        <v>-8400</v>
      </c>
      <c r="EM28" s="64">
        <f t="shared" si="80"/>
        <v>0</v>
      </c>
      <c r="EN28" s="64">
        <f t="shared" si="80"/>
        <v>0</v>
      </c>
      <c r="EO28" s="64">
        <f t="shared" si="80"/>
        <v>0</v>
      </c>
      <c r="EP28" s="64">
        <f t="shared" si="80"/>
        <v>0</v>
      </c>
      <c r="EQ28" s="64">
        <f t="shared" si="80"/>
        <v>0</v>
      </c>
      <c r="ER28" s="64">
        <f t="shared" si="80"/>
        <v>0</v>
      </c>
      <c r="ES28" s="64">
        <f t="shared" si="80"/>
        <v>0</v>
      </c>
      <c r="ET28" s="64">
        <f t="shared" si="80"/>
        <v>0</v>
      </c>
      <c r="EU28" s="64">
        <f t="shared" si="80"/>
        <v>0</v>
      </c>
      <c r="EV28" s="64">
        <f t="shared" si="80"/>
        <v>0</v>
      </c>
      <c r="EW28" s="64">
        <f t="shared" si="80"/>
        <v>0</v>
      </c>
      <c r="EX28" s="64">
        <f t="shared" si="80"/>
        <v>0</v>
      </c>
      <c r="EY28" s="64">
        <f t="shared" ref="EY28:GD28" si="81">EY26+EY27</f>
        <v>0</v>
      </c>
      <c r="EZ28" s="64">
        <f t="shared" si="81"/>
        <v>0</v>
      </c>
      <c r="FA28" s="64">
        <f t="shared" si="81"/>
        <v>0</v>
      </c>
      <c r="FB28" s="64">
        <f t="shared" si="81"/>
        <v>0</v>
      </c>
      <c r="FC28" s="64">
        <f t="shared" si="81"/>
        <v>0</v>
      </c>
      <c r="FD28" s="64">
        <f t="shared" si="81"/>
        <v>0</v>
      </c>
      <c r="FE28" s="64">
        <f t="shared" si="81"/>
        <v>0</v>
      </c>
      <c r="FF28" s="64">
        <f t="shared" si="81"/>
        <v>0</v>
      </c>
      <c r="FG28" s="64">
        <f t="shared" si="81"/>
        <v>0</v>
      </c>
      <c r="FH28" s="64">
        <f t="shared" si="81"/>
        <v>0</v>
      </c>
      <c r="FI28" s="64">
        <f t="shared" si="81"/>
        <v>0</v>
      </c>
      <c r="FJ28" s="64">
        <f t="shared" si="81"/>
        <v>0</v>
      </c>
      <c r="FK28" s="64">
        <f t="shared" si="81"/>
        <v>0</v>
      </c>
      <c r="FL28" s="64">
        <f t="shared" si="81"/>
        <v>0</v>
      </c>
      <c r="FM28" s="64">
        <f t="shared" si="81"/>
        <v>0</v>
      </c>
      <c r="FN28" s="64">
        <f t="shared" si="81"/>
        <v>0</v>
      </c>
      <c r="FO28" s="64">
        <f t="shared" si="81"/>
        <v>0</v>
      </c>
      <c r="FP28" s="64">
        <f t="shared" si="81"/>
        <v>0</v>
      </c>
      <c r="FQ28" s="64">
        <f t="shared" si="81"/>
        <v>0</v>
      </c>
      <c r="FR28" s="64">
        <f t="shared" si="81"/>
        <v>0</v>
      </c>
      <c r="FS28" s="64">
        <f t="shared" si="81"/>
        <v>0</v>
      </c>
      <c r="FT28" s="64">
        <f t="shared" si="81"/>
        <v>0</v>
      </c>
      <c r="FU28" s="64">
        <f t="shared" si="81"/>
        <v>0</v>
      </c>
      <c r="FV28" s="64">
        <f t="shared" si="81"/>
        <v>0</v>
      </c>
      <c r="FW28" s="64">
        <f t="shared" si="81"/>
        <v>0</v>
      </c>
      <c r="FX28" s="64">
        <f t="shared" si="81"/>
        <v>0</v>
      </c>
      <c r="FY28" s="64">
        <f t="shared" si="81"/>
        <v>0</v>
      </c>
      <c r="FZ28" s="64">
        <f t="shared" si="81"/>
        <v>0</v>
      </c>
      <c r="GA28" s="64">
        <f t="shared" si="81"/>
        <v>0</v>
      </c>
      <c r="GB28" s="64">
        <f t="shared" si="81"/>
        <v>0</v>
      </c>
      <c r="GC28" s="64">
        <f t="shared" si="81"/>
        <v>0</v>
      </c>
      <c r="GD28" s="64">
        <f t="shared" si="81"/>
        <v>0</v>
      </c>
      <c r="GE28" s="64">
        <f t="shared" ref="GE28:GT28" si="82">GE26+GE27</f>
        <v>0</v>
      </c>
      <c r="GF28" s="64">
        <f t="shared" si="82"/>
        <v>0</v>
      </c>
      <c r="GG28" s="64">
        <f t="shared" si="82"/>
        <v>0</v>
      </c>
      <c r="GH28" s="64">
        <f t="shared" si="82"/>
        <v>0</v>
      </c>
      <c r="GI28" s="64">
        <f t="shared" si="82"/>
        <v>0</v>
      </c>
      <c r="GJ28" s="64">
        <f t="shared" si="82"/>
        <v>0</v>
      </c>
      <c r="GK28" s="64">
        <f t="shared" si="82"/>
        <v>0</v>
      </c>
      <c r="GL28" s="64">
        <f t="shared" si="82"/>
        <v>0</v>
      </c>
      <c r="GM28" s="64">
        <f t="shared" si="82"/>
        <v>0</v>
      </c>
      <c r="GN28" s="64">
        <f t="shared" si="82"/>
        <v>0</v>
      </c>
      <c r="GO28" s="64">
        <f t="shared" si="82"/>
        <v>0</v>
      </c>
      <c r="GP28" s="64">
        <f t="shared" si="82"/>
        <v>0</v>
      </c>
      <c r="GQ28" s="64">
        <f t="shared" si="82"/>
        <v>0</v>
      </c>
      <c r="GR28" s="64">
        <f t="shared" si="82"/>
        <v>0</v>
      </c>
      <c r="GS28" s="64">
        <f t="shared" si="82"/>
        <v>0</v>
      </c>
      <c r="GT28" s="64">
        <f t="shared" si="82"/>
        <v>0</v>
      </c>
    </row>
    <row r="29" spans="1:202" s="63" customFormat="1" x14ac:dyDescent="0.25">
      <c r="A29" s="63" t="s">
        <v>112</v>
      </c>
      <c r="C29" s="64">
        <f>-SUMIFS(Losses!$J:$J,Losses!$K:$K,'Cash flow'!C$3,Losses!$H:$H,"Mid")</f>
        <v>-4952.7947357404528</v>
      </c>
      <c r="D29" s="64">
        <f>-SUMIFS(Losses!$J:$J,Losses!$K:$K,'Cash flow'!D$3,Losses!$H:$H,"Mid")</f>
        <v>-4028.6237558121852</v>
      </c>
      <c r="E29" s="64">
        <f>-SUMIFS(Losses!$J:$J,Losses!$K:$K,'Cash flow'!E$3,Losses!$H:$H,"Mid")</f>
        <v>-2185.2540682414697</v>
      </c>
      <c r="F29" s="64">
        <f>-SUMIFS(Losses!$J:$J,Losses!$K:$K,'Cash flow'!F$3,Losses!$H:$H,"Mid")</f>
        <v>-3287.3417976351266</v>
      </c>
      <c r="G29" s="64">
        <f>-SUMIFS(Losses!$J:$J,Losses!$K:$K,'Cash flow'!G$3,Losses!$H:$H,"Mid")</f>
        <v>-3543.8909178743966</v>
      </c>
      <c r="H29" s="64">
        <f>-SUMIFS(Losses!$J:$J,Losses!$K:$K,'Cash flow'!H$3,Losses!$H:$H,"Mid")</f>
        <v>-2395.1035338345864</v>
      </c>
      <c r="I29" s="64">
        <f>-SUMIFS(Losses!$J:$J,Losses!$K:$K,'Cash flow'!I$3,Losses!$H:$H,"Mid")</f>
        <v>-3113.010754716981</v>
      </c>
      <c r="J29" s="64">
        <f>-SUMIFS(Losses!$J:$J,Losses!$K:$K,'Cash flow'!J$3,Losses!$H:$H,"Mid")</f>
        <v>-599.05134663341619</v>
      </c>
      <c r="K29" s="64">
        <f>-SUMIFS(Losses!$J:$J,Losses!$K:$K,'Cash flow'!K$3,Losses!$H:$H,"Mid")</f>
        <v>-4306.0668757291523</v>
      </c>
      <c r="L29" s="64">
        <f>-SUMIFS(Losses!$J:$J,Losses!$K:$K,'Cash flow'!L$3,Losses!$H:$H,"Mid")</f>
        <v>-1098.5788344988346</v>
      </c>
      <c r="M29" s="64">
        <f>-SUMIFS(Losses!$J:$J,Losses!$K:$K,'Cash flow'!M$3,Losses!$H:$H,"Mid")</f>
        <v>-4919.9757032755306</v>
      </c>
      <c r="N29" s="64">
        <f>-SUMIFS(Losses!$J:$J,Losses!$K:$K,'Cash flow'!N$3,Losses!$H:$H,"Mid")</f>
        <v>-1094.9801275045538</v>
      </c>
      <c r="O29" s="64">
        <f>-SUMIFS(Losses!$J:$J,Losses!$K:$K,'Cash flow'!O$3,Losses!$H:$H,"Mid")</f>
        <v>-542.14441947565547</v>
      </c>
      <c r="P29" s="64">
        <f>-SUMIFS(Losses!$J:$J,Losses!$K:$K,'Cash flow'!P$3,Losses!$H:$H,"Mid")</f>
        <v>-4315.6123076923077</v>
      </c>
      <c r="Q29" s="64">
        <f>-SUMIFS(Losses!$J:$J,Losses!$K:$K,'Cash flow'!Q$3,Losses!$H:$H,"Mid")</f>
        <v>0</v>
      </c>
      <c r="R29" s="64">
        <f>-SUMIFS(Losses!$J:$J,Losses!$K:$K,'Cash flow'!R$3,Losses!$H:$H,"Mid")</f>
        <v>0</v>
      </c>
      <c r="S29" s="64">
        <f>-SUMIFS(Losses!$J:$J,Losses!$K:$K,'Cash flow'!S$3,Losses!$H:$H,"Mid")</f>
        <v>0</v>
      </c>
      <c r="T29" s="64">
        <f>-SUMIFS(Losses!$J:$J,Losses!$K:$K,'Cash flow'!T$3,Losses!$H:$H,"Mid")</f>
        <v>0</v>
      </c>
      <c r="U29" s="64">
        <f>-SUMIFS(Losses!$J:$J,Losses!$K:$K,'Cash flow'!U$3,Losses!$H:$H,"Mid")</f>
        <v>0</v>
      </c>
      <c r="V29" s="64">
        <f>-SUMIFS(Losses!$J:$J,Losses!$K:$K,'Cash flow'!V$3,Losses!$H:$H,"Mid")</f>
        <v>0</v>
      </c>
      <c r="W29" s="64">
        <f>-SUMIFS(Losses!$J:$J,Losses!$K:$K,'Cash flow'!W$3,Losses!$H:$H,"Mid")</f>
        <v>0</v>
      </c>
      <c r="X29" s="64">
        <f>-SUMIFS(Losses!$J:$J,Losses!$K:$K,'Cash flow'!X$3,Losses!$H:$H,"Mid")</f>
        <v>0</v>
      </c>
      <c r="Y29" s="64">
        <f>-SUMIFS(Losses!$J:$J,Losses!$K:$K,'Cash flow'!Y$3,Losses!$H:$H,"Mid")</f>
        <v>0</v>
      </c>
      <c r="Z29" s="64">
        <f>-SUMIFS(Losses!$J:$J,Losses!$K:$K,'Cash flow'!Z$3,Losses!$H:$H,"Mid")</f>
        <v>0</v>
      </c>
      <c r="AA29" s="64">
        <f>-SUMIFS(Losses!$J:$J,Losses!$K:$K,'Cash flow'!AA$3,Losses!$H:$H,"Mid")</f>
        <v>0</v>
      </c>
      <c r="AB29" s="64">
        <f>-SUMIFS(Losses!$J:$J,Losses!$K:$K,'Cash flow'!AB$3,Losses!$H:$H,"Mid")</f>
        <v>0</v>
      </c>
      <c r="AC29" s="64">
        <f>-SUMIFS(Losses!$J:$J,Losses!$K:$K,'Cash flow'!AC$3,Losses!$H:$H,"Mid")</f>
        <v>0</v>
      </c>
      <c r="AD29" s="64">
        <f>-SUMIFS(Losses!$J:$J,Losses!$K:$K,'Cash flow'!AD$3,Losses!$H:$H,"Mid")</f>
        <v>0</v>
      </c>
      <c r="AE29" s="64">
        <f>-SUMIFS(Losses!$J:$J,Losses!$K:$K,'Cash flow'!AE$3,Losses!$H:$H,"Mid")</f>
        <v>0</v>
      </c>
      <c r="AF29" s="64">
        <f>-SUMIFS(Losses!$J:$J,Losses!$K:$K,'Cash flow'!AF$3,Losses!$H:$H,"Mid")</f>
        <v>0</v>
      </c>
      <c r="AG29" s="64">
        <f>-SUMIFS(Losses!$J:$J,Losses!$K:$K,'Cash flow'!AG$3,Losses!$H:$H,"Mid")</f>
        <v>0</v>
      </c>
      <c r="AH29" s="64">
        <f>-SUMIFS(Losses!$J:$J,Losses!$K:$K,'Cash flow'!AH$3,Losses!$H:$H,"Mid")</f>
        <v>0</v>
      </c>
      <c r="AI29" s="64">
        <f>-SUMIFS(Losses!$J:$J,Losses!$K:$K,'Cash flow'!AI$3,Losses!$H:$H,"Mid")</f>
        <v>0</v>
      </c>
      <c r="AJ29" s="64">
        <f>-SUMIFS(Losses!$J:$J,Losses!$K:$K,'Cash flow'!AJ$3,Losses!$H:$H,"Mid")</f>
        <v>0</v>
      </c>
      <c r="AK29" s="64">
        <f>-SUMIFS(Losses!$J:$J,Losses!$K:$K,'Cash flow'!AK$3,Losses!$H:$H,"Mid")</f>
        <v>0</v>
      </c>
      <c r="AL29" s="64">
        <f>-SUMIFS(Losses!$J:$J,Losses!$K:$K,'Cash flow'!AL$3,Losses!$H:$H,"Mid")</f>
        <v>0</v>
      </c>
      <c r="AM29" s="64">
        <f>-SUMIFS(Losses!$J:$J,Losses!$K:$K,'Cash flow'!AM$3,Losses!$H:$H,"Mid")</f>
        <v>0</v>
      </c>
      <c r="AN29" s="64">
        <f>-SUMIFS(Losses!$J:$J,Losses!$K:$K,'Cash flow'!AN$3,Losses!$H:$H,"Mid")</f>
        <v>0</v>
      </c>
      <c r="AO29" s="64">
        <f>-SUMIFS(Losses!$J:$J,Losses!$K:$K,'Cash flow'!AO$3,Losses!$H:$H,"Mid")</f>
        <v>0</v>
      </c>
      <c r="AP29" s="64">
        <f>-SUMIFS(Losses!$J:$J,Losses!$K:$K,'Cash flow'!AP$3,Losses!$H:$H,"Mid")</f>
        <v>0</v>
      </c>
      <c r="AQ29" s="64">
        <f>-SUMIFS(Losses!$J:$J,Losses!$K:$K,'Cash flow'!AQ$3,Losses!$H:$H,"Mid")</f>
        <v>0</v>
      </c>
      <c r="AR29" s="64">
        <f>-SUMIFS(Losses!$J:$J,Losses!$K:$K,'Cash flow'!AR$3,Losses!$H:$H,"Mid")</f>
        <v>0</v>
      </c>
      <c r="AS29" s="64">
        <f>-SUMIFS(Losses!$J:$J,Losses!$K:$K,'Cash flow'!AS$3,Losses!$H:$H,"Mid")</f>
        <v>0</v>
      </c>
      <c r="AT29" s="64">
        <f>-SUMIFS(Losses!$J:$J,Losses!$K:$K,'Cash flow'!AT$3,Losses!$H:$H,"Mid")</f>
        <v>0</v>
      </c>
      <c r="AU29" s="64">
        <f>-SUMIFS(Losses!$J:$J,Losses!$K:$K,'Cash flow'!AU$3,Losses!$H:$H,"Mid")</f>
        <v>0</v>
      </c>
      <c r="AV29" s="64">
        <f>-SUMIFS(Losses!$J:$J,Losses!$K:$K,'Cash flow'!AV$3,Losses!$H:$H,"Mid")</f>
        <v>0</v>
      </c>
      <c r="AW29" s="64">
        <f>-SUMIFS(Losses!$J:$J,Losses!$K:$K,'Cash flow'!AW$3,Losses!$H:$H,"Mid")</f>
        <v>0</v>
      </c>
      <c r="AX29" s="64">
        <f>-SUMIFS(Losses!$J:$J,Losses!$K:$K,'Cash flow'!AX$3,Losses!$H:$H,"Mid")</f>
        <v>0</v>
      </c>
      <c r="AY29" s="64">
        <f>-SUMIFS(Losses!$J:$J,Losses!$K:$K,'Cash flow'!AY$3,Losses!$H:$H,"Mid")</f>
        <v>0</v>
      </c>
      <c r="AZ29" s="64">
        <f>-SUMIFS(Losses!$J:$J,Losses!$K:$K,'Cash flow'!AZ$3,Losses!$H:$H,"Mid")</f>
        <v>0</v>
      </c>
      <c r="BA29" s="64">
        <f>-SUMIFS(Losses!$J:$J,Losses!$K:$K,'Cash flow'!BA$3,Losses!$H:$H,"Mid")</f>
        <v>0</v>
      </c>
      <c r="BB29" s="64">
        <f>-SUMIFS(Losses!$J:$J,Losses!$K:$K,'Cash flow'!BB$3,Losses!$H:$H,"Mid")</f>
        <v>0</v>
      </c>
      <c r="BC29" s="64">
        <f>-SUMIFS(Losses!$J:$J,Losses!$K:$K,'Cash flow'!BC$3,Losses!$H:$H,"Mid")</f>
        <v>0</v>
      </c>
      <c r="BD29" s="64">
        <f>-SUMIFS(Losses!$J:$J,Losses!$K:$K,'Cash flow'!BD$3,Losses!$H:$H,"Mid")</f>
        <v>0</v>
      </c>
      <c r="BE29" s="64">
        <f>-SUMIFS(Losses!$J:$J,Losses!$K:$K,'Cash flow'!BE$3,Losses!$H:$H,"Mid")</f>
        <v>0</v>
      </c>
      <c r="BF29" s="64">
        <f>-SUMIFS(Losses!$J:$J,Losses!$K:$K,'Cash flow'!BF$3,Losses!$H:$H,"Mid")</f>
        <v>0</v>
      </c>
      <c r="BG29" s="64">
        <f>-SUMIFS(Losses!$J:$J,Losses!$K:$K,'Cash flow'!BG$3,Losses!$H:$H,"Mid")</f>
        <v>0</v>
      </c>
      <c r="BH29" s="64">
        <f>-SUMIFS(Losses!$J:$J,Losses!$K:$K,'Cash flow'!BH$3,Losses!$H:$H,"Mid")</f>
        <v>0</v>
      </c>
      <c r="BI29" s="64">
        <f>-SUMIFS(Losses!$J:$J,Losses!$K:$K,'Cash flow'!BI$3,Losses!$H:$H,"Mid")</f>
        <v>0</v>
      </c>
      <c r="BJ29" s="64">
        <f>-SUMIFS(Losses!$J:$J,Losses!$K:$K,'Cash flow'!BJ$3,Losses!$H:$H,"Mid")</f>
        <v>0</v>
      </c>
      <c r="BK29" s="64">
        <f>-SUMIFS(Losses!$J:$J,Losses!$K:$K,'Cash flow'!BK$3,Losses!$H:$H,"Mid")</f>
        <v>0</v>
      </c>
      <c r="BL29" s="64">
        <f>-SUMIFS(Losses!$J:$J,Losses!$K:$K,'Cash flow'!BL$3,Losses!$H:$H,"Mid")</f>
        <v>0</v>
      </c>
      <c r="BM29" s="64">
        <f>-SUMIFS(Losses!$J:$J,Losses!$K:$K,'Cash flow'!BM$3,Losses!$H:$H,"Mid")</f>
        <v>0</v>
      </c>
      <c r="BN29" s="64">
        <f>-SUMIFS(Losses!$J:$J,Losses!$K:$K,'Cash flow'!BN$3,Losses!$H:$H,"Mid")</f>
        <v>0</v>
      </c>
      <c r="BO29" s="64">
        <f>-SUMIFS(Losses!$J:$J,Losses!$K:$K,'Cash flow'!BO$3,Losses!$H:$H,"Mid")</f>
        <v>0</v>
      </c>
      <c r="BP29" s="64">
        <f>-SUMIFS(Losses!$J:$J,Losses!$K:$K,'Cash flow'!BP$3,Losses!$H:$H,"Mid")</f>
        <v>0</v>
      </c>
      <c r="BQ29" s="64">
        <f>-SUMIFS(Losses!$J:$J,Losses!$K:$K,'Cash flow'!BQ$3,Losses!$H:$H,"Mid")</f>
        <v>0</v>
      </c>
      <c r="BR29" s="64">
        <f>-SUMIFS(Losses!$J:$J,Losses!$K:$K,'Cash flow'!BR$3,Losses!$H:$H,"Mid")</f>
        <v>0</v>
      </c>
      <c r="BS29" s="64">
        <f>-SUMIFS(Losses!$J:$J,Losses!$K:$K,'Cash flow'!BS$3,Losses!$H:$H,"Mid")</f>
        <v>0</v>
      </c>
      <c r="BT29" s="64">
        <f>-SUMIFS(Losses!$J:$J,Losses!$K:$K,'Cash flow'!BT$3,Losses!$H:$H,"Mid")</f>
        <v>0</v>
      </c>
      <c r="BU29" s="64">
        <f>-SUMIFS(Losses!$J:$J,Losses!$K:$K,'Cash flow'!BU$3,Losses!$H:$H,"Mid")</f>
        <v>0</v>
      </c>
      <c r="BV29" s="64">
        <f>-SUMIFS(Losses!$J:$J,Losses!$K:$K,'Cash flow'!BV$3,Losses!$H:$H,"Mid")</f>
        <v>0</v>
      </c>
      <c r="BW29" s="64">
        <f>-SUMIFS(Losses!$J:$J,Losses!$K:$K,'Cash flow'!BW$3,Losses!$H:$H,"Mid")</f>
        <v>0</v>
      </c>
      <c r="BX29" s="64">
        <f>-SUMIFS(Losses!$J:$J,Losses!$K:$K,'Cash flow'!BX$3,Losses!$H:$H,"Mid")</f>
        <v>0</v>
      </c>
      <c r="BY29" s="64">
        <f>-SUMIFS(Losses!$J:$J,Losses!$K:$K,'Cash flow'!BY$3,Losses!$H:$H,"Mid")</f>
        <v>0</v>
      </c>
      <c r="BZ29" s="64">
        <f>-SUMIFS(Losses!$J:$J,Losses!$K:$K,'Cash flow'!BZ$3,Losses!$H:$H,"Mid")</f>
        <v>0</v>
      </c>
      <c r="CA29" s="64">
        <f>-SUMIFS(Losses!$J:$J,Losses!$K:$K,'Cash flow'!CA$3,Losses!$H:$H,"Mid")</f>
        <v>0</v>
      </c>
      <c r="CB29" s="64">
        <f>-SUMIFS(Losses!$J:$J,Losses!$K:$K,'Cash flow'!CB$3,Losses!$H:$H,"Mid")</f>
        <v>0</v>
      </c>
      <c r="CC29" s="64">
        <f>-SUMIFS(Losses!$J:$J,Losses!$K:$K,'Cash flow'!CC$3,Losses!$H:$H,"Mid")</f>
        <v>0</v>
      </c>
      <c r="CD29" s="64">
        <f>-SUMIFS(Losses!$J:$J,Losses!$K:$K,'Cash flow'!CD$3,Losses!$H:$H,"Mid")</f>
        <v>0</v>
      </c>
      <c r="CE29" s="64">
        <f>-SUMIFS(Losses!$J:$J,Losses!$K:$K,'Cash flow'!CE$3,Losses!$H:$H,"Mid")</f>
        <v>0</v>
      </c>
      <c r="CF29" s="64">
        <f>-SUMIFS(Losses!$J:$J,Losses!$K:$K,'Cash flow'!CF$3,Losses!$H:$H,"Mid")</f>
        <v>0</v>
      </c>
      <c r="CG29" s="64">
        <f>-SUMIFS(Losses!$J:$J,Losses!$K:$K,'Cash flow'!CG$3,Losses!$H:$H,"Mid")</f>
        <v>0</v>
      </c>
      <c r="CH29" s="64">
        <f>-SUMIFS(Losses!$J:$J,Losses!$K:$K,'Cash flow'!CH$3,Losses!$H:$H,"Mid")</f>
        <v>0</v>
      </c>
      <c r="CI29" s="64">
        <f>-SUMIFS(Losses!$J:$J,Losses!$K:$K,'Cash flow'!CI$3,Losses!$H:$H,"Mid")</f>
        <v>0</v>
      </c>
      <c r="CJ29" s="64">
        <f>-SUMIFS(Losses!$J:$J,Losses!$K:$K,'Cash flow'!CJ$3,Losses!$H:$H,"Mid")</f>
        <v>0</v>
      </c>
      <c r="CK29" s="64">
        <f>-SUMIFS(Losses!$J:$J,Losses!$K:$K,'Cash flow'!CK$3,Losses!$H:$H,"Mid")</f>
        <v>0</v>
      </c>
      <c r="CL29" s="64">
        <f>-SUMIFS(Losses!$J:$J,Losses!$K:$K,'Cash flow'!CL$3,Losses!$H:$H,"Mid")</f>
        <v>0</v>
      </c>
      <c r="CM29" s="64">
        <f>-SUMIFS(Losses!$J:$J,Losses!$K:$K,'Cash flow'!CM$3,Losses!$H:$H,"Mid")</f>
        <v>0</v>
      </c>
      <c r="CN29" s="64">
        <f>-SUMIFS(Losses!$J:$J,Losses!$K:$K,'Cash flow'!CN$3,Losses!$H:$H,"Mid")</f>
        <v>0</v>
      </c>
      <c r="CO29" s="64">
        <f>-SUMIFS(Losses!$J:$J,Losses!$K:$K,'Cash flow'!CO$3,Losses!$H:$H,"Mid")</f>
        <v>0</v>
      </c>
      <c r="CP29" s="64">
        <f>-SUMIFS(Losses!$J:$J,Losses!$K:$K,'Cash flow'!CP$3,Losses!$H:$H,"Mid")</f>
        <v>0</v>
      </c>
      <c r="CQ29" s="64">
        <f>-SUMIFS(Losses!$J:$J,Losses!$K:$K,'Cash flow'!CQ$3,Losses!$H:$H,"Mid")</f>
        <v>0</v>
      </c>
      <c r="CR29" s="64">
        <f>-SUMIFS(Losses!$J:$J,Losses!$K:$K,'Cash flow'!CR$3,Losses!$H:$H,"Mid")</f>
        <v>0</v>
      </c>
      <c r="CS29" s="64">
        <f>-SUMIFS(Losses!$J:$J,Losses!$K:$K,'Cash flow'!CS$3,Losses!$H:$H,"Mid")</f>
        <v>0</v>
      </c>
      <c r="CT29" s="64">
        <f>-SUMIFS(Losses!$J:$J,Losses!$K:$K,'Cash flow'!CT$3,Losses!$H:$H,"Mid")</f>
        <v>0</v>
      </c>
      <c r="CU29" s="64">
        <f>-SUMIFS(Losses!$J:$J,Losses!$K:$K,'Cash flow'!CU$3,Losses!$H:$H,"Mid")</f>
        <v>0</v>
      </c>
      <c r="CV29" s="64">
        <f>-SUMIFS(Losses!$J:$J,Losses!$K:$K,'Cash flow'!CV$3,Losses!$H:$H,"Mid")</f>
        <v>0</v>
      </c>
      <c r="CW29" s="64">
        <f>-SUMIFS(Losses!$J:$J,Losses!$K:$K,'Cash flow'!CW$3,Losses!$H:$H,"Mid")</f>
        <v>0</v>
      </c>
      <c r="CX29" s="64">
        <f>-SUMIFS(Losses!$J:$J,Losses!$K:$K,'Cash flow'!CX$3,Losses!$H:$H,"Mid")</f>
        <v>0</v>
      </c>
      <c r="CY29" s="64">
        <f>-SUMIFS(Losses!$J:$J,Losses!$K:$K,'Cash flow'!CY$3,Losses!$H:$H,"Mid")</f>
        <v>0</v>
      </c>
      <c r="CZ29" s="64">
        <f>-SUMIFS(Losses!$J:$J,Losses!$K:$K,'Cash flow'!CZ$3,Losses!$H:$H,"Mid")</f>
        <v>0</v>
      </c>
      <c r="DA29" s="64">
        <f>-SUMIFS(Losses!$J:$J,Losses!$K:$K,'Cash flow'!DA$3,Losses!$H:$H,"Mid")</f>
        <v>0</v>
      </c>
      <c r="DB29" s="64">
        <f>-SUMIFS(Losses!$J:$J,Losses!$K:$K,'Cash flow'!DB$3,Losses!$H:$H,"Mid")</f>
        <v>0</v>
      </c>
      <c r="DC29" s="64">
        <f>-SUMIFS(Losses!$J:$J,Losses!$K:$K,'Cash flow'!DC$3,Losses!$H:$H,"Mid")</f>
        <v>0</v>
      </c>
      <c r="DD29" s="64">
        <f>-SUMIFS(Losses!$J:$J,Losses!$K:$K,'Cash flow'!DD$3,Losses!$H:$H,"Mid")</f>
        <v>0</v>
      </c>
      <c r="DE29" s="64">
        <f>-SUMIFS(Losses!$J:$J,Losses!$K:$K,'Cash flow'!DE$3,Losses!$H:$H,"Mid")</f>
        <v>0</v>
      </c>
      <c r="DF29" s="64">
        <f>-SUMIFS(Losses!$J:$J,Losses!$K:$K,'Cash flow'!DF$3,Losses!$H:$H,"Mid")</f>
        <v>0</v>
      </c>
      <c r="DG29" s="64">
        <f>-SUMIFS(Losses!$J:$J,Losses!$K:$K,'Cash flow'!DG$3,Losses!$H:$H,"Mid")</f>
        <v>0</v>
      </c>
      <c r="DH29" s="64">
        <f>-SUMIFS(Losses!$J:$J,Losses!$K:$K,'Cash flow'!DH$3,Losses!$H:$H,"Mid")</f>
        <v>0</v>
      </c>
      <c r="DI29" s="64">
        <f>-SUMIFS(Losses!$J:$J,Losses!$K:$K,'Cash flow'!DI$3,Losses!$H:$H,"Mid")</f>
        <v>0</v>
      </c>
      <c r="DJ29" s="64">
        <f>-SUMIFS(Losses!$J:$J,Losses!$K:$K,'Cash flow'!DJ$3,Losses!$H:$H,"Mid")</f>
        <v>0</v>
      </c>
      <c r="DK29" s="64">
        <f>-SUMIFS(Losses!$J:$J,Losses!$K:$K,'Cash flow'!DK$3,Losses!$H:$H,"Mid")</f>
        <v>0</v>
      </c>
      <c r="DL29" s="64">
        <f>-SUMIFS(Losses!$J:$J,Losses!$K:$K,'Cash flow'!DL$3,Losses!$H:$H,"Mid")</f>
        <v>0</v>
      </c>
      <c r="DM29" s="64">
        <f>-SUMIFS(Losses!$J:$J,Losses!$K:$K,'Cash flow'!DM$3,Losses!$H:$H,"Mid")</f>
        <v>0</v>
      </c>
      <c r="DN29" s="64">
        <f>-SUMIFS(Losses!$J:$J,Losses!$K:$K,'Cash flow'!DN$3,Losses!$H:$H,"Mid")</f>
        <v>0</v>
      </c>
      <c r="DO29" s="64">
        <f>-SUMIFS(Losses!$J:$J,Losses!$K:$K,'Cash flow'!DO$3,Losses!$H:$H,"Mid")</f>
        <v>0</v>
      </c>
      <c r="DP29" s="64">
        <f>-SUMIFS(Losses!$J:$J,Losses!$K:$K,'Cash flow'!DP$3,Losses!$H:$H,"Mid")</f>
        <v>0</v>
      </c>
      <c r="DQ29" s="64">
        <f>-SUMIFS(Losses!$J:$J,Losses!$K:$K,'Cash flow'!DQ$3,Losses!$H:$H,"Mid")</f>
        <v>0</v>
      </c>
      <c r="DR29" s="64">
        <f>-SUMIFS(Losses!$J:$J,Losses!$K:$K,'Cash flow'!DR$3,Losses!$H:$H,"Mid")</f>
        <v>0</v>
      </c>
      <c r="DS29" s="64">
        <f>-SUMIFS(Losses!$J:$J,Losses!$K:$K,'Cash flow'!DS$3,Losses!$H:$H,"Mid")</f>
        <v>0</v>
      </c>
      <c r="DT29" s="64">
        <f>-SUMIFS(Losses!$J:$J,Losses!$K:$K,'Cash flow'!DT$3,Losses!$H:$H,"Mid")</f>
        <v>0</v>
      </c>
      <c r="DU29" s="64">
        <f>-SUMIFS(Losses!$J:$J,Losses!$K:$K,'Cash flow'!DU$3,Losses!$H:$H,"Mid")</f>
        <v>0</v>
      </c>
      <c r="DV29" s="64">
        <f>-SUMIFS(Losses!$J:$J,Losses!$K:$K,'Cash flow'!DV$3,Losses!$H:$H,"Mid")</f>
        <v>0</v>
      </c>
      <c r="DW29" s="64">
        <f>-SUMIFS(Losses!$J:$J,Losses!$K:$K,'Cash flow'!DW$3,Losses!$H:$H,"Mid")</f>
        <v>0</v>
      </c>
      <c r="DX29" s="64">
        <f>-SUMIFS(Losses!$J:$J,Losses!$K:$K,'Cash flow'!DX$3,Losses!$H:$H,"Mid")</f>
        <v>0</v>
      </c>
      <c r="DY29" s="64">
        <f>-SUMIFS(Losses!$J:$J,Losses!$K:$K,'Cash flow'!DY$3,Losses!$H:$H,"Mid")</f>
        <v>0</v>
      </c>
      <c r="DZ29" s="64">
        <f>-SUMIFS(Losses!$J:$J,Losses!$K:$K,'Cash flow'!DZ$3,Losses!$H:$H,"Mid")</f>
        <v>0</v>
      </c>
      <c r="EA29" s="64">
        <f>-SUMIFS(Losses!$J:$J,Losses!$K:$K,'Cash flow'!EA$3,Losses!$H:$H,"Mid")</f>
        <v>0</v>
      </c>
      <c r="EB29" s="64">
        <f>-SUMIFS(Losses!$J:$J,Losses!$K:$K,'Cash flow'!EB$3,Losses!$H:$H,"Mid")</f>
        <v>0</v>
      </c>
      <c r="EC29" s="64">
        <f>-SUMIFS(Losses!$J:$J,Losses!$K:$K,'Cash flow'!EC$3,Losses!$H:$H,"Mid")</f>
        <v>0</v>
      </c>
      <c r="ED29" s="64">
        <f>-SUMIFS(Losses!$J:$J,Losses!$K:$K,'Cash flow'!ED$3,Losses!$H:$H,"Mid")</f>
        <v>0</v>
      </c>
      <c r="EE29" s="64">
        <f>-SUMIFS(Losses!$J:$J,Losses!$K:$K,'Cash flow'!EE$3,Losses!$H:$H,"Mid")</f>
        <v>0</v>
      </c>
      <c r="EF29" s="64">
        <f>-SUMIFS(Losses!$J:$J,Losses!$K:$K,'Cash flow'!EF$3,Losses!$H:$H,"Mid")</f>
        <v>0</v>
      </c>
      <c r="EG29" s="64">
        <f>-SUMIFS(Losses!$J:$J,Losses!$K:$K,'Cash flow'!EG$3,Losses!$H:$H,"Mid")</f>
        <v>0</v>
      </c>
      <c r="EH29" s="64">
        <f>-SUMIFS(Losses!$J:$J,Losses!$K:$K,'Cash flow'!EH$3,Losses!$H:$H,"Mid")</f>
        <v>0</v>
      </c>
      <c r="EI29" s="64">
        <f>-SUMIFS(Losses!$J:$J,Losses!$K:$K,'Cash flow'!EI$3,Losses!$H:$H,"Mid")</f>
        <v>0</v>
      </c>
      <c r="EJ29" s="64">
        <f>-SUMIFS(Losses!$J:$J,Losses!$K:$K,'Cash flow'!EJ$3,Losses!$H:$H,"Mid")</f>
        <v>0</v>
      </c>
      <c r="EK29" s="64">
        <f>-SUMIFS(Losses!$J:$J,Losses!$K:$K,'Cash flow'!EK$3,Losses!$H:$H,"Mid")</f>
        <v>0</v>
      </c>
      <c r="EL29" s="64">
        <f>-SUMIFS(Losses!$J:$J,Losses!$K:$K,'Cash flow'!EL$3,Losses!$H:$H,"Mid")</f>
        <v>0</v>
      </c>
      <c r="EM29" s="64">
        <f>-SUMIFS(Losses!$J:$J,Losses!$K:$K,'Cash flow'!EM$3,Losses!$H:$H,"Mid")</f>
        <v>0</v>
      </c>
      <c r="EN29" s="64">
        <f>-SUMIFS(Losses!$J:$J,Losses!$K:$K,'Cash flow'!EN$3,Losses!$H:$H,"Mid")</f>
        <v>0</v>
      </c>
      <c r="EO29" s="64">
        <f>-SUMIFS(Losses!$J:$J,Losses!$K:$K,'Cash flow'!EO$3,Losses!$H:$H,"Mid")</f>
        <v>0</v>
      </c>
      <c r="EP29" s="64">
        <f>-SUMIFS(Losses!$J:$J,Losses!$K:$K,'Cash flow'!EP$3,Losses!$H:$H,"Mid")</f>
        <v>0</v>
      </c>
      <c r="EQ29" s="64">
        <f>-SUMIFS(Losses!$J:$J,Losses!$K:$K,'Cash flow'!EQ$3,Losses!$H:$H,"Mid")</f>
        <v>0</v>
      </c>
      <c r="ER29" s="64">
        <f>-SUMIFS(Losses!$J:$J,Losses!$K:$K,'Cash flow'!ER$3,Losses!$H:$H,"Mid")</f>
        <v>0</v>
      </c>
      <c r="ES29" s="64">
        <f>-SUMIFS(Losses!$J:$J,Losses!$K:$K,'Cash flow'!ES$3,Losses!$H:$H,"Mid")</f>
        <v>0</v>
      </c>
      <c r="ET29" s="64">
        <f>-SUMIFS(Losses!$J:$J,Losses!$K:$K,'Cash flow'!ET$3,Losses!$H:$H,"Mid")</f>
        <v>0</v>
      </c>
      <c r="EU29" s="64">
        <f>-SUMIFS(Losses!$J:$J,Losses!$K:$K,'Cash flow'!EU$3,Losses!$H:$H,"Mid")</f>
        <v>0</v>
      </c>
      <c r="EV29" s="64">
        <f>-SUMIFS(Losses!$J:$J,Losses!$K:$K,'Cash flow'!EV$3,Losses!$H:$H,"Mid")</f>
        <v>0</v>
      </c>
      <c r="EW29" s="64">
        <f>-SUMIFS(Losses!$J:$J,Losses!$K:$K,'Cash flow'!EW$3,Losses!$H:$H,"Mid")</f>
        <v>0</v>
      </c>
      <c r="EX29" s="64">
        <f>-SUMIFS(Losses!$J:$J,Losses!$K:$K,'Cash flow'!EX$3,Losses!$H:$H,"Mid")</f>
        <v>0</v>
      </c>
      <c r="EY29" s="64">
        <f>-SUMIFS(Losses!$J:$J,Losses!$K:$K,'Cash flow'!EY$3,Losses!$H:$H,"Mid")</f>
        <v>0</v>
      </c>
      <c r="EZ29" s="64">
        <f>-SUMIFS(Losses!$J:$J,Losses!$K:$K,'Cash flow'!EZ$3,Losses!$H:$H,"Mid")</f>
        <v>0</v>
      </c>
      <c r="FA29" s="64">
        <f>-SUMIFS(Losses!$J:$J,Losses!$K:$K,'Cash flow'!FA$3,Losses!$H:$H,"Mid")</f>
        <v>0</v>
      </c>
      <c r="FB29" s="64">
        <f>-SUMIFS(Losses!$J:$J,Losses!$K:$K,'Cash flow'!FB$3,Losses!$H:$H,"Mid")</f>
        <v>0</v>
      </c>
      <c r="FC29" s="64">
        <f>-SUMIFS(Losses!$J:$J,Losses!$K:$K,'Cash flow'!FC$3,Losses!$H:$H,"Mid")</f>
        <v>0</v>
      </c>
      <c r="FD29" s="64">
        <f>-SUMIFS(Losses!$J:$J,Losses!$K:$K,'Cash flow'!FD$3,Losses!$H:$H,"Mid")</f>
        <v>0</v>
      </c>
      <c r="FE29" s="64">
        <f>-SUMIFS(Losses!$J:$J,Losses!$K:$K,'Cash flow'!FE$3,Losses!$H:$H,"Mid")</f>
        <v>0</v>
      </c>
      <c r="FF29" s="64">
        <f>-SUMIFS(Losses!$J:$J,Losses!$K:$K,'Cash flow'!FF$3,Losses!$H:$H,"Mid")</f>
        <v>0</v>
      </c>
      <c r="FG29" s="64">
        <f>-SUMIFS(Losses!$J:$J,Losses!$K:$K,'Cash flow'!FG$3,Losses!$H:$H,"Mid")</f>
        <v>0</v>
      </c>
      <c r="FH29" s="64">
        <f>-SUMIFS(Losses!$J:$J,Losses!$K:$K,'Cash flow'!FH$3,Losses!$H:$H,"Mid")</f>
        <v>0</v>
      </c>
      <c r="FI29" s="64">
        <f>-SUMIFS(Losses!$J:$J,Losses!$K:$K,'Cash flow'!FI$3,Losses!$H:$H,"Mid")</f>
        <v>0</v>
      </c>
      <c r="FJ29" s="64">
        <f>-SUMIFS(Losses!$J:$J,Losses!$K:$K,'Cash flow'!FJ$3,Losses!$H:$H,"Mid")</f>
        <v>0</v>
      </c>
      <c r="FK29" s="64">
        <f>-SUMIFS(Losses!$J:$J,Losses!$K:$K,'Cash flow'!FK$3,Losses!$H:$H,"Mid")</f>
        <v>0</v>
      </c>
      <c r="FL29" s="64">
        <f>-SUMIFS(Losses!$J:$J,Losses!$K:$K,'Cash flow'!FL$3,Losses!$H:$H,"Mid")</f>
        <v>0</v>
      </c>
      <c r="FM29" s="64">
        <f>-SUMIFS(Losses!$J:$J,Losses!$K:$K,'Cash flow'!FM$3,Losses!$H:$H,"Mid")</f>
        <v>0</v>
      </c>
      <c r="FN29" s="64">
        <f>-SUMIFS(Losses!$J:$J,Losses!$K:$K,'Cash flow'!FN$3,Losses!$H:$H,"Mid")</f>
        <v>0</v>
      </c>
      <c r="FO29" s="64">
        <f>-SUMIFS(Losses!$J:$J,Losses!$K:$K,'Cash flow'!FO$3,Losses!$H:$H,"Mid")</f>
        <v>0</v>
      </c>
      <c r="FP29" s="64">
        <f>-SUMIFS(Losses!$J:$J,Losses!$K:$K,'Cash flow'!FP$3,Losses!$H:$H,"Mid")</f>
        <v>0</v>
      </c>
      <c r="FQ29" s="64">
        <f>-SUMIFS(Losses!$J:$J,Losses!$K:$K,'Cash flow'!FQ$3,Losses!$H:$H,"Mid")</f>
        <v>0</v>
      </c>
      <c r="FR29" s="64">
        <f>-SUMIFS(Losses!$J:$J,Losses!$K:$K,'Cash flow'!FR$3,Losses!$H:$H,"Mid")</f>
        <v>0</v>
      </c>
      <c r="FS29" s="64">
        <f>-SUMIFS(Losses!$J:$J,Losses!$K:$K,'Cash flow'!FS$3,Losses!$H:$H,"Mid")</f>
        <v>0</v>
      </c>
      <c r="FT29" s="64">
        <f>-SUMIFS(Losses!$J:$J,Losses!$K:$K,'Cash flow'!FT$3,Losses!$H:$H,"Mid")</f>
        <v>0</v>
      </c>
      <c r="FU29" s="64">
        <f>-SUMIFS(Losses!$J:$J,Losses!$K:$K,'Cash flow'!FU$3,Losses!$H:$H,"Mid")</f>
        <v>0</v>
      </c>
      <c r="FV29" s="64">
        <f>-SUMIFS(Losses!$J:$J,Losses!$K:$K,'Cash flow'!FV$3,Losses!$H:$H,"Mid")</f>
        <v>0</v>
      </c>
      <c r="FW29" s="64">
        <f>-SUMIFS(Losses!$J:$J,Losses!$K:$K,'Cash flow'!FW$3,Losses!$H:$H,"Mid")</f>
        <v>0</v>
      </c>
      <c r="FX29" s="64">
        <f>-SUMIFS(Losses!$J:$J,Losses!$K:$K,'Cash flow'!FX$3,Losses!$H:$H,"Mid")</f>
        <v>0</v>
      </c>
      <c r="FY29" s="64">
        <f>-SUMIFS(Losses!$J:$J,Losses!$K:$K,'Cash flow'!FY$3,Losses!$H:$H,"Mid")</f>
        <v>0</v>
      </c>
      <c r="FZ29" s="64">
        <f>-SUMIFS(Losses!$J:$J,Losses!$K:$K,'Cash flow'!FZ$3,Losses!$H:$H,"Mid")</f>
        <v>0</v>
      </c>
      <c r="GA29" s="64">
        <f>-SUMIFS(Losses!$J:$J,Losses!$K:$K,'Cash flow'!GA$3,Losses!$H:$H,"Mid")</f>
        <v>0</v>
      </c>
      <c r="GB29" s="64">
        <f>-SUMIFS(Losses!$J:$J,Losses!$K:$K,'Cash flow'!GB$3,Losses!$H:$H,"Mid")</f>
        <v>0</v>
      </c>
      <c r="GC29" s="64">
        <f>-SUMIFS(Losses!$J:$J,Losses!$K:$K,'Cash flow'!GC$3,Losses!$H:$H,"Mid")</f>
        <v>0</v>
      </c>
      <c r="GD29" s="64">
        <f>-SUMIFS(Losses!$J:$J,Losses!$K:$K,'Cash flow'!GD$3,Losses!$H:$H,"Mid")</f>
        <v>0</v>
      </c>
      <c r="GE29" s="64">
        <f>-SUMIFS(Losses!$J:$J,Losses!$K:$K,'Cash flow'!GE$3,Losses!$H:$H,"Mid")</f>
        <v>0</v>
      </c>
      <c r="GF29" s="64">
        <f>-SUMIFS(Losses!$J:$J,Losses!$K:$K,'Cash flow'!GF$3,Losses!$H:$H,"Mid")</f>
        <v>0</v>
      </c>
      <c r="GG29" s="64">
        <f>-SUMIFS(Losses!$J:$J,Losses!$K:$K,'Cash flow'!GG$3,Losses!$H:$H,"Mid")</f>
        <v>0</v>
      </c>
      <c r="GH29" s="64">
        <f>-SUMIFS(Losses!$J:$J,Losses!$K:$K,'Cash flow'!GH$3,Losses!$H:$H,"Mid")</f>
        <v>0</v>
      </c>
      <c r="GI29" s="64">
        <f>-SUMIFS(Losses!$J:$J,Losses!$K:$K,'Cash flow'!GI$3,Losses!$H:$H,"Mid")</f>
        <v>0</v>
      </c>
      <c r="GJ29" s="64">
        <f>-SUMIFS(Losses!$J:$J,Losses!$K:$K,'Cash flow'!GJ$3,Losses!$H:$H,"Mid")</f>
        <v>0</v>
      </c>
      <c r="GK29" s="64">
        <f>-SUMIFS(Losses!$J:$J,Losses!$K:$K,'Cash flow'!GK$3,Losses!$H:$H,"Mid")</f>
        <v>0</v>
      </c>
      <c r="GL29" s="64">
        <f>-SUMIFS(Losses!$J:$J,Losses!$K:$K,'Cash flow'!GL$3,Losses!$H:$H,"Mid")</f>
        <v>0</v>
      </c>
      <c r="GM29" s="64">
        <f>-SUMIFS(Losses!$J:$J,Losses!$K:$K,'Cash flow'!GM$3,Losses!$H:$H,"Mid")</f>
        <v>0</v>
      </c>
      <c r="GN29" s="64">
        <f>-SUMIFS(Losses!$J:$J,Losses!$K:$K,'Cash flow'!GN$3,Losses!$H:$H,"Mid")</f>
        <v>0</v>
      </c>
      <c r="GO29" s="64">
        <f>-SUMIFS(Losses!$J:$J,Losses!$K:$K,'Cash flow'!GO$3,Losses!$H:$H,"Mid")</f>
        <v>0</v>
      </c>
      <c r="GP29" s="64">
        <f>-SUMIFS(Losses!$J:$J,Losses!$K:$K,'Cash flow'!GP$3,Losses!$H:$H,"Mid")</f>
        <v>0</v>
      </c>
      <c r="GQ29" s="64">
        <f>-SUMIFS(Losses!$J:$J,Losses!$K:$K,'Cash flow'!GQ$3,Losses!$H:$H,"Mid")</f>
        <v>0</v>
      </c>
      <c r="GR29" s="64">
        <f>-SUMIFS(Losses!$J:$J,Losses!$K:$K,'Cash flow'!GR$3,Losses!$H:$H,"Mid")</f>
        <v>0</v>
      </c>
      <c r="GS29" s="64">
        <f>-SUMIFS(Losses!$J:$J,Losses!$K:$K,'Cash flow'!GS$3,Losses!$H:$H,"Mid")</f>
        <v>0</v>
      </c>
      <c r="GT29" s="64">
        <f>-SUMIFS(Losses!$J:$J,Losses!$K:$K,'Cash flow'!GT$3,Losses!$H:$H,"Mid")</f>
        <v>0</v>
      </c>
    </row>
    <row r="30" spans="1:202" s="74" customFormat="1" x14ac:dyDescent="0.25">
      <c r="A30" s="83" t="s">
        <v>118</v>
      </c>
      <c r="C30" s="75">
        <f>IF(C2,C29,C28)</f>
        <v>-4952.7947357404528</v>
      </c>
      <c r="D30" s="75">
        <f t="shared" ref="D30:I30" si="83">IF(D2,D29,D28)</f>
        <v>-4028.6237558121852</v>
      </c>
      <c r="E30" s="75">
        <f t="shared" si="83"/>
        <v>-2185.2540682414697</v>
      </c>
      <c r="F30" s="75">
        <f t="shared" si="83"/>
        <v>-3287.3417976351266</v>
      </c>
      <c r="G30" s="75">
        <f t="shared" si="83"/>
        <v>-3543.8909178743966</v>
      </c>
      <c r="H30" s="75">
        <f t="shared" si="83"/>
        <v>-2395.1035338345864</v>
      </c>
      <c r="I30" s="75">
        <f t="shared" si="83"/>
        <v>-3113.010754716981</v>
      </c>
      <c r="J30" s="75">
        <f t="shared" ref="J30:AO30" si="84">IF(J2,J29,J28)</f>
        <v>-599.05134663341619</v>
      </c>
      <c r="K30" s="75">
        <f t="shared" si="84"/>
        <v>-4306.0668757291523</v>
      </c>
      <c r="L30" s="75">
        <f t="shared" si="84"/>
        <v>-1098.5788344988346</v>
      </c>
      <c r="M30" s="75">
        <f t="shared" si="84"/>
        <v>-4919.9757032755306</v>
      </c>
      <c r="N30" s="75">
        <f t="shared" si="84"/>
        <v>-1094.9801275045538</v>
      </c>
      <c r="O30" s="75">
        <f t="shared" si="84"/>
        <v>-542.14441947565547</v>
      </c>
      <c r="P30" s="75">
        <f t="shared" si="84"/>
        <v>-4315.6123076923077</v>
      </c>
      <c r="Q30" s="75">
        <f t="shared" si="84"/>
        <v>-500</v>
      </c>
      <c r="R30" s="75">
        <f t="shared" si="84"/>
        <v>-4000</v>
      </c>
      <c r="S30" s="75">
        <f t="shared" si="84"/>
        <v>-6800</v>
      </c>
      <c r="T30" s="75">
        <f t="shared" si="84"/>
        <v>-1200</v>
      </c>
      <c r="U30" s="75">
        <f t="shared" si="84"/>
        <v>0</v>
      </c>
      <c r="V30" s="75">
        <f t="shared" si="84"/>
        <v>-4280.4666435664358</v>
      </c>
      <c r="W30" s="75">
        <f t="shared" si="84"/>
        <v>-3800</v>
      </c>
      <c r="X30" s="75">
        <f t="shared" si="84"/>
        <v>0</v>
      </c>
      <c r="Y30" s="75">
        <f t="shared" si="84"/>
        <v>0</v>
      </c>
      <c r="Z30" s="75">
        <f t="shared" si="84"/>
        <v>-2400</v>
      </c>
      <c r="AA30" s="75">
        <f t="shared" si="84"/>
        <v>0</v>
      </c>
      <c r="AB30" s="75">
        <f t="shared" si="84"/>
        <v>-2800</v>
      </c>
      <c r="AC30" s="75">
        <f t="shared" si="84"/>
        <v>0</v>
      </c>
      <c r="AD30" s="75">
        <f t="shared" si="84"/>
        <v>-20000</v>
      </c>
      <c r="AE30" s="75">
        <f t="shared" si="84"/>
        <v>-3800</v>
      </c>
      <c r="AF30" s="75">
        <f t="shared" si="84"/>
        <v>-1200</v>
      </c>
      <c r="AG30" s="75">
        <f t="shared" si="84"/>
        <v>0</v>
      </c>
      <c r="AH30" s="75">
        <f t="shared" si="84"/>
        <v>-8400</v>
      </c>
      <c r="AI30" s="75">
        <f t="shared" si="84"/>
        <v>0</v>
      </c>
      <c r="AJ30" s="75">
        <f t="shared" si="84"/>
        <v>-20000</v>
      </c>
      <c r="AK30" s="75">
        <f t="shared" si="84"/>
        <v>0</v>
      </c>
      <c r="AL30" s="75">
        <f t="shared" si="84"/>
        <v>-2400</v>
      </c>
      <c r="AM30" s="75">
        <f t="shared" si="84"/>
        <v>0</v>
      </c>
      <c r="AN30" s="75">
        <f t="shared" si="84"/>
        <v>-1200</v>
      </c>
      <c r="AO30" s="75">
        <f t="shared" si="84"/>
        <v>0</v>
      </c>
      <c r="AP30" s="75">
        <f t="shared" ref="AP30:BU30" si="85">IF(AP2,AP29,AP28)</f>
        <v>-20000</v>
      </c>
      <c r="AQ30" s="75">
        <f t="shared" si="85"/>
        <v>0</v>
      </c>
      <c r="AR30" s="75">
        <f t="shared" si="85"/>
        <v>-1200</v>
      </c>
      <c r="AS30" s="75">
        <f t="shared" si="85"/>
        <v>0</v>
      </c>
      <c r="AT30" s="75">
        <f t="shared" si="85"/>
        <v>-8400</v>
      </c>
      <c r="AU30" s="75">
        <f t="shared" si="85"/>
        <v>0</v>
      </c>
      <c r="AV30" s="75">
        <f t="shared" si="85"/>
        <v>-20000</v>
      </c>
      <c r="AW30" s="75">
        <f t="shared" si="85"/>
        <v>0</v>
      </c>
      <c r="AX30" s="75">
        <f t="shared" si="85"/>
        <v>-2400</v>
      </c>
      <c r="AY30" s="75">
        <f t="shared" si="85"/>
        <v>0</v>
      </c>
      <c r="AZ30" s="75">
        <f t="shared" si="85"/>
        <v>-1200</v>
      </c>
      <c r="BA30" s="75">
        <f t="shared" si="85"/>
        <v>0</v>
      </c>
      <c r="BB30" s="75">
        <f t="shared" si="85"/>
        <v>0</v>
      </c>
      <c r="BC30" s="75">
        <f t="shared" si="85"/>
        <v>0</v>
      </c>
      <c r="BD30" s="75">
        <f t="shared" si="85"/>
        <v>-1200</v>
      </c>
      <c r="BE30" s="75">
        <f t="shared" si="85"/>
        <v>0</v>
      </c>
      <c r="BF30" s="75">
        <f t="shared" si="85"/>
        <v>-8400</v>
      </c>
      <c r="BG30" s="75">
        <f t="shared" si="85"/>
        <v>0</v>
      </c>
      <c r="BH30" s="75">
        <f t="shared" si="85"/>
        <v>0</v>
      </c>
      <c r="BI30" s="75">
        <f t="shared" si="85"/>
        <v>0</v>
      </c>
      <c r="BJ30" s="75">
        <f t="shared" si="85"/>
        <v>-2400</v>
      </c>
      <c r="BK30" s="75">
        <f t="shared" si="85"/>
        <v>0</v>
      </c>
      <c r="BL30" s="75">
        <f t="shared" si="85"/>
        <v>-1200</v>
      </c>
      <c r="BM30" s="75">
        <f t="shared" si="85"/>
        <v>0</v>
      </c>
      <c r="BN30" s="75">
        <f t="shared" si="85"/>
        <v>-1000</v>
      </c>
      <c r="BO30" s="75">
        <f t="shared" si="85"/>
        <v>0</v>
      </c>
      <c r="BP30" s="75">
        <f t="shared" si="85"/>
        <v>-1200</v>
      </c>
      <c r="BQ30" s="75">
        <f t="shared" si="85"/>
        <v>0</v>
      </c>
      <c r="BR30" s="75">
        <f t="shared" si="85"/>
        <v>-8400</v>
      </c>
      <c r="BS30" s="75">
        <f t="shared" si="85"/>
        <v>0</v>
      </c>
      <c r="BT30" s="75">
        <f t="shared" si="85"/>
        <v>0</v>
      </c>
      <c r="BU30" s="75">
        <f t="shared" si="85"/>
        <v>0</v>
      </c>
      <c r="BV30" s="75">
        <f t="shared" ref="BV30:DA30" si="86">IF(BV2,BV29,BV28)</f>
        <v>-2400</v>
      </c>
      <c r="BW30" s="75">
        <f t="shared" si="86"/>
        <v>0</v>
      </c>
      <c r="BX30" s="75">
        <f t="shared" si="86"/>
        <v>-1200</v>
      </c>
      <c r="BY30" s="75">
        <f t="shared" si="86"/>
        <v>0</v>
      </c>
      <c r="BZ30" s="75">
        <f t="shared" si="86"/>
        <v>0</v>
      </c>
      <c r="CA30" s="75">
        <f t="shared" si="86"/>
        <v>0</v>
      </c>
      <c r="CB30" s="75">
        <f t="shared" si="86"/>
        <v>-1200</v>
      </c>
      <c r="CC30" s="75">
        <f t="shared" si="86"/>
        <v>0</v>
      </c>
      <c r="CD30" s="75">
        <f t="shared" si="86"/>
        <v>-8400</v>
      </c>
      <c r="CE30" s="75">
        <f t="shared" si="86"/>
        <v>0</v>
      </c>
      <c r="CF30" s="75">
        <f t="shared" si="86"/>
        <v>0</v>
      </c>
      <c r="CG30" s="75">
        <f t="shared" si="86"/>
        <v>0</v>
      </c>
      <c r="CH30" s="75">
        <f t="shared" si="86"/>
        <v>-2400</v>
      </c>
      <c r="CI30" s="75">
        <f t="shared" si="86"/>
        <v>0</v>
      </c>
      <c r="CJ30" s="75">
        <f t="shared" si="86"/>
        <v>-1200</v>
      </c>
      <c r="CK30" s="75">
        <f t="shared" si="86"/>
        <v>0</v>
      </c>
      <c r="CL30" s="75">
        <f t="shared" si="86"/>
        <v>0</v>
      </c>
      <c r="CM30" s="75">
        <f t="shared" si="86"/>
        <v>0</v>
      </c>
      <c r="CN30" s="75">
        <f t="shared" si="86"/>
        <v>-1200</v>
      </c>
      <c r="CO30" s="75">
        <f t="shared" si="86"/>
        <v>0</v>
      </c>
      <c r="CP30" s="75">
        <f t="shared" si="86"/>
        <v>-8400</v>
      </c>
      <c r="CQ30" s="75">
        <f t="shared" si="86"/>
        <v>0</v>
      </c>
      <c r="CR30" s="75">
        <f t="shared" si="86"/>
        <v>0</v>
      </c>
      <c r="CS30" s="75">
        <f t="shared" si="86"/>
        <v>0</v>
      </c>
      <c r="CT30" s="75">
        <f t="shared" si="86"/>
        <v>-2400</v>
      </c>
      <c r="CU30" s="75">
        <f t="shared" si="86"/>
        <v>0</v>
      </c>
      <c r="CV30" s="75">
        <f t="shared" si="86"/>
        <v>-1200</v>
      </c>
      <c r="CW30" s="75">
        <f t="shared" si="86"/>
        <v>0</v>
      </c>
      <c r="CX30" s="75">
        <f t="shared" si="86"/>
        <v>0</v>
      </c>
      <c r="CY30" s="75">
        <f t="shared" si="86"/>
        <v>0</v>
      </c>
      <c r="CZ30" s="75">
        <f t="shared" si="86"/>
        <v>-1200</v>
      </c>
      <c r="DA30" s="75">
        <f t="shared" si="86"/>
        <v>0</v>
      </c>
      <c r="DB30" s="75">
        <f t="shared" ref="DB30:EG30" si="87">IF(DB2,DB29,DB28)</f>
        <v>-8400</v>
      </c>
      <c r="DC30" s="75">
        <f t="shared" si="87"/>
        <v>0</v>
      </c>
      <c r="DD30" s="75">
        <f t="shared" si="87"/>
        <v>0</v>
      </c>
      <c r="DE30" s="75">
        <f t="shared" si="87"/>
        <v>0</v>
      </c>
      <c r="DF30" s="75">
        <f t="shared" si="87"/>
        <v>-2400</v>
      </c>
      <c r="DG30" s="75">
        <f t="shared" si="87"/>
        <v>0</v>
      </c>
      <c r="DH30" s="75">
        <f t="shared" si="87"/>
        <v>-1200</v>
      </c>
      <c r="DI30" s="75">
        <f t="shared" si="87"/>
        <v>0</v>
      </c>
      <c r="DJ30" s="75">
        <f t="shared" si="87"/>
        <v>0</v>
      </c>
      <c r="DK30" s="75">
        <f t="shared" si="87"/>
        <v>0</v>
      </c>
      <c r="DL30" s="75">
        <f t="shared" si="87"/>
        <v>-1200</v>
      </c>
      <c r="DM30" s="75">
        <f t="shared" si="87"/>
        <v>0</v>
      </c>
      <c r="DN30" s="75">
        <f t="shared" si="87"/>
        <v>-8400</v>
      </c>
      <c r="DO30" s="75">
        <f t="shared" si="87"/>
        <v>0</v>
      </c>
      <c r="DP30" s="75">
        <f t="shared" si="87"/>
        <v>0</v>
      </c>
      <c r="DQ30" s="75">
        <f t="shared" si="87"/>
        <v>0</v>
      </c>
      <c r="DR30" s="75">
        <f t="shared" si="87"/>
        <v>-2400</v>
      </c>
      <c r="DS30" s="75">
        <f t="shared" si="87"/>
        <v>0</v>
      </c>
      <c r="DT30" s="75">
        <f t="shared" si="87"/>
        <v>-1200</v>
      </c>
      <c r="DU30" s="75">
        <f t="shared" si="87"/>
        <v>0</v>
      </c>
      <c r="DV30" s="75">
        <f t="shared" si="87"/>
        <v>0</v>
      </c>
      <c r="DW30" s="75">
        <f t="shared" si="87"/>
        <v>0</v>
      </c>
      <c r="DX30" s="75">
        <f t="shared" si="87"/>
        <v>-1200</v>
      </c>
      <c r="DY30" s="75">
        <f t="shared" si="87"/>
        <v>0</v>
      </c>
      <c r="DZ30" s="75">
        <f t="shared" si="87"/>
        <v>-8400</v>
      </c>
      <c r="EA30" s="75">
        <f t="shared" si="87"/>
        <v>0</v>
      </c>
      <c r="EB30" s="75">
        <f t="shared" si="87"/>
        <v>0</v>
      </c>
      <c r="EC30" s="75">
        <f t="shared" si="87"/>
        <v>0</v>
      </c>
      <c r="ED30" s="75">
        <f t="shared" si="87"/>
        <v>-2400</v>
      </c>
      <c r="EE30" s="75">
        <f t="shared" si="87"/>
        <v>0</v>
      </c>
      <c r="EF30" s="75">
        <f t="shared" si="87"/>
        <v>-1200</v>
      </c>
      <c r="EG30" s="75">
        <f t="shared" si="87"/>
        <v>0</v>
      </c>
      <c r="EH30" s="75">
        <f t="shared" ref="EH30:FM30" si="88">IF(EH2,EH29,EH28)</f>
        <v>0</v>
      </c>
      <c r="EI30" s="75">
        <f t="shared" si="88"/>
        <v>0</v>
      </c>
      <c r="EJ30" s="75">
        <f t="shared" si="88"/>
        <v>-1200</v>
      </c>
      <c r="EK30" s="75">
        <f t="shared" si="88"/>
        <v>0</v>
      </c>
      <c r="EL30" s="75">
        <f t="shared" si="88"/>
        <v>-8400</v>
      </c>
      <c r="EM30" s="75">
        <f t="shared" si="88"/>
        <v>0</v>
      </c>
      <c r="EN30" s="75">
        <f t="shared" si="88"/>
        <v>0</v>
      </c>
      <c r="EO30" s="75">
        <f t="shared" si="88"/>
        <v>0</v>
      </c>
      <c r="EP30" s="75">
        <f t="shared" si="88"/>
        <v>0</v>
      </c>
      <c r="EQ30" s="75">
        <f t="shared" si="88"/>
        <v>0</v>
      </c>
      <c r="ER30" s="75">
        <f t="shared" si="88"/>
        <v>0</v>
      </c>
      <c r="ES30" s="75">
        <f t="shared" si="88"/>
        <v>0</v>
      </c>
      <c r="ET30" s="75">
        <f t="shared" si="88"/>
        <v>0</v>
      </c>
      <c r="EU30" s="75">
        <f t="shared" si="88"/>
        <v>0</v>
      </c>
      <c r="EV30" s="75">
        <f t="shared" si="88"/>
        <v>0</v>
      </c>
      <c r="EW30" s="75">
        <f t="shared" si="88"/>
        <v>0</v>
      </c>
      <c r="EX30" s="75">
        <f t="shared" si="88"/>
        <v>0</v>
      </c>
      <c r="EY30" s="75">
        <f t="shared" si="88"/>
        <v>0</v>
      </c>
      <c r="EZ30" s="75">
        <f t="shared" si="88"/>
        <v>0</v>
      </c>
      <c r="FA30" s="75">
        <f t="shared" si="88"/>
        <v>0</v>
      </c>
      <c r="FB30" s="75">
        <f t="shared" si="88"/>
        <v>0</v>
      </c>
      <c r="FC30" s="75">
        <f t="shared" si="88"/>
        <v>0</v>
      </c>
      <c r="FD30" s="75">
        <f t="shared" si="88"/>
        <v>0</v>
      </c>
      <c r="FE30" s="75">
        <f t="shared" si="88"/>
        <v>0</v>
      </c>
      <c r="FF30" s="75">
        <f t="shared" si="88"/>
        <v>0</v>
      </c>
      <c r="FG30" s="75">
        <f t="shared" si="88"/>
        <v>0</v>
      </c>
      <c r="FH30" s="75">
        <f t="shared" si="88"/>
        <v>0</v>
      </c>
      <c r="FI30" s="75">
        <f t="shared" si="88"/>
        <v>0</v>
      </c>
      <c r="FJ30" s="75">
        <f t="shared" si="88"/>
        <v>0</v>
      </c>
      <c r="FK30" s="75">
        <f t="shared" si="88"/>
        <v>0</v>
      </c>
      <c r="FL30" s="75">
        <f t="shared" si="88"/>
        <v>0</v>
      </c>
      <c r="FM30" s="75">
        <f t="shared" si="88"/>
        <v>0</v>
      </c>
      <c r="FN30" s="75">
        <f t="shared" ref="FN30:GS30" si="89">IF(FN2,FN29,FN28)</f>
        <v>0</v>
      </c>
      <c r="FO30" s="75">
        <f t="shared" si="89"/>
        <v>0</v>
      </c>
      <c r="FP30" s="75">
        <f t="shared" si="89"/>
        <v>0</v>
      </c>
      <c r="FQ30" s="75">
        <f t="shared" si="89"/>
        <v>0</v>
      </c>
      <c r="FR30" s="75">
        <f t="shared" si="89"/>
        <v>0</v>
      </c>
      <c r="FS30" s="75">
        <f t="shared" si="89"/>
        <v>0</v>
      </c>
      <c r="FT30" s="75">
        <f t="shared" si="89"/>
        <v>0</v>
      </c>
      <c r="FU30" s="75">
        <f t="shared" si="89"/>
        <v>0</v>
      </c>
      <c r="FV30" s="75">
        <f t="shared" si="89"/>
        <v>0</v>
      </c>
      <c r="FW30" s="75">
        <f t="shared" si="89"/>
        <v>0</v>
      </c>
      <c r="FX30" s="75">
        <f t="shared" si="89"/>
        <v>0</v>
      </c>
      <c r="FY30" s="75">
        <f t="shared" si="89"/>
        <v>0</v>
      </c>
      <c r="FZ30" s="75">
        <f t="shared" si="89"/>
        <v>0</v>
      </c>
      <c r="GA30" s="75">
        <f t="shared" si="89"/>
        <v>0</v>
      </c>
      <c r="GB30" s="75">
        <f t="shared" si="89"/>
        <v>0</v>
      </c>
      <c r="GC30" s="75">
        <f t="shared" si="89"/>
        <v>0</v>
      </c>
      <c r="GD30" s="75">
        <f t="shared" si="89"/>
        <v>0</v>
      </c>
      <c r="GE30" s="75">
        <f t="shared" si="89"/>
        <v>0</v>
      </c>
      <c r="GF30" s="75">
        <f t="shared" si="89"/>
        <v>0</v>
      </c>
      <c r="GG30" s="75">
        <f t="shared" si="89"/>
        <v>0</v>
      </c>
      <c r="GH30" s="75">
        <f t="shared" si="89"/>
        <v>0</v>
      </c>
      <c r="GI30" s="75">
        <f t="shared" si="89"/>
        <v>0</v>
      </c>
      <c r="GJ30" s="75">
        <f t="shared" si="89"/>
        <v>0</v>
      </c>
      <c r="GK30" s="75">
        <f t="shared" si="89"/>
        <v>0</v>
      </c>
      <c r="GL30" s="75">
        <f t="shared" si="89"/>
        <v>0</v>
      </c>
      <c r="GM30" s="75">
        <f t="shared" si="89"/>
        <v>0</v>
      </c>
      <c r="GN30" s="75">
        <f t="shared" si="89"/>
        <v>0</v>
      </c>
      <c r="GO30" s="75">
        <f t="shared" si="89"/>
        <v>0</v>
      </c>
      <c r="GP30" s="75">
        <f t="shared" si="89"/>
        <v>0</v>
      </c>
      <c r="GQ30" s="75">
        <f t="shared" si="89"/>
        <v>0</v>
      </c>
      <c r="GR30" s="75">
        <f t="shared" si="89"/>
        <v>0</v>
      </c>
      <c r="GS30" s="75">
        <f t="shared" si="89"/>
        <v>0</v>
      </c>
      <c r="GT30" s="75">
        <f t="shared" ref="GT30" si="90">IF(GT2,GT29,GT28)</f>
        <v>0</v>
      </c>
    </row>
    <row r="31" spans="1:202" s="85" customFormat="1" x14ac:dyDescent="0.25">
      <c r="A31" s="85" t="s">
        <v>100</v>
      </c>
      <c r="B31" s="86">
        <f>70185.1160538326/3.8*(1-2.62%)</f>
        <v>17985.859477163733</v>
      </c>
      <c r="C31" s="86">
        <f>B31+C41*C24+C30</f>
        <v>14737.052169994709</v>
      </c>
      <c r="D31" s="86">
        <f>C31+D41*D24+D30</f>
        <v>11289.397362838183</v>
      </c>
      <c r="E31" s="86">
        <f t="shared" ref="E31:Z31" si="91">D31+E41*E24+E30</f>
        <v>10992.968130010155</v>
      </c>
      <c r="F31" s="86">
        <f t="shared" si="91"/>
        <v>10795.643066721614</v>
      </c>
      <c r="G31" s="86">
        <f t="shared" si="91"/>
        <v>8933.7963738540202</v>
      </c>
      <c r="H31" s="86">
        <f t="shared" si="91"/>
        <v>8601.5048204934337</v>
      </c>
      <c r="I31" s="86">
        <f t="shared" si="91"/>
        <v>7583.7916374700271</v>
      </c>
      <c r="J31" s="86">
        <f t="shared" si="91"/>
        <v>8939.3642248420347</v>
      </c>
      <c r="K31" s="86">
        <f t="shared" si="91"/>
        <v>7943.7500684138531</v>
      </c>
      <c r="L31" s="86">
        <f t="shared" si="91"/>
        <v>10355.084644102206</v>
      </c>
      <c r="M31" s="86">
        <f t="shared" si="91"/>
        <v>9289.6520582448211</v>
      </c>
      <c r="N31" s="86">
        <f t="shared" si="91"/>
        <v>9910.6888364155202</v>
      </c>
      <c r="O31" s="86">
        <f t="shared" si="91"/>
        <v>14262.304024430501</v>
      </c>
      <c r="P31" s="86">
        <f t="shared" si="91"/>
        <v>14313.810735874282</v>
      </c>
      <c r="Q31" s="86">
        <f t="shared" si="91"/>
        <v>18626.270743021341</v>
      </c>
      <c r="R31" s="86">
        <f t="shared" si="91"/>
        <v>17167.343463841109</v>
      </c>
      <c r="S31" s="86">
        <f t="shared" si="91"/>
        <v>12259.067463841111</v>
      </c>
      <c r="T31" s="86">
        <f t="shared" si="91"/>
        <v>12946.808192532537</v>
      </c>
      <c r="U31" s="86">
        <f t="shared" si="91"/>
        <v>14762.229121627783</v>
      </c>
      <c r="V31" s="86">
        <f t="shared" si="91"/>
        <v>12205.987714125054</v>
      </c>
      <c r="W31" s="86">
        <f t="shared" si="91"/>
        <v>13289.488417447235</v>
      </c>
      <c r="X31" s="86">
        <f t="shared" si="91"/>
        <v>15908.145993574162</v>
      </c>
      <c r="Y31" s="86">
        <f t="shared" si="91"/>
        <v>18855.869993574164</v>
      </c>
      <c r="Z31" s="86">
        <f t="shared" si="91"/>
        <v>19403.593993574166</v>
      </c>
      <c r="AA31" s="86">
        <f t="shared" ref="AA31:BF31" si="92">Z31+AA41*AA24+AA30</f>
        <v>22351.317993574168</v>
      </c>
      <c r="AB31" s="86">
        <f t="shared" si="92"/>
        <v>26099.041993574167</v>
      </c>
      <c r="AC31" s="86">
        <f t="shared" si="92"/>
        <v>31332.693993574168</v>
      </c>
      <c r="AD31" s="86">
        <f t="shared" si="92"/>
        <v>14280.41799357417</v>
      </c>
      <c r="AE31" s="86">
        <f t="shared" si="92"/>
        <v>13428.141993574172</v>
      </c>
      <c r="AF31" s="86">
        <f t="shared" si="92"/>
        <v>15175.865993574173</v>
      </c>
      <c r="AG31" s="86">
        <f t="shared" si="92"/>
        <v>18123.589993574173</v>
      </c>
      <c r="AH31" s="86">
        <f t="shared" si="92"/>
        <v>14957.241993574175</v>
      </c>
      <c r="AI31" s="86">
        <f t="shared" si="92"/>
        <v>17808.965993574177</v>
      </c>
      <c r="AJ31" s="86">
        <f t="shared" si="92"/>
        <v>660.68999357417852</v>
      </c>
      <c r="AK31" s="86">
        <f t="shared" si="92"/>
        <v>3512.4139935741791</v>
      </c>
      <c r="AL31" s="86">
        <f t="shared" si="92"/>
        <v>3964.1379935741797</v>
      </c>
      <c r="AM31" s="86">
        <f t="shared" si="92"/>
        <v>6815.8619935741808</v>
      </c>
      <c r="AN31" s="86">
        <f t="shared" si="92"/>
        <v>12067.585993574181</v>
      </c>
      <c r="AO31" s="86">
        <f t="shared" si="92"/>
        <v>17205.237993574185</v>
      </c>
      <c r="AP31" s="86">
        <f t="shared" si="92"/>
        <v>1830.2953269075188</v>
      </c>
      <c r="AQ31" s="86">
        <f t="shared" si="92"/>
        <v>6455.3526602408529</v>
      </c>
      <c r="AR31" s="86">
        <f t="shared" si="92"/>
        <v>9880.409993574187</v>
      </c>
      <c r="AS31" s="86">
        <f t="shared" si="92"/>
        <v>14210.332028157787</v>
      </c>
      <c r="AT31" s="86">
        <f t="shared" si="92"/>
        <v>12721.317361491121</v>
      </c>
      <c r="AU31" s="86">
        <f t="shared" si="92"/>
        <v>17346.374694824455</v>
      </c>
      <c r="AV31" s="86">
        <f t="shared" si="92"/>
        <v>1971.4320281577893</v>
      </c>
      <c r="AW31" s="86">
        <f t="shared" si="92"/>
        <v>6596.4893614911234</v>
      </c>
      <c r="AX31" s="86">
        <f t="shared" si="92"/>
        <v>7200</v>
      </c>
      <c r="AY31" s="86">
        <f t="shared" si="92"/>
        <v>8203.0774154105966</v>
      </c>
      <c r="AZ31" s="86">
        <f t="shared" si="92"/>
        <v>9143.4422346738702</v>
      </c>
      <c r="BA31" s="86">
        <f t="shared" si="92"/>
        <v>10322.417396458659</v>
      </c>
      <c r="BB31" s="86">
        <f t="shared" si="92"/>
        <v>11319.851130005263</v>
      </c>
      <c r="BC31" s="86">
        <f t="shared" si="92"/>
        <v>12165.364882779621</v>
      </c>
      <c r="BD31" s="86">
        <f t="shared" si="92"/>
        <v>12291.725906238687</v>
      </c>
      <c r="BE31" s="86">
        <f t="shared" si="92"/>
        <v>13618.086929697753</v>
      </c>
      <c r="BF31" s="86">
        <f t="shared" si="92"/>
        <v>7200</v>
      </c>
      <c r="BG31" s="86">
        <f t="shared" ref="BG31:CL31" si="93">BF31+BG41*BG24+BG30</f>
        <v>8231.4620715222773</v>
      </c>
      <c r="BH31" s="86">
        <f t="shared" si="93"/>
        <v>9189.1432952800715</v>
      </c>
      <c r="BI31" s="86">
        <f t="shared" si="93"/>
        <v>10112.042411329585</v>
      </c>
      <c r="BJ31" s="86">
        <f t="shared" si="93"/>
        <v>8760.4401264506905</v>
      </c>
      <c r="BK31" s="86">
        <f t="shared" si="93"/>
        <v>10181.508051599187</v>
      </c>
      <c r="BL31" s="86">
        <f t="shared" si="93"/>
        <v>10558.667402018224</v>
      </c>
      <c r="BM31" s="86">
        <f t="shared" si="93"/>
        <v>11673.705194837563</v>
      </c>
      <c r="BN31" s="86">
        <f t="shared" si="93"/>
        <v>11617.046789119917</v>
      </c>
      <c r="BO31" s="86">
        <f t="shared" si="93"/>
        <v>12415.447579861877</v>
      </c>
      <c r="BP31" s="86">
        <f t="shared" si="93"/>
        <v>12470.238796062769</v>
      </c>
      <c r="BQ31" s="86">
        <f t="shared" si="93"/>
        <v>14345.208783799108</v>
      </c>
      <c r="BR31" s="86">
        <f t="shared" si="93"/>
        <v>7200</v>
      </c>
      <c r="BS31" s="86">
        <f t="shared" si="93"/>
        <v>8158.8238974714131</v>
      </c>
      <c r="BT31" s="86">
        <f t="shared" si="93"/>
        <v>9082.824186368498</v>
      </c>
      <c r="BU31" s="86">
        <f t="shared" si="93"/>
        <v>9973.2656283616052</v>
      </c>
      <c r="BV31" s="86">
        <f t="shared" si="93"/>
        <v>8541.6750510167785</v>
      </c>
      <c r="BW31" s="86">
        <f t="shared" si="93"/>
        <v>9877.6031455734374</v>
      </c>
      <c r="BX31" s="86">
        <f t="shared" si="93"/>
        <v>10209.802598855411</v>
      </c>
      <c r="BY31" s="86">
        <f t="shared" si="93"/>
        <v>11224.57702952637</v>
      </c>
      <c r="BZ31" s="86">
        <f t="shared" si="93"/>
        <v>12083.094055075486</v>
      </c>
      <c r="CA31" s="86">
        <f t="shared" si="93"/>
        <v>12864.568434607241</v>
      </c>
      <c r="CB31" s="86">
        <f t="shared" si="93"/>
        <v>13347.480478265556</v>
      </c>
      <c r="CC31" s="86">
        <f t="shared" si="93"/>
        <v>14473.740239132778</v>
      </c>
      <c r="CD31" s="86">
        <f t="shared" si="93"/>
        <v>7200</v>
      </c>
      <c r="CE31" s="86">
        <f t="shared" si="93"/>
        <v>8158.8238974714122</v>
      </c>
      <c r="CF31" s="86">
        <f t="shared" si="93"/>
        <v>9082.8241863684962</v>
      </c>
      <c r="CG31" s="86">
        <f t="shared" si="93"/>
        <v>9973.2656283616016</v>
      </c>
      <c r="CH31" s="86">
        <f t="shared" si="93"/>
        <v>8541.6750510167749</v>
      </c>
      <c r="CI31" s="86">
        <f t="shared" si="93"/>
        <v>9877.6031455734337</v>
      </c>
      <c r="CJ31" s="86">
        <f t="shared" si="93"/>
        <v>10209.802598855407</v>
      </c>
      <c r="CK31" s="86">
        <f t="shared" si="93"/>
        <v>11224.577029526366</v>
      </c>
      <c r="CL31" s="86">
        <f t="shared" si="93"/>
        <v>12083.094055075482</v>
      </c>
      <c r="CM31" s="86">
        <f t="shared" ref="CM31:DR31" si="94">CL31+CM41*CM24+CM30</f>
        <v>12864.568434607238</v>
      </c>
      <c r="CN31" s="86">
        <f t="shared" si="94"/>
        <v>13347.480478265554</v>
      </c>
      <c r="CO31" s="86">
        <f t="shared" si="94"/>
        <v>14473.740239132778</v>
      </c>
      <c r="CP31" s="86">
        <f t="shared" si="94"/>
        <v>7200</v>
      </c>
      <c r="CQ31" s="86">
        <f t="shared" si="94"/>
        <v>8158.8238974714131</v>
      </c>
      <c r="CR31" s="86">
        <f t="shared" si="94"/>
        <v>9082.824186368498</v>
      </c>
      <c r="CS31" s="86">
        <f t="shared" si="94"/>
        <v>9973.2656283616052</v>
      </c>
      <c r="CT31" s="86">
        <f t="shared" si="94"/>
        <v>9020.3100289567919</v>
      </c>
      <c r="CU31" s="86">
        <f t="shared" si="94"/>
        <v>9913.0219280732563</v>
      </c>
      <c r="CV31" s="86">
        <f t="shared" si="94"/>
        <v>10242.93372722335</v>
      </c>
      <c r="CW31" s="86">
        <f t="shared" si="94"/>
        <v>11252.606547141158</v>
      </c>
      <c r="CX31" s="86">
        <f t="shared" si="94"/>
        <v>12106.807520218979</v>
      </c>
      <c r="CY31" s="86">
        <f t="shared" si="94"/>
        <v>12873.655228142183</v>
      </c>
      <c r="CZ31" s="86">
        <f t="shared" si="94"/>
        <v>13352.68147833056</v>
      </c>
      <c r="DA31" s="86">
        <f t="shared" si="94"/>
        <v>14476.34073916528</v>
      </c>
      <c r="DB31" s="86">
        <f t="shared" si="94"/>
        <v>7200</v>
      </c>
      <c r="DC31" s="86">
        <f t="shared" si="94"/>
        <v>8158.8238974714131</v>
      </c>
      <c r="DD31" s="86">
        <f t="shared" si="94"/>
        <v>9082.824186368498</v>
      </c>
      <c r="DE31" s="86">
        <f t="shared" si="94"/>
        <v>10413.365042901276</v>
      </c>
      <c r="DF31" s="86">
        <f t="shared" si="94"/>
        <v>8985.5257552478106</v>
      </c>
      <c r="DG31" s="86">
        <f t="shared" si="94"/>
        <v>9879.5009874282277</v>
      </c>
      <c r="DH31" s="86">
        <f t="shared" si="94"/>
        <v>10211.577861517628</v>
      </c>
      <c r="DI31" s="86">
        <f t="shared" si="94"/>
        <v>11226.07893297828</v>
      </c>
      <c r="DJ31" s="86">
        <f t="shared" si="94"/>
        <v>12084.364691825116</v>
      </c>
      <c r="DK31" s="86">
        <f t="shared" si="94"/>
        <v>13231.422276038955</v>
      </c>
      <c r="DL31" s="86">
        <f t="shared" si="94"/>
        <v>13220.94818402597</v>
      </c>
      <c r="DM31" s="86">
        <f t="shared" si="94"/>
        <v>14410.474092012984</v>
      </c>
      <c r="DN31" s="86">
        <f t="shared" si="94"/>
        <v>7200</v>
      </c>
      <c r="DO31" s="86">
        <f t="shared" si="94"/>
        <v>8158.8238974714131</v>
      </c>
      <c r="DP31" s="86">
        <f t="shared" si="94"/>
        <v>9066.5302607512058</v>
      </c>
      <c r="DQ31" s="86">
        <f t="shared" si="94"/>
        <v>10374.476883214811</v>
      </c>
      <c r="DR31" s="86">
        <f t="shared" si="94"/>
        <v>8950.4232091524136</v>
      </c>
      <c r="DS31" s="86">
        <f t="shared" ref="DS31:EX31" si="95">DR31+DS41*DS24+DS30</f>
        <v>9831.364893435315</v>
      </c>
      <c r="DT31" s="86">
        <f t="shared" si="95"/>
        <v>10045.49770923805</v>
      </c>
      <c r="DU31" s="86">
        <f t="shared" si="95"/>
        <v>11085.572201601995</v>
      </c>
      <c r="DV31" s="86">
        <f t="shared" si="95"/>
        <v>12400.393385240261</v>
      </c>
      <c r="DW31" s="86">
        <f t="shared" si="95"/>
        <v>13133.661154366884</v>
      </c>
      <c r="DX31" s="86">
        <f t="shared" si="95"/>
        <v>13155.774102911257</v>
      </c>
      <c r="DY31" s="86">
        <f t="shared" si="95"/>
        <v>14377.887051455629</v>
      </c>
      <c r="DZ31" s="86">
        <f t="shared" si="95"/>
        <v>7200</v>
      </c>
      <c r="EA31" s="86">
        <f t="shared" si="95"/>
        <v>8158.8238974714122</v>
      </c>
      <c r="EB31" s="86">
        <f t="shared" si="95"/>
        <v>9017.1843109998608</v>
      </c>
      <c r="EC31" s="86">
        <f t="shared" si="95"/>
        <v>10209.850997983096</v>
      </c>
      <c r="ED31" s="86">
        <f t="shared" si="95"/>
        <v>8801.8230241235269</v>
      </c>
      <c r="EE31" s="86">
        <f t="shared" si="95"/>
        <v>9656.1270599986583</v>
      </c>
      <c r="EF31" s="86">
        <f t="shared" si="95"/>
        <v>9834.2888094492027</v>
      </c>
      <c r="EG31" s="86">
        <f t="shared" si="95"/>
        <v>10906.8857556927</v>
      </c>
      <c r="EH31" s="86">
        <f t="shared" si="95"/>
        <v>12166.924555962034</v>
      </c>
      <c r="EI31" s="86">
        <f t="shared" si="95"/>
        <v>12880.336645129904</v>
      </c>
      <c r="EJ31" s="86">
        <f t="shared" si="95"/>
        <v>12986.89109675327</v>
      </c>
      <c r="EK31" s="86">
        <f t="shared" si="95"/>
        <v>14293.445548376636</v>
      </c>
      <c r="EL31" s="86">
        <f t="shared" si="95"/>
        <v>7200</v>
      </c>
      <c r="EM31" s="86">
        <f t="shared" si="95"/>
        <v>7200</v>
      </c>
      <c r="EN31" s="86">
        <f t="shared" si="95"/>
        <v>7200</v>
      </c>
      <c r="EO31" s="86">
        <f t="shared" si="95"/>
        <v>7200</v>
      </c>
      <c r="EP31" s="86">
        <f t="shared" si="95"/>
        <v>7200</v>
      </c>
      <c r="EQ31" s="86">
        <f t="shared" si="95"/>
        <v>7200</v>
      </c>
      <c r="ER31" s="86">
        <f t="shared" si="95"/>
        <v>7200</v>
      </c>
      <c r="ES31" s="86">
        <f t="shared" si="95"/>
        <v>7200</v>
      </c>
      <c r="ET31" s="86">
        <f t="shared" si="95"/>
        <v>7200</v>
      </c>
      <c r="EU31" s="86">
        <f t="shared" si="95"/>
        <v>7200</v>
      </c>
      <c r="EV31" s="86">
        <f t="shared" si="95"/>
        <v>7200</v>
      </c>
      <c r="EW31" s="86">
        <f t="shared" si="95"/>
        <v>7200</v>
      </c>
      <c r="EX31" s="86">
        <f t="shared" si="95"/>
        <v>7200</v>
      </c>
      <c r="EY31" s="86">
        <f t="shared" ref="EY31:GD31" si="96">EX31+EY41*EY24+EY30</f>
        <v>7200</v>
      </c>
      <c r="EZ31" s="86">
        <f t="shared" si="96"/>
        <v>7200</v>
      </c>
      <c r="FA31" s="86">
        <f t="shared" si="96"/>
        <v>7200</v>
      </c>
      <c r="FB31" s="86">
        <f t="shared" si="96"/>
        <v>7200</v>
      </c>
      <c r="FC31" s="86">
        <f t="shared" si="96"/>
        <v>7200</v>
      </c>
      <c r="FD31" s="86">
        <f t="shared" si="96"/>
        <v>7200</v>
      </c>
      <c r="FE31" s="86">
        <f t="shared" si="96"/>
        <v>7200</v>
      </c>
      <c r="FF31" s="86">
        <f t="shared" si="96"/>
        <v>7200</v>
      </c>
      <c r="FG31" s="86">
        <f t="shared" si="96"/>
        <v>7200</v>
      </c>
      <c r="FH31" s="86">
        <f t="shared" si="96"/>
        <v>7200</v>
      </c>
      <c r="FI31" s="86">
        <f t="shared" si="96"/>
        <v>7200</v>
      </c>
      <c r="FJ31" s="86">
        <f t="shared" si="96"/>
        <v>7200</v>
      </c>
      <c r="FK31" s="86">
        <f t="shared" si="96"/>
        <v>7200</v>
      </c>
      <c r="FL31" s="86">
        <f t="shared" si="96"/>
        <v>7200</v>
      </c>
      <c r="FM31" s="86">
        <f t="shared" si="96"/>
        <v>7200</v>
      </c>
      <c r="FN31" s="86">
        <f t="shared" si="96"/>
        <v>7200</v>
      </c>
      <c r="FO31" s="86">
        <f t="shared" si="96"/>
        <v>7200</v>
      </c>
      <c r="FP31" s="86">
        <f t="shared" si="96"/>
        <v>7200</v>
      </c>
      <c r="FQ31" s="86">
        <f t="shared" si="96"/>
        <v>7200</v>
      </c>
      <c r="FR31" s="86">
        <f t="shared" si="96"/>
        <v>7200</v>
      </c>
      <c r="FS31" s="86">
        <f t="shared" si="96"/>
        <v>7200</v>
      </c>
      <c r="FT31" s="86">
        <f t="shared" si="96"/>
        <v>7200</v>
      </c>
      <c r="FU31" s="86">
        <f t="shared" si="96"/>
        <v>7200</v>
      </c>
      <c r="FV31" s="86">
        <f t="shared" si="96"/>
        <v>7200</v>
      </c>
      <c r="FW31" s="86">
        <f t="shared" si="96"/>
        <v>7200</v>
      </c>
      <c r="FX31" s="86">
        <f t="shared" si="96"/>
        <v>7200</v>
      </c>
      <c r="FY31" s="86">
        <f t="shared" si="96"/>
        <v>7200</v>
      </c>
      <c r="FZ31" s="86">
        <f t="shared" si="96"/>
        <v>7200</v>
      </c>
      <c r="GA31" s="86">
        <f t="shared" si="96"/>
        <v>7200</v>
      </c>
      <c r="GB31" s="86">
        <f t="shared" si="96"/>
        <v>7200</v>
      </c>
      <c r="GC31" s="86">
        <f t="shared" si="96"/>
        <v>7200</v>
      </c>
      <c r="GD31" s="86">
        <f t="shared" si="96"/>
        <v>7200</v>
      </c>
      <c r="GE31" s="86">
        <f t="shared" ref="GE31:GT31" si="97">GD31+GE41*GE24+GE30</f>
        <v>7200</v>
      </c>
      <c r="GF31" s="86">
        <f t="shared" si="97"/>
        <v>7200</v>
      </c>
      <c r="GG31" s="86">
        <f t="shared" si="97"/>
        <v>7200</v>
      </c>
      <c r="GH31" s="86">
        <f t="shared" si="97"/>
        <v>7200</v>
      </c>
      <c r="GI31" s="86">
        <f t="shared" si="97"/>
        <v>7200</v>
      </c>
      <c r="GJ31" s="86">
        <f t="shared" si="97"/>
        <v>7200</v>
      </c>
      <c r="GK31" s="86">
        <f t="shared" si="97"/>
        <v>7200</v>
      </c>
      <c r="GL31" s="86">
        <f t="shared" si="97"/>
        <v>7200</v>
      </c>
      <c r="GM31" s="86">
        <f t="shared" si="97"/>
        <v>7200</v>
      </c>
      <c r="GN31" s="86">
        <f t="shared" si="97"/>
        <v>7200</v>
      </c>
      <c r="GO31" s="86">
        <f t="shared" si="97"/>
        <v>7200</v>
      </c>
      <c r="GP31" s="86">
        <f t="shared" si="97"/>
        <v>7200</v>
      </c>
      <c r="GQ31" s="86">
        <f t="shared" si="97"/>
        <v>7200</v>
      </c>
      <c r="GR31" s="86">
        <f t="shared" si="97"/>
        <v>7200</v>
      </c>
      <c r="GS31" s="86">
        <f t="shared" si="97"/>
        <v>7200</v>
      </c>
      <c r="GT31" s="86">
        <f t="shared" si="97"/>
        <v>7200</v>
      </c>
    </row>
    <row r="32" spans="1:202" x14ac:dyDescent="0.25">
      <c r="A32" t="s">
        <v>107</v>
      </c>
      <c r="B32" s="44">
        <v>7350</v>
      </c>
      <c r="C32" s="44">
        <f>B32</f>
        <v>7350</v>
      </c>
      <c r="D32" s="44">
        <f t="shared" ref="D32:Z32" si="98">C32</f>
        <v>7350</v>
      </c>
      <c r="E32" s="44">
        <f t="shared" si="98"/>
        <v>7350</v>
      </c>
      <c r="F32" s="44">
        <f t="shared" si="98"/>
        <v>7350</v>
      </c>
      <c r="G32" s="44">
        <f t="shared" si="98"/>
        <v>7350</v>
      </c>
      <c r="H32" s="44">
        <f t="shared" si="98"/>
        <v>7350</v>
      </c>
      <c r="I32" s="44">
        <f t="shared" si="98"/>
        <v>7350</v>
      </c>
      <c r="J32" s="44">
        <f t="shared" si="98"/>
        <v>7350</v>
      </c>
      <c r="K32" s="88">
        <v>8100</v>
      </c>
      <c r="L32" s="44">
        <f>K32-300</f>
        <v>7800</v>
      </c>
      <c r="M32" s="44">
        <f t="shared" ref="M32:N32" si="99">L32-300</f>
        <v>7500</v>
      </c>
      <c r="N32" s="44">
        <f t="shared" si="99"/>
        <v>7200</v>
      </c>
      <c r="O32" s="44">
        <f t="shared" ref="O32" si="100">N32</f>
        <v>7200</v>
      </c>
      <c r="P32" s="44">
        <f t="shared" ref="P32" si="101">O32</f>
        <v>7200</v>
      </c>
      <c r="Q32" s="44">
        <f t="shared" ref="Q32" si="102">P32</f>
        <v>7200</v>
      </c>
      <c r="R32" s="44">
        <f t="shared" ref="R32" si="103">Q32</f>
        <v>7200</v>
      </c>
      <c r="S32" s="44">
        <f t="shared" ref="S32" si="104">R32</f>
        <v>7200</v>
      </c>
      <c r="T32" s="44">
        <f t="shared" ref="T32" si="105">S32</f>
        <v>7200</v>
      </c>
      <c r="U32" s="44">
        <f t="shared" ref="U32" si="106">T32</f>
        <v>7200</v>
      </c>
      <c r="V32" s="44">
        <f t="shared" ref="V32" si="107">U32</f>
        <v>7200</v>
      </c>
      <c r="W32" s="44">
        <f t="shared" ref="W32" si="108">V32</f>
        <v>7200</v>
      </c>
      <c r="X32" s="44">
        <f t="shared" ref="X32" si="109">W32</f>
        <v>7200</v>
      </c>
      <c r="Y32" s="44">
        <f t="shared" ref="Y32" si="110">X32</f>
        <v>7200</v>
      </c>
      <c r="Z32" s="44">
        <f t="shared" si="98"/>
        <v>7200</v>
      </c>
      <c r="AA32" s="44">
        <f t="shared" ref="AA32:CL32" si="111">Z32</f>
        <v>7200</v>
      </c>
      <c r="AB32" s="44">
        <f t="shared" si="111"/>
        <v>7200</v>
      </c>
      <c r="AC32" s="44">
        <f t="shared" si="111"/>
        <v>7200</v>
      </c>
      <c r="AD32" s="44">
        <f t="shared" si="111"/>
        <v>7200</v>
      </c>
      <c r="AE32" s="44">
        <f t="shared" si="111"/>
        <v>7200</v>
      </c>
      <c r="AF32" s="44">
        <f t="shared" si="111"/>
        <v>7200</v>
      </c>
      <c r="AG32" s="44">
        <f t="shared" si="111"/>
        <v>7200</v>
      </c>
      <c r="AH32" s="44">
        <f t="shared" si="111"/>
        <v>7200</v>
      </c>
      <c r="AI32" s="44">
        <f t="shared" si="111"/>
        <v>7200</v>
      </c>
      <c r="AJ32" s="44">
        <f t="shared" si="111"/>
        <v>7200</v>
      </c>
      <c r="AK32" s="44">
        <f t="shared" si="111"/>
        <v>7200</v>
      </c>
      <c r="AL32" s="44">
        <f t="shared" si="111"/>
        <v>7200</v>
      </c>
      <c r="AM32" s="44">
        <f t="shared" si="111"/>
        <v>7200</v>
      </c>
      <c r="AN32" s="44">
        <f t="shared" si="111"/>
        <v>7200</v>
      </c>
      <c r="AO32" s="44">
        <f t="shared" si="111"/>
        <v>7200</v>
      </c>
      <c r="AP32" s="44">
        <f t="shared" si="111"/>
        <v>7200</v>
      </c>
      <c r="AQ32" s="44">
        <f t="shared" si="111"/>
        <v>7200</v>
      </c>
      <c r="AR32" s="44">
        <f t="shared" si="111"/>
        <v>7200</v>
      </c>
      <c r="AS32" s="44">
        <f t="shared" si="111"/>
        <v>7200</v>
      </c>
      <c r="AT32" s="44">
        <f t="shared" si="111"/>
        <v>7200</v>
      </c>
      <c r="AU32" s="44">
        <f t="shared" si="111"/>
        <v>7200</v>
      </c>
      <c r="AV32" s="44">
        <f t="shared" si="111"/>
        <v>7200</v>
      </c>
      <c r="AW32" s="44">
        <f t="shared" si="111"/>
        <v>7200</v>
      </c>
      <c r="AX32" s="44">
        <f t="shared" si="111"/>
        <v>7200</v>
      </c>
      <c r="AY32" s="44">
        <f t="shared" si="111"/>
        <v>7200</v>
      </c>
      <c r="AZ32" s="44">
        <f t="shared" si="111"/>
        <v>7200</v>
      </c>
      <c r="BA32" s="44">
        <f t="shared" si="111"/>
        <v>7200</v>
      </c>
      <c r="BB32" s="44">
        <f t="shared" si="111"/>
        <v>7200</v>
      </c>
      <c r="BC32" s="44">
        <f t="shared" si="111"/>
        <v>7200</v>
      </c>
      <c r="BD32" s="44">
        <f t="shared" si="111"/>
        <v>7200</v>
      </c>
      <c r="BE32" s="44">
        <f t="shared" si="111"/>
        <v>7200</v>
      </c>
      <c r="BF32" s="44">
        <f t="shared" si="111"/>
        <v>7200</v>
      </c>
      <c r="BG32" s="44">
        <f t="shared" si="111"/>
        <v>7200</v>
      </c>
      <c r="BH32" s="44">
        <f t="shared" si="111"/>
        <v>7200</v>
      </c>
      <c r="BI32" s="44">
        <f t="shared" si="111"/>
        <v>7200</v>
      </c>
      <c r="BJ32" s="44">
        <f t="shared" si="111"/>
        <v>7200</v>
      </c>
      <c r="BK32" s="44">
        <f t="shared" si="111"/>
        <v>7200</v>
      </c>
      <c r="BL32" s="44">
        <f t="shared" si="111"/>
        <v>7200</v>
      </c>
      <c r="BM32" s="44">
        <f t="shared" si="111"/>
        <v>7200</v>
      </c>
      <c r="BN32" s="44">
        <f t="shared" si="111"/>
        <v>7200</v>
      </c>
      <c r="BO32" s="44">
        <f t="shared" si="111"/>
        <v>7200</v>
      </c>
      <c r="BP32" s="44">
        <f t="shared" si="111"/>
        <v>7200</v>
      </c>
      <c r="BQ32" s="44">
        <f t="shared" si="111"/>
        <v>7200</v>
      </c>
      <c r="BR32" s="44">
        <f t="shared" si="111"/>
        <v>7200</v>
      </c>
      <c r="BS32" s="44">
        <f t="shared" si="111"/>
        <v>7200</v>
      </c>
      <c r="BT32" s="44">
        <f t="shared" si="111"/>
        <v>7200</v>
      </c>
      <c r="BU32" s="44">
        <f t="shared" si="111"/>
        <v>7200</v>
      </c>
      <c r="BV32" s="44">
        <f t="shared" si="111"/>
        <v>7200</v>
      </c>
      <c r="BW32" s="44">
        <f t="shared" si="111"/>
        <v>7200</v>
      </c>
      <c r="BX32" s="44">
        <f t="shared" si="111"/>
        <v>7200</v>
      </c>
      <c r="BY32" s="44">
        <f t="shared" si="111"/>
        <v>7200</v>
      </c>
      <c r="BZ32" s="44">
        <f t="shared" si="111"/>
        <v>7200</v>
      </c>
      <c r="CA32" s="44">
        <f t="shared" si="111"/>
        <v>7200</v>
      </c>
      <c r="CB32" s="44">
        <f t="shared" si="111"/>
        <v>7200</v>
      </c>
      <c r="CC32" s="44">
        <f t="shared" si="111"/>
        <v>7200</v>
      </c>
      <c r="CD32" s="44">
        <f t="shared" si="111"/>
        <v>7200</v>
      </c>
      <c r="CE32" s="44">
        <f t="shared" si="111"/>
        <v>7200</v>
      </c>
      <c r="CF32" s="44">
        <f t="shared" si="111"/>
        <v>7200</v>
      </c>
      <c r="CG32" s="44">
        <f t="shared" si="111"/>
        <v>7200</v>
      </c>
      <c r="CH32" s="44">
        <f t="shared" si="111"/>
        <v>7200</v>
      </c>
      <c r="CI32" s="44">
        <f t="shared" si="111"/>
        <v>7200</v>
      </c>
      <c r="CJ32" s="44">
        <f t="shared" si="111"/>
        <v>7200</v>
      </c>
      <c r="CK32" s="44">
        <f t="shared" si="111"/>
        <v>7200</v>
      </c>
      <c r="CL32" s="44">
        <f t="shared" si="111"/>
        <v>7200</v>
      </c>
      <c r="CM32" s="44">
        <f t="shared" ref="CM32:EX32" si="112">CL32</f>
        <v>7200</v>
      </c>
      <c r="CN32" s="44">
        <f t="shared" si="112"/>
        <v>7200</v>
      </c>
      <c r="CO32" s="44">
        <f t="shared" si="112"/>
        <v>7200</v>
      </c>
      <c r="CP32" s="44">
        <f t="shared" si="112"/>
        <v>7200</v>
      </c>
      <c r="CQ32" s="44">
        <f t="shared" si="112"/>
        <v>7200</v>
      </c>
      <c r="CR32" s="44">
        <f t="shared" si="112"/>
        <v>7200</v>
      </c>
      <c r="CS32" s="44">
        <f t="shared" si="112"/>
        <v>7200</v>
      </c>
      <c r="CT32" s="44">
        <f t="shared" si="112"/>
        <v>7200</v>
      </c>
      <c r="CU32" s="44">
        <f t="shared" si="112"/>
        <v>7200</v>
      </c>
      <c r="CV32" s="44">
        <f t="shared" si="112"/>
        <v>7200</v>
      </c>
      <c r="CW32" s="44">
        <f t="shared" si="112"/>
        <v>7200</v>
      </c>
      <c r="CX32" s="44">
        <f t="shared" si="112"/>
        <v>7200</v>
      </c>
      <c r="CY32" s="44">
        <f t="shared" si="112"/>
        <v>7200</v>
      </c>
      <c r="CZ32" s="44">
        <f t="shared" si="112"/>
        <v>7200</v>
      </c>
      <c r="DA32" s="44">
        <f t="shared" si="112"/>
        <v>7200</v>
      </c>
      <c r="DB32" s="44">
        <f t="shared" si="112"/>
        <v>7200</v>
      </c>
      <c r="DC32" s="44">
        <f t="shared" si="112"/>
        <v>7200</v>
      </c>
      <c r="DD32" s="44">
        <f t="shared" si="112"/>
        <v>7200</v>
      </c>
      <c r="DE32" s="44">
        <f t="shared" si="112"/>
        <v>7200</v>
      </c>
      <c r="DF32" s="44">
        <f t="shared" si="112"/>
        <v>7200</v>
      </c>
      <c r="DG32" s="44">
        <f t="shared" si="112"/>
        <v>7200</v>
      </c>
      <c r="DH32" s="44">
        <f t="shared" si="112"/>
        <v>7200</v>
      </c>
      <c r="DI32" s="44">
        <f t="shared" si="112"/>
        <v>7200</v>
      </c>
      <c r="DJ32" s="44">
        <f t="shared" si="112"/>
        <v>7200</v>
      </c>
      <c r="DK32" s="44">
        <f t="shared" si="112"/>
        <v>7200</v>
      </c>
      <c r="DL32" s="44">
        <f t="shared" si="112"/>
        <v>7200</v>
      </c>
      <c r="DM32" s="44">
        <f t="shared" si="112"/>
        <v>7200</v>
      </c>
      <c r="DN32" s="44">
        <f t="shared" si="112"/>
        <v>7200</v>
      </c>
      <c r="DO32" s="44">
        <f t="shared" si="112"/>
        <v>7200</v>
      </c>
      <c r="DP32" s="44">
        <f t="shared" si="112"/>
        <v>7200</v>
      </c>
      <c r="DQ32" s="44">
        <f t="shared" si="112"/>
        <v>7200</v>
      </c>
      <c r="DR32" s="44">
        <f t="shared" si="112"/>
        <v>7200</v>
      </c>
      <c r="DS32" s="44">
        <f t="shared" si="112"/>
        <v>7200</v>
      </c>
      <c r="DT32" s="44">
        <f t="shared" si="112"/>
        <v>7200</v>
      </c>
      <c r="DU32" s="44">
        <f t="shared" si="112"/>
        <v>7200</v>
      </c>
      <c r="DV32" s="44">
        <f t="shared" si="112"/>
        <v>7200</v>
      </c>
      <c r="DW32" s="44">
        <f t="shared" si="112"/>
        <v>7200</v>
      </c>
      <c r="DX32" s="44">
        <f t="shared" si="112"/>
        <v>7200</v>
      </c>
      <c r="DY32" s="44">
        <f t="shared" si="112"/>
        <v>7200</v>
      </c>
      <c r="DZ32" s="44">
        <f t="shared" si="112"/>
        <v>7200</v>
      </c>
      <c r="EA32" s="44">
        <f t="shared" si="112"/>
        <v>7200</v>
      </c>
      <c r="EB32" s="44">
        <f t="shared" si="112"/>
        <v>7200</v>
      </c>
      <c r="EC32" s="44">
        <f t="shared" si="112"/>
        <v>7200</v>
      </c>
      <c r="ED32" s="44">
        <f t="shared" si="112"/>
        <v>7200</v>
      </c>
      <c r="EE32" s="44">
        <f t="shared" si="112"/>
        <v>7200</v>
      </c>
      <c r="EF32" s="44">
        <f t="shared" si="112"/>
        <v>7200</v>
      </c>
      <c r="EG32" s="44">
        <f t="shared" si="112"/>
        <v>7200</v>
      </c>
      <c r="EH32" s="44">
        <f t="shared" si="112"/>
        <v>7200</v>
      </c>
      <c r="EI32" s="44">
        <f t="shared" si="112"/>
        <v>7200</v>
      </c>
      <c r="EJ32" s="44">
        <f t="shared" si="112"/>
        <v>7200</v>
      </c>
      <c r="EK32" s="44">
        <f t="shared" si="112"/>
        <v>7200</v>
      </c>
      <c r="EL32" s="44">
        <f t="shared" si="112"/>
        <v>7200</v>
      </c>
      <c r="EM32" s="44">
        <f t="shared" si="112"/>
        <v>7200</v>
      </c>
      <c r="EN32" s="44">
        <f t="shared" si="112"/>
        <v>7200</v>
      </c>
      <c r="EO32" s="44">
        <f t="shared" si="112"/>
        <v>7200</v>
      </c>
      <c r="EP32" s="44">
        <f t="shared" si="112"/>
        <v>7200</v>
      </c>
      <c r="EQ32" s="44">
        <f t="shared" si="112"/>
        <v>7200</v>
      </c>
      <c r="ER32" s="44">
        <f t="shared" si="112"/>
        <v>7200</v>
      </c>
      <c r="ES32" s="44">
        <f t="shared" si="112"/>
        <v>7200</v>
      </c>
      <c r="ET32" s="44">
        <f t="shared" si="112"/>
        <v>7200</v>
      </c>
      <c r="EU32" s="44">
        <f t="shared" si="112"/>
        <v>7200</v>
      </c>
      <c r="EV32" s="44">
        <f t="shared" si="112"/>
        <v>7200</v>
      </c>
      <c r="EW32" s="44">
        <f t="shared" si="112"/>
        <v>7200</v>
      </c>
      <c r="EX32" s="44">
        <f t="shared" si="112"/>
        <v>7200</v>
      </c>
      <c r="EY32" s="44">
        <f t="shared" ref="EY32:GT32" si="113">EX32</f>
        <v>7200</v>
      </c>
      <c r="EZ32" s="44">
        <f t="shared" si="113"/>
        <v>7200</v>
      </c>
      <c r="FA32" s="44">
        <f t="shared" si="113"/>
        <v>7200</v>
      </c>
      <c r="FB32" s="44">
        <f t="shared" si="113"/>
        <v>7200</v>
      </c>
      <c r="FC32" s="44">
        <f t="shared" si="113"/>
        <v>7200</v>
      </c>
      <c r="FD32" s="44">
        <f t="shared" si="113"/>
        <v>7200</v>
      </c>
      <c r="FE32" s="44">
        <f t="shared" si="113"/>
        <v>7200</v>
      </c>
      <c r="FF32" s="44">
        <f t="shared" si="113"/>
        <v>7200</v>
      </c>
      <c r="FG32" s="44">
        <f t="shared" si="113"/>
        <v>7200</v>
      </c>
      <c r="FH32" s="44">
        <f t="shared" si="113"/>
        <v>7200</v>
      </c>
      <c r="FI32" s="44">
        <f t="shared" si="113"/>
        <v>7200</v>
      </c>
      <c r="FJ32" s="44">
        <f t="shared" si="113"/>
        <v>7200</v>
      </c>
      <c r="FK32" s="44">
        <f t="shared" si="113"/>
        <v>7200</v>
      </c>
      <c r="FL32" s="44">
        <f t="shared" si="113"/>
        <v>7200</v>
      </c>
      <c r="FM32" s="44">
        <f t="shared" si="113"/>
        <v>7200</v>
      </c>
      <c r="FN32" s="44">
        <f t="shared" si="113"/>
        <v>7200</v>
      </c>
      <c r="FO32" s="44">
        <f t="shared" si="113"/>
        <v>7200</v>
      </c>
      <c r="FP32" s="44">
        <f t="shared" si="113"/>
        <v>7200</v>
      </c>
      <c r="FQ32" s="44">
        <f t="shared" si="113"/>
        <v>7200</v>
      </c>
      <c r="FR32" s="44">
        <f t="shared" si="113"/>
        <v>7200</v>
      </c>
      <c r="FS32" s="44">
        <f t="shared" si="113"/>
        <v>7200</v>
      </c>
      <c r="FT32" s="44">
        <f t="shared" si="113"/>
        <v>7200</v>
      </c>
      <c r="FU32" s="44">
        <f t="shared" si="113"/>
        <v>7200</v>
      </c>
      <c r="FV32" s="44">
        <f t="shared" si="113"/>
        <v>7200</v>
      </c>
      <c r="FW32" s="44">
        <f t="shared" si="113"/>
        <v>7200</v>
      </c>
      <c r="FX32" s="44">
        <f t="shared" si="113"/>
        <v>7200</v>
      </c>
      <c r="FY32" s="44">
        <f t="shared" si="113"/>
        <v>7200</v>
      </c>
      <c r="FZ32" s="44">
        <f t="shared" si="113"/>
        <v>7200</v>
      </c>
      <c r="GA32" s="44">
        <f t="shared" si="113"/>
        <v>7200</v>
      </c>
      <c r="GB32" s="44">
        <f t="shared" si="113"/>
        <v>7200</v>
      </c>
      <c r="GC32" s="44">
        <f t="shared" si="113"/>
        <v>7200</v>
      </c>
      <c r="GD32" s="44">
        <f t="shared" si="113"/>
        <v>7200</v>
      </c>
      <c r="GE32" s="44">
        <f t="shared" si="113"/>
        <v>7200</v>
      </c>
      <c r="GF32" s="44">
        <f t="shared" si="113"/>
        <v>7200</v>
      </c>
      <c r="GG32" s="44">
        <f t="shared" si="113"/>
        <v>7200</v>
      </c>
      <c r="GH32" s="44">
        <f t="shared" si="113"/>
        <v>7200</v>
      </c>
      <c r="GI32" s="44">
        <f t="shared" si="113"/>
        <v>7200</v>
      </c>
      <c r="GJ32" s="44">
        <f t="shared" si="113"/>
        <v>7200</v>
      </c>
      <c r="GK32" s="44">
        <f t="shared" si="113"/>
        <v>7200</v>
      </c>
      <c r="GL32" s="44">
        <f t="shared" si="113"/>
        <v>7200</v>
      </c>
      <c r="GM32" s="44">
        <f t="shared" si="113"/>
        <v>7200</v>
      </c>
      <c r="GN32" s="44">
        <f t="shared" si="113"/>
        <v>7200</v>
      </c>
      <c r="GO32" s="44">
        <f t="shared" si="113"/>
        <v>7200</v>
      </c>
      <c r="GP32" s="44">
        <f t="shared" si="113"/>
        <v>7200</v>
      </c>
      <c r="GQ32" s="44">
        <f t="shared" si="113"/>
        <v>7200</v>
      </c>
      <c r="GR32" s="44">
        <f t="shared" si="113"/>
        <v>7200</v>
      </c>
      <c r="GS32" s="44">
        <f t="shared" si="113"/>
        <v>7200</v>
      </c>
      <c r="GT32" s="44">
        <f t="shared" si="113"/>
        <v>7200</v>
      </c>
    </row>
    <row r="33" spans="1:202" x14ac:dyDescent="0.25">
      <c r="A33" t="s">
        <v>101</v>
      </c>
      <c r="C33" s="58">
        <f>-(SUM(C28:Z28)+B31-B32)/SUM(C24:Z24)</f>
        <v>0.18253904883800251</v>
      </c>
      <c r="D33" s="58">
        <f t="shared" ref="D33" si="114">-(SUM(D28:AA28)+C31-C32)/SUM(D24:AA24)</f>
        <v>0.17668545920594775</v>
      </c>
      <c r="E33" s="58">
        <f>IFERROR(-(SUM(E28:AB28)+D31-D32)/SUM(E24:AB24),0)</f>
        <v>0.23630953526946188</v>
      </c>
      <c r="F33" s="58">
        <f t="shared" ref="F33:BQ33" si="115">IFERROR(-(SUM(F28:AC28)+E31-E32)/SUM(F24:AC24),0)</f>
        <v>0.22920885162230292</v>
      </c>
      <c r="G33" s="58">
        <f t="shared" si="115"/>
        <v>0.41896292857764861</v>
      </c>
      <c r="H33" s="58">
        <f t="shared" si="115"/>
        <v>0.46878235277838876</v>
      </c>
      <c r="I33" s="58">
        <f t="shared" si="115"/>
        <v>0.48643779378666835</v>
      </c>
      <c r="J33" s="58">
        <f t="shared" si="115"/>
        <v>0.49538111345012104</v>
      </c>
      <c r="K33" s="58">
        <f t="shared" si="115"/>
        <v>0.54375231039718064</v>
      </c>
      <c r="L33" s="58">
        <f t="shared" si="115"/>
        <v>0.55983591284131828</v>
      </c>
      <c r="M33" s="58">
        <f t="shared" si="115"/>
        <v>0.73500150459276892</v>
      </c>
      <c r="N33" s="58">
        <f t="shared" si="115"/>
        <v>0.76278085085367486</v>
      </c>
      <c r="O33" s="58">
        <f t="shared" si="115"/>
        <v>0.77047271978020015</v>
      </c>
      <c r="P33" s="58">
        <f t="shared" si="115"/>
        <v>0.74685401791672712</v>
      </c>
      <c r="Q33" s="58">
        <f t="shared" si="115"/>
        <v>0.73561788321379529</v>
      </c>
      <c r="R33" s="58">
        <f t="shared" si="115"/>
        <v>0.6896365387857929</v>
      </c>
      <c r="S33" s="58">
        <f t="shared" si="115"/>
        <v>0.84237681676819054</v>
      </c>
      <c r="T33" s="58">
        <f t="shared" si="115"/>
        <v>0.79831549578751426</v>
      </c>
      <c r="U33" s="58">
        <f t="shared" si="115"/>
        <v>0.76773183787708765</v>
      </c>
      <c r="V33" s="58">
        <f t="shared" si="115"/>
        <v>0.72916566520854398</v>
      </c>
      <c r="W33" s="58">
        <f t="shared" si="115"/>
        <v>0.74647694624284222</v>
      </c>
      <c r="X33" s="58">
        <f t="shared" si="115"/>
        <v>0.71069274494543622</v>
      </c>
      <c r="Y33" s="58">
        <f t="shared" si="115"/>
        <v>0.84020792189669946</v>
      </c>
      <c r="Z33" s="58">
        <f t="shared" si="115"/>
        <v>0.80247106132097668</v>
      </c>
      <c r="AA33" s="58">
        <f t="shared" si="115"/>
        <v>0.78489509456298523</v>
      </c>
      <c r="AB33" s="58">
        <f t="shared" si="115"/>
        <v>0.74928413515610404</v>
      </c>
      <c r="AC33" s="58">
        <f t="shared" si="115"/>
        <v>0.68164494758762173</v>
      </c>
      <c r="AD33" s="58">
        <f t="shared" si="115"/>
        <v>0.64624138097422812</v>
      </c>
      <c r="AE33" s="58">
        <f t="shared" si="115"/>
        <v>0.61443520470059443</v>
      </c>
      <c r="AF33" s="58">
        <f t="shared" si="115"/>
        <v>0.58359990520155347</v>
      </c>
      <c r="AG33" s="58">
        <f t="shared" si="115"/>
        <v>0.56229561399864325</v>
      </c>
      <c r="AH33" s="58">
        <f t="shared" si="115"/>
        <v>0.53314587893593446</v>
      </c>
      <c r="AI33" s="58">
        <f t="shared" si="115"/>
        <v>0.54740490639518158</v>
      </c>
      <c r="AJ33" s="58">
        <f t="shared" si="115"/>
        <v>0.51953884996976862</v>
      </c>
      <c r="AK33" s="58">
        <f t="shared" si="115"/>
        <v>0.49250696750061895</v>
      </c>
      <c r="AL33" s="58">
        <f t="shared" si="115"/>
        <v>0.46627235469922879</v>
      </c>
      <c r="AM33" s="58">
        <f t="shared" si="115"/>
        <v>0.45653472181999705</v>
      </c>
      <c r="AN33" s="58">
        <f t="shared" si="115"/>
        <v>0.42374260316713158</v>
      </c>
      <c r="AO33" s="58">
        <f t="shared" si="115"/>
        <v>0.38500565768484851</v>
      </c>
      <c r="AP33" s="58">
        <f t="shared" si="115"/>
        <v>0.35427993583184497</v>
      </c>
      <c r="AQ33" s="58">
        <f t="shared" si="115"/>
        <v>0.33150680879402256</v>
      </c>
      <c r="AR33" s="58">
        <f t="shared" si="115"/>
        <v>0.30245153917367679</v>
      </c>
      <c r="AS33" s="58">
        <f t="shared" si="115"/>
        <v>0.28093484065235919</v>
      </c>
      <c r="AT33" s="58">
        <f t="shared" si="115"/>
        <v>0.24925928511949463</v>
      </c>
      <c r="AU33" s="58">
        <f t="shared" si="115"/>
        <v>0.2630878555033635</v>
      </c>
      <c r="AV33" s="58">
        <f t="shared" si="115"/>
        <v>0.23403258588301762</v>
      </c>
      <c r="AW33" s="58">
        <f t="shared" si="115"/>
        <v>0.20497731626267179</v>
      </c>
      <c r="AX33" s="58">
        <f t="shared" si="115"/>
        <v>0.17592204664232591</v>
      </c>
      <c r="AY33" s="58">
        <f t="shared" si="115"/>
        <v>0.17213070676114339</v>
      </c>
      <c r="AZ33" s="58">
        <f t="shared" si="115"/>
        <v>0.16290497999083428</v>
      </c>
      <c r="BA33" s="58">
        <f t="shared" si="115"/>
        <v>0.15992172554202405</v>
      </c>
      <c r="BB33" s="58">
        <f t="shared" si="115"/>
        <v>0.15251523547443832</v>
      </c>
      <c r="BC33" s="58">
        <f t="shared" si="115"/>
        <v>0.14624921454367984</v>
      </c>
      <c r="BD33" s="58">
        <f t="shared" si="115"/>
        <v>0.14093757659326681</v>
      </c>
      <c r="BE33" s="58">
        <f t="shared" si="115"/>
        <v>0.13767244773433737</v>
      </c>
      <c r="BF33" s="58">
        <f t="shared" si="115"/>
        <v>0.12948699296040228</v>
      </c>
      <c r="BG33" s="58">
        <f t="shared" si="115"/>
        <v>0.17213070676114339</v>
      </c>
      <c r="BH33" s="58">
        <f t="shared" si="115"/>
        <v>0.16565091495937539</v>
      </c>
      <c r="BI33" s="58">
        <f t="shared" si="115"/>
        <v>0.15963462496312339</v>
      </c>
      <c r="BJ33" s="58">
        <f t="shared" si="115"/>
        <v>0.15383684112681545</v>
      </c>
      <c r="BK33" s="58">
        <f t="shared" si="115"/>
        <v>0.16232779939528921</v>
      </c>
      <c r="BL33" s="58">
        <f t="shared" si="115"/>
        <v>0.15340044807005554</v>
      </c>
      <c r="BM33" s="58">
        <f t="shared" si="115"/>
        <v>0.15103107925439116</v>
      </c>
      <c r="BN33" s="58">
        <f t="shared" si="115"/>
        <v>0.14402625285499782</v>
      </c>
      <c r="BO33" s="58">
        <f t="shared" si="115"/>
        <v>0.13810004645569107</v>
      </c>
      <c r="BP33" s="58">
        <f t="shared" si="115"/>
        <v>0.1330843788502506</v>
      </c>
      <c r="BQ33" s="58">
        <f t="shared" si="115"/>
        <v>0.13039941739830063</v>
      </c>
      <c r="BR33" s="58">
        <f t="shared" ref="BR33:EC33" si="116">IFERROR(-(SUM(BR28:CO28)+BQ31-BQ32)/SUM(BR24:CO24),0)</f>
        <v>0.12096134381689475</v>
      </c>
      <c r="BS33" s="58">
        <f t="shared" si="116"/>
        <v>0.16584856417861993</v>
      </c>
      <c r="BT33" s="58">
        <f t="shared" si="116"/>
        <v>0.15982509574317361</v>
      </c>
      <c r="BU33" s="58">
        <f t="shared" si="116"/>
        <v>0.15402039418202926</v>
      </c>
      <c r="BV33" s="58">
        <f t="shared" si="116"/>
        <v>0.14842651408204074</v>
      </c>
      <c r="BW33" s="58">
        <f t="shared" si="116"/>
        <v>0.15464400864671599</v>
      </c>
      <c r="BX33" s="58">
        <f t="shared" si="116"/>
        <v>0.14902747943871422</v>
      </c>
      <c r="BY33" s="58">
        <f t="shared" si="116"/>
        <v>0.14694055510736048</v>
      </c>
      <c r="BZ33" s="58">
        <f t="shared" si="116"/>
        <v>0.14056559744478642</v>
      </c>
      <c r="CA33" s="58">
        <f t="shared" si="116"/>
        <v>0.13517227108076293</v>
      </c>
      <c r="CB33" s="58">
        <f t="shared" si="116"/>
        <v>0.13026293760395538</v>
      </c>
      <c r="CC33" s="58">
        <f t="shared" si="116"/>
        <v>0.12722921529087602</v>
      </c>
      <c r="CD33" s="58">
        <f t="shared" si="116"/>
        <v>0.12015389088814936</v>
      </c>
      <c r="CE33" s="58">
        <f t="shared" si="116"/>
        <v>0.1658485641786199</v>
      </c>
      <c r="CF33" s="58">
        <f t="shared" si="116"/>
        <v>0.15982509574317363</v>
      </c>
      <c r="CG33" s="58">
        <f t="shared" si="116"/>
        <v>0.15402039418202923</v>
      </c>
      <c r="CH33" s="58">
        <f t="shared" si="116"/>
        <v>0.14580914414271598</v>
      </c>
      <c r="CI33" s="58">
        <f t="shared" si="116"/>
        <v>0.15464400864671596</v>
      </c>
      <c r="CJ33" s="58">
        <f t="shared" si="116"/>
        <v>0.14902747943871422</v>
      </c>
      <c r="CK33" s="58">
        <f t="shared" si="116"/>
        <v>0.14694055510736051</v>
      </c>
      <c r="CL33" s="58">
        <f t="shared" si="116"/>
        <v>0.14056559744478647</v>
      </c>
      <c r="CM33" s="58">
        <f t="shared" si="116"/>
        <v>0.13517227108076296</v>
      </c>
      <c r="CN33" s="58">
        <f t="shared" si="116"/>
        <v>0.12796586622690831</v>
      </c>
      <c r="CO33" s="58">
        <f t="shared" si="116"/>
        <v>0.12722921529087605</v>
      </c>
      <c r="CP33" s="58">
        <f t="shared" si="116"/>
        <v>0.12015389088814936</v>
      </c>
      <c r="CQ33" s="58">
        <f t="shared" si="116"/>
        <v>0.16584856417861993</v>
      </c>
      <c r="CR33" s="58">
        <f t="shared" si="116"/>
        <v>0.15982509574317361</v>
      </c>
      <c r="CS33" s="58">
        <f t="shared" si="116"/>
        <v>0.15402039418202926</v>
      </c>
      <c r="CT33" s="58">
        <f t="shared" si="116"/>
        <v>0.14580914414271592</v>
      </c>
      <c r="CU33" s="58">
        <f t="shared" si="116"/>
        <v>0.15441311703231592</v>
      </c>
      <c r="CV33" s="58">
        <f t="shared" si="116"/>
        <v>0.14880497359695094</v>
      </c>
      <c r="CW33" s="58">
        <f t="shared" si="116"/>
        <v>0.14673242063503319</v>
      </c>
      <c r="CX33" s="58">
        <f t="shared" si="116"/>
        <v>0.14038951201861097</v>
      </c>
      <c r="CY33" s="58">
        <f t="shared" si="116"/>
        <v>0.13264228357066041</v>
      </c>
      <c r="CZ33" s="58">
        <f t="shared" si="116"/>
        <v>0.12790978832940916</v>
      </c>
      <c r="DA33" s="58">
        <f t="shared" si="116"/>
        <v>0.127196541866896</v>
      </c>
      <c r="DB33" s="58">
        <f t="shared" si="116"/>
        <v>0.1201375541761593</v>
      </c>
      <c r="DC33" s="58">
        <f t="shared" si="116"/>
        <v>0.16584856417861993</v>
      </c>
      <c r="DD33" s="58">
        <f t="shared" si="116"/>
        <v>0.15982509574317363</v>
      </c>
      <c r="DE33" s="58">
        <f t="shared" si="116"/>
        <v>0.15402039418202926</v>
      </c>
      <c r="DF33" s="58">
        <f t="shared" si="116"/>
        <v>0.1456617468094174</v>
      </c>
      <c r="DG33" s="58">
        <f t="shared" si="116"/>
        <v>0.15463163679938521</v>
      </c>
      <c r="DH33" s="58">
        <f t="shared" si="116"/>
        <v>0.14901555692558335</v>
      </c>
      <c r="DI33" s="58">
        <f t="shared" si="116"/>
        <v>0.14692940265419499</v>
      </c>
      <c r="DJ33" s="58">
        <f t="shared" si="116"/>
        <v>0.14055616227315637</v>
      </c>
      <c r="DK33" s="58">
        <f t="shared" si="116"/>
        <v>0.13278078640176597</v>
      </c>
      <c r="DL33" s="58">
        <f t="shared" si="116"/>
        <v>0.12795830946513492</v>
      </c>
      <c r="DM33" s="58">
        <f t="shared" si="116"/>
        <v>0.12802410920458296</v>
      </c>
      <c r="DN33" s="58">
        <f t="shared" si="116"/>
        <v>0.12055133784500281</v>
      </c>
      <c r="DO33" s="58">
        <f t="shared" si="116"/>
        <v>0.16584856417861993</v>
      </c>
      <c r="DP33" s="58">
        <f t="shared" si="116"/>
        <v>0.15700672192542928</v>
      </c>
      <c r="DQ33" s="58">
        <f t="shared" si="116"/>
        <v>0.15140493685090795</v>
      </c>
      <c r="DR33" s="58">
        <f t="shared" si="116"/>
        <v>0.14590604777333974</v>
      </c>
      <c r="DS33" s="58">
        <f t="shared" si="116"/>
        <v>0.13977501380090976</v>
      </c>
      <c r="DT33" s="58">
        <f t="shared" si="116"/>
        <v>0.13424081253335621</v>
      </c>
      <c r="DU33" s="58">
        <f t="shared" si="116"/>
        <v>0.125357028553858</v>
      </c>
      <c r="DV33" s="58">
        <f t="shared" si="116"/>
        <v>0.11882313229638199</v>
      </c>
      <c r="DW33" s="58">
        <f t="shared" si="116"/>
        <v>0.11056323815024408</v>
      </c>
      <c r="DX33" s="58">
        <f t="shared" si="116"/>
        <v>0.10595674547342175</v>
      </c>
      <c r="DY33" s="58">
        <f t="shared" si="116"/>
        <v>9.8279257678717813E-2</v>
      </c>
      <c r="DZ33" s="58">
        <f t="shared" si="116"/>
        <v>9.0601769884013889E-2</v>
      </c>
      <c r="EA33" s="58">
        <f t="shared" si="116"/>
        <v>8.2924282089309964E-2</v>
      </c>
      <c r="EB33" s="58">
        <f t="shared" si="116"/>
        <v>7.5544736006874086E-2</v>
      </c>
      <c r="EC33" s="58">
        <f t="shared" si="116"/>
        <v>7.0247482679608966E-2</v>
      </c>
      <c r="ED33" s="58">
        <f t="shared" ref="ED33:GO33" si="117">IFERROR(-(SUM(ED28:FA28)+EC31-EC32)/SUM(ED24:FA24),0)</f>
        <v>6.4015968967829559E-2</v>
      </c>
      <c r="EE33" s="58">
        <f t="shared" si="117"/>
        <v>5.7784259261740648E-2</v>
      </c>
      <c r="EF33" s="58">
        <f t="shared" si="117"/>
        <v>5.241739949954783E-2</v>
      </c>
      <c r="EG33" s="58">
        <f t="shared" si="117"/>
        <v>4.3759590887719503E-2</v>
      </c>
      <c r="EH33" s="58">
        <f t="shared" si="117"/>
        <v>3.6368544665621075E-2</v>
      </c>
      <c r="EI33" s="58">
        <f t="shared" si="117"/>
        <v>2.9105640535034789E-2</v>
      </c>
      <c r="EJ33" s="58">
        <f t="shared" si="117"/>
        <v>2.4623884070786278E-2</v>
      </c>
      <c r="EK33" s="58">
        <f t="shared" si="117"/>
        <v>1.6415922713857514E-2</v>
      </c>
      <c r="EL33" s="58">
        <f t="shared" si="117"/>
        <v>8.2079613569287519E-3</v>
      </c>
      <c r="EM33" s="58">
        <f t="shared" si="117"/>
        <v>0</v>
      </c>
      <c r="EN33" s="58">
        <f t="shared" si="117"/>
        <v>0</v>
      </c>
      <c r="EO33" s="58">
        <f t="shared" si="117"/>
        <v>0</v>
      </c>
      <c r="EP33" s="58">
        <f t="shared" si="117"/>
        <v>0</v>
      </c>
      <c r="EQ33" s="58">
        <f t="shared" si="117"/>
        <v>0</v>
      </c>
      <c r="ER33" s="58">
        <f t="shared" si="117"/>
        <v>0</v>
      </c>
      <c r="ES33" s="58">
        <f t="shared" si="117"/>
        <v>0</v>
      </c>
      <c r="ET33" s="58">
        <f t="shared" si="117"/>
        <v>0</v>
      </c>
      <c r="EU33" s="58">
        <f t="shared" si="117"/>
        <v>0</v>
      </c>
      <c r="EV33" s="58">
        <f t="shared" si="117"/>
        <v>0</v>
      </c>
      <c r="EW33" s="58">
        <f t="shared" si="117"/>
        <v>0</v>
      </c>
      <c r="EX33" s="58">
        <f t="shared" si="117"/>
        <v>0</v>
      </c>
      <c r="EY33" s="58">
        <f t="shared" si="117"/>
        <v>0</v>
      </c>
      <c r="EZ33" s="58">
        <f t="shared" si="117"/>
        <v>0</v>
      </c>
      <c r="FA33" s="58">
        <f t="shared" si="117"/>
        <v>0</v>
      </c>
      <c r="FB33" s="58">
        <f t="shared" si="117"/>
        <v>0</v>
      </c>
      <c r="FC33" s="58">
        <f t="shared" si="117"/>
        <v>0</v>
      </c>
      <c r="FD33" s="58">
        <f t="shared" si="117"/>
        <v>0</v>
      </c>
      <c r="FE33" s="58">
        <f t="shared" si="117"/>
        <v>0</v>
      </c>
      <c r="FF33" s="58">
        <f t="shared" si="117"/>
        <v>0</v>
      </c>
      <c r="FG33" s="58">
        <f t="shared" si="117"/>
        <v>0</v>
      </c>
      <c r="FH33" s="58">
        <f t="shared" si="117"/>
        <v>0</v>
      </c>
      <c r="FI33" s="58">
        <f t="shared" si="117"/>
        <v>0</v>
      </c>
      <c r="FJ33" s="58">
        <f t="shared" si="117"/>
        <v>0</v>
      </c>
      <c r="FK33" s="58">
        <f t="shared" si="117"/>
        <v>0</v>
      </c>
      <c r="FL33" s="58">
        <f t="shared" si="117"/>
        <v>0</v>
      </c>
      <c r="FM33" s="58">
        <f t="shared" si="117"/>
        <v>0</v>
      </c>
      <c r="FN33" s="58">
        <f t="shared" si="117"/>
        <v>0</v>
      </c>
      <c r="FO33" s="58">
        <f t="shared" si="117"/>
        <v>0</v>
      </c>
      <c r="FP33" s="58">
        <f t="shared" si="117"/>
        <v>0</v>
      </c>
      <c r="FQ33" s="58">
        <f t="shared" si="117"/>
        <v>0</v>
      </c>
      <c r="FR33" s="58">
        <f t="shared" si="117"/>
        <v>0</v>
      </c>
      <c r="FS33" s="58">
        <f t="shared" si="117"/>
        <v>0</v>
      </c>
      <c r="FT33" s="58">
        <f t="shared" si="117"/>
        <v>0</v>
      </c>
      <c r="FU33" s="58">
        <f t="shared" si="117"/>
        <v>0</v>
      </c>
      <c r="FV33" s="58">
        <f t="shared" si="117"/>
        <v>0</v>
      </c>
      <c r="FW33" s="58">
        <f t="shared" si="117"/>
        <v>0</v>
      </c>
      <c r="FX33" s="58">
        <f t="shared" si="117"/>
        <v>0</v>
      </c>
      <c r="FY33" s="58">
        <f t="shared" si="117"/>
        <v>0</v>
      </c>
      <c r="FZ33" s="58">
        <f t="shared" si="117"/>
        <v>0</v>
      </c>
      <c r="GA33" s="58">
        <f t="shared" si="117"/>
        <v>0</v>
      </c>
      <c r="GB33" s="58">
        <f t="shared" si="117"/>
        <v>0</v>
      </c>
      <c r="GC33" s="58">
        <f t="shared" si="117"/>
        <v>0</v>
      </c>
      <c r="GD33" s="58">
        <f t="shared" si="117"/>
        <v>0</v>
      </c>
      <c r="GE33" s="58">
        <f t="shared" si="117"/>
        <v>0</v>
      </c>
      <c r="GF33" s="58">
        <f t="shared" si="117"/>
        <v>0</v>
      </c>
      <c r="GG33" s="58">
        <f t="shared" si="117"/>
        <v>0</v>
      </c>
      <c r="GH33" s="58">
        <f t="shared" si="117"/>
        <v>0</v>
      </c>
      <c r="GI33" s="58">
        <f t="shared" si="117"/>
        <v>0</v>
      </c>
      <c r="GJ33" s="58">
        <f t="shared" si="117"/>
        <v>0</v>
      </c>
      <c r="GK33" s="58">
        <f t="shared" si="117"/>
        <v>0</v>
      </c>
      <c r="GL33" s="58">
        <f t="shared" si="117"/>
        <v>0</v>
      </c>
      <c r="GM33" s="58">
        <f t="shared" si="117"/>
        <v>0</v>
      </c>
      <c r="GN33" s="58">
        <f t="shared" si="117"/>
        <v>0</v>
      </c>
      <c r="GO33" s="58">
        <f t="shared" si="117"/>
        <v>0</v>
      </c>
      <c r="GP33" s="58">
        <f t="shared" ref="GP33:GT33" si="118">IFERROR(-(SUM(GP28:HM28)+GO31-GO32)/SUM(GP24:HM24),0)</f>
        <v>0</v>
      </c>
      <c r="GQ33" s="58">
        <f t="shared" si="118"/>
        <v>0</v>
      </c>
      <c r="GR33" s="58">
        <f t="shared" si="118"/>
        <v>0</v>
      </c>
      <c r="GS33" s="58">
        <f t="shared" si="118"/>
        <v>0</v>
      </c>
      <c r="GT33" s="58">
        <f t="shared" si="118"/>
        <v>0</v>
      </c>
    </row>
    <row r="34" spans="1:202" x14ac:dyDescent="0.25">
      <c r="A34" t="s">
        <v>102</v>
      </c>
      <c r="C34" s="58">
        <f>-(SUM(C28:N28)+B31-B32)/SUM(C24:N24)</f>
        <v>-0.11851690763428785</v>
      </c>
      <c r="D34" s="58">
        <f t="shared" ref="D34" si="119">-(SUM(D28:O28)+C31-C32)/SUM(D24:O24)</f>
        <v>-0.11534761895215111</v>
      </c>
      <c r="E34" s="58">
        <f>IFERROR(-(SUM(E28:P28)+D31-D32)/SUM(E24:P24),0)</f>
        <v>-7.2425630916041961E-3</v>
      </c>
      <c r="F34" s="58">
        <f t="shared" ref="F34:BQ34" si="120">IFERROR(-(SUM(F28:Q28)+E31-E32)/SUM(F24:Q24),0)</f>
        <v>-1.6757846016068206E-3</v>
      </c>
      <c r="G34" s="58">
        <f t="shared" si="120"/>
        <v>6.4040554416600975E-2</v>
      </c>
      <c r="H34" s="58">
        <f t="shared" si="120"/>
        <v>0.21507812490170247</v>
      </c>
      <c r="I34" s="58">
        <f t="shared" si="120"/>
        <v>0.25302045247570432</v>
      </c>
      <c r="J34" s="58">
        <f t="shared" si="120"/>
        <v>0.27716687876994806</v>
      </c>
      <c r="K34" s="58">
        <f t="shared" si="120"/>
        <v>0.32866362408452993</v>
      </c>
      <c r="L34" s="58">
        <f t="shared" si="120"/>
        <v>0.40542821836954668</v>
      </c>
      <c r="M34" s="58">
        <f t="shared" si="120"/>
        <v>0.36785600304701582</v>
      </c>
      <c r="N34" s="58">
        <f t="shared" si="120"/>
        <v>0.40539914685329503</v>
      </c>
      <c r="O34" s="58">
        <f t="shared" si="120"/>
        <v>0.42693076155402954</v>
      </c>
      <c r="P34" s="58">
        <f t="shared" si="120"/>
        <v>0.3566585464750322</v>
      </c>
      <c r="Q34" s="58">
        <f t="shared" si="120"/>
        <v>0.3797842859486818</v>
      </c>
      <c r="R34" s="58">
        <f t="shared" si="120"/>
        <v>0.28187190697148229</v>
      </c>
      <c r="S34" s="58">
        <f t="shared" si="120"/>
        <v>0.6370842311790057</v>
      </c>
      <c r="T34" s="58">
        <f t="shared" si="120"/>
        <v>0.65823165409551299</v>
      </c>
      <c r="U34" s="58">
        <f t="shared" si="120"/>
        <v>0.62817592761929175</v>
      </c>
      <c r="V34" s="58">
        <f t="shared" si="120"/>
        <v>0.57838155192022889</v>
      </c>
      <c r="W34" s="58">
        <f t="shared" si="120"/>
        <v>0.6527362369015085</v>
      </c>
      <c r="X34" s="58">
        <f t="shared" si="120"/>
        <v>0.59860255077919788</v>
      </c>
      <c r="Y34" s="58">
        <f t="shared" si="120"/>
        <v>0.92067222641284152</v>
      </c>
      <c r="Z34" s="58">
        <f t="shared" si="120"/>
        <v>0.86819936435838863</v>
      </c>
      <c r="AA34" s="58">
        <f t="shared" si="120"/>
        <v>0.85997815053352133</v>
      </c>
      <c r="AB34" s="58">
        <f t="shared" si="120"/>
        <v>0.80713604224256208</v>
      </c>
      <c r="AC34" s="58">
        <f t="shared" si="120"/>
        <v>0.70937396447830925</v>
      </c>
      <c r="AD34" s="58">
        <f t="shared" si="120"/>
        <v>0.61330264901333276</v>
      </c>
      <c r="AE34" s="58">
        <f t="shared" si="120"/>
        <v>0.89642593864696896</v>
      </c>
      <c r="AF34" s="58">
        <f t="shared" si="120"/>
        <v>0.81288673625806451</v>
      </c>
      <c r="AG34" s="58">
        <f t="shared" si="120"/>
        <v>0.75523748238039068</v>
      </c>
      <c r="AH34" s="58">
        <f t="shared" si="120"/>
        <v>0.68212681375021444</v>
      </c>
      <c r="AI34" s="58">
        <f t="shared" si="120"/>
        <v>0.70922290710928582</v>
      </c>
      <c r="AJ34" s="58">
        <f t="shared" si="120"/>
        <v>0.64248901966951921</v>
      </c>
      <c r="AK34" s="58">
        <f t="shared" si="120"/>
        <v>0.87201319147706702</v>
      </c>
      <c r="AL34" s="58">
        <f t="shared" si="120"/>
        <v>0.80436026358269175</v>
      </c>
      <c r="AM34" s="58">
        <f t="shared" si="120"/>
        <v>0.7737227292976403</v>
      </c>
      <c r="AN34" s="58">
        <f t="shared" si="120"/>
        <v>0.71295941625080184</v>
      </c>
      <c r="AO34" s="58">
        <f t="shared" si="120"/>
        <v>0.60241252115921762</v>
      </c>
      <c r="AP34" s="58">
        <f t="shared" si="120"/>
        <v>0.5427113074850699</v>
      </c>
      <c r="AQ34" s="58">
        <f t="shared" si="120"/>
        <v>0.4846007682443782</v>
      </c>
      <c r="AR34" s="58">
        <f t="shared" si="120"/>
        <v>0.42649022900368661</v>
      </c>
      <c r="AS34" s="58">
        <f t="shared" si="120"/>
        <v>0.38345683196105129</v>
      </c>
      <c r="AT34" s="58">
        <f t="shared" si="120"/>
        <v>0.32905445677612261</v>
      </c>
      <c r="AU34" s="58">
        <f t="shared" si="120"/>
        <v>0.34776286166305992</v>
      </c>
      <c r="AV34" s="58">
        <f t="shared" si="120"/>
        <v>0.28965232242236821</v>
      </c>
      <c r="AW34" s="58">
        <f t="shared" si="120"/>
        <v>0.23154178318167662</v>
      </c>
      <c r="AX34" s="58">
        <f t="shared" si="120"/>
        <v>0.17343124394098497</v>
      </c>
      <c r="AY34" s="58">
        <f t="shared" si="120"/>
        <v>0.16584856417861987</v>
      </c>
      <c r="AZ34" s="58">
        <f t="shared" si="120"/>
        <v>0.14793456809720396</v>
      </c>
      <c r="BA34" s="58">
        <f t="shared" si="120"/>
        <v>0.14143060174038125</v>
      </c>
      <c r="BB34" s="58">
        <f t="shared" si="120"/>
        <v>0.12661762160520978</v>
      </c>
      <c r="BC34" s="58">
        <f t="shared" si="120"/>
        <v>0.12664986490873975</v>
      </c>
      <c r="BD34" s="58">
        <f t="shared" si="120"/>
        <v>0.1160265890079137</v>
      </c>
      <c r="BE34" s="58">
        <f t="shared" si="120"/>
        <v>0.1144389530754268</v>
      </c>
      <c r="BF34" s="58">
        <f t="shared" si="120"/>
        <v>9.4385607602337968E-2</v>
      </c>
      <c r="BG34" s="58">
        <f t="shared" si="120"/>
        <v>0.17841284934366683</v>
      </c>
      <c r="BH34" s="58">
        <f t="shared" si="120"/>
        <v>0.16545326574013086</v>
      </c>
      <c r="BI34" s="58">
        <f t="shared" si="120"/>
        <v>0.15342068574762679</v>
      </c>
      <c r="BJ34" s="58">
        <f t="shared" si="120"/>
        <v>0.14182511807501094</v>
      </c>
      <c r="BK34" s="58">
        <f t="shared" si="120"/>
        <v>0.15880703461195841</v>
      </c>
      <c r="BL34" s="58">
        <f t="shared" si="120"/>
        <v>0.1409523319614911</v>
      </c>
      <c r="BM34" s="58">
        <f t="shared" si="120"/>
        <v>0.13621359433016245</v>
      </c>
      <c r="BN34" s="58">
        <f t="shared" si="120"/>
        <v>0.12220394153137572</v>
      </c>
      <c r="BO34" s="58">
        <f t="shared" si="120"/>
        <v>0.11035152873276219</v>
      </c>
      <c r="BP34" s="58">
        <f t="shared" si="120"/>
        <v>0.10032019352188122</v>
      </c>
      <c r="BQ34" s="58">
        <f t="shared" si="120"/>
        <v>9.6178834511960534E-2</v>
      </c>
      <c r="BR34" s="58">
        <f t="shared" ref="BR34:EC34" si="121">IFERROR(-(SUM(BR28:CC28)+BQ31-BQ32)/SUM(BR24:CC24),0)</f>
        <v>7.6074123455169521E-2</v>
      </c>
      <c r="BS34" s="58">
        <f t="shared" si="121"/>
        <v>0.16584856417861987</v>
      </c>
      <c r="BT34" s="58">
        <f t="shared" si="121"/>
        <v>0.15380162730772728</v>
      </c>
      <c r="BU34" s="58">
        <f t="shared" si="121"/>
        <v>0.14219222418543853</v>
      </c>
      <c r="BV34" s="58">
        <f t="shared" si="121"/>
        <v>0.13100446398546151</v>
      </c>
      <c r="BW34" s="58">
        <f t="shared" si="121"/>
        <v>0.14899137623881614</v>
      </c>
      <c r="BX34" s="58">
        <f t="shared" si="121"/>
        <v>0.13220639469880846</v>
      </c>
      <c r="BY34" s="58">
        <f t="shared" si="121"/>
        <v>0.12803254603610104</v>
      </c>
      <c r="BZ34" s="58">
        <f t="shared" si="121"/>
        <v>0.11528263071095293</v>
      </c>
      <c r="CA34" s="58">
        <f t="shared" si="121"/>
        <v>0.10449597798290594</v>
      </c>
      <c r="CB34" s="58">
        <f t="shared" si="121"/>
        <v>9.467731102929082E-2</v>
      </c>
      <c r="CC34" s="58">
        <f t="shared" si="121"/>
        <v>8.8609866403132162E-2</v>
      </c>
      <c r="CD34" s="58">
        <f t="shared" si="121"/>
        <v>7.445921759767879E-2</v>
      </c>
      <c r="CE34" s="58">
        <f t="shared" si="121"/>
        <v>0.16584856417861987</v>
      </c>
      <c r="CF34" s="58">
        <f t="shared" si="121"/>
        <v>0.15380162730772731</v>
      </c>
      <c r="CG34" s="58">
        <f t="shared" si="121"/>
        <v>0.14219222418543856</v>
      </c>
      <c r="CH34" s="58">
        <f t="shared" si="121"/>
        <v>0.13100446398546156</v>
      </c>
      <c r="CI34" s="58">
        <f t="shared" si="121"/>
        <v>0.14382777028531796</v>
      </c>
      <c r="CJ34" s="58">
        <f t="shared" si="121"/>
        <v>0.13220639469880849</v>
      </c>
      <c r="CK34" s="58">
        <f t="shared" si="121"/>
        <v>0.12803254603610109</v>
      </c>
      <c r="CL34" s="58">
        <f t="shared" si="121"/>
        <v>0.11528263071095297</v>
      </c>
      <c r="CM34" s="58">
        <f t="shared" si="121"/>
        <v>0.10449597798290598</v>
      </c>
      <c r="CN34" s="58">
        <f t="shared" si="121"/>
        <v>9.4677311029290875E-2</v>
      </c>
      <c r="CO34" s="58">
        <f t="shared" si="121"/>
        <v>8.8609866403132176E-2</v>
      </c>
      <c r="CP34" s="58">
        <f t="shared" si="121"/>
        <v>7.445921759767879E-2</v>
      </c>
      <c r="CQ34" s="58">
        <f t="shared" si="121"/>
        <v>0.16584856417861987</v>
      </c>
      <c r="CR34" s="58">
        <f t="shared" si="121"/>
        <v>0.15380162730772728</v>
      </c>
      <c r="CS34" s="58">
        <f t="shared" si="121"/>
        <v>0.14219222418543853</v>
      </c>
      <c r="CT34" s="58">
        <f t="shared" si="121"/>
        <v>0.1264642318777596</v>
      </c>
      <c r="CU34" s="58">
        <f t="shared" si="121"/>
        <v>0.14297766988601185</v>
      </c>
      <c r="CV34" s="58">
        <f t="shared" si="121"/>
        <v>0.13176138301528195</v>
      </c>
      <c r="CW34" s="58">
        <f t="shared" si="121"/>
        <v>0.12761627709144649</v>
      </c>
      <c r="CX34" s="58">
        <f t="shared" si="121"/>
        <v>0.11493045985860202</v>
      </c>
      <c r="CY34" s="58">
        <f t="shared" si="121"/>
        <v>0.10419803524459169</v>
      </c>
      <c r="CZ34" s="58">
        <f t="shared" si="121"/>
        <v>9.1285859646449238E-2</v>
      </c>
      <c r="DA34" s="58">
        <f t="shared" si="121"/>
        <v>8.8544519555172035E-2</v>
      </c>
      <c r="DB34" s="58">
        <f t="shared" si="121"/>
        <v>7.4426544173698705E-2</v>
      </c>
      <c r="DC34" s="58">
        <f t="shared" si="121"/>
        <v>0.1658485641786199</v>
      </c>
      <c r="DD34" s="58">
        <f t="shared" si="121"/>
        <v>0.15380162730772728</v>
      </c>
      <c r="DE34" s="58">
        <f t="shared" si="121"/>
        <v>0.14219222418543853</v>
      </c>
      <c r="DF34" s="58">
        <f t="shared" si="121"/>
        <v>0.12547492944021488</v>
      </c>
      <c r="DG34" s="58">
        <f t="shared" si="121"/>
        <v>0.14341470942015053</v>
      </c>
      <c r="DH34" s="58">
        <f t="shared" si="121"/>
        <v>0.1321825496725467</v>
      </c>
      <c r="DI34" s="58">
        <f t="shared" si="121"/>
        <v>0.12801024112977008</v>
      </c>
      <c r="DJ34" s="58">
        <f t="shared" si="121"/>
        <v>0.11526376036769277</v>
      </c>
      <c r="DK34" s="58">
        <f t="shared" si="121"/>
        <v>0.10085904122430103</v>
      </c>
      <c r="DL34" s="58">
        <f t="shared" si="121"/>
        <v>9.0068054751649876E-2</v>
      </c>
      <c r="DM34" s="58">
        <f t="shared" si="121"/>
        <v>9.0199654230545934E-2</v>
      </c>
      <c r="DN34" s="58">
        <f t="shared" si="121"/>
        <v>7.5254111511385696E-2</v>
      </c>
      <c r="DO34" s="58">
        <f t="shared" si="121"/>
        <v>0.1658485641786199</v>
      </c>
      <c r="DP34" s="58">
        <f t="shared" si="121"/>
        <v>0.15380162730772728</v>
      </c>
      <c r="DQ34" s="58">
        <f t="shared" si="121"/>
        <v>0.14239694571335226</v>
      </c>
      <c r="DR34" s="58">
        <f t="shared" si="121"/>
        <v>0.12596353136805949</v>
      </c>
      <c r="DS34" s="58">
        <f t="shared" si="121"/>
        <v>0.14385574781931229</v>
      </c>
      <c r="DT34" s="58">
        <f t="shared" si="121"/>
        <v>0.13278734528420516</v>
      </c>
      <c r="DU34" s="58">
        <f t="shared" si="121"/>
        <v>0.13009691952326513</v>
      </c>
      <c r="DV34" s="58">
        <f t="shared" si="121"/>
        <v>0.11702912700831306</v>
      </c>
      <c r="DW34" s="58">
        <f t="shared" si="121"/>
        <v>0.10050933871603732</v>
      </c>
      <c r="DX34" s="58">
        <f t="shared" si="121"/>
        <v>9.1296353362392627E-2</v>
      </c>
      <c r="DY34" s="58">
        <f t="shared" si="121"/>
        <v>9.1018519971041101E-2</v>
      </c>
      <c r="DZ34" s="58">
        <f t="shared" si="121"/>
        <v>7.5663544381633252E-2</v>
      </c>
      <c r="EA34" s="58">
        <f t="shared" si="121"/>
        <v>0.1658485641786199</v>
      </c>
      <c r="EB34" s="58">
        <f t="shared" si="121"/>
        <v>0.14847131210108791</v>
      </c>
      <c r="EC34" s="58">
        <f t="shared" si="121"/>
        <v>0.13806039277562571</v>
      </c>
      <c r="ED34" s="58">
        <f t="shared" ref="ED34:GO34" si="122">IFERROR(-(SUM(ED28:EO28)+EC31-EC32)/SUM(ED24:EO24),0)</f>
        <v>0.12803193793565906</v>
      </c>
      <c r="EE34" s="58">
        <f t="shared" si="122"/>
        <v>0.11556851852348127</v>
      </c>
      <c r="EF34" s="58">
        <f t="shared" si="122"/>
        <v>0.10483479899909562</v>
      </c>
      <c r="EG34" s="58">
        <f t="shared" si="122"/>
        <v>8.7519181775438978E-2</v>
      </c>
      <c r="EH34" s="58">
        <f t="shared" si="122"/>
        <v>7.4042767875677137E-2</v>
      </c>
      <c r="EI34" s="58">
        <f t="shared" si="122"/>
        <v>5.8211281070069572E-2</v>
      </c>
      <c r="EJ34" s="58">
        <f t="shared" si="122"/>
        <v>4.924776814157255E-2</v>
      </c>
      <c r="EK34" s="58">
        <f t="shared" si="122"/>
        <v>3.2831845427715015E-2</v>
      </c>
      <c r="EL34" s="58">
        <f t="shared" si="122"/>
        <v>1.64159227138575E-2</v>
      </c>
      <c r="EM34" s="58">
        <f t="shared" si="122"/>
        <v>0</v>
      </c>
      <c r="EN34" s="58">
        <f t="shared" si="122"/>
        <v>0</v>
      </c>
      <c r="EO34" s="58">
        <f t="shared" si="122"/>
        <v>0</v>
      </c>
      <c r="EP34" s="58">
        <f t="shared" si="122"/>
        <v>0</v>
      </c>
      <c r="EQ34" s="58">
        <f t="shared" si="122"/>
        <v>0</v>
      </c>
      <c r="ER34" s="58">
        <f t="shared" si="122"/>
        <v>0</v>
      </c>
      <c r="ES34" s="58">
        <f t="shared" si="122"/>
        <v>0</v>
      </c>
      <c r="ET34" s="58">
        <f t="shared" si="122"/>
        <v>0</v>
      </c>
      <c r="EU34" s="58">
        <f t="shared" si="122"/>
        <v>0</v>
      </c>
      <c r="EV34" s="58">
        <f t="shared" si="122"/>
        <v>0</v>
      </c>
      <c r="EW34" s="58">
        <f t="shared" si="122"/>
        <v>0</v>
      </c>
      <c r="EX34" s="58">
        <f t="shared" si="122"/>
        <v>0</v>
      </c>
      <c r="EY34" s="58">
        <f t="shared" si="122"/>
        <v>0</v>
      </c>
      <c r="EZ34" s="58">
        <f t="shared" si="122"/>
        <v>0</v>
      </c>
      <c r="FA34" s="58">
        <f t="shared" si="122"/>
        <v>0</v>
      </c>
      <c r="FB34" s="58">
        <f t="shared" si="122"/>
        <v>0</v>
      </c>
      <c r="FC34" s="58">
        <f t="shared" si="122"/>
        <v>0</v>
      </c>
      <c r="FD34" s="58">
        <f t="shared" si="122"/>
        <v>0</v>
      </c>
      <c r="FE34" s="58">
        <f t="shared" si="122"/>
        <v>0</v>
      </c>
      <c r="FF34" s="58">
        <f t="shared" si="122"/>
        <v>0</v>
      </c>
      <c r="FG34" s="58">
        <f t="shared" si="122"/>
        <v>0</v>
      </c>
      <c r="FH34" s="58">
        <f t="shared" si="122"/>
        <v>0</v>
      </c>
      <c r="FI34" s="58">
        <f t="shared" si="122"/>
        <v>0</v>
      </c>
      <c r="FJ34" s="58">
        <f t="shared" si="122"/>
        <v>0</v>
      </c>
      <c r="FK34" s="58">
        <f t="shared" si="122"/>
        <v>0</v>
      </c>
      <c r="FL34" s="58">
        <f t="shared" si="122"/>
        <v>0</v>
      </c>
      <c r="FM34" s="58">
        <f t="shared" si="122"/>
        <v>0</v>
      </c>
      <c r="FN34" s="58">
        <f t="shared" si="122"/>
        <v>0</v>
      </c>
      <c r="FO34" s="58">
        <f t="shared" si="122"/>
        <v>0</v>
      </c>
      <c r="FP34" s="58">
        <f t="shared" si="122"/>
        <v>0</v>
      </c>
      <c r="FQ34" s="58">
        <f t="shared" si="122"/>
        <v>0</v>
      </c>
      <c r="FR34" s="58">
        <f t="shared" si="122"/>
        <v>0</v>
      </c>
      <c r="FS34" s="58">
        <f t="shared" si="122"/>
        <v>0</v>
      </c>
      <c r="FT34" s="58">
        <f t="shared" si="122"/>
        <v>0</v>
      </c>
      <c r="FU34" s="58">
        <f t="shared" si="122"/>
        <v>0</v>
      </c>
      <c r="FV34" s="58">
        <f t="shared" si="122"/>
        <v>0</v>
      </c>
      <c r="FW34" s="58">
        <f t="shared" si="122"/>
        <v>0</v>
      </c>
      <c r="FX34" s="58">
        <f t="shared" si="122"/>
        <v>0</v>
      </c>
      <c r="FY34" s="58">
        <f t="shared" si="122"/>
        <v>0</v>
      </c>
      <c r="FZ34" s="58">
        <f t="shared" si="122"/>
        <v>0</v>
      </c>
      <c r="GA34" s="58">
        <f t="shared" si="122"/>
        <v>0</v>
      </c>
      <c r="GB34" s="58">
        <f t="shared" si="122"/>
        <v>0</v>
      </c>
      <c r="GC34" s="58">
        <f t="shared" si="122"/>
        <v>0</v>
      </c>
      <c r="GD34" s="58">
        <f t="shared" si="122"/>
        <v>0</v>
      </c>
      <c r="GE34" s="58">
        <f t="shared" si="122"/>
        <v>0</v>
      </c>
      <c r="GF34" s="58">
        <f t="shared" si="122"/>
        <v>0</v>
      </c>
      <c r="GG34" s="58">
        <f t="shared" si="122"/>
        <v>0</v>
      </c>
      <c r="GH34" s="58">
        <f t="shared" si="122"/>
        <v>0</v>
      </c>
      <c r="GI34" s="58">
        <f t="shared" si="122"/>
        <v>0</v>
      </c>
      <c r="GJ34" s="58">
        <f t="shared" si="122"/>
        <v>0</v>
      </c>
      <c r="GK34" s="58">
        <f t="shared" si="122"/>
        <v>0</v>
      </c>
      <c r="GL34" s="58">
        <f t="shared" si="122"/>
        <v>0</v>
      </c>
      <c r="GM34" s="58">
        <f t="shared" si="122"/>
        <v>0</v>
      </c>
      <c r="GN34" s="58">
        <f t="shared" si="122"/>
        <v>0</v>
      </c>
      <c r="GO34" s="58">
        <f t="shared" si="122"/>
        <v>0</v>
      </c>
      <c r="GP34" s="58">
        <f t="shared" ref="GP34:GT34" si="123">IFERROR(-(SUM(GP28:HA28)+GO31-GO32)/SUM(GP24:HA24),0)</f>
        <v>0</v>
      </c>
      <c r="GQ34" s="58">
        <f t="shared" si="123"/>
        <v>0</v>
      </c>
      <c r="GR34" s="58">
        <f t="shared" si="123"/>
        <v>0</v>
      </c>
      <c r="GS34" s="58">
        <f t="shared" si="123"/>
        <v>0</v>
      </c>
      <c r="GT34" s="58">
        <f t="shared" si="123"/>
        <v>0</v>
      </c>
    </row>
    <row r="35" spans="1:202" x14ac:dyDescent="0.25">
      <c r="A35" t="s">
        <v>187</v>
      </c>
      <c r="C35" s="58">
        <f>-(SUM(C28:K28)+B31-B32)/SUM(C24:K24)</f>
        <v>-0.16484999960091293</v>
      </c>
      <c r="D35" s="58">
        <f t="shared" ref="D35" si="124">-(SUM(D28:L28)+C31-C32)/SUM(D24:L24)</f>
        <v>-0.15768149472791385</v>
      </c>
      <c r="E35" s="58">
        <f>IFERROR(-(SUM(E28:M28)+D31-D32)/SUM(E24:M24),0)</f>
        <v>-3.0518882583468229E-2</v>
      </c>
      <c r="F35" s="58">
        <f t="shared" ref="F35:BQ35" si="125">IFERROR(-(SUM(F28:N28)+E31-E32)/SUM(F24:N24),0)</f>
        <v>-3.580363333402007E-2</v>
      </c>
      <c r="G35" s="58">
        <f t="shared" si="125"/>
        <v>-3.9734310256791423E-2</v>
      </c>
      <c r="H35" s="58">
        <f t="shared" si="125"/>
        <v>2.4306863607010967E-2</v>
      </c>
      <c r="I35" s="58">
        <f t="shared" si="125"/>
        <v>4.5884852029375429E-2</v>
      </c>
      <c r="J35" s="58">
        <f t="shared" si="125"/>
        <v>0.15083762482056412</v>
      </c>
      <c r="K35" s="58">
        <f t="shared" si="125"/>
        <v>0.25900851285184889</v>
      </c>
      <c r="L35" s="58">
        <f t="shared" si="125"/>
        <v>0.3214433195320906</v>
      </c>
      <c r="M35" s="58">
        <f t="shared" si="125"/>
        <v>0.27835529697480199</v>
      </c>
      <c r="N35" s="58">
        <f t="shared" si="125"/>
        <v>0.45848760014468531</v>
      </c>
      <c r="O35" s="58">
        <f t="shared" si="125"/>
        <v>0.48713256608896427</v>
      </c>
      <c r="P35" s="58">
        <f t="shared" si="125"/>
        <v>0.39939570065664998</v>
      </c>
      <c r="Q35" s="58">
        <f t="shared" si="125"/>
        <v>0.40083251912254375</v>
      </c>
      <c r="R35" s="58">
        <f t="shared" si="125"/>
        <v>0.35961112004793522</v>
      </c>
      <c r="S35" s="58">
        <f t="shared" si="125"/>
        <v>0.2769458574201768</v>
      </c>
      <c r="T35" s="58">
        <f t="shared" si="125"/>
        <v>0.25770181297826439</v>
      </c>
      <c r="U35" s="58">
        <f t="shared" si="125"/>
        <v>0.18493534520478391</v>
      </c>
      <c r="V35" s="58">
        <f t="shared" si="125"/>
        <v>0.61151322736306568</v>
      </c>
      <c r="W35" s="58">
        <f t="shared" si="125"/>
        <v>0.64075881001765445</v>
      </c>
      <c r="X35" s="58">
        <f t="shared" si="125"/>
        <v>0.59503763903533791</v>
      </c>
      <c r="Y35" s="58">
        <f t="shared" si="125"/>
        <v>0.53041023300932333</v>
      </c>
      <c r="Z35" s="58">
        <f t="shared" si="125"/>
        <v>0.62116575693723775</v>
      </c>
      <c r="AA35" s="58">
        <f t="shared" si="125"/>
        <v>0.55474406705238322</v>
      </c>
      <c r="AB35" s="58">
        <f t="shared" si="125"/>
        <v>0.95159499295265848</v>
      </c>
      <c r="AC35" s="58">
        <f t="shared" si="125"/>
        <v>0.89573988868016985</v>
      </c>
      <c r="AD35" s="58">
        <f t="shared" si="125"/>
        <v>0.89105023315525811</v>
      </c>
      <c r="AE35" s="58">
        <f t="shared" si="125"/>
        <v>0.81084544167159212</v>
      </c>
      <c r="AF35" s="58">
        <f t="shared" si="125"/>
        <v>0.67769670868438103</v>
      </c>
      <c r="AG35" s="58">
        <f t="shared" si="125"/>
        <v>0.56478583281350769</v>
      </c>
      <c r="AH35" s="58">
        <f t="shared" si="125"/>
        <v>0.92030691990122526</v>
      </c>
      <c r="AI35" s="58">
        <f t="shared" si="125"/>
        <v>0.81697293274458449</v>
      </c>
      <c r="AJ35" s="58">
        <f t="shared" si="125"/>
        <v>0.74184312404853592</v>
      </c>
      <c r="AK35" s="58">
        <f t="shared" si="125"/>
        <v>0.64876678648928565</v>
      </c>
      <c r="AL35" s="58">
        <f t="shared" si="125"/>
        <v>0.69103695403346499</v>
      </c>
      <c r="AM35" s="58">
        <f t="shared" si="125"/>
        <v>0.61219196145717991</v>
      </c>
      <c r="AN35" s="58">
        <f t="shared" si="125"/>
        <v>0.88533375026455052</v>
      </c>
      <c r="AO35" s="58">
        <f t="shared" si="125"/>
        <v>0.80555330580495876</v>
      </c>
      <c r="AP35" s="58">
        <f t="shared" si="125"/>
        <v>0.76508095714503588</v>
      </c>
      <c r="AQ35" s="58">
        <f t="shared" si="125"/>
        <v>0.68081941779172583</v>
      </c>
      <c r="AR35" s="58">
        <f t="shared" si="125"/>
        <v>0.54532431695004535</v>
      </c>
      <c r="AS35" s="58">
        <f t="shared" si="125"/>
        <v>0.47102228617889003</v>
      </c>
      <c r="AT35" s="58">
        <f t="shared" si="125"/>
        <v>0.40146163491265696</v>
      </c>
      <c r="AU35" s="58">
        <f t="shared" si="125"/>
        <v>0.3044097357008787</v>
      </c>
      <c r="AV35" s="58">
        <f t="shared" si="125"/>
        <v>0.2467384540899332</v>
      </c>
      <c r="AW35" s="58">
        <f t="shared" si="125"/>
        <v>0.16886151423799634</v>
      </c>
      <c r="AX35" s="58">
        <f t="shared" si="125"/>
        <v>0.22175484503092049</v>
      </c>
      <c r="AY35" s="58">
        <f t="shared" si="125"/>
        <v>0.17350313185201818</v>
      </c>
      <c r="AZ35" s="58">
        <f t="shared" si="125"/>
        <v>0.15738858804981759</v>
      </c>
      <c r="BA35" s="58">
        <f t="shared" si="125"/>
        <v>0.13949088561653547</v>
      </c>
      <c r="BB35" s="58">
        <f t="shared" si="125"/>
        <v>0.16173610876547515</v>
      </c>
      <c r="BC35" s="58">
        <f t="shared" si="125"/>
        <v>0.13646055658741341</v>
      </c>
      <c r="BD35" s="58">
        <f t="shared" si="125"/>
        <v>0.13229027615706915</v>
      </c>
      <c r="BE35" s="58">
        <f t="shared" si="125"/>
        <v>0.11098214731108801</v>
      </c>
      <c r="BF35" s="58">
        <f t="shared" si="125"/>
        <v>0.10573912326621969</v>
      </c>
      <c r="BG35" s="58">
        <f t="shared" si="125"/>
        <v>7.7455023257133562E-2</v>
      </c>
      <c r="BH35" s="58">
        <f t="shared" si="125"/>
        <v>8.0292873076688157E-2</v>
      </c>
      <c r="BI35" s="58">
        <f t="shared" si="125"/>
        <v>6.1221812343349009E-2</v>
      </c>
      <c r="BJ35" s="58">
        <f t="shared" si="125"/>
        <v>0.18134222165250669</v>
      </c>
      <c r="BK35" s="58">
        <f t="shared" si="125"/>
        <v>0.16449960248583895</v>
      </c>
      <c r="BL35" s="58">
        <f t="shared" si="125"/>
        <v>0.14848619542526742</v>
      </c>
      <c r="BM35" s="58">
        <f t="shared" si="125"/>
        <v>0.13192611198086357</v>
      </c>
      <c r="BN35" s="58">
        <f t="shared" si="125"/>
        <v>0.15533617715076617</v>
      </c>
      <c r="BO35" s="58">
        <f t="shared" si="125"/>
        <v>0.13131401865682024</v>
      </c>
      <c r="BP35" s="58">
        <f t="shared" si="125"/>
        <v>0.12827267141949775</v>
      </c>
      <c r="BQ35" s="58">
        <f t="shared" si="125"/>
        <v>0.10811431902771462</v>
      </c>
      <c r="BR35" s="58">
        <f t="shared" ref="BR35:EC35" si="126">IFERROR(-(SUM(BR28:BZ28)+BQ31-BQ32)/SUM(BR24:BZ24),0)</f>
        <v>8.1745210121601727E-2</v>
      </c>
      <c r="BS35" s="58">
        <f t="shared" si="126"/>
        <v>6.0616974722974094E-2</v>
      </c>
      <c r="BT35" s="58">
        <f t="shared" si="126"/>
        <v>6.1708896646651724E-2</v>
      </c>
      <c r="BU35" s="58">
        <f t="shared" si="126"/>
        <v>4.6864735169261568E-2</v>
      </c>
      <c r="BV35" s="58">
        <f t="shared" si="126"/>
        <v>0.16750658041373578</v>
      </c>
      <c r="BW35" s="58">
        <f t="shared" si="126"/>
        <v>0.15194898154839528</v>
      </c>
      <c r="BX35" s="58">
        <f t="shared" si="126"/>
        <v>0.13676531244853868</v>
      </c>
      <c r="BY35" s="58">
        <f t="shared" si="126"/>
        <v>0.12006341492472145</v>
      </c>
      <c r="BZ35" s="58">
        <f t="shared" si="126"/>
        <v>0.14530012669086678</v>
      </c>
      <c r="CA35" s="58">
        <f t="shared" si="126"/>
        <v>0.12324347705188966</v>
      </c>
      <c r="CB35" s="58">
        <f t="shared" si="126"/>
        <v>0.12105749781964811</v>
      </c>
      <c r="CC35" s="58">
        <f t="shared" si="126"/>
        <v>9.8545007754080358E-2</v>
      </c>
      <c r="CD35" s="58">
        <f t="shared" si="126"/>
        <v>7.9580991238527229E-2</v>
      </c>
      <c r="CE35" s="58">
        <f t="shared" si="126"/>
        <v>6.0616974722974094E-2</v>
      </c>
      <c r="CF35" s="58">
        <f t="shared" si="126"/>
        <v>6.1708896646651738E-2</v>
      </c>
      <c r="CG35" s="58">
        <f t="shared" si="126"/>
        <v>4.6864735169261595E-2</v>
      </c>
      <c r="CH35" s="58">
        <f t="shared" si="126"/>
        <v>0.16750658041373584</v>
      </c>
      <c r="CI35" s="58">
        <f t="shared" si="126"/>
        <v>0.15194898154839534</v>
      </c>
      <c r="CJ35" s="58">
        <f t="shared" si="126"/>
        <v>0.13676531244853873</v>
      </c>
      <c r="CK35" s="58">
        <f t="shared" si="126"/>
        <v>0.12006341492472151</v>
      </c>
      <c r="CL35" s="58">
        <f t="shared" si="126"/>
        <v>0.13811041841035687</v>
      </c>
      <c r="CM35" s="58">
        <f t="shared" si="126"/>
        <v>0.12324347705188973</v>
      </c>
      <c r="CN35" s="58">
        <f t="shared" si="126"/>
        <v>0.12105749781964817</v>
      </c>
      <c r="CO35" s="58">
        <f t="shared" si="126"/>
        <v>9.8545007754080399E-2</v>
      </c>
      <c r="CP35" s="58">
        <f t="shared" si="126"/>
        <v>7.9580991238527229E-2</v>
      </c>
      <c r="CQ35" s="58">
        <f t="shared" si="126"/>
        <v>6.0616974722974094E-2</v>
      </c>
      <c r="CR35" s="58">
        <f t="shared" si="126"/>
        <v>6.1708896646651731E-2</v>
      </c>
      <c r="CS35" s="58">
        <f t="shared" si="126"/>
        <v>4.6864735169261568E-2</v>
      </c>
      <c r="CT35" s="58">
        <f t="shared" si="126"/>
        <v>0.16750658041373578</v>
      </c>
      <c r="CU35" s="58">
        <f t="shared" si="126"/>
        <v>0.15120045555413059</v>
      </c>
      <c r="CV35" s="58">
        <f t="shared" si="126"/>
        <v>0.13616892926978588</v>
      </c>
      <c r="CW35" s="58">
        <f t="shared" si="126"/>
        <v>0.11354873212747511</v>
      </c>
      <c r="CX35" s="58">
        <f t="shared" si="126"/>
        <v>0.13762503118764141</v>
      </c>
      <c r="CY35" s="58">
        <f t="shared" si="126"/>
        <v>0.12283283092001024</v>
      </c>
      <c r="CZ35" s="58">
        <f t="shared" si="126"/>
        <v>0.12091151752920321</v>
      </c>
      <c r="DA35" s="58">
        <f t="shared" si="126"/>
        <v>9.8457433062559649E-2</v>
      </c>
      <c r="DB35" s="58">
        <f t="shared" si="126"/>
        <v>7.9537203892766875E-2</v>
      </c>
      <c r="DC35" s="58">
        <f t="shared" si="126"/>
        <v>5.7834377284006068E-2</v>
      </c>
      <c r="DD35" s="58">
        <f t="shared" si="126"/>
        <v>6.1708896646651731E-2</v>
      </c>
      <c r="DE35" s="58">
        <f t="shared" si="126"/>
        <v>4.6864735169261568E-2</v>
      </c>
      <c r="DF35" s="58">
        <f t="shared" si="126"/>
        <v>0.16815544410056191</v>
      </c>
      <c r="DG35" s="58">
        <f t="shared" si="126"/>
        <v>0.1517861548430679</v>
      </c>
      <c r="DH35" s="58">
        <f t="shared" si="126"/>
        <v>0.13673335649527757</v>
      </c>
      <c r="DI35" s="58">
        <f t="shared" si="126"/>
        <v>0.11409172172793501</v>
      </c>
      <c r="DJ35" s="58">
        <f t="shared" si="126"/>
        <v>0.13808440994473398</v>
      </c>
      <c r="DK35" s="58">
        <f t="shared" si="126"/>
        <v>0.12322147343229624</v>
      </c>
      <c r="DL35" s="58">
        <f t="shared" si="126"/>
        <v>0.12070485963695053</v>
      </c>
      <c r="DM35" s="58">
        <f t="shared" si="126"/>
        <v>0.10067556466562505</v>
      </c>
      <c r="DN35" s="58">
        <f t="shared" si="126"/>
        <v>7.6944235659456336E-2</v>
      </c>
      <c r="DO35" s="58">
        <f t="shared" si="126"/>
        <v>5.7834377284006068E-2</v>
      </c>
      <c r="DP35" s="58">
        <f t="shared" si="126"/>
        <v>6.1708896646651731E-2</v>
      </c>
      <c r="DQ35" s="58">
        <f t="shared" si="126"/>
        <v>4.7126498791924903E-2</v>
      </c>
      <c r="DR35" s="58">
        <f t="shared" si="126"/>
        <v>0.16881024482076673</v>
      </c>
      <c r="DS35" s="58">
        <f t="shared" si="126"/>
        <v>0.15237721321789477</v>
      </c>
      <c r="DT35" s="58">
        <f t="shared" si="126"/>
        <v>0.13754387438217508</v>
      </c>
      <c r="DU35" s="58">
        <f t="shared" si="126"/>
        <v>0.11696773211709009</v>
      </c>
      <c r="DV35" s="58">
        <f t="shared" si="126"/>
        <v>0.14051756534372567</v>
      </c>
      <c r="DW35" s="58">
        <f t="shared" si="126"/>
        <v>0.12387853361888509</v>
      </c>
      <c r="DX35" s="58">
        <f t="shared" si="126"/>
        <v>0.12235096614841873</v>
      </c>
      <c r="DY35" s="58">
        <f t="shared" si="126"/>
        <v>0.10177296900660385</v>
      </c>
      <c r="DZ35" s="58">
        <f t="shared" si="126"/>
        <v>7.7467749881168349E-2</v>
      </c>
      <c r="EA35" s="58">
        <f t="shared" si="126"/>
        <v>5.7834377284006068E-2</v>
      </c>
      <c r="EB35" s="58">
        <f t="shared" si="126"/>
        <v>6.1708896646651745E-2</v>
      </c>
      <c r="EC35" s="58">
        <f t="shared" si="126"/>
        <v>4.7919246646190704E-2</v>
      </c>
      <c r="ED35" s="58">
        <f t="shared" ref="ED35:GO35" si="127">IFERROR(-(SUM(ED28:EL28)+EC31-EC32)/SUM(ED24:EL24),0)</f>
        <v>0.1715822234662773</v>
      </c>
      <c r="EE35" s="58">
        <f t="shared" si="127"/>
        <v>0.1477696770966383</v>
      </c>
      <c r="EF35" s="58">
        <f t="shared" si="127"/>
        <v>0.1340451932282907</v>
      </c>
      <c r="EG35" s="58">
        <f t="shared" si="127"/>
        <v>0.12062523713341609</v>
      </c>
      <c r="EH35" s="58">
        <f t="shared" si="127"/>
        <v>0.10205107328282309</v>
      </c>
      <c r="EI35" s="58">
        <f t="shared" si="127"/>
        <v>8.440761718586097E-2</v>
      </c>
      <c r="EJ35" s="58">
        <f t="shared" si="127"/>
        <v>6.5999481806869015E-2</v>
      </c>
      <c r="EK35" s="58">
        <f t="shared" si="127"/>
        <v>4.3999654537912665E-2</v>
      </c>
      <c r="EL35" s="58">
        <f t="shared" si="127"/>
        <v>2.0989934193689802E-2</v>
      </c>
      <c r="EM35" s="58">
        <f t="shared" si="127"/>
        <v>0</v>
      </c>
      <c r="EN35" s="58">
        <f t="shared" si="127"/>
        <v>0</v>
      </c>
      <c r="EO35" s="58">
        <f t="shared" si="127"/>
        <v>0</v>
      </c>
      <c r="EP35" s="58">
        <f t="shared" si="127"/>
        <v>0</v>
      </c>
      <c r="EQ35" s="58">
        <f t="shared" si="127"/>
        <v>0</v>
      </c>
      <c r="ER35" s="58">
        <f t="shared" si="127"/>
        <v>0</v>
      </c>
      <c r="ES35" s="58">
        <f t="shared" si="127"/>
        <v>0</v>
      </c>
      <c r="ET35" s="58">
        <f t="shared" si="127"/>
        <v>0</v>
      </c>
      <c r="EU35" s="58">
        <f t="shared" si="127"/>
        <v>0</v>
      </c>
      <c r="EV35" s="58">
        <f t="shared" si="127"/>
        <v>0</v>
      </c>
      <c r="EW35" s="58">
        <f t="shared" si="127"/>
        <v>0</v>
      </c>
      <c r="EX35" s="58">
        <f t="shared" si="127"/>
        <v>0</v>
      </c>
      <c r="EY35" s="58">
        <f t="shared" si="127"/>
        <v>0</v>
      </c>
      <c r="EZ35" s="58">
        <f t="shared" si="127"/>
        <v>0</v>
      </c>
      <c r="FA35" s="58">
        <f t="shared" si="127"/>
        <v>0</v>
      </c>
      <c r="FB35" s="58">
        <f t="shared" si="127"/>
        <v>0</v>
      </c>
      <c r="FC35" s="58">
        <f t="shared" si="127"/>
        <v>0</v>
      </c>
      <c r="FD35" s="58">
        <f t="shared" si="127"/>
        <v>0</v>
      </c>
      <c r="FE35" s="58">
        <f t="shared" si="127"/>
        <v>0</v>
      </c>
      <c r="FF35" s="58">
        <f t="shared" si="127"/>
        <v>0</v>
      </c>
      <c r="FG35" s="58">
        <f t="shared" si="127"/>
        <v>0</v>
      </c>
      <c r="FH35" s="58">
        <f t="shared" si="127"/>
        <v>0</v>
      </c>
      <c r="FI35" s="58">
        <f t="shared" si="127"/>
        <v>0</v>
      </c>
      <c r="FJ35" s="58">
        <f t="shared" si="127"/>
        <v>0</v>
      </c>
      <c r="FK35" s="58">
        <f t="shared" si="127"/>
        <v>0</v>
      </c>
      <c r="FL35" s="58">
        <f t="shared" si="127"/>
        <v>0</v>
      </c>
      <c r="FM35" s="58">
        <f t="shared" si="127"/>
        <v>0</v>
      </c>
      <c r="FN35" s="58">
        <f t="shared" si="127"/>
        <v>0</v>
      </c>
      <c r="FO35" s="58">
        <f t="shared" si="127"/>
        <v>0</v>
      </c>
      <c r="FP35" s="58">
        <f t="shared" si="127"/>
        <v>0</v>
      </c>
      <c r="FQ35" s="58">
        <f t="shared" si="127"/>
        <v>0</v>
      </c>
      <c r="FR35" s="58">
        <f t="shared" si="127"/>
        <v>0</v>
      </c>
      <c r="FS35" s="58">
        <f t="shared" si="127"/>
        <v>0</v>
      </c>
      <c r="FT35" s="58">
        <f t="shared" si="127"/>
        <v>0</v>
      </c>
      <c r="FU35" s="58">
        <f t="shared" si="127"/>
        <v>0</v>
      </c>
      <c r="FV35" s="58">
        <f t="shared" si="127"/>
        <v>0</v>
      </c>
      <c r="FW35" s="58">
        <f t="shared" si="127"/>
        <v>0</v>
      </c>
      <c r="FX35" s="58">
        <f t="shared" si="127"/>
        <v>0</v>
      </c>
      <c r="FY35" s="58">
        <f t="shared" si="127"/>
        <v>0</v>
      </c>
      <c r="FZ35" s="58">
        <f t="shared" si="127"/>
        <v>0</v>
      </c>
      <c r="GA35" s="58">
        <f t="shared" si="127"/>
        <v>0</v>
      </c>
      <c r="GB35" s="58">
        <f t="shared" si="127"/>
        <v>0</v>
      </c>
      <c r="GC35" s="58">
        <f t="shared" si="127"/>
        <v>0</v>
      </c>
      <c r="GD35" s="58">
        <f t="shared" si="127"/>
        <v>0</v>
      </c>
      <c r="GE35" s="58">
        <f t="shared" si="127"/>
        <v>0</v>
      </c>
      <c r="GF35" s="58">
        <f t="shared" si="127"/>
        <v>0</v>
      </c>
      <c r="GG35" s="58">
        <f t="shared" si="127"/>
        <v>0</v>
      </c>
      <c r="GH35" s="58">
        <f t="shared" si="127"/>
        <v>0</v>
      </c>
      <c r="GI35" s="58">
        <f t="shared" si="127"/>
        <v>0</v>
      </c>
      <c r="GJ35" s="58">
        <f t="shared" si="127"/>
        <v>0</v>
      </c>
      <c r="GK35" s="58">
        <f t="shared" si="127"/>
        <v>0</v>
      </c>
      <c r="GL35" s="58">
        <f t="shared" si="127"/>
        <v>0</v>
      </c>
      <c r="GM35" s="58">
        <f t="shared" si="127"/>
        <v>0</v>
      </c>
      <c r="GN35" s="58">
        <f t="shared" si="127"/>
        <v>0</v>
      </c>
      <c r="GO35" s="58">
        <f t="shared" si="127"/>
        <v>0</v>
      </c>
      <c r="GP35" s="58">
        <f t="shared" ref="GP35:GT35" si="128">IFERROR(-(SUM(GP28:GX28)+GO31-GO32)/SUM(GP24:GX24),0)</f>
        <v>0</v>
      </c>
      <c r="GQ35" s="58">
        <f t="shared" si="128"/>
        <v>0</v>
      </c>
      <c r="GR35" s="58">
        <f t="shared" si="128"/>
        <v>0</v>
      </c>
      <c r="GS35" s="58">
        <f t="shared" si="128"/>
        <v>0</v>
      </c>
      <c r="GT35" s="58">
        <f t="shared" si="128"/>
        <v>0</v>
      </c>
    </row>
    <row r="36" spans="1:202" x14ac:dyDescent="0.25">
      <c r="A36" t="s">
        <v>103</v>
      </c>
      <c r="C36" s="58">
        <f>-(SUM(C28:H28)+B31-B32)/SUM(C24:H24)</f>
        <v>-0.38551234117540567</v>
      </c>
      <c r="D36" s="58">
        <f t="shared" ref="D36" si="129">-(SUM(D28:I28)+C31-C32)/SUM(D24:I24)</f>
        <v>-0.37389584712567026</v>
      </c>
      <c r="E36" s="58">
        <f>IFERROR(-(SUM(E28:J28)+D31-D32)/SUM(E24:J24),0)</f>
        <v>-9.4719065965813837E-2</v>
      </c>
      <c r="F36" s="58">
        <f t="shared" ref="F36:BQ36" si="130">IFERROR(-(SUM(F28:K28)+E31-E32)/SUM(F24:K24),0)</f>
        <v>-5.0616216204456797E-2</v>
      </c>
      <c r="G36" s="58">
        <f t="shared" si="130"/>
        <v>-5.7645211959079762E-2</v>
      </c>
      <c r="H36" s="58">
        <f t="shared" si="130"/>
        <v>6.5743445518194089E-3</v>
      </c>
      <c r="I36" s="58">
        <f t="shared" si="130"/>
        <v>2.7402707302445706E-2</v>
      </c>
      <c r="J36" s="58">
        <f t="shared" si="130"/>
        <v>5.7640671259342822E-2</v>
      </c>
      <c r="K36" s="58">
        <f t="shared" si="130"/>
        <v>1.2544251732537301E-2</v>
      </c>
      <c r="L36" s="58">
        <f t="shared" si="130"/>
        <v>4.3038225143401249E-2</v>
      </c>
      <c r="M36" s="58">
        <f t="shared" si="130"/>
        <v>8.6697950183426339E-2</v>
      </c>
      <c r="N36" s="58">
        <f t="shared" si="130"/>
        <v>0.37764319061354978</v>
      </c>
      <c r="O36" s="58">
        <f t="shared" si="130"/>
        <v>0.39210638871329689</v>
      </c>
      <c r="P36" s="58">
        <f t="shared" si="130"/>
        <v>0.26954980891415958</v>
      </c>
      <c r="Q36" s="58">
        <f t="shared" si="130"/>
        <v>0.49105862066350658</v>
      </c>
      <c r="R36" s="58">
        <f t="shared" si="130"/>
        <v>0.43962643777273308</v>
      </c>
      <c r="S36" s="58">
        <f t="shared" si="130"/>
        <v>0.31054191493392169</v>
      </c>
      <c r="T36" s="58">
        <f t="shared" si="130"/>
        <v>0.20096790529100339</v>
      </c>
      <c r="U36" s="58">
        <f t="shared" si="130"/>
        <v>0.21203074403497993</v>
      </c>
      <c r="V36" s="58">
        <f t="shared" si="130"/>
        <v>0.12341702517023032</v>
      </c>
      <c r="W36" s="58">
        <f t="shared" si="130"/>
        <v>0.13554950616130496</v>
      </c>
      <c r="X36" s="58">
        <f t="shared" si="130"/>
        <v>-3.0187617636424195E-2</v>
      </c>
      <c r="Y36" s="58">
        <f t="shared" si="130"/>
        <v>0.55970350270608915</v>
      </c>
      <c r="Z36" s="58">
        <f t="shared" si="130"/>
        <v>0.58862819863696914</v>
      </c>
      <c r="AA36" s="58">
        <f t="shared" si="130"/>
        <v>0.5293136276868291</v>
      </c>
      <c r="AB36" s="58">
        <f t="shared" si="130"/>
        <v>0.42927324125314126</v>
      </c>
      <c r="AC36" s="58">
        <f t="shared" si="130"/>
        <v>0.52119068051956874</v>
      </c>
      <c r="AD36" s="58">
        <f t="shared" si="130"/>
        <v>0.37299976600947421</v>
      </c>
      <c r="AE36" s="58">
        <f t="shared" si="130"/>
        <v>1.0644780620378052</v>
      </c>
      <c r="AF36" s="58">
        <f t="shared" si="130"/>
        <v>0.94986933756761027</v>
      </c>
      <c r="AG36" s="58">
        <f t="shared" si="130"/>
        <v>0.93215507754541382</v>
      </c>
      <c r="AH36" s="58">
        <f t="shared" si="130"/>
        <v>0.81576575604632751</v>
      </c>
      <c r="AI36" s="58">
        <f t="shared" si="130"/>
        <v>0.61197469270141824</v>
      </c>
      <c r="AJ36" s="58">
        <f t="shared" si="130"/>
        <v>0.451935305215587</v>
      </c>
      <c r="AK36" s="58">
        <f t="shared" si="130"/>
        <v>0.97342883266262725</v>
      </c>
      <c r="AL36" s="58">
        <f t="shared" si="130"/>
        <v>0.82244355379366629</v>
      </c>
      <c r="AM36" s="58">
        <f t="shared" si="130"/>
        <v>0.72427223488814685</v>
      </c>
      <c r="AN36" s="58">
        <f t="shared" si="130"/>
        <v>0.60576767967602418</v>
      </c>
      <c r="AO36" s="58">
        <f t="shared" si="130"/>
        <v>0.64768135004923211</v>
      </c>
      <c r="AP36" s="58">
        <f t="shared" si="130"/>
        <v>0.52189597980537172</v>
      </c>
      <c r="AQ36" s="58">
        <f t="shared" si="130"/>
        <v>0.93139933406096398</v>
      </c>
      <c r="AR36" s="58">
        <f t="shared" si="130"/>
        <v>0.80821341183111262</v>
      </c>
      <c r="AS36" s="58">
        <f t="shared" si="130"/>
        <v>0.7489502027795143</v>
      </c>
      <c r="AT36" s="58">
        <f t="shared" si="130"/>
        <v>0.63362505098747834</v>
      </c>
      <c r="AU36" s="58">
        <f t="shared" si="130"/>
        <v>0.42998065037668565</v>
      </c>
      <c r="AV36" s="58">
        <f t="shared" si="130"/>
        <v>0.31997898709287503</v>
      </c>
      <c r="AW36" s="58">
        <f t="shared" si="130"/>
        <v>0.20997732380906442</v>
      </c>
      <c r="AX36" s="58">
        <f t="shared" si="130"/>
        <v>9.9975660525253834E-2</v>
      </c>
      <c r="AY36" s="58">
        <f t="shared" si="130"/>
        <v>5.7081236588882381E-2</v>
      </c>
      <c r="AZ36" s="58">
        <f t="shared" si="130"/>
        <v>3.3224195228042E-2</v>
      </c>
      <c r="BA36" s="58">
        <f t="shared" si="130"/>
        <v>0.20392831081902918</v>
      </c>
      <c r="BB36" s="58">
        <f t="shared" si="130"/>
        <v>0.17252693952275677</v>
      </c>
      <c r="BC36" s="58">
        <f t="shared" si="130"/>
        <v>0.14596082682950098</v>
      </c>
      <c r="BD36" s="58">
        <f t="shared" si="130"/>
        <v>0.12344102136830773</v>
      </c>
      <c r="BE36" s="58">
        <f t="shared" si="130"/>
        <v>0.15203681984931583</v>
      </c>
      <c r="BF36" s="58">
        <f t="shared" si="130"/>
        <v>0.10845581229748588</v>
      </c>
      <c r="BG36" s="58">
        <f t="shared" si="130"/>
        <v>8.5621854883323564E-2</v>
      </c>
      <c r="BH36" s="58">
        <f t="shared" si="130"/>
        <v>6.1089717159564461E-2</v>
      </c>
      <c r="BI36" s="58">
        <f t="shared" si="130"/>
        <v>6.2096220525745024E-2</v>
      </c>
      <c r="BJ36" s="58">
        <f t="shared" si="130"/>
        <v>4.0146127696206402E-2</v>
      </c>
      <c r="BK36" s="58">
        <f t="shared" si="130"/>
        <v>4.3751813483951116E-2</v>
      </c>
      <c r="BL36" s="58">
        <f t="shared" si="130"/>
        <v>9.9533491321704918E-3</v>
      </c>
      <c r="BM36" s="58">
        <f t="shared" si="130"/>
        <v>0.19286901112046864</v>
      </c>
      <c r="BN36" s="58">
        <f t="shared" si="130"/>
        <v>0.16317057736492563</v>
      </c>
      <c r="BO36" s="58">
        <f t="shared" si="130"/>
        <v>0.13804517979808101</v>
      </c>
      <c r="BP36" s="58">
        <f t="shared" si="130"/>
        <v>0.11678020281979395</v>
      </c>
      <c r="BQ36" s="58">
        <f t="shared" si="130"/>
        <v>0.14728222474313005</v>
      </c>
      <c r="BR36" s="58">
        <f t="shared" ref="BR36:EC36" si="131">IFERROR(-(SUM(BR28:BW28)+BQ31-BQ32)/SUM(BR24:BW24),0)</f>
        <v>9.7343404433170452E-2</v>
      </c>
      <c r="BS36" s="58">
        <f t="shared" si="131"/>
        <v>8.5621854883323564E-2</v>
      </c>
      <c r="BT36" s="58">
        <f t="shared" si="131"/>
        <v>6.2817332492223543E-2</v>
      </c>
      <c r="BU36" s="58">
        <f t="shared" si="131"/>
        <v>4.0841049534419319E-2</v>
      </c>
      <c r="BV36" s="58">
        <f t="shared" si="131"/>
        <v>1.9662925109855092E-2</v>
      </c>
      <c r="BW36" s="58">
        <f t="shared" si="131"/>
        <v>2.3569268006596956E-2</v>
      </c>
      <c r="BX36" s="58">
        <f t="shared" si="131"/>
        <v>-6.6024711792897223E-3</v>
      </c>
      <c r="BY36" s="58">
        <f t="shared" si="131"/>
        <v>0.1755263742755982</v>
      </c>
      <c r="BZ36" s="58">
        <f t="shared" si="131"/>
        <v>0.14849840141209614</v>
      </c>
      <c r="CA36" s="58">
        <f t="shared" si="131"/>
        <v>0.12563226075258643</v>
      </c>
      <c r="CB36" s="58">
        <f t="shared" si="131"/>
        <v>0.10481810966135234</v>
      </c>
      <c r="CC36" s="58">
        <f t="shared" si="131"/>
        <v>0.13412502624787478</v>
      </c>
      <c r="CD36" s="58">
        <f t="shared" si="131"/>
        <v>9.3920038035804759E-2</v>
      </c>
      <c r="CE36" s="58">
        <f t="shared" si="131"/>
        <v>8.5621854883323564E-2</v>
      </c>
      <c r="CF36" s="58">
        <f t="shared" si="131"/>
        <v>6.2817332492223557E-2</v>
      </c>
      <c r="CG36" s="58">
        <f t="shared" si="131"/>
        <v>4.084104953441936E-2</v>
      </c>
      <c r="CH36" s="58">
        <f t="shared" si="131"/>
        <v>1.9662925109855178E-2</v>
      </c>
      <c r="CI36" s="58">
        <f t="shared" si="131"/>
        <v>2.3569268006597036E-2</v>
      </c>
      <c r="CJ36" s="58">
        <f t="shared" si="131"/>
        <v>-6.6024711792896356E-3</v>
      </c>
      <c r="CK36" s="58">
        <f t="shared" si="131"/>
        <v>0.17552637427559831</v>
      </c>
      <c r="CL36" s="58">
        <f t="shared" si="131"/>
        <v>0.14849840141209622</v>
      </c>
      <c r="CM36" s="58">
        <f t="shared" si="131"/>
        <v>0.12563226075258654</v>
      </c>
      <c r="CN36" s="58">
        <f t="shared" si="131"/>
        <v>0.10481810966135244</v>
      </c>
      <c r="CO36" s="58">
        <f t="shared" si="131"/>
        <v>0.12391736289335629</v>
      </c>
      <c r="CP36" s="58">
        <f t="shared" si="131"/>
        <v>9.3920038035804759E-2</v>
      </c>
      <c r="CQ36" s="58">
        <f t="shared" si="131"/>
        <v>8.5621854883323564E-2</v>
      </c>
      <c r="CR36" s="58">
        <f t="shared" si="131"/>
        <v>6.2817332492223557E-2</v>
      </c>
      <c r="CS36" s="58">
        <f t="shared" si="131"/>
        <v>4.0841049534419319E-2</v>
      </c>
      <c r="CT36" s="58">
        <f t="shared" si="131"/>
        <v>1.9662925109855092E-2</v>
      </c>
      <c r="CU36" s="58">
        <f t="shared" si="131"/>
        <v>1.3787258493883223E-2</v>
      </c>
      <c r="CV36" s="58">
        <f t="shared" si="131"/>
        <v>-7.4448661391073598E-3</v>
      </c>
      <c r="CW36" s="58">
        <f t="shared" si="131"/>
        <v>0.17464394443562503</v>
      </c>
      <c r="CX36" s="58">
        <f t="shared" si="131"/>
        <v>0.14775185023917325</v>
      </c>
      <c r="CY36" s="58">
        <f t="shared" si="131"/>
        <v>0.12500066532307391</v>
      </c>
      <c r="CZ36" s="58">
        <f t="shared" si="131"/>
        <v>9.7180136794099842E-2</v>
      </c>
      <c r="DA36" s="58">
        <f t="shared" si="131"/>
        <v>0.12377883704527486</v>
      </c>
      <c r="DB36" s="58">
        <f t="shared" si="131"/>
        <v>9.3850775111764068E-2</v>
      </c>
      <c r="DC36" s="58">
        <f t="shared" si="131"/>
        <v>8.5621854883323578E-2</v>
      </c>
      <c r="DD36" s="58">
        <f t="shared" si="131"/>
        <v>6.2817332492223557E-2</v>
      </c>
      <c r="DE36" s="58">
        <f t="shared" si="131"/>
        <v>4.0841049534419319E-2</v>
      </c>
      <c r="DF36" s="58">
        <f t="shared" si="131"/>
        <v>9.1956672748686064E-3</v>
      </c>
      <c r="DG36" s="58">
        <f t="shared" si="131"/>
        <v>1.4614562392697724E-2</v>
      </c>
      <c r="DH36" s="58">
        <f t="shared" si="131"/>
        <v>-6.6476091625903783E-3</v>
      </c>
      <c r="DI36" s="58">
        <f t="shared" si="131"/>
        <v>0.1754790911064428</v>
      </c>
      <c r="DJ36" s="58">
        <f t="shared" si="131"/>
        <v>0.14845839901893867</v>
      </c>
      <c r="DK36" s="58">
        <f t="shared" si="131"/>
        <v>0.12559841802404462</v>
      </c>
      <c r="DL36" s="58">
        <f t="shared" si="131"/>
        <v>9.5047154292944067E-2</v>
      </c>
      <c r="DM36" s="58">
        <f t="shared" si="131"/>
        <v>0.12728748270688264</v>
      </c>
      <c r="DN36" s="58">
        <f t="shared" si="131"/>
        <v>9.5605097942567982E-2</v>
      </c>
      <c r="DO36" s="58">
        <f t="shared" si="131"/>
        <v>8.5621854883323578E-2</v>
      </c>
      <c r="DP36" s="58">
        <f t="shared" si="131"/>
        <v>6.2817332492223557E-2</v>
      </c>
      <c r="DQ36" s="58">
        <f t="shared" si="131"/>
        <v>3.8604979411033719E-2</v>
      </c>
      <c r="DR36" s="58">
        <f t="shared" si="131"/>
        <v>1.0120577376355829E-2</v>
      </c>
      <c r="DS36" s="58">
        <f t="shared" si="131"/>
        <v>1.5449436033757518E-2</v>
      </c>
      <c r="DT36" s="58">
        <f t="shared" si="131"/>
        <v>-5.5027475918928235E-3</v>
      </c>
      <c r="DU36" s="58">
        <f t="shared" si="131"/>
        <v>0.17990254691426283</v>
      </c>
      <c r="DV36" s="58">
        <f t="shared" si="131"/>
        <v>0.15220072047284708</v>
      </c>
      <c r="DW36" s="58">
        <f t="shared" si="131"/>
        <v>0.12683393372737256</v>
      </c>
      <c r="DX36" s="58">
        <f t="shared" si="131"/>
        <v>9.7650969351539108E-2</v>
      </c>
      <c r="DY36" s="58">
        <f t="shared" si="131"/>
        <v>0.12902335941261267</v>
      </c>
      <c r="DZ36" s="58">
        <f t="shared" si="131"/>
        <v>9.647303629543294E-2</v>
      </c>
      <c r="EA36" s="58">
        <f t="shared" si="131"/>
        <v>8.5621854883323578E-2</v>
      </c>
      <c r="EB36" s="58">
        <f t="shared" si="131"/>
        <v>6.2817332492223571E-2</v>
      </c>
      <c r="EC36" s="58">
        <f t="shared" si="131"/>
        <v>3.9703931028726283E-2</v>
      </c>
      <c r="ED36" s="58">
        <f t="shared" ref="ED36:GO36" si="132">IFERROR(-(SUM(ED28:EI28)+EC31-EC32)/SUM(ED24:EI24),0)</f>
        <v>1.4036014502841547E-2</v>
      </c>
      <c r="EE36" s="58">
        <f t="shared" si="132"/>
        <v>1.8983720333251509E-2</v>
      </c>
      <c r="EF36" s="58">
        <f t="shared" si="132"/>
        <v>-1.3349174961757543E-3</v>
      </c>
      <c r="EG36" s="58">
        <f t="shared" si="132"/>
        <v>0.18552798271505322</v>
      </c>
      <c r="EH36" s="58">
        <f t="shared" si="132"/>
        <v>0.14585923592595307</v>
      </c>
      <c r="EI36" s="58">
        <f t="shared" si="132"/>
        <v>0.12339948030935305</v>
      </c>
      <c r="EJ36" s="58">
        <f t="shared" si="132"/>
        <v>0.10439813182861296</v>
      </c>
      <c r="EK36" s="58">
        <f t="shared" si="132"/>
        <v>6.9598754552408618E-2</v>
      </c>
      <c r="EL36" s="58">
        <f t="shared" si="132"/>
        <v>3.4799377276204288E-2</v>
      </c>
      <c r="EM36" s="58">
        <f t="shared" si="132"/>
        <v>0</v>
      </c>
      <c r="EN36" s="58">
        <f t="shared" si="132"/>
        <v>0</v>
      </c>
      <c r="EO36" s="58">
        <f t="shared" si="132"/>
        <v>0</v>
      </c>
      <c r="EP36" s="58">
        <f t="shared" si="132"/>
        <v>0</v>
      </c>
      <c r="EQ36" s="58">
        <f t="shared" si="132"/>
        <v>0</v>
      </c>
      <c r="ER36" s="58">
        <f t="shared" si="132"/>
        <v>0</v>
      </c>
      <c r="ES36" s="58">
        <f t="shared" si="132"/>
        <v>0</v>
      </c>
      <c r="ET36" s="58">
        <f t="shared" si="132"/>
        <v>0</v>
      </c>
      <c r="EU36" s="58">
        <f t="shared" si="132"/>
        <v>0</v>
      </c>
      <c r="EV36" s="58">
        <f t="shared" si="132"/>
        <v>0</v>
      </c>
      <c r="EW36" s="58">
        <f t="shared" si="132"/>
        <v>0</v>
      </c>
      <c r="EX36" s="58">
        <f t="shared" si="132"/>
        <v>0</v>
      </c>
      <c r="EY36" s="58">
        <f t="shared" si="132"/>
        <v>0</v>
      </c>
      <c r="EZ36" s="58">
        <f t="shared" si="132"/>
        <v>0</v>
      </c>
      <c r="FA36" s="58">
        <f t="shared" si="132"/>
        <v>0</v>
      </c>
      <c r="FB36" s="58">
        <f t="shared" si="132"/>
        <v>0</v>
      </c>
      <c r="FC36" s="58">
        <f t="shared" si="132"/>
        <v>0</v>
      </c>
      <c r="FD36" s="58">
        <f t="shared" si="132"/>
        <v>0</v>
      </c>
      <c r="FE36" s="58">
        <f t="shared" si="132"/>
        <v>0</v>
      </c>
      <c r="FF36" s="58">
        <f t="shared" si="132"/>
        <v>0</v>
      </c>
      <c r="FG36" s="58">
        <f t="shared" si="132"/>
        <v>0</v>
      </c>
      <c r="FH36" s="58">
        <f t="shared" si="132"/>
        <v>0</v>
      </c>
      <c r="FI36" s="58">
        <f t="shared" si="132"/>
        <v>0</v>
      </c>
      <c r="FJ36" s="58">
        <f t="shared" si="132"/>
        <v>0</v>
      </c>
      <c r="FK36" s="58">
        <f t="shared" si="132"/>
        <v>0</v>
      </c>
      <c r="FL36" s="58">
        <f t="shared" si="132"/>
        <v>0</v>
      </c>
      <c r="FM36" s="58">
        <f t="shared" si="132"/>
        <v>0</v>
      </c>
      <c r="FN36" s="58">
        <f t="shared" si="132"/>
        <v>0</v>
      </c>
      <c r="FO36" s="58">
        <f t="shared" si="132"/>
        <v>0</v>
      </c>
      <c r="FP36" s="58">
        <f t="shared" si="132"/>
        <v>0</v>
      </c>
      <c r="FQ36" s="58">
        <f t="shared" si="132"/>
        <v>0</v>
      </c>
      <c r="FR36" s="58">
        <f t="shared" si="132"/>
        <v>0</v>
      </c>
      <c r="FS36" s="58">
        <f t="shared" si="132"/>
        <v>0</v>
      </c>
      <c r="FT36" s="58">
        <f t="shared" si="132"/>
        <v>0</v>
      </c>
      <c r="FU36" s="58">
        <f t="shared" si="132"/>
        <v>0</v>
      </c>
      <c r="FV36" s="58">
        <f t="shared" si="132"/>
        <v>0</v>
      </c>
      <c r="FW36" s="58">
        <f t="shared" si="132"/>
        <v>0</v>
      </c>
      <c r="FX36" s="58">
        <f t="shared" si="132"/>
        <v>0</v>
      </c>
      <c r="FY36" s="58">
        <f t="shared" si="132"/>
        <v>0</v>
      </c>
      <c r="FZ36" s="58">
        <f t="shared" si="132"/>
        <v>0</v>
      </c>
      <c r="GA36" s="58">
        <f t="shared" si="132"/>
        <v>0</v>
      </c>
      <c r="GB36" s="58">
        <f t="shared" si="132"/>
        <v>0</v>
      </c>
      <c r="GC36" s="58">
        <f t="shared" si="132"/>
        <v>0</v>
      </c>
      <c r="GD36" s="58">
        <f t="shared" si="132"/>
        <v>0</v>
      </c>
      <c r="GE36" s="58">
        <f t="shared" si="132"/>
        <v>0</v>
      </c>
      <c r="GF36" s="58">
        <f t="shared" si="132"/>
        <v>0</v>
      </c>
      <c r="GG36" s="58">
        <f t="shared" si="132"/>
        <v>0</v>
      </c>
      <c r="GH36" s="58">
        <f t="shared" si="132"/>
        <v>0</v>
      </c>
      <c r="GI36" s="58">
        <f t="shared" si="132"/>
        <v>0</v>
      </c>
      <c r="GJ36" s="58">
        <f t="shared" si="132"/>
        <v>0</v>
      </c>
      <c r="GK36" s="58">
        <f t="shared" si="132"/>
        <v>0</v>
      </c>
      <c r="GL36" s="58">
        <f t="shared" si="132"/>
        <v>0</v>
      </c>
      <c r="GM36" s="58">
        <f t="shared" si="132"/>
        <v>0</v>
      </c>
      <c r="GN36" s="58">
        <f t="shared" si="132"/>
        <v>0</v>
      </c>
      <c r="GO36" s="58">
        <f t="shared" si="132"/>
        <v>0</v>
      </c>
      <c r="GP36" s="58">
        <f t="shared" ref="GP36:GT36" si="133">IFERROR(-(SUM(GP28:GU28)+GO31-GO32)/SUM(GP24:GU24),0)</f>
        <v>0</v>
      </c>
      <c r="GQ36" s="58">
        <f t="shared" si="133"/>
        <v>0</v>
      </c>
      <c r="GR36" s="58">
        <f t="shared" si="133"/>
        <v>0</v>
      </c>
      <c r="GS36" s="58">
        <f t="shared" si="133"/>
        <v>0</v>
      </c>
      <c r="GT36" s="58">
        <f t="shared" si="133"/>
        <v>0</v>
      </c>
    </row>
    <row r="37" spans="1:202" x14ac:dyDescent="0.25">
      <c r="A37" t="s">
        <v>104</v>
      </c>
      <c r="C37" s="58">
        <f>-(SUM(C28:E28)+B31-B32)/SUM(C24:E24)</f>
        <v>-1.0798716674046083</v>
      </c>
      <c r="D37" s="58">
        <f t="shared" ref="D37" si="134">-(SUM(D28:F28)+C31-C32)/SUM(D24:F24)</f>
        <v>-0.69761584757708017</v>
      </c>
      <c r="E37" s="58">
        <f>IFERROR(-(SUM(E28:G28)+D31-D32)/SUM(E24:G24),0)</f>
        <v>-0.23616672000135994</v>
      </c>
      <c r="F37" s="58">
        <f t="shared" ref="F37:BQ37" si="135">IFERROR(-(SUM(F28:H28)+E31-E32)/SUM(F24:H24),0)</f>
        <v>-0.27136394409597653</v>
      </c>
      <c r="G37" s="58">
        <f t="shared" si="135"/>
        <v>-0.35198438571035595</v>
      </c>
      <c r="H37" s="58">
        <f t="shared" si="135"/>
        <v>-7.2760843497973987E-2</v>
      </c>
      <c r="I37" s="58">
        <f t="shared" si="135"/>
        <v>6.349814808752155E-2</v>
      </c>
      <c r="J37" s="58">
        <f t="shared" si="135"/>
        <v>0.11784062504461909</v>
      </c>
      <c r="K37" s="58">
        <f t="shared" si="135"/>
        <v>-2.764402724592873E-2</v>
      </c>
      <c r="L37" s="58">
        <f t="shared" si="135"/>
        <v>2.7446497258560823E-3</v>
      </c>
      <c r="M37" s="58">
        <f t="shared" si="135"/>
        <v>-0.17772625843677312</v>
      </c>
      <c r="N37" s="58">
        <f t="shared" si="135"/>
        <v>-5.9637810896658802E-2</v>
      </c>
      <c r="O37" s="58">
        <f t="shared" si="135"/>
        <v>-6.9728177574358299E-2</v>
      </c>
      <c r="P37" s="58">
        <f t="shared" si="135"/>
        <v>-0.10149673603153479</v>
      </c>
      <c r="Q37" s="58">
        <f t="shared" si="135"/>
        <v>0.33246482327193955</v>
      </c>
      <c r="R37" s="58">
        <f t="shared" si="135"/>
        <v>6.8187739903679004E-2</v>
      </c>
      <c r="S37" s="58">
        <f t="shared" si="135"/>
        <v>-0.27732635611271106</v>
      </c>
      <c r="T37" s="58">
        <f t="shared" si="135"/>
        <v>5.9402489260283159E-2</v>
      </c>
      <c r="U37" s="58">
        <f t="shared" si="135"/>
        <v>0.20704292520068743</v>
      </c>
      <c r="V37" s="58">
        <f t="shared" si="135"/>
        <v>4.1158135782522011E-2</v>
      </c>
      <c r="W37" s="58">
        <f t="shared" si="135"/>
        <v>-8.6690763071591001E-2</v>
      </c>
      <c r="X37" s="58">
        <f t="shared" si="135"/>
        <v>-0.33377058977907337</v>
      </c>
      <c r="Y37" s="58">
        <f t="shared" si="135"/>
        <v>-0.57066817142755211</v>
      </c>
      <c r="Z37" s="58">
        <f t="shared" si="135"/>
        <v>-0.41506265402899933</v>
      </c>
      <c r="AA37" s="58">
        <f t="shared" si="135"/>
        <v>-0.51074914250424885</v>
      </c>
      <c r="AB37" s="58">
        <f t="shared" si="135"/>
        <v>0.41543241645047324</v>
      </c>
      <c r="AC37" s="58">
        <f t="shared" si="135"/>
        <v>0.35229860502113075</v>
      </c>
      <c r="AD37" s="58">
        <f t="shared" si="135"/>
        <v>7.8461077669942994E-2</v>
      </c>
      <c r="AE37" s="58">
        <f t="shared" si="135"/>
        <v>-0.18820558899672379</v>
      </c>
      <c r="AF37" s="58">
        <f t="shared" si="135"/>
        <v>0.24238136103913716</v>
      </c>
      <c r="AG37" s="58">
        <f t="shared" si="135"/>
        <v>3.0753569272521951E-2</v>
      </c>
      <c r="AH37" s="58">
        <f t="shared" si="135"/>
        <v>1.2783213105065017</v>
      </c>
      <c r="AI37" s="58">
        <f t="shared" si="135"/>
        <v>1.1448286960379825</v>
      </c>
      <c r="AJ37" s="58">
        <f t="shared" si="135"/>
        <v>1.1025876750509116</v>
      </c>
      <c r="AK37" s="58">
        <f t="shared" si="135"/>
        <v>0.83592100838424477</v>
      </c>
      <c r="AL37" s="58">
        <f t="shared" si="135"/>
        <v>0.47963688256658621</v>
      </c>
      <c r="AM37" s="58">
        <f t="shared" si="135"/>
        <v>0.24573540832351107</v>
      </c>
      <c r="AN37" s="58">
        <f t="shared" si="135"/>
        <v>1.0649345586220911</v>
      </c>
      <c r="AO37" s="58">
        <f t="shared" si="135"/>
        <v>0.84140447128514184</v>
      </c>
      <c r="AP37" s="58">
        <f t="shared" si="135"/>
        <v>0.64545575400006938</v>
      </c>
      <c r="AQ37" s="58">
        <f t="shared" si="135"/>
        <v>0.37878908733340272</v>
      </c>
      <c r="AR37" s="58">
        <f t="shared" si="135"/>
        <v>0.51207639775803115</v>
      </c>
      <c r="AS37" s="58">
        <f t="shared" si="135"/>
        <v>0.28312874774245878</v>
      </c>
      <c r="AT37" s="58">
        <f t="shared" si="135"/>
        <v>1.0588223807459747</v>
      </c>
      <c r="AU37" s="58">
        <f t="shared" si="135"/>
        <v>0.83479657843571964</v>
      </c>
      <c r="AV37" s="58">
        <f t="shared" si="135"/>
        <v>0.70650657477546464</v>
      </c>
      <c r="AW37" s="58">
        <f t="shared" si="135"/>
        <v>0.43983990810879803</v>
      </c>
      <c r="AX37" s="58">
        <f t="shared" si="135"/>
        <v>0.17017314374235754</v>
      </c>
      <c r="AY37" s="58">
        <f t="shared" si="135"/>
        <v>4.8580291582958436E-2</v>
      </c>
      <c r="AZ37" s="58">
        <f t="shared" si="135"/>
        <v>7.972130482185846E-3</v>
      </c>
      <c r="BA37" s="58">
        <f t="shared" si="135"/>
        <v>-0.11205293799162243</v>
      </c>
      <c r="BB37" s="58">
        <f t="shared" si="135"/>
        <v>-0.11084071009475968</v>
      </c>
      <c r="BC37" s="58">
        <f t="shared" si="135"/>
        <v>-0.16834968993567864</v>
      </c>
      <c r="BD37" s="58">
        <f t="shared" si="135"/>
        <v>0.22942176546004317</v>
      </c>
      <c r="BE37" s="58">
        <f t="shared" si="135"/>
        <v>0.16376479787941725</v>
      </c>
      <c r="BF37" s="58">
        <f t="shared" si="135"/>
        <v>9.8107830298791415E-2</v>
      </c>
      <c r="BG37" s="58">
        <f t="shared" si="135"/>
        <v>0</v>
      </c>
      <c r="BH37" s="58">
        <f t="shared" si="135"/>
        <v>7.8905713225189425E-2</v>
      </c>
      <c r="BI37" s="58">
        <f t="shared" si="135"/>
        <v>2.0338056430313705E-2</v>
      </c>
      <c r="BJ37" s="58">
        <f t="shared" si="135"/>
        <v>2.7850983545264794E-2</v>
      </c>
      <c r="BK37" s="58">
        <f t="shared" si="135"/>
        <v>-1.4591905367644129E-2</v>
      </c>
      <c r="BL37" s="58">
        <f t="shared" si="135"/>
        <v>-3.577684049572441E-2</v>
      </c>
      <c r="BM37" s="58">
        <f t="shared" si="135"/>
        <v>-0.13599355176386849</v>
      </c>
      <c r="BN37" s="58">
        <f t="shared" si="135"/>
        <v>-0.13109489063415214</v>
      </c>
      <c r="BO37" s="58">
        <f t="shared" si="135"/>
        <v>-0.15924890207324585</v>
      </c>
      <c r="BP37" s="58">
        <f t="shared" si="135"/>
        <v>0.2170422765845455</v>
      </c>
      <c r="BQ37" s="58">
        <f t="shared" si="135"/>
        <v>0.15492812761196853</v>
      </c>
      <c r="BR37" s="58">
        <f t="shared" ref="BR37:EC37" si="136">IFERROR(-(SUM(BR28:BT28)+BQ31-BQ32)/SUM(BR24:BT24),0)</f>
        <v>7.2347425528181825E-2</v>
      </c>
      <c r="BS37" s="58">
        <f t="shared" si="136"/>
        <v>0</v>
      </c>
      <c r="BT37" s="58">
        <f t="shared" si="136"/>
        <v>8.3093808280205045E-2</v>
      </c>
      <c r="BU37" s="58">
        <f t="shared" si="136"/>
        <v>2.5601020407348608E-2</v>
      </c>
      <c r="BV37" s="58">
        <f t="shared" si="136"/>
        <v>3.3469164029872621E-2</v>
      </c>
      <c r="BW37" s="58">
        <f t="shared" si="136"/>
        <v>-5.7355127403546776E-3</v>
      </c>
      <c r="BX37" s="58">
        <f t="shared" si="136"/>
        <v>-6.7643541159923909E-2</v>
      </c>
      <c r="BY37" s="58">
        <f t="shared" si="136"/>
        <v>-0.17353601664068224</v>
      </c>
      <c r="BZ37" s="58">
        <f t="shared" si="136"/>
        <v>-0.13982102849565289</v>
      </c>
      <c r="CA37" s="58">
        <f t="shared" si="136"/>
        <v>-0.18231897853861362</v>
      </c>
      <c r="CB37" s="58">
        <f t="shared" si="136"/>
        <v>0.19481008423400678</v>
      </c>
      <c r="CC37" s="58">
        <f t="shared" si="136"/>
        <v>0.12987338948933788</v>
      </c>
      <c r="CD37" s="58">
        <f t="shared" si="136"/>
        <v>6.4936694744668941E-2</v>
      </c>
      <c r="CE37" s="58">
        <f t="shared" si="136"/>
        <v>0</v>
      </c>
      <c r="CF37" s="58">
        <f t="shared" si="136"/>
        <v>8.30938082802051E-2</v>
      </c>
      <c r="CG37" s="58">
        <f t="shared" si="136"/>
        <v>2.5601020407348699E-2</v>
      </c>
      <c r="CH37" s="58">
        <f t="shared" si="136"/>
        <v>3.3469164029872767E-2</v>
      </c>
      <c r="CI37" s="58">
        <f t="shared" si="136"/>
        <v>-5.7355127403545302E-3</v>
      </c>
      <c r="CJ37" s="58">
        <f t="shared" si="136"/>
        <v>-6.7643541159923742E-2</v>
      </c>
      <c r="CK37" s="58">
        <f t="shared" si="136"/>
        <v>-0.17353601664068202</v>
      </c>
      <c r="CL37" s="58">
        <f t="shared" si="136"/>
        <v>-0.13982102849565273</v>
      </c>
      <c r="CM37" s="58">
        <f t="shared" si="136"/>
        <v>-0.18231897853861345</v>
      </c>
      <c r="CN37" s="58">
        <f t="shared" si="136"/>
        <v>0.19481008423400697</v>
      </c>
      <c r="CO37" s="58">
        <f t="shared" si="136"/>
        <v>0.12987338948933796</v>
      </c>
      <c r="CP37" s="58">
        <f t="shared" si="136"/>
        <v>6.4936694744668941E-2</v>
      </c>
      <c r="CQ37" s="58">
        <f t="shared" si="136"/>
        <v>0</v>
      </c>
      <c r="CR37" s="58">
        <f t="shared" si="136"/>
        <v>7.1340495512240476E-2</v>
      </c>
      <c r="CS37" s="58">
        <f t="shared" si="136"/>
        <v>2.5601020407348608E-2</v>
      </c>
      <c r="CT37" s="58">
        <f t="shared" si="136"/>
        <v>3.3469164029872621E-2</v>
      </c>
      <c r="CU37" s="58">
        <f t="shared" si="136"/>
        <v>-2.8397318387792324E-2</v>
      </c>
      <c r="CV37" s="58">
        <f t="shared" si="136"/>
        <v>-6.9264985915938632E-2</v>
      </c>
      <c r="CW37" s="58">
        <f t="shared" si="136"/>
        <v>-0.17544625621784574</v>
      </c>
      <c r="CX37" s="58">
        <f t="shared" si="136"/>
        <v>-0.14120853393103977</v>
      </c>
      <c r="CY37" s="58">
        <f t="shared" si="136"/>
        <v>-0.18349283255317914</v>
      </c>
      <c r="CZ37" s="58">
        <f t="shared" si="136"/>
        <v>0.19436027358819968</v>
      </c>
      <c r="DA37" s="58">
        <f t="shared" si="136"/>
        <v>0.12957351572546644</v>
      </c>
      <c r="DB37" s="58">
        <f t="shared" si="136"/>
        <v>6.4786757862733219E-2</v>
      </c>
      <c r="DC37" s="58">
        <f t="shared" si="136"/>
        <v>0</v>
      </c>
      <c r="DD37" s="58">
        <f t="shared" si="136"/>
        <v>7.1340495512240476E-2</v>
      </c>
      <c r="DE37" s="58">
        <f t="shared" si="136"/>
        <v>2.5601020407348608E-2</v>
      </c>
      <c r="DF37" s="58">
        <f t="shared" si="136"/>
        <v>1.7699852435156527E-2</v>
      </c>
      <c r="DG37" s="58">
        <f t="shared" si="136"/>
        <v>-2.680492095861766E-2</v>
      </c>
      <c r="DH37" s="58">
        <f t="shared" si="136"/>
        <v>-6.7730422907573223E-2</v>
      </c>
      <c r="DI37" s="58">
        <f t="shared" si="136"/>
        <v>-0.14907786531944622</v>
      </c>
      <c r="DJ37" s="58">
        <f t="shared" si="136"/>
        <v>-0.13989537509096683</v>
      </c>
      <c r="DK37" s="58">
        <f t="shared" si="136"/>
        <v>-0.18238187706654205</v>
      </c>
      <c r="DL37" s="58">
        <f t="shared" si="136"/>
        <v>0.20575328213364386</v>
      </c>
      <c r="DM37" s="58">
        <f t="shared" si="136"/>
        <v>0.13716885475576254</v>
      </c>
      <c r="DN37" s="58">
        <f t="shared" si="136"/>
        <v>6.8584427377881327E-2</v>
      </c>
      <c r="DO37" s="58">
        <f t="shared" si="136"/>
        <v>0</v>
      </c>
      <c r="DP37" s="58">
        <f t="shared" si="136"/>
        <v>7.1340495512240476E-2</v>
      </c>
      <c r="DQ37" s="58">
        <f t="shared" si="136"/>
        <v>2.6407595485396129E-2</v>
      </c>
      <c r="DR37" s="58">
        <f t="shared" si="136"/>
        <v>1.9480122623579961E-2</v>
      </c>
      <c r="DS37" s="58">
        <f t="shared" si="136"/>
        <v>-2.5197953263174228E-2</v>
      </c>
      <c r="DT37" s="58">
        <f t="shared" si="136"/>
        <v>-5.7946769903914862E-2</v>
      </c>
      <c r="DU37" s="58">
        <f t="shared" si="136"/>
        <v>-0.1408566352160707</v>
      </c>
      <c r="DV37" s="58">
        <f t="shared" si="136"/>
        <v>-0.1329400697527765</v>
      </c>
      <c r="DW37" s="58">
        <f t="shared" si="136"/>
        <v>-0.23065045306769585</v>
      </c>
      <c r="DX37" s="58">
        <f t="shared" si="136"/>
        <v>0.21138988954562091</v>
      </c>
      <c r="DY37" s="58">
        <f t="shared" si="136"/>
        <v>0.14092659303041391</v>
      </c>
      <c r="DZ37" s="58">
        <f t="shared" si="136"/>
        <v>7.04632965152069E-2</v>
      </c>
      <c r="EA37" s="58">
        <f t="shared" si="136"/>
        <v>0</v>
      </c>
      <c r="EB37" s="58">
        <f t="shared" si="136"/>
        <v>7.1340495512240518E-2</v>
      </c>
      <c r="EC37" s="58">
        <f t="shared" si="136"/>
        <v>2.8850298011899644E-2</v>
      </c>
      <c r="ED37" s="58">
        <f t="shared" ref="ED37:GO37" si="137">IFERROR(-(SUM(ED28:EF28)+EC31-EC32)/SUM(ED24:EF24),0)</f>
        <v>2.7016569657427297E-2</v>
      </c>
      <c r="EE37" s="58">
        <f t="shared" si="137"/>
        <v>-1.8395150519767218E-2</v>
      </c>
      <c r="EF37" s="58">
        <f t="shared" si="137"/>
        <v>-5.0852515699982621E-2</v>
      </c>
      <c r="EG37" s="58">
        <f t="shared" si="137"/>
        <v>-0.13040146076438869</v>
      </c>
      <c r="EH37" s="58">
        <f t="shared" si="137"/>
        <v>-0.12409480818472503</v>
      </c>
      <c r="EI37" s="58">
        <f t="shared" si="137"/>
        <v>-0.21718935410455645</v>
      </c>
      <c r="EJ37" s="58">
        <f t="shared" si="137"/>
        <v>0.22599580631476682</v>
      </c>
      <c r="EK37" s="58">
        <f t="shared" si="137"/>
        <v>0.12935302192285078</v>
      </c>
      <c r="EL37" s="58">
        <f t="shared" si="137"/>
        <v>6.4676510961425349E-2</v>
      </c>
      <c r="EM37" s="58">
        <f t="shared" si="137"/>
        <v>0</v>
      </c>
      <c r="EN37" s="58">
        <f t="shared" si="137"/>
        <v>0</v>
      </c>
      <c r="EO37" s="58">
        <f t="shared" si="137"/>
        <v>0</v>
      </c>
      <c r="EP37" s="58">
        <f t="shared" si="137"/>
        <v>0</v>
      </c>
      <c r="EQ37" s="58">
        <f t="shared" si="137"/>
        <v>0</v>
      </c>
      <c r="ER37" s="58">
        <f t="shared" si="137"/>
        <v>0</v>
      </c>
      <c r="ES37" s="58">
        <f t="shared" si="137"/>
        <v>0</v>
      </c>
      <c r="ET37" s="58">
        <f t="shared" si="137"/>
        <v>0</v>
      </c>
      <c r="EU37" s="58">
        <f t="shared" si="137"/>
        <v>0</v>
      </c>
      <c r="EV37" s="58">
        <f t="shared" si="137"/>
        <v>0</v>
      </c>
      <c r="EW37" s="58">
        <f t="shared" si="137"/>
        <v>0</v>
      </c>
      <c r="EX37" s="58">
        <f t="shared" si="137"/>
        <v>0</v>
      </c>
      <c r="EY37" s="58">
        <f t="shared" si="137"/>
        <v>0</v>
      </c>
      <c r="EZ37" s="58">
        <f t="shared" si="137"/>
        <v>0</v>
      </c>
      <c r="FA37" s="58">
        <f t="shared" si="137"/>
        <v>0</v>
      </c>
      <c r="FB37" s="58">
        <f t="shared" si="137"/>
        <v>0</v>
      </c>
      <c r="FC37" s="58">
        <f t="shared" si="137"/>
        <v>0</v>
      </c>
      <c r="FD37" s="58">
        <f t="shared" si="137"/>
        <v>0</v>
      </c>
      <c r="FE37" s="58">
        <f t="shared" si="137"/>
        <v>0</v>
      </c>
      <c r="FF37" s="58">
        <f t="shared" si="137"/>
        <v>0</v>
      </c>
      <c r="FG37" s="58">
        <f t="shared" si="137"/>
        <v>0</v>
      </c>
      <c r="FH37" s="58">
        <f t="shared" si="137"/>
        <v>0</v>
      </c>
      <c r="FI37" s="58">
        <f t="shared" si="137"/>
        <v>0</v>
      </c>
      <c r="FJ37" s="58">
        <f t="shared" si="137"/>
        <v>0</v>
      </c>
      <c r="FK37" s="58">
        <f t="shared" si="137"/>
        <v>0</v>
      </c>
      <c r="FL37" s="58">
        <f t="shared" si="137"/>
        <v>0</v>
      </c>
      <c r="FM37" s="58">
        <f t="shared" si="137"/>
        <v>0</v>
      </c>
      <c r="FN37" s="58">
        <f t="shared" si="137"/>
        <v>0</v>
      </c>
      <c r="FO37" s="58">
        <f t="shared" si="137"/>
        <v>0</v>
      </c>
      <c r="FP37" s="58">
        <f t="shared" si="137"/>
        <v>0</v>
      </c>
      <c r="FQ37" s="58">
        <f t="shared" si="137"/>
        <v>0</v>
      </c>
      <c r="FR37" s="58">
        <f t="shared" si="137"/>
        <v>0</v>
      </c>
      <c r="FS37" s="58">
        <f t="shared" si="137"/>
        <v>0</v>
      </c>
      <c r="FT37" s="58">
        <f t="shared" si="137"/>
        <v>0</v>
      </c>
      <c r="FU37" s="58">
        <f t="shared" si="137"/>
        <v>0</v>
      </c>
      <c r="FV37" s="58">
        <f t="shared" si="137"/>
        <v>0</v>
      </c>
      <c r="FW37" s="58">
        <f t="shared" si="137"/>
        <v>0</v>
      </c>
      <c r="FX37" s="58">
        <f t="shared" si="137"/>
        <v>0</v>
      </c>
      <c r="FY37" s="58">
        <f t="shared" si="137"/>
        <v>0</v>
      </c>
      <c r="FZ37" s="58">
        <f t="shared" si="137"/>
        <v>0</v>
      </c>
      <c r="GA37" s="58">
        <f t="shared" si="137"/>
        <v>0</v>
      </c>
      <c r="GB37" s="58">
        <f t="shared" si="137"/>
        <v>0</v>
      </c>
      <c r="GC37" s="58">
        <f t="shared" si="137"/>
        <v>0</v>
      </c>
      <c r="GD37" s="58">
        <f t="shared" si="137"/>
        <v>0</v>
      </c>
      <c r="GE37" s="58">
        <f t="shared" si="137"/>
        <v>0</v>
      </c>
      <c r="GF37" s="58">
        <f t="shared" si="137"/>
        <v>0</v>
      </c>
      <c r="GG37" s="58">
        <f t="shared" si="137"/>
        <v>0</v>
      </c>
      <c r="GH37" s="58">
        <f t="shared" si="137"/>
        <v>0</v>
      </c>
      <c r="GI37" s="58">
        <f t="shared" si="137"/>
        <v>0</v>
      </c>
      <c r="GJ37" s="58">
        <f t="shared" si="137"/>
        <v>0</v>
      </c>
      <c r="GK37" s="58">
        <f t="shared" si="137"/>
        <v>0</v>
      </c>
      <c r="GL37" s="58">
        <f t="shared" si="137"/>
        <v>0</v>
      </c>
      <c r="GM37" s="58">
        <f t="shared" si="137"/>
        <v>0</v>
      </c>
      <c r="GN37" s="58">
        <f t="shared" si="137"/>
        <v>0</v>
      </c>
      <c r="GO37" s="58">
        <f t="shared" si="137"/>
        <v>0</v>
      </c>
      <c r="GP37" s="58">
        <f t="shared" ref="GP37:GT37" si="138">IFERROR(-(SUM(GP28:GR28)+GO31-GO32)/SUM(GP24:GR24),0)</f>
        <v>0</v>
      </c>
      <c r="GQ37" s="58">
        <f t="shared" si="138"/>
        <v>0</v>
      </c>
      <c r="GR37" s="58">
        <f t="shared" si="138"/>
        <v>0</v>
      </c>
      <c r="GS37" s="58">
        <f t="shared" si="138"/>
        <v>0</v>
      </c>
      <c r="GT37" s="58">
        <f t="shared" si="138"/>
        <v>0</v>
      </c>
    </row>
    <row r="38" spans="1:202" x14ac:dyDescent="0.25">
      <c r="A38" t="s">
        <v>105</v>
      </c>
      <c r="C38" s="58">
        <f>-(SUM(C28:D28)+B31-B32)/SUM(C24:D24)</f>
        <v>-2.4979704393686837</v>
      </c>
      <c r="D38" s="58">
        <f t="shared" ref="D38" si="139">-(SUM(D28:E28)+C31-C32)/SUM(D24:E24)</f>
        <v>-1.5748209697154163</v>
      </c>
      <c r="E38" s="58">
        <f>IFERROR(-(SUM(E28:F28)+D31-D32)/SUM(E24:F24),0)</f>
        <v>-0.30689637929232233</v>
      </c>
      <c r="F38" s="58">
        <f t="shared" ref="F38:BQ38" si="140">IFERROR(-(SUM(F28:G28)+E31-E32)/SUM(F24:G24),0)</f>
        <v>-0.3596604342002972</v>
      </c>
      <c r="G38" s="58">
        <f t="shared" si="140"/>
        <v>-0.53318412381529068</v>
      </c>
      <c r="H38" s="58">
        <f t="shared" si="140"/>
        <v>-0.24573004088193509</v>
      </c>
      <c r="I38" s="58">
        <f t="shared" si="140"/>
        <v>-3.6702122094229607E-2</v>
      </c>
      <c r="J38" s="58">
        <f t="shared" si="140"/>
        <v>0.17995337665345842</v>
      </c>
      <c r="K38" s="58">
        <f t="shared" si="140"/>
        <v>-3.2579804261977596E-2</v>
      </c>
      <c r="L38" s="58">
        <f t="shared" si="140"/>
        <v>3.3615177195266124E-3</v>
      </c>
      <c r="M38" s="58">
        <f t="shared" si="140"/>
        <v>-0.29969287882470902</v>
      </c>
      <c r="N38" s="58">
        <f t="shared" si="140"/>
        <v>-0.20367190179148784</v>
      </c>
      <c r="O38" s="58">
        <f t="shared" si="140"/>
        <v>-0.14748014194095735</v>
      </c>
      <c r="P38" s="58">
        <f t="shared" si="140"/>
        <v>-0.44529519562256281</v>
      </c>
      <c r="Q38" s="58">
        <f t="shared" si="140"/>
        <v>-0.2555864183114705</v>
      </c>
      <c r="R38" s="58">
        <f t="shared" si="140"/>
        <v>-0.10352763257649901</v>
      </c>
      <c r="S38" s="58">
        <f t="shared" si="140"/>
        <v>-0.41598953416906664</v>
      </c>
      <c r="T38" s="58">
        <f t="shared" si="140"/>
        <v>-0.81598953416906694</v>
      </c>
      <c r="U38" s="58">
        <f t="shared" si="140"/>
        <v>-0.31005401400333277</v>
      </c>
      <c r="V38" s="58">
        <f t="shared" si="140"/>
        <v>5.8185002103878086E-2</v>
      </c>
      <c r="W38" s="58">
        <f t="shared" si="140"/>
        <v>-0.11792517191485191</v>
      </c>
      <c r="X38" s="58">
        <f t="shared" si="140"/>
        <v>-0.82633088002095645</v>
      </c>
      <c r="Y38" s="58">
        <f t="shared" si="140"/>
        <v>-0.85600225714132816</v>
      </c>
      <c r="Z38" s="58">
        <f t="shared" si="140"/>
        <v>-1.2560022571413283</v>
      </c>
      <c r="AA38" s="58">
        <f t="shared" si="140"/>
        <v>-0.79226121767602031</v>
      </c>
      <c r="AB38" s="58">
        <f t="shared" si="140"/>
        <v>-0.83870121748591453</v>
      </c>
      <c r="AC38" s="58">
        <f t="shared" si="140"/>
        <v>0.10765504545209346</v>
      </c>
      <c r="AD38" s="58">
        <f t="shared" si="140"/>
        <v>-4.5145881171258687E-2</v>
      </c>
      <c r="AE38" s="58">
        <f t="shared" si="140"/>
        <v>-0.28230838349508569</v>
      </c>
      <c r="AF38" s="58">
        <f t="shared" si="140"/>
        <v>-0.68230838349508593</v>
      </c>
      <c r="AG38" s="58">
        <f t="shared" si="140"/>
        <v>4.1473122020142084E-2</v>
      </c>
      <c r="AH38" s="58">
        <f t="shared" si="140"/>
        <v>-0.24969426219131155</v>
      </c>
      <c r="AI38" s="58">
        <f t="shared" si="140"/>
        <v>1.7172430440569737</v>
      </c>
      <c r="AJ38" s="58">
        <f t="shared" si="140"/>
        <v>1.3172430440569736</v>
      </c>
      <c r="AK38" s="58">
        <f t="shared" si="140"/>
        <v>1.2538815125763672</v>
      </c>
      <c r="AL38" s="58">
        <f t="shared" si="140"/>
        <v>0.85388151257636713</v>
      </c>
      <c r="AM38" s="58">
        <f t="shared" si="140"/>
        <v>0.38143810823048141</v>
      </c>
      <c r="AN38" s="58">
        <f t="shared" si="140"/>
        <v>0.10935104747146483</v>
      </c>
      <c r="AO38" s="58">
        <f t="shared" si="140"/>
        <v>1.2400175803459326</v>
      </c>
      <c r="AP38" s="58">
        <f t="shared" si="140"/>
        <v>0.86440113374529526</v>
      </c>
      <c r="AQ38" s="58">
        <f t="shared" si="140"/>
        <v>0.56818363100010405</v>
      </c>
      <c r="AR38" s="58">
        <f t="shared" si="140"/>
        <v>0.16818363100010408</v>
      </c>
      <c r="AS38" s="58">
        <f t="shared" si="140"/>
        <v>0.39664139058379438</v>
      </c>
      <c r="AT38" s="58">
        <f t="shared" si="140"/>
        <v>9.6370515400928669E-2</v>
      </c>
      <c r="AU38" s="58">
        <f t="shared" si="140"/>
        <v>1.2521948676535795</v>
      </c>
      <c r="AV38" s="58">
        <f t="shared" si="140"/>
        <v>0.85219486765357944</v>
      </c>
      <c r="AW38" s="58">
        <f t="shared" si="140"/>
        <v>0.65975986216319704</v>
      </c>
      <c r="AX38" s="58">
        <f t="shared" si="140"/>
        <v>0.25975986216319708</v>
      </c>
      <c r="AY38" s="58">
        <f t="shared" si="140"/>
        <v>6.3424768358651559E-2</v>
      </c>
      <c r="AZ38" s="58">
        <f t="shared" si="140"/>
        <v>1.0408141093474899E-2</v>
      </c>
      <c r="BA38" s="58">
        <f t="shared" si="140"/>
        <v>-0.16807940698743365</v>
      </c>
      <c r="BB38" s="58">
        <f t="shared" si="140"/>
        <v>-0.27004356239694832</v>
      </c>
      <c r="BC38" s="58">
        <f t="shared" si="140"/>
        <v>-0.25252453490351795</v>
      </c>
      <c r="BD38" s="58">
        <f t="shared" si="140"/>
        <v>-0.32564914217535784</v>
      </c>
      <c r="BE38" s="58">
        <f t="shared" si="140"/>
        <v>0.22942176546004309</v>
      </c>
      <c r="BF38" s="58">
        <f t="shared" si="140"/>
        <v>0.13744145215613493</v>
      </c>
      <c r="BG38" s="58">
        <f t="shared" si="140"/>
        <v>0</v>
      </c>
      <c r="BH38" s="58">
        <f t="shared" si="140"/>
        <v>-8.9206424671833442E-2</v>
      </c>
      <c r="BI38" s="58">
        <f t="shared" si="140"/>
        <v>3.5533112358096475E-2</v>
      </c>
      <c r="BJ38" s="58">
        <f t="shared" si="140"/>
        <v>-3.5509051145181957E-2</v>
      </c>
      <c r="BK38" s="58">
        <f t="shared" si="140"/>
        <v>-1.9050692939415102E-2</v>
      </c>
      <c r="BL38" s="58">
        <f t="shared" si="140"/>
        <v>-0.11091001740057231</v>
      </c>
      <c r="BM38" s="58">
        <f t="shared" si="140"/>
        <v>-0.20399032764580272</v>
      </c>
      <c r="BN38" s="58">
        <f t="shared" si="140"/>
        <v>-0.30042483320603702</v>
      </c>
      <c r="BO38" s="58">
        <f t="shared" si="140"/>
        <v>-0.278227624633691</v>
      </c>
      <c r="BP38" s="58">
        <f t="shared" si="140"/>
        <v>-0.27846274122854908</v>
      </c>
      <c r="BQ38" s="58">
        <f t="shared" si="140"/>
        <v>0.2170422765845455</v>
      </c>
      <c r="BR38" s="58">
        <f t="shared" ref="BR38:EC38" si="141">IFERROR(-(SUM(BR28:BS28)+BQ31-BQ32)/SUM(BR24:BS24),0)</f>
        <v>0.10852113829227275</v>
      </c>
      <c r="BS38" s="58">
        <f t="shared" si="141"/>
        <v>0</v>
      </c>
      <c r="BT38" s="58">
        <f t="shared" si="141"/>
        <v>-8.2924282089309992E-2</v>
      </c>
      <c r="BU38" s="58">
        <f t="shared" si="141"/>
        <v>4.4728164548720716E-2</v>
      </c>
      <c r="BV38" s="58">
        <f t="shared" si="141"/>
        <v>-2.5885176686466616E-2</v>
      </c>
      <c r="BW38" s="58">
        <f t="shared" si="141"/>
        <v>-7.488089410782767E-3</v>
      </c>
      <c r="BX38" s="58">
        <f t="shared" si="141"/>
        <v>-9.1990036441082071E-2</v>
      </c>
      <c r="BY38" s="58">
        <f t="shared" si="141"/>
        <v>-0.26030402496102334</v>
      </c>
      <c r="BZ38" s="58">
        <f t="shared" si="141"/>
        <v>-0.34806721209882252</v>
      </c>
      <c r="CA38" s="58">
        <f t="shared" si="141"/>
        <v>-0.2554147318277708</v>
      </c>
      <c r="CB38" s="58">
        <f t="shared" si="141"/>
        <v>-0.30960831637751046</v>
      </c>
      <c r="CC38" s="58">
        <f t="shared" si="141"/>
        <v>0.19481008423400681</v>
      </c>
      <c r="CD38" s="58">
        <f t="shared" si="141"/>
        <v>9.7405042117003404E-2</v>
      </c>
      <c r="CE38" s="58">
        <f t="shared" si="141"/>
        <v>0</v>
      </c>
      <c r="CF38" s="58">
        <f t="shared" si="141"/>
        <v>-8.2924282089309923E-2</v>
      </c>
      <c r="CG38" s="58">
        <f t="shared" si="141"/>
        <v>4.4728164548720875E-2</v>
      </c>
      <c r="CH38" s="58">
        <f t="shared" si="141"/>
        <v>-2.5885176686466362E-2</v>
      </c>
      <c r="CI38" s="58">
        <f t="shared" si="141"/>
        <v>-7.4880894107825745E-3</v>
      </c>
      <c r="CJ38" s="58">
        <f t="shared" si="141"/>
        <v>-9.1990036441081849E-2</v>
      </c>
      <c r="CK38" s="58">
        <f t="shared" si="141"/>
        <v>-0.26030402496102306</v>
      </c>
      <c r="CL38" s="58">
        <f t="shared" si="141"/>
        <v>-0.34806721209882219</v>
      </c>
      <c r="CM38" s="58">
        <f t="shared" si="141"/>
        <v>-0.25541473182777058</v>
      </c>
      <c r="CN38" s="58">
        <f t="shared" si="141"/>
        <v>-0.30960831637751024</v>
      </c>
      <c r="CO38" s="58">
        <f t="shared" si="141"/>
        <v>0.19481008423400697</v>
      </c>
      <c r="CP38" s="58">
        <f t="shared" si="141"/>
        <v>9.7405042117003404E-2</v>
      </c>
      <c r="CQ38" s="58">
        <f t="shared" si="141"/>
        <v>0</v>
      </c>
      <c r="CR38" s="58">
        <f t="shared" si="141"/>
        <v>-8.2924282089309992E-2</v>
      </c>
      <c r="CS38" s="58">
        <f t="shared" si="141"/>
        <v>3.5865041666385565E-2</v>
      </c>
      <c r="CT38" s="58">
        <f t="shared" si="141"/>
        <v>-2.5885176686466616E-2</v>
      </c>
      <c r="CU38" s="58">
        <f t="shared" si="141"/>
        <v>-3.861817859514563E-2</v>
      </c>
      <c r="CV38" s="58">
        <f t="shared" si="141"/>
        <v>-9.4195077153547968E-2</v>
      </c>
      <c r="CW38" s="58">
        <f t="shared" si="141"/>
        <v>-0.26316938432676862</v>
      </c>
      <c r="CX38" s="58">
        <f t="shared" si="141"/>
        <v>-0.35049135654458119</v>
      </c>
      <c r="CY38" s="58">
        <f t="shared" si="141"/>
        <v>-0.25705921015218014</v>
      </c>
      <c r="CZ38" s="58">
        <f t="shared" si="141"/>
        <v>-0.31023846616440043</v>
      </c>
      <c r="DA38" s="58">
        <f t="shared" si="141"/>
        <v>0.19436027358819968</v>
      </c>
      <c r="DB38" s="58">
        <f t="shared" si="141"/>
        <v>9.7180136794099842E-2</v>
      </c>
      <c r="DC38" s="58">
        <f t="shared" si="141"/>
        <v>0</v>
      </c>
      <c r="DD38" s="58">
        <f t="shared" si="141"/>
        <v>-6.6492396061739928E-2</v>
      </c>
      <c r="DE38" s="58">
        <f t="shared" si="141"/>
        <v>3.5865041666385565E-2</v>
      </c>
      <c r="DF38" s="58">
        <f t="shared" si="141"/>
        <v>-7.0344212776715917E-2</v>
      </c>
      <c r="DG38" s="58">
        <f t="shared" si="141"/>
        <v>-3.6452640022998119E-2</v>
      </c>
      <c r="DH38" s="58">
        <f t="shared" si="141"/>
        <v>-9.2108188965259213E-2</v>
      </c>
      <c r="DI38" s="58">
        <f t="shared" si="141"/>
        <v>-0.26045755928799674</v>
      </c>
      <c r="DJ38" s="58">
        <f t="shared" si="141"/>
        <v>-0.27920000293422031</v>
      </c>
      <c r="DK38" s="58">
        <f t="shared" si="141"/>
        <v>-0.25550284778131538</v>
      </c>
      <c r="DL38" s="58">
        <f t="shared" si="141"/>
        <v>-0.41784755758319569</v>
      </c>
      <c r="DM38" s="58">
        <f t="shared" si="141"/>
        <v>0.20575328213364383</v>
      </c>
      <c r="DN38" s="58">
        <f t="shared" si="141"/>
        <v>0.10287664106682198</v>
      </c>
      <c r="DO38" s="58">
        <f t="shared" si="141"/>
        <v>0</v>
      </c>
      <c r="DP38" s="58">
        <f t="shared" si="141"/>
        <v>-6.6492396061739928E-2</v>
      </c>
      <c r="DQ38" s="58">
        <f t="shared" si="141"/>
        <v>3.6994990720015428E-2</v>
      </c>
      <c r="DR38" s="58">
        <f t="shared" si="141"/>
        <v>-6.6980954171795004E-2</v>
      </c>
      <c r="DS38" s="58">
        <f t="shared" si="141"/>
        <v>-3.4267287004385555E-2</v>
      </c>
      <c r="DT38" s="58">
        <f t="shared" si="141"/>
        <v>-8.9111416080872224E-2</v>
      </c>
      <c r="DU38" s="58">
        <f t="shared" si="141"/>
        <v>-0.19732920839206677</v>
      </c>
      <c r="DV38" s="58">
        <f t="shared" si="141"/>
        <v>-0.26945616023625402</v>
      </c>
      <c r="DW38" s="58">
        <f t="shared" si="141"/>
        <v>-0.3459756796015438</v>
      </c>
      <c r="DX38" s="58">
        <f t="shared" si="141"/>
        <v>-0.4093926464652301</v>
      </c>
      <c r="DY38" s="58">
        <f t="shared" si="141"/>
        <v>0.21138988954562088</v>
      </c>
      <c r="DZ38" s="58">
        <f t="shared" si="141"/>
        <v>0.10569494477281036</v>
      </c>
      <c r="EA38" s="58">
        <f t="shared" si="141"/>
        <v>0</v>
      </c>
      <c r="EB38" s="58">
        <f t="shared" si="141"/>
        <v>-6.6492396061739872E-2</v>
      </c>
      <c r="EC38" s="58">
        <f t="shared" si="141"/>
        <v>4.0417027283311424E-2</v>
      </c>
      <c r="ED38" s="58">
        <f t="shared" ref="ED38:GO38" si="142">IFERROR(-(SUM(ED28:EE28)+EC31-EC32)/SUM(ED24:EE24),0)</f>
        <v>-5.2743216270019218E-2</v>
      </c>
      <c r="EE38" s="58">
        <f t="shared" si="142"/>
        <v>-2.5015996171044923E-2</v>
      </c>
      <c r="EF38" s="58">
        <f t="shared" si="142"/>
        <v>-7.8201765047719932E-2</v>
      </c>
      <c r="EG38" s="58">
        <f t="shared" si="142"/>
        <v>-0.18268232083162911</v>
      </c>
      <c r="EH38" s="58">
        <f t="shared" si="142"/>
        <v>-0.25706463561572818</v>
      </c>
      <c r="EI38" s="58">
        <f t="shared" si="142"/>
        <v>-0.32578403115683469</v>
      </c>
      <c r="EJ38" s="58">
        <f t="shared" si="142"/>
        <v>-0.38748377131151124</v>
      </c>
      <c r="EK38" s="58">
        <f t="shared" si="142"/>
        <v>0.22599580631476679</v>
      </c>
      <c r="EL38" s="58">
        <f t="shared" si="142"/>
        <v>9.0606769713059129E-2</v>
      </c>
      <c r="EM38" s="58">
        <f t="shared" si="142"/>
        <v>0</v>
      </c>
      <c r="EN38" s="58">
        <f t="shared" si="142"/>
        <v>0</v>
      </c>
      <c r="EO38" s="58">
        <f t="shared" si="142"/>
        <v>0</v>
      </c>
      <c r="EP38" s="58">
        <f t="shared" si="142"/>
        <v>0</v>
      </c>
      <c r="EQ38" s="58">
        <f t="shared" si="142"/>
        <v>0</v>
      </c>
      <c r="ER38" s="58">
        <f t="shared" si="142"/>
        <v>0</v>
      </c>
      <c r="ES38" s="58">
        <f t="shared" si="142"/>
        <v>0</v>
      </c>
      <c r="ET38" s="58">
        <f t="shared" si="142"/>
        <v>0</v>
      </c>
      <c r="EU38" s="58">
        <f t="shared" si="142"/>
        <v>0</v>
      </c>
      <c r="EV38" s="58">
        <f t="shared" si="142"/>
        <v>0</v>
      </c>
      <c r="EW38" s="58">
        <f t="shared" si="142"/>
        <v>0</v>
      </c>
      <c r="EX38" s="58">
        <f t="shared" si="142"/>
        <v>0</v>
      </c>
      <c r="EY38" s="58">
        <f t="shared" si="142"/>
        <v>0</v>
      </c>
      <c r="EZ38" s="58">
        <f t="shared" si="142"/>
        <v>0</v>
      </c>
      <c r="FA38" s="58">
        <f t="shared" si="142"/>
        <v>0</v>
      </c>
      <c r="FB38" s="58">
        <f t="shared" si="142"/>
        <v>0</v>
      </c>
      <c r="FC38" s="58">
        <f t="shared" si="142"/>
        <v>0</v>
      </c>
      <c r="FD38" s="58">
        <f t="shared" si="142"/>
        <v>0</v>
      </c>
      <c r="FE38" s="58">
        <f t="shared" si="142"/>
        <v>0</v>
      </c>
      <c r="FF38" s="58">
        <f t="shared" si="142"/>
        <v>0</v>
      </c>
      <c r="FG38" s="58">
        <f t="shared" si="142"/>
        <v>0</v>
      </c>
      <c r="FH38" s="58">
        <f t="shared" si="142"/>
        <v>0</v>
      </c>
      <c r="FI38" s="58">
        <f t="shared" si="142"/>
        <v>0</v>
      </c>
      <c r="FJ38" s="58">
        <f t="shared" si="142"/>
        <v>0</v>
      </c>
      <c r="FK38" s="58">
        <f t="shared" si="142"/>
        <v>0</v>
      </c>
      <c r="FL38" s="58">
        <f t="shared" si="142"/>
        <v>0</v>
      </c>
      <c r="FM38" s="58">
        <f t="shared" si="142"/>
        <v>0</v>
      </c>
      <c r="FN38" s="58">
        <f t="shared" si="142"/>
        <v>0</v>
      </c>
      <c r="FO38" s="58">
        <f t="shared" si="142"/>
        <v>0</v>
      </c>
      <c r="FP38" s="58">
        <f t="shared" si="142"/>
        <v>0</v>
      </c>
      <c r="FQ38" s="58">
        <f t="shared" si="142"/>
        <v>0</v>
      </c>
      <c r="FR38" s="58">
        <f t="shared" si="142"/>
        <v>0</v>
      </c>
      <c r="FS38" s="58">
        <f t="shared" si="142"/>
        <v>0</v>
      </c>
      <c r="FT38" s="58">
        <f t="shared" si="142"/>
        <v>0</v>
      </c>
      <c r="FU38" s="58">
        <f t="shared" si="142"/>
        <v>0</v>
      </c>
      <c r="FV38" s="58">
        <f t="shared" si="142"/>
        <v>0</v>
      </c>
      <c r="FW38" s="58">
        <f t="shared" si="142"/>
        <v>0</v>
      </c>
      <c r="FX38" s="58">
        <f t="shared" si="142"/>
        <v>0</v>
      </c>
      <c r="FY38" s="58">
        <f t="shared" si="142"/>
        <v>0</v>
      </c>
      <c r="FZ38" s="58">
        <f t="shared" si="142"/>
        <v>0</v>
      </c>
      <c r="GA38" s="58">
        <f t="shared" si="142"/>
        <v>0</v>
      </c>
      <c r="GB38" s="58">
        <f t="shared" si="142"/>
        <v>0</v>
      </c>
      <c r="GC38" s="58">
        <f t="shared" si="142"/>
        <v>0</v>
      </c>
      <c r="GD38" s="58">
        <f t="shared" si="142"/>
        <v>0</v>
      </c>
      <c r="GE38" s="58">
        <f t="shared" si="142"/>
        <v>0</v>
      </c>
      <c r="GF38" s="58">
        <f t="shared" si="142"/>
        <v>0</v>
      </c>
      <c r="GG38" s="58">
        <f t="shared" si="142"/>
        <v>0</v>
      </c>
      <c r="GH38" s="58">
        <f t="shared" si="142"/>
        <v>0</v>
      </c>
      <c r="GI38" s="58">
        <f t="shared" si="142"/>
        <v>0</v>
      </c>
      <c r="GJ38" s="58">
        <f t="shared" si="142"/>
        <v>0</v>
      </c>
      <c r="GK38" s="58">
        <f t="shared" si="142"/>
        <v>0</v>
      </c>
      <c r="GL38" s="58">
        <f t="shared" si="142"/>
        <v>0</v>
      </c>
      <c r="GM38" s="58">
        <f t="shared" si="142"/>
        <v>0</v>
      </c>
      <c r="GN38" s="58">
        <f t="shared" si="142"/>
        <v>0</v>
      </c>
      <c r="GO38" s="58">
        <f t="shared" si="142"/>
        <v>0</v>
      </c>
      <c r="GP38" s="58">
        <f t="shared" ref="GP38:GT38" si="143">IFERROR(-(SUM(GP28:GQ28)+GO31-GO32)/SUM(GP24:GQ24),0)</f>
        <v>0</v>
      </c>
      <c r="GQ38" s="58">
        <f t="shared" si="143"/>
        <v>0</v>
      </c>
      <c r="GR38" s="58">
        <f t="shared" si="143"/>
        <v>0</v>
      </c>
      <c r="GS38" s="58">
        <f t="shared" si="143"/>
        <v>0</v>
      </c>
      <c r="GT38" s="58">
        <f t="shared" si="143"/>
        <v>0</v>
      </c>
    </row>
    <row r="39" spans="1:202" x14ac:dyDescent="0.25">
      <c r="A39" t="s">
        <v>106</v>
      </c>
      <c r="C39" s="58">
        <f>-(SUM(C28)+B31-B32)/SUM(C24)</f>
        <v>-3.3254836412283773</v>
      </c>
      <c r="D39" s="58">
        <f t="shared" ref="D39" si="144">-(SUM(D28)+C31-C32)/SUM(D24)</f>
        <v>-6.9758465887459451</v>
      </c>
      <c r="E39" s="58">
        <f>IFERROR(-(SUM(E28)+D31-D32)/SUM(E24),0)</f>
        <v>-0.86455297137147247</v>
      </c>
      <c r="F39" s="58">
        <f t="shared" ref="F39:BQ39" si="145">IFERROR(-(SUM(F28)+E31-E32)/SUM(F24),0)</f>
        <v>-0.53814868936767812</v>
      </c>
      <c r="G39" s="58">
        <f t="shared" si="145"/>
        <v>-1.1390694953453462</v>
      </c>
      <c r="H39" s="58">
        <f t="shared" si="145"/>
        <v>-0.46973868543296932</v>
      </c>
      <c r="I39" s="58">
        <f t="shared" si="145"/>
        <v>-0.34982768570296241</v>
      </c>
      <c r="J39" s="58">
        <f t="shared" si="145"/>
        <v>0.14348191100001786</v>
      </c>
      <c r="K39" s="58">
        <f t="shared" si="145"/>
        <v>-6.4392879577583981E-2</v>
      </c>
      <c r="L39" s="58">
        <f t="shared" si="145"/>
        <v>2.7731068736959866E-2</v>
      </c>
      <c r="M39" s="58">
        <f t="shared" si="145"/>
        <v>-0.42783062765064322</v>
      </c>
      <c r="N39" s="58">
        <f t="shared" si="145"/>
        <v>-0.67034771448304709</v>
      </c>
      <c r="O39" s="58">
        <f t="shared" si="145"/>
        <v>-0.44312578529871444</v>
      </c>
      <c r="P39" s="58">
        <f t="shared" si="145"/>
        <v>-0.9975448025146092</v>
      </c>
      <c r="Q39" s="58">
        <f t="shared" si="145"/>
        <v>-1.0109668332360318</v>
      </c>
      <c r="R39" s="58">
        <f t="shared" si="145"/>
        <v>-2.0154589080989509</v>
      </c>
      <c r="S39" s="58">
        <f t="shared" si="145"/>
        <v>-1.3394526744244333</v>
      </c>
      <c r="T39" s="58">
        <f t="shared" si="145"/>
        <v>-1.6319790683381339</v>
      </c>
      <c r="U39" s="58">
        <f t="shared" si="145"/>
        <v>-2.4302945641256484</v>
      </c>
      <c r="V39" s="58">
        <f t="shared" si="145"/>
        <v>-1.3878398658837534</v>
      </c>
      <c r="W39" s="58">
        <f t="shared" si="145"/>
        <v>-0.18434358480465329</v>
      </c>
      <c r="X39" s="58">
        <f t="shared" si="145"/>
        <v>-1.6526617600419129</v>
      </c>
      <c r="Y39" s="58">
        <f t="shared" si="145"/>
        <v>-2.363354504987349</v>
      </c>
      <c r="Z39" s="58">
        <f t="shared" si="145"/>
        <v>-2.5120045142826566</v>
      </c>
      <c r="AA39" s="58">
        <f t="shared" si="145"/>
        <v>-3.3120045142826573</v>
      </c>
      <c r="AB39" s="58">
        <f t="shared" si="145"/>
        <v>-1.5090823001793194</v>
      </c>
      <c r="AC39" s="58">
        <f t="shared" si="145"/>
        <v>-2.8888496206586396</v>
      </c>
      <c r="AD39" s="58">
        <f t="shared" si="145"/>
        <v>-1.1215959142916141</v>
      </c>
      <c r="AE39" s="58">
        <f t="shared" si="145"/>
        <v>-0.89029176234251772</v>
      </c>
      <c r="AF39" s="58">
        <f t="shared" si="145"/>
        <v>-1.3646167669901719</v>
      </c>
      <c r="AG39" s="58">
        <f t="shared" si="145"/>
        <v>-2.1646167669901719</v>
      </c>
      <c r="AH39" s="58">
        <f t="shared" si="145"/>
        <v>-0.3857482298898241</v>
      </c>
      <c r="AI39" s="58">
        <f t="shared" si="145"/>
        <v>-2.1761550538759495</v>
      </c>
      <c r="AJ39" s="58">
        <f t="shared" si="145"/>
        <v>2.6344860881139471</v>
      </c>
      <c r="AK39" s="58">
        <f t="shared" si="145"/>
        <v>1.8344860881139466</v>
      </c>
      <c r="AL39" s="58">
        <f t="shared" si="145"/>
        <v>1.7077630251527343</v>
      </c>
      <c r="AM39" s="58">
        <f t="shared" si="145"/>
        <v>0.90776302515273422</v>
      </c>
      <c r="AN39" s="58">
        <f t="shared" si="145"/>
        <v>0.19642973027684621</v>
      </c>
      <c r="AO39" s="58">
        <f t="shared" si="145"/>
        <v>-0.75794717019746449</v>
      </c>
      <c r="AP39" s="58">
        <f t="shared" si="145"/>
        <v>1.7288022674905905</v>
      </c>
      <c r="AQ39" s="58">
        <f t="shared" si="145"/>
        <v>0.92880226749059058</v>
      </c>
      <c r="AR39" s="58">
        <f t="shared" si="145"/>
        <v>0.33636726200020817</v>
      </c>
      <c r="AS39" s="58">
        <f t="shared" si="145"/>
        <v>-0.46363273799979182</v>
      </c>
      <c r="AT39" s="58">
        <f t="shared" si="145"/>
        <v>0.16086481505200276</v>
      </c>
      <c r="AU39" s="58">
        <f t="shared" si="145"/>
        <v>-0.95502683985313397</v>
      </c>
      <c r="AV39" s="58">
        <f t="shared" si="145"/>
        <v>1.7043897353071589</v>
      </c>
      <c r="AW39" s="58">
        <f t="shared" si="145"/>
        <v>0.90438973530715894</v>
      </c>
      <c r="AX39" s="58">
        <f t="shared" si="145"/>
        <v>0.51951972432639415</v>
      </c>
      <c r="AY39" s="58">
        <f t="shared" si="145"/>
        <v>0</v>
      </c>
      <c r="AZ39" s="58">
        <f t="shared" si="145"/>
        <v>1.4987944771640446E-2</v>
      </c>
      <c r="BA39" s="58">
        <f t="shared" si="145"/>
        <v>-0.3361588139748673</v>
      </c>
      <c r="BB39" s="58">
        <f t="shared" si="145"/>
        <v>-0.54008712479389664</v>
      </c>
      <c r="BC39" s="58">
        <f t="shared" si="145"/>
        <v>-0.71261406431665353</v>
      </c>
      <c r="BD39" s="58">
        <f t="shared" si="145"/>
        <v>-0.65129828435071568</v>
      </c>
      <c r="BE39" s="58">
        <f t="shared" si="145"/>
        <v>-0.88072004981075891</v>
      </c>
      <c r="BF39" s="58">
        <f t="shared" si="145"/>
        <v>0.22942176546004311</v>
      </c>
      <c r="BG39" s="58">
        <f t="shared" si="145"/>
        <v>0</v>
      </c>
      <c r="BH39" s="58">
        <f t="shared" si="145"/>
        <v>-0.17841284934366688</v>
      </c>
      <c r="BI39" s="58">
        <f t="shared" si="145"/>
        <v>-0.3440637643030422</v>
      </c>
      <c r="BJ39" s="58">
        <f t="shared" si="145"/>
        <v>-8.8568400246930523E-2</v>
      </c>
      <c r="BK39" s="58">
        <f t="shared" si="145"/>
        <v>-0.18063301265297901</v>
      </c>
      <c r="BL39" s="58">
        <f t="shared" si="145"/>
        <v>-0.17327617103694548</v>
      </c>
      <c r="BM39" s="58">
        <f t="shared" si="145"/>
        <v>-0.58095148404962005</v>
      </c>
      <c r="BN39" s="58">
        <f t="shared" si="145"/>
        <v>-0.60084966641207405</v>
      </c>
      <c r="BO39" s="58">
        <f t="shared" si="145"/>
        <v>-0.76402024377699962</v>
      </c>
      <c r="BP39" s="58">
        <f t="shared" si="145"/>
        <v>-0.69455529572307306</v>
      </c>
      <c r="BQ39" s="58">
        <f t="shared" si="145"/>
        <v>-0.61007089922684665</v>
      </c>
      <c r="BR39" s="58">
        <f t="shared" ref="BR39:EC39" si="146">IFERROR(-(SUM(BR28)+BQ31-BQ32)/SUM(BR24),0)</f>
        <v>0.2170422765845455</v>
      </c>
      <c r="BS39" s="58">
        <f t="shared" si="146"/>
        <v>0</v>
      </c>
      <c r="BT39" s="58">
        <f t="shared" si="146"/>
        <v>-0.16584856417861998</v>
      </c>
      <c r="BU39" s="58">
        <f t="shared" si="146"/>
        <v>-0.3256736599217937</v>
      </c>
      <c r="BV39" s="58">
        <f t="shared" si="146"/>
        <v>-6.4564065084587952E-2</v>
      </c>
      <c r="BW39" s="58">
        <f t="shared" si="146"/>
        <v>-0.15530926330236117</v>
      </c>
      <c r="BX39" s="58">
        <f t="shared" si="146"/>
        <v>-0.14371723728516461</v>
      </c>
      <c r="BY39" s="58">
        <f t="shared" si="146"/>
        <v>-0.52060804992204668</v>
      </c>
      <c r="BZ39" s="58">
        <f t="shared" si="146"/>
        <v>-0.69613442419764504</v>
      </c>
      <c r="CA39" s="58">
        <f t="shared" si="146"/>
        <v>-0.84463282560974118</v>
      </c>
      <c r="CB39" s="58">
        <f t="shared" si="146"/>
        <v>-0.51680832405458144</v>
      </c>
      <c r="CC39" s="58">
        <f t="shared" si="146"/>
        <v>-1.0633347930993093</v>
      </c>
      <c r="CD39" s="58">
        <f t="shared" si="146"/>
        <v>0.19481008423400681</v>
      </c>
      <c r="CE39" s="58">
        <f t="shared" si="146"/>
        <v>0</v>
      </c>
      <c r="CF39" s="58">
        <f t="shared" si="146"/>
        <v>-0.16584856417861985</v>
      </c>
      <c r="CG39" s="58">
        <f t="shared" si="146"/>
        <v>-0.32567365992179342</v>
      </c>
      <c r="CH39" s="58">
        <f t="shared" si="146"/>
        <v>-6.4564065084587313E-2</v>
      </c>
      <c r="CI39" s="58">
        <f t="shared" si="146"/>
        <v>-0.15530926330236072</v>
      </c>
      <c r="CJ39" s="58">
        <f t="shared" si="146"/>
        <v>-0.14371723728516425</v>
      </c>
      <c r="CK39" s="58">
        <f t="shared" si="146"/>
        <v>-0.52060804992204612</v>
      </c>
      <c r="CL39" s="58">
        <f t="shared" si="146"/>
        <v>-0.69613442419764437</v>
      </c>
      <c r="CM39" s="58">
        <f t="shared" si="146"/>
        <v>-0.84463282560974062</v>
      </c>
      <c r="CN39" s="58">
        <f t="shared" si="146"/>
        <v>-0.51680832405458099</v>
      </c>
      <c r="CO39" s="58">
        <f t="shared" si="146"/>
        <v>-1.0633347930993091</v>
      </c>
      <c r="CP39" s="58">
        <f t="shared" si="146"/>
        <v>0.19481008423400681</v>
      </c>
      <c r="CQ39" s="58">
        <f t="shared" si="146"/>
        <v>0</v>
      </c>
      <c r="CR39" s="58">
        <f t="shared" si="146"/>
        <v>-0.16584856417861998</v>
      </c>
      <c r="CS39" s="58">
        <f t="shared" si="146"/>
        <v>-0.3256736599217937</v>
      </c>
      <c r="CT39" s="58">
        <f t="shared" si="146"/>
        <v>-4.3208383216935035E-2</v>
      </c>
      <c r="CU39" s="58">
        <f t="shared" si="146"/>
        <v>-0.31486053430518196</v>
      </c>
      <c r="CV39" s="58">
        <f t="shared" si="146"/>
        <v>-0.14716220123514498</v>
      </c>
      <c r="CW39" s="58">
        <f t="shared" si="146"/>
        <v>-0.52633876865353724</v>
      </c>
      <c r="CX39" s="58">
        <f t="shared" si="146"/>
        <v>-0.70098271308916238</v>
      </c>
      <c r="CY39" s="58">
        <f t="shared" si="146"/>
        <v>-0.84873456332833552</v>
      </c>
      <c r="CZ39" s="58">
        <f t="shared" si="146"/>
        <v>-0.51786019068102196</v>
      </c>
      <c r="DA39" s="58">
        <f t="shared" si="146"/>
        <v>-1.0642344143909237</v>
      </c>
      <c r="DB39" s="58">
        <f t="shared" si="146"/>
        <v>0.19436027358819968</v>
      </c>
      <c r="DC39" s="58">
        <f t="shared" si="146"/>
        <v>0</v>
      </c>
      <c r="DD39" s="58">
        <f t="shared" si="146"/>
        <v>-0.16584856417861998</v>
      </c>
      <c r="DE39" s="58">
        <f t="shared" si="146"/>
        <v>-0.2179514608184378</v>
      </c>
      <c r="DF39" s="58">
        <f t="shared" si="146"/>
        <v>-0.14068842555343183</v>
      </c>
      <c r="DG39" s="58">
        <f t="shared" si="146"/>
        <v>-0.3088438696539938</v>
      </c>
      <c r="DH39" s="58">
        <f t="shared" si="146"/>
        <v>-0.14390182851928029</v>
      </c>
      <c r="DI39" s="58">
        <f t="shared" si="146"/>
        <v>-0.52091511857599349</v>
      </c>
      <c r="DJ39" s="58">
        <f t="shared" si="146"/>
        <v>-0.69639420968243637</v>
      </c>
      <c r="DK39" s="58">
        <f t="shared" si="146"/>
        <v>-0.56540298741676198</v>
      </c>
      <c r="DL39" s="58">
        <f t="shared" si="146"/>
        <v>-0.83569511516639139</v>
      </c>
      <c r="DM39" s="58">
        <f t="shared" si="146"/>
        <v>-1.0414483973000355</v>
      </c>
      <c r="DN39" s="58">
        <f t="shared" si="146"/>
        <v>0.20575328213364397</v>
      </c>
      <c r="DO39" s="58">
        <f t="shared" si="146"/>
        <v>0</v>
      </c>
      <c r="DP39" s="58">
        <f t="shared" si="146"/>
        <v>-0.16584856417861998</v>
      </c>
      <c r="DQ39" s="58">
        <f t="shared" si="146"/>
        <v>-0.21606531291548073</v>
      </c>
      <c r="DR39" s="58">
        <f t="shared" si="146"/>
        <v>-0.13396190834359001</v>
      </c>
      <c r="DS39" s="58">
        <f t="shared" si="146"/>
        <v>-0.30277215316435657</v>
      </c>
      <c r="DT39" s="58">
        <f t="shared" si="146"/>
        <v>-0.13921993104018712</v>
      </c>
      <c r="DU39" s="58">
        <f t="shared" si="146"/>
        <v>-0.4921880969959378</v>
      </c>
      <c r="DV39" s="58">
        <f t="shared" si="146"/>
        <v>-0.44978503228602756</v>
      </c>
      <c r="DW39" s="58">
        <f t="shared" si="146"/>
        <v>-0.89951635371270522</v>
      </c>
      <c r="DX39" s="58">
        <f t="shared" si="146"/>
        <v>-0.81878529293046021</v>
      </c>
      <c r="DY39" s="58">
        <f t="shared" si="146"/>
        <v>-1.0301751824760812</v>
      </c>
      <c r="DZ39" s="58">
        <f t="shared" si="146"/>
        <v>0.21138988954562071</v>
      </c>
      <c r="EA39" s="58">
        <f t="shared" si="146"/>
        <v>0</v>
      </c>
      <c r="EB39" s="58">
        <f t="shared" si="146"/>
        <v>-0.16584856417861985</v>
      </c>
      <c r="EC39" s="58">
        <f t="shared" si="146"/>
        <v>-0.21035313760371005</v>
      </c>
      <c r="ED39" s="58">
        <f t="shared" ref="ED39:GO39" si="147">IFERROR(-(SUM(ED28)+EC31-EC32)/SUM(ED24),0)</f>
        <v>-0.10548643254003844</v>
      </c>
      <c r="EE39" s="58">
        <f t="shared" si="147"/>
        <v>-0.27706865600631575</v>
      </c>
      <c r="EF39" s="58">
        <f t="shared" si="147"/>
        <v>-0.12217564051820104</v>
      </c>
      <c r="EG39" s="58">
        <f t="shared" si="147"/>
        <v>-0.4556551185583923</v>
      </c>
      <c r="EH39" s="58">
        <f t="shared" si="147"/>
        <v>-0.42910069426002156</v>
      </c>
      <c r="EI39" s="58">
        <f t="shared" si="147"/>
        <v>-0.85913305682328689</v>
      </c>
      <c r="EJ39" s="58">
        <f t="shared" si="147"/>
        <v>-0.77496754262302248</v>
      </c>
      <c r="EK39" s="58">
        <f t="shared" si="147"/>
        <v>-1.0009633489377894</v>
      </c>
      <c r="EL39" s="58">
        <f t="shared" si="147"/>
        <v>0.22599580631476662</v>
      </c>
      <c r="EM39" s="58">
        <f t="shared" si="147"/>
        <v>0</v>
      </c>
      <c r="EN39" s="58">
        <f t="shared" si="147"/>
        <v>0</v>
      </c>
      <c r="EO39" s="58">
        <f t="shared" si="147"/>
        <v>0</v>
      </c>
      <c r="EP39" s="58">
        <f t="shared" si="147"/>
        <v>0</v>
      </c>
      <c r="EQ39" s="58">
        <f t="shared" si="147"/>
        <v>0</v>
      </c>
      <c r="ER39" s="58">
        <f t="shared" si="147"/>
        <v>0</v>
      </c>
      <c r="ES39" s="58">
        <f t="shared" si="147"/>
        <v>0</v>
      </c>
      <c r="ET39" s="58">
        <f t="shared" si="147"/>
        <v>0</v>
      </c>
      <c r="EU39" s="58">
        <f t="shared" si="147"/>
        <v>0</v>
      </c>
      <c r="EV39" s="58">
        <f t="shared" si="147"/>
        <v>0</v>
      </c>
      <c r="EW39" s="58">
        <f t="shared" si="147"/>
        <v>0</v>
      </c>
      <c r="EX39" s="58">
        <f t="shared" si="147"/>
        <v>0</v>
      </c>
      <c r="EY39" s="58">
        <f t="shared" si="147"/>
        <v>0</v>
      </c>
      <c r="EZ39" s="58">
        <f t="shared" si="147"/>
        <v>0</v>
      </c>
      <c r="FA39" s="58">
        <f t="shared" si="147"/>
        <v>0</v>
      </c>
      <c r="FB39" s="58">
        <f t="shared" si="147"/>
        <v>0</v>
      </c>
      <c r="FC39" s="58">
        <f t="shared" si="147"/>
        <v>0</v>
      </c>
      <c r="FD39" s="58">
        <f t="shared" si="147"/>
        <v>0</v>
      </c>
      <c r="FE39" s="58">
        <f t="shared" si="147"/>
        <v>0</v>
      </c>
      <c r="FF39" s="58">
        <f t="shared" si="147"/>
        <v>0</v>
      </c>
      <c r="FG39" s="58">
        <f t="shared" si="147"/>
        <v>0</v>
      </c>
      <c r="FH39" s="58">
        <f t="shared" si="147"/>
        <v>0</v>
      </c>
      <c r="FI39" s="58">
        <f t="shared" si="147"/>
        <v>0</v>
      </c>
      <c r="FJ39" s="58">
        <f t="shared" si="147"/>
        <v>0</v>
      </c>
      <c r="FK39" s="58">
        <f t="shared" si="147"/>
        <v>0</v>
      </c>
      <c r="FL39" s="58">
        <f t="shared" si="147"/>
        <v>0</v>
      </c>
      <c r="FM39" s="58">
        <f t="shared" si="147"/>
        <v>0</v>
      </c>
      <c r="FN39" s="58">
        <f t="shared" si="147"/>
        <v>0</v>
      </c>
      <c r="FO39" s="58">
        <f t="shared" si="147"/>
        <v>0</v>
      </c>
      <c r="FP39" s="58">
        <f t="shared" si="147"/>
        <v>0</v>
      </c>
      <c r="FQ39" s="58">
        <f t="shared" si="147"/>
        <v>0</v>
      </c>
      <c r="FR39" s="58">
        <f t="shared" si="147"/>
        <v>0</v>
      </c>
      <c r="FS39" s="58">
        <f t="shared" si="147"/>
        <v>0</v>
      </c>
      <c r="FT39" s="58">
        <f t="shared" si="147"/>
        <v>0</v>
      </c>
      <c r="FU39" s="58">
        <f t="shared" si="147"/>
        <v>0</v>
      </c>
      <c r="FV39" s="58">
        <f t="shared" si="147"/>
        <v>0</v>
      </c>
      <c r="FW39" s="58">
        <f t="shared" si="147"/>
        <v>0</v>
      </c>
      <c r="FX39" s="58">
        <f t="shared" si="147"/>
        <v>0</v>
      </c>
      <c r="FY39" s="58">
        <f t="shared" si="147"/>
        <v>0</v>
      </c>
      <c r="FZ39" s="58">
        <f t="shared" si="147"/>
        <v>0</v>
      </c>
      <c r="GA39" s="58">
        <f t="shared" si="147"/>
        <v>0</v>
      </c>
      <c r="GB39" s="58">
        <f t="shared" si="147"/>
        <v>0</v>
      </c>
      <c r="GC39" s="58">
        <f t="shared" si="147"/>
        <v>0</v>
      </c>
      <c r="GD39" s="58">
        <f t="shared" si="147"/>
        <v>0</v>
      </c>
      <c r="GE39" s="58">
        <f t="shared" si="147"/>
        <v>0</v>
      </c>
      <c r="GF39" s="58">
        <f t="shared" si="147"/>
        <v>0</v>
      </c>
      <c r="GG39" s="58">
        <f t="shared" si="147"/>
        <v>0</v>
      </c>
      <c r="GH39" s="58">
        <f t="shared" si="147"/>
        <v>0</v>
      </c>
      <c r="GI39" s="58">
        <f t="shared" si="147"/>
        <v>0</v>
      </c>
      <c r="GJ39" s="58">
        <f t="shared" si="147"/>
        <v>0</v>
      </c>
      <c r="GK39" s="58">
        <f t="shared" si="147"/>
        <v>0</v>
      </c>
      <c r="GL39" s="58">
        <f t="shared" si="147"/>
        <v>0</v>
      </c>
      <c r="GM39" s="58">
        <f t="shared" si="147"/>
        <v>0</v>
      </c>
      <c r="GN39" s="58">
        <f t="shared" si="147"/>
        <v>0</v>
      </c>
      <c r="GO39" s="58">
        <f t="shared" si="147"/>
        <v>0</v>
      </c>
      <c r="GP39" s="58">
        <f t="shared" ref="GP39:GT39" si="148">IFERROR(-(SUM(GP28)+GO31-GO32)/SUM(GP24),0)</f>
        <v>0</v>
      </c>
      <c r="GQ39" s="58">
        <f t="shared" si="148"/>
        <v>0</v>
      </c>
      <c r="GR39" s="58">
        <f t="shared" si="148"/>
        <v>0</v>
      </c>
      <c r="GS39" s="58">
        <f t="shared" si="148"/>
        <v>0</v>
      </c>
      <c r="GT39" s="58">
        <f t="shared" si="148"/>
        <v>0</v>
      </c>
    </row>
    <row r="40" spans="1:202" x14ac:dyDescent="0.25">
      <c r="A40" t="s">
        <v>109</v>
      </c>
      <c r="C40" s="78">
        <f>MAX(C33:C39)</f>
        <v>0.18253904883800251</v>
      </c>
      <c r="D40" s="78">
        <f t="shared" ref="D40:Z40" si="149">MAX(D33:D39)</f>
        <v>0.17668545920594775</v>
      </c>
      <c r="E40" s="78">
        <f t="shared" si="149"/>
        <v>0.23630953526946188</v>
      </c>
      <c r="F40" s="78">
        <f t="shared" si="149"/>
        <v>0.22920885162230292</v>
      </c>
      <c r="G40" s="78">
        <f t="shared" si="149"/>
        <v>0.41896292857764861</v>
      </c>
      <c r="H40" s="78">
        <f t="shared" si="149"/>
        <v>0.46878235277838876</v>
      </c>
      <c r="I40" s="78">
        <f t="shared" si="149"/>
        <v>0.48643779378666835</v>
      </c>
      <c r="J40" s="78">
        <f t="shared" si="149"/>
        <v>0.49538111345012104</v>
      </c>
      <c r="K40" s="78">
        <f t="shared" si="149"/>
        <v>0.54375231039718064</v>
      </c>
      <c r="L40" s="78">
        <f t="shared" si="149"/>
        <v>0.55983591284131828</v>
      </c>
      <c r="M40" s="78">
        <f t="shared" si="149"/>
        <v>0.73500150459276892</v>
      </c>
      <c r="N40" s="78">
        <f t="shared" si="149"/>
        <v>0.76278085085367486</v>
      </c>
      <c r="O40" s="78">
        <f t="shared" si="149"/>
        <v>0.77047271978020015</v>
      </c>
      <c r="P40" s="78">
        <f t="shared" si="149"/>
        <v>0.74685401791672712</v>
      </c>
      <c r="Q40" s="78">
        <f t="shared" si="149"/>
        <v>0.73561788321379529</v>
      </c>
      <c r="R40" s="78">
        <f t="shared" si="149"/>
        <v>0.6896365387857929</v>
      </c>
      <c r="S40" s="78">
        <f t="shared" si="149"/>
        <v>0.84237681676819054</v>
      </c>
      <c r="T40" s="78">
        <f t="shared" si="149"/>
        <v>0.79831549578751426</v>
      </c>
      <c r="U40" s="78">
        <f t="shared" si="149"/>
        <v>0.76773183787708765</v>
      </c>
      <c r="V40" s="78">
        <f t="shared" si="149"/>
        <v>0.72916566520854398</v>
      </c>
      <c r="W40" s="78">
        <f t="shared" si="149"/>
        <v>0.74647694624284222</v>
      </c>
      <c r="X40" s="78">
        <f t="shared" si="149"/>
        <v>0.71069274494543622</v>
      </c>
      <c r="Y40" s="78">
        <f t="shared" si="149"/>
        <v>0.92067222641284152</v>
      </c>
      <c r="Z40" s="78">
        <f t="shared" si="149"/>
        <v>0.86819936435838863</v>
      </c>
      <c r="AA40" s="78">
        <f t="shared" ref="AA40:BF40" si="150">MAX(AA33:AA39)</f>
        <v>0.85997815053352133</v>
      </c>
      <c r="AB40" s="78">
        <f t="shared" si="150"/>
        <v>0.95159499295265848</v>
      </c>
      <c r="AC40" s="78">
        <f t="shared" si="150"/>
        <v>0.89573988868016985</v>
      </c>
      <c r="AD40" s="78">
        <f t="shared" si="150"/>
        <v>0.89105023315525811</v>
      </c>
      <c r="AE40" s="78">
        <f t="shared" si="150"/>
        <v>1.0644780620378052</v>
      </c>
      <c r="AF40" s="78">
        <f t="shared" si="150"/>
        <v>0.94986933756761027</v>
      </c>
      <c r="AG40" s="78">
        <f t="shared" si="150"/>
        <v>0.93215507754541382</v>
      </c>
      <c r="AH40" s="78">
        <f t="shared" si="150"/>
        <v>1.2783213105065017</v>
      </c>
      <c r="AI40" s="78">
        <f t="shared" si="150"/>
        <v>1.7172430440569737</v>
      </c>
      <c r="AJ40" s="78">
        <f t="shared" si="150"/>
        <v>2.6344860881139471</v>
      </c>
      <c r="AK40" s="78">
        <f t="shared" si="150"/>
        <v>1.8344860881139466</v>
      </c>
      <c r="AL40" s="78">
        <f t="shared" si="150"/>
        <v>1.7077630251527343</v>
      </c>
      <c r="AM40" s="78">
        <f t="shared" si="150"/>
        <v>0.90776302515273422</v>
      </c>
      <c r="AN40" s="78">
        <f t="shared" si="150"/>
        <v>1.0649345586220911</v>
      </c>
      <c r="AO40" s="78">
        <f t="shared" si="150"/>
        <v>1.2400175803459326</v>
      </c>
      <c r="AP40" s="78">
        <f t="shared" si="150"/>
        <v>1.7288022674905905</v>
      </c>
      <c r="AQ40" s="78">
        <f t="shared" si="150"/>
        <v>0.93139933406096398</v>
      </c>
      <c r="AR40" s="78">
        <f t="shared" si="150"/>
        <v>0.80821341183111262</v>
      </c>
      <c r="AS40" s="78">
        <f t="shared" si="150"/>
        <v>0.7489502027795143</v>
      </c>
      <c r="AT40" s="78">
        <f t="shared" si="150"/>
        <v>1.0588223807459747</v>
      </c>
      <c r="AU40" s="78">
        <f t="shared" si="150"/>
        <v>1.2521948676535795</v>
      </c>
      <c r="AV40" s="78">
        <f t="shared" si="150"/>
        <v>1.7043897353071589</v>
      </c>
      <c r="AW40" s="78">
        <f t="shared" si="150"/>
        <v>0.90438973530715894</v>
      </c>
      <c r="AX40" s="78">
        <f t="shared" si="150"/>
        <v>0.51951972432639415</v>
      </c>
      <c r="AY40" s="78">
        <f t="shared" si="150"/>
        <v>0.17350313185201818</v>
      </c>
      <c r="AZ40" s="78">
        <f t="shared" si="150"/>
        <v>0.16290497999083428</v>
      </c>
      <c r="BA40" s="78">
        <f t="shared" si="150"/>
        <v>0.20392831081902918</v>
      </c>
      <c r="BB40" s="78">
        <f t="shared" si="150"/>
        <v>0.17252693952275677</v>
      </c>
      <c r="BC40" s="78">
        <f t="shared" si="150"/>
        <v>0.14624921454367984</v>
      </c>
      <c r="BD40" s="78">
        <f t="shared" si="150"/>
        <v>0.22942176546004317</v>
      </c>
      <c r="BE40" s="78">
        <f t="shared" si="150"/>
        <v>0.22942176546004309</v>
      </c>
      <c r="BF40" s="78">
        <f t="shared" si="150"/>
        <v>0.22942176546004311</v>
      </c>
      <c r="BG40" s="78">
        <f t="shared" ref="BG40:CL40" si="151">MAX(BG33:BG39)</f>
        <v>0.17841284934366683</v>
      </c>
      <c r="BH40" s="78">
        <f t="shared" si="151"/>
        <v>0.16565091495937539</v>
      </c>
      <c r="BI40" s="78">
        <f t="shared" si="151"/>
        <v>0.15963462496312339</v>
      </c>
      <c r="BJ40" s="78">
        <f t="shared" si="151"/>
        <v>0.18134222165250669</v>
      </c>
      <c r="BK40" s="78">
        <f t="shared" si="151"/>
        <v>0.16449960248583895</v>
      </c>
      <c r="BL40" s="78">
        <f t="shared" si="151"/>
        <v>0.15340044807005554</v>
      </c>
      <c r="BM40" s="78">
        <f t="shared" si="151"/>
        <v>0.19286901112046864</v>
      </c>
      <c r="BN40" s="78">
        <f t="shared" si="151"/>
        <v>0.16317057736492563</v>
      </c>
      <c r="BO40" s="78">
        <f t="shared" si="151"/>
        <v>0.13810004645569107</v>
      </c>
      <c r="BP40" s="78">
        <f t="shared" si="151"/>
        <v>0.2170422765845455</v>
      </c>
      <c r="BQ40" s="78">
        <f t="shared" si="151"/>
        <v>0.2170422765845455</v>
      </c>
      <c r="BR40" s="78">
        <f t="shared" si="151"/>
        <v>0.2170422765845455</v>
      </c>
      <c r="BS40" s="78">
        <f t="shared" si="151"/>
        <v>0.16584856417861993</v>
      </c>
      <c r="BT40" s="78">
        <f t="shared" si="151"/>
        <v>0.15982509574317361</v>
      </c>
      <c r="BU40" s="78">
        <f t="shared" si="151"/>
        <v>0.15402039418202926</v>
      </c>
      <c r="BV40" s="78">
        <f t="shared" si="151"/>
        <v>0.16750658041373578</v>
      </c>
      <c r="BW40" s="78">
        <f t="shared" si="151"/>
        <v>0.15464400864671599</v>
      </c>
      <c r="BX40" s="78">
        <f t="shared" si="151"/>
        <v>0.14902747943871422</v>
      </c>
      <c r="BY40" s="78">
        <f t="shared" si="151"/>
        <v>0.1755263742755982</v>
      </c>
      <c r="BZ40" s="78">
        <f t="shared" si="151"/>
        <v>0.14849840141209614</v>
      </c>
      <c r="CA40" s="78">
        <f t="shared" si="151"/>
        <v>0.13517227108076293</v>
      </c>
      <c r="CB40" s="78">
        <f t="shared" si="151"/>
        <v>0.19481008423400678</v>
      </c>
      <c r="CC40" s="78">
        <f t="shared" si="151"/>
        <v>0.19481008423400681</v>
      </c>
      <c r="CD40" s="78">
        <f t="shared" si="151"/>
        <v>0.19481008423400681</v>
      </c>
      <c r="CE40" s="78">
        <f t="shared" si="151"/>
        <v>0.1658485641786199</v>
      </c>
      <c r="CF40" s="78">
        <f t="shared" si="151"/>
        <v>0.15982509574317363</v>
      </c>
      <c r="CG40" s="78">
        <f t="shared" si="151"/>
        <v>0.15402039418202923</v>
      </c>
      <c r="CH40" s="78">
        <f t="shared" si="151"/>
        <v>0.16750658041373584</v>
      </c>
      <c r="CI40" s="78">
        <f t="shared" si="151"/>
        <v>0.15464400864671596</v>
      </c>
      <c r="CJ40" s="78">
        <f t="shared" si="151"/>
        <v>0.14902747943871422</v>
      </c>
      <c r="CK40" s="78">
        <f t="shared" si="151"/>
        <v>0.17552637427559831</v>
      </c>
      <c r="CL40" s="78">
        <f t="shared" si="151"/>
        <v>0.14849840141209622</v>
      </c>
      <c r="CM40" s="78">
        <f t="shared" ref="CM40:DR40" si="152">MAX(CM33:CM39)</f>
        <v>0.13517227108076296</v>
      </c>
      <c r="CN40" s="78">
        <f t="shared" si="152"/>
        <v>0.19481008423400697</v>
      </c>
      <c r="CO40" s="78">
        <f t="shared" si="152"/>
        <v>0.19481008423400697</v>
      </c>
      <c r="CP40" s="78">
        <f t="shared" si="152"/>
        <v>0.19481008423400681</v>
      </c>
      <c r="CQ40" s="78">
        <f t="shared" si="152"/>
        <v>0.16584856417861993</v>
      </c>
      <c r="CR40" s="78">
        <f t="shared" si="152"/>
        <v>0.15982509574317361</v>
      </c>
      <c r="CS40" s="78">
        <f t="shared" si="152"/>
        <v>0.15402039418202926</v>
      </c>
      <c r="CT40" s="78">
        <f t="shared" si="152"/>
        <v>0.16750658041373578</v>
      </c>
      <c r="CU40" s="78">
        <f t="shared" si="152"/>
        <v>0.15441311703231592</v>
      </c>
      <c r="CV40" s="78">
        <f t="shared" si="152"/>
        <v>0.14880497359695094</v>
      </c>
      <c r="CW40" s="78">
        <f t="shared" si="152"/>
        <v>0.17464394443562503</v>
      </c>
      <c r="CX40" s="78">
        <f t="shared" si="152"/>
        <v>0.14775185023917325</v>
      </c>
      <c r="CY40" s="78">
        <f t="shared" si="152"/>
        <v>0.13264228357066041</v>
      </c>
      <c r="CZ40" s="78">
        <f t="shared" si="152"/>
        <v>0.19436027358819968</v>
      </c>
      <c r="DA40" s="78">
        <f t="shared" si="152"/>
        <v>0.19436027358819968</v>
      </c>
      <c r="DB40" s="78">
        <f t="shared" si="152"/>
        <v>0.19436027358819968</v>
      </c>
      <c r="DC40" s="78">
        <f t="shared" si="152"/>
        <v>0.16584856417861993</v>
      </c>
      <c r="DD40" s="78">
        <f t="shared" si="152"/>
        <v>0.15982509574317363</v>
      </c>
      <c r="DE40" s="78">
        <f t="shared" si="152"/>
        <v>0.15402039418202926</v>
      </c>
      <c r="DF40" s="78">
        <f t="shared" si="152"/>
        <v>0.16815544410056191</v>
      </c>
      <c r="DG40" s="78">
        <f t="shared" si="152"/>
        <v>0.15463163679938521</v>
      </c>
      <c r="DH40" s="78">
        <f t="shared" si="152"/>
        <v>0.14901555692558335</v>
      </c>
      <c r="DI40" s="78">
        <f t="shared" si="152"/>
        <v>0.1754790911064428</v>
      </c>
      <c r="DJ40" s="78">
        <f t="shared" si="152"/>
        <v>0.14845839901893867</v>
      </c>
      <c r="DK40" s="78">
        <f t="shared" si="152"/>
        <v>0.13278078640176597</v>
      </c>
      <c r="DL40" s="78">
        <f t="shared" si="152"/>
        <v>0.20575328213364386</v>
      </c>
      <c r="DM40" s="78">
        <f t="shared" si="152"/>
        <v>0.20575328213364383</v>
      </c>
      <c r="DN40" s="78">
        <f t="shared" si="152"/>
        <v>0.20575328213364397</v>
      </c>
      <c r="DO40" s="78">
        <f t="shared" si="152"/>
        <v>0.16584856417861993</v>
      </c>
      <c r="DP40" s="78">
        <f t="shared" si="152"/>
        <v>0.15700672192542928</v>
      </c>
      <c r="DQ40" s="78">
        <f t="shared" si="152"/>
        <v>0.15140493685090795</v>
      </c>
      <c r="DR40" s="78">
        <f t="shared" si="152"/>
        <v>0.16881024482076673</v>
      </c>
      <c r="DS40" s="78">
        <f t="shared" ref="DS40:EX40" si="153">MAX(DS33:DS39)</f>
        <v>0.15237721321789477</v>
      </c>
      <c r="DT40" s="78">
        <f t="shared" si="153"/>
        <v>0.13754387438217508</v>
      </c>
      <c r="DU40" s="78">
        <f t="shared" si="153"/>
        <v>0.17990254691426283</v>
      </c>
      <c r="DV40" s="78">
        <f t="shared" si="153"/>
        <v>0.15220072047284708</v>
      </c>
      <c r="DW40" s="78">
        <f t="shared" si="153"/>
        <v>0.12683393372737256</v>
      </c>
      <c r="DX40" s="78">
        <f t="shared" si="153"/>
        <v>0.21138988954562091</v>
      </c>
      <c r="DY40" s="78">
        <f t="shared" si="153"/>
        <v>0.21138988954562088</v>
      </c>
      <c r="DZ40" s="78">
        <f t="shared" si="153"/>
        <v>0.21138988954562071</v>
      </c>
      <c r="EA40" s="78">
        <f t="shared" si="153"/>
        <v>0.1658485641786199</v>
      </c>
      <c r="EB40" s="78">
        <f t="shared" si="153"/>
        <v>0.14847131210108791</v>
      </c>
      <c r="EC40" s="78">
        <f t="shared" si="153"/>
        <v>0.13806039277562571</v>
      </c>
      <c r="ED40" s="78">
        <f t="shared" si="153"/>
        <v>0.1715822234662773</v>
      </c>
      <c r="EE40" s="78">
        <f t="shared" si="153"/>
        <v>0.1477696770966383</v>
      </c>
      <c r="EF40" s="78">
        <f t="shared" si="153"/>
        <v>0.1340451932282907</v>
      </c>
      <c r="EG40" s="78">
        <f t="shared" si="153"/>
        <v>0.18552798271505322</v>
      </c>
      <c r="EH40" s="78">
        <f t="shared" si="153"/>
        <v>0.14585923592595307</v>
      </c>
      <c r="EI40" s="78">
        <f t="shared" si="153"/>
        <v>0.12339948030935305</v>
      </c>
      <c r="EJ40" s="78">
        <f t="shared" si="153"/>
        <v>0.22599580631476682</v>
      </c>
      <c r="EK40" s="78">
        <f t="shared" si="153"/>
        <v>0.22599580631476679</v>
      </c>
      <c r="EL40" s="78">
        <f t="shared" si="153"/>
        <v>0.22599580631476662</v>
      </c>
      <c r="EM40" s="78">
        <f t="shared" si="153"/>
        <v>0</v>
      </c>
      <c r="EN40" s="78">
        <f t="shared" si="153"/>
        <v>0</v>
      </c>
      <c r="EO40" s="78">
        <f t="shared" si="153"/>
        <v>0</v>
      </c>
      <c r="EP40" s="78">
        <f t="shared" si="153"/>
        <v>0</v>
      </c>
      <c r="EQ40" s="78">
        <f t="shared" si="153"/>
        <v>0</v>
      </c>
      <c r="ER40" s="78">
        <f t="shared" si="153"/>
        <v>0</v>
      </c>
      <c r="ES40" s="78">
        <f t="shared" si="153"/>
        <v>0</v>
      </c>
      <c r="ET40" s="78">
        <f t="shared" si="153"/>
        <v>0</v>
      </c>
      <c r="EU40" s="78">
        <f t="shared" si="153"/>
        <v>0</v>
      </c>
      <c r="EV40" s="78">
        <f t="shared" si="153"/>
        <v>0</v>
      </c>
      <c r="EW40" s="78">
        <f t="shared" si="153"/>
        <v>0</v>
      </c>
      <c r="EX40" s="78">
        <f t="shared" si="153"/>
        <v>0</v>
      </c>
      <c r="EY40" s="78">
        <f t="shared" ref="EY40:GD40" si="154">MAX(EY33:EY39)</f>
        <v>0</v>
      </c>
      <c r="EZ40" s="78">
        <f t="shared" si="154"/>
        <v>0</v>
      </c>
      <c r="FA40" s="78">
        <f t="shared" si="154"/>
        <v>0</v>
      </c>
      <c r="FB40" s="78">
        <f t="shared" si="154"/>
        <v>0</v>
      </c>
      <c r="FC40" s="78">
        <f t="shared" si="154"/>
        <v>0</v>
      </c>
      <c r="FD40" s="78">
        <f t="shared" si="154"/>
        <v>0</v>
      </c>
      <c r="FE40" s="78">
        <f t="shared" si="154"/>
        <v>0</v>
      </c>
      <c r="FF40" s="78">
        <f t="shared" si="154"/>
        <v>0</v>
      </c>
      <c r="FG40" s="78">
        <f t="shared" si="154"/>
        <v>0</v>
      </c>
      <c r="FH40" s="78">
        <f t="shared" si="154"/>
        <v>0</v>
      </c>
      <c r="FI40" s="78">
        <f t="shared" si="154"/>
        <v>0</v>
      </c>
      <c r="FJ40" s="78">
        <f t="shared" si="154"/>
        <v>0</v>
      </c>
      <c r="FK40" s="78">
        <f t="shared" si="154"/>
        <v>0</v>
      </c>
      <c r="FL40" s="78">
        <f t="shared" si="154"/>
        <v>0</v>
      </c>
      <c r="FM40" s="78">
        <f t="shared" si="154"/>
        <v>0</v>
      </c>
      <c r="FN40" s="78">
        <f t="shared" si="154"/>
        <v>0</v>
      </c>
      <c r="FO40" s="78">
        <f t="shared" si="154"/>
        <v>0</v>
      </c>
      <c r="FP40" s="78">
        <f t="shared" si="154"/>
        <v>0</v>
      </c>
      <c r="FQ40" s="78">
        <f t="shared" si="154"/>
        <v>0</v>
      </c>
      <c r="FR40" s="78">
        <f t="shared" si="154"/>
        <v>0</v>
      </c>
      <c r="FS40" s="78">
        <f t="shared" si="154"/>
        <v>0</v>
      </c>
      <c r="FT40" s="78">
        <f t="shared" si="154"/>
        <v>0</v>
      </c>
      <c r="FU40" s="78">
        <f t="shared" si="154"/>
        <v>0</v>
      </c>
      <c r="FV40" s="78">
        <f t="shared" si="154"/>
        <v>0</v>
      </c>
      <c r="FW40" s="78">
        <f t="shared" si="154"/>
        <v>0</v>
      </c>
      <c r="FX40" s="78">
        <f t="shared" si="154"/>
        <v>0</v>
      </c>
      <c r="FY40" s="78">
        <f t="shared" si="154"/>
        <v>0</v>
      </c>
      <c r="FZ40" s="78">
        <f t="shared" si="154"/>
        <v>0</v>
      </c>
      <c r="GA40" s="78">
        <f t="shared" si="154"/>
        <v>0</v>
      </c>
      <c r="GB40" s="78">
        <f t="shared" si="154"/>
        <v>0</v>
      </c>
      <c r="GC40" s="78">
        <f t="shared" si="154"/>
        <v>0</v>
      </c>
      <c r="GD40" s="78">
        <f t="shared" si="154"/>
        <v>0</v>
      </c>
      <c r="GE40" s="78">
        <f t="shared" ref="GE40:GT40" si="155">MAX(GE33:GE39)</f>
        <v>0</v>
      </c>
      <c r="GF40" s="78">
        <f t="shared" si="155"/>
        <v>0</v>
      </c>
      <c r="GG40" s="78">
        <f t="shared" si="155"/>
        <v>0</v>
      </c>
      <c r="GH40" s="78">
        <f t="shared" si="155"/>
        <v>0</v>
      </c>
      <c r="GI40" s="78">
        <f t="shared" si="155"/>
        <v>0</v>
      </c>
      <c r="GJ40" s="78">
        <f t="shared" si="155"/>
        <v>0</v>
      </c>
      <c r="GK40" s="78">
        <f t="shared" si="155"/>
        <v>0</v>
      </c>
      <c r="GL40" s="78">
        <f t="shared" si="155"/>
        <v>0</v>
      </c>
      <c r="GM40" s="78">
        <f t="shared" si="155"/>
        <v>0</v>
      </c>
      <c r="GN40" s="78">
        <f t="shared" si="155"/>
        <v>0</v>
      </c>
      <c r="GO40" s="78">
        <f t="shared" si="155"/>
        <v>0</v>
      </c>
      <c r="GP40" s="78">
        <f t="shared" si="155"/>
        <v>0</v>
      </c>
      <c r="GQ40" s="78">
        <f t="shared" si="155"/>
        <v>0</v>
      </c>
      <c r="GR40" s="78">
        <f t="shared" si="155"/>
        <v>0</v>
      </c>
      <c r="GS40" s="78">
        <f t="shared" si="155"/>
        <v>0</v>
      </c>
      <c r="GT40" s="78">
        <f t="shared" si="155"/>
        <v>0</v>
      </c>
    </row>
    <row r="41" spans="1:202" x14ac:dyDescent="0.25">
      <c r="A41" t="s">
        <v>108</v>
      </c>
      <c r="C41" s="234">
        <v>0.8</v>
      </c>
      <c r="D41" s="234">
        <v>0.46253436752241339</v>
      </c>
      <c r="E41" s="234">
        <v>0.47162190211973198</v>
      </c>
      <c r="F41" s="234">
        <v>0.5069413834622003</v>
      </c>
      <c r="G41" s="234">
        <v>0.55605448081133202</v>
      </c>
      <c r="H41" s="234">
        <v>0.52563929070001625</v>
      </c>
      <c r="I41" s="234">
        <v>0.58568939436893364</v>
      </c>
      <c r="J41" s="234">
        <v>0.39732328767456693</v>
      </c>
      <c r="K41" s="234">
        <v>0.57370857862287206</v>
      </c>
      <c r="L41" s="234">
        <v>0.62293563299907184</v>
      </c>
      <c r="M41" s="234">
        <v>0.61731254561986937</v>
      </c>
      <c r="N41" s="234">
        <v>0.64276628824814497</v>
      </c>
      <c r="O41" s="234">
        <v>0.8</v>
      </c>
      <c r="P41" s="234">
        <v>0.70660231195551959</v>
      </c>
      <c r="Q41" s="78">
        <f t="shared" ref="Q41:BR41" si="156">IF(Q40&gt;0,IF(Q40&gt;0.8,0.8,Q40),0)</f>
        <v>0.73561788321379529</v>
      </c>
      <c r="R41" s="78">
        <f t="shared" si="156"/>
        <v>0.6896365387857929</v>
      </c>
      <c r="S41" s="78">
        <f t="shared" si="156"/>
        <v>0.8</v>
      </c>
      <c r="T41" s="78">
        <f t="shared" si="156"/>
        <v>0.79831549578751426</v>
      </c>
      <c r="U41" s="78">
        <f t="shared" si="156"/>
        <v>0.76773183787708765</v>
      </c>
      <c r="V41" s="78">
        <f t="shared" si="156"/>
        <v>0.72916566520854398</v>
      </c>
      <c r="W41" s="78">
        <f t="shared" si="156"/>
        <v>0.74647694624284222</v>
      </c>
      <c r="X41" s="78">
        <f t="shared" si="156"/>
        <v>0.71069274494543622</v>
      </c>
      <c r="Y41" s="78">
        <f t="shared" si="156"/>
        <v>0.8</v>
      </c>
      <c r="Z41" s="78">
        <f t="shared" si="156"/>
        <v>0.8</v>
      </c>
      <c r="AA41" s="78">
        <f t="shared" si="156"/>
        <v>0.8</v>
      </c>
      <c r="AB41" s="78">
        <f t="shared" si="156"/>
        <v>0.8</v>
      </c>
      <c r="AC41" s="78">
        <f t="shared" si="156"/>
        <v>0.8</v>
      </c>
      <c r="AD41" s="78">
        <f t="shared" si="156"/>
        <v>0.8</v>
      </c>
      <c r="AE41" s="78">
        <f t="shared" si="156"/>
        <v>0.8</v>
      </c>
      <c r="AF41" s="78">
        <f t="shared" si="156"/>
        <v>0.8</v>
      </c>
      <c r="AG41" s="78">
        <f t="shared" si="156"/>
        <v>0.8</v>
      </c>
      <c r="AH41" s="78">
        <f t="shared" si="156"/>
        <v>0.8</v>
      </c>
      <c r="AI41" s="78">
        <f t="shared" si="156"/>
        <v>0.8</v>
      </c>
      <c r="AJ41" s="78">
        <f t="shared" si="156"/>
        <v>0.8</v>
      </c>
      <c r="AK41" s="78">
        <f t="shared" si="156"/>
        <v>0.8</v>
      </c>
      <c r="AL41" s="78">
        <f t="shared" si="156"/>
        <v>0.8</v>
      </c>
      <c r="AM41" s="78">
        <f t="shared" si="156"/>
        <v>0.8</v>
      </c>
      <c r="AN41" s="78">
        <f t="shared" si="156"/>
        <v>0.8</v>
      </c>
      <c r="AO41" s="78">
        <f t="shared" si="156"/>
        <v>0.8</v>
      </c>
      <c r="AP41" s="78">
        <f t="shared" si="156"/>
        <v>0.8</v>
      </c>
      <c r="AQ41" s="78">
        <f t="shared" si="156"/>
        <v>0.8</v>
      </c>
      <c r="AR41" s="78">
        <f t="shared" si="156"/>
        <v>0.8</v>
      </c>
      <c r="AS41" s="78">
        <f t="shared" si="156"/>
        <v>0.7489502027795143</v>
      </c>
      <c r="AT41" s="78">
        <f t="shared" si="156"/>
        <v>0.8</v>
      </c>
      <c r="AU41" s="78">
        <f t="shared" si="156"/>
        <v>0.8</v>
      </c>
      <c r="AV41" s="78">
        <f t="shared" si="156"/>
        <v>0.8</v>
      </c>
      <c r="AW41" s="78">
        <f t="shared" si="156"/>
        <v>0.8</v>
      </c>
      <c r="AX41" s="78">
        <f t="shared" si="156"/>
        <v>0.51951972432639415</v>
      </c>
      <c r="AY41" s="78">
        <f t="shared" si="156"/>
        <v>0.17350313185201818</v>
      </c>
      <c r="AZ41" s="78">
        <f t="shared" si="156"/>
        <v>0.16290497999083428</v>
      </c>
      <c r="BA41" s="78">
        <f t="shared" si="156"/>
        <v>0.20392831081902918</v>
      </c>
      <c r="BB41" s="78">
        <f t="shared" si="156"/>
        <v>0.17252693952275677</v>
      </c>
      <c r="BC41" s="78">
        <f t="shared" si="156"/>
        <v>0.14624921454367984</v>
      </c>
      <c r="BD41" s="78">
        <f t="shared" si="156"/>
        <v>0.22942176546004317</v>
      </c>
      <c r="BE41" s="78">
        <f t="shared" si="156"/>
        <v>0.22942176546004309</v>
      </c>
      <c r="BF41" s="78">
        <f t="shared" si="156"/>
        <v>0.22942176546004311</v>
      </c>
      <c r="BG41" s="78">
        <f t="shared" si="156"/>
        <v>0.17841284934366683</v>
      </c>
      <c r="BH41" s="78">
        <f t="shared" si="156"/>
        <v>0.16565091495937539</v>
      </c>
      <c r="BI41" s="78">
        <f t="shared" si="156"/>
        <v>0.15963462496312339</v>
      </c>
      <c r="BJ41" s="78">
        <f t="shared" si="156"/>
        <v>0.18134222165250669</v>
      </c>
      <c r="BK41" s="78">
        <f t="shared" si="156"/>
        <v>0.16449960248583895</v>
      </c>
      <c r="BL41" s="78">
        <f t="shared" si="156"/>
        <v>0.15340044807005554</v>
      </c>
      <c r="BM41" s="78">
        <f t="shared" si="156"/>
        <v>0.19286901112046864</v>
      </c>
      <c r="BN41" s="78">
        <f t="shared" si="156"/>
        <v>0.16317057736492563</v>
      </c>
      <c r="BO41" s="78">
        <f t="shared" si="156"/>
        <v>0.13810004645569107</v>
      </c>
      <c r="BP41" s="78">
        <f t="shared" si="156"/>
        <v>0.2170422765845455</v>
      </c>
      <c r="BQ41" s="78">
        <f t="shared" si="156"/>
        <v>0.2170422765845455</v>
      </c>
      <c r="BR41" s="78">
        <f t="shared" si="156"/>
        <v>0.2170422765845455</v>
      </c>
      <c r="BS41" s="78">
        <f t="shared" ref="BS41:EB41" si="157">IF(BS40&gt;0,IF(BS40&gt;0.7,0.7,BS40),0)</f>
        <v>0.16584856417861993</v>
      </c>
      <c r="BT41" s="78">
        <f t="shared" si="157"/>
        <v>0.15982509574317361</v>
      </c>
      <c r="BU41" s="78">
        <f t="shared" si="157"/>
        <v>0.15402039418202926</v>
      </c>
      <c r="BV41" s="78">
        <f t="shared" si="157"/>
        <v>0.16750658041373578</v>
      </c>
      <c r="BW41" s="78">
        <f t="shared" si="157"/>
        <v>0.15464400864671599</v>
      </c>
      <c r="BX41" s="78">
        <f t="shared" si="157"/>
        <v>0.14902747943871422</v>
      </c>
      <c r="BY41" s="78">
        <f t="shared" si="157"/>
        <v>0.1755263742755982</v>
      </c>
      <c r="BZ41" s="78">
        <f t="shared" si="157"/>
        <v>0.14849840141209614</v>
      </c>
      <c r="CA41" s="78">
        <f t="shared" si="157"/>
        <v>0.13517227108076293</v>
      </c>
      <c r="CB41" s="78">
        <f t="shared" si="157"/>
        <v>0.19481008423400678</v>
      </c>
      <c r="CC41" s="78">
        <f t="shared" si="157"/>
        <v>0.19481008423400681</v>
      </c>
      <c r="CD41" s="78">
        <f t="shared" si="157"/>
        <v>0.19481008423400681</v>
      </c>
      <c r="CE41" s="78">
        <f t="shared" si="157"/>
        <v>0.1658485641786199</v>
      </c>
      <c r="CF41" s="78">
        <f t="shared" si="157"/>
        <v>0.15982509574317363</v>
      </c>
      <c r="CG41" s="78">
        <f t="shared" si="157"/>
        <v>0.15402039418202923</v>
      </c>
      <c r="CH41" s="78">
        <f t="shared" si="157"/>
        <v>0.16750658041373584</v>
      </c>
      <c r="CI41" s="78">
        <f t="shared" si="157"/>
        <v>0.15464400864671596</v>
      </c>
      <c r="CJ41" s="78">
        <f t="shared" si="157"/>
        <v>0.14902747943871422</v>
      </c>
      <c r="CK41" s="78">
        <f t="shared" si="157"/>
        <v>0.17552637427559831</v>
      </c>
      <c r="CL41" s="78">
        <f t="shared" si="157"/>
        <v>0.14849840141209622</v>
      </c>
      <c r="CM41" s="78">
        <f t="shared" si="157"/>
        <v>0.13517227108076296</v>
      </c>
      <c r="CN41" s="78">
        <f t="shared" si="157"/>
        <v>0.19481008423400697</v>
      </c>
      <c r="CO41" s="78">
        <f t="shared" si="157"/>
        <v>0.19481008423400697</v>
      </c>
      <c r="CP41" s="78">
        <f t="shared" si="157"/>
        <v>0.19481008423400681</v>
      </c>
      <c r="CQ41" s="78">
        <f t="shared" si="157"/>
        <v>0.16584856417861993</v>
      </c>
      <c r="CR41" s="78">
        <f t="shared" si="157"/>
        <v>0.15982509574317361</v>
      </c>
      <c r="CS41" s="78">
        <f t="shared" si="157"/>
        <v>0.15402039418202926</v>
      </c>
      <c r="CT41" s="78">
        <f t="shared" si="157"/>
        <v>0.16750658041373578</v>
      </c>
      <c r="CU41" s="78">
        <f t="shared" si="157"/>
        <v>0.15441311703231592</v>
      </c>
      <c r="CV41" s="78">
        <f t="shared" si="157"/>
        <v>0.14880497359695094</v>
      </c>
      <c r="CW41" s="78">
        <f t="shared" si="157"/>
        <v>0.17464394443562503</v>
      </c>
      <c r="CX41" s="78">
        <f t="shared" si="157"/>
        <v>0.14775185023917325</v>
      </c>
      <c r="CY41" s="78">
        <f t="shared" si="157"/>
        <v>0.13264228357066041</v>
      </c>
      <c r="CZ41" s="78">
        <f t="shared" si="157"/>
        <v>0.19436027358819968</v>
      </c>
      <c r="DA41" s="78">
        <f t="shared" si="157"/>
        <v>0.19436027358819968</v>
      </c>
      <c r="DB41" s="78">
        <f t="shared" si="157"/>
        <v>0.19436027358819968</v>
      </c>
      <c r="DC41" s="78">
        <f t="shared" si="157"/>
        <v>0.16584856417861993</v>
      </c>
      <c r="DD41" s="78">
        <f t="shared" si="157"/>
        <v>0.15982509574317363</v>
      </c>
      <c r="DE41" s="78">
        <f t="shared" si="157"/>
        <v>0.15402039418202926</v>
      </c>
      <c r="DF41" s="78">
        <f t="shared" si="157"/>
        <v>0.16815544410056191</v>
      </c>
      <c r="DG41" s="78">
        <f t="shared" si="157"/>
        <v>0.15463163679938521</v>
      </c>
      <c r="DH41" s="78">
        <f t="shared" si="157"/>
        <v>0.14901555692558335</v>
      </c>
      <c r="DI41" s="78">
        <f t="shared" si="157"/>
        <v>0.1754790911064428</v>
      </c>
      <c r="DJ41" s="78">
        <f t="shared" si="157"/>
        <v>0.14845839901893867</v>
      </c>
      <c r="DK41" s="78">
        <f t="shared" si="157"/>
        <v>0.13278078640176597</v>
      </c>
      <c r="DL41" s="78">
        <f t="shared" si="157"/>
        <v>0.20575328213364386</v>
      </c>
      <c r="DM41" s="78">
        <f t="shared" si="157"/>
        <v>0.20575328213364383</v>
      </c>
      <c r="DN41" s="78">
        <f t="shared" si="157"/>
        <v>0.20575328213364397</v>
      </c>
      <c r="DO41" s="78">
        <f t="shared" si="157"/>
        <v>0.16584856417861993</v>
      </c>
      <c r="DP41" s="78">
        <f t="shared" si="157"/>
        <v>0.15700672192542928</v>
      </c>
      <c r="DQ41" s="78">
        <f t="shared" si="157"/>
        <v>0.15140493685090795</v>
      </c>
      <c r="DR41" s="78">
        <f t="shared" si="157"/>
        <v>0.16881024482076673</v>
      </c>
      <c r="DS41" s="78">
        <f t="shared" si="157"/>
        <v>0.15237721321789477</v>
      </c>
      <c r="DT41" s="78">
        <f t="shared" si="157"/>
        <v>0.13754387438217508</v>
      </c>
      <c r="DU41" s="78">
        <f t="shared" si="157"/>
        <v>0.17990254691426283</v>
      </c>
      <c r="DV41" s="78">
        <f t="shared" si="157"/>
        <v>0.15220072047284708</v>
      </c>
      <c r="DW41" s="78">
        <f t="shared" si="157"/>
        <v>0.12683393372737256</v>
      </c>
      <c r="DX41" s="78">
        <f t="shared" si="157"/>
        <v>0.21138988954562091</v>
      </c>
      <c r="DY41" s="78">
        <f t="shared" si="157"/>
        <v>0.21138988954562088</v>
      </c>
      <c r="DZ41" s="78">
        <f t="shared" si="157"/>
        <v>0.21138988954562071</v>
      </c>
      <c r="EA41" s="78">
        <f t="shared" si="157"/>
        <v>0.1658485641786199</v>
      </c>
      <c r="EB41" s="78">
        <f t="shared" si="157"/>
        <v>0.14847131210108791</v>
      </c>
      <c r="EC41" s="78">
        <f t="shared" ref="EC41:GN41" si="158">IF(EC40&gt;0,IF(EC40&gt;0.7,0.7,EC40),0)</f>
        <v>0.13806039277562571</v>
      </c>
      <c r="ED41" s="78">
        <f t="shared" si="158"/>
        <v>0.1715822234662773</v>
      </c>
      <c r="EE41" s="78">
        <f t="shared" si="158"/>
        <v>0.1477696770966383</v>
      </c>
      <c r="EF41" s="78">
        <f t="shared" si="158"/>
        <v>0.1340451932282907</v>
      </c>
      <c r="EG41" s="78">
        <f t="shared" si="158"/>
        <v>0.18552798271505322</v>
      </c>
      <c r="EH41" s="78">
        <f t="shared" si="158"/>
        <v>0.14585923592595307</v>
      </c>
      <c r="EI41" s="78">
        <f t="shared" si="158"/>
        <v>0.12339948030935305</v>
      </c>
      <c r="EJ41" s="78">
        <f t="shared" si="158"/>
        <v>0.22599580631476682</v>
      </c>
      <c r="EK41" s="78">
        <f t="shared" si="158"/>
        <v>0.22599580631476679</v>
      </c>
      <c r="EL41" s="78">
        <f t="shared" si="158"/>
        <v>0.22599580631476662</v>
      </c>
      <c r="EM41" s="78">
        <f t="shared" si="158"/>
        <v>0</v>
      </c>
      <c r="EN41" s="78">
        <f t="shared" si="158"/>
        <v>0</v>
      </c>
      <c r="EO41" s="78">
        <f t="shared" si="158"/>
        <v>0</v>
      </c>
      <c r="EP41" s="78">
        <f t="shared" si="158"/>
        <v>0</v>
      </c>
      <c r="EQ41" s="78">
        <f t="shared" si="158"/>
        <v>0</v>
      </c>
      <c r="ER41" s="78">
        <f t="shared" si="158"/>
        <v>0</v>
      </c>
      <c r="ES41" s="78">
        <f t="shared" si="158"/>
        <v>0</v>
      </c>
      <c r="ET41" s="78">
        <f t="shared" si="158"/>
        <v>0</v>
      </c>
      <c r="EU41" s="78">
        <f t="shared" si="158"/>
        <v>0</v>
      </c>
      <c r="EV41" s="78">
        <f t="shared" si="158"/>
        <v>0</v>
      </c>
      <c r="EW41" s="78">
        <f t="shared" si="158"/>
        <v>0</v>
      </c>
      <c r="EX41" s="78">
        <f t="shared" si="158"/>
        <v>0</v>
      </c>
      <c r="EY41" s="78">
        <f t="shared" si="158"/>
        <v>0</v>
      </c>
      <c r="EZ41" s="78">
        <f t="shared" si="158"/>
        <v>0</v>
      </c>
      <c r="FA41" s="78">
        <f t="shared" si="158"/>
        <v>0</v>
      </c>
      <c r="FB41" s="78">
        <f t="shared" si="158"/>
        <v>0</v>
      </c>
      <c r="FC41" s="78">
        <f t="shared" si="158"/>
        <v>0</v>
      </c>
      <c r="FD41" s="78">
        <f t="shared" si="158"/>
        <v>0</v>
      </c>
      <c r="FE41" s="78">
        <f t="shared" si="158"/>
        <v>0</v>
      </c>
      <c r="FF41" s="78">
        <f t="shared" si="158"/>
        <v>0</v>
      </c>
      <c r="FG41" s="78">
        <f t="shared" si="158"/>
        <v>0</v>
      </c>
      <c r="FH41" s="78">
        <f t="shared" si="158"/>
        <v>0</v>
      </c>
      <c r="FI41" s="78">
        <f t="shared" si="158"/>
        <v>0</v>
      </c>
      <c r="FJ41" s="78">
        <f t="shared" si="158"/>
        <v>0</v>
      </c>
      <c r="FK41" s="78">
        <f t="shared" si="158"/>
        <v>0</v>
      </c>
      <c r="FL41" s="78">
        <f t="shared" si="158"/>
        <v>0</v>
      </c>
      <c r="FM41" s="78">
        <f t="shared" si="158"/>
        <v>0</v>
      </c>
      <c r="FN41" s="78">
        <f t="shared" si="158"/>
        <v>0</v>
      </c>
      <c r="FO41" s="78">
        <f t="shared" si="158"/>
        <v>0</v>
      </c>
      <c r="FP41" s="78">
        <f t="shared" si="158"/>
        <v>0</v>
      </c>
      <c r="FQ41" s="78">
        <f t="shared" si="158"/>
        <v>0</v>
      </c>
      <c r="FR41" s="78">
        <f t="shared" si="158"/>
        <v>0</v>
      </c>
      <c r="FS41" s="78">
        <f t="shared" si="158"/>
        <v>0</v>
      </c>
      <c r="FT41" s="78">
        <f t="shared" si="158"/>
        <v>0</v>
      </c>
      <c r="FU41" s="78">
        <f t="shared" si="158"/>
        <v>0</v>
      </c>
      <c r="FV41" s="78">
        <f t="shared" si="158"/>
        <v>0</v>
      </c>
      <c r="FW41" s="78">
        <f t="shared" si="158"/>
        <v>0</v>
      </c>
      <c r="FX41" s="78">
        <f t="shared" si="158"/>
        <v>0</v>
      </c>
      <c r="FY41" s="78">
        <f t="shared" si="158"/>
        <v>0</v>
      </c>
      <c r="FZ41" s="78">
        <f t="shared" si="158"/>
        <v>0</v>
      </c>
      <c r="GA41" s="78">
        <f t="shared" si="158"/>
        <v>0</v>
      </c>
      <c r="GB41" s="78">
        <f t="shared" si="158"/>
        <v>0</v>
      </c>
      <c r="GC41" s="78">
        <f t="shared" si="158"/>
        <v>0</v>
      </c>
      <c r="GD41" s="78">
        <f t="shared" si="158"/>
        <v>0</v>
      </c>
      <c r="GE41" s="78">
        <f t="shared" si="158"/>
        <v>0</v>
      </c>
      <c r="GF41" s="78">
        <f t="shared" si="158"/>
        <v>0</v>
      </c>
      <c r="GG41" s="78">
        <f t="shared" si="158"/>
        <v>0</v>
      </c>
      <c r="GH41" s="78">
        <f t="shared" si="158"/>
        <v>0</v>
      </c>
      <c r="GI41" s="78">
        <f t="shared" si="158"/>
        <v>0</v>
      </c>
      <c r="GJ41" s="78">
        <f t="shared" si="158"/>
        <v>0</v>
      </c>
      <c r="GK41" s="78">
        <f t="shared" si="158"/>
        <v>0</v>
      </c>
      <c r="GL41" s="78">
        <f t="shared" si="158"/>
        <v>0</v>
      </c>
      <c r="GM41" s="78">
        <f t="shared" si="158"/>
        <v>0</v>
      </c>
      <c r="GN41" s="78">
        <f t="shared" si="158"/>
        <v>0</v>
      </c>
      <c r="GO41" s="78">
        <f t="shared" ref="GO41:GT41" si="159">IF(GO40&gt;0,IF(GO40&gt;0.7,0.7,GO40),0)</f>
        <v>0</v>
      </c>
      <c r="GP41" s="78">
        <f t="shared" si="159"/>
        <v>0</v>
      </c>
      <c r="GQ41" s="78">
        <f t="shared" si="159"/>
        <v>0</v>
      </c>
      <c r="GR41" s="78">
        <f t="shared" si="159"/>
        <v>0</v>
      </c>
      <c r="GS41" s="78">
        <f t="shared" si="159"/>
        <v>0</v>
      </c>
      <c r="GT41" s="78">
        <f t="shared" si="159"/>
        <v>0</v>
      </c>
    </row>
    <row r="42" spans="1:202" x14ac:dyDescent="0.25">
      <c r="A42" s="76" t="s">
        <v>114</v>
      </c>
      <c r="K42" s="39">
        <f>V43-J43</f>
        <v>6875.4188490003908</v>
      </c>
    </row>
    <row r="43" spans="1:202" s="85" customFormat="1" x14ac:dyDescent="0.25">
      <c r="A43" s="87" t="s">
        <v>115</v>
      </c>
      <c r="B43" s="86">
        <f>4497.28227732209/3.8*(1-2.62%)</f>
        <v>1152.4877583305924</v>
      </c>
      <c r="C43" s="86">
        <f>B43+C45*C24+C44</f>
        <v>1436.7054011877351</v>
      </c>
      <c r="D43" s="86">
        <f>C43+D45*D24+D44</f>
        <v>389.55088165241091</v>
      </c>
      <c r="E43" s="86">
        <f t="shared" ref="E43:Z43" si="160">D43+E45*E24+E44</f>
        <v>1838.2761159433271</v>
      </c>
      <c r="F43" s="86">
        <f t="shared" si="160"/>
        <v>1995.0966703777613</v>
      </c>
      <c r="G43" s="86">
        <f t="shared" si="160"/>
        <v>765.6860022146725</v>
      </c>
      <c r="H43" s="86">
        <f t="shared" si="160"/>
        <v>1901.6390443939681</v>
      </c>
      <c r="I43" s="86">
        <f t="shared" si="160"/>
        <v>1753.3178466247473</v>
      </c>
      <c r="J43" s="86">
        <f t="shared" si="160"/>
        <v>3702.1685704046449</v>
      </c>
      <c r="K43" s="86">
        <f t="shared" si="160"/>
        <v>4560.7868275382289</v>
      </c>
      <c r="L43" s="86">
        <f t="shared" si="160"/>
        <v>5486.8610662520405</v>
      </c>
      <c r="M43" s="86">
        <f t="shared" si="160"/>
        <v>6467.2242668908038</v>
      </c>
      <c r="N43" s="86">
        <f t="shared" si="160"/>
        <v>6701.5623517971644</v>
      </c>
      <c r="O43" s="86">
        <f t="shared" si="160"/>
        <v>7453.3307838196351</v>
      </c>
      <c r="P43" s="86">
        <f t="shared" si="160"/>
        <v>6818.0651357679371</v>
      </c>
      <c r="Q43" s="86">
        <f t="shared" si="160"/>
        <v>8115.2688804076442</v>
      </c>
      <c r="R43" s="86">
        <f t="shared" si="160"/>
        <v>8972.9555897928203</v>
      </c>
      <c r="S43" s="86">
        <f t="shared" si="160"/>
        <v>9327.6538397928198</v>
      </c>
      <c r="T43" s="86">
        <f t="shared" si="160"/>
        <v>9685.3395432742509</v>
      </c>
      <c r="U43" s="86">
        <f t="shared" si="160"/>
        <v>10097.265096452818</v>
      </c>
      <c r="V43" s="86">
        <f t="shared" si="160"/>
        <v>10577.587419405036</v>
      </c>
      <c r="W43" s="86">
        <f t="shared" si="160"/>
        <v>11821.510641913401</v>
      </c>
      <c r="X43" s="86">
        <f t="shared" si="160"/>
        <v>12621.008709818207</v>
      </c>
      <c r="Y43" s="86">
        <f t="shared" si="160"/>
        <v>13173.706959818206</v>
      </c>
      <c r="Z43" s="86">
        <f t="shared" si="160"/>
        <v>13726.405209818206</v>
      </c>
      <c r="AA43" s="86">
        <f t="shared" ref="AA43:BF43" si="161">Z43+AA45*AA24+AA44</f>
        <v>14279.103459818205</v>
      </c>
      <c r="AB43" s="86">
        <f t="shared" si="161"/>
        <v>15506.801709818204</v>
      </c>
      <c r="AC43" s="86">
        <f t="shared" si="161"/>
        <v>16488.111459818203</v>
      </c>
      <c r="AD43" s="86">
        <f t="shared" si="161"/>
        <v>17040.809709818204</v>
      </c>
      <c r="AE43" s="86">
        <f t="shared" si="161"/>
        <v>17593.507959818206</v>
      </c>
      <c r="AF43" s="86">
        <f t="shared" si="161"/>
        <v>18146.206209818207</v>
      </c>
      <c r="AG43" s="86">
        <f t="shared" si="161"/>
        <v>18698.904459818208</v>
      </c>
      <c r="AH43" s="86">
        <f t="shared" si="161"/>
        <v>19680.214209818208</v>
      </c>
      <c r="AI43" s="86">
        <f t="shared" si="161"/>
        <v>20214.91245981821</v>
      </c>
      <c r="AJ43" s="86">
        <f t="shared" si="161"/>
        <v>20749.610709818211</v>
      </c>
      <c r="AK43" s="86">
        <f t="shared" si="161"/>
        <v>21284.308959818212</v>
      </c>
      <c r="AL43" s="86">
        <f t="shared" si="161"/>
        <v>21819.007209818214</v>
      </c>
      <c r="AM43" s="86">
        <f t="shared" si="161"/>
        <v>22353.705459818215</v>
      </c>
      <c r="AN43" s="86">
        <f t="shared" si="161"/>
        <v>23563.403709818216</v>
      </c>
      <c r="AO43" s="86">
        <f t="shared" si="161"/>
        <v>24526.713459818217</v>
      </c>
      <c r="AP43" s="86">
        <f t="shared" si="161"/>
        <v>25393.911709818218</v>
      </c>
      <c r="AQ43" s="86">
        <f t="shared" si="161"/>
        <v>26261.109959818219</v>
      </c>
      <c r="AR43" s="86">
        <f t="shared" si="161"/>
        <v>27128.30820981822</v>
      </c>
      <c r="AS43" s="86">
        <f t="shared" si="161"/>
        <v>28216.857933880521</v>
      </c>
      <c r="AT43" s="86">
        <f t="shared" si="161"/>
        <v>29512.667683880522</v>
      </c>
      <c r="AU43" s="86">
        <f t="shared" si="161"/>
        <v>30379.865933880523</v>
      </c>
      <c r="AV43" s="86">
        <f t="shared" si="161"/>
        <v>31247.064183880524</v>
      </c>
      <c r="AW43" s="86">
        <f t="shared" si="161"/>
        <v>32114.262433880525</v>
      </c>
      <c r="AX43" s="86">
        <f t="shared" si="161"/>
        <v>34197.620704998866</v>
      </c>
      <c r="AY43" s="86">
        <f t="shared" si="161"/>
        <v>37781.30389344092</v>
      </c>
      <c r="AZ43" s="86">
        <f t="shared" si="161"/>
        <v>46030.079028993467</v>
      </c>
      <c r="BA43" s="86">
        <f t="shared" si="161"/>
        <v>49481.838907654877</v>
      </c>
      <c r="BB43" s="86">
        <f t="shared" si="161"/>
        <v>53069.754857494925</v>
      </c>
      <c r="BC43" s="86">
        <f t="shared" si="161"/>
        <v>56771.610792914158</v>
      </c>
      <c r="BD43" s="86">
        <f t="shared" si="161"/>
        <v>60112.831275319855</v>
      </c>
      <c r="BE43" s="86">
        <f t="shared" si="161"/>
        <v>63454.05175772556</v>
      </c>
      <c r="BF43" s="86">
        <f t="shared" si="161"/>
        <v>68446.665704998872</v>
      </c>
      <c r="BG43" s="86">
        <f t="shared" ref="BG43:CL43" si="162">BF43+BG45*BG24+BG44</f>
        <v>72009.060401357157</v>
      </c>
      <c r="BH43" s="86">
        <f t="shared" si="162"/>
        <v>75626.790733538815</v>
      </c>
      <c r="BI43" s="86">
        <f t="shared" si="162"/>
        <v>79270.607646501681</v>
      </c>
      <c r="BJ43" s="86">
        <f t="shared" si="162"/>
        <v>82820.300610160848</v>
      </c>
      <c r="BK43" s="86">
        <f t="shared" si="162"/>
        <v>88233.548416299484</v>
      </c>
      <c r="BL43" s="86">
        <f t="shared" si="162"/>
        <v>94761.670153485204</v>
      </c>
      <c r="BM43" s="86">
        <f t="shared" si="162"/>
        <v>98261.383058870706</v>
      </c>
      <c r="BN43" s="86">
        <f t="shared" si="162"/>
        <v>101889.86811315894</v>
      </c>
      <c r="BO43" s="86">
        <f t="shared" si="162"/>
        <v>105627.05877010248</v>
      </c>
      <c r="BP43" s="86">
        <f t="shared" si="162"/>
        <v>109021.95660795181</v>
      </c>
      <c r="BQ43" s="86">
        <f t="shared" si="162"/>
        <v>114094.77786714956</v>
      </c>
      <c r="BR43" s="86">
        <f t="shared" si="162"/>
        <v>117489.6757049989</v>
      </c>
      <c r="BS43" s="86">
        <f t="shared" si="162"/>
        <v>121106.54903189534</v>
      </c>
      <c r="BT43" s="86">
        <f t="shared" si="162"/>
        <v>124749.54006522252</v>
      </c>
      <c r="BU43" s="86">
        <f t="shared" si="162"/>
        <v>128417.70023372769</v>
      </c>
      <c r="BV43" s="86">
        <f t="shared" si="162"/>
        <v>132027.38441673631</v>
      </c>
      <c r="BW43" s="86">
        <f t="shared" si="162"/>
        <v>137504.48709581883</v>
      </c>
      <c r="BX43" s="86">
        <f t="shared" si="162"/>
        <v>144066.32875585734</v>
      </c>
      <c r="BY43" s="86">
        <f t="shared" si="162"/>
        <v>147641.23918285413</v>
      </c>
      <c r="BZ43" s="86">
        <f t="shared" si="162"/>
        <v>151333.34266369228</v>
      </c>
      <c r="CA43" s="86">
        <f t="shared" si="162"/>
        <v>155083.22812904348</v>
      </c>
      <c r="CB43" s="86">
        <f t="shared" si="162"/>
        <v>160300.09284629975</v>
      </c>
      <c r="CC43" s="86">
        <f t="shared" si="162"/>
        <v>163791.38927564933</v>
      </c>
      <c r="CD43" s="86">
        <f t="shared" si="162"/>
        <v>167282.6857049989</v>
      </c>
      <c r="CE43" s="86">
        <f t="shared" si="162"/>
        <v>170899.55903189533</v>
      </c>
      <c r="CF43" s="86">
        <f t="shared" si="162"/>
        <v>174542.55006522252</v>
      </c>
      <c r="CG43" s="86">
        <f t="shared" si="162"/>
        <v>178210.71023372767</v>
      </c>
      <c r="CH43" s="86">
        <f t="shared" si="162"/>
        <v>181820.39441673629</v>
      </c>
      <c r="CI43" s="86">
        <f t="shared" si="162"/>
        <v>187297.49709581881</v>
      </c>
      <c r="CJ43" s="86">
        <f t="shared" si="162"/>
        <v>193859.33875585732</v>
      </c>
      <c r="CK43" s="86">
        <f t="shared" si="162"/>
        <v>197434.24918285411</v>
      </c>
      <c r="CL43" s="86">
        <f t="shared" si="162"/>
        <v>201126.35266369226</v>
      </c>
      <c r="CM43" s="86">
        <f t="shared" ref="CM43:DR43" si="163">CL43+CM45*CM24+CM44</f>
        <v>204876.23812904346</v>
      </c>
      <c r="CN43" s="86">
        <f t="shared" si="163"/>
        <v>210093.10284629971</v>
      </c>
      <c r="CO43" s="86">
        <f t="shared" si="163"/>
        <v>213584.39927564928</v>
      </c>
      <c r="CP43" s="86">
        <f t="shared" si="163"/>
        <v>217075.69570499886</v>
      </c>
      <c r="CQ43" s="86">
        <f t="shared" si="163"/>
        <v>220692.56903189528</v>
      </c>
      <c r="CR43" s="86">
        <f t="shared" si="163"/>
        <v>224335.56006522247</v>
      </c>
      <c r="CS43" s="86">
        <f t="shared" si="163"/>
        <v>228003.72023372762</v>
      </c>
      <c r="CT43" s="86">
        <f t="shared" si="163"/>
        <v>233397.48568328124</v>
      </c>
      <c r="CU43" s="86">
        <f t="shared" si="163"/>
        <v>237063.9430089439</v>
      </c>
      <c r="CV43" s="86">
        <f t="shared" si="163"/>
        <v>243627.50040958132</v>
      </c>
      <c r="CW43" s="86">
        <f t="shared" si="163"/>
        <v>247206.23704464297</v>
      </c>
      <c r="CX43" s="86">
        <f t="shared" si="163"/>
        <v>250901.57756483462</v>
      </c>
      <c r="CY43" s="86">
        <f t="shared" si="163"/>
        <v>254662.43303389222</v>
      </c>
      <c r="CZ43" s="86">
        <f t="shared" si="163"/>
        <v>259882.21209625094</v>
      </c>
      <c r="DA43" s="86">
        <f t="shared" si="163"/>
        <v>263375.45890062489</v>
      </c>
      <c r="DB43" s="86">
        <f t="shared" si="163"/>
        <v>266868.70570499887</v>
      </c>
      <c r="DC43" s="86">
        <f t="shared" si="163"/>
        <v>270485.57903189532</v>
      </c>
      <c r="DD43" s="86">
        <f t="shared" si="163"/>
        <v>274128.57006522251</v>
      </c>
      <c r="DE43" s="86">
        <f t="shared" si="163"/>
        <v>279609.7131728229</v>
      </c>
      <c r="DF43" s="86">
        <f t="shared" si="163"/>
        <v>283216.58388856298</v>
      </c>
      <c r="DG43" s="86">
        <f t="shared" si="163"/>
        <v>286882.09371442767</v>
      </c>
      <c r="DH43" s="86">
        <f t="shared" si="163"/>
        <v>293444.02730886062</v>
      </c>
      <c r="DI43" s="86">
        <f t="shared" si="163"/>
        <v>297019.14275526511</v>
      </c>
      <c r="DJ43" s="86">
        <f t="shared" si="163"/>
        <v>300711.41968613002</v>
      </c>
      <c r="DK43" s="86">
        <f t="shared" si="163"/>
        <v>306330.17524796963</v>
      </c>
      <c r="DL43" s="86">
        <f t="shared" si="163"/>
        <v>309774.02206697938</v>
      </c>
      <c r="DM43" s="86">
        <f t="shared" si="163"/>
        <v>313217.86888598913</v>
      </c>
      <c r="DN43" s="86">
        <f t="shared" si="163"/>
        <v>316661.71570499887</v>
      </c>
      <c r="DO43" s="86">
        <f t="shared" si="163"/>
        <v>320278.58903189533</v>
      </c>
      <c r="DP43" s="86">
        <f t="shared" si="163"/>
        <v>323933.80050943547</v>
      </c>
      <c r="DQ43" s="86">
        <f t="shared" si="163"/>
        <v>329431.88929258776</v>
      </c>
      <c r="DR43" s="86">
        <f t="shared" si="163"/>
        <v>333035.92079813458</v>
      </c>
      <c r="DS43" s="86">
        <f t="shared" ref="DS43:EX43" si="164">DR43+DS45*DS24+DS44</f>
        <v>336711.20578492241</v>
      </c>
      <c r="DT43" s="86">
        <f t="shared" si="164"/>
        <v>343361.59742307034</v>
      </c>
      <c r="DU43" s="86">
        <f t="shared" si="164"/>
        <v>346917.5328037974</v>
      </c>
      <c r="DV43" s="86">
        <f t="shared" si="164"/>
        <v>352410.46566606872</v>
      </c>
      <c r="DW43" s="86">
        <f t="shared" si="164"/>
        <v>356196.50608922372</v>
      </c>
      <c r="DX43" s="86">
        <f t="shared" si="164"/>
        <v>359615.91262781544</v>
      </c>
      <c r="DY43" s="86">
        <f t="shared" si="164"/>
        <v>363035.31916640716</v>
      </c>
      <c r="DZ43" s="86">
        <f t="shared" si="164"/>
        <v>366454.72570499888</v>
      </c>
      <c r="EA43" s="86">
        <f t="shared" si="164"/>
        <v>370071.59903189534</v>
      </c>
      <c r="EB43" s="86">
        <f t="shared" si="164"/>
        <v>373763.81997174898</v>
      </c>
      <c r="EC43" s="86">
        <f t="shared" si="164"/>
        <v>379348.36870651157</v>
      </c>
      <c r="ED43" s="86">
        <f t="shared" si="164"/>
        <v>382940.38093690627</v>
      </c>
      <c r="EE43" s="86">
        <f t="shared" si="164"/>
        <v>386635.64415999991</v>
      </c>
      <c r="EF43" s="86">
        <f t="shared" si="164"/>
        <v>393313.014097912</v>
      </c>
      <c r="EG43" s="86">
        <f t="shared" si="164"/>
        <v>396844.55763822939</v>
      </c>
      <c r="EH43" s="86">
        <f t="shared" si="164"/>
        <v>402378.57728802739</v>
      </c>
      <c r="EI43" s="86">
        <f t="shared" si="164"/>
        <v>406179.50947115151</v>
      </c>
      <c r="EJ43" s="86">
        <f t="shared" si="164"/>
        <v>409535.58488243399</v>
      </c>
      <c r="EK43" s="86">
        <f t="shared" si="164"/>
        <v>412891.66029371647</v>
      </c>
      <c r="EL43" s="86">
        <f t="shared" si="164"/>
        <v>416247.73570499895</v>
      </c>
      <c r="EM43" s="86">
        <f t="shared" si="164"/>
        <v>422726.78445499897</v>
      </c>
      <c r="EN43" s="86">
        <f t="shared" si="164"/>
        <v>427062.77570499899</v>
      </c>
      <c r="EO43" s="86">
        <f t="shared" si="164"/>
        <v>431398.76695499901</v>
      </c>
      <c r="EP43" s="86">
        <f t="shared" si="164"/>
        <v>435734.75820499903</v>
      </c>
      <c r="EQ43" s="86">
        <f t="shared" si="164"/>
        <v>440070.74945499905</v>
      </c>
      <c r="ER43" s="86">
        <f t="shared" si="164"/>
        <v>447781.74070499907</v>
      </c>
      <c r="ES43" s="86">
        <f t="shared" si="164"/>
        <v>452117.73195499909</v>
      </c>
      <c r="ET43" s="86">
        <f t="shared" si="164"/>
        <v>458596.78070499911</v>
      </c>
      <c r="EU43" s="86">
        <f t="shared" si="164"/>
        <v>462932.77195499913</v>
      </c>
      <c r="EV43" s="86">
        <f t="shared" si="164"/>
        <v>467268.76320499915</v>
      </c>
      <c r="EW43" s="86">
        <f t="shared" si="164"/>
        <v>471604.75445499917</v>
      </c>
      <c r="EX43" s="86">
        <f t="shared" si="164"/>
        <v>475940.74570499919</v>
      </c>
      <c r="EY43" s="86">
        <f t="shared" ref="EY43:GD43" si="165">EX43+EY45*EY24+EY44</f>
        <v>482419.79445499921</v>
      </c>
      <c r="EZ43" s="86">
        <f t="shared" si="165"/>
        <v>486755.78570499923</v>
      </c>
      <c r="FA43" s="86">
        <f t="shared" si="165"/>
        <v>491091.77695499925</v>
      </c>
      <c r="FB43" s="86">
        <f t="shared" si="165"/>
        <v>495427.76820499927</v>
      </c>
      <c r="FC43" s="86">
        <f t="shared" si="165"/>
        <v>499763.75945499929</v>
      </c>
      <c r="FD43" s="86">
        <f t="shared" si="165"/>
        <v>507474.75070499931</v>
      </c>
      <c r="FE43" s="86">
        <f t="shared" si="165"/>
        <v>513953.79945499933</v>
      </c>
      <c r="FF43" s="86">
        <f t="shared" si="165"/>
        <v>518289.79070499935</v>
      </c>
      <c r="FG43" s="86">
        <f t="shared" si="165"/>
        <v>522625.78195499937</v>
      </c>
      <c r="FH43" s="86">
        <f t="shared" si="165"/>
        <v>526961.77320499939</v>
      </c>
      <c r="FI43" s="86">
        <f t="shared" si="165"/>
        <v>531297.76445499936</v>
      </c>
      <c r="FJ43" s="86">
        <f t="shared" si="165"/>
        <v>537776.81320499931</v>
      </c>
      <c r="FK43" s="86">
        <f t="shared" si="165"/>
        <v>542112.80445499928</v>
      </c>
      <c r="FL43" s="86">
        <f t="shared" si="165"/>
        <v>546448.79570499924</v>
      </c>
      <c r="FM43" s="86">
        <f t="shared" si="165"/>
        <v>550784.7869549992</v>
      </c>
      <c r="FN43" s="86">
        <f t="shared" si="165"/>
        <v>555120.77820499917</v>
      </c>
      <c r="FO43" s="86">
        <f t="shared" si="165"/>
        <v>559456.76945499913</v>
      </c>
      <c r="FP43" s="86">
        <f t="shared" si="165"/>
        <v>567167.76070499909</v>
      </c>
      <c r="FQ43" s="86">
        <f t="shared" si="165"/>
        <v>573646.80945499905</v>
      </c>
      <c r="FR43" s="86">
        <f t="shared" si="165"/>
        <v>577982.80070499901</v>
      </c>
      <c r="FS43" s="86">
        <f t="shared" si="165"/>
        <v>582318.79195499897</v>
      </c>
      <c r="FT43" s="86">
        <f t="shared" si="165"/>
        <v>586654.78320499894</v>
      </c>
      <c r="FU43" s="86">
        <f t="shared" si="165"/>
        <v>590990.7744549989</v>
      </c>
      <c r="FV43" s="86">
        <f t="shared" si="165"/>
        <v>597469.82320499886</v>
      </c>
      <c r="FW43" s="86">
        <f t="shared" si="165"/>
        <v>601805.81445499882</v>
      </c>
      <c r="FX43" s="86">
        <f t="shared" si="165"/>
        <v>606141.80570499878</v>
      </c>
      <c r="FY43" s="86">
        <f t="shared" si="165"/>
        <v>610477.79695499875</v>
      </c>
      <c r="FZ43" s="86">
        <f t="shared" si="165"/>
        <v>614813.78820499871</v>
      </c>
      <c r="GA43" s="86">
        <f t="shared" si="165"/>
        <v>619149.77945499867</v>
      </c>
      <c r="GB43" s="86">
        <f t="shared" si="165"/>
        <v>629003.82820499863</v>
      </c>
      <c r="GC43" s="86">
        <f t="shared" si="165"/>
        <v>633339.81945499859</v>
      </c>
      <c r="GD43" s="86">
        <f t="shared" si="165"/>
        <v>637675.81070499856</v>
      </c>
      <c r="GE43" s="86">
        <f t="shared" ref="GE43:GT43" si="166">GD43+GE45*GE24+GE44</f>
        <v>642011.80195499852</v>
      </c>
      <c r="GF43" s="86">
        <f t="shared" si="166"/>
        <v>646347.79320499848</v>
      </c>
      <c r="GG43" s="86">
        <f t="shared" si="166"/>
        <v>650683.78445499844</v>
      </c>
      <c r="GH43" s="86">
        <f t="shared" si="166"/>
        <v>657162.8332049984</v>
      </c>
      <c r="GI43" s="86">
        <f t="shared" si="166"/>
        <v>661498.82445499836</v>
      </c>
      <c r="GJ43" s="86">
        <f t="shared" si="166"/>
        <v>665834.81570499833</v>
      </c>
      <c r="GK43" s="86">
        <f t="shared" si="166"/>
        <v>670170.80695499829</v>
      </c>
      <c r="GL43" s="86">
        <f t="shared" si="166"/>
        <v>674506.79820499825</v>
      </c>
      <c r="GM43" s="86">
        <f t="shared" si="166"/>
        <v>678842.78945499822</v>
      </c>
      <c r="GN43" s="86">
        <f t="shared" si="166"/>
        <v>688696.83820499817</v>
      </c>
      <c r="GO43" s="86">
        <f t="shared" si="166"/>
        <v>693032.82945499814</v>
      </c>
      <c r="GP43" s="86">
        <f t="shared" si="166"/>
        <v>697368.8207049981</v>
      </c>
      <c r="GQ43" s="86">
        <f t="shared" si="166"/>
        <v>701704.81195499806</v>
      </c>
      <c r="GR43" s="86">
        <f t="shared" si="166"/>
        <v>706040.80320499802</v>
      </c>
      <c r="GS43" s="86">
        <f t="shared" si="166"/>
        <v>712519.85195499798</v>
      </c>
      <c r="GT43" s="86">
        <f t="shared" si="166"/>
        <v>716855.84320499795</v>
      </c>
    </row>
    <row r="44" spans="1:202" s="74" customFormat="1" x14ac:dyDescent="0.25">
      <c r="A44" s="83" t="s">
        <v>119</v>
      </c>
      <c r="C44" s="75">
        <f>-SUMIFS(Losses!$J:$J,Losses!$K:$K,'Cash flow'!C$3,Losses!$H:$H,"Long")</f>
        <v>-35.28</v>
      </c>
      <c r="D44" s="75">
        <f>-SUMIFS(Losses!$J:$J,Losses!$K:$K,'Cash flow'!D$3,Losses!$H:$H,"Long")</f>
        <v>-1553.4696152842705</v>
      </c>
      <c r="E44" s="75">
        <f>-SUMIFS(Losses!$J:$J,Losses!$K:$K,'Cash flow'!E$3,Losses!$H:$H,"Long")</f>
        <v>-138.37293048758647</v>
      </c>
      <c r="F44" s="75">
        <f>-SUMIFS(Losses!$J:$J,Losses!$K:$K,'Cash flow'!F$3,Losses!$H:$H,"Long")</f>
        <v>-2097.2261053247707</v>
      </c>
      <c r="G44" s="75">
        <f>-SUMIFS(Losses!$J:$J,Losses!$K:$K,'Cash flow'!G$3,Losses!$H:$H,"Long")</f>
        <v>-2236.5997420817894</v>
      </c>
      <c r="H44" s="75">
        <f>-SUMIFS(Losses!$J:$J,Losses!$K:$K,'Cash flow'!H$3,Losses!$H:$H,"Long")</f>
        <v>-260.22819587135234</v>
      </c>
      <c r="I44" s="75">
        <f>-SUMIFS(Losses!$J:$J,Losses!$K:$K,'Cash flow'!I$3,Losses!$H:$H,"Long")</f>
        <v>-1259.9650326909232</v>
      </c>
      <c r="J44" s="75">
        <f>-SUMIFS(Losses!$J:$J,Losses!$K:$K,'Cash flow'!J$3,Losses!$H:$H,"Long")</f>
        <v>-274.79126296388318</v>
      </c>
      <c r="K44" s="75">
        <f>-SUMIFS(Losses!$J:$J,Losses!$K:$K,'Cash flow'!K$3,Losses!$H:$H,"Long")</f>
        <v>-986.24381356274955</v>
      </c>
      <c r="L44" s="75">
        <f>-SUMIFS(Losses!$J:$J,Losses!$K:$K,'Cash flow'!L$3,Losses!$H:$H,"Long")</f>
        <v>-667.34473766011661</v>
      </c>
      <c r="M44" s="75">
        <f>-SUMIFS(Losses!$J:$J,Losses!$K:$K,'Cash flow'!M$3,Losses!$H:$H,"Long")</f>
        <v>-811.78241166449197</v>
      </c>
      <c r="N44" s="75">
        <f>-SUMIFS(Losses!$J:$J,Losses!$K:$K,'Cash flow'!N$3,Losses!$H:$H,"Long")</f>
        <v>-480.95194334879557</v>
      </c>
      <c r="O44" s="75">
        <f>-SUMIFS(Losses!$J:$J,Losses!$K:$K,'Cash flow'!O$3,Losses!$H:$H,"Long")</f>
        <v>-165.81149438202243</v>
      </c>
      <c r="P44" s="75">
        <f>-SUMIFS(Losses!$J:$J,Losses!$K:$K,'Cash flow'!P$3,Losses!$H:$H,"Long")</f>
        <v>-1995.2625677655678</v>
      </c>
      <c r="Q44" s="75">
        <f>-SUMIFS(Losses!$J:$J,Losses!$K:$K,'Cash flow'!Q$3,Losses!$H:$H,"Long")</f>
        <v>0</v>
      </c>
      <c r="R44" s="75">
        <f>-SUMIFS(Losses!$J:$J,Losses!$K:$K,'Cash flow'!R$3,Losses!$H:$H,"Long")</f>
        <v>0</v>
      </c>
      <c r="S44" s="75">
        <f>-SUMIFS(Losses!$J:$J,Losses!$K:$K,'Cash flow'!S$3,Losses!$H:$H,"Long")</f>
        <v>0</v>
      </c>
      <c r="T44" s="75">
        <f>-SUMIFS(Losses!$J:$J,Losses!$K:$K,'Cash flow'!T$3,Losses!$H:$H,"Long")</f>
        <v>0</v>
      </c>
      <c r="U44" s="75">
        <f>-SUMIFS(Losses!$J:$J,Losses!$K:$K,'Cash flow'!U$3,Losses!$H:$H,"Long")</f>
        <v>0</v>
      </c>
      <c r="V44" s="75">
        <f>-SUMIFS(Losses!$J:$J,Losses!$K:$K,'Cash flow'!V$3,Losses!$H:$H,"Long")</f>
        <v>0</v>
      </c>
      <c r="W44" s="75">
        <f>-SUMIFS(Losses!$J:$J,Losses!$K:$K,'Cash flow'!W$3,Losses!$H:$H,"Long")</f>
        <v>0</v>
      </c>
      <c r="X44" s="75">
        <f>-SUMIFS(Losses!$J:$J,Losses!$K:$K,'Cash flow'!X$3,Losses!$H:$H,"Long")</f>
        <v>0</v>
      </c>
      <c r="Y44" s="75">
        <f>-SUMIFS(Losses!$J:$J,Losses!$K:$K,'Cash flow'!Y$3,Losses!$H:$H,"Long")</f>
        <v>0</v>
      </c>
      <c r="Z44" s="75">
        <f>-SUMIFS(Losses!$J:$J,Losses!$K:$K,'Cash flow'!Z$3,Losses!$H:$H,"Long")</f>
        <v>0</v>
      </c>
      <c r="AA44" s="75">
        <f>-SUMIFS(Losses!$J:$J,Losses!$K:$K,'Cash flow'!AA$3,Losses!$H:$H,"Long")</f>
        <v>0</v>
      </c>
      <c r="AB44" s="75">
        <f>-SUMIFS(Losses!$J:$J,Losses!$K:$K,'Cash flow'!AB$3,Losses!$H:$H,"Long")</f>
        <v>0</v>
      </c>
      <c r="AC44" s="75">
        <f>-SUMIFS(Losses!$J:$J,Losses!$K:$K,'Cash flow'!AC$3,Losses!$H:$H,"Long")</f>
        <v>0</v>
      </c>
      <c r="AD44" s="75">
        <f>-SUMIFS(Losses!$J:$J,Losses!$K:$K,'Cash flow'!AD$3,Losses!$H:$H,"Long")</f>
        <v>0</v>
      </c>
      <c r="AE44" s="75">
        <f>-SUMIFS(Losses!$J:$J,Losses!$K:$K,'Cash flow'!AE$3,Losses!$H:$H,"Long")</f>
        <v>0</v>
      </c>
      <c r="AF44" s="75">
        <f>-SUMIFS(Losses!$J:$J,Losses!$K:$K,'Cash flow'!AF$3,Losses!$H:$H,"Long")</f>
        <v>0</v>
      </c>
      <c r="AG44" s="75">
        <f>-SUMIFS(Losses!$J:$J,Losses!$K:$K,'Cash flow'!AG$3,Losses!$H:$H,"Long")</f>
        <v>0</v>
      </c>
      <c r="AH44" s="75">
        <f>-SUMIFS(Losses!$J:$J,Losses!$K:$K,'Cash flow'!AH$3,Losses!$H:$H,"Long")</f>
        <v>0</v>
      </c>
      <c r="AI44" s="75">
        <f>-SUMIFS(Losses!$J:$J,Losses!$K:$K,'Cash flow'!AI$3,Losses!$H:$H,"Long")</f>
        <v>0</v>
      </c>
      <c r="AJ44" s="75">
        <f>-SUMIFS(Losses!$J:$J,Losses!$K:$K,'Cash flow'!AJ$3,Losses!$H:$H,"Long")</f>
        <v>0</v>
      </c>
      <c r="AK44" s="75">
        <f>-SUMIFS(Losses!$J:$J,Losses!$K:$K,'Cash flow'!AK$3,Losses!$H:$H,"Long")</f>
        <v>0</v>
      </c>
      <c r="AL44" s="75">
        <f>-SUMIFS(Losses!$J:$J,Losses!$K:$K,'Cash flow'!AL$3,Losses!$H:$H,"Long")</f>
        <v>0</v>
      </c>
      <c r="AM44" s="75">
        <f>-SUMIFS(Losses!$J:$J,Losses!$K:$K,'Cash flow'!AM$3,Losses!$H:$H,"Long")</f>
        <v>0</v>
      </c>
      <c r="AN44" s="75">
        <f>-SUMIFS(Losses!$J:$J,Losses!$K:$K,'Cash flow'!AN$3,Losses!$H:$H,"Long")</f>
        <v>0</v>
      </c>
      <c r="AO44" s="75">
        <f>-SUMIFS(Losses!$J:$J,Losses!$K:$K,'Cash flow'!AO$3,Losses!$H:$H,"Long")</f>
        <v>0</v>
      </c>
      <c r="AP44" s="75">
        <f>-SUMIFS(Losses!$J:$J,Losses!$K:$K,'Cash flow'!AP$3,Losses!$H:$H,"Long")</f>
        <v>0</v>
      </c>
      <c r="AQ44" s="75">
        <f>-SUMIFS(Losses!$J:$J,Losses!$K:$K,'Cash flow'!AQ$3,Losses!$H:$H,"Long")</f>
        <v>0</v>
      </c>
      <c r="AR44" s="75">
        <f>-SUMIFS(Losses!$J:$J,Losses!$K:$K,'Cash flow'!AR$3,Losses!$H:$H,"Long")</f>
        <v>0</v>
      </c>
      <c r="AS44" s="75">
        <f>-SUMIFS(Losses!$J:$J,Losses!$K:$K,'Cash flow'!AS$3,Losses!$H:$H,"Long")</f>
        <v>0</v>
      </c>
      <c r="AT44" s="75">
        <f>-SUMIFS(Losses!$J:$J,Losses!$K:$K,'Cash flow'!AT$3,Losses!$H:$H,"Long")</f>
        <v>0</v>
      </c>
      <c r="AU44" s="75">
        <f>-SUMIFS(Losses!$J:$J,Losses!$K:$K,'Cash flow'!AU$3,Losses!$H:$H,"Long")</f>
        <v>0</v>
      </c>
      <c r="AV44" s="75">
        <f>-SUMIFS(Losses!$J:$J,Losses!$K:$K,'Cash flow'!AV$3,Losses!$H:$H,"Long")</f>
        <v>0</v>
      </c>
      <c r="AW44" s="75">
        <f>-SUMIFS(Losses!$J:$J,Losses!$K:$K,'Cash flow'!AW$3,Losses!$H:$H,"Long")</f>
        <v>0</v>
      </c>
      <c r="AX44" s="75">
        <f>-SUMIFS(Losses!$J:$J,Losses!$K:$K,'Cash flow'!AX$3,Losses!$H:$H,"Long")</f>
        <v>0</v>
      </c>
      <c r="AY44" s="75">
        <f>-SUMIFS(Losses!$J:$J,Losses!$K:$K,'Cash flow'!AY$3,Losses!$H:$H,"Long")</f>
        <v>0</v>
      </c>
      <c r="AZ44" s="75">
        <f>-SUMIFS(Losses!$J:$J,Losses!$K:$K,'Cash flow'!AZ$3,Losses!$H:$H,"Long")</f>
        <v>0</v>
      </c>
      <c r="BA44" s="75">
        <f>-SUMIFS(Losses!$J:$J,Losses!$K:$K,'Cash flow'!BA$3,Losses!$H:$H,"Long")</f>
        <v>0</v>
      </c>
      <c r="BB44" s="75">
        <f>-SUMIFS(Losses!$J:$J,Losses!$K:$K,'Cash flow'!BB$3,Losses!$H:$H,"Long")</f>
        <v>0</v>
      </c>
      <c r="BC44" s="75">
        <f>-SUMIFS(Losses!$J:$J,Losses!$K:$K,'Cash flow'!BC$3,Losses!$H:$H,"Long")</f>
        <v>0</v>
      </c>
      <c r="BD44" s="75">
        <f>-SUMIFS(Losses!$J:$J,Losses!$K:$K,'Cash flow'!BD$3,Losses!$H:$H,"Long")</f>
        <v>0</v>
      </c>
      <c r="BE44" s="75">
        <f>-SUMIFS(Losses!$J:$J,Losses!$K:$K,'Cash flow'!BE$3,Losses!$H:$H,"Long")</f>
        <v>0</v>
      </c>
      <c r="BF44" s="75">
        <f>-SUMIFS(Losses!$J:$J,Losses!$K:$K,'Cash flow'!BF$3,Losses!$H:$H,"Long")</f>
        <v>0</v>
      </c>
      <c r="BG44" s="75">
        <f>-SUMIFS(Losses!$J:$J,Losses!$K:$K,'Cash flow'!BG$3,Losses!$H:$H,"Long")</f>
        <v>0</v>
      </c>
      <c r="BH44" s="75">
        <f>-SUMIFS(Losses!$J:$J,Losses!$K:$K,'Cash flow'!BH$3,Losses!$H:$H,"Long")</f>
        <v>0</v>
      </c>
      <c r="BI44" s="75">
        <f>-SUMIFS(Losses!$J:$J,Losses!$K:$K,'Cash flow'!BI$3,Losses!$H:$H,"Long")</f>
        <v>0</v>
      </c>
      <c r="BJ44" s="75">
        <f>-SUMIFS(Losses!$J:$J,Losses!$K:$K,'Cash flow'!BJ$3,Losses!$H:$H,"Long")</f>
        <v>0</v>
      </c>
      <c r="BK44" s="75">
        <f>-SUMIFS(Losses!$J:$J,Losses!$K:$K,'Cash flow'!BK$3,Losses!$H:$H,"Long")</f>
        <v>0</v>
      </c>
      <c r="BL44" s="75">
        <f>-SUMIFS(Losses!$J:$J,Losses!$K:$K,'Cash flow'!BL$3,Losses!$H:$H,"Long")</f>
        <v>0</v>
      </c>
      <c r="BM44" s="75">
        <f>-SUMIFS(Losses!$J:$J,Losses!$K:$K,'Cash flow'!BM$3,Losses!$H:$H,"Long")</f>
        <v>0</v>
      </c>
      <c r="BN44" s="75">
        <f>-SUMIFS(Losses!$J:$J,Losses!$K:$K,'Cash flow'!BN$3,Losses!$H:$H,"Long")</f>
        <v>0</v>
      </c>
      <c r="BO44" s="75">
        <f>-SUMIFS(Losses!$J:$J,Losses!$K:$K,'Cash flow'!BO$3,Losses!$H:$H,"Long")</f>
        <v>0</v>
      </c>
      <c r="BP44" s="75">
        <f>-SUMIFS(Losses!$J:$J,Losses!$K:$K,'Cash flow'!BP$3,Losses!$H:$H,"Long")</f>
        <v>0</v>
      </c>
      <c r="BQ44" s="75">
        <f>-SUMIFS(Losses!$J:$J,Losses!$K:$K,'Cash flow'!BQ$3,Losses!$H:$H,"Long")</f>
        <v>0</v>
      </c>
      <c r="BR44" s="75">
        <f>-SUMIFS(Losses!$J:$J,Losses!$K:$K,'Cash flow'!BR$3,Losses!$H:$H,"Long")</f>
        <v>0</v>
      </c>
      <c r="BS44" s="75">
        <f>-SUMIFS(Losses!$J:$J,Losses!$K:$K,'Cash flow'!BS$3,Losses!$H:$H,"Long")</f>
        <v>0</v>
      </c>
      <c r="BT44" s="75">
        <f>-SUMIFS(Losses!$J:$J,Losses!$K:$K,'Cash flow'!BT$3,Losses!$H:$H,"Long")</f>
        <v>0</v>
      </c>
      <c r="BU44" s="75">
        <f>-SUMIFS(Losses!$J:$J,Losses!$K:$K,'Cash flow'!BU$3,Losses!$H:$H,"Long")</f>
        <v>0</v>
      </c>
      <c r="BV44" s="75">
        <f>-SUMIFS(Losses!$J:$J,Losses!$K:$K,'Cash flow'!BV$3,Losses!$H:$H,"Long")</f>
        <v>0</v>
      </c>
      <c r="BW44" s="75">
        <f>-SUMIFS(Losses!$J:$J,Losses!$K:$K,'Cash flow'!BW$3,Losses!$H:$H,"Long")</f>
        <v>0</v>
      </c>
      <c r="BX44" s="75">
        <f>-SUMIFS(Losses!$J:$J,Losses!$K:$K,'Cash flow'!BX$3,Losses!$H:$H,"Long")</f>
        <v>0</v>
      </c>
      <c r="BY44" s="75">
        <f>-SUMIFS(Losses!$J:$J,Losses!$K:$K,'Cash flow'!BY$3,Losses!$H:$H,"Long")</f>
        <v>0</v>
      </c>
      <c r="BZ44" s="75">
        <f>-SUMIFS(Losses!$J:$J,Losses!$K:$K,'Cash flow'!BZ$3,Losses!$H:$H,"Long")</f>
        <v>0</v>
      </c>
      <c r="CA44" s="75">
        <f>-SUMIFS(Losses!$J:$J,Losses!$K:$K,'Cash flow'!CA$3,Losses!$H:$H,"Long")</f>
        <v>0</v>
      </c>
      <c r="CB44" s="75">
        <f>-SUMIFS(Losses!$J:$J,Losses!$K:$K,'Cash flow'!CB$3,Losses!$H:$H,"Long")</f>
        <v>0</v>
      </c>
      <c r="CC44" s="75">
        <f>-SUMIFS(Losses!$J:$J,Losses!$K:$K,'Cash flow'!CC$3,Losses!$H:$H,"Long")</f>
        <v>0</v>
      </c>
      <c r="CD44" s="75">
        <f>-SUMIFS(Losses!$J:$J,Losses!$K:$K,'Cash flow'!CD$3,Losses!$H:$H,"Long")</f>
        <v>0</v>
      </c>
      <c r="CE44" s="75">
        <f>-SUMIFS(Losses!$J:$J,Losses!$K:$K,'Cash flow'!CE$3,Losses!$H:$H,"Long")</f>
        <v>0</v>
      </c>
      <c r="CF44" s="75">
        <f>-SUMIFS(Losses!$J:$J,Losses!$K:$K,'Cash flow'!CF$3,Losses!$H:$H,"Long")</f>
        <v>0</v>
      </c>
      <c r="CG44" s="75">
        <f>-SUMIFS(Losses!$J:$J,Losses!$K:$K,'Cash flow'!CG$3,Losses!$H:$H,"Long")</f>
        <v>0</v>
      </c>
      <c r="CH44" s="75">
        <f>-SUMIFS(Losses!$J:$J,Losses!$K:$K,'Cash flow'!CH$3,Losses!$H:$H,"Long")</f>
        <v>0</v>
      </c>
      <c r="CI44" s="75">
        <f>-SUMIFS(Losses!$J:$J,Losses!$K:$K,'Cash flow'!CI$3,Losses!$H:$H,"Long")</f>
        <v>0</v>
      </c>
      <c r="CJ44" s="75">
        <f>-SUMIFS(Losses!$J:$J,Losses!$K:$K,'Cash flow'!CJ$3,Losses!$H:$H,"Long")</f>
        <v>0</v>
      </c>
      <c r="CK44" s="75">
        <f>-SUMIFS(Losses!$J:$J,Losses!$K:$K,'Cash flow'!CK$3,Losses!$H:$H,"Long")</f>
        <v>0</v>
      </c>
      <c r="CL44" s="75">
        <f>-SUMIFS(Losses!$J:$J,Losses!$K:$K,'Cash flow'!CL$3,Losses!$H:$H,"Long")</f>
        <v>0</v>
      </c>
      <c r="CM44" s="75">
        <f>-SUMIFS(Losses!$J:$J,Losses!$K:$K,'Cash flow'!CM$3,Losses!$H:$H,"Long")</f>
        <v>0</v>
      </c>
      <c r="CN44" s="75">
        <f>-SUMIFS(Losses!$J:$J,Losses!$K:$K,'Cash flow'!CN$3,Losses!$H:$H,"Long")</f>
        <v>0</v>
      </c>
      <c r="CO44" s="75">
        <f>-SUMIFS(Losses!$J:$J,Losses!$K:$K,'Cash flow'!CO$3,Losses!$H:$H,"Long")</f>
        <v>0</v>
      </c>
      <c r="CP44" s="75">
        <f>-SUMIFS(Losses!$J:$J,Losses!$K:$K,'Cash flow'!CP$3,Losses!$H:$H,"Long")</f>
        <v>0</v>
      </c>
      <c r="CQ44" s="75">
        <f>-SUMIFS(Losses!$J:$J,Losses!$K:$K,'Cash flow'!CQ$3,Losses!$H:$H,"Long")</f>
        <v>0</v>
      </c>
      <c r="CR44" s="75">
        <f>-SUMIFS(Losses!$J:$J,Losses!$K:$K,'Cash flow'!CR$3,Losses!$H:$H,"Long")</f>
        <v>0</v>
      </c>
      <c r="CS44" s="75">
        <f>-SUMIFS(Losses!$J:$J,Losses!$K:$K,'Cash flow'!CS$3,Losses!$H:$H,"Long")</f>
        <v>0</v>
      </c>
      <c r="CT44" s="75">
        <f>-SUMIFS(Losses!$J:$J,Losses!$K:$K,'Cash flow'!CT$3,Losses!$H:$H,"Long")</f>
        <v>0</v>
      </c>
      <c r="CU44" s="75">
        <f>-SUMIFS(Losses!$J:$J,Losses!$K:$K,'Cash flow'!CU$3,Losses!$H:$H,"Long")</f>
        <v>0</v>
      </c>
      <c r="CV44" s="75">
        <f>-SUMIFS(Losses!$J:$J,Losses!$K:$K,'Cash flow'!CV$3,Losses!$H:$H,"Long")</f>
        <v>0</v>
      </c>
      <c r="CW44" s="75">
        <f>-SUMIFS(Losses!$J:$J,Losses!$K:$K,'Cash flow'!CW$3,Losses!$H:$H,"Long")</f>
        <v>0</v>
      </c>
      <c r="CX44" s="75">
        <f>-SUMIFS(Losses!$J:$J,Losses!$K:$K,'Cash flow'!CX$3,Losses!$H:$H,"Long")</f>
        <v>0</v>
      </c>
      <c r="CY44" s="75">
        <f>-SUMIFS(Losses!$J:$J,Losses!$K:$K,'Cash flow'!CY$3,Losses!$H:$H,"Long")</f>
        <v>0</v>
      </c>
      <c r="CZ44" s="75">
        <f>-SUMIFS(Losses!$J:$J,Losses!$K:$K,'Cash flow'!CZ$3,Losses!$H:$H,"Long")</f>
        <v>0</v>
      </c>
      <c r="DA44" s="75">
        <f>-SUMIFS(Losses!$J:$J,Losses!$K:$K,'Cash flow'!DA$3,Losses!$H:$H,"Long")</f>
        <v>0</v>
      </c>
      <c r="DB44" s="75">
        <f>-SUMIFS(Losses!$J:$J,Losses!$K:$K,'Cash flow'!DB$3,Losses!$H:$H,"Long")</f>
        <v>0</v>
      </c>
      <c r="DC44" s="75">
        <f>-SUMIFS(Losses!$J:$J,Losses!$K:$K,'Cash flow'!DC$3,Losses!$H:$H,"Long")</f>
        <v>0</v>
      </c>
      <c r="DD44" s="75">
        <f>-SUMIFS(Losses!$J:$J,Losses!$K:$K,'Cash flow'!DD$3,Losses!$H:$H,"Long")</f>
        <v>0</v>
      </c>
      <c r="DE44" s="75">
        <f>-SUMIFS(Losses!$J:$J,Losses!$K:$K,'Cash flow'!DE$3,Losses!$H:$H,"Long")</f>
        <v>0</v>
      </c>
      <c r="DF44" s="75">
        <f>-SUMIFS(Losses!$J:$J,Losses!$K:$K,'Cash flow'!DF$3,Losses!$H:$H,"Long")</f>
        <v>0</v>
      </c>
      <c r="DG44" s="75">
        <f>-SUMIFS(Losses!$J:$J,Losses!$K:$K,'Cash flow'!DG$3,Losses!$H:$H,"Long")</f>
        <v>0</v>
      </c>
      <c r="DH44" s="75">
        <f>-SUMIFS(Losses!$J:$J,Losses!$K:$K,'Cash flow'!DH$3,Losses!$H:$H,"Long")</f>
        <v>0</v>
      </c>
      <c r="DI44" s="75">
        <f>-SUMIFS(Losses!$J:$J,Losses!$K:$K,'Cash flow'!DI$3,Losses!$H:$H,"Long")</f>
        <v>0</v>
      </c>
      <c r="DJ44" s="75">
        <f>-SUMIFS(Losses!$J:$J,Losses!$K:$K,'Cash flow'!DJ$3,Losses!$H:$H,"Long")</f>
        <v>0</v>
      </c>
      <c r="DK44" s="75">
        <f>-SUMIFS(Losses!$J:$J,Losses!$K:$K,'Cash flow'!DK$3,Losses!$H:$H,"Long")</f>
        <v>0</v>
      </c>
      <c r="DL44" s="75">
        <f>-SUMIFS(Losses!$J:$J,Losses!$K:$K,'Cash flow'!DL$3,Losses!$H:$H,"Long")</f>
        <v>0</v>
      </c>
      <c r="DM44" s="75">
        <f>-SUMIFS(Losses!$J:$J,Losses!$K:$K,'Cash flow'!DM$3,Losses!$H:$H,"Long")</f>
        <v>0</v>
      </c>
      <c r="DN44" s="75">
        <f>-SUMIFS(Losses!$J:$J,Losses!$K:$K,'Cash flow'!DN$3,Losses!$H:$H,"Long")</f>
        <v>0</v>
      </c>
      <c r="DO44" s="75">
        <f>-SUMIFS(Losses!$J:$J,Losses!$K:$K,'Cash flow'!DO$3,Losses!$H:$H,"Long")</f>
        <v>0</v>
      </c>
      <c r="DP44" s="75">
        <f>-SUMIFS(Losses!$J:$J,Losses!$K:$K,'Cash flow'!DP$3,Losses!$H:$H,"Long")</f>
        <v>0</v>
      </c>
      <c r="DQ44" s="75">
        <f>-SUMIFS(Losses!$J:$J,Losses!$K:$K,'Cash flow'!DQ$3,Losses!$H:$H,"Long")</f>
        <v>0</v>
      </c>
      <c r="DR44" s="75">
        <f>-SUMIFS(Losses!$J:$J,Losses!$K:$K,'Cash flow'!DR$3,Losses!$H:$H,"Long")</f>
        <v>0</v>
      </c>
      <c r="DS44" s="75">
        <f>-SUMIFS(Losses!$J:$J,Losses!$K:$K,'Cash flow'!DS$3,Losses!$H:$H,"Long")</f>
        <v>0</v>
      </c>
      <c r="DT44" s="75">
        <f>-SUMIFS(Losses!$J:$J,Losses!$K:$K,'Cash flow'!DT$3,Losses!$H:$H,"Long")</f>
        <v>0</v>
      </c>
      <c r="DU44" s="75">
        <f>-SUMIFS(Losses!$J:$J,Losses!$K:$K,'Cash flow'!DU$3,Losses!$H:$H,"Long")</f>
        <v>0</v>
      </c>
      <c r="DV44" s="75">
        <f>-SUMIFS(Losses!$J:$J,Losses!$K:$K,'Cash flow'!DV$3,Losses!$H:$H,"Long")</f>
        <v>0</v>
      </c>
      <c r="DW44" s="75">
        <f>-SUMIFS(Losses!$J:$J,Losses!$K:$K,'Cash flow'!DW$3,Losses!$H:$H,"Long")</f>
        <v>0</v>
      </c>
      <c r="DX44" s="75">
        <f>-SUMIFS(Losses!$J:$J,Losses!$K:$K,'Cash flow'!DX$3,Losses!$H:$H,"Long")</f>
        <v>0</v>
      </c>
      <c r="DY44" s="75">
        <f>-SUMIFS(Losses!$J:$J,Losses!$K:$K,'Cash flow'!DY$3,Losses!$H:$H,"Long")</f>
        <v>0</v>
      </c>
      <c r="DZ44" s="75">
        <f>-SUMIFS(Losses!$J:$J,Losses!$K:$K,'Cash flow'!DZ$3,Losses!$H:$H,"Long")</f>
        <v>0</v>
      </c>
      <c r="EA44" s="75">
        <f>-SUMIFS(Losses!$J:$J,Losses!$K:$K,'Cash flow'!EA$3,Losses!$H:$H,"Long")</f>
        <v>0</v>
      </c>
      <c r="EB44" s="75">
        <f>-SUMIFS(Losses!$J:$J,Losses!$K:$K,'Cash flow'!EB$3,Losses!$H:$H,"Long")</f>
        <v>0</v>
      </c>
      <c r="EC44" s="75">
        <f>-SUMIFS(Losses!$J:$J,Losses!$K:$K,'Cash flow'!EC$3,Losses!$H:$H,"Long")</f>
        <v>0</v>
      </c>
      <c r="ED44" s="75">
        <f>-SUMIFS(Losses!$J:$J,Losses!$K:$K,'Cash flow'!ED$3,Losses!$H:$H,"Long")</f>
        <v>0</v>
      </c>
      <c r="EE44" s="75">
        <f>-SUMIFS(Losses!$J:$J,Losses!$K:$K,'Cash flow'!EE$3,Losses!$H:$H,"Long")</f>
        <v>0</v>
      </c>
      <c r="EF44" s="75">
        <f>-SUMIFS(Losses!$J:$J,Losses!$K:$K,'Cash flow'!EF$3,Losses!$H:$H,"Long")</f>
        <v>0</v>
      </c>
      <c r="EG44" s="75">
        <f>-SUMIFS(Losses!$J:$J,Losses!$K:$K,'Cash flow'!EG$3,Losses!$H:$H,"Long")</f>
        <v>0</v>
      </c>
      <c r="EH44" s="75">
        <f>-SUMIFS(Losses!$J:$J,Losses!$K:$K,'Cash flow'!EH$3,Losses!$H:$H,"Long")</f>
        <v>0</v>
      </c>
      <c r="EI44" s="75">
        <f>-SUMIFS(Losses!$J:$J,Losses!$K:$K,'Cash flow'!EI$3,Losses!$H:$H,"Long")</f>
        <v>0</v>
      </c>
      <c r="EJ44" s="75">
        <f>-SUMIFS(Losses!$J:$J,Losses!$K:$K,'Cash flow'!EJ$3,Losses!$H:$H,"Long")</f>
        <v>0</v>
      </c>
      <c r="EK44" s="75">
        <f>-SUMIFS(Losses!$J:$J,Losses!$K:$K,'Cash flow'!EK$3,Losses!$H:$H,"Long")</f>
        <v>0</v>
      </c>
      <c r="EL44" s="75">
        <f>-SUMIFS(Losses!$J:$J,Losses!$K:$K,'Cash flow'!EL$3,Losses!$H:$H,"Long")</f>
        <v>0</v>
      </c>
      <c r="EM44" s="75">
        <f>-SUMIFS(Losses!$J:$J,Losses!$K:$K,'Cash flow'!EM$3,Losses!$H:$H,"Long")</f>
        <v>0</v>
      </c>
      <c r="EN44" s="75">
        <f>-SUMIFS(Losses!$J:$J,Losses!$K:$K,'Cash flow'!EN$3,Losses!$H:$H,"Long")</f>
        <v>0</v>
      </c>
      <c r="EO44" s="75">
        <f>-SUMIFS(Losses!$J:$J,Losses!$K:$K,'Cash flow'!EO$3,Losses!$H:$H,"Long")</f>
        <v>0</v>
      </c>
      <c r="EP44" s="75">
        <f>-SUMIFS(Losses!$J:$J,Losses!$K:$K,'Cash flow'!EP$3,Losses!$H:$H,"Long")</f>
        <v>0</v>
      </c>
      <c r="EQ44" s="75">
        <f>-SUMIFS(Losses!$J:$J,Losses!$K:$K,'Cash flow'!EQ$3,Losses!$H:$H,"Long")</f>
        <v>0</v>
      </c>
      <c r="ER44" s="75">
        <f>-SUMIFS(Losses!$J:$J,Losses!$K:$K,'Cash flow'!ER$3,Losses!$H:$H,"Long")</f>
        <v>0</v>
      </c>
      <c r="ES44" s="75">
        <f>-SUMIFS(Losses!$J:$J,Losses!$K:$K,'Cash flow'!ES$3,Losses!$H:$H,"Long")</f>
        <v>0</v>
      </c>
      <c r="ET44" s="75">
        <f>-SUMIFS(Losses!$J:$J,Losses!$K:$K,'Cash flow'!ET$3,Losses!$H:$H,"Long")</f>
        <v>0</v>
      </c>
      <c r="EU44" s="75">
        <f>-SUMIFS(Losses!$J:$J,Losses!$K:$K,'Cash flow'!EU$3,Losses!$H:$H,"Long")</f>
        <v>0</v>
      </c>
      <c r="EV44" s="75">
        <f>-SUMIFS(Losses!$J:$J,Losses!$K:$K,'Cash flow'!EV$3,Losses!$H:$H,"Long")</f>
        <v>0</v>
      </c>
      <c r="EW44" s="75">
        <f>-SUMIFS(Losses!$J:$J,Losses!$K:$K,'Cash flow'!EW$3,Losses!$H:$H,"Long")</f>
        <v>0</v>
      </c>
      <c r="EX44" s="75">
        <f>-SUMIFS(Losses!$J:$J,Losses!$K:$K,'Cash flow'!EX$3,Losses!$H:$H,"Long")</f>
        <v>0</v>
      </c>
      <c r="EY44" s="75">
        <f>-SUMIFS(Losses!$J:$J,Losses!$K:$K,'Cash flow'!EY$3,Losses!$H:$H,"Long")</f>
        <v>0</v>
      </c>
      <c r="EZ44" s="75">
        <f>-SUMIFS(Losses!$J:$J,Losses!$K:$K,'Cash flow'!EZ$3,Losses!$H:$H,"Long")</f>
        <v>0</v>
      </c>
      <c r="FA44" s="75">
        <f>-SUMIFS(Losses!$J:$J,Losses!$K:$K,'Cash flow'!FA$3,Losses!$H:$H,"Long")</f>
        <v>0</v>
      </c>
      <c r="FB44" s="75">
        <f>-SUMIFS(Losses!$J:$J,Losses!$K:$K,'Cash flow'!FB$3,Losses!$H:$H,"Long")</f>
        <v>0</v>
      </c>
      <c r="FC44" s="75">
        <f>-SUMIFS(Losses!$J:$J,Losses!$K:$K,'Cash flow'!FC$3,Losses!$H:$H,"Long")</f>
        <v>0</v>
      </c>
      <c r="FD44" s="75">
        <f>-SUMIFS(Losses!$J:$J,Losses!$K:$K,'Cash flow'!FD$3,Losses!$H:$H,"Long")</f>
        <v>0</v>
      </c>
      <c r="FE44" s="75">
        <f>-SUMIFS(Losses!$J:$J,Losses!$K:$K,'Cash flow'!FE$3,Losses!$H:$H,"Long")</f>
        <v>0</v>
      </c>
      <c r="FF44" s="75">
        <f>-SUMIFS(Losses!$J:$J,Losses!$K:$K,'Cash flow'!FF$3,Losses!$H:$H,"Long")</f>
        <v>0</v>
      </c>
      <c r="FG44" s="75">
        <f>-SUMIFS(Losses!$J:$J,Losses!$K:$K,'Cash flow'!FG$3,Losses!$H:$H,"Long")</f>
        <v>0</v>
      </c>
      <c r="FH44" s="75">
        <f>-SUMIFS(Losses!$J:$J,Losses!$K:$K,'Cash flow'!FH$3,Losses!$H:$H,"Long")</f>
        <v>0</v>
      </c>
      <c r="FI44" s="75">
        <f>-SUMIFS(Losses!$J:$J,Losses!$K:$K,'Cash flow'!FI$3,Losses!$H:$H,"Long")</f>
        <v>0</v>
      </c>
      <c r="FJ44" s="75">
        <f>-SUMIFS(Losses!$J:$J,Losses!$K:$K,'Cash flow'!FJ$3,Losses!$H:$H,"Long")</f>
        <v>0</v>
      </c>
      <c r="FK44" s="75">
        <f>-SUMIFS(Losses!$J:$J,Losses!$K:$K,'Cash flow'!FK$3,Losses!$H:$H,"Long")</f>
        <v>0</v>
      </c>
      <c r="FL44" s="75">
        <f>-SUMIFS(Losses!$J:$J,Losses!$K:$K,'Cash flow'!FL$3,Losses!$H:$H,"Long")</f>
        <v>0</v>
      </c>
      <c r="FM44" s="75">
        <f>-SUMIFS(Losses!$J:$J,Losses!$K:$K,'Cash flow'!FM$3,Losses!$H:$H,"Long")</f>
        <v>0</v>
      </c>
      <c r="FN44" s="75">
        <f>-SUMIFS(Losses!$J:$J,Losses!$K:$K,'Cash flow'!FN$3,Losses!$H:$H,"Long")</f>
        <v>0</v>
      </c>
      <c r="FO44" s="75">
        <f>-SUMIFS(Losses!$J:$J,Losses!$K:$K,'Cash flow'!FO$3,Losses!$H:$H,"Long")</f>
        <v>0</v>
      </c>
      <c r="FP44" s="75">
        <f>-SUMIFS(Losses!$J:$J,Losses!$K:$K,'Cash flow'!FP$3,Losses!$H:$H,"Long")</f>
        <v>0</v>
      </c>
      <c r="FQ44" s="75">
        <f>-SUMIFS(Losses!$J:$J,Losses!$K:$K,'Cash flow'!FQ$3,Losses!$H:$H,"Long")</f>
        <v>0</v>
      </c>
      <c r="FR44" s="75">
        <f>-SUMIFS(Losses!$J:$J,Losses!$K:$K,'Cash flow'!FR$3,Losses!$H:$H,"Long")</f>
        <v>0</v>
      </c>
      <c r="FS44" s="75">
        <f>-SUMIFS(Losses!$J:$J,Losses!$K:$K,'Cash flow'!FS$3,Losses!$H:$H,"Long")</f>
        <v>0</v>
      </c>
      <c r="FT44" s="75">
        <f>-SUMIFS(Losses!$J:$J,Losses!$K:$K,'Cash flow'!FT$3,Losses!$H:$H,"Long")</f>
        <v>0</v>
      </c>
      <c r="FU44" s="75">
        <f>-SUMIFS(Losses!$J:$J,Losses!$K:$K,'Cash flow'!FU$3,Losses!$H:$H,"Long")</f>
        <v>0</v>
      </c>
      <c r="FV44" s="75">
        <f>-SUMIFS(Losses!$J:$J,Losses!$K:$K,'Cash flow'!FV$3,Losses!$H:$H,"Long")</f>
        <v>0</v>
      </c>
      <c r="FW44" s="75">
        <f>-SUMIFS(Losses!$J:$J,Losses!$K:$K,'Cash flow'!FW$3,Losses!$H:$H,"Long")</f>
        <v>0</v>
      </c>
      <c r="FX44" s="75">
        <f>-SUMIFS(Losses!$J:$J,Losses!$K:$K,'Cash flow'!FX$3,Losses!$H:$H,"Long")</f>
        <v>0</v>
      </c>
      <c r="FY44" s="75">
        <f>-SUMIFS(Losses!$J:$J,Losses!$K:$K,'Cash flow'!FY$3,Losses!$H:$H,"Long")</f>
        <v>0</v>
      </c>
      <c r="FZ44" s="75">
        <f>-SUMIFS(Losses!$J:$J,Losses!$K:$K,'Cash flow'!FZ$3,Losses!$H:$H,"Long")</f>
        <v>0</v>
      </c>
      <c r="GA44" s="75">
        <f>-SUMIFS(Losses!$J:$J,Losses!$K:$K,'Cash flow'!GA$3,Losses!$H:$H,"Long")</f>
        <v>0</v>
      </c>
      <c r="GB44" s="75">
        <f>-SUMIFS(Losses!$J:$J,Losses!$K:$K,'Cash flow'!GB$3,Losses!$H:$H,"Long")</f>
        <v>0</v>
      </c>
      <c r="GC44" s="75">
        <f>-SUMIFS(Losses!$J:$J,Losses!$K:$K,'Cash flow'!GC$3,Losses!$H:$H,"Long")</f>
        <v>0</v>
      </c>
      <c r="GD44" s="75">
        <f>-SUMIFS(Losses!$J:$J,Losses!$K:$K,'Cash flow'!GD$3,Losses!$H:$H,"Long")</f>
        <v>0</v>
      </c>
      <c r="GE44" s="75">
        <f>-SUMIFS(Losses!$J:$J,Losses!$K:$K,'Cash flow'!GE$3,Losses!$H:$H,"Long")</f>
        <v>0</v>
      </c>
      <c r="GF44" s="75">
        <f>-SUMIFS(Losses!$J:$J,Losses!$K:$K,'Cash flow'!GF$3,Losses!$H:$H,"Long")</f>
        <v>0</v>
      </c>
      <c r="GG44" s="75">
        <f>-SUMIFS(Losses!$J:$J,Losses!$K:$K,'Cash flow'!GG$3,Losses!$H:$H,"Long")</f>
        <v>0</v>
      </c>
      <c r="GH44" s="75">
        <f>-SUMIFS(Losses!$J:$J,Losses!$K:$K,'Cash flow'!GH$3,Losses!$H:$H,"Long")</f>
        <v>0</v>
      </c>
      <c r="GI44" s="75">
        <f>-SUMIFS(Losses!$J:$J,Losses!$K:$K,'Cash flow'!GI$3,Losses!$H:$H,"Long")</f>
        <v>0</v>
      </c>
      <c r="GJ44" s="75">
        <f>-SUMIFS(Losses!$J:$J,Losses!$K:$K,'Cash flow'!GJ$3,Losses!$H:$H,"Long")</f>
        <v>0</v>
      </c>
      <c r="GK44" s="75">
        <f>-SUMIFS(Losses!$J:$J,Losses!$K:$K,'Cash flow'!GK$3,Losses!$H:$H,"Long")</f>
        <v>0</v>
      </c>
      <c r="GL44" s="75">
        <f>-SUMIFS(Losses!$J:$J,Losses!$K:$K,'Cash flow'!GL$3,Losses!$H:$H,"Long")</f>
        <v>0</v>
      </c>
      <c r="GM44" s="75">
        <f>-SUMIFS(Losses!$J:$J,Losses!$K:$K,'Cash flow'!GM$3,Losses!$H:$H,"Long")</f>
        <v>0</v>
      </c>
      <c r="GN44" s="75">
        <f>-SUMIFS(Losses!$J:$J,Losses!$K:$K,'Cash flow'!GN$3,Losses!$H:$H,"Long")</f>
        <v>0</v>
      </c>
      <c r="GO44" s="75">
        <f>-SUMIFS(Losses!$J:$J,Losses!$K:$K,'Cash flow'!GO$3,Losses!$H:$H,"Long")</f>
        <v>0</v>
      </c>
      <c r="GP44" s="75">
        <f>-SUMIFS(Losses!$J:$J,Losses!$K:$K,'Cash flow'!GP$3,Losses!$H:$H,"Long")</f>
        <v>0</v>
      </c>
      <c r="GQ44" s="75">
        <f>-SUMIFS(Losses!$J:$J,Losses!$K:$K,'Cash flow'!GQ$3,Losses!$H:$H,"Long")</f>
        <v>0</v>
      </c>
      <c r="GR44" s="75">
        <f>-SUMIFS(Losses!$J:$J,Losses!$K:$K,'Cash flow'!GR$3,Losses!$H:$H,"Long")</f>
        <v>0</v>
      </c>
      <c r="GS44" s="75">
        <f>-SUMIFS(Losses!$J:$J,Losses!$K:$K,'Cash flow'!GS$3,Losses!$H:$H,"Long")</f>
        <v>0</v>
      </c>
      <c r="GT44" s="75">
        <f>-SUMIFS(Losses!$J:$J,Losses!$K:$K,'Cash flow'!GT$3,Losses!$H:$H,"Long")</f>
        <v>0</v>
      </c>
    </row>
    <row r="45" spans="1:202" x14ac:dyDescent="0.25">
      <c r="A45" s="55" t="s">
        <v>117</v>
      </c>
      <c r="B45" s="84">
        <v>0.75</v>
      </c>
      <c r="C45" s="58">
        <f>IF((1-C41)&gt;0.1,(1-C41)*$B$45,0.1)</f>
        <v>0.14999999999999997</v>
      </c>
      <c r="D45" s="58">
        <f t="shared" ref="D45:Z45" si="167">IF((1-D41)&gt;0.1,(1-D41)*$B$45,0.1)</f>
        <v>0.40309922435818996</v>
      </c>
      <c r="E45" s="58">
        <f t="shared" si="167"/>
        <v>0.39628357341020104</v>
      </c>
      <c r="F45" s="58">
        <f t="shared" si="167"/>
        <v>0.36979396240334977</v>
      </c>
      <c r="G45" s="58">
        <f t="shared" si="167"/>
        <v>0.33295913939150101</v>
      </c>
      <c r="H45" s="58">
        <f t="shared" si="167"/>
        <v>0.35577053197498781</v>
      </c>
      <c r="I45" s="58">
        <f t="shared" si="167"/>
        <v>0.31073295422329977</v>
      </c>
      <c r="J45" s="58">
        <f t="shared" si="167"/>
        <v>0.4520075342440748</v>
      </c>
      <c r="K45" s="58">
        <f t="shared" si="167"/>
        <v>0.31971856603284599</v>
      </c>
      <c r="L45" s="58">
        <f t="shared" si="167"/>
        <v>0.28279827525069612</v>
      </c>
      <c r="M45" s="58">
        <f t="shared" si="167"/>
        <v>0.28701559078509797</v>
      </c>
      <c r="N45" s="58">
        <f t="shared" si="167"/>
        <v>0.26792528381389125</v>
      </c>
      <c r="O45" s="58">
        <f t="shared" si="167"/>
        <v>0.14999999999999997</v>
      </c>
      <c r="P45" s="58">
        <f t="shared" si="167"/>
        <v>0.22004826603336031</v>
      </c>
      <c r="Q45" s="58">
        <f t="shared" si="167"/>
        <v>0.19828658758965353</v>
      </c>
      <c r="R45" s="58">
        <f t="shared" si="167"/>
        <v>0.23277259591065533</v>
      </c>
      <c r="S45" s="58">
        <f t="shared" si="167"/>
        <v>0.14999999999999997</v>
      </c>
      <c r="T45" s="58">
        <f t="shared" si="167"/>
        <v>0.1512633781593643</v>
      </c>
      <c r="U45" s="58">
        <f t="shared" si="167"/>
        <v>0.17420112159218426</v>
      </c>
      <c r="V45" s="58">
        <f t="shared" si="167"/>
        <v>0.20312575109359202</v>
      </c>
      <c r="W45" s="58">
        <f t="shared" si="167"/>
        <v>0.19014229031786833</v>
      </c>
      <c r="X45" s="58">
        <f t="shared" si="167"/>
        <v>0.21698044129092284</v>
      </c>
      <c r="Y45" s="58">
        <f t="shared" si="167"/>
        <v>0.14999999999999997</v>
      </c>
      <c r="Z45" s="58">
        <f t="shared" si="167"/>
        <v>0.14999999999999997</v>
      </c>
      <c r="AA45" s="58">
        <f t="shared" ref="AA45:CL45" si="168">IF((1-AA41)&gt;0.1,(1-AA41)*$B$45,0.1)</f>
        <v>0.14999999999999997</v>
      </c>
      <c r="AB45" s="58">
        <f t="shared" si="168"/>
        <v>0.14999999999999997</v>
      </c>
      <c r="AC45" s="58">
        <f t="shared" si="168"/>
        <v>0.14999999999999997</v>
      </c>
      <c r="AD45" s="58">
        <f t="shared" si="168"/>
        <v>0.14999999999999997</v>
      </c>
      <c r="AE45" s="58">
        <f t="shared" si="168"/>
        <v>0.14999999999999997</v>
      </c>
      <c r="AF45" s="58">
        <f t="shared" si="168"/>
        <v>0.14999999999999997</v>
      </c>
      <c r="AG45" s="58">
        <f t="shared" si="168"/>
        <v>0.14999999999999997</v>
      </c>
      <c r="AH45" s="58">
        <f t="shared" si="168"/>
        <v>0.14999999999999997</v>
      </c>
      <c r="AI45" s="58">
        <f t="shared" si="168"/>
        <v>0.14999999999999997</v>
      </c>
      <c r="AJ45" s="58">
        <f t="shared" si="168"/>
        <v>0.14999999999999997</v>
      </c>
      <c r="AK45" s="58">
        <f t="shared" si="168"/>
        <v>0.14999999999999997</v>
      </c>
      <c r="AL45" s="58">
        <f t="shared" si="168"/>
        <v>0.14999999999999997</v>
      </c>
      <c r="AM45" s="58">
        <f t="shared" si="168"/>
        <v>0.14999999999999997</v>
      </c>
      <c r="AN45" s="58">
        <f t="shared" si="168"/>
        <v>0.14999999999999997</v>
      </c>
      <c r="AO45" s="58">
        <f t="shared" si="168"/>
        <v>0.14999999999999997</v>
      </c>
      <c r="AP45" s="58">
        <f t="shared" si="168"/>
        <v>0.14999999999999997</v>
      </c>
      <c r="AQ45" s="58">
        <f t="shared" si="168"/>
        <v>0.14999999999999997</v>
      </c>
      <c r="AR45" s="58">
        <f t="shared" si="168"/>
        <v>0.14999999999999997</v>
      </c>
      <c r="AS45" s="58">
        <f t="shared" si="168"/>
        <v>0.18828734791536428</v>
      </c>
      <c r="AT45" s="58">
        <f t="shared" si="168"/>
        <v>0.14999999999999997</v>
      </c>
      <c r="AU45" s="58">
        <f t="shared" si="168"/>
        <v>0.14999999999999997</v>
      </c>
      <c r="AV45" s="58">
        <f t="shared" si="168"/>
        <v>0.14999999999999997</v>
      </c>
      <c r="AW45" s="58">
        <f t="shared" si="168"/>
        <v>0.14999999999999997</v>
      </c>
      <c r="AX45" s="58">
        <f t="shared" si="168"/>
        <v>0.36036020675520442</v>
      </c>
      <c r="AY45" s="58">
        <f t="shared" si="168"/>
        <v>0.61987265111098644</v>
      </c>
      <c r="AZ45" s="58">
        <f t="shared" si="168"/>
        <v>0.6278212650068743</v>
      </c>
      <c r="BA45" s="58">
        <f t="shared" si="168"/>
        <v>0.59705376688572809</v>
      </c>
      <c r="BB45" s="58">
        <f t="shared" si="168"/>
        <v>0.62060479535793245</v>
      </c>
      <c r="BC45" s="58">
        <f t="shared" si="168"/>
        <v>0.64031308909224016</v>
      </c>
      <c r="BD45" s="58">
        <f t="shared" si="168"/>
        <v>0.57793367590496758</v>
      </c>
      <c r="BE45" s="58">
        <f t="shared" si="168"/>
        <v>0.57793367590496769</v>
      </c>
      <c r="BF45" s="58">
        <f t="shared" si="168"/>
        <v>0.57793367590496769</v>
      </c>
      <c r="BG45" s="58">
        <f t="shared" si="168"/>
        <v>0.61619036299224983</v>
      </c>
      <c r="BH45" s="58">
        <f t="shared" si="168"/>
        <v>0.62576181378046836</v>
      </c>
      <c r="BI45" s="58">
        <f t="shared" si="168"/>
        <v>0.63027403127765746</v>
      </c>
      <c r="BJ45" s="58">
        <f t="shared" si="168"/>
        <v>0.61399333376062004</v>
      </c>
      <c r="BK45" s="58">
        <f t="shared" si="168"/>
        <v>0.62662529813562085</v>
      </c>
      <c r="BL45" s="58">
        <f t="shared" si="168"/>
        <v>0.63494966394745833</v>
      </c>
      <c r="BM45" s="58">
        <f t="shared" si="168"/>
        <v>0.60534824165964851</v>
      </c>
      <c r="BN45" s="58">
        <f t="shared" si="168"/>
        <v>0.62762206697630574</v>
      </c>
      <c r="BO45" s="58">
        <f t="shared" si="168"/>
        <v>0.64642496515823167</v>
      </c>
      <c r="BP45" s="58">
        <f t="shared" si="168"/>
        <v>0.58721829256159097</v>
      </c>
      <c r="BQ45" s="58">
        <f t="shared" si="168"/>
        <v>0.58721829256159097</v>
      </c>
      <c r="BR45" s="58">
        <f t="shared" si="168"/>
        <v>0.58721829256159097</v>
      </c>
      <c r="BS45" s="58">
        <f t="shared" si="168"/>
        <v>0.62561357686603503</v>
      </c>
      <c r="BT45" s="58">
        <f t="shared" si="168"/>
        <v>0.63013117819261977</v>
      </c>
      <c r="BU45" s="58">
        <f t="shared" si="168"/>
        <v>0.63448470436347804</v>
      </c>
      <c r="BV45" s="58">
        <f t="shared" si="168"/>
        <v>0.62437006468969813</v>
      </c>
      <c r="BW45" s="58">
        <f t="shared" si="168"/>
        <v>0.63401699351496299</v>
      </c>
      <c r="BX45" s="58">
        <f t="shared" si="168"/>
        <v>0.63822939042096438</v>
      </c>
      <c r="BY45" s="58">
        <f t="shared" si="168"/>
        <v>0.61835521929330139</v>
      </c>
      <c r="BZ45" s="58">
        <f t="shared" si="168"/>
        <v>0.63862619894092787</v>
      </c>
      <c r="CA45" s="58">
        <f t="shared" si="168"/>
        <v>0.64862079668942785</v>
      </c>
      <c r="CB45" s="58">
        <f t="shared" si="168"/>
        <v>0.60389243682449489</v>
      </c>
      <c r="CC45" s="58">
        <f t="shared" si="168"/>
        <v>0.60389243682449489</v>
      </c>
      <c r="CD45" s="58">
        <f t="shared" si="168"/>
        <v>0.60389243682449489</v>
      </c>
      <c r="CE45" s="58">
        <f t="shared" si="168"/>
        <v>0.62561357686603503</v>
      </c>
      <c r="CF45" s="58">
        <f t="shared" si="168"/>
        <v>0.63013117819261977</v>
      </c>
      <c r="CG45" s="58">
        <f t="shared" si="168"/>
        <v>0.63448470436347804</v>
      </c>
      <c r="CH45" s="58">
        <f t="shared" si="168"/>
        <v>0.62437006468969813</v>
      </c>
      <c r="CI45" s="58">
        <f t="shared" si="168"/>
        <v>0.63401699351496299</v>
      </c>
      <c r="CJ45" s="58">
        <f t="shared" si="168"/>
        <v>0.63822939042096438</v>
      </c>
      <c r="CK45" s="58">
        <f t="shared" si="168"/>
        <v>0.61835521929330128</v>
      </c>
      <c r="CL45" s="58">
        <f t="shared" si="168"/>
        <v>0.63862619894092787</v>
      </c>
      <c r="CM45" s="58">
        <f t="shared" ref="CM45:EX45" si="169">IF((1-CM41)&gt;0.1,(1-CM41)*$B$45,0.1)</f>
        <v>0.64862079668942774</v>
      </c>
      <c r="CN45" s="58">
        <f t="shared" si="169"/>
        <v>0.60389243682449467</v>
      </c>
      <c r="CO45" s="58">
        <f t="shared" si="169"/>
        <v>0.60389243682449467</v>
      </c>
      <c r="CP45" s="58">
        <f t="shared" si="169"/>
        <v>0.60389243682449489</v>
      </c>
      <c r="CQ45" s="58">
        <f t="shared" si="169"/>
        <v>0.62561357686603503</v>
      </c>
      <c r="CR45" s="58">
        <f t="shared" si="169"/>
        <v>0.63013117819261977</v>
      </c>
      <c r="CS45" s="58">
        <f t="shared" si="169"/>
        <v>0.63448470436347804</v>
      </c>
      <c r="CT45" s="58">
        <f t="shared" si="169"/>
        <v>0.62437006468969813</v>
      </c>
      <c r="CU45" s="58">
        <f t="shared" si="169"/>
        <v>0.63419016222576308</v>
      </c>
      <c r="CV45" s="58">
        <f t="shared" si="169"/>
        <v>0.6383962698022867</v>
      </c>
      <c r="CW45" s="58">
        <f t="shared" si="169"/>
        <v>0.6190170416732812</v>
      </c>
      <c r="CX45" s="58">
        <f t="shared" si="169"/>
        <v>0.63918611232062006</v>
      </c>
      <c r="CY45" s="58">
        <f t="shared" si="169"/>
        <v>0.65051828732200467</v>
      </c>
      <c r="CZ45" s="58">
        <f t="shared" si="169"/>
        <v>0.6042297948088502</v>
      </c>
      <c r="DA45" s="58">
        <f t="shared" si="169"/>
        <v>0.6042297948088502</v>
      </c>
      <c r="DB45" s="58">
        <f t="shared" si="169"/>
        <v>0.6042297948088502</v>
      </c>
      <c r="DC45" s="58">
        <f t="shared" si="169"/>
        <v>0.62561357686603503</v>
      </c>
      <c r="DD45" s="58">
        <f t="shared" si="169"/>
        <v>0.63013117819261977</v>
      </c>
      <c r="DE45" s="58">
        <f t="shared" si="169"/>
        <v>0.63448470436347804</v>
      </c>
      <c r="DF45" s="58">
        <f t="shared" si="169"/>
        <v>0.6238834169245786</v>
      </c>
      <c r="DG45" s="58">
        <f t="shared" si="169"/>
        <v>0.63402627240046106</v>
      </c>
      <c r="DH45" s="58">
        <f t="shared" si="169"/>
        <v>0.63823833230581251</v>
      </c>
      <c r="DI45" s="58">
        <f t="shared" si="169"/>
        <v>0.61839068167016786</v>
      </c>
      <c r="DJ45" s="58">
        <f t="shared" si="169"/>
        <v>0.63865620073579599</v>
      </c>
      <c r="DK45" s="58">
        <f t="shared" si="169"/>
        <v>0.65041441019867552</v>
      </c>
      <c r="DL45" s="58">
        <f t="shared" si="169"/>
        <v>0.59568503839976716</v>
      </c>
      <c r="DM45" s="58">
        <f t="shared" si="169"/>
        <v>0.59568503839976716</v>
      </c>
      <c r="DN45" s="58">
        <f t="shared" si="169"/>
        <v>0.59568503839976705</v>
      </c>
      <c r="DO45" s="58">
        <f t="shared" si="169"/>
        <v>0.62561357686603503</v>
      </c>
      <c r="DP45" s="58">
        <f t="shared" si="169"/>
        <v>0.63224495855592799</v>
      </c>
      <c r="DQ45" s="58">
        <f t="shared" si="169"/>
        <v>0.63644629736181901</v>
      </c>
      <c r="DR45" s="58">
        <f t="shared" si="169"/>
        <v>0.62339231638442505</v>
      </c>
      <c r="DS45" s="58">
        <f t="shared" si="169"/>
        <v>0.63571709008657895</v>
      </c>
      <c r="DT45" s="58">
        <f t="shared" si="169"/>
        <v>0.64684209421336869</v>
      </c>
      <c r="DU45" s="58">
        <f t="shared" si="169"/>
        <v>0.61507308981430286</v>
      </c>
      <c r="DV45" s="58">
        <f t="shared" si="169"/>
        <v>0.63584945964536477</v>
      </c>
      <c r="DW45" s="58">
        <f t="shared" si="169"/>
        <v>0.65487454970447057</v>
      </c>
      <c r="DX45" s="58">
        <f t="shared" si="169"/>
        <v>0.59145758284078431</v>
      </c>
      <c r="DY45" s="58">
        <f t="shared" si="169"/>
        <v>0.59145758284078431</v>
      </c>
      <c r="DZ45" s="58">
        <f t="shared" si="169"/>
        <v>0.59145758284078442</v>
      </c>
      <c r="EA45" s="58">
        <f t="shared" si="169"/>
        <v>0.62561357686603503</v>
      </c>
      <c r="EB45" s="58">
        <f t="shared" si="169"/>
        <v>0.63864651592418409</v>
      </c>
      <c r="EC45" s="58">
        <f t="shared" si="169"/>
        <v>0.64645470541828076</v>
      </c>
      <c r="ED45" s="58">
        <f t="shared" si="169"/>
        <v>0.62131333240029207</v>
      </c>
      <c r="EE45" s="58">
        <f t="shared" si="169"/>
        <v>0.63917274217752129</v>
      </c>
      <c r="EF45" s="58">
        <f t="shared" si="169"/>
        <v>0.649466105078782</v>
      </c>
      <c r="EG45" s="58">
        <f t="shared" si="169"/>
        <v>0.61085401296371011</v>
      </c>
      <c r="EH45" s="58">
        <f t="shared" si="169"/>
        <v>0.64060557305553523</v>
      </c>
      <c r="EI45" s="58">
        <f t="shared" si="169"/>
        <v>0.65745038976798531</v>
      </c>
      <c r="EJ45" s="58">
        <f t="shared" si="169"/>
        <v>0.58050314526392488</v>
      </c>
      <c r="EK45" s="58">
        <f t="shared" si="169"/>
        <v>0.58050314526392488</v>
      </c>
      <c r="EL45" s="58">
        <f t="shared" si="169"/>
        <v>0.58050314526392499</v>
      </c>
      <c r="EM45" s="58">
        <f t="shared" si="169"/>
        <v>0.75</v>
      </c>
      <c r="EN45" s="58">
        <f t="shared" si="169"/>
        <v>0.75</v>
      </c>
      <c r="EO45" s="58">
        <f t="shared" si="169"/>
        <v>0.75</v>
      </c>
      <c r="EP45" s="58">
        <f t="shared" si="169"/>
        <v>0.75</v>
      </c>
      <c r="EQ45" s="58">
        <f t="shared" si="169"/>
        <v>0.75</v>
      </c>
      <c r="ER45" s="58">
        <f t="shared" si="169"/>
        <v>0.75</v>
      </c>
      <c r="ES45" s="58">
        <f t="shared" si="169"/>
        <v>0.75</v>
      </c>
      <c r="ET45" s="58">
        <f t="shared" si="169"/>
        <v>0.75</v>
      </c>
      <c r="EU45" s="58">
        <f t="shared" si="169"/>
        <v>0.75</v>
      </c>
      <c r="EV45" s="58">
        <f t="shared" si="169"/>
        <v>0.75</v>
      </c>
      <c r="EW45" s="58">
        <f t="shared" si="169"/>
        <v>0.75</v>
      </c>
      <c r="EX45" s="58">
        <f t="shared" si="169"/>
        <v>0.75</v>
      </c>
      <c r="EY45" s="58">
        <f t="shared" ref="EY45:GT45" si="170">IF((1-EY41)&gt;0.1,(1-EY41)*$B$45,0.1)</f>
        <v>0.75</v>
      </c>
      <c r="EZ45" s="58">
        <f t="shared" si="170"/>
        <v>0.75</v>
      </c>
      <c r="FA45" s="58">
        <f t="shared" si="170"/>
        <v>0.75</v>
      </c>
      <c r="FB45" s="58">
        <f t="shared" si="170"/>
        <v>0.75</v>
      </c>
      <c r="FC45" s="58">
        <f t="shared" si="170"/>
        <v>0.75</v>
      </c>
      <c r="FD45" s="58">
        <f t="shared" si="170"/>
        <v>0.75</v>
      </c>
      <c r="FE45" s="58">
        <f t="shared" si="170"/>
        <v>0.75</v>
      </c>
      <c r="FF45" s="58">
        <f t="shared" si="170"/>
        <v>0.75</v>
      </c>
      <c r="FG45" s="58">
        <f t="shared" si="170"/>
        <v>0.75</v>
      </c>
      <c r="FH45" s="58">
        <f t="shared" si="170"/>
        <v>0.75</v>
      </c>
      <c r="FI45" s="58">
        <f t="shared" si="170"/>
        <v>0.75</v>
      </c>
      <c r="FJ45" s="58">
        <f t="shared" si="170"/>
        <v>0.75</v>
      </c>
      <c r="FK45" s="58">
        <f t="shared" si="170"/>
        <v>0.75</v>
      </c>
      <c r="FL45" s="58">
        <f t="shared" si="170"/>
        <v>0.75</v>
      </c>
      <c r="FM45" s="58">
        <f t="shared" si="170"/>
        <v>0.75</v>
      </c>
      <c r="FN45" s="58">
        <f t="shared" si="170"/>
        <v>0.75</v>
      </c>
      <c r="FO45" s="58">
        <f t="shared" si="170"/>
        <v>0.75</v>
      </c>
      <c r="FP45" s="58">
        <f t="shared" si="170"/>
        <v>0.75</v>
      </c>
      <c r="FQ45" s="58">
        <f t="shared" si="170"/>
        <v>0.75</v>
      </c>
      <c r="FR45" s="58">
        <f t="shared" si="170"/>
        <v>0.75</v>
      </c>
      <c r="FS45" s="58">
        <f t="shared" si="170"/>
        <v>0.75</v>
      </c>
      <c r="FT45" s="58">
        <f t="shared" si="170"/>
        <v>0.75</v>
      </c>
      <c r="FU45" s="58">
        <f t="shared" si="170"/>
        <v>0.75</v>
      </c>
      <c r="FV45" s="58">
        <f t="shared" si="170"/>
        <v>0.75</v>
      </c>
      <c r="FW45" s="58">
        <f t="shared" si="170"/>
        <v>0.75</v>
      </c>
      <c r="FX45" s="58">
        <f t="shared" si="170"/>
        <v>0.75</v>
      </c>
      <c r="FY45" s="58">
        <f t="shared" si="170"/>
        <v>0.75</v>
      </c>
      <c r="FZ45" s="58">
        <f t="shared" si="170"/>
        <v>0.75</v>
      </c>
      <c r="GA45" s="58">
        <f t="shared" si="170"/>
        <v>0.75</v>
      </c>
      <c r="GB45" s="58">
        <f t="shared" si="170"/>
        <v>0.75</v>
      </c>
      <c r="GC45" s="58">
        <f t="shared" si="170"/>
        <v>0.75</v>
      </c>
      <c r="GD45" s="58">
        <f t="shared" si="170"/>
        <v>0.75</v>
      </c>
      <c r="GE45" s="58">
        <f t="shared" si="170"/>
        <v>0.75</v>
      </c>
      <c r="GF45" s="58">
        <f t="shared" si="170"/>
        <v>0.75</v>
      </c>
      <c r="GG45" s="58">
        <f t="shared" si="170"/>
        <v>0.75</v>
      </c>
      <c r="GH45" s="58">
        <f t="shared" si="170"/>
        <v>0.75</v>
      </c>
      <c r="GI45" s="58">
        <f t="shared" si="170"/>
        <v>0.75</v>
      </c>
      <c r="GJ45" s="58">
        <f t="shared" si="170"/>
        <v>0.75</v>
      </c>
      <c r="GK45" s="58">
        <f t="shared" si="170"/>
        <v>0.75</v>
      </c>
      <c r="GL45" s="58">
        <f t="shared" si="170"/>
        <v>0.75</v>
      </c>
      <c r="GM45" s="58">
        <f t="shared" si="170"/>
        <v>0.75</v>
      </c>
      <c r="GN45" s="58">
        <f t="shared" si="170"/>
        <v>0.75</v>
      </c>
      <c r="GO45" s="58">
        <f t="shared" si="170"/>
        <v>0.75</v>
      </c>
      <c r="GP45" s="58">
        <f t="shared" si="170"/>
        <v>0.75</v>
      </c>
      <c r="GQ45" s="58">
        <f t="shared" si="170"/>
        <v>0.75</v>
      </c>
      <c r="GR45" s="58">
        <f t="shared" si="170"/>
        <v>0.75</v>
      </c>
      <c r="GS45" s="58">
        <f t="shared" si="170"/>
        <v>0.75</v>
      </c>
      <c r="GT45" s="58">
        <f t="shared" si="170"/>
        <v>0.75</v>
      </c>
    </row>
    <row r="46" spans="1:202" x14ac:dyDescent="0.25">
      <c r="A46" s="76" t="s">
        <v>122</v>
      </c>
      <c r="C46" s="183">
        <f>70*C7</f>
        <v>0</v>
      </c>
      <c r="D46" s="183">
        <f t="shared" ref="D46:I46" si="171">70*D7</f>
        <v>140</v>
      </c>
      <c r="E46" s="183">
        <f t="shared" si="171"/>
        <v>140</v>
      </c>
      <c r="F46" s="183">
        <f t="shared" si="171"/>
        <v>210</v>
      </c>
      <c r="G46" s="183">
        <f t="shared" si="171"/>
        <v>140</v>
      </c>
      <c r="H46" s="183">
        <f t="shared" si="171"/>
        <v>140</v>
      </c>
      <c r="I46" s="183">
        <f t="shared" si="171"/>
        <v>140</v>
      </c>
    </row>
    <row r="47" spans="1:202" s="85" customFormat="1" x14ac:dyDescent="0.25">
      <c r="A47" s="87" t="s">
        <v>123</v>
      </c>
      <c r="B47" s="86">
        <f>-1561.37708115468/3.8*(1-2.62%)</f>
        <v>-400.12342148116505</v>
      </c>
      <c r="C47" s="86">
        <f>B47+C49*C24+C48</f>
        <v>-281.37420719545082</v>
      </c>
      <c r="D47" s="86">
        <f t="shared" ref="D47:Z47" si="172">C47+D49*D24+D48</f>
        <v>-112.60250861246877</v>
      </c>
      <c r="E47" s="86">
        <f t="shared" si="172"/>
        <v>216.43021298036524</v>
      </c>
      <c r="F47" s="86">
        <f t="shared" si="172"/>
        <v>407.65024074485518</v>
      </c>
      <c r="G47" s="86">
        <f t="shared" si="172"/>
        <v>441.63993205108864</v>
      </c>
      <c r="H47" s="86">
        <f t="shared" si="172"/>
        <v>923.57403837966558</v>
      </c>
      <c r="I47" s="86">
        <f t="shared" si="172"/>
        <v>1239.7642185764646</v>
      </c>
      <c r="J47" s="86">
        <f t="shared" si="172"/>
        <v>1519.8957274499658</v>
      </c>
      <c r="K47" s="86">
        <f t="shared" si="172"/>
        <v>1958.7937186198487</v>
      </c>
      <c r="L47" s="86">
        <f t="shared" si="172"/>
        <v>1861.0561746139551</v>
      </c>
      <c r="M47" s="86">
        <f t="shared" si="172"/>
        <v>2401.228045381707</v>
      </c>
      <c r="N47" s="86">
        <f t="shared" si="172"/>
        <v>2639.6580548000925</v>
      </c>
      <c r="O47" s="86">
        <f t="shared" si="172"/>
        <v>2884.8880302682569</v>
      </c>
      <c r="P47" s="86">
        <f t="shared" si="172"/>
        <v>3338.2203368395467</v>
      </c>
      <c r="Q47" s="86">
        <f t="shared" si="172"/>
        <v>3770.6215850527824</v>
      </c>
      <c r="R47" s="86">
        <f t="shared" si="172"/>
        <v>4056.5171548478411</v>
      </c>
      <c r="S47" s="86">
        <f t="shared" si="172"/>
        <v>4174.7499048478412</v>
      </c>
      <c r="T47" s="86">
        <f t="shared" si="172"/>
        <v>4293.9784726749849</v>
      </c>
      <c r="U47" s="86">
        <f t="shared" si="172"/>
        <v>4431.2869904011741</v>
      </c>
      <c r="V47" s="86">
        <f t="shared" si="172"/>
        <v>4591.3944313852471</v>
      </c>
      <c r="W47" s="86">
        <f t="shared" si="172"/>
        <v>5006.0355055547025</v>
      </c>
      <c r="X47" s="86">
        <f t="shared" si="172"/>
        <v>5272.5348615229714</v>
      </c>
      <c r="Y47" s="86">
        <f t="shared" si="172"/>
        <v>5456.7676115229715</v>
      </c>
      <c r="Z47" s="86">
        <f t="shared" si="172"/>
        <v>5641.0003615229716</v>
      </c>
      <c r="AA47" s="86">
        <f t="shared" ref="AA47:BF47" si="173">Z47+AA49*AA24+AA48</f>
        <v>5825.2331115229717</v>
      </c>
      <c r="AB47" s="86">
        <f t="shared" si="173"/>
        <v>6234.4658615229719</v>
      </c>
      <c r="AC47" s="86">
        <f t="shared" si="173"/>
        <v>6561.569111522972</v>
      </c>
      <c r="AD47" s="86">
        <f t="shared" si="173"/>
        <v>6745.8018615229721</v>
      </c>
      <c r="AE47" s="86">
        <f t="shared" si="173"/>
        <v>6930.0346115229722</v>
      </c>
      <c r="AF47" s="86">
        <f t="shared" si="173"/>
        <v>7114.2673615229724</v>
      </c>
      <c r="AG47" s="86">
        <f t="shared" si="173"/>
        <v>7298.5001115229725</v>
      </c>
      <c r="AH47" s="86">
        <f t="shared" si="173"/>
        <v>7625.6033615229726</v>
      </c>
      <c r="AI47" s="86">
        <f t="shared" si="173"/>
        <v>7803.8361115229727</v>
      </c>
      <c r="AJ47" s="86">
        <f t="shared" si="173"/>
        <v>7982.0688615229728</v>
      </c>
      <c r="AK47" s="86">
        <f t="shared" si="173"/>
        <v>8160.301611522973</v>
      </c>
      <c r="AL47" s="86">
        <f t="shared" si="173"/>
        <v>8338.5343615229722</v>
      </c>
      <c r="AM47" s="86">
        <f t="shared" si="173"/>
        <v>8516.7671115229714</v>
      </c>
      <c r="AN47" s="86">
        <f t="shared" si="173"/>
        <v>8919.9998615229706</v>
      </c>
      <c r="AO47" s="86">
        <f t="shared" si="173"/>
        <v>9241.1031115229707</v>
      </c>
      <c r="AP47" s="86">
        <f t="shared" si="173"/>
        <v>9530.1691948563039</v>
      </c>
      <c r="AQ47" s="86">
        <f t="shared" si="173"/>
        <v>9819.235278189637</v>
      </c>
      <c r="AR47" s="86">
        <f t="shared" si="173"/>
        <v>10108.30136152297</v>
      </c>
      <c r="AS47" s="86">
        <f t="shared" si="173"/>
        <v>10471.151269543738</v>
      </c>
      <c r="AT47" s="86">
        <f t="shared" si="173"/>
        <v>10903.087852877072</v>
      </c>
      <c r="AU47" s="86">
        <f t="shared" si="173"/>
        <v>11192.153936210405</v>
      </c>
      <c r="AV47" s="86">
        <f t="shared" si="173"/>
        <v>11481.220019543738</v>
      </c>
      <c r="AW47" s="86">
        <f t="shared" si="173"/>
        <v>11770.286102877071</v>
      </c>
      <c r="AX47" s="86">
        <f t="shared" si="173"/>
        <v>12464.738859916519</v>
      </c>
      <c r="AY47" s="86">
        <f t="shared" si="173"/>
        <v>13659.299922730537</v>
      </c>
      <c r="AZ47" s="86">
        <f t="shared" si="173"/>
        <v>16408.891634581385</v>
      </c>
      <c r="BA47" s="86">
        <f t="shared" si="173"/>
        <v>17559.478260801854</v>
      </c>
      <c r="BB47" s="86">
        <f t="shared" si="173"/>
        <v>18755.450244081869</v>
      </c>
      <c r="BC47" s="86">
        <f t="shared" si="173"/>
        <v>19989.402222554945</v>
      </c>
      <c r="BD47" s="86">
        <f t="shared" si="173"/>
        <v>21103.142383356844</v>
      </c>
      <c r="BE47" s="86">
        <f t="shared" si="173"/>
        <v>22216.882544158743</v>
      </c>
      <c r="BF47" s="86">
        <f t="shared" si="173"/>
        <v>23881.087193249848</v>
      </c>
      <c r="BG47" s="86">
        <f t="shared" ref="BG47:CL47" si="174">BF47+BG49*BG24+BG48</f>
        <v>25068.552092035945</v>
      </c>
      <c r="BH47" s="86">
        <f t="shared" si="174"/>
        <v>26274.462202763163</v>
      </c>
      <c r="BI47" s="86">
        <f t="shared" si="174"/>
        <v>27489.06784041745</v>
      </c>
      <c r="BJ47" s="86">
        <f t="shared" si="174"/>
        <v>28672.298828303839</v>
      </c>
      <c r="BK47" s="86">
        <f t="shared" si="174"/>
        <v>30476.714763683383</v>
      </c>
      <c r="BL47" s="86">
        <f t="shared" si="174"/>
        <v>32652.755342745291</v>
      </c>
      <c r="BM47" s="86">
        <f t="shared" si="174"/>
        <v>33819.326311207122</v>
      </c>
      <c r="BN47" s="86">
        <f t="shared" si="174"/>
        <v>35028.821329303202</v>
      </c>
      <c r="BO47" s="86">
        <f t="shared" si="174"/>
        <v>36274.551548284377</v>
      </c>
      <c r="BP47" s="86">
        <f t="shared" si="174"/>
        <v>37406.184160900819</v>
      </c>
      <c r="BQ47" s="86">
        <f t="shared" si="174"/>
        <v>39097.124580633397</v>
      </c>
      <c r="BR47" s="86">
        <f t="shared" si="174"/>
        <v>40228.757193249839</v>
      </c>
      <c r="BS47" s="86">
        <f t="shared" si="174"/>
        <v>41434.381635548656</v>
      </c>
      <c r="BT47" s="86">
        <f t="shared" si="174"/>
        <v>42648.711979991051</v>
      </c>
      <c r="BU47" s="86">
        <f t="shared" si="174"/>
        <v>43871.432036159444</v>
      </c>
      <c r="BV47" s="86">
        <f t="shared" si="174"/>
        <v>45074.660097162319</v>
      </c>
      <c r="BW47" s="86">
        <f t="shared" si="174"/>
        <v>46900.360990189823</v>
      </c>
      <c r="BX47" s="86">
        <f t="shared" si="174"/>
        <v>49087.641543535996</v>
      </c>
      <c r="BY47" s="86">
        <f t="shared" si="174"/>
        <v>50279.278352534922</v>
      </c>
      <c r="BZ47" s="86">
        <f t="shared" si="174"/>
        <v>51509.979512814309</v>
      </c>
      <c r="CA47" s="86">
        <f t="shared" si="174"/>
        <v>52759.941334598036</v>
      </c>
      <c r="CB47" s="86">
        <f t="shared" si="174"/>
        <v>54498.896240350121</v>
      </c>
      <c r="CC47" s="86">
        <f t="shared" si="174"/>
        <v>55662.661716799979</v>
      </c>
      <c r="CD47" s="86">
        <f t="shared" si="174"/>
        <v>56826.427193249838</v>
      </c>
      <c r="CE47" s="86">
        <f t="shared" si="174"/>
        <v>58032.051635548654</v>
      </c>
      <c r="CF47" s="86">
        <f t="shared" si="174"/>
        <v>59246.381979991049</v>
      </c>
      <c r="CG47" s="86">
        <f t="shared" si="174"/>
        <v>60469.102036159442</v>
      </c>
      <c r="CH47" s="86">
        <f t="shared" si="174"/>
        <v>61672.330097162318</v>
      </c>
      <c r="CI47" s="86">
        <f t="shared" si="174"/>
        <v>63498.030990189822</v>
      </c>
      <c r="CJ47" s="86">
        <f t="shared" si="174"/>
        <v>65685.311543535994</v>
      </c>
      <c r="CK47" s="86">
        <f t="shared" si="174"/>
        <v>66876.948352534921</v>
      </c>
      <c r="CL47" s="86">
        <f t="shared" si="174"/>
        <v>68107.649512814314</v>
      </c>
      <c r="CM47" s="86">
        <f t="shared" ref="CM47:DR47" si="175">CL47+CM49*CM24+CM48</f>
        <v>69357.611334598041</v>
      </c>
      <c r="CN47" s="86">
        <f t="shared" si="175"/>
        <v>71096.566240350134</v>
      </c>
      <c r="CO47" s="86">
        <f t="shared" si="175"/>
        <v>72260.331716799992</v>
      </c>
      <c r="CP47" s="86">
        <f t="shared" si="175"/>
        <v>73424.097193249851</v>
      </c>
      <c r="CQ47" s="86">
        <f t="shared" si="175"/>
        <v>74629.72163554866</v>
      </c>
      <c r="CR47" s="86">
        <f t="shared" si="175"/>
        <v>75844.051979991054</v>
      </c>
      <c r="CS47" s="86">
        <f t="shared" si="175"/>
        <v>77066.77203615944</v>
      </c>
      <c r="CT47" s="86">
        <f t="shared" si="175"/>
        <v>78864.693852677316</v>
      </c>
      <c r="CU47" s="86">
        <f t="shared" si="175"/>
        <v>80086.846294564864</v>
      </c>
      <c r="CV47" s="86">
        <f t="shared" si="175"/>
        <v>82274.698761444015</v>
      </c>
      <c r="CW47" s="86">
        <f t="shared" si="175"/>
        <v>83467.610973131232</v>
      </c>
      <c r="CX47" s="86">
        <f t="shared" si="175"/>
        <v>84699.391146528447</v>
      </c>
      <c r="CY47" s="86">
        <f t="shared" si="175"/>
        <v>85953.009636214309</v>
      </c>
      <c r="CZ47" s="86">
        <f t="shared" si="175"/>
        <v>87692.935990333877</v>
      </c>
      <c r="DA47" s="86">
        <f t="shared" si="175"/>
        <v>88857.35159179187</v>
      </c>
      <c r="DB47" s="86">
        <f t="shared" si="175"/>
        <v>90021.767193249863</v>
      </c>
      <c r="DC47" s="86">
        <f t="shared" si="175"/>
        <v>91227.391635548673</v>
      </c>
      <c r="DD47" s="86">
        <f t="shared" si="175"/>
        <v>92441.721979991067</v>
      </c>
      <c r="DE47" s="86">
        <f t="shared" si="175"/>
        <v>94268.769682524537</v>
      </c>
      <c r="DF47" s="86">
        <f t="shared" si="175"/>
        <v>95471.059921104563</v>
      </c>
      <c r="DG47" s="86">
        <f t="shared" si="175"/>
        <v>96692.896529726131</v>
      </c>
      <c r="DH47" s="86">
        <f t="shared" si="175"/>
        <v>98880.207727870453</v>
      </c>
      <c r="DI47" s="86">
        <f t="shared" si="175"/>
        <v>100071.91287667195</v>
      </c>
      <c r="DJ47" s="86">
        <f t="shared" si="175"/>
        <v>101302.6718536269</v>
      </c>
      <c r="DK47" s="86">
        <f t="shared" si="175"/>
        <v>103175.59037424011</v>
      </c>
      <c r="DL47" s="86">
        <f t="shared" si="175"/>
        <v>104323.53931391002</v>
      </c>
      <c r="DM47" s="86">
        <f t="shared" si="175"/>
        <v>105471.48825357993</v>
      </c>
      <c r="DN47" s="86">
        <f t="shared" si="175"/>
        <v>106619.43719324983</v>
      </c>
      <c r="DO47" s="86">
        <f t="shared" si="175"/>
        <v>107825.06163554864</v>
      </c>
      <c r="DP47" s="86">
        <f t="shared" si="175"/>
        <v>109043.46546139536</v>
      </c>
      <c r="DQ47" s="86">
        <f t="shared" si="175"/>
        <v>110876.16172244612</v>
      </c>
      <c r="DR47" s="86">
        <f t="shared" si="175"/>
        <v>112077.50555762839</v>
      </c>
      <c r="DS47" s="86">
        <f t="shared" ref="DS47:EX47" si="176">DR47+DS49*DS24+DS48</f>
        <v>113302.60055322433</v>
      </c>
      <c r="DT47" s="86">
        <f t="shared" si="176"/>
        <v>115519.39776594032</v>
      </c>
      <c r="DU47" s="86">
        <f t="shared" si="176"/>
        <v>116704.70955951599</v>
      </c>
      <c r="DV47" s="86">
        <f t="shared" si="176"/>
        <v>118535.68718027309</v>
      </c>
      <c r="DW47" s="86">
        <f t="shared" si="176"/>
        <v>119797.7006546581</v>
      </c>
      <c r="DX47" s="86">
        <f t="shared" si="176"/>
        <v>120937.50283418866</v>
      </c>
      <c r="DY47" s="86">
        <f t="shared" si="176"/>
        <v>122077.30501371923</v>
      </c>
      <c r="DZ47" s="86">
        <f t="shared" si="176"/>
        <v>123217.1071932498</v>
      </c>
      <c r="EA47" s="86">
        <f t="shared" si="176"/>
        <v>124422.73163554861</v>
      </c>
      <c r="EB47" s="86">
        <f t="shared" si="176"/>
        <v>125653.47194883316</v>
      </c>
      <c r="EC47" s="86">
        <f t="shared" si="176"/>
        <v>127514.98819375402</v>
      </c>
      <c r="ED47" s="86">
        <f t="shared" si="176"/>
        <v>128712.32560388558</v>
      </c>
      <c r="EE47" s="86">
        <f t="shared" si="176"/>
        <v>129944.08001158346</v>
      </c>
      <c r="EF47" s="86">
        <f t="shared" si="176"/>
        <v>132169.8699908875</v>
      </c>
      <c r="EG47" s="86">
        <f t="shared" si="176"/>
        <v>133347.05117099331</v>
      </c>
      <c r="EH47" s="86">
        <f t="shared" si="176"/>
        <v>135191.72438759264</v>
      </c>
      <c r="EI47" s="86">
        <f t="shared" si="176"/>
        <v>136458.70178196733</v>
      </c>
      <c r="EJ47" s="86">
        <f t="shared" si="176"/>
        <v>137577.39358572816</v>
      </c>
      <c r="EK47" s="86">
        <f t="shared" si="176"/>
        <v>138696.08538948899</v>
      </c>
      <c r="EL47" s="86">
        <f t="shared" si="176"/>
        <v>139814.77719324981</v>
      </c>
      <c r="EM47" s="86">
        <f t="shared" si="176"/>
        <v>141974.46010991649</v>
      </c>
      <c r="EN47" s="86">
        <f t="shared" si="176"/>
        <v>143419.79052658315</v>
      </c>
      <c r="EO47" s="86">
        <f t="shared" si="176"/>
        <v>144865.12094324981</v>
      </c>
      <c r="EP47" s="86">
        <f t="shared" si="176"/>
        <v>146310.45135991648</v>
      </c>
      <c r="EQ47" s="86">
        <f t="shared" si="176"/>
        <v>147755.78177658314</v>
      </c>
      <c r="ER47" s="86">
        <f t="shared" si="176"/>
        <v>150326.11219324981</v>
      </c>
      <c r="ES47" s="86">
        <f t="shared" si="176"/>
        <v>151771.44260991647</v>
      </c>
      <c r="ET47" s="86">
        <f t="shared" si="176"/>
        <v>153931.12552658314</v>
      </c>
      <c r="EU47" s="86">
        <f t="shared" si="176"/>
        <v>155376.45594324981</v>
      </c>
      <c r="EV47" s="86">
        <f t="shared" si="176"/>
        <v>156821.78635991647</v>
      </c>
      <c r="EW47" s="86">
        <f t="shared" si="176"/>
        <v>158267.11677658313</v>
      </c>
      <c r="EX47" s="86">
        <f t="shared" si="176"/>
        <v>159712.4471932498</v>
      </c>
      <c r="EY47" s="86">
        <f t="shared" ref="EY47:GD47" si="177">EX47+EY49*EY24+EY48</f>
        <v>161872.13010991647</v>
      </c>
      <c r="EZ47" s="86">
        <f t="shared" si="177"/>
        <v>163317.46052658313</v>
      </c>
      <c r="FA47" s="86">
        <f t="shared" si="177"/>
        <v>164762.7909432498</v>
      </c>
      <c r="FB47" s="86">
        <f t="shared" si="177"/>
        <v>166208.12135991646</v>
      </c>
      <c r="FC47" s="86">
        <f t="shared" si="177"/>
        <v>167653.45177658313</v>
      </c>
      <c r="FD47" s="86">
        <f t="shared" si="177"/>
        <v>170223.78219324979</v>
      </c>
      <c r="FE47" s="86">
        <f t="shared" si="177"/>
        <v>172383.46510991646</v>
      </c>
      <c r="FF47" s="86">
        <f t="shared" si="177"/>
        <v>173828.79552658313</v>
      </c>
      <c r="FG47" s="86">
        <f t="shared" si="177"/>
        <v>175274.12594324979</v>
      </c>
      <c r="FH47" s="86">
        <f t="shared" si="177"/>
        <v>176719.45635991645</v>
      </c>
      <c r="FI47" s="86">
        <f t="shared" si="177"/>
        <v>178164.78677658312</v>
      </c>
      <c r="FJ47" s="86">
        <f t="shared" si="177"/>
        <v>180324.46969324979</v>
      </c>
      <c r="FK47" s="86">
        <f t="shared" si="177"/>
        <v>181769.80010991645</v>
      </c>
      <c r="FL47" s="86">
        <f t="shared" si="177"/>
        <v>183215.13052658312</v>
      </c>
      <c r="FM47" s="86">
        <f t="shared" si="177"/>
        <v>184660.46094324978</v>
      </c>
      <c r="FN47" s="86">
        <f t="shared" si="177"/>
        <v>186105.79135991645</v>
      </c>
      <c r="FO47" s="86">
        <f t="shared" si="177"/>
        <v>187551.12177658311</v>
      </c>
      <c r="FP47" s="86">
        <f t="shared" si="177"/>
        <v>190121.45219324977</v>
      </c>
      <c r="FQ47" s="86">
        <f t="shared" si="177"/>
        <v>192281.13510991645</v>
      </c>
      <c r="FR47" s="86">
        <f t="shared" si="177"/>
        <v>193726.46552658311</v>
      </c>
      <c r="FS47" s="86">
        <f t="shared" si="177"/>
        <v>195171.79594324977</v>
      </c>
      <c r="FT47" s="86">
        <f t="shared" si="177"/>
        <v>196617.12635991644</v>
      </c>
      <c r="FU47" s="86">
        <f t="shared" si="177"/>
        <v>198062.4567765831</v>
      </c>
      <c r="FV47" s="86">
        <f t="shared" si="177"/>
        <v>200222.13969324977</v>
      </c>
      <c r="FW47" s="86">
        <f t="shared" si="177"/>
        <v>201667.47010991644</v>
      </c>
      <c r="FX47" s="86">
        <f t="shared" si="177"/>
        <v>203112.8005265831</v>
      </c>
      <c r="FY47" s="86">
        <f t="shared" si="177"/>
        <v>204558.13094324977</v>
      </c>
      <c r="FZ47" s="86">
        <f t="shared" si="177"/>
        <v>206003.46135991643</v>
      </c>
      <c r="GA47" s="86">
        <f t="shared" si="177"/>
        <v>207448.79177658309</v>
      </c>
      <c r="GB47" s="86">
        <f t="shared" si="177"/>
        <v>210733.47469324977</v>
      </c>
      <c r="GC47" s="86">
        <f t="shared" si="177"/>
        <v>212178.80510991643</v>
      </c>
      <c r="GD47" s="86">
        <f t="shared" si="177"/>
        <v>213624.13552658309</v>
      </c>
      <c r="GE47" s="86">
        <f t="shared" ref="GE47:GT47" si="178">GD47+GE49*GE24+GE48</f>
        <v>215069.46594324976</v>
      </c>
      <c r="GF47" s="86">
        <f t="shared" si="178"/>
        <v>216514.79635991642</v>
      </c>
      <c r="GG47" s="86">
        <f t="shared" si="178"/>
        <v>217960.12677658309</v>
      </c>
      <c r="GH47" s="86">
        <f t="shared" si="178"/>
        <v>220119.80969324976</v>
      </c>
      <c r="GI47" s="86">
        <f t="shared" si="178"/>
        <v>221565.14010991642</v>
      </c>
      <c r="GJ47" s="86">
        <f t="shared" si="178"/>
        <v>223010.47052658309</v>
      </c>
      <c r="GK47" s="86">
        <f t="shared" si="178"/>
        <v>224455.80094324975</v>
      </c>
      <c r="GL47" s="86">
        <f t="shared" si="178"/>
        <v>225901.13135991641</v>
      </c>
      <c r="GM47" s="86">
        <f t="shared" si="178"/>
        <v>227346.46177658308</v>
      </c>
      <c r="GN47" s="86">
        <f t="shared" si="178"/>
        <v>230631.14469324975</v>
      </c>
      <c r="GO47" s="86">
        <f t="shared" si="178"/>
        <v>232076.47510991641</v>
      </c>
      <c r="GP47" s="86">
        <f t="shared" si="178"/>
        <v>233521.80552658308</v>
      </c>
      <c r="GQ47" s="86">
        <f t="shared" si="178"/>
        <v>234967.13594324974</v>
      </c>
      <c r="GR47" s="86">
        <f t="shared" si="178"/>
        <v>236412.46635991641</v>
      </c>
      <c r="GS47" s="86">
        <f t="shared" si="178"/>
        <v>238572.14927658308</v>
      </c>
      <c r="GT47" s="86">
        <f t="shared" si="178"/>
        <v>240017.47969324974</v>
      </c>
    </row>
    <row r="48" spans="1:202" s="74" customFormat="1" x14ac:dyDescent="0.25">
      <c r="A48" s="83" t="s">
        <v>124</v>
      </c>
      <c r="C48" s="75">
        <f>-SUMIFS(Losses!$J:$J,Losses!$K:$K,'Cash flow'!C$3,Losses!$H:$H,"Trip")</f>
        <v>12.25</v>
      </c>
      <c r="D48" s="75">
        <f>-SUMIFS(Losses!$J:$J,Losses!$K:$K,'Cash flow'!D$3,Losses!$H:$H,"Trip")</f>
        <v>0</v>
      </c>
      <c r="E48" s="75">
        <f>-SUMIFS(Losses!$J:$J,Losses!$K:$K,'Cash flow'!E$3,Losses!$H:$H,"Trip")</f>
        <v>-200</v>
      </c>
      <c r="F48" s="75">
        <f>-SUMIFS(Losses!$J:$J,Losses!$K:$K,'Cash flow'!F$3,Losses!$H:$H,"Trip")</f>
        <v>-560.12885882191176</v>
      </c>
      <c r="G48" s="75">
        <f>-SUMIFS(Losses!$J:$J,Losses!$K:$K,'Cash flow'!G$3,Losses!$H:$H,"Trip")</f>
        <v>-301.74</v>
      </c>
      <c r="H48" s="75">
        <f>-SUMIFS(Losses!$J:$J,Losses!$K:$K,'Cash flow'!H$3,Losses!$H:$H,"Trip")</f>
        <v>16.5403603116943</v>
      </c>
      <c r="I48" s="75">
        <f>-SUMIFS(Losses!$J:$J,Losses!$K:$K,'Cash flow'!I$3,Losses!$H:$H,"Trip")</f>
        <v>-54.357764777101799</v>
      </c>
      <c r="J48" s="75">
        <f>-SUMIFS(Losses!$J:$J,Losses!$K:$K,'Cash flow'!J$3,Losses!$H:$H,"Trip")</f>
        <v>-461.0824867077589</v>
      </c>
      <c r="K48" s="75">
        <f>-SUMIFS(Losses!$J:$J,Losses!$K:$K,'Cash flow'!K$3,Losses!$H:$H,"Trip")</f>
        <v>-176.05603239556157</v>
      </c>
      <c r="L48" s="75">
        <f>-SUMIFS(Losses!$J:$J,Losses!$K:$K,'Cash flow'!L$3,Losses!$H:$H,"Trip")</f>
        <v>-628.87720279720281</v>
      </c>
      <c r="M48" s="75">
        <f>-SUMIFS(Losses!$J:$J,Losses!$K:$K,'Cash flow'!M$3,Losses!$H:$H,"Trip")</f>
        <v>-57.21</v>
      </c>
      <c r="N48" s="75">
        <f>-SUMIFS(Losses!$J:$J,Losses!$K:$K,'Cash flow'!N$3,Losses!$H:$H,"Trip")</f>
        <v>0</v>
      </c>
      <c r="O48" s="75">
        <f>-SUMIFS(Losses!$J:$J,Losses!$K:$K,'Cash flow'!O$3,Losses!$H:$H,"Trip")</f>
        <v>-60.629999999999995</v>
      </c>
      <c r="P48" s="75">
        <f>-SUMIFS(Losses!$J:$J,Losses!$K:$K,'Cash flow'!P$3,Losses!$H:$H,"Trip")</f>
        <v>0</v>
      </c>
      <c r="Q48" s="75">
        <f>-SUMIFS(Losses!$J:$J,Losses!$K:$K,'Cash flow'!Q$3,Losses!$H:$H,"Trip")</f>
        <v>0</v>
      </c>
      <c r="R48" s="75">
        <f>-SUMIFS(Losses!$J:$J,Losses!$K:$K,'Cash flow'!R$3,Losses!$H:$H,"Trip")</f>
        <v>0</v>
      </c>
      <c r="S48" s="75">
        <f>-SUMIFS(Losses!$J:$J,Losses!$K:$K,'Cash flow'!S$3,Losses!$H:$H,"Trip")</f>
        <v>0</v>
      </c>
      <c r="T48" s="75">
        <f>-SUMIFS(Losses!$J:$J,Losses!$K:$K,'Cash flow'!T$3,Losses!$H:$H,"Trip")</f>
        <v>0</v>
      </c>
      <c r="U48" s="75">
        <f>-SUMIFS(Losses!$J:$J,Losses!$K:$K,'Cash flow'!U$3,Losses!$H:$H,"Trip")</f>
        <v>0</v>
      </c>
      <c r="V48" s="75">
        <f>-SUMIFS(Losses!$J:$J,Losses!$K:$K,'Cash flow'!V$3,Losses!$H:$H,"Trip")</f>
        <v>0</v>
      </c>
      <c r="W48" s="75">
        <f>-SUMIFS(Losses!$J:$J,Losses!$K:$K,'Cash flow'!W$3,Losses!$H:$H,"Trip")</f>
        <v>0</v>
      </c>
      <c r="X48" s="75">
        <f>-SUMIFS(Losses!$J:$J,Losses!$K:$K,'Cash flow'!X$3,Losses!$H:$H,"Trip")</f>
        <v>0</v>
      </c>
      <c r="Y48" s="75">
        <f>-SUMIFS(Losses!$J:$J,Losses!$K:$K,'Cash flow'!Y$3,Losses!$H:$H,"Trip")</f>
        <v>0</v>
      </c>
      <c r="Z48" s="75">
        <f>-SUMIFS(Losses!$J:$J,Losses!$K:$K,'Cash flow'!Z$3,Losses!$H:$H,"Trip")</f>
        <v>0</v>
      </c>
      <c r="AA48" s="75">
        <f>-SUMIFS(Losses!$J:$J,Losses!$K:$K,'Cash flow'!AA$3,Losses!$H:$H,"Trip")</f>
        <v>0</v>
      </c>
      <c r="AB48" s="75">
        <f>-SUMIFS(Losses!$J:$J,Losses!$K:$K,'Cash flow'!AB$3,Losses!$H:$H,"Trip")</f>
        <v>0</v>
      </c>
      <c r="AC48" s="75">
        <f>-SUMIFS(Losses!$J:$J,Losses!$K:$K,'Cash flow'!AC$3,Losses!$H:$H,"Trip")</f>
        <v>0</v>
      </c>
      <c r="AD48" s="75">
        <f>-SUMIFS(Losses!$J:$J,Losses!$K:$K,'Cash flow'!AD$3,Losses!$H:$H,"Trip")</f>
        <v>0</v>
      </c>
      <c r="AE48" s="75">
        <f>-SUMIFS(Losses!$J:$J,Losses!$K:$K,'Cash flow'!AE$3,Losses!$H:$H,"Trip")</f>
        <v>0</v>
      </c>
      <c r="AF48" s="75">
        <f>-SUMIFS(Losses!$J:$J,Losses!$K:$K,'Cash flow'!AF$3,Losses!$H:$H,"Trip")</f>
        <v>0</v>
      </c>
      <c r="AG48" s="75">
        <f>-SUMIFS(Losses!$J:$J,Losses!$K:$K,'Cash flow'!AG$3,Losses!$H:$H,"Trip")</f>
        <v>0</v>
      </c>
      <c r="AH48" s="75">
        <f>-SUMIFS(Losses!$J:$J,Losses!$K:$K,'Cash flow'!AH$3,Losses!$H:$H,"Trip")</f>
        <v>0</v>
      </c>
      <c r="AI48" s="75">
        <f>-SUMIFS(Losses!$J:$J,Losses!$K:$K,'Cash flow'!AI$3,Losses!$H:$H,"Trip")</f>
        <v>0</v>
      </c>
      <c r="AJ48" s="75">
        <f>-SUMIFS(Losses!$J:$J,Losses!$K:$K,'Cash flow'!AJ$3,Losses!$H:$H,"Trip")</f>
        <v>0</v>
      </c>
      <c r="AK48" s="75">
        <f>-SUMIFS(Losses!$J:$J,Losses!$K:$K,'Cash flow'!AK$3,Losses!$H:$H,"Trip")</f>
        <v>0</v>
      </c>
      <c r="AL48" s="75">
        <f>-SUMIFS(Losses!$J:$J,Losses!$K:$K,'Cash flow'!AL$3,Losses!$H:$H,"Trip")</f>
        <v>0</v>
      </c>
      <c r="AM48" s="75">
        <f>-SUMIFS(Losses!$J:$J,Losses!$K:$K,'Cash flow'!AM$3,Losses!$H:$H,"Trip")</f>
        <v>0</v>
      </c>
      <c r="AN48" s="75">
        <f>-SUMIFS(Losses!$J:$J,Losses!$K:$K,'Cash flow'!AN$3,Losses!$H:$H,"Trip")</f>
        <v>0</v>
      </c>
      <c r="AO48" s="75">
        <f>-SUMIFS(Losses!$J:$J,Losses!$K:$K,'Cash flow'!AO$3,Losses!$H:$H,"Trip")</f>
        <v>0</v>
      </c>
      <c r="AP48" s="75">
        <f>-SUMIFS(Losses!$J:$J,Losses!$K:$K,'Cash flow'!AP$3,Losses!$H:$H,"Trip")</f>
        <v>0</v>
      </c>
      <c r="AQ48" s="75">
        <f>-SUMIFS(Losses!$J:$J,Losses!$K:$K,'Cash flow'!AQ$3,Losses!$H:$H,"Trip")</f>
        <v>0</v>
      </c>
      <c r="AR48" s="75">
        <f>-SUMIFS(Losses!$J:$J,Losses!$K:$K,'Cash flow'!AR$3,Losses!$H:$H,"Trip")</f>
        <v>0</v>
      </c>
      <c r="AS48" s="75">
        <f>-SUMIFS(Losses!$J:$J,Losses!$K:$K,'Cash flow'!AS$3,Losses!$H:$H,"Trip")</f>
        <v>0</v>
      </c>
      <c r="AT48" s="75">
        <f>-SUMIFS(Losses!$J:$J,Losses!$K:$K,'Cash flow'!AT$3,Losses!$H:$H,"Trip")</f>
        <v>0</v>
      </c>
      <c r="AU48" s="75">
        <f>-SUMIFS(Losses!$J:$J,Losses!$K:$K,'Cash flow'!AU$3,Losses!$H:$H,"Trip")</f>
        <v>0</v>
      </c>
      <c r="AV48" s="75">
        <f>-SUMIFS(Losses!$J:$J,Losses!$K:$K,'Cash flow'!AV$3,Losses!$H:$H,"Trip")</f>
        <v>0</v>
      </c>
      <c r="AW48" s="75">
        <f>-SUMIFS(Losses!$J:$J,Losses!$K:$K,'Cash flow'!AW$3,Losses!$H:$H,"Trip")</f>
        <v>0</v>
      </c>
      <c r="AX48" s="75">
        <f>-SUMIFS(Losses!$J:$J,Losses!$K:$K,'Cash flow'!AX$3,Losses!$H:$H,"Trip")</f>
        <v>0</v>
      </c>
      <c r="AY48" s="75">
        <f>-SUMIFS(Losses!$J:$J,Losses!$K:$K,'Cash flow'!AY$3,Losses!$H:$H,"Trip")</f>
        <v>0</v>
      </c>
      <c r="AZ48" s="75">
        <f>-SUMIFS(Losses!$J:$J,Losses!$K:$K,'Cash flow'!AZ$3,Losses!$H:$H,"Trip")</f>
        <v>0</v>
      </c>
      <c r="BA48" s="75">
        <f>-SUMIFS(Losses!$J:$J,Losses!$K:$K,'Cash flow'!BA$3,Losses!$H:$H,"Trip")</f>
        <v>0</v>
      </c>
      <c r="BB48" s="75">
        <f>-SUMIFS(Losses!$J:$J,Losses!$K:$K,'Cash flow'!BB$3,Losses!$H:$H,"Trip")</f>
        <v>0</v>
      </c>
      <c r="BC48" s="75">
        <f>-SUMIFS(Losses!$J:$J,Losses!$K:$K,'Cash flow'!BC$3,Losses!$H:$H,"Trip")</f>
        <v>0</v>
      </c>
      <c r="BD48" s="75">
        <f>-SUMIFS(Losses!$J:$J,Losses!$K:$K,'Cash flow'!BD$3,Losses!$H:$H,"Trip")</f>
        <v>0</v>
      </c>
      <c r="BE48" s="75">
        <f>-SUMIFS(Losses!$J:$J,Losses!$K:$K,'Cash flow'!BE$3,Losses!$H:$H,"Trip")</f>
        <v>0</v>
      </c>
      <c r="BF48" s="75">
        <f>-SUMIFS(Losses!$J:$J,Losses!$K:$K,'Cash flow'!BF$3,Losses!$H:$H,"Trip")</f>
        <v>0</v>
      </c>
      <c r="BG48" s="75">
        <f>-SUMIFS(Losses!$J:$J,Losses!$K:$K,'Cash flow'!BG$3,Losses!$H:$H,"Trip")</f>
        <v>0</v>
      </c>
      <c r="BH48" s="75">
        <f>-SUMIFS(Losses!$J:$J,Losses!$K:$K,'Cash flow'!BH$3,Losses!$H:$H,"Trip")</f>
        <v>0</v>
      </c>
      <c r="BI48" s="75">
        <f>-SUMIFS(Losses!$J:$J,Losses!$K:$K,'Cash flow'!BI$3,Losses!$H:$H,"Trip")</f>
        <v>0</v>
      </c>
      <c r="BJ48" s="75">
        <f>-SUMIFS(Losses!$J:$J,Losses!$K:$K,'Cash flow'!BJ$3,Losses!$H:$H,"Trip")</f>
        <v>0</v>
      </c>
      <c r="BK48" s="75">
        <f>-SUMIFS(Losses!$J:$J,Losses!$K:$K,'Cash flow'!BK$3,Losses!$H:$H,"Trip")</f>
        <v>0</v>
      </c>
      <c r="BL48" s="75">
        <f>-SUMIFS(Losses!$J:$J,Losses!$K:$K,'Cash flow'!BL$3,Losses!$H:$H,"Trip")</f>
        <v>0</v>
      </c>
      <c r="BM48" s="75">
        <f>-SUMIFS(Losses!$J:$J,Losses!$K:$K,'Cash flow'!BM$3,Losses!$H:$H,"Trip")</f>
        <v>0</v>
      </c>
      <c r="BN48" s="75">
        <f>-SUMIFS(Losses!$J:$J,Losses!$K:$K,'Cash flow'!BN$3,Losses!$H:$H,"Trip")</f>
        <v>0</v>
      </c>
      <c r="BO48" s="75">
        <f>-SUMIFS(Losses!$J:$J,Losses!$K:$K,'Cash flow'!BO$3,Losses!$H:$H,"Trip")</f>
        <v>0</v>
      </c>
      <c r="BP48" s="75">
        <f>-SUMIFS(Losses!$J:$J,Losses!$K:$K,'Cash flow'!BP$3,Losses!$H:$H,"Trip")</f>
        <v>0</v>
      </c>
      <c r="BQ48" s="75">
        <f>-SUMIFS(Losses!$J:$J,Losses!$K:$K,'Cash flow'!BQ$3,Losses!$H:$H,"Trip")</f>
        <v>0</v>
      </c>
      <c r="BR48" s="75">
        <f>-SUMIFS(Losses!$J:$J,Losses!$K:$K,'Cash flow'!BR$3,Losses!$H:$H,"Trip")</f>
        <v>0</v>
      </c>
      <c r="BS48" s="75">
        <f>-SUMIFS(Losses!$J:$J,Losses!$K:$K,'Cash flow'!BS$3,Losses!$H:$H,"Trip")</f>
        <v>0</v>
      </c>
      <c r="BT48" s="75">
        <f>-SUMIFS(Losses!$J:$J,Losses!$K:$K,'Cash flow'!BT$3,Losses!$H:$H,"Trip")</f>
        <v>0</v>
      </c>
      <c r="BU48" s="75">
        <f>-SUMIFS(Losses!$J:$J,Losses!$K:$K,'Cash flow'!BU$3,Losses!$H:$H,"Trip")</f>
        <v>0</v>
      </c>
      <c r="BV48" s="75">
        <f>-SUMIFS(Losses!$J:$J,Losses!$K:$K,'Cash flow'!BV$3,Losses!$H:$H,"Trip")</f>
        <v>0</v>
      </c>
      <c r="BW48" s="75">
        <f>-SUMIFS(Losses!$J:$J,Losses!$K:$K,'Cash flow'!BW$3,Losses!$H:$H,"Trip")</f>
        <v>0</v>
      </c>
      <c r="BX48" s="75">
        <f>-SUMIFS(Losses!$J:$J,Losses!$K:$K,'Cash flow'!BX$3,Losses!$H:$H,"Trip")</f>
        <v>0</v>
      </c>
      <c r="BY48" s="75">
        <f>-SUMIFS(Losses!$J:$J,Losses!$K:$K,'Cash flow'!BY$3,Losses!$H:$H,"Trip")</f>
        <v>0</v>
      </c>
      <c r="BZ48" s="75">
        <f>-SUMIFS(Losses!$J:$J,Losses!$K:$K,'Cash flow'!BZ$3,Losses!$H:$H,"Trip")</f>
        <v>0</v>
      </c>
      <c r="CA48" s="75">
        <f>-SUMIFS(Losses!$J:$J,Losses!$K:$K,'Cash flow'!CA$3,Losses!$H:$H,"Trip")</f>
        <v>0</v>
      </c>
      <c r="CB48" s="75">
        <f>-SUMIFS(Losses!$J:$J,Losses!$K:$K,'Cash flow'!CB$3,Losses!$H:$H,"Trip")</f>
        <v>0</v>
      </c>
      <c r="CC48" s="75">
        <f>-SUMIFS(Losses!$J:$J,Losses!$K:$K,'Cash flow'!CC$3,Losses!$H:$H,"Trip")</f>
        <v>0</v>
      </c>
      <c r="CD48" s="75">
        <f>-SUMIFS(Losses!$J:$J,Losses!$K:$K,'Cash flow'!CD$3,Losses!$H:$H,"Trip")</f>
        <v>0</v>
      </c>
      <c r="CE48" s="75">
        <f>-SUMIFS(Losses!$J:$J,Losses!$K:$K,'Cash flow'!CE$3,Losses!$H:$H,"Trip")</f>
        <v>0</v>
      </c>
      <c r="CF48" s="75">
        <f>-SUMIFS(Losses!$J:$J,Losses!$K:$K,'Cash flow'!CF$3,Losses!$H:$H,"Trip")</f>
        <v>0</v>
      </c>
      <c r="CG48" s="75">
        <f>-SUMIFS(Losses!$J:$J,Losses!$K:$K,'Cash flow'!CG$3,Losses!$H:$H,"Trip")</f>
        <v>0</v>
      </c>
      <c r="CH48" s="75">
        <f>-SUMIFS(Losses!$J:$J,Losses!$K:$K,'Cash flow'!CH$3,Losses!$H:$H,"Trip")</f>
        <v>0</v>
      </c>
      <c r="CI48" s="75">
        <f>-SUMIFS(Losses!$J:$J,Losses!$K:$K,'Cash flow'!CI$3,Losses!$H:$H,"Trip")</f>
        <v>0</v>
      </c>
      <c r="CJ48" s="75">
        <f>-SUMIFS(Losses!$J:$J,Losses!$K:$K,'Cash flow'!CJ$3,Losses!$H:$H,"Trip")</f>
        <v>0</v>
      </c>
      <c r="CK48" s="75">
        <f>-SUMIFS(Losses!$J:$J,Losses!$K:$K,'Cash flow'!CK$3,Losses!$H:$H,"Trip")</f>
        <v>0</v>
      </c>
      <c r="CL48" s="75">
        <f>-SUMIFS(Losses!$J:$J,Losses!$K:$K,'Cash flow'!CL$3,Losses!$H:$H,"Trip")</f>
        <v>0</v>
      </c>
      <c r="CM48" s="75">
        <f>-SUMIFS(Losses!$J:$J,Losses!$K:$K,'Cash flow'!CM$3,Losses!$H:$H,"Trip")</f>
        <v>0</v>
      </c>
      <c r="CN48" s="75">
        <f>-SUMIFS(Losses!$J:$J,Losses!$K:$K,'Cash flow'!CN$3,Losses!$H:$H,"Trip")</f>
        <v>0</v>
      </c>
      <c r="CO48" s="75">
        <f>-SUMIFS(Losses!$J:$J,Losses!$K:$K,'Cash flow'!CO$3,Losses!$H:$H,"Trip")</f>
        <v>0</v>
      </c>
      <c r="CP48" s="75">
        <f>-SUMIFS(Losses!$J:$J,Losses!$K:$K,'Cash flow'!CP$3,Losses!$H:$H,"Trip")</f>
        <v>0</v>
      </c>
      <c r="CQ48" s="75">
        <f>-SUMIFS(Losses!$J:$J,Losses!$K:$K,'Cash flow'!CQ$3,Losses!$H:$H,"Trip")</f>
        <v>0</v>
      </c>
      <c r="CR48" s="75">
        <f>-SUMIFS(Losses!$J:$J,Losses!$K:$K,'Cash flow'!CR$3,Losses!$H:$H,"Trip")</f>
        <v>0</v>
      </c>
      <c r="CS48" s="75">
        <f>-SUMIFS(Losses!$J:$J,Losses!$K:$K,'Cash flow'!CS$3,Losses!$H:$H,"Trip")</f>
        <v>0</v>
      </c>
      <c r="CT48" s="75">
        <f>-SUMIFS(Losses!$J:$J,Losses!$K:$K,'Cash flow'!CT$3,Losses!$H:$H,"Trip")</f>
        <v>0</v>
      </c>
      <c r="CU48" s="75">
        <f>-SUMIFS(Losses!$J:$J,Losses!$K:$K,'Cash flow'!CU$3,Losses!$H:$H,"Trip")</f>
        <v>0</v>
      </c>
      <c r="CV48" s="75">
        <f>-SUMIFS(Losses!$J:$J,Losses!$K:$K,'Cash flow'!CV$3,Losses!$H:$H,"Trip")</f>
        <v>0</v>
      </c>
      <c r="CW48" s="75">
        <f>-SUMIFS(Losses!$J:$J,Losses!$K:$K,'Cash flow'!CW$3,Losses!$H:$H,"Trip")</f>
        <v>0</v>
      </c>
      <c r="CX48" s="75">
        <f>-SUMIFS(Losses!$J:$J,Losses!$K:$K,'Cash flow'!CX$3,Losses!$H:$H,"Trip")</f>
        <v>0</v>
      </c>
      <c r="CY48" s="75">
        <f>-SUMIFS(Losses!$J:$J,Losses!$K:$K,'Cash flow'!CY$3,Losses!$H:$H,"Trip")</f>
        <v>0</v>
      </c>
      <c r="CZ48" s="75">
        <f>-SUMIFS(Losses!$J:$J,Losses!$K:$K,'Cash flow'!CZ$3,Losses!$H:$H,"Trip")</f>
        <v>0</v>
      </c>
      <c r="DA48" s="75">
        <f>-SUMIFS(Losses!$J:$J,Losses!$K:$K,'Cash flow'!DA$3,Losses!$H:$H,"Trip")</f>
        <v>0</v>
      </c>
      <c r="DB48" s="75">
        <f>-SUMIFS(Losses!$J:$J,Losses!$K:$K,'Cash flow'!DB$3,Losses!$H:$H,"Trip")</f>
        <v>0</v>
      </c>
      <c r="DC48" s="75">
        <f>-SUMIFS(Losses!$J:$J,Losses!$K:$K,'Cash flow'!DC$3,Losses!$H:$H,"Trip")</f>
        <v>0</v>
      </c>
      <c r="DD48" s="75">
        <f>-SUMIFS(Losses!$J:$J,Losses!$K:$K,'Cash flow'!DD$3,Losses!$H:$H,"Trip")</f>
        <v>0</v>
      </c>
      <c r="DE48" s="75">
        <f>-SUMIFS(Losses!$J:$J,Losses!$K:$K,'Cash flow'!DE$3,Losses!$H:$H,"Trip")</f>
        <v>0</v>
      </c>
      <c r="DF48" s="75">
        <f>-SUMIFS(Losses!$J:$J,Losses!$K:$K,'Cash flow'!DF$3,Losses!$H:$H,"Trip")</f>
        <v>0</v>
      </c>
      <c r="DG48" s="75">
        <f>-SUMIFS(Losses!$J:$J,Losses!$K:$K,'Cash flow'!DG$3,Losses!$H:$H,"Trip")</f>
        <v>0</v>
      </c>
      <c r="DH48" s="75">
        <f>-SUMIFS(Losses!$J:$J,Losses!$K:$K,'Cash flow'!DH$3,Losses!$H:$H,"Trip")</f>
        <v>0</v>
      </c>
      <c r="DI48" s="75">
        <f>-SUMIFS(Losses!$J:$J,Losses!$K:$K,'Cash flow'!DI$3,Losses!$H:$H,"Trip")</f>
        <v>0</v>
      </c>
      <c r="DJ48" s="75">
        <f>-SUMIFS(Losses!$J:$J,Losses!$K:$K,'Cash flow'!DJ$3,Losses!$H:$H,"Trip")</f>
        <v>0</v>
      </c>
      <c r="DK48" s="75">
        <f>-SUMIFS(Losses!$J:$J,Losses!$K:$K,'Cash flow'!DK$3,Losses!$H:$H,"Trip")</f>
        <v>0</v>
      </c>
      <c r="DL48" s="75">
        <f>-SUMIFS(Losses!$J:$J,Losses!$K:$K,'Cash flow'!DL$3,Losses!$H:$H,"Trip")</f>
        <v>0</v>
      </c>
      <c r="DM48" s="75">
        <f>-SUMIFS(Losses!$J:$J,Losses!$K:$K,'Cash flow'!DM$3,Losses!$H:$H,"Trip")</f>
        <v>0</v>
      </c>
      <c r="DN48" s="75">
        <f>-SUMIFS(Losses!$J:$J,Losses!$K:$K,'Cash flow'!DN$3,Losses!$H:$H,"Trip")</f>
        <v>0</v>
      </c>
      <c r="DO48" s="75">
        <f>-SUMIFS(Losses!$J:$J,Losses!$K:$K,'Cash flow'!DO$3,Losses!$H:$H,"Trip")</f>
        <v>0</v>
      </c>
      <c r="DP48" s="75">
        <f>-SUMIFS(Losses!$J:$J,Losses!$K:$K,'Cash flow'!DP$3,Losses!$H:$H,"Trip")</f>
        <v>0</v>
      </c>
      <c r="DQ48" s="75">
        <f>-SUMIFS(Losses!$J:$J,Losses!$K:$K,'Cash flow'!DQ$3,Losses!$H:$H,"Trip")</f>
        <v>0</v>
      </c>
      <c r="DR48" s="75">
        <f>-SUMIFS(Losses!$J:$J,Losses!$K:$K,'Cash flow'!DR$3,Losses!$H:$H,"Trip")</f>
        <v>0</v>
      </c>
      <c r="DS48" s="75">
        <f>-SUMIFS(Losses!$J:$J,Losses!$K:$K,'Cash flow'!DS$3,Losses!$H:$H,"Trip")</f>
        <v>0</v>
      </c>
      <c r="DT48" s="75">
        <f>-SUMIFS(Losses!$J:$J,Losses!$K:$K,'Cash flow'!DT$3,Losses!$H:$H,"Trip")</f>
        <v>0</v>
      </c>
      <c r="DU48" s="75">
        <f>-SUMIFS(Losses!$J:$J,Losses!$K:$K,'Cash flow'!DU$3,Losses!$H:$H,"Trip")</f>
        <v>0</v>
      </c>
      <c r="DV48" s="75">
        <f>-SUMIFS(Losses!$J:$J,Losses!$K:$K,'Cash flow'!DV$3,Losses!$H:$H,"Trip")</f>
        <v>0</v>
      </c>
      <c r="DW48" s="75">
        <f>-SUMIFS(Losses!$J:$J,Losses!$K:$K,'Cash flow'!DW$3,Losses!$H:$H,"Trip")</f>
        <v>0</v>
      </c>
      <c r="DX48" s="75">
        <f>-SUMIFS(Losses!$J:$J,Losses!$K:$K,'Cash flow'!DX$3,Losses!$H:$H,"Trip")</f>
        <v>0</v>
      </c>
      <c r="DY48" s="75">
        <f>-SUMIFS(Losses!$J:$J,Losses!$K:$K,'Cash flow'!DY$3,Losses!$H:$H,"Trip")</f>
        <v>0</v>
      </c>
      <c r="DZ48" s="75">
        <f>-SUMIFS(Losses!$J:$J,Losses!$K:$K,'Cash flow'!DZ$3,Losses!$H:$H,"Trip")</f>
        <v>0</v>
      </c>
      <c r="EA48" s="75">
        <f>-SUMIFS(Losses!$J:$J,Losses!$K:$K,'Cash flow'!EA$3,Losses!$H:$H,"Trip")</f>
        <v>0</v>
      </c>
      <c r="EB48" s="75">
        <f>-SUMIFS(Losses!$J:$J,Losses!$K:$K,'Cash flow'!EB$3,Losses!$H:$H,"Trip")</f>
        <v>0</v>
      </c>
      <c r="EC48" s="75">
        <f>-SUMIFS(Losses!$J:$J,Losses!$K:$K,'Cash flow'!EC$3,Losses!$H:$H,"Trip")</f>
        <v>0</v>
      </c>
      <c r="ED48" s="75">
        <f>-SUMIFS(Losses!$J:$J,Losses!$K:$K,'Cash flow'!ED$3,Losses!$H:$H,"Trip")</f>
        <v>0</v>
      </c>
      <c r="EE48" s="75">
        <f>-SUMIFS(Losses!$J:$J,Losses!$K:$K,'Cash flow'!EE$3,Losses!$H:$H,"Trip")</f>
        <v>0</v>
      </c>
      <c r="EF48" s="75">
        <f>-SUMIFS(Losses!$J:$J,Losses!$K:$K,'Cash flow'!EF$3,Losses!$H:$H,"Trip")</f>
        <v>0</v>
      </c>
      <c r="EG48" s="75">
        <f>-SUMIFS(Losses!$J:$J,Losses!$K:$K,'Cash flow'!EG$3,Losses!$H:$H,"Trip")</f>
        <v>0</v>
      </c>
      <c r="EH48" s="75">
        <f>-SUMIFS(Losses!$J:$J,Losses!$K:$K,'Cash flow'!EH$3,Losses!$H:$H,"Trip")</f>
        <v>0</v>
      </c>
      <c r="EI48" s="75">
        <f>-SUMIFS(Losses!$J:$J,Losses!$K:$K,'Cash flow'!EI$3,Losses!$H:$H,"Trip")</f>
        <v>0</v>
      </c>
      <c r="EJ48" s="75">
        <f>-SUMIFS(Losses!$J:$J,Losses!$K:$K,'Cash flow'!EJ$3,Losses!$H:$H,"Trip")</f>
        <v>0</v>
      </c>
      <c r="EK48" s="75">
        <f>-SUMIFS(Losses!$J:$J,Losses!$K:$K,'Cash flow'!EK$3,Losses!$H:$H,"Trip")</f>
        <v>0</v>
      </c>
      <c r="EL48" s="75">
        <f>-SUMIFS(Losses!$J:$J,Losses!$K:$K,'Cash flow'!EL$3,Losses!$H:$H,"Trip")</f>
        <v>0</v>
      </c>
      <c r="EM48" s="75">
        <f>-SUMIFS(Losses!$J:$J,Losses!$K:$K,'Cash flow'!EM$3,Losses!$H:$H,"Trip")</f>
        <v>0</v>
      </c>
      <c r="EN48" s="75">
        <f>-SUMIFS(Losses!$J:$J,Losses!$K:$K,'Cash flow'!EN$3,Losses!$H:$H,"Trip")</f>
        <v>0</v>
      </c>
      <c r="EO48" s="75">
        <f>-SUMIFS(Losses!$J:$J,Losses!$K:$K,'Cash flow'!EO$3,Losses!$H:$H,"Trip")</f>
        <v>0</v>
      </c>
      <c r="EP48" s="75">
        <f>-SUMIFS(Losses!$J:$J,Losses!$K:$K,'Cash flow'!EP$3,Losses!$H:$H,"Trip")</f>
        <v>0</v>
      </c>
      <c r="EQ48" s="75">
        <f>-SUMIFS(Losses!$J:$J,Losses!$K:$K,'Cash flow'!EQ$3,Losses!$H:$H,"Trip")</f>
        <v>0</v>
      </c>
      <c r="ER48" s="75">
        <f>-SUMIFS(Losses!$J:$J,Losses!$K:$K,'Cash flow'!ER$3,Losses!$H:$H,"Trip")</f>
        <v>0</v>
      </c>
      <c r="ES48" s="75">
        <f>-SUMIFS(Losses!$J:$J,Losses!$K:$K,'Cash flow'!ES$3,Losses!$H:$H,"Trip")</f>
        <v>0</v>
      </c>
      <c r="ET48" s="75">
        <f>-SUMIFS(Losses!$J:$J,Losses!$K:$K,'Cash flow'!ET$3,Losses!$H:$H,"Trip")</f>
        <v>0</v>
      </c>
      <c r="EU48" s="75">
        <f>-SUMIFS(Losses!$J:$J,Losses!$K:$K,'Cash flow'!EU$3,Losses!$H:$H,"Trip")</f>
        <v>0</v>
      </c>
      <c r="EV48" s="75">
        <f>-SUMIFS(Losses!$J:$J,Losses!$K:$K,'Cash flow'!EV$3,Losses!$H:$H,"Trip")</f>
        <v>0</v>
      </c>
      <c r="EW48" s="75">
        <f>-SUMIFS(Losses!$J:$J,Losses!$K:$K,'Cash flow'!EW$3,Losses!$H:$H,"Trip")</f>
        <v>0</v>
      </c>
      <c r="EX48" s="75">
        <f>-SUMIFS(Losses!$J:$J,Losses!$K:$K,'Cash flow'!EX$3,Losses!$H:$H,"Trip")</f>
        <v>0</v>
      </c>
      <c r="EY48" s="75">
        <f>-SUMIFS(Losses!$J:$J,Losses!$K:$K,'Cash flow'!EY$3,Losses!$H:$H,"Trip")</f>
        <v>0</v>
      </c>
      <c r="EZ48" s="75">
        <f>-SUMIFS(Losses!$J:$J,Losses!$K:$K,'Cash flow'!EZ$3,Losses!$H:$H,"Trip")</f>
        <v>0</v>
      </c>
      <c r="FA48" s="75">
        <f>-SUMIFS(Losses!$J:$J,Losses!$K:$K,'Cash flow'!FA$3,Losses!$H:$H,"Trip")</f>
        <v>0</v>
      </c>
      <c r="FB48" s="75">
        <f>-SUMIFS(Losses!$J:$J,Losses!$K:$K,'Cash flow'!FB$3,Losses!$H:$H,"Trip")</f>
        <v>0</v>
      </c>
      <c r="FC48" s="75">
        <f>-SUMIFS(Losses!$J:$J,Losses!$K:$K,'Cash flow'!FC$3,Losses!$H:$H,"Trip")</f>
        <v>0</v>
      </c>
      <c r="FD48" s="75">
        <f>-SUMIFS(Losses!$J:$J,Losses!$K:$K,'Cash flow'!FD$3,Losses!$H:$H,"Trip")</f>
        <v>0</v>
      </c>
      <c r="FE48" s="75">
        <f>-SUMIFS(Losses!$J:$J,Losses!$K:$K,'Cash flow'!FE$3,Losses!$H:$H,"Trip")</f>
        <v>0</v>
      </c>
      <c r="FF48" s="75">
        <f>-SUMIFS(Losses!$J:$J,Losses!$K:$K,'Cash flow'!FF$3,Losses!$H:$H,"Trip")</f>
        <v>0</v>
      </c>
      <c r="FG48" s="75">
        <f>-SUMIFS(Losses!$J:$J,Losses!$K:$K,'Cash flow'!FG$3,Losses!$H:$H,"Trip")</f>
        <v>0</v>
      </c>
      <c r="FH48" s="75">
        <f>-SUMIFS(Losses!$J:$J,Losses!$K:$K,'Cash flow'!FH$3,Losses!$H:$H,"Trip")</f>
        <v>0</v>
      </c>
      <c r="FI48" s="75">
        <f>-SUMIFS(Losses!$J:$J,Losses!$K:$K,'Cash flow'!FI$3,Losses!$H:$H,"Trip")</f>
        <v>0</v>
      </c>
      <c r="FJ48" s="75">
        <f>-SUMIFS(Losses!$J:$J,Losses!$K:$K,'Cash flow'!FJ$3,Losses!$H:$H,"Trip")</f>
        <v>0</v>
      </c>
      <c r="FK48" s="75">
        <f>-SUMIFS(Losses!$J:$J,Losses!$K:$K,'Cash flow'!FK$3,Losses!$H:$H,"Trip")</f>
        <v>0</v>
      </c>
      <c r="FL48" s="75">
        <f>-SUMIFS(Losses!$J:$J,Losses!$K:$K,'Cash flow'!FL$3,Losses!$H:$H,"Trip")</f>
        <v>0</v>
      </c>
      <c r="FM48" s="75">
        <f>-SUMIFS(Losses!$J:$J,Losses!$K:$K,'Cash flow'!FM$3,Losses!$H:$H,"Trip")</f>
        <v>0</v>
      </c>
      <c r="FN48" s="75">
        <f>-SUMIFS(Losses!$J:$J,Losses!$K:$K,'Cash flow'!FN$3,Losses!$H:$H,"Trip")</f>
        <v>0</v>
      </c>
      <c r="FO48" s="75">
        <f>-SUMIFS(Losses!$J:$J,Losses!$K:$K,'Cash flow'!FO$3,Losses!$H:$H,"Trip")</f>
        <v>0</v>
      </c>
      <c r="FP48" s="75">
        <f>-SUMIFS(Losses!$J:$J,Losses!$K:$K,'Cash flow'!FP$3,Losses!$H:$H,"Trip")</f>
        <v>0</v>
      </c>
      <c r="FQ48" s="75">
        <f>-SUMIFS(Losses!$J:$J,Losses!$K:$K,'Cash flow'!FQ$3,Losses!$H:$H,"Trip")</f>
        <v>0</v>
      </c>
      <c r="FR48" s="75">
        <f>-SUMIFS(Losses!$J:$J,Losses!$K:$K,'Cash flow'!FR$3,Losses!$H:$H,"Trip")</f>
        <v>0</v>
      </c>
      <c r="FS48" s="75">
        <f>-SUMIFS(Losses!$J:$J,Losses!$K:$K,'Cash flow'!FS$3,Losses!$H:$H,"Trip")</f>
        <v>0</v>
      </c>
      <c r="FT48" s="75">
        <f>-SUMIFS(Losses!$J:$J,Losses!$K:$K,'Cash flow'!FT$3,Losses!$H:$H,"Trip")</f>
        <v>0</v>
      </c>
      <c r="FU48" s="75">
        <f>-SUMIFS(Losses!$J:$J,Losses!$K:$K,'Cash flow'!FU$3,Losses!$H:$H,"Trip")</f>
        <v>0</v>
      </c>
      <c r="FV48" s="75">
        <f>-SUMIFS(Losses!$J:$J,Losses!$K:$K,'Cash flow'!FV$3,Losses!$H:$H,"Trip")</f>
        <v>0</v>
      </c>
      <c r="FW48" s="75">
        <f>-SUMIFS(Losses!$J:$J,Losses!$K:$K,'Cash flow'!FW$3,Losses!$H:$H,"Trip")</f>
        <v>0</v>
      </c>
      <c r="FX48" s="75">
        <f>-SUMIFS(Losses!$J:$J,Losses!$K:$K,'Cash flow'!FX$3,Losses!$H:$H,"Trip")</f>
        <v>0</v>
      </c>
      <c r="FY48" s="75">
        <f>-SUMIFS(Losses!$J:$J,Losses!$K:$K,'Cash flow'!FY$3,Losses!$H:$H,"Trip")</f>
        <v>0</v>
      </c>
      <c r="FZ48" s="75">
        <f>-SUMIFS(Losses!$J:$J,Losses!$K:$K,'Cash flow'!FZ$3,Losses!$H:$H,"Trip")</f>
        <v>0</v>
      </c>
      <c r="GA48" s="75">
        <f>-SUMIFS(Losses!$J:$J,Losses!$K:$K,'Cash flow'!GA$3,Losses!$H:$H,"Trip")</f>
        <v>0</v>
      </c>
      <c r="GB48" s="75">
        <f>-SUMIFS(Losses!$J:$J,Losses!$K:$K,'Cash flow'!GB$3,Losses!$H:$H,"Trip")</f>
        <v>0</v>
      </c>
      <c r="GC48" s="75">
        <f>-SUMIFS(Losses!$J:$J,Losses!$K:$K,'Cash flow'!GC$3,Losses!$H:$H,"Trip")</f>
        <v>0</v>
      </c>
      <c r="GD48" s="75">
        <f>-SUMIFS(Losses!$J:$J,Losses!$K:$K,'Cash flow'!GD$3,Losses!$H:$H,"Trip")</f>
        <v>0</v>
      </c>
      <c r="GE48" s="75">
        <f>-SUMIFS(Losses!$J:$J,Losses!$K:$K,'Cash flow'!GE$3,Losses!$H:$H,"Trip")</f>
        <v>0</v>
      </c>
      <c r="GF48" s="75">
        <f>-SUMIFS(Losses!$J:$J,Losses!$K:$K,'Cash flow'!GF$3,Losses!$H:$H,"Trip")</f>
        <v>0</v>
      </c>
      <c r="GG48" s="75">
        <f>-SUMIFS(Losses!$J:$J,Losses!$K:$K,'Cash flow'!GG$3,Losses!$H:$H,"Trip")</f>
        <v>0</v>
      </c>
      <c r="GH48" s="75">
        <f>-SUMIFS(Losses!$J:$J,Losses!$K:$K,'Cash flow'!GH$3,Losses!$H:$H,"Trip")</f>
        <v>0</v>
      </c>
      <c r="GI48" s="75">
        <f>-SUMIFS(Losses!$J:$J,Losses!$K:$K,'Cash flow'!GI$3,Losses!$H:$H,"Trip")</f>
        <v>0</v>
      </c>
      <c r="GJ48" s="75">
        <f>-SUMIFS(Losses!$J:$J,Losses!$K:$K,'Cash flow'!GJ$3,Losses!$H:$H,"Trip")</f>
        <v>0</v>
      </c>
      <c r="GK48" s="75">
        <f>-SUMIFS(Losses!$J:$J,Losses!$K:$K,'Cash flow'!GK$3,Losses!$H:$H,"Trip")</f>
        <v>0</v>
      </c>
      <c r="GL48" s="75">
        <f>-SUMIFS(Losses!$J:$J,Losses!$K:$K,'Cash flow'!GL$3,Losses!$H:$H,"Trip")</f>
        <v>0</v>
      </c>
      <c r="GM48" s="75">
        <f>-SUMIFS(Losses!$J:$J,Losses!$K:$K,'Cash flow'!GM$3,Losses!$H:$H,"Trip")</f>
        <v>0</v>
      </c>
      <c r="GN48" s="75">
        <f>-SUMIFS(Losses!$J:$J,Losses!$K:$K,'Cash flow'!GN$3,Losses!$H:$H,"Trip")</f>
        <v>0</v>
      </c>
      <c r="GO48" s="75">
        <f>-SUMIFS(Losses!$J:$J,Losses!$K:$K,'Cash flow'!GO$3,Losses!$H:$H,"Trip")</f>
        <v>0</v>
      </c>
      <c r="GP48" s="75">
        <f>-SUMIFS(Losses!$J:$J,Losses!$K:$K,'Cash flow'!GP$3,Losses!$H:$H,"Trip")</f>
        <v>0</v>
      </c>
      <c r="GQ48" s="75">
        <f>-SUMIFS(Losses!$J:$J,Losses!$K:$K,'Cash flow'!GQ$3,Losses!$H:$H,"Trip")</f>
        <v>0</v>
      </c>
      <c r="GR48" s="75">
        <f>-SUMIFS(Losses!$J:$J,Losses!$K:$K,'Cash flow'!GR$3,Losses!$H:$H,"Trip")</f>
        <v>0</v>
      </c>
      <c r="GS48" s="75">
        <f>-SUMIFS(Losses!$J:$J,Losses!$K:$K,'Cash flow'!GS$3,Losses!$H:$H,"Trip")</f>
        <v>0</v>
      </c>
      <c r="GT48" s="75">
        <f>-SUMIFS(Losses!$J:$J,Losses!$K:$K,'Cash flow'!GT$3,Losses!$H:$H,"Trip")</f>
        <v>0</v>
      </c>
    </row>
    <row r="49" spans="1:202" x14ac:dyDescent="0.25">
      <c r="A49" t="s">
        <v>125</v>
      </c>
      <c r="C49" s="78">
        <f>1-C41-C45</f>
        <v>4.9999999999999989E-2</v>
      </c>
      <c r="D49" s="78">
        <f t="shared" ref="D49:Z49" si="179">1-D41-D45</f>
        <v>0.13436640811939665</v>
      </c>
      <c r="E49" s="78">
        <f t="shared" si="179"/>
        <v>0.13209452447006698</v>
      </c>
      <c r="F49" s="78">
        <f t="shared" si="179"/>
        <v>0.12326465413444992</v>
      </c>
      <c r="G49" s="78">
        <f t="shared" si="179"/>
        <v>0.11098637979716697</v>
      </c>
      <c r="H49" s="78">
        <f t="shared" si="179"/>
        <v>0.11859017732499594</v>
      </c>
      <c r="I49" s="78">
        <f t="shared" si="179"/>
        <v>0.10357765140776659</v>
      </c>
      <c r="J49" s="78">
        <f t="shared" si="179"/>
        <v>0.15066917808135827</v>
      </c>
      <c r="K49" s="78">
        <f t="shared" si="179"/>
        <v>0.10657285534428196</v>
      </c>
      <c r="L49" s="78">
        <f t="shared" si="179"/>
        <v>9.4266091750232039E-2</v>
      </c>
      <c r="M49" s="78">
        <f t="shared" si="179"/>
        <v>9.5671863595032658E-2</v>
      </c>
      <c r="N49" s="78">
        <f t="shared" si="179"/>
        <v>8.9308427937963786E-2</v>
      </c>
      <c r="O49" s="78">
        <f t="shared" si="179"/>
        <v>4.9999999999999989E-2</v>
      </c>
      <c r="P49" s="78">
        <f t="shared" si="179"/>
        <v>7.3349422011120102E-2</v>
      </c>
      <c r="Q49" s="78">
        <f t="shared" si="179"/>
        <v>6.6095529196551178E-2</v>
      </c>
      <c r="R49" s="78">
        <f t="shared" si="179"/>
        <v>7.7590865303551776E-2</v>
      </c>
      <c r="S49" s="78">
        <f t="shared" si="179"/>
        <v>4.9999999999999989E-2</v>
      </c>
      <c r="T49" s="78">
        <f t="shared" si="179"/>
        <v>5.0421126053121434E-2</v>
      </c>
      <c r="U49" s="78">
        <f t="shared" si="179"/>
        <v>5.8067040530728087E-2</v>
      </c>
      <c r="V49" s="78">
        <f t="shared" si="179"/>
        <v>6.7708583697864005E-2</v>
      </c>
      <c r="W49" s="78">
        <f t="shared" si="179"/>
        <v>6.3380763439289445E-2</v>
      </c>
      <c r="X49" s="78">
        <f t="shared" si="179"/>
        <v>7.2326813763640946E-2</v>
      </c>
      <c r="Y49" s="78">
        <f t="shared" si="179"/>
        <v>4.9999999999999989E-2</v>
      </c>
      <c r="Z49" s="78">
        <f t="shared" si="179"/>
        <v>4.9999999999999989E-2</v>
      </c>
      <c r="AA49" s="78">
        <f t="shared" ref="AA49:CL49" si="180">1-AA41-AA45</f>
        <v>4.9999999999999989E-2</v>
      </c>
      <c r="AB49" s="78">
        <f t="shared" si="180"/>
        <v>4.9999999999999989E-2</v>
      </c>
      <c r="AC49" s="78">
        <f t="shared" si="180"/>
        <v>4.9999999999999989E-2</v>
      </c>
      <c r="AD49" s="78">
        <f t="shared" si="180"/>
        <v>4.9999999999999989E-2</v>
      </c>
      <c r="AE49" s="78">
        <f t="shared" si="180"/>
        <v>4.9999999999999989E-2</v>
      </c>
      <c r="AF49" s="78">
        <f t="shared" si="180"/>
        <v>4.9999999999999989E-2</v>
      </c>
      <c r="AG49" s="78">
        <f t="shared" si="180"/>
        <v>4.9999999999999989E-2</v>
      </c>
      <c r="AH49" s="78">
        <f t="shared" si="180"/>
        <v>4.9999999999999989E-2</v>
      </c>
      <c r="AI49" s="78">
        <f t="shared" si="180"/>
        <v>4.9999999999999989E-2</v>
      </c>
      <c r="AJ49" s="78">
        <f t="shared" si="180"/>
        <v>4.9999999999999989E-2</v>
      </c>
      <c r="AK49" s="78">
        <f t="shared" si="180"/>
        <v>4.9999999999999989E-2</v>
      </c>
      <c r="AL49" s="78">
        <f t="shared" si="180"/>
        <v>4.9999999999999989E-2</v>
      </c>
      <c r="AM49" s="78">
        <f t="shared" si="180"/>
        <v>4.9999999999999989E-2</v>
      </c>
      <c r="AN49" s="78">
        <f t="shared" si="180"/>
        <v>4.9999999999999989E-2</v>
      </c>
      <c r="AO49" s="78">
        <f t="shared" si="180"/>
        <v>4.9999999999999989E-2</v>
      </c>
      <c r="AP49" s="78">
        <f t="shared" si="180"/>
        <v>4.9999999999999989E-2</v>
      </c>
      <c r="AQ49" s="78">
        <f t="shared" si="180"/>
        <v>4.9999999999999989E-2</v>
      </c>
      <c r="AR49" s="78">
        <f t="shared" si="180"/>
        <v>4.9999999999999989E-2</v>
      </c>
      <c r="AS49" s="78">
        <f t="shared" si="180"/>
        <v>6.2762449305121426E-2</v>
      </c>
      <c r="AT49" s="78">
        <f t="shared" si="180"/>
        <v>4.9999999999999989E-2</v>
      </c>
      <c r="AU49" s="78">
        <f t="shared" si="180"/>
        <v>4.9999999999999989E-2</v>
      </c>
      <c r="AV49" s="78">
        <f t="shared" si="180"/>
        <v>4.9999999999999989E-2</v>
      </c>
      <c r="AW49" s="78">
        <f t="shared" si="180"/>
        <v>4.9999999999999989E-2</v>
      </c>
      <c r="AX49" s="78">
        <f t="shared" si="180"/>
        <v>0.12012006891840143</v>
      </c>
      <c r="AY49" s="78">
        <f t="shared" si="180"/>
        <v>0.20662421703699541</v>
      </c>
      <c r="AZ49" s="78">
        <f t="shared" si="180"/>
        <v>0.2092737550022914</v>
      </c>
      <c r="BA49" s="78">
        <f t="shared" si="180"/>
        <v>0.19901792229524273</v>
      </c>
      <c r="BB49" s="78">
        <f t="shared" si="180"/>
        <v>0.20686826511931078</v>
      </c>
      <c r="BC49" s="78">
        <f t="shared" si="180"/>
        <v>0.21343769636408005</v>
      </c>
      <c r="BD49" s="78">
        <f t="shared" si="180"/>
        <v>0.19264455863498919</v>
      </c>
      <c r="BE49" s="78">
        <f t="shared" si="180"/>
        <v>0.19264455863498919</v>
      </c>
      <c r="BF49" s="78">
        <f t="shared" si="180"/>
        <v>0.19264455863498919</v>
      </c>
      <c r="BG49" s="78">
        <f t="shared" si="180"/>
        <v>0.20539678766408331</v>
      </c>
      <c r="BH49" s="78">
        <f t="shared" si="180"/>
        <v>0.20858727126015619</v>
      </c>
      <c r="BI49" s="78">
        <f t="shared" si="180"/>
        <v>0.21009134375921912</v>
      </c>
      <c r="BJ49" s="78">
        <f t="shared" si="180"/>
        <v>0.20466444458687327</v>
      </c>
      <c r="BK49" s="78">
        <f t="shared" si="180"/>
        <v>0.20887509937854021</v>
      </c>
      <c r="BL49" s="78">
        <f t="shared" si="180"/>
        <v>0.21164988798248618</v>
      </c>
      <c r="BM49" s="78">
        <f t="shared" si="180"/>
        <v>0.20178274721988287</v>
      </c>
      <c r="BN49" s="78">
        <f t="shared" si="180"/>
        <v>0.20920735565876858</v>
      </c>
      <c r="BO49" s="78">
        <f t="shared" si="180"/>
        <v>0.21547498838607726</v>
      </c>
      <c r="BP49" s="78">
        <f t="shared" si="180"/>
        <v>0.19573943085386358</v>
      </c>
      <c r="BQ49" s="78">
        <f t="shared" si="180"/>
        <v>0.19573943085386358</v>
      </c>
      <c r="BR49" s="78">
        <f t="shared" si="180"/>
        <v>0.19573943085386358</v>
      </c>
      <c r="BS49" s="78">
        <f t="shared" si="180"/>
        <v>0.20853785895534505</v>
      </c>
      <c r="BT49" s="78">
        <f t="shared" si="180"/>
        <v>0.21004372606420663</v>
      </c>
      <c r="BU49" s="78">
        <f t="shared" si="180"/>
        <v>0.21149490145449268</v>
      </c>
      <c r="BV49" s="78">
        <f t="shared" si="180"/>
        <v>0.20812335489656608</v>
      </c>
      <c r="BW49" s="78">
        <f t="shared" si="180"/>
        <v>0.211338997838321</v>
      </c>
      <c r="BX49" s="78">
        <f t="shared" si="180"/>
        <v>0.21274313014032142</v>
      </c>
      <c r="BY49" s="78">
        <f t="shared" si="180"/>
        <v>0.20611840643110046</v>
      </c>
      <c r="BZ49" s="78">
        <f t="shared" si="180"/>
        <v>0.21287539964697599</v>
      </c>
      <c r="CA49" s="78">
        <f t="shared" si="180"/>
        <v>0.21620693222980925</v>
      </c>
      <c r="CB49" s="78">
        <f t="shared" si="180"/>
        <v>0.2012974789414983</v>
      </c>
      <c r="CC49" s="78">
        <f t="shared" si="180"/>
        <v>0.2012974789414983</v>
      </c>
      <c r="CD49" s="78">
        <f t="shared" si="180"/>
        <v>0.2012974789414983</v>
      </c>
      <c r="CE49" s="78">
        <f t="shared" si="180"/>
        <v>0.20853785895534505</v>
      </c>
      <c r="CF49" s="78">
        <f t="shared" si="180"/>
        <v>0.21004372606420663</v>
      </c>
      <c r="CG49" s="78">
        <f t="shared" si="180"/>
        <v>0.21149490145449268</v>
      </c>
      <c r="CH49" s="78">
        <f t="shared" si="180"/>
        <v>0.20812335489656597</v>
      </c>
      <c r="CI49" s="78">
        <f t="shared" si="180"/>
        <v>0.211338997838321</v>
      </c>
      <c r="CJ49" s="78">
        <f t="shared" si="180"/>
        <v>0.21274313014032142</v>
      </c>
      <c r="CK49" s="78">
        <f t="shared" si="180"/>
        <v>0.20611840643110035</v>
      </c>
      <c r="CL49" s="78">
        <f t="shared" si="180"/>
        <v>0.21287539964697588</v>
      </c>
      <c r="CM49" s="78">
        <f t="shared" ref="CM49:EX49" si="181">1-CM41-CM45</f>
        <v>0.21620693222980925</v>
      </c>
      <c r="CN49" s="78">
        <f t="shared" si="181"/>
        <v>0.2012974789414983</v>
      </c>
      <c r="CO49" s="78">
        <f t="shared" si="181"/>
        <v>0.2012974789414983</v>
      </c>
      <c r="CP49" s="78">
        <f t="shared" si="181"/>
        <v>0.2012974789414983</v>
      </c>
      <c r="CQ49" s="78">
        <f t="shared" si="181"/>
        <v>0.20853785895534505</v>
      </c>
      <c r="CR49" s="78">
        <f t="shared" si="181"/>
        <v>0.21004372606420663</v>
      </c>
      <c r="CS49" s="78">
        <f t="shared" si="181"/>
        <v>0.21149490145449268</v>
      </c>
      <c r="CT49" s="78">
        <f t="shared" si="181"/>
        <v>0.20812335489656608</v>
      </c>
      <c r="CU49" s="78">
        <f t="shared" si="181"/>
        <v>0.21139672074192095</v>
      </c>
      <c r="CV49" s="78">
        <f t="shared" si="181"/>
        <v>0.21279875660076231</v>
      </c>
      <c r="CW49" s="78">
        <f t="shared" si="181"/>
        <v>0.20633901389109377</v>
      </c>
      <c r="CX49" s="78">
        <f t="shared" si="181"/>
        <v>0.21306203744020669</v>
      </c>
      <c r="CY49" s="78">
        <f t="shared" si="181"/>
        <v>0.21683942910733489</v>
      </c>
      <c r="CZ49" s="78">
        <f t="shared" si="181"/>
        <v>0.20140993160295007</v>
      </c>
      <c r="DA49" s="78">
        <f t="shared" si="181"/>
        <v>0.20140993160295007</v>
      </c>
      <c r="DB49" s="78">
        <f t="shared" si="181"/>
        <v>0.20140993160295007</v>
      </c>
      <c r="DC49" s="78">
        <f t="shared" si="181"/>
        <v>0.20853785895534505</v>
      </c>
      <c r="DD49" s="78">
        <f t="shared" si="181"/>
        <v>0.21004372606420663</v>
      </c>
      <c r="DE49" s="78">
        <f t="shared" si="181"/>
        <v>0.21149490145449268</v>
      </c>
      <c r="DF49" s="78">
        <f t="shared" si="181"/>
        <v>0.20796113897485946</v>
      </c>
      <c r="DG49" s="78">
        <f t="shared" si="181"/>
        <v>0.21134209080015376</v>
      </c>
      <c r="DH49" s="78">
        <f t="shared" si="181"/>
        <v>0.21274611076860417</v>
      </c>
      <c r="DI49" s="78">
        <f t="shared" si="181"/>
        <v>0.20613022722338936</v>
      </c>
      <c r="DJ49" s="78">
        <f t="shared" si="181"/>
        <v>0.21288540024526537</v>
      </c>
      <c r="DK49" s="78">
        <f t="shared" si="181"/>
        <v>0.21680480339955854</v>
      </c>
      <c r="DL49" s="78">
        <f t="shared" si="181"/>
        <v>0.19856167946658898</v>
      </c>
      <c r="DM49" s="78">
        <f t="shared" si="181"/>
        <v>0.19856167946658898</v>
      </c>
      <c r="DN49" s="78">
        <f t="shared" si="181"/>
        <v>0.19856167946658898</v>
      </c>
      <c r="DO49" s="78">
        <f t="shared" si="181"/>
        <v>0.20853785895534505</v>
      </c>
      <c r="DP49" s="78">
        <f t="shared" si="181"/>
        <v>0.2107483195186427</v>
      </c>
      <c r="DQ49" s="78">
        <f t="shared" si="181"/>
        <v>0.21214876578727304</v>
      </c>
      <c r="DR49" s="78">
        <f t="shared" si="181"/>
        <v>0.20779743879480828</v>
      </c>
      <c r="DS49" s="78">
        <f t="shared" si="181"/>
        <v>0.21190569669552628</v>
      </c>
      <c r="DT49" s="78">
        <f t="shared" si="181"/>
        <v>0.21561403140445623</v>
      </c>
      <c r="DU49" s="78">
        <f t="shared" si="181"/>
        <v>0.20502436327143436</v>
      </c>
      <c r="DV49" s="78">
        <f t="shared" si="181"/>
        <v>0.21194981988178818</v>
      </c>
      <c r="DW49" s="78">
        <f t="shared" si="181"/>
        <v>0.21829151656815693</v>
      </c>
      <c r="DX49" s="78">
        <f t="shared" si="181"/>
        <v>0.19715252761359481</v>
      </c>
      <c r="DY49" s="78">
        <f t="shared" si="181"/>
        <v>0.19715252761359481</v>
      </c>
      <c r="DZ49" s="78">
        <f t="shared" si="181"/>
        <v>0.19715252761359481</v>
      </c>
      <c r="EA49" s="78">
        <f t="shared" si="181"/>
        <v>0.20853785895534505</v>
      </c>
      <c r="EB49" s="78">
        <f t="shared" si="181"/>
        <v>0.21288217197472803</v>
      </c>
      <c r="EC49" s="78">
        <f t="shared" si="181"/>
        <v>0.21548490180609359</v>
      </c>
      <c r="ED49" s="78">
        <f t="shared" si="181"/>
        <v>0.20710444413343065</v>
      </c>
      <c r="EE49" s="78">
        <f t="shared" si="181"/>
        <v>0.21305758072584036</v>
      </c>
      <c r="EF49" s="78">
        <f t="shared" si="181"/>
        <v>0.21648870169292733</v>
      </c>
      <c r="EG49" s="78">
        <f t="shared" si="181"/>
        <v>0.20361800432123667</v>
      </c>
      <c r="EH49" s="78">
        <f t="shared" si="181"/>
        <v>0.21353519101851171</v>
      </c>
      <c r="EI49" s="78">
        <f t="shared" si="181"/>
        <v>0.2191501299226617</v>
      </c>
      <c r="EJ49" s="78">
        <f t="shared" si="181"/>
        <v>0.19350104842130833</v>
      </c>
      <c r="EK49" s="78">
        <f t="shared" si="181"/>
        <v>0.19350104842130833</v>
      </c>
      <c r="EL49" s="78">
        <f t="shared" si="181"/>
        <v>0.19350104842130833</v>
      </c>
      <c r="EM49" s="78">
        <f t="shared" si="181"/>
        <v>0.25</v>
      </c>
      <c r="EN49" s="78">
        <f t="shared" si="181"/>
        <v>0.25</v>
      </c>
      <c r="EO49" s="78">
        <f t="shared" si="181"/>
        <v>0.25</v>
      </c>
      <c r="EP49" s="78">
        <f t="shared" si="181"/>
        <v>0.25</v>
      </c>
      <c r="EQ49" s="78">
        <f t="shared" si="181"/>
        <v>0.25</v>
      </c>
      <c r="ER49" s="78">
        <f t="shared" si="181"/>
        <v>0.25</v>
      </c>
      <c r="ES49" s="78">
        <f t="shared" si="181"/>
        <v>0.25</v>
      </c>
      <c r="ET49" s="78">
        <f t="shared" si="181"/>
        <v>0.25</v>
      </c>
      <c r="EU49" s="78">
        <f t="shared" si="181"/>
        <v>0.25</v>
      </c>
      <c r="EV49" s="78">
        <f t="shared" si="181"/>
        <v>0.25</v>
      </c>
      <c r="EW49" s="78">
        <f t="shared" si="181"/>
        <v>0.25</v>
      </c>
      <c r="EX49" s="78">
        <f t="shared" si="181"/>
        <v>0.25</v>
      </c>
      <c r="EY49" s="78">
        <f t="shared" ref="EY49:GT49" si="182">1-EY41-EY45</f>
        <v>0.25</v>
      </c>
      <c r="EZ49" s="78">
        <f t="shared" si="182"/>
        <v>0.25</v>
      </c>
      <c r="FA49" s="78">
        <f t="shared" si="182"/>
        <v>0.25</v>
      </c>
      <c r="FB49" s="78">
        <f t="shared" si="182"/>
        <v>0.25</v>
      </c>
      <c r="FC49" s="78">
        <f t="shared" si="182"/>
        <v>0.25</v>
      </c>
      <c r="FD49" s="78">
        <f t="shared" si="182"/>
        <v>0.25</v>
      </c>
      <c r="FE49" s="78">
        <f t="shared" si="182"/>
        <v>0.25</v>
      </c>
      <c r="FF49" s="78">
        <f t="shared" si="182"/>
        <v>0.25</v>
      </c>
      <c r="FG49" s="78">
        <f t="shared" si="182"/>
        <v>0.25</v>
      </c>
      <c r="FH49" s="78">
        <f t="shared" si="182"/>
        <v>0.25</v>
      </c>
      <c r="FI49" s="78">
        <f t="shared" si="182"/>
        <v>0.25</v>
      </c>
      <c r="FJ49" s="78">
        <f t="shared" si="182"/>
        <v>0.25</v>
      </c>
      <c r="FK49" s="78">
        <f t="shared" si="182"/>
        <v>0.25</v>
      </c>
      <c r="FL49" s="78">
        <f t="shared" si="182"/>
        <v>0.25</v>
      </c>
      <c r="FM49" s="78">
        <f t="shared" si="182"/>
        <v>0.25</v>
      </c>
      <c r="FN49" s="78">
        <f t="shared" si="182"/>
        <v>0.25</v>
      </c>
      <c r="FO49" s="78">
        <f t="shared" si="182"/>
        <v>0.25</v>
      </c>
      <c r="FP49" s="78">
        <f t="shared" si="182"/>
        <v>0.25</v>
      </c>
      <c r="FQ49" s="78">
        <f t="shared" si="182"/>
        <v>0.25</v>
      </c>
      <c r="FR49" s="78">
        <f t="shared" si="182"/>
        <v>0.25</v>
      </c>
      <c r="FS49" s="78">
        <f t="shared" si="182"/>
        <v>0.25</v>
      </c>
      <c r="FT49" s="78">
        <f t="shared" si="182"/>
        <v>0.25</v>
      </c>
      <c r="FU49" s="78">
        <f t="shared" si="182"/>
        <v>0.25</v>
      </c>
      <c r="FV49" s="78">
        <f t="shared" si="182"/>
        <v>0.25</v>
      </c>
      <c r="FW49" s="78">
        <f t="shared" si="182"/>
        <v>0.25</v>
      </c>
      <c r="FX49" s="78">
        <f t="shared" si="182"/>
        <v>0.25</v>
      </c>
      <c r="FY49" s="78">
        <f t="shared" si="182"/>
        <v>0.25</v>
      </c>
      <c r="FZ49" s="78">
        <f t="shared" si="182"/>
        <v>0.25</v>
      </c>
      <c r="GA49" s="78">
        <f t="shared" si="182"/>
        <v>0.25</v>
      </c>
      <c r="GB49" s="78">
        <f t="shared" si="182"/>
        <v>0.25</v>
      </c>
      <c r="GC49" s="78">
        <f t="shared" si="182"/>
        <v>0.25</v>
      </c>
      <c r="GD49" s="78">
        <f t="shared" si="182"/>
        <v>0.25</v>
      </c>
      <c r="GE49" s="78">
        <f t="shared" si="182"/>
        <v>0.25</v>
      </c>
      <c r="GF49" s="78">
        <f t="shared" si="182"/>
        <v>0.25</v>
      </c>
      <c r="GG49" s="78">
        <f t="shared" si="182"/>
        <v>0.25</v>
      </c>
      <c r="GH49" s="78">
        <f t="shared" si="182"/>
        <v>0.25</v>
      </c>
      <c r="GI49" s="78">
        <f t="shared" si="182"/>
        <v>0.25</v>
      </c>
      <c r="GJ49" s="78">
        <f t="shared" si="182"/>
        <v>0.25</v>
      </c>
      <c r="GK49" s="78">
        <f t="shared" si="182"/>
        <v>0.25</v>
      </c>
      <c r="GL49" s="78">
        <f t="shared" si="182"/>
        <v>0.25</v>
      </c>
      <c r="GM49" s="78">
        <f t="shared" si="182"/>
        <v>0.25</v>
      </c>
      <c r="GN49" s="78">
        <f t="shared" si="182"/>
        <v>0.25</v>
      </c>
      <c r="GO49" s="78">
        <f t="shared" si="182"/>
        <v>0.25</v>
      </c>
      <c r="GP49" s="78">
        <f t="shared" si="182"/>
        <v>0.25</v>
      </c>
      <c r="GQ49" s="78">
        <f t="shared" si="182"/>
        <v>0.25</v>
      </c>
      <c r="GR49" s="78">
        <f t="shared" si="182"/>
        <v>0.25</v>
      </c>
      <c r="GS49" s="78">
        <f t="shared" si="182"/>
        <v>0.25</v>
      </c>
      <c r="GT49" s="78">
        <f t="shared" si="182"/>
        <v>0.25</v>
      </c>
    </row>
    <row r="51" spans="1:202" x14ac:dyDescent="0.25">
      <c r="A51" s="56" t="s">
        <v>202</v>
      </c>
      <c r="C51" s="39">
        <f>SUM(C21:N21)</f>
        <v>-40201.980000000003</v>
      </c>
      <c r="D51" s="39">
        <f t="shared" ref="D51:BO51" si="183">SUM(D21:O21)</f>
        <v>-40201.980000000003</v>
      </c>
      <c r="E51" s="39">
        <f t="shared" si="183"/>
        <v>-40201.980000000003</v>
      </c>
      <c r="F51" s="39">
        <f t="shared" si="183"/>
        <v>-40201.980000000003</v>
      </c>
      <c r="G51" s="39">
        <f t="shared" si="183"/>
        <v>-40201.980000000003</v>
      </c>
      <c r="H51" s="39">
        <f t="shared" si="183"/>
        <v>-40201.980000000003</v>
      </c>
      <c r="I51" s="39">
        <f t="shared" si="183"/>
        <v>-40201.980000000003</v>
      </c>
      <c r="J51" s="39">
        <f t="shared" si="183"/>
        <v>-40201.980000000003</v>
      </c>
      <c r="K51" s="39">
        <f t="shared" si="183"/>
        <v>-40201.980000000003</v>
      </c>
      <c r="L51" s="39">
        <f t="shared" si="183"/>
        <v>-40201.980000000003</v>
      </c>
      <c r="M51" s="39">
        <f t="shared" si="183"/>
        <v>-40201.980000000003</v>
      </c>
      <c r="N51" s="39">
        <f t="shared" si="183"/>
        <v>-40201.980000000003</v>
      </c>
      <c r="O51" s="39">
        <f t="shared" si="183"/>
        <v>-40201.980000000003</v>
      </c>
      <c r="P51" s="39">
        <f t="shared" si="183"/>
        <v>-40201.980000000003</v>
      </c>
      <c r="Q51" s="39">
        <f t="shared" si="183"/>
        <v>-40201.980000000003</v>
      </c>
      <c r="R51" s="39">
        <f t="shared" si="183"/>
        <v>-40201.980000000003</v>
      </c>
      <c r="S51" s="39">
        <f t="shared" si="183"/>
        <v>-40201.980000000003</v>
      </c>
      <c r="T51" s="39">
        <f t="shared" si="183"/>
        <v>-40201.980000000003</v>
      </c>
      <c r="U51" s="39">
        <f t="shared" si="183"/>
        <v>-40201.980000000003</v>
      </c>
      <c r="V51" s="39">
        <f t="shared" si="183"/>
        <v>-40201.980000000003</v>
      </c>
      <c r="W51" s="39">
        <f t="shared" si="183"/>
        <v>-40201.980000000003</v>
      </c>
      <c r="X51" s="39">
        <f t="shared" si="183"/>
        <v>-40201.980000000003</v>
      </c>
      <c r="Y51" s="39">
        <f t="shared" si="183"/>
        <v>-40201.980000000003</v>
      </c>
      <c r="Z51" s="39">
        <f t="shared" si="183"/>
        <v>-40201.980000000003</v>
      </c>
      <c r="AA51" s="39">
        <f t="shared" si="183"/>
        <v>-40201.980000000003</v>
      </c>
      <c r="AB51" s="39">
        <f t="shared" si="183"/>
        <v>-40201.980000000003</v>
      </c>
      <c r="AC51" s="39">
        <f t="shared" si="183"/>
        <v>-40201.980000000003</v>
      </c>
      <c r="AD51" s="39">
        <f t="shared" si="183"/>
        <v>-40201.980000000003</v>
      </c>
      <c r="AE51" s="39">
        <f t="shared" si="183"/>
        <v>-40201.980000000003</v>
      </c>
      <c r="AF51" s="39">
        <f t="shared" si="183"/>
        <v>-40201.980000000003</v>
      </c>
      <c r="AG51" s="39">
        <f t="shared" si="183"/>
        <v>-40201.980000000003</v>
      </c>
      <c r="AH51" s="39">
        <f t="shared" si="183"/>
        <v>-40201.980000000003</v>
      </c>
      <c r="AI51" s="39">
        <f t="shared" si="183"/>
        <v>-40201.980000000003</v>
      </c>
      <c r="AJ51" s="39">
        <f t="shared" si="183"/>
        <v>-40201.980000000003</v>
      </c>
      <c r="AK51" s="39">
        <f t="shared" si="183"/>
        <v>-40201.980000000003</v>
      </c>
      <c r="AL51" s="39">
        <f t="shared" si="183"/>
        <v>-40201.980000000003</v>
      </c>
      <c r="AM51" s="39">
        <f t="shared" si="183"/>
        <v>-40201.980000000003</v>
      </c>
      <c r="AN51" s="39">
        <f t="shared" si="183"/>
        <v>-40201.980000000003</v>
      </c>
      <c r="AO51" s="39">
        <f t="shared" si="183"/>
        <v>-40201.980000000003</v>
      </c>
      <c r="AP51" s="39">
        <f t="shared" si="183"/>
        <v>-40201.980000000003</v>
      </c>
      <c r="AQ51" s="39">
        <f t="shared" si="183"/>
        <v>-40201.980000000003</v>
      </c>
      <c r="AR51" s="39">
        <f t="shared" si="183"/>
        <v>-40201.980000000003</v>
      </c>
      <c r="AS51" s="39">
        <f t="shared" si="183"/>
        <v>-40201.980000000003</v>
      </c>
      <c r="AT51" s="39">
        <f t="shared" si="183"/>
        <v>-40201.980000000003</v>
      </c>
      <c r="AU51" s="39">
        <f t="shared" si="183"/>
        <v>-40201.980000000003</v>
      </c>
      <c r="AV51" s="39">
        <f t="shared" si="183"/>
        <v>-40201.980000000003</v>
      </c>
      <c r="AW51" s="39">
        <f t="shared" si="183"/>
        <v>-40201.980000000003</v>
      </c>
      <c r="AX51" s="39">
        <f t="shared" si="183"/>
        <v>-40201.980000000003</v>
      </c>
      <c r="AY51" s="39">
        <f t="shared" si="183"/>
        <v>-40201.980000000003</v>
      </c>
      <c r="AZ51" s="39">
        <f t="shared" si="183"/>
        <v>-40201.980000000003</v>
      </c>
      <c r="BA51" s="39">
        <f t="shared" si="183"/>
        <v>-40201.980000000003</v>
      </c>
      <c r="BB51" s="39">
        <f t="shared" si="183"/>
        <v>-40201.980000000003</v>
      </c>
      <c r="BC51" s="39">
        <f t="shared" si="183"/>
        <v>-40201.980000000003</v>
      </c>
      <c r="BD51" s="39">
        <f t="shared" si="183"/>
        <v>-40201.980000000003</v>
      </c>
      <c r="BE51" s="39">
        <f t="shared" si="183"/>
        <v>-40201.980000000003</v>
      </c>
      <c r="BF51" s="39">
        <f t="shared" si="183"/>
        <v>-40201.980000000003</v>
      </c>
      <c r="BG51" s="39">
        <f t="shared" si="183"/>
        <v>-40201.980000000003</v>
      </c>
      <c r="BH51" s="39">
        <f t="shared" si="183"/>
        <v>-40201.980000000003</v>
      </c>
      <c r="BI51" s="39">
        <f t="shared" si="183"/>
        <v>-40201.980000000003</v>
      </c>
      <c r="BJ51" s="39">
        <f t="shared" si="183"/>
        <v>-40201.980000000003</v>
      </c>
      <c r="BK51" s="39">
        <f t="shared" si="183"/>
        <v>-40201.980000000003</v>
      </c>
      <c r="BL51" s="39">
        <f t="shared" si="183"/>
        <v>-40201.980000000003</v>
      </c>
      <c r="BM51" s="39">
        <f t="shared" si="183"/>
        <v>-40201.980000000003</v>
      </c>
      <c r="BN51" s="39">
        <f t="shared" si="183"/>
        <v>-40201.980000000003</v>
      </c>
      <c r="BO51" s="39">
        <f t="shared" si="183"/>
        <v>-40201.980000000003</v>
      </c>
      <c r="BP51" s="39">
        <f t="shared" ref="BP51:EA51" si="184">SUM(BP21:CA21)</f>
        <v>-40201.980000000003</v>
      </c>
      <c r="BQ51" s="39">
        <f t="shared" si="184"/>
        <v>-40201.980000000003</v>
      </c>
      <c r="BR51" s="39">
        <f t="shared" si="184"/>
        <v>-40201.980000000003</v>
      </c>
      <c r="BS51" s="39">
        <f t="shared" si="184"/>
        <v>-40201.980000000003</v>
      </c>
      <c r="BT51" s="39">
        <f t="shared" si="184"/>
        <v>-40201.980000000003</v>
      </c>
      <c r="BU51" s="39">
        <f t="shared" si="184"/>
        <v>-40201.980000000003</v>
      </c>
      <c r="BV51" s="39">
        <f t="shared" si="184"/>
        <v>-40201.980000000003</v>
      </c>
      <c r="BW51" s="39">
        <f t="shared" si="184"/>
        <v>-40201.980000000003</v>
      </c>
      <c r="BX51" s="39">
        <f t="shared" si="184"/>
        <v>-40201.980000000003</v>
      </c>
      <c r="BY51" s="39">
        <f t="shared" si="184"/>
        <v>-40201.980000000003</v>
      </c>
      <c r="BZ51" s="39">
        <f t="shared" si="184"/>
        <v>-40201.980000000003</v>
      </c>
      <c r="CA51" s="39">
        <f t="shared" si="184"/>
        <v>-40201.980000000003</v>
      </c>
      <c r="CB51" s="39">
        <f t="shared" si="184"/>
        <v>-40201.980000000003</v>
      </c>
      <c r="CC51" s="39">
        <f t="shared" si="184"/>
        <v>-40201.980000000003</v>
      </c>
      <c r="CD51" s="39">
        <f t="shared" si="184"/>
        <v>-40201.980000000003</v>
      </c>
      <c r="CE51" s="39">
        <f t="shared" si="184"/>
        <v>-40201.980000000003</v>
      </c>
      <c r="CF51" s="39">
        <f t="shared" si="184"/>
        <v>-40201.980000000003</v>
      </c>
      <c r="CG51" s="39">
        <f t="shared" si="184"/>
        <v>-40201.980000000003</v>
      </c>
      <c r="CH51" s="39">
        <f t="shared" si="184"/>
        <v>-40201.980000000003</v>
      </c>
      <c r="CI51" s="39">
        <f t="shared" si="184"/>
        <v>-40201.980000000003</v>
      </c>
      <c r="CJ51" s="39">
        <f t="shared" si="184"/>
        <v>-40201.980000000003</v>
      </c>
      <c r="CK51" s="39">
        <f t="shared" si="184"/>
        <v>-40201.980000000003</v>
      </c>
      <c r="CL51" s="39">
        <f t="shared" si="184"/>
        <v>-40201.980000000003</v>
      </c>
      <c r="CM51" s="39">
        <f t="shared" si="184"/>
        <v>-40201.980000000003</v>
      </c>
      <c r="CN51" s="39">
        <f t="shared" si="184"/>
        <v>-40201.980000000003</v>
      </c>
      <c r="CO51" s="39">
        <f t="shared" si="184"/>
        <v>-40201.980000000003</v>
      </c>
      <c r="CP51" s="39">
        <f t="shared" si="184"/>
        <v>-40201.980000000003</v>
      </c>
      <c r="CQ51" s="39">
        <f t="shared" si="184"/>
        <v>-40201.980000000003</v>
      </c>
      <c r="CR51" s="39">
        <f t="shared" si="184"/>
        <v>-40201.980000000003</v>
      </c>
      <c r="CS51" s="39">
        <f t="shared" si="184"/>
        <v>-40201.980000000003</v>
      </c>
      <c r="CT51" s="39">
        <f t="shared" si="184"/>
        <v>-40201.980000000003</v>
      </c>
      <c r="CU51" s="39">
        <f t="shared" si="184"/>
        <v>-40201.980000000003</v>
      </c>
      <c r="CV51" s="39">
        <f t="shared" si="184"/>
        <v>-40201.980000000003</v>
      </c>
      <c r="CW51" s="39">
        <f t="shared" si="184"/>
        <v>-40201.980000000003</v>
      </c>
      <c r="CX51" s="39">
        <f t="shared" si="184"/>
        <v>-40201.980000000003</v>
      </c>
      <c r="CY51" s="39">
        <f t="shared" si="184"/>
        <v>-40201.980000000003</v>
      </c>
      <c r="CZ51" s="39">
        <f t="shared" si="184"/>
        <v>-40201.980000000003</v>
      </c>
      <c r="DA51" s="39">
        <f t="shared" si="184"/>
        <v>-40201.980000000003</v>
      </c>
      <c r="DB51" s="39">
        <f t="shared" si="184"/>
        <v>-40201.980000000003</v>
      </c>
      <c r="DC51" s="39">
        <f t="shared" si="184"/>
        <v>-40201.980000000003</v>
      </c>
      <c r="DD51" s="39">
        <f t="shared" si="184"/>
        <v>-40201.980000000003</v>
      </c>
      <c r="DE51" s="39">
        <f t="shared" si="184"/>
        <v>-40201.980000000003</v>
      </c>
      <c r="DF51" s="39">
        <f t="shared" si="184"/>
        <v>-40201.980000000003</v>
      </c>
      <c r="DG51" s="39">
        <f t="shared" si="184"/>
        <v>-40201.980000000003</v>
      </c>
      <c r="DH51" s="39">
        <f t="shared" si="184"/>
        <v>-40201.980000000003</v>
      </c>
      <c r="DI51" s="39">
        <f t="shared" si="184"/>
        <v>-40201.980000000003</v>
      </c>
      <c r="DJ51" s="39">
        <f t="shared" si="184"/>
        <v>-40201.980000000003</v>
      </c>
      <c r="DK51" s="39">
        <f t="shared" si="184"/>
        <v>-40201.980000000003</v>
      </c>
      <c r="DL51" s="39">
        <f t="shared" si="184"/>
        <v>-40201.980000000003</v>
      </c>
      <c r="DM51" s="39">
        <f t="shared" si="184"/>
        <v>-40201.980000000003</v>
      </c>
      <c r="DN51" s="39">
        <f t="shared" si="184"/>
        <v>-40201.980000000003</v>
      </c>
      <c r="DO51" s="39">
        <f t="shared" si="184"/>
        <v>-40201.980000000003</v>
      </c>
      <c r="DP51" s="39">
        <f t="shared" si="184"/>
        <v>-40201.980000000003</v>
      </c>
      <c r="DQ51" s="39">
        <f t="shared" si="184"/>
        <v>-40201.980000000003</v>
      </c>
      <c r="DR51" s="39">
        <f t="shared" si="184"/>
        <v>-40201.980000000003</v>
      </c>
      <c r="DS51" s="39">
        <f t="shared" si="184"/>
        <v>-40201.980000000003</v>
      </c>
      <c r="DT51" s="39">
        <f t="shared" si="184"/>
        <v>-40201.980000000003</v>
      </c>
      <c r="DU51" s="39">
        <f t="shared" si="184"/>
        <v>-40201.980000000003</v>
      </c>
      <c r="DV51" s="39">
        <f t="shared" si="184"/>
        <v>-40201.980000000003</v>
      </c>
      <c r="DW51" s="39">
        <f t="shared" si="184"/>
        <v>-40201.980000000003</v>
      </c>
      <c r="DX51" s="39">
        <f t="shared" si="184"/>
        <v>-40201.980000000003</v>
      </c>
      <c r="DY51" s="39">
        <f t="shared" si="184"/>
        <v>-40201.980000000003</v>
      </c>
      <c r="DZ51" s="39">
        <f t="shared" si="184"/>
        <v>-40201.980000000003</v>
      </c>
      <c r="EA51" s="39">
        <f t="shared" si="184"/>
        <v>-40201.980000000003</v>
      </c>
      <c r="EB51" s="39">
        <f t="shared" ref="EB51:GM51" si="185">SUM(EB21:EM21)</f>
        <v>-40201.980000000003</v>
      </c>
      <c r="EC51" s="39">
        <f t="shared" si="185"/>
        <v>-40201.980000000003</v>
      </c>
      <c r="ED51" s="39">
        <f t="shared" si="185"/>
        <v>-40201.980000000003</v>
      </c>
      <c r="EE51" s="39">
        <f t="shared" si="185"/>
        <v>-40201.980000000003</v>
      </c>
      <c r="EF51" s="39">
        <f t="shared" si="185"/>
        <v>-40201.980000000003</v>
      </c>
      <c r="EG51" s="39">
        <f t="shared" si="185"/>
        <v>-40201.980000000003</v>
      </c>
      <c r="EH51" s="39">
        <f t="shared" si="185"/>
        <v>-40201.980000000003</v>
      </c>
      <c r="EI51" s="39">
        <f t="shared" si="185"/>
        <v>-40201.980000000003</v>
      </c>
      <c r="EJ51" s="39">
        <f t="shared" si="185"/>
        <v>-40201.980000000003</v>
      </c>
      <c r="EK51" s="39">
        <f t="shared" si="185"/>
        <v>-40201.980000000003</v>
      </c>
      <c r="EL51" s="39">
        <f t="shared" si="185"/>
        <v>-40201.980000000003</v>
      </c>
      <c r="EM51" s="39">
        <f t="shared" si="185"/>
        <v>-40201.980000000003</v>
      </c>
      <c r="EN51" s="39">
        <f t="shared" si="185"/>
        <v>-40201.980000000003</v>
      </c>
      <c r="EO51" s="39">
        <f t="shared" si="185"/>
        <v>-40201.980000000003</v>
      </c>
      <c r="EP51" s="39">
        <f t="shared" si="185"/>
        <v>-40201.980000000003</v>
      </c>
      <c r="EQ51" s="39">
        <f t="shared" si="185"/>
        <v>-40201.980000000003</v>
      </c>
      <c r="ER51" s="39">
        <f t="shared" si="185"/>
        <v>-40201.980000000003</v>
      </c>
      <c r="ES51" s="39">
        <f t="shared" si="185"/>
        <v>-40201.980000000003</v>
      </c>
      <c r="ET51" s="39">
        <f t="shared" si="185"/>
        <v>-40201.980000000003</v>
      </c>
      <c r="EU51" s="39">
        <f t="shared" si="185"/>
        <v>-40201.980000000003</v>
      </c>
      <c r="EV51" s="39">
        <f t="shared" si="185"/>
        <v>-40201.980000000003</v>
      </c>
      <c r="EW51" s="39">
        <f t="shared" si="185"/>
        <v>-40201.980000000003</v>
      </c>
      <c r="EX51" s="39">
        <f t="shared" si="185"/>
        <v>-40201.980000000003</v>
      </c>
      <c r="EY51" s="39">
        <f t="shared" si="185"/>
        <v>-40201.980000000003</v>
      </c>
      <c r="EZ51" s="39">
        <f t="shared" si="185"/>
        <v>-40201.980000000003</v>
      </c>
      <c r="FA51" s="39">
        <f t="shared" si="185"/>
        <v>-40201.980000000003</v>
      </c>
      <c r="FB51" s="39">
        <f t="shared" si="185"/>
        <v>-40201.980000000003</v>
      </c>
      <c r="FC51" s="39">
        <f t="shared" si="185"/>
        <v>-40201.980000000003</v>
      </c>
      <c r="FD51" s="39">
        <f t="shared" si="185"/>
        <v>-40201.980000000003</v>
      </c>
      <c r="FE51" s="39">
        <f t="shared" si="185"/>
        <v>-40201.980000000003</v>
      </c>
      <c r="FF51" s="39">
        <f t="shared" si="185"/>
        <v>-40201.980000000003</v>
      </c>
      <c r="FG51" s="39">
        <f t="shared" si="185"/>
        <v>-40201.980000000003</v>
      </c>
      <c r="FH51" s="39">
        <f t="shared" si="185"/>
        <v>-40201.980000000003</v>
      </c>
      <c r="FI51" s="39">
        <f t="shared" si="185"/>
        <v>-40201.980000000003</v>
      </c>
      <c r="FJ51" s="39">
        <f t="shared" si="185"/>
        <v>-40201.980000000003</v>
      </c>
      <c r="FK51" s="39">
        <f t="shared" si="185"/>
        <v>-40201.980000000003</v>
      </c>
      <c r="FL51" s="39">
        <f t="shared" si="185"/>
        <v>-40201.980000000003</v>
      </c>
      <c r="FM51" s="39">
        <f t="shared" si="185"/>
        <v>-40201.980000000003</v>
      </c>
      <c r="FN51" s="39">
        <f t="shared" si="185"/>
        <v>-40201.980000000003</v>
      </c>
      <c r="FO51" s="39">
        <f t="shared" si="185"/>
        <v>-40201.980000000003</v>
      </c>
      <c r="FP51" s="39">
        <f t="shared" si="185"/>
        <v>-40201.980000000003</v>
      </c>
      <c r="FQ51" s="39">
        <f t="shared" si="185"/>
        <v>-40201.980000000003</v>
      </c>
      <c r="FR51" s="39">
        <f t="shared" si="185"/>
        <v>-40201.980000000003</v>
      </c>
      <c r="FS51" s="39">
        <f t="shared" si="185"/>
        <v>-40201.980000000003</v>
      </c>
      <c r="FT51" s="39">
        <f t="shared" si="185"/>
        <v>-40201.980000000003</v>
      </c>
      <c r="FU51" s="39">
        <f t="shared" si="185"/>
        <v>-40201.980000000003</v>
      </c>
      <c r="FV51" s="39">
        <f t="shared" si="185"/>
        <v>-40201.980000000003</v>
      </c>
      <c r="FW51" s="39">
        <f t="shared" si="185"/>
        <v>-40201.980000000003</v>
      </c>
      <c r="FX51" s="39">
        <f t="shared" si="185"/>
        <v>-40201.980000000003</v>
      </c>
      <c r="FY51" s="39">
        <f t="shared" si="185"/>
        <v>-40201.980000000003</v>
      </c>
      <c r="FZ51" s="39">
        <f t="shared" si="185"/>
        <v>-40201.980000000003</v>
      </c>
      <c r="GA51" s="39">
        <f t="shared" si="185"/>
        <v>-40201.980000000003</v>
      </c>
      <c r="GB51" s="39">
        <f t="shared" si="185"/>
        <v>-40201.980000000003</v>
      </c>
      <c r="GC51" s="39">
        <f t="shared" si="185"/>
        <v>-40201.980000000003</v>
      </c>
      <c r="GD51" s="39">
        <f t="shared" si="185"/>
        <v>-40201.980000000003</v>
      </c>
      <c r="GE51" s="39">
        <f t="shared" si="185"/>
        <v>-40201.980000000003</v>
      </c>
      <c r="GF51" s="39">
        <f t="shared" si="185"/>
        <v>-40201.980000000003</v>
      </c>
      <c r="GG51" s="39">
        <f t="shared" si="185"/>
        <v>-40201.980000000003</v>
      </c>
      <c r="GH51" s="39">
        <f t="shared" si="185"/>
        <v>-40201.980000000003</v>
      </c>
      <c r="GI51" s="39">
        <f t="shared" si="185"/>
        <v>-40201.980000000003</v>
      </c>
      <c r="GJ51" s="39">
        <f t="shared" si="185"/>
        <v>-36851.815000000002</v>
      </c>
      <c r="GK51" s="39">
        <f t="shared" si="185"/>
        <v>-33501.65</v>
      </c>
      <c r="GL51" s="39">
        <f t="shared" si="185"/>
        <v>-30151.485000000004</v>
      </c>
      <c r="GM51" s="39">
        <f t="shared" si="185"/>
        <v>-26801.320000000003</v>
      </c>
      <c r="GN51" s="39">
        <f t="shared" ref="GN51:GT51" si="186">SUM(GN21:GY21)</f>
        <v>-23451.155000000002</v>
      </c>
      <c r="GO51" s="39">
        <f t="shared" si="186"/>
        <v>-20100.990000000002</v>
      </c>
      <c r="GP51" s="39">
        <f t="shared" si="186"/>
        <v>-16750.825000000001</v>
      </c>
      <c r="GQ51" s="39">
        <f t="shared" si="186"/>
        <v>-13400.66</v>
      </c>
      <c r="GR51" s="39">
        <f t="shared" si="186"/>
        <v>-10050.494999999999</v>
      </c>
      <c r="GS51" s="39">
        <f t="shared" si="186"/>
        <v>-6700.33</v>
      </c>
      <c r="GT51" s="39">
        <f t="shared" si="186"/>
        <v>-3350.165</v>
      </c>
    </row>
    <row r="52" spans="1:202" x14ac:dyDescent="0.25">
      <c r="C52" s="39"/>
      <c r="V52" s="39"/>
    </row>
    <row r="53" spans="1:202" x14ac:dyDescent="0.25">
      <c r="A53" t="s">
        <v>387</v>
      </c>
      <c r="C53" s="39">
        <f>YEAR(C3)</f>
        <v>2019</v>
      </c>
      <c r="D53" s="39">
        <f t="shared" ref="D53:BO53" si="187">YEAR(D3)</f>
        <v>2019</v>
      </c>
      <c r="E53" s="39">
        <f t="shared" si="187"/>
        <v>2019</v>
      </c>
      <c r="F53" s="39">
        <f t="shared" si="187"/>
        <v>2019</v>
      </c>
      <c r="G53" s="39">
        <f t="shared" si="187"/>
        <v>2019</v>
      </c>
      <c r="H53" s="39">
        <f t="shared" si="187"/>
        <v>2019</v>
      </c>
      <c r="I53" s="39">
        <f t="shared" si="187"/>
        <v>2019</v>
      </c>
      <c r="J53" s="39">
        <f t="shared" si="187"/>
        <v>2019</v>
      </c>
      <c r="K53" s="39">
        <f t="shared" si="187"/>
        <v>2020</v>
      </c>
      <c r="L53" s="39">
        <f t="shared" si="187"/>
        <v>2020</v>
      </c>
      <c r="M53" s="39">
        <f t="shared" si="187"/>
        <v>2020</v>
      </c>
      <c r="N53" s="39">
        <f t="shared" si="187"/>
        <v>2020</v>
      </c>
      <c r="O53" s="39">
        <f t="shared" si="187"/>
        <v>2020</v>
      </c>
      <c r="P53" s="39">
        <f t="shared" si="187"/>
        <v>2020</v>
      </c>
      <c r="Q53" s="39">
        <f t="shared" si="187"/>
        <v>2020</v>
      </c>
      <c r="R53" s="39">
        <f t="shared" si="187"/>
        <v>2020</v>
      </c>
      <c r="S53" s="39">
        <f t="shared" si="187"/>
        <v>2020</v>
      </c>
      <c r="T53" s="39">
        <f t="shared" si="187"/>
        <v>2020</v>
      </c>
      <c r="U53" s="39">
        <f t="shared" si="187"/>
        <v>2020</v>
      </c>
      <c r="V53" s="39">
        <f t="shared" si="187"/>
        <v>2020</v>
      </c>
      <c r="W53" s="39">
        <f t="shared" si="187"/>
        <v>2021</v>
      </c>
      <c r="X53" s="39">
        <f t="shared" si="187"/>
        <v>2021</v>
      </c>
      <c r="Y53" s="39">
        <f t="shared" si="187"/>
        <v>2021</v>
      </c>
      <c r="Z53" s="39">
        <f t="shared" si="187"/>
        <v>2021</v>
      </c>
      <c r="AA53" s="39">
        <f t="shared" si="187"/>
        <v>2021</v>
      </c>
      <c r="AB53" s="39">
        <f t="shared" si="187"/>
        <v>2021</v>
      </c>
      <c r="AC53" s="39">
        <f t="shared" si="187"/>
        <v>2021</v>
      </c>
      <c r="AD53" s="39">
        <f t="shared" si="187"/>
        <v>2021</v>
      </c>
      <c r="AE53" s="39">
        <f t="shared" si="187"/>
        <v>2021</v>
      </c>
      <c r="AF53" s="39">
        <f t="shared" si="187"/>
        <v>2021</v>
      </c>
      <c r="AG53" s="39">
        <f t="shared" si="187"/>
        <v>2021</v>
      </c>
      <c r="AH53" s="39">
        <f t="shared" si="187"/>
        <v>2021</v>
      </c>
      <c r="AI53" s="39">
        <f t="shared" si="187"/>
        <v>2022</v>
      </c>
      <c r="AJ53" s="39">
        <f t="shared" si="187"/>
        <v>2022</v>
      </c>
      <c r="AK53" s="39">
        <f t="shared" si="187"/>
        <v>2022</v>
      </c>
      <c r="AL53" s="39">
        <f t="shared" si="187"/>
        <v>2022</v>
      </c>
      <c r="AM53" s="39">
        <f t="shared" si="187"/>
        <v>2022</v>
      </c>
      <c r="AN53" s="39">
        <f t="shared" si="187"/>
        <v>2022</v>
      </c>
      <c r="AO53" s="39">
        <f t="shared" si="187"/>
        <v>2022</v>
      </c>
      <c r="AP53" s="39">
        <f t="shared" si="187"/>
        <v>2022</v>
      </c>
      <c r="AQ53" s="39">
        <f t="shared" si="187"/>
        <v>2022</v>
      </c>
      <c r="AR53" s="39">
        <f t="shared" si="187"/>
        <v>2022</v>
      </c>
      <c r="AS53" s="39">
        <f t="shared" si="187"/>
        <v>2022</v>
      </c>
      <c r="AT53" s="39">
        <f t="shared" si="187"/>
        <v>2022</v>
      </c>
      <c r="AU53" s="39">
        <f t="shared" si="187"/>
        <v>2023</v>
      </c>
      <c r="AV53" s="39">
        <f t="shared" si="187"/>
        <v>2023</v>
      </c>
      <c r="AW53" s="39">
        <f t="shared" si="187"/>
        <v>2023</v>
      </c>
      <c r="AX53" s="39">
        <f t="shared" si="187"/>
        <v>2023</v>
      </c>
      <c r="AY53" s="39">
        <f t="shared" si="187"/>
        <v>2023</v>
      </c>
      <c r="AZ53" s="39">
        <f t="shared" si="187"/>
        <v>2023</v>
      </c>
      <c r="BA53" s="39">
        <f t="shared" si="187"/>
        <v>2023</v>
      </c>
      <c r="BB53" s="39">
        <f t="shared" si="187"/>
        <v>2023</v>
      </c>
      <c r="BC53" s="39">
        <f t="shared" si="187"/>
        <v>2023</v>
      </c>
      <c r="BD53" s="39">
        <f t="shared" si="187"/>
        <v>2023</v>
      </c>
      <c r="BE53" s="39">
        <f t="shared" si="187"/>
        <v>2023</v>
      </c>
      <c r="BF53" s="39">
        <f t="shared" si="187"/>
        <v>2023</v>
      </c>
      <c r="BG53" s="39">
        <f t="shared" si="187"/>
        <v>2024</v>
      </c>
      <c r="BH53" s="39">
        <f t="shared" si="187"/>
        <v>2024</v>
      </c>
      <c r="BI53" s="39">
        <f t="shared" si="187"/>
        <v>2024</v>
      </c>
      <c r="BJ53" s="39">
        <f t="shared" si="187"/>
        <v>2024</v>
      </c>
      <c r="BK53" s="39">
        <f t="shared" si="187"/>
        <v>2024</v>
      </c>
      <c r="BL53" s="39">
        <f t="shared" si="187"/>
        <v>2024</v>
      </c>
      <c r="BM53" s="39">
        <f t="shared" si="187"/>
        <v>2024</v>
      </c>
      <c r="BN53" s="39">
        <f t="shared" si="187"/>
        <v>2024</v>
      </c>
      <c r="BO53" s="39">
        <f t="shared" si="187"/>
        <v>2024</v>
      </c>
      <c r="BP53" s="39">
        <f t="shared" ref="BP53:EA53" si="188">YEAR(BP3)</f>
        <v>2024</v>
      </c>
      <c r="BQ53" s="39">
        <f t="shared" si="188"/>
        <v>2024</v>
      </c>
      <c r="BR53" s="39">
        <f t="shared" si="188"/>
        <v>2024</v>
      </c>
      <c r="BS53" s="39">
        <f t="shared" si="188"/>
        <v>2025</v>
      </c>
      <c r="BT53" s="39">
        <f t="shared" si="188"/>
        <v>2025</v>
      </c>
      <c r="BU53" s="39">
        <f t="shared" si="188"/>
        <v>2025</v>
      </c>
      <c r="BV53" s="39">
        <f t="shared" si="188"/>
        <v>2025</v>
      </c>
      <c r="BW53" s="39">
        <f t="shared" si="188"/>
        <v>2025</v>
      </c>
      <c r="BX53" s="39">
        <f t="shared" si="188"/>
        <v>2025</v>
      </c>
      <c r="BY53" s="39">
        <f t="shared" si="188"/>
        <v>2025</v>
      </c>
      <c r="BZ53" s="39">
        <f t="shared" si="188"/>
        <v>2025</v>
      </c>
      <c r="CA53" s="39">
        <f t="shared" si="188"/>
        <v>2025</v>
      </c>
      <c r="CB53" s="39">
        <f t="shared" si="188"/>
        <v>2025</v>
      </c>
      <c r="CC53" s="39">
        <f t="shared" si="188"/>
        <v>2025</v>
      </c>
      <c r="CD53" s="39">
        <f t="shared" si="188"/>
        <v>2025</v>
      </c>
      <c r="CE53" s="39">
        <f t="shared" si="188"/>
        <v>2026</v>
      </c>
      <c r="CF53" s="39">
        <f t="shared" si="188"/>
        <v>2026</v>
      </c>
      <c r="CG53" s="39">
        <f t="shared" si="188"/>
        <v>2026</v>
      </c>
      <c r="CH53" s="39">
        <f t="shared" si="188"/>
        <v>2026</v>
      </c>
      <c r="CI53" s="39">
        <f t="shared" si="188"/>
        <v>2026</v>
      </c>
      <c r="CJ53" s="39">
        <f t="shared" si="188"/>
        <v>2026</v>
      </c>
      <c r="CK53" s="39">
        <f t="shared" si="188"/>
        <v>2026</v>
      </c>
      <c r="CL53" s="39">
        <f t="shared" si="188"/>
        <v>2026</v>
      </c>
      <c r="CM53" s="39">
        <f t="shared" si="188"/>
        <v>2026</v>
      </c>
      <c r="CN53" s="39">
        <f t="shared" si="188"/>
        <v>2026</v>
      </c>
      <c r="CO53" s="39">
        <f t="shared" si="188"/>
        <v>2026</v>
      </c>
      <c r="CP53" s="39">
        <f t="shared" si="188"/>
        <v>2026</v>
      </c>
      <c r="CQ53" s="39">
        <f t="shared" si="188"/>
        <v>2027</v>
      </c>
      <c r="CR53" s="39">
        <f t="shared" si="188"/>
        <v>2027</v>
      </c>
      <c r="CS53" s="39">
        <f t="shared" si="188"/>
        <v>2027</v>
      </c>
      <c r="CT53" s="39">
        <f t="shared" si="188"/>
        <v>2027</v>
      </c>
      <c r="CU53" s="39">
        <f t="shared" si="188"/>
        <v>2027</v>
      </c>
      <c r="CV53" s="39">
        <f t="shared" si="188"/>
        <v>2027</v>
      </c>
      <c r="CW53" s="39">
        <f t="shared" si="188"/>
        <v>2027</v>
      </c>
      <c r="CX53" s="39">
        <f t="shared" si="188"/>
        <v>2027</v>
      </c>
      <c r="CY53" s="39">
        <f t="shared" si="188"/>
        <v>2027</v>
      </c>
      <c r="CZ53" s="39">
        <f t="shared" si="188"/>
        <v>2027</v>
      </c>
      <c r="DA53" s="39">
        <f t="shared" si="188"/>
        <v>2027</v>
      </c>
      <c r="DB53" s="39">
        <f t="shared" si="188"/>
        <v>2027</v>
      </c>
      <c r="DC53" s="39">
        <f t="shared" si="188"/>
        <v>2028</v>
      </c>
      <c r="DD53" s="39">
        <f t="shared" si="188"/>
        <v>2028</v>
      </c>
      <c r="DE53" s="39">
        <f t="shared" si="188"/>
        <v>2028</v>
      </c>
      <c r="DF53" s="39">
        <f t="shared" si="188"/>
        <v>2028</v>
      </c>
      <c r="DG53" s="39">
        <f t="shared" si="188"/>
        <v>2028</v>
      </c>
      <c r="DH53" s="39">
        <f t="shared" si="188"/>
        <v>2028</v>
      </c>
      <c r="DI53" s="39">
        <f t="shared" si="188"/>
        <v>2028</v>
      </c>
      <c r="DJ53" s="39">
        <f t="shared" si="188"/>
        <v>2028</v>
      </c>
      <c r="DK53" s="39">
        <f t="shared" si="188"/>
        <v>2028</v>
      </c>
      <c r="DL53" s="39">
        <f t="shared" si="188"/>
        <v>2028</v>
      </c>
      <c r="DM53" s="39">
        <f t="shared" si="188"/>
        <v>2028</v>
      </c>
      <c r="DN53" s="39">
        <f t="shared" si="188"/>
        <v>2028</v>
      </c>
      <c r="DO53" s="39">
        <f t="shared" si="188"/>
        <v>2029</v>
      </c>
      <c r="DP53" s="39">
        <f t="shared" si="188"/>
        <v>2029</v>
      </c>
      <c r="DQ53" s="39">
        <f t="shared" si="188"/>
        <v>2029</v>
      </c>
      <c r="DR53" s="39">
        <f t="shared" si="188"/>
        <v>2029</v>
      </c>
      <c r="DS53" s="39">
        <f t="shared" si="188"/>
        <v>2029</v>
      </c>
      <c r="DT53" s="39">
        <f t="shared" si="188"/>
        <v>2029</v>
      </c>
      <c r="DU53" s="39">
        <f t="shared" si="188"/>
        <v>2029</v>
      </c>
      <c r="DV53" s="39">
        <f t="shared" si="188"/>
        <v>2029</v>
      </c>
      <c r="DW53" s="39">
        <f t="shared" si="188"/>
        <v>2029</v>
      </c>
      <c r="DX53" s="39">
        <f t="shared" si="188"/>
        <v>2029</v>
      </c>
      <c r="DY53" s="39">
        <f t="shared" si="188"/>
        <v>2029</v>
      </c>
      <c r="DZ53" s="39">
        <f t="shared" si="188"/>
        <v>2029</v>
      </c>
      <c r="EA53" s="39">
        <f t="shared" si="188"/>
        <v>2030</v>
      </c>
      <c r="EB53" s="39">
        <f t="shared" ref="EB53:GM53" si="189">YEAR(EB3)</f>
        <v>2030</v>
      </c>
      <c r="EC53" s="39">
        <f t="shared" si="189"/>
        <v>2030</v>
      </c>
      <c r="ED53" s="39">
        <f t="shared" si="189"/>
        <v>2030</v>
      </c>
      <c r="EE53" s="39">
        <f t="shared" si="189"/>
        <v>2030</v>
      </c>
      <c r="EF53" s="39">
        <f t="shared" si="189"/>
        <v>2030</v>
      </c>
      <c r="EG53" s="39">
        <f t="shared" si="189"/>
        <v>2030</v>
      </c>
      <c r="EH53" s="39">
        <f t="shared" si="189"/>
        <v>2030</v>
      </c>
      <c r="EI53" s="39">
        <f t="shared" si="189"/>
        <v>2030</v>
      </c>
      <c r="EJ53" s="39">
        <f t="shared" si="189"/>
        <v>2030</v>
      </c>
      <c r="EK53" s="39">
        <f t="shared" si="189"/>
        <v>2030</v>
      </c>
      <c r="EL53" s="39">
        <f t="shared" si="189"/>
        <v>2030</v>
      </c>
      <c r="EM53" s="39">
        <f t="shared" si="189"/>
        <v>2031</v>
      </c>
      <c r="EN53" s="39">
        <f t="shared" si="189"/>
        <v>2031</v>
      </c>
      <c r="EO53" s="39">
        <f t="shared" si="189"/>
        <v>2031</v>
      </c>
      <c r="EP53" s="39">
        <f t="shared" si="189"/>
        <v>2031</v>
      </c>
      <c r="EQ53" s="39">
        <f t="shared" si="189"/>
        <v>2031</v>
      </c>
      <c r="ER53" s="39">
        <f t="shared" si="189"/>
        <v>2031</v>
      </c>
      <c r="ES53" s="39">
        <f t="shared" si="189"/>
        <v>2031</v>
      </c>
      <c r="ET53" s="39">
        <f t="shared" si="189"/>
        <v>2031</v>
      </c>
      <c r="EU53" s="39">
        <f t="shared" si="189"/>
        <v>2031</v>
      </c>
      <c r="EV53" s="39">
        <f t="shared" si="189"/>
        <v>2031</v>
      </c>
      <c r="EW53" s="39">
        <f t="shared" si="189"/>
        <v>2031</v>
      </c>
      <c r="EX53" s="39">
        <f t="shared" si="189"/>
        <v>2031</v>
      </c>
      <c r="EY53" s="39">
        <f t="shared" si="189"/>
        <v>2032</v>
      </c>
      <c r="EZ53" s="39">
        <f t="shared" si="189"/>
        <v>2032</v>
      </c>
      <c r="FA53" s="39">
        <f t="shared" si="189"/>
        <v>2032</v>
      </c>
      <c r="FB53" s="39">
        <f t="shared" si="189"/>
        <v>2032</v>
      </c>
      <c r="FC53" s="39">
        <f t="shared" si="189"/>
        <v>2032</v>
      </c>
      <c r="FD53" s="39">
        <f t="shared" si="189"/>
        <v>2032</v>
      </c>
      <c r="FE53" s="39">
        <f t="shared" si="189"/>
        <v>2032</v>
      </c>
      <c r="FF53" s="39">
        <f t="shared" si="189"/>
        <v>2032</v>
      </c>
      <c r="FG53" s="39">
        <f t="shared" si="189"/>
        <v>2032</v>
      </c>
      <c r="FH53" s="39">
        <f t="shared" si="189"/>
        <v>2032</v>
      </c>
      <c r="FI53" s="39">
        <f t="shared" si="189"/>
        <v>2032</v>
      </c>
      <c r="FJ53" s="39">
        <f t="shared" si="189"/>
        <v>2032</v>
      </c>
      <c r="FK53" s="39">
        <f t="shared" si="189"/>
        <v>2033</v>
      </c>
      <c r="FL53" s="39">
        <f t="shared" si="189"/>
        <v>2033</v>
      </c>
      <c r="FM53" s="39">
        <f t="shared" si="189"/>
        <v>2033</v>
      </c>
      <c r="FN53" s="39">
        <f t="shared" si="189"/>
        <v>2033</v>
      </c>
      <c r="FO53" s="39">
        <f t="shared" si="189"/>
        <v>2033</v>
      </c>
      <c r="FP53" s="39">
        <f t="shared" si="189"/>
        <v>2033</v>
      </c>
      <c r="FQ53" s="39">
        <f t="shared" si="189"/>
        <v>2033</v>
      </c>
      <c r="FR53" s="39">
        <f t="shared" si="189"/>
        <v>2033</v>
      </c>
      <c r="FS53" s="39">
        <f t="shared" si="189"/>
        <v>2033</v>
      </c>
      <c r="FT53" s="39">
        <f t="shared" si="189"/>
        <v>2033</v>
      </c>
      <c r="FU53" s="39">
        <f t="shared" si="189"/>
        <v>2033</v>
      </c>
      <c r="FV53" s="39">
        <f t="shared" si="189"/>
        <v>2033</v>
      </c>
      <c r="FW53" s="39">
        <f t="shared" si="189"/>
        <v>2034</v>
      </c>
      <c r="FX53" s="39">
        <f t="shared" si="189"/>
        <v>2034</v>
      </c>
      <c r="FY53" s="39">
        <f t="shared" si="189"/>
        <v>2034</v>
      </c>
      <c r="FZ53" s="39">
        <f t="shared" si="189"/>
        <v>2034</v>
      </c>
      <c r="GA53" s="39">
        <f t="shared" si="189"/>
        <v>2034</v>
      </c>
      <c r="GB53" s="39">
        <f t="shared" si="189"/>
        <v>2034</v>
      </c>
      <c r="GC53" s="39">
        <f t="shared" si="189"/>
        <v>2034</v>
      </c>
      <c r="GD53" s="39">
        <f t="shared" si="189"/>
        <v>2034</v>
      </c>
      <c r="GE53" s="39">
        <f t="shared" si="189"/>
        <v>2034</v>
      </c>
      <c r="GF53" s="39">
        <f t="shared" si="189"/>
        <v>2034</v>
      </c>
      <c r="GG53" s="39">
        <f t="shared" si="189"/>
        <v>2034</v>
      </c>
      <c r="GH53" s="39">
        <f t="shared" si="189"/>
        <v>2034</v>
      </c>
      <c r="GI53" s="39">
        <f t="shared" si="189"/>
        <v>2035</v>
      </c>
      <c r="GJ53" s="39">
        <f t="shared" si="189"/>
        <v>2035</v>
      </c>
      <c r="GK53" s="39">
        <f t="shared" si="189"/>
        <v>2035</v>
      </c>
      <c r="GL53" s="39">
        <f t="shared" si="189"/>
        <v>2035</v>
      </c>
      <c r="GM53" s="39">
        <f t="shared" si="189"/>
        <v>2035</v>
      </c>
      <c r="GN53" s="39">
        <f t="shared" ref="GN53:GT53" si="190">YEAR(GN3)</f>
        <v>2035</v>
      </c>
      <c r="GO53" s="39">
        <f t="shared" si="190"/>
        <v>2035</v>
      </c>
      <c r="GP53" s="39">
        <f t="shared" si="190"/>
        <v>2035</v>
      </c>
      <c r="GQ53" s="39">
        <f t="shared" si="190"/>
        <v>2035</v>
      </c>
      <c r="GR53" s="39">
        <f t="shared" si="190"/>
        <v>2035</v>
      </c>
      <c r="GS53" s="39">
        <f t="shared" si="190"/>
        <v>2035</v>
      </c>
      <c r="GT53" s="39">
        <f t="shared" si="190"/>
        <v>2035</v>
      </c>
    </row>
    <row r="55" spans="1:202" x14ac:dyDescent="0.25">
      <c r="F55">
        <f>F43*4.14</f>
        <v>8259.7002153639314</v>
      </c>
      <c r="O55" s="77">
        <v>0.05</v>
      </c>
      <c r="V55" s="39"/>
      <c r="AH55" s="39"/>
    </row>
    <row r="56" spans="1:202" x14ac:dyDescent="0.25">
      <c r="O56">
        <f>$O$55*O10</f>
        <v>357.59100000000007</v>
      </c>
      <c r="P56">
        <f t="shared" ref="P56:X56" si="191">$O$55*P10</f>
        <v>405.74100000000004</v>
      </c>
      <c r="Q56">
        <f t="shared" si="191"/>
        <v>428.61150000000009</v>
      </c>
      <c r="R56">
        <f t="shared" si="191"/>
        <v>285.74100000000004</v>
      </c>
      <c r="S56">
        <f t="shared" si="191"/>
        <v>285.74100000000004</v>
      </c>
      <c r="T56">
        <f t="shared" si="191"/>
        <v>285.74100000000004</v>
      </c>
      <c r="U56">
        <f t="shared" si="191"/>
        <v>285.74100000000004</v>
      </c>
      <c r="V56">
        <f t="shared" si="191"/>
        <v>285.74100000000004</v>
      </c>
      <c r="W56">
        <f t="shared" si="191"/>
        <v>428.61150000000009</v>
      </c>
      <c r="X56">
        <f t="shared" si="191"/>
        <v>285.74100000000004</v>
      </c>
    </row>
    <row r="58" spans="1:202" x14ac:dyDescent="0.25">
      <c r="C58" s="78">
        <f>1-C41</f>
        <v>0.19999999999999996</v>
      </c>
      <c r="D58" s="78">
        <f t="shared" ref="D58:AH58" si="192">1-D41</f>
        <v>0.53746563247758661</v>
      </c>
      <c r="E58" s="78">
        <f t="shared" si="192"/>
        <v>0.52837809788026802</v>
      </c>
      <c r="F58" s="78">
        <f t="shared" si="192"/>
        <v>0.4930586165377997</v>
      </c>
      <c r="G58" s="78">
        <f t="shared" si="192"/>
        <v>0.44394551918866798</v>
      </c>
      <c r="H58" s="78">
        <f t="shared" si="192"/>
        <v>0.47436070929998375</v>
      </c>
      <c r="I58" s="78">
        <f t="shared" si="192"/>
        <v>0.41431060563106636</v>
      </c>
      <c r="J58" s="78">
        <f t="shared" si="192"/>
        <v>0.60267671232543307</v>
      </c>
      <c r="K58" s="78">
        <f t="shared" si="192"/>
        <v>0.42629142137712794</v>
      </c>
      <c r="L58" s="78">
        <f t="shared" si="192"/>
        <v>0.37706436700092816</v>
      </c>
      <c r="M58" s="78">
        <f t="shared" si="192"/>
        <v>0.38268745438013063</v>
      </c>
      <c r="N58" s="78">
        <f t="shared" si="192"/>
        <v>0.35723371175185503</v>
      </c>
      <c r="O58" s="78">
        <f t="shared" si="192"/>
        <v>0.19999999999999996</v>
      </c>
      <c r="P58" s="78">
        <f t="shared" si="192"/>
        <v>0.29339768804448041</v>
      </c>
      <c r="Q58" s="78">
        <f t="shared" si="192"/>
        <v>0.26438211678620471</v>
      </c>
      <c r="R58" s="78">
        <f t="shared" si="192"/>
        <v>0.3103634612142071</v>
      </c>
      <c r="S58" s="78">
        <f t="shared" si="192"/>
        <v>0.19999999999999996</v>
      </c>
      <c r="T58" s="78">
        <f t="shared" si="192"/>
        <v>0.20168450421248574</v>
      </c>
      <c r="U58" s="78">
        <f t="shared" si="192"/>
        <v>0.23226816212291235</v>
      </c>
      <c r="V58" s="78">
        <f t="shared" si="192"/>
        <v>0.27083433479145602</v>
      </c>
      <c r="W58" s="78">
        <f t="shared" si="192"/>
        <v>0.25352305375715778</v>
      </c>
      <c r="X58" s="78">
        <f t="shared" si="192"/>
        <v>0.28930725505456378</v>
      </c>
      <c r="Y58" s="78">
        <f t="shared" si="192"/>
        <v>0.19999999999999996</v>
      </c>
      <c r="Z58" s="78">
        <f t="shared" si="192"/>
        <v>0.19999999999999996</v>
      </c>
      <c r="AA58" s="78">
        <f t="shared" si="192"/>
        <v>0.19999999999999996</v>
      </c>
      <c r="AB58" s="78">
        <f t="shared" si="192"/>
        <v>0.19999999999999996</v>
      </c>
      <c r="AC58" s="78">
        <f t="shared" si="192"/>
        <v>0.19999999999999996</v>
      </c>
      <c r="AD58" s="78">
        <f t="shared" si="192"/>
        <v>0.19999999999999996</v>
      </c>
      <c r="AE58" s="78">
        <f t="shared" si="192"/>
        <v>0.19999999999999996</v>
      </c>
      <c r="AF58" s="78">
        <f t="shared" si="192"/>
        <v>0.19999999999999996</v>
      </c>
      <c r="AG58" s="78">
        <f t="shared" si="192"/>
        <v>0.19999999999999996</v>
      </c>
      <c r="AH58" s="78">
        <f t="shared" si="192"/>
        <v>0.19999999999999996</v>
      </c>
    </row>
    <row r="62" spans="1:202" x14ac:dyDescent="0.25">
      <c r="X62" s="39">
        <f>X31</f>
        <v>15908.145993574162</v>
      </c>
    </row>
    <row r="63" spans="1:202" x14ac:dyDescent="0.25">
      <c r="X63" s="39">
        <f>X43</f>
        <v>12621.008709818207</v>
      </c>
    </row>
    <row r="64" spans="1:202" x14ac:dyDescent="0.25">
      <c r="X64" s="39">
        <f>X47</f>
        <v>5272.5348615229714</v>
      </c>
    </row>
    <row r="65" spans="23:24" x14ac:dyDescent="0.25">
      <c r="X65">
        <f>-SUM(O56:X56)</f>
        <v>-3335.0010000000002</v>
      </c>
    </row>
    <row r="66" spans="23:24" x14ac:dyDescent="0.25">
      <c r="W66" t="s">
        <v>92</v>
      </c>
      <c r="X66" s="39">
        <f>SUM(X62:X65)</f>
        <v>30466.688564915345</v>
      </c>
    </row>
  </sheetData>
  <conditionalFormatting sqref="C33:D39 F33:W39 Y33:Y39 AH33:GT39">
    <cfRule type="top10" dxfId="112" priority="111" rank="1"/>
  </conditionalFormatting>
  <conditionalFormatting sqref="D33:D39">
    <cfRule type="top10" dxfId="111" priority="110" rank="1"/>
  </conditionalFormatting>
  <conditionalFormatting sqref="F33:W39 Y33:Y39 AH33:GT39">
    <cfRule type="top10" dxfId="110" priority="109" rank="1"/>
  </conditionalFormatting>
  <conditionalFormatting sqref="F33:W39 Y33:Y39 AH33:GT39">
    <cfRule type="top10" dxfId="109" priority="108" rank="1"/>
  </conditionalFormatting>
  <conditionalFormatting sqref="F33:F39">
    <cfRule type="top10" dxfId="108" priority="107" rank="1"/>
  </conditionalFormatting>
  <conditionalFormatting sqref="F33:F39">
    <cfRule type="top10" dxfId="107" priority="106" rank="1"/>
  </conditionalFormatting>
  <conditionalFormatting sqref="G33:G39">
    <cfRule type="top10" dxfId="106" priority="105" rank="1"/>
  </conditionalFormatting>
  <conditionalFormatting sqref="G33:G39">
    <cfRule type="top10" dxfId="105" priority="104" rank="1"/>
  </conditionalFormatting>
  <conditionalFormatting sqref="H33:H39">
    <cfRule type="top10" dxfId="104" priority="103" rank="1"/>
  </conditionalFormatting>
  <conditionalFormatting sqref="H33:H39">
    <cfRule type="top10" dxfId="103" priority="102" rank="1"/>
  </conditionalFormatting>
  <conditionalFormatting sqref="I33:I39">
    <cfRule type="top10" dxfId="102" priority="101" rank="1"/>
  </conditionalFormatting>
  <conditionalFormatting sqref="I33:I39">
    <cfRule type="top10" dxfId="101" priority="100" rank="1"/>
  </conditionalFormatting>
  <conditionalFormatting sqref="J33:J39">
    <cfRule type="top10" dxfId="100" priority="99" rank="1"/>
  </conditionalFormatting>
  <conditionalFormatting sqref="J33:J39">
    <cfRule type="top10" dxfId="99" priority="98" rank="1"/>
  </conditionalFormatting>
  <conditionalFormatting sqref="K33:K39">
    <cfRule type="top10" dxfId="98" priority="97" rank="1"/>
  </conditionalFormatting>
  <conditionalFormatting sqref="K33:K39">
    <cfRule type="top10" dxfId="97" priority="96" rank="1"/>
  </conditionalFormatting>
  <conditionalFormatting sqref="L33:L39">
    <cfRule type="top10" dxfId="96" priority="95" rank="1"/>
  </conditionalFormatting>
  <conditionalFormatting sqref="L33:L39">
    <cfRule type="top10" dxfId="95" priority="94" rank="1"/>
  </conditionalFormatting>
  <conditionalFormatting sqref="M33:M39">
    <cfRule type="top10" dxfId="94" priority="93" rank="1"/>
  </conditionalFormatting>
  <conditionalFormatting sqref="M33:M39">
    <cfRule type="top10" dxfId="93" priority="92" rank="1"/>
  </conditionalFormatting>
  <conditionalFormatting sqref="N33:N39">
    <cfRule type="top10" dxfId="92" priority="91" rank="1"/>
  </conditionalFormatting>
  <conditionalFormatting sqref="N33:N39">
    <cfRule type="top10" dxfId="91" priority="90" rank="1"/>
  </conditionalFormatting>
  <conditionalFormatting sqref="O33:O39">
    <cfRule type="top10" dxfId="90" priority="89" rank="1"/>
  </conditionalFormatting>
  <conditionalFormatting sqref="O33:O39">
    <cfRule type="top10" dxfId="89" priority="88" rank="1"/>
  </conditionalFormatting>
  <conditionalFormatting sqref="P33:P39">
    <cfRule type="top10" dxfId="88" priority="87" rank="1"/>
  </conditionalFormatting>
  <conditionalFormatting sqref="P33:P39">
    <cfRule type="top10" dxfId="87" priority="86" rank="1"/>
  </conditionalFormatting>
  <conditionalFormatting sqref="Q33:Q39">
    <cfRule type="top10" dxfId="86" priority="85" rank="1"/>
  </conditionalFormatting>
  <conditionalFormatting sqref="Q33:Q39">
    <cfRule type="top10" dxfId="85" priority="84" rank="1"/>
  </conditionalFormatting>
  <conditionalFormatting sqref="R33:R39">
    <cfRule type="top10" dxfId="84" priority="83" rank="1"/>
  </conditionalFormatting>
  <conditionalFormatting sqref="R33:R39">
    <cfRule type="top10" dxfId="83" priority="82" rank="1"/>
  </conditionalFormatting>
  <conditionalFormatting sqref="S33:S39">
    <cfRule type="top10" dxfId="82" priority="81" rank="1"/>
  </conditionalFormatting>
  <conditionalFormatting sqref="S33:S39">
    <cfRule type="top10" dxfId="81" priority="80" rank="1"/>
  </conditionalFormatting>
  <conditionalFormatting sqref="T33:T39">
    <cfRule type="top10" dxfId="80" priority="79" rank="1"/>
  </conditionalFormatting>
  <conditionalFormatting sqref="T33:T39">
    <cfRule type="top10" dxfId="79" priority="78" rank="1"/>
  </conditionalFormatting>
  <conditionalFormatting sqref="U33:U39">
    <cfRule type="top10" dxfId="78" priority="77" rank="1"/>
  </conditionalFormatting>
  <conditionalFormatting sqref="U33:U39">
    <cfRule type="top10" dxfId="77" priority="76" rank="1"/>
  </conditionalFormatting>
  <conditionalFormatting sqref="V33:V39">
    <cfRule type="top10" dxfId="76" priority="75" rank="1"/>
  </conditionalFormatting>
  <conditionalFormatting sqref="V33:V39">
    <cfRule type="top10" dxfId="75" priority="74" rank="1"/>
  </conditionalFormatting>
  <conditionalFormatting sqref="W33:W39">
    <cfRule type="top10" dxfId="74" priority="73" rank="1"/>
  </conditionalFormatting>
  <conditionalFormatting sqref="W33:W39">
    <cfRule type="top10" dxfId="73" priority="72" rank="1"/>
  </conditionalFormatting>
  <conditionalFormatting sqref="Y35 AH35:GT35">
    <cfRule type="top10" dxfId="72" priority="71" rank="1"/>
  </conditionalFormatting>
  <conditionalFormatting sqref="Y35 AH35:GT35">
    <cfRule type="top10" dxfId="71" priority="70" rank="1"/>
  </conditionalFormatting>
  <conditionalFormatting sqref="Y33:Y39">
    <cfRule type="top10" dxfId="70" priority="69" rank="1"/>
  </conditionalFormatting>
  <conditionalFormatting sqref="Y33:Y39">
    <cfRule type="top10" dxfId="69" priority="68" rank="1"/>
  </conditionalFormatting>
  <conditionalFormatting sqref="E33:E39">
    <cfRule type="top10" dxfId="68" priority="67" rank="1"/>
  </conditionalFormatting>
  <conditionalFormatting sqref="E33:E39">
    <cfRule type="top10" dxfId="67" priority="66" rank="1"/>
  </conditionalFormatting>
  <conditionalFormatting sqref="E33:E39">
    <cfRule type="top10" dxfId="66" priority="65" rank="1"/>
  </conditionalFormatting>
  <conditionalFormatting sqref="E33:E39">
    <cfRule type="top10" dxfId="65" priority="64" rank="1"/>
  </conditionalFormatting>
  <conditionalFormatting sqref="E33:E39">
    <cfRule type="top10" dxfId="64" priority="63" rank="1"/>
  </conditionalFormatting>
  <conditionalFormatting sqref="X33:X39">
    <cfRule type="top10" dxfId="63" priority="55" rank="1"/>
  </conditionalFormatting>
  <conditionalFormatting sqref="X33:X39">
    <cfRule type="top10" dxfId="62" priority="54" rank="1"/>
  </conditionalFormatting>
  <conditionalFormatting sqref="X33:X39">
    <cfRule type="top10" dxfId="61" priority="53" rank="1"/>
  </conditionalFormatting>
  <conditionalFormatting sqref="X33:X39">
    <cfRule type="top10" dxfId="60" priority="52" rank="1"/>
  </conditionalFormatting>
  <conditionalFormatting sqref="X33:X39">
    <cfRule type="top10" dxfId="59" priority="51" rank="1"/>
  </conditionalFormatting>
  <conditionalFormatting sqref="Z33:Z39">
    <cfRule type="top10" dxfId="58" priority="50" rank="1"/>
  </conditionalFormatting>
  <conditionalFormatting sqref="Z33:Z39">
    <cfRule type="top10" dxfId="57" priority="49" rank="1"/>
  </conditionalFormatting>
  <conditionalFormatting sqref="Z33:Z39">
    <cfRule type="top10" dxfId="56" priority="48" rank="1"/>
  </conditionalFormatting>
  <conditionalFormatting sqref="Z33:Z39">
    <cfRule type="top10" dxfId="55" priority="47" rank="1"/>
  </conditionalFormatting>
  <conditionalFormatting sqref="Z33:Z39">
    <cfRule type="top10" dxfId="54" priority="46" rank="1"/>
  </conditionalFormatting>
  <conditionalFormatting sqref="AA33:AA39">
    <cfRule type="top10" dxfId="53" priority="45" rank="1"/>
  </conditionalFormatting>
  <conditionalFormatting sqref="AA33:AA39">
    <cfRule type="top10" dxfId="52" priority="44" rank="1"/>
  </conditionalFormatting>
  <conditionalFormatting sqref="AA33:AA39">
    <cfRule type="top10" dxfId="51" priority="43" rank="1"/>
  </conditionalFormatting>
  <conditionalFormatting sqref="AA33:AA39">
    <cfRule type="top10" dxfId="50" priority="42" rank="1"/>
  </conditionalFormatting>
  <conditionalFormatting sqref="AA33:AA39">
    <cfRule type="top10" dxfId="49" priority="41" rank="1"/>
  </conditionalFormatting>
  <conditionalFormatting sqref="AB33:AB39">
    <cfRule type="top10" dxfId="48" priority="40" rank="1"/>
  </conditionalFormatting>
  <conditionalFormatting sqref="AB33:AB39">
    <cfRule type="top10" dxfId="47" priority="39" rank="1"/>
  </conditionalFormatting>
  <conditionalFormatting sqref="AB33:AB39">
    <cfRule type="top10" dxfId="46" priority="38" rank="1"/>
  </conditionalFormatting>
  <conditionalFormatting sqref="AB33:AB39">
    <cfRule type="top10" dxfId="45" priority="37" rank="1"/>
  </conditionalFormatting>
  <conditionalFormatting sqref="AB33:AB39">
    <cfRule type="top10" dxfId="44" priority="36" rank="1"/>
  </conditionalFormatting>
  <conditionalFormatting sqref="AC33:AC39">
    <cfRule type="top10" dxfId="43" priority="35" rank="1"/>
  </conditionalFormatting>
  <conditionalFormatting sqref="AC33:AC39">
    <cfRule type="top10" dxfId="42" priority="34" rank="1"/>
  </conditionalFormatting>
  <conditionalFormatting sqref="AC33:AC39">
    <cfRule type="top10" dxfId="41" priority="33" rank="1"/>
  </conditionalFormatting>
  <conditionalFormatting sqref="AC33:AC39">
    <cfRule type="top10" dxfId="40" priority="32" rank="1"/>
  </conditionalFormatting>
  <conditionalFormatting sqref="AC33:AC39">
    <cfRule type="top10" dxfId="39" priority="31" rank="1"/>
  </conditionalFormatting>
  <conditionalFormatting sqref="AG33:AG39">
    <cfRule type="top10" dxfId="38" priority="30" rank="1"/>
  </conditionalFormatting>
  <conditionalFormatting sqref="AG33:AG39">
    <cfRule type="top10" dxfId="37" priority="29" rank="1"/>
  </conditionalFormatting>
  <conditionalFormatting sqref="AG33:AG39">
    <cfRule type="top10" dxfId="36" priority="28" rank="1"/>
  </conditionalFormatting>
  <conditionalFormatting sqref="AG33:AG39">
    <cfRule type="top10" dxfId="35" priority="27" rank="1"/>
  </conditionalFormatting>
  <conditionalFormatting sqref="AG33:AG39">
    <cfRule type="top10" dxfId="34" priority="26" rank="1"/>
  </conditionalFormatting>
  <conditionalFormatting sqref="AF33:AF39">
    <cfRule type="top10" dxfId="33" priority="20" rank="1"/>
  </conditionalFormatting>
  <conditionalFormatting sqref="AF33:AF39">
    <cfRule type="top10" dxfId="32" priority="19" rank="1"/>
  </conditionalFormatting>
  <conditionalFormatting sqref="AF33:AF39">
    <cfRule type="top10" dxfId="31" priority="18" rank="1"/>
  </conditionalFormatting>
  <conditionalFormatting sqref="AF35">
    <cfRule type="top10" dxfId="30" priority="17" rank="1"/>
  </conditionalFormatting>
  <conditionalFormatting sqref="AF35">
    <cfRule type="top10" dxfId="29" priority="16" rank="1"/>
  </conditionalFormatting>
  <conditionalFormatting sqref="AD33:AD39">
    <cfRule type="top10" dxfId="28" priority="10" rank="1"/>
  </conditionalFormatting>
  <conditionalFormatting sqref="AD33:AD39">
    <cfRule type="top10" dxfId="27" priority="9" rank="1"/>
  </conditionalFormatting>
  <conditionalFormatting sqref="AD33:AD39">
    <cfRule type="top10" dxfId="26" priority="8" rank="1"/>
  </conditionalFormatting>
  <conditionalFormatting sqref="AD33:AD39">
    <cfRule type="top10" dxfId="25" priority="7" rank="1"/>
  </conditionalFormatting>
  <conditionalFormatting sqref="AD33:AD39">
    <cfRule type="top10" dxfId="24" priority="6" rank="1"/>
  </conditionalFormatting>
  <conditionalFormatting sqref="AE33:AE39">
    <cfRule type="top10" dxfId="23" priority="5" rank="1"/>
  </conditionalFormatting>
  <conditionalFormatting sqref="AE33:AE39">
    <cfRule type="top10" dxfId="22" priority="4" rank="1"/>
  </conditionalFormatting>
  <conditionalFormatting sqref="AE33:AE39">
    <cfRule type="top10" dxfId="21" priority="3" rank="1"/>
  </conditionalFormatting>
  <conditionalFormatting sqref="AE33:AE39">
    <cfRule type="top10" dxfId="20" priority="2" rank="1"/>
  </conditionalFormatting>
  <conditionalFormatting sqref="AE33:AE39">
    <cfRule type="top10" dxfId="19" priority="1" rank="1"/>
  </conditionalFormatting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EDFD2-CF64-47AE-971B-9793360B9D99}">
  <sheetPr>
    <tabColor rgb="FFC00000"/>
  </sheetPr>
  <dimension ref="K1:X34"/>
  <sheetViews>
    <sheetView topLeftCell="H12" zoomScaleNormal="100" workbookViewId="0">
      <selection activeCell="P26" sqref="P26"/>
    </sheetView>
  </sheetViews>
  <sheetFormatPr defaultRowHeight="15" x14ac:dyDescent="0.25"/>
  <cols>
    <col min="1" max="1" width="12.42578125" bestFit="1" customWidth="1"/>
    <col min="2" max="2" width="15.85546875" bestFit="1" customWidth="1"/>
    <col min="3" max="3" width="12.42578125" bestFit="1" customWidth="1"/>
    <col min="4" max="4" width="11.42578125" bestFit="1" customWidth="1"/>
    <col min="5" max="6" width="12.42578125" bestFit="1" customWidth="1"/>
    <col min="7" max="9" width="11.85546875" bestFit="1" customWidth="1"/>
    <col min="10" max="10" width="4.85546875" bestFit="1" customWidth="1"/>
    <col min="11" max="11" width="11.85546875" bestFit="1" customWidth="1"/>
    <col min="12" max="12" width="10.85546875" bestFit="1" customWidth="1"/>
    <col min="13" max="13" width="11.85546875" bestFit="1" customWidth="1"/>
    <col min="14" max="16" width="8.5703125" style="1" customWidth="1"/>
    <col min="17" max="24" width="8.5703125" customWidth="1"/>
    <col min="25" max="27" width="11.85546875" bestFit="1" customWidth="1"/>
    <col min="28" max="28" width="5.85546875" bestFit="1" customWidth="1"/>
    <col min="29" max="29" width="2.85546875" bestFit="1" customWidth="1"/>
    <col min="30" max="30" width="11.85546875" bestFit="1" customWidth="1"/>
    <col min="31" max="31" width="5.85546875" bestFit="1" customWidth="1"/>
    <col min="32" max="32" width="4.85546875" bestFit="1" customWidth="1"/>
    <col min="33" max="34" width="11.85546875" bestFit="1" customWidth="1"/>
    <col min="35" max="35" width="3.85546875" bestFit="1" customWidth="1"/>
    <col min="36" max="36" width="6.85546875" bestFit="1" customWidth="1"/>
    <col min="37" max="39" width="11.85546875" bestFit="1" customWidth="1"/>
    <col min="40" max="40" width="3.85546875" bestFit="1" customWidth="1"/>
    <col min="41" max="41" width="11.85546875" bestFit="1" customWidth="1"/>
    <col min="42" max="42" width="6.85546875" bestFit="1" customWidth="1"/>
    <col min="43" max="43" width="11.85546875" bestFit="1" customWidth="1"/>
    <col min="44" max="44" width="6.85546875" bestFit="1" customWidth="1"/>
    <col min="45" max="46" width="11.85546875" bestFit="1" customWidth="1"/>
    <col min="47" max="47" width="4.85546875" bestFit="1" customWidth="1"/>
    <col min="48" max="48" width="7.85546875" bestFit="1" customWidth="1"/>
    <col min="49" max="49" width="10.85546875" bestFit="1" customWidth="1"/>
    <col min="50" max="51" width="10.7109375" bestFit="1" customWidth="1"/>
  </cols>
  <sheetData>
    <row r="1" spans="11:24" x14ac:dyDescent="0.25">
      <c r="K1" t="s">
        <v>512</v>
      </c>
      <c r="L1" s="50">
        <v>44774</v>
      </c>
      <c r="O1" s="1" t="s">
        <v>380</v>
      </c>
    </row>
    <row r="2" spans="11:24" x14ac:dyDescent="0.25">
      <c r="K2" t="s">
        <v>511</v>
      </c>
      <c r="L2" s="50">
        <v>44531</v>
      </c>
      <c r="N2" s="1">
        <v>2020</v>
      </c>
      <c r="O2" s="1">
        <v>2021</v>
      </c>
      <c r="P2" s="1">
        <v>2022</v>
      </c>
      <c r="Q2" s="1">
        <v>2023</v>
      </c>
      <c r="R2" s="1">
        <v>2024</v>
      </c>
      <c r="S2" s="1">
        <v>2025</v>
      </c>
      <c r="T2" s="1">
        <v>2026</v>
      </c>
      <c r="U2" s="1">
        <v>2027</v>
      </c>
      <c r="V2" s="1">
        <v>2028</v>
      </c>
      <c r="W2" s="1">
        <v>2029</v>
      </c>
      <c r="X2" s="1">
        <v>2030</v>
      </c>
    </row>
    <row r="3" spans="11:24" x14ac:dyDescent="0.25">
      <c r="O3" s="3">
        <v>-1</v>
      </c>
      <c r="P3" s="3" t="s">
        <v>381</v>
      </c>
      <c r="S3" s="299" t="str">
        <f>"3-5"</f>
        <v>3-5</v>
      </c>
      <c r="V3" s="3" t="str">
        <f>"6-8"</f>
        <v>6-8</v>
      </c>
    </row>
    <row r="4" spans="11:24" x14ac:dyDescent="0.25">
      <c r="L4">
        <v>3500</v>
      </c>
      <c r="M4" t="str">
        <f>'P&amp;L USA'!B4</f>
        <v>Rent</v>
      </c>
      <c r="N4" s="44"/>
      <c r="O4" s="281">
        <v>0</v>
      </c>
      <c r="P4" s="281">
        <v>0</v>
      </c>
      <c r="Q4" s="281">
        <v>0</v>
      </c>
      <c r="R4" s="281">
        <v>0</v>
      </c>
      <c r="S4" s="281">
        <v>0</v>
      </c>
      <c r="T4" s="281">
        <v>0</v>
      </c>
      <c r="U4" s="281">
        <v>0</v>
      </c>
      <c r="V4" s="281">
        <v>0</v>
      </c>
      <c r="W4" s="281">
        <v>0</v>
      </c>
      <c r="X4" s="281">
        <v>0</v>
      </c>
    </row>
    <row r="5" spans="11:24" x14ac:dyDescent="0.25">
      <c r="M5" t="str">
        <f>'P&amp;L USA'!B5</f>
        <v>Utilities</v>
      </c>
      <c r="N5" s="44"/>
      <c r="O5" s="88">
        <f t="shared" ref="O5:O9" si="0">L5*1.1/12*1.27</f>
        <v>0</v>
      </c>
      <c r="P5" s="44">
        <f>O5</f>
        <v>0</v>
      </c>
      <c r="Q5" s="44">
        <f t="shared" ref="Q5:X5" si="1">P5</f>
        <v>0</v>
      </c>
      <c r="R5" s="44">
        <f t="shared" si="1"/>
        <v>0</v>
      </c>
      <c r="S5" s="44">
        <f t="shared" si="1"/>
        <v>0</v>
      </c>
      <c r="T5" s="44">
        <f t="shared" si="1"/>
        <v>0</v>
      </c>
      <c r="U5" s="44">
        <f t="shared" si="1"/>
        <v>0</v>
      </c>
      <c r="V5" s="44">
        <f t="shared" si="1"/>
        <v>0</v>
      </c>
      <c r="W5" s="44">
        <f t="shared" si="1"/>
        <v>0</v>
      </c>
      <c r="X5" s="44">
        <f t="shared" si="1"/>
        <v>0</v>
      </c>
    </row>
    <row r="6" spans="11:24" x14ac:dyDescent="0.25">
      <c r="M6" t="str">
        <f>'P&amp;L USA'!B6</f>
        <v>Cellphone</v>
      </c>
      <c r="N6" s="44"/>
      <c r="O6" s="88">
        <f t="shared" si="0"/>
        <v>0</v>
      </c>
      <c r="P6" s="44">
        <f t="shared" ref="P6:X6" si="2">O6</f>
        <v>0</v>
      </c>
      <c r="Q6" s="44">
        <f t="shared" si="2"/>
        <v>0</v>
      </c>
      <c r="R6" s="44">
        <f t="shared" si="2"/>
        <v>0</v>
      </c>
      <c r="S6" s="44">
        <f t="shared" si="2"/>
        <v>0</v>
      </c>
      <c r="T6" s="44">
        <f t="shared" si="2"/>
        <v>0</v>
      </c>
      <c r="U6" s="44">
        <f t="shared" si="2"/>
        <v>0</v>
      </c>
      <c r="V6" s="44">
        <f t="shared" si="2"/>
        <v>0</v>
      </c>
      <c r="W6" s="44">
        <f t="shared" si="2"/>
        <v>0</v>
      </c>
      <c r="X6" s="44">
        <f t="shared" si="2"/>
        <v>0</v>
      </c>
    </row>
    <row r="7" spans="11:24" x14ac:dyDescent="0.25">
      <c r="L7">
        <v>1490</v>
      </c>
      <c r="M7" t="str">
        <f>'P&amp;L USA'!B7</f>
        <v>Food</v>
      </c>
      <c r="N7" s="44"/>
      <c r="O7" s="88">
        <f>L7*1.1/12*1.27*1/12</f>
        <v>14.455069444444446</v>
      </c>
      <c r="P7" s="88">
        <f>1490*1.1/12*1.27</f>
        <v>173.46083333333334</v>
      </c>
      <c r="Q7" s="44">
        <f>P7</f>
        <v>173.46083333333334</v>
      </c>
      <c r="R7" s="44">
        <f t="shared" ref="R7:X7" si="3">Q7</f>
        <v>173.46083333333334</v>
      </c>
      <c r="S7" s="88">
        <f>1600*1.1/12*1.27</f>
        <v>186.26666666666668</v>
      </c>
      <c r="T7" s="44">
        <f t="shared" si="3"/>
        <v>186.26666666666668</v>
      </c>
      <c r="U7" s="44">
        <f t="shared" si="3"/>
        <v>186.26666666666668</v>
      </c>
      <c r="V7" s="88">
        <f>2170*1.1/12*1.27</f>
        <v>252.62416666666667</v>
      </c>
      <c r="W7" s="44">
        <f t="shared" si="3"/>
        <v>252.62416666666667</v>
      </c>
      <c r="X7" s="44">
        <f t="shared" si="3"/>
        <v>252.62416666666667</v>
      </c>
    </row>
    <row r="8" spans="11:24" x14ac:dyDescent="0.25">
      <c r="L8">
        <v>1710</v>
      </c>
      <c r="M8" t="str">
        <f>'P&amp;L USA'!B8</f>
        <v>Transportation</v>
      </c>
      <c r="N8" s="44"/>
      <c r="O8" s="88">
        <f>L8*1.1/12*1.27*1/12</f>
        <v>16.589375000000004</v>
      </c>
      <c r="P8" s="88">
        <f>1710*1.1/12*1.27</f>
        <v>199.07250000000005</v>
      </c>
      <c r="Q8" s="44">
        <f>P8</f>
        <v>199.07250000000005</v>
      </c>
      <c r="R8" s="44">
        <f t="shared" ref="R8:X8" si="4">Q8</f>
        <v>199.07250000000005</v>
      </c>
      <c r="S8" s="88">
        <f>1760*1.1/12*1.27</f>
        <v>204.89333333333335</v>
      </c>
      <c r="T8" s="44">
        <f t="shared" si="4"/>
        <v>204.89333333333335</v>
      </c>
      <c r="U8" s="44">
        <f t="shared" si="4"/>
        <v>204.89333333333335</v>
      </c>
      <c r="V8" s="88">
        <f>1820*1.1/12*1.27</f>
        <v>211.87833333333336</v>
      </c>
      <c r="W8" s="44">
        <f t="shared" si="4"/>
        <v>211.87833333333336</v>
      </c>
      <c r="X8" s="44">
        <f t="shared" si="4"/>
        <v>211.87833333333336</v>
      </c>
    </row>
    <row r="9" spans="11:24" x14ac:dyDescent="0.25">
      <c r="M9" t="str">
        <f>'P&amp;L USA'!B9</f>
        <v>Leisure</v>
      </c>
      <c r="N9" s="44"/>
      <c r="O9" s="88">
        <f t="shared" si="0"/>
        <v>0</v>
      </c>
      <c r="P9" s="44">
        <f>O9</f>
        <v>0</v>
      </c>
      <c r="Q9" s="44">
        <f t="shared" ref="Q9:X10" si="5">P9</f>
        <v>0</v>
      </c>
      <c r="R9" s="44">
        <f t="shared" si="5"/>
        <v>0</v>
      </c>
      <c r="S9" s="88">
        <f t="shared" si="5"/>
        <v>0</v>
      </c>
      <c r="T9" s="44">
        <f t="shared" si="5"/>
        <v>0</v>
      </c>
      <c r="U9" s="44">
        <f t="shared" si="5"/>
        <v>0</v>
      </c>
      <c r="V9" s="88">
        <f t="shared" si="5"/>
        <v>0</v>
      </c>
      <c r="W9" s="44">
        <f t="shared" si="5"/>
        <v>0</v>
      </c>
      <c r="X9" s="44">
        <f t="shared" si="5"/>
        <v>0</v>
      </c>
    </row>
    <row r="10" spans="11:24" x14ac:dyDescent="0.25">
      <c r="M10" t="str">
        <f>'P&amp;L USA'!B10</f>
        <v>Health care</v>
      </c>
      <c r="N10" s="44"/>
      <c r="O10" s="88">
        <f>(117-66)/66*174</f>
        <v>134.45454545454544</v>
      </c>
      <c r="P10" s="88">
        <f>(117-66)/66*174</f>
        <v>134.45454545454544</v>
      </c>
      <c r="Q10" s="44">
        <f>P10</f>
        <v>134.45454545454544</v>
      </c>
      <c r="R10" s="44">
        <f t="shared" si="5"/>
        <v>134.45454545454544</v>
      </c>
      <c r="S10" s="64">
        <f t="shared" si="5"/>
        <v>134.45454545454544</v>
      </c>
      <c r="T10" s="44">
        <f t="shared" si="5"/>
        <v>134.45454545454544</v>
      </c>
      <c r="U10" s="44">
        <f t="shared" si="5"/>
        <v>134.45454545454544</v>
      </c>
      <c r="V10" s="88">
        <f t="shared" si="5"/>
        <v>134.45454545454544</v>
      </c>
      <c r="W10" s="44">
        <f t="shared" si="5"/>
        <v>134.45454545454544</v>
      </c>
      <c r="X10" s="44">
        <f t="shared" si="5"/>
        <v>134.45454545454544</v>
      </c>
    </row>
    <row r="11" spans="11:24" x14ac:dyDescent="0.25">
      <c r="N11" s="44"/>
      <c r="O11" s="44"/>
    </row>
    <row r="12" spans="11:24" x14ac:dyDescent="0.25">
      <c r="N12" s="44"/>
      <c r="O12" s="44"/>
    </row>
    <row r="13" spans="11:24" x14ac:dyDescent="0.25">
      <c r="M13" t="s">
        <v>382</v>
      </c>
      <c r="N13" s="44"/>
      <c r="O13" s="44">
        <f>SUM(O4:O12)</f>
        <v>165.49898989898989</v>
      </c>
      <c r="P13" s="44">
        <f t="shared" ref="P13:X13" si="6">SUM(P4:P12)</f>
        <v>506.98787878787886</v>
      </c>
      <c r="Q13" s="44">
        <f t="shared" si="6"/>
        <v>506.98787878787886</v>
      </c>
      <c r="R13" s="44">
        <f t="shared" si="6"/>
        <v>506.98787878787886</v>
      </c>
      <c r="S13" s="44">
        <f t="shared" si="6"/>
        <v>525.61454545454546</v>
      </c>
      <c r="T13" s="44">
        <f t="shared" si="6"/>
        <v>525.61454545454546</v>
      </c>
      <c r="U13" s="44">
        <f t="shared" si="6"/>
        <v>525.61454545454546</v>
      </c>
      <c r="V13" s="44">
        <f t="shared" si="6"/>
        <v>598.95704545454555</v>
      </c>
      <c r="W13" s="44">
        <f t="shared" si="6"/>
        <v>598.95704545454555</v>
      </c>
      <c r="X13" s="44">
        <f t="shared" si="6"/>
        <v>598.95704545454555</v>
      </c>
    </row>
    <row r="14" spans="11:24" x14ac:dyDescent="0.25">
      <c r="M14" t="s">
        <v>383</v>
      </c>
      <c r="O14" s="44">
        <f>O13*12</f>
        <v>1985.9878787878788</v>
      </c>
      <c r="P14" s="44">
        <f t="shared" ref="P14:X14" si="7">P13*12</f>
        <v>6083.8545454545465</v>
      </c>
      <c r="Q14" s="44">
        <f t="shared" si="7"/>
        <v>6083.8545454545465</v>
      </c>
      <c r="R14" s="44">
        <f t="shared" si="7"/>
        <v>6083.8545454545465</v>
      </c>
      <c r="S14" s="44">
        <f t="shared" si="7"/>
        <v>6307.374545454546</v>
      </c>
      <c r="T14" s="44">
        <f t="shared" si="7"/>
        <v>6307.374545454546</v>
      </c>
      <c r="U14" s="44">
        <f t="shared" si="7"/>
        <v>6307.374545454546</v>
      </c>
      <c r="V14" s="44">
        <f t="shared" si="7"/>
        <v>7187.4845454545466</v>
      </c>
      <c r="W14" s="44">
        <f t="shared" si="7"/>
        <v>7187.4845454545466</v>
      </c>
      <c r="X14" s="44">
        <f t="shared" si="7"/>
        <v>7187.4845454545466</v>
      </c>
    </row>
    <row r="15" spans="11:24" x14ac:dyDescent="0.25">
      <c r="L15">
        <v>890</v>
      </c>
      <c r="M15" t="s">
        <v>384</v>
      </c>
      <c r="O15" s="88">
        <f>890*1.1*1.27</f>
        <v>1243.3300000000002</v>
      </c>
      <c r="P15" s="44">
        <f>O15</f>
        <v>1243.3300000000002</v>
      </c>
      <c r="Q15" s="44">
        <f t="shared" ref="Q15:R15" si="8">P15</f>
        <v>1243.3300000000002</v>
      </c>
      <c r="R15" s="44">
        <f t="shared" si="8"/>
        <v>1243.3300000000002</v>
      </c>
      <c r="S15" s="187">
        <f>740*1.1*1.27</f>
        <v>1033.7800000000002</v>
      </c>
      <c r="T15" s="44">
        <f t="shared" ref="T15:U15" si="9">S15</f>
        <v>1033.7800000000002</v>
      </c>
      <c r="U15" s="44">
        <f t="shared" si="9"/>
        <v>1033.7800000000002</v>
      </c>
      <c r="V15" s="187">
        <f>740*1.1*1.27</f>
        <v>1033.7800000000002</v>
      </c>
      <c r="W15" s="44">
        <f t="shared" ref="W15:X15" si="10">V15</f>
        <v>1033.7800000000002</v>
      </c>
      <c r="X15" s="44">
        <f t="shared" si="10"/>
        <v>1033.7800000000002</v>
      </c>
    </row>
    <row r="16" spans="11:24" x14ac:dyDescent="0.25">
      <c r="L16">
        <v>890</v>
      </c>
      <c r="M16" t="s">
        <v>385</v>
      </c>
      <c r="O16" s="88">
        <f>890*1.1*1.27</f>
        <v>1243.3300000000002</v>
      </c>
      <c r="P16" s="44">
        <f t="shared" ref="P16:R16" si="11">O16</f>
        <v>1243.3300000000002</v>
      </c>
      <c r="Q16" s="44">
        <f t="shared" si="11"/>
        <v>1243.3300000000002</v>
      </c>
      <c r="R16" s="44">
        <f t="shared" si="11"/>
        <v>1243.3300000000002</v>
      </c>
      <c r="S16" s="187">
        <f>1000*1.1*1.27</f>
        <v>1397</v>
      </c>
      <c r="T16" s="44">
        <f t="shared" ref="T16:U16" si="12">S16</f>
        <v>1397</v>
      </c>
      <c r="U16" s="44">
        <f t="shared" si="12"/>
        <v>1397</v>
      </c>
      <c r="V16" s="187">
        <f>1120*1.1*1.27</f>
        <v>1564.64</v>
      </c>
      <c r="W16" s="44">
        <f t="shared" ref="W16:X16" si="13">V16</f>
        <v>1564.64</v>
      </c>
      <c r="X16" s="44">
        <f t="shared" si="13"/>
        <v>1564.64</v>
      </c>
    </row>
    <row r="17" spans="13:24" x14ac:dyDescent="0.25">
      <c r="M17" t="s">
        <v>386</v>
      </c>
      <c r="O17" s="281">
        <f>1200*2</f>
        <v>2400</v>
      </c>
      <c r="P17" s="281">
        <f>1200*11</f>
        <v>13200</v>
      </c>
      <c r="Q17" s="44">
        <f t="shared" ref="Q17:R17" si="14">P17</f>
        <v>13200</v>
      </c>
      <c r="R17" s="44">
        <f t="shared" si="14"/>
        <v>13200</v>
      </c>
      <c r="S17" s="278">
        <f>R17</f>
        <v>13200</v>
      </c>
      <c r="T17" s="44">
        <f t="shared" ref="T17:U17" si="15">S17</f>
        <v>13200</v>
      </c>
      <c r="U17" s="44">
        <f t="shared" si="15"/>
        <v>13200</v>
      </c>
      <c r="V17" s="187">
        <f>400*11</f>
        <v>4400</v>
      </c>
      <c r="W17" s="44">
        <f t="shared" ref="W17:X17" si="16">V17</f>
        <v>4400</v>
      </c>
      <c r="X17" s="44">
        <f t="shared" si="16"/>
        <v>4400</v>
      </c>
    </row>
    <row r="18" spans="13:24" x14ac:dyDescent="0.25">
      <c r="M18" t="s">
        <v>46</v>
      </c>
      <c r="N18" s="1">
        <f>7000-1500</f>
        <v>5500</v>
      </c>
      <c r="O18" s="240">
        <f>8100-1500</f>
        <v>6600</v>
      </c>
      <c r="P18" s="44">
        <v>2000</v>
      </c>
      <c r="Q18" s="44">
        <f t="shared" ref="Q18:R18" si="17">P18</f>
        <v>2000</v>
      </c>
      <c r="R18" s="44">
        <f t="shared" si="17"/>
        <v>2000</v>
      </c>
      <c r="S18" s="44">
        <f t="shared" ref="S18:U18" si="18">R18</f>
        <v>2000</v>
      </c>
      <c r="T18" s="44">
        <f t="shared" si="18"/>
        <v>2000</v>
      </c>
      <c r="U18" s="44">
        <f t="shared" si="18"/>
        <v>2000</v>
      </c>
      <c r="V18" s="278">
        <f>U18</f>
        <v>2000</v>
      </c>
      <c r="W18" s="44">
        <f t="shared" ref="W18:X18" si="19">V18</f>
        <v>2000</v>
      </c>
      <c r="X18" s="44">
        <f t="shared" si="19"/>
        <v>2000</v>
      </c>
    </row>
    <row r="19" spans="13:24" x14ac:dyDescent="0.25">
      <c r="M19" t="s">
        <v>390</v>
      </c>
      <c r="P19" s="44">
        <f t="shared" ref="P19" si="20">O19</f>
        <v>0</v>
      </c>
      <c r="Q19" s="44">
        <f t="shared" ref="Q19:X19" si="21">P19</f>
        <v>0</v>
      </c>
      <c r="R19" s="44">
        <f t="shared" si="21"/>
        <v>0</v>
      </c>
      <c r="S19" s="44">
        <f t="shared" si="21"/>
        <v>0</v>
      </c>
      <c r="T19" s="44">
        <f t="shared" si="21"/>
        <v>0</v>
      </c>
      <c r="U19" s="44">
        <f t="shared" si="21"/>
        <v>0</v>
      </c>
      <c r="V19" s="44">
        <f t="shared" si="21"/>
        <v>0</v>
      </c>
      <c r="W19" s="44">
        <f t="shared" si="21"/>
        <v>0</v>
      </c>
      <c r="X19" s="44">
        <f t="shared" si="21"/>
        <v>0</v>
      </c>
    </row>
    <row r="20" spans="13:24" x14ac:dyDescent="0.25">
      <c r="M20" t="s">
        <v>379</v>
      </c>
      <c r="O20" s="88">
        <v>-1000</v>
      </c>
      <c r="P20" s="44">
        <f t="shared" ref="P20" si="22">O20</f>
        <v>-1000</v>
      </c>
      <c r="Q20" s="44">
        <f t="shared" ref="Q20:X20" si="23">P20</f>
        <v>-1000</v>
      </c>
      <c r="R20" s="44">
        <f t="shared" si="23"/>
        <v>-1000</v>
      </c>
      <c r="S20" s="44">
        <f t="shared" si="23"/>
        <v>-1000</v>
      </c>
      <c r="T20" s="44">
        <f t="shared" si="23"/>
        <v>-1000</v>
      </c>
      <c r="U20" s="44">
        <f t="shared" si="23"/>
        <v>-1000</v>
      </c>
      <c r="V20" s="44">
        <f t="shared" si="23"/>
        <v>-1000</v>
      </c>
      <c r="W20" s="44">
        <f t="shared" si="23"/>
        <v>-1000</v>
      </c>
      <c r="X20" s="44">
        <f t="shared" si="23"/>
        <v>-1000</v>
      </c>
    </row>
    <row r="21" spans="13:24" x14ac:dyDescent="0.25">
      <c r="N21" s="44">
        <f>SUM(N14:N20)</f>
        <v>5500</v>
      </c>
      <c r="O21" s="44">
        <f>SUM(O14:O20)</f>
        <v>12472.647878787879</v>
      </c>
      <c r="P21" s="44">
        <f t="shared" ref="P21:X21" si="24">SUM(P14:P20)</f>
        <v>22770.514545454549</v>
      </c>
      <c r="Q21" s="44">
        <f t="shared" si="24"/>
        <v>22770.514545454549</v>
      </c>
      <c r="R21" s="44">
        <f t="shared" si="24"/>
        <v>22770.514545454549</v>
      </c>
      <c r="S21" s="44">
        <f t="shared" si="24"/>
        <v>22938.154545454548</v>
      </c>
      <c r="T21" s="44">
        <f t="shared" si="24"/>
        <v>22938.154545454548</v>
      </c>
      <c r="U21" s="44">
        <f t="shared" si="24"/>
        <v>22938.154545454548</v>
      </c>
      <c r="V21" s="44">
        <f t="shared" si="24"/>
        <v>15185.904545454547</v>
      </c>
      <c r="W21" s="44">
        <f t="shared" si="24"/>
        <v>15185.904545454547</v>
      </c>
      <c r="X21" s="44">
        <f t="shared" si="24"/>
        <v>15185.904545454547</v>
      </c>
    </row>
    <row r="25" spans="13:24" x14ac:dyDescent="0.25">
      <c r="R25" t="s">
        <v>388</v>
      </c>
      <c r="S25">
        <v>12</v>
      </c>
      <c r="T25">
        <v>2021</v>
      </c>
      <c r="V25" s="39">
        <f>O21</f>
        <v>12472.647878787879</v>
      </c>
    </row>
    <row r="26" spans="13:24" x14ac:dyDescent="0.25">
      <c r="M26" t="s">
        <v>23</v>
      </c>
      <c r="N26" s="44">
        <f>SUMIFS('Cash flow'!19:19,'Cash flow'!53:53,N$2)</f>
        <v>91321.563585951488</v>
      </c>
      <c r="O26" s="44">
        <f>SUMIFS('Cash flow'!19:19,'Cash flow'!53:53,O$2)</f>
        <v>97490.070000000022</v>
      </c>
      <c r="P26" s="44">
        <f>SUMIFS('Cash flow'!19:19,'Cash flow'!53:53,P$2)</f>
        <v>104275.99333333333</v>
      </c>
      <c r="R26" t="s">
        <v>388</v>
      </c>
      <c r="S26">
        <v>6</v>
      </c>
      <c r="T26">
        <v>2022</v>
      </c>
      <c r="V26" s="39">
        <f>P21</f>
        <v>22770.514545454549</v>
      </c>
    </row>
    <row r="27" spans="13:24" x14ac:dyDescent="0.25">
      <c r="M27" t="s">
        <v>391</v>
      </c>
      <c r="R27" t="s">
        <v>388</v>
      </c>
      <c r="S27">
        <v>6</v>
      </c>
      <c r="T27">
        <v>2023</v>
      </c>
      <c r="V27" s="39">
        <f>Q21</f>
        <v>22770.514545454549</v>
      </c>
    </row>
    <row r="28" spans="13:24" x14ac:dyDescent="0.25">
      <c r="M28" t="s">
        <v>51</v>
      </c>
      <c r="N28" s="44">
        <f>SUMIFS('Cash flow'!23:23,'Cash flow'!53:53,N$2)</f>
        <v>-39020.027428413792</v>
      </c>
      <c r="O28" s="44">
        <f>SUMIFS('Cash flow'!23:23,'Cash flow'!53:53,O$2)</f>
        <v>-40201.980000000003</v>
      </c>
      <c r="P28" s="44">
        <f>SUMIFS('Cash flow'!23:23,'Cash flow'!53:53,P$2)</f>
        <v>-40201.980000000003</v>
      </c>
      <c r="R28" t="s">
        <v>388</v>
      </c>
      <c r="S28">
        <v>6</v>
      </c>
      <c r="T28">
        <v>2024</v>
      </c>
      <c r="V28" s="39">
        <f>R21</f>
        <v>22770.514545454549</v>
      </c>
    </row>
    <row r="29" spans="13:24" x14ac:dyDescent="0.25">
      <c r="M29" t="s">
        <v>66</v>
      </c>
      <c r="N29" s="44">
        <f>SUMIFS('Cash flow'!30:30,'Cash flow'!53:53,N$2)</f>
        <v>-33057.824911742471</v>
      </c>
      <c r="O29" s="44">
        <f>SUMIFS('Cash flow'!30:30,'Cash flow'!53:53,O$2)</f>
        <v>-42400</v>
      </c>
      <c r="P29" s="44">
        <f>SUMIFS('Cash flow'!30:30,'Cash flow'!53:53,P$2)</f>
        <v>-53200</v>
      </c>
      <c r="R29" t="s">
        <v>388</v>
      </c>
      <c r="S29">
        <v>6</v>
      </c>
      <c r="T29">
        <v>2025</v>
      </c>
      <c r="V29" s="39">
        <f>S21</f>
        <v>22938.154545454548</v>
      </c>
    </row>
    <row r="30" spans="13:24" x14ac:dyDescent="0.25">
      <c r="M30" t="s">
        <v>388</v>
      </c>
      <c r="N30" s="44">
        <f>N21*-1</f>
        <v>-5500</v>
      </c>
      <c r="O30" s="44">
        <f>O21*-1</f>
        <v>-12472.647878787879</v>
      </c>
      <c r="P30" s="44">
        <f>P21*-1</f>
        <v>-22770.514545454549</v>
      </c>
      <c r="R30" t="s">
        <v>388</v>
      </c>
      <c r="S30">
        <v>6</v>
      </c>
      <c r="T30">
        <v>2026</v>
      </c>
      <c r="V30" s="39">
        <f>T21</f>
        <v>22938.154545454548</v>
      </c>
    </row>
    <row r="31" spans="13:24" x14ac:dyDescent="0.25">
      <c r="M31" t="s">
        <v>389</v>
      </c>
      <c r="N31" s="44">
        <f>SUM(N26:N30)</f>
        <v>13743.711245795224</v>
      </c>
      <c r="O31" s="44">
        <f>SUM(O26:O30)</f>
        <v>2415.4421212121397</v>
      </c>
      <c r="P31" s="44">
        <f>SUM(P26:P30)</f>
        <v>-11896.50121212122</v>
      </c>
      <c r="R31" t="s">
        <v>388</v>
      </c>
      <c r="S31">
        <v>6</v>
      </c>
      <c r="T31">
        <v>2027</v>
      </c>
      <c r="V31" s="39">
        <f>U21</f>
        <v>22938.154545454548</v>
      </c>
    </row>
    <row r="32" spans="13:24" x14ac:dyDescent="0.25">
      <c r="R32" t="s">
        <v>388</v>
      </c>
      <c r="S32">
        <v>6</v>
      </c>
      <c r="T32">
        <v>2028</v>
      </c>
      <c r="V32" s="39">
        <f>V21</f>
        <v>15185.904545454547</v>
      </c>
    </row>
    <row r="33" spans="18:22" x14ac:dyDescent="0.25">
      <c r="R33" t="s">
        <v>388</v>
      </c>
      <c r="S33">
        <v>6</v>
      </c>
      <c r="T33">
        <v>2029</v>
      </c>
      <c r="V33" s="39">
        <f>W21</f>
        <v>15185.904545454547</v>
      </c>
    </row>
    <row r="34" spans="18:22" x14ac:dyDescent="0.25">
      <c r="R34" t="s">
        <v>388</v>
      </c>
      <c r="S34">
        <v>6</v>
      </c>
      <c r="T34">
        <v>2030</v>
      </c>
      <c r="V34" s="39">
        <f>X21</f>
        <v>15185.904545454547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2747-866D-4996-8F6A-D319F6B9A0D9}">
  <dimension ref="B1:BK70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5" sqref="D5"/>
    </sheetView>
  </sheetViews>
  <sheetFormatPr defaultRowHeight="15" x14ac:dyDescent="0.25"/>
  <cols>
    <col min="1" max="1" width="1.42578125" customWidth="1"/>
    <col min="2" max="2" width="8.5703125" style="104" customWidth="1"/>
    <col min="3" max="3" width="8.7109375" style="108"/>
    <col min="4" max="4" width="8.7109375" style="9"/>
    <col min="5" max="5" width="11.140625" style="9" customWidth="1"/>
    <col min="6" max="6" width="8.7109375" style="122"/>
    <col min="7" max="7" width="8.7109375" style="9"/>
    <col min="8" max="8" width="9.85546875" style="123" bestFit="1" customWidth="1"/>
    <col min="9" max="10" width="9.85546875" style="261" customWidth="1"/>
    <col min="11" max="11" width="10.85546875" style="261" customWidth="1"/>
    <col min="12" max="14" width="9.85546875" style="261" customWidth="1"/>
    <col min="15" max="15" width="8.7109375" style="122"/>
    <col min="16" max="16" width="8.7109375" style="9"/>
    <col min="17" max="17" width="8.7109375" style="113"/>
    <col min="18" max="18" width="8.7109375" style="126"/>
    <col min="19" max="19" width="11.85546875" style="122" customWidth="1"/>
    <col min="20" max="22" width="11.85546875" style="9" customWidth="1"/>
    <col min="23" max="23" width="8.7109375" style="122"/>
    <col min="24" max="24" width="8.7109375" style="113"/>
    <col min="25" max="25" width="8.7109375" style="122"/>
    <col min="26" max="28" width="8.7109375" style="9"/>
    <col min="29" max="29" width="8.7109375" style="113"/>
    <col min="31" max="31" width="8.7109375" style="253"/>
    <col min="35" max="35" width="9.28515625" bestFit="1" customWidth="1"/>
    <col min="36" max="36" width="9.28515625" style="391" customWidth="1"/>
    <col min="39" max="39" width="10.5703125" bestFit="1" customWidth="1"/>
    <col min="40" max="40" width="8.85546875" bestFit="1" customWidth="1"/>
    <col min="41" max="41" width="9.42578125" bestFit="1" customWidth="1"/>
    <col min="42" max="42" width="8.85546875" bestFit="1" customWidth="1"/>
  </cols>
  <sheetData>
    <row r="1" spans="2:63" s="94" customFormat="1" x14ac:dyDescent="0.25">
      <c r="B1" s="104"/>
      <c r="C1" s="106" t="s">
        <v>21</v>
      </c>
      <c r="D1" s="93"/>
      <c r="E1" s="93" t="s">
        <v>22</v>
      </c>
      <c r="F1" s="114" t="s">
        <v>22</v>
      </c>
      <c r="G1" s="93" t="s">
        <v>22</v>
      </c>
      <c r="H1" s="115" t="s">
        <v>22</v>
      </c>
      <c r="I1" s="258" t="s">
        <v>345</v>
      </c>
      <c r="J1" s="258" t="s">
        <v>21</v>
      </c>
      <c r="K1" s="258" t="s">
        <v>345</v>
      </c>
      <c r="L1" s="258" t="s">
        <v>21</v>
      </c>
      <c r="M1" s="258" t="s">
        <v>21</v>
      </c>
      <c r="N1" s="258" t="s">
        <v>21</v>
      </c>
      <c r="O1" s="114" t="s">
        <v>149</v>
      </c>
      <c r="P1" s="93"/>
      <c r="Q1" s="110"/>
      <c r="R1" s="124" t="s">
        <v>21</v>
      </c>
      <c r="S1" s="114" t="s">
        <v>21</v>
      </c>
      <c r="T1" s="93" t="s">
        <v>21</v>
      </c>
      <c r="U1" s="93" t="s">
        <v>21</v>
      </c>
      <c r="V1" s="110" t="s">
        <v>21</v>
      </c>
      <c r="W1" s="130"/>
      <c r="X1" s="131"/>
      <c r="Y1" s="130"/>
      <c r="AC1" s="131"/>
      <c r="AE1" s="255"/>
      <c r="AJ1" s="389" t="s">
        <v>584</v>
      </c>
      <c r="AO1" s="95"/>
      <c r="AP1" s="95"/>
      <c r="AR1" s="94" t="s">
        <v>22</v>
      </c>
    </row>
    <row r="2" spans="2:63" s="98" customFormat="1" ht="15.75" thickBot="1" x14ac:dyDescent="0.3">
      <c r="B2" s="105">
        <v>67000</v>
      </c>
      <c r="C2" s="107" t="s">
        <v>175</v>
      </c>
      <c r="D2" s="97" t="s">
        <v>176</v>
      </c>
      <c r="E2" s="97" t="s">
        <v>175</v>
      </c>
      <c r="F2" s="116" t="s">
        <v>157</v>
      </c>
      <c r="G2" s="97" t="s">
        <v>177</v>
      </c>
      <c r="H2" s="117" t="s">
        <v>178</v>
      </c>
      <c r="I2" s="259" t="s">
        <v>8</v>
      </c>
      <c r="J2" s="259" t="s">
        <v>8</v>
      </c>
      <c r="K2" s="259" t="s">
        <v>346</v>
      </c>
      <c r="L2" s="259" t="s">
        <v>346</v>
      </c>
      <c r="M2" s="259" t="s">
        <v>149</v>
      </c>
      <c r="N2" s="259" t="s">
        <v>344</v>
      </c>
      <c r="O2" s="116" t="s">
        <v>158</v>
      </c>
      <c r="P2" s="97" t="s">
        <v>157</v>
      </c>
      <c r="Q2" s="111" t="s">
        <v>159</v>
      </c>
      <c r="R2" s="125" t="s">
        <v>167</v>
      </c>
      <c r="S2" s="128" t="s">
        <v>161</v>
      </c>
      <c r="T2" s="254" t="s">
        <v>342</v>
      </c>
      <c r="U2" s="254" t="s">
        <v>340</v>
      </c>
      <c r="V2" s="254" t="s">
        <v>341</v>
      </c>
      <c r="W2" s="116" t="s">
        <v>162</v>
      </c>
      <c r="X2" s="111" t="s">
        <v>163</v>
      </c>
      <c r="Y2" s="114" t="s">
        <v>349</v>
      </c>
      <c r="Z2" s="93" t="s">
        <v>357</v>
      </c>
      <c r="AA2" s="93" t="s">
        <v>348</v>
      </c>
      <c r="AB2" s="93" t="s">
        <v>164</v>
      </c>
      <c r="AC2" s="110" t="s">
        <v>116</v>
      </c>
      <c r="AD2" s="97"/>
      <c r="AE2" s="256"/>
      <c r="AF2" s="97"/>
      <c r="AG2" s="97"/>
      <c r="AH2" s="97" t="s">
        <v>542</v>
      </c>
      <c r="AI2" s="97" t="s">
        <v>543</v>
      </c>
      <c r="AJ2" s="390" t="s">
        <v>107</v>
      </c>
      <c r="AO2" s="100"/>
      <c r="AQ2" s="97" t="s">
        <v>3</v>
      </c>
      <c r="AR2" s="96" t="s">
        <v>148</v>
      </c>
      <c r="AS2" s="96" t="s">
        <v>149</v>
      </c>
      <c r="AT2" s="96" t="s">
        <v>150</v>
      </c>
      <c r="AV2" s="97" t="s">
        <v>149</v>
      </c>
      <c r="AW2" s="99">
        <v>0.03</v>
      </c>
      <c r="AZ2" s="101" t="s">
        <v>160</v>
      </c>
      <c r="BA2" s="102"/>
      <c r="BB2" s="103"/>
      <c r="BE2" s="98" t="s">
        <v>339</v>
      </c>
      <c r="BH2" s="98" t="s">
        <v>337</v>
      </c>
      <c r="BI2" s="98" t="s">
        <v>338</v>
      </c>
    </row>
    <row r="3" spans="2:63" x14ac:dyDescent="0.25">
      <c r="B3" s="104" t="s">
        <v>156</v>
      </c>
      <c r="C3" s="109">
        <v>0</v>
      </c>
      <c r="D3" s="91">
        <v>3.9</v>
      </c>
      <c r="E3" s="40">
        <f>C3/D3</f>
        <v>0</v>
      </c>
      <c r="F3" s="118">
        <v>23000</v>
      </c>
      <c r="G3" s="40">
        <v>86579.650689572081</v>
      </c>
      <c r="H3" s="119">
        <f>SUM(E3:G3)</f>
        <v>109579.65068957208</v>
      </c>
      <c r="I3" s="260"/>
      <c r="J3" s="260"/>
      <c r="K3" s="260"/>
      <c r="L3" s="260"/>
      <c r="M3" s="260"/>
      <c r="N3" s="260"/>
      <c r="AL3" s="135"/>
      <c r="AM3" s="136" t="s">
        <v>165</v>
      </c>
      <c r="AN3" s="137">
        <v>0.5</v>
      </c>
      <c r="AQ3" s="3">
        <v>1</v>
      </c>
      <c r="AR3" s="88">
        <v>2253720.6803227742</v>
      </c>
      <c r="AS3" s="44">
        <f t="shared" ref="AS3:AS42" si="0">(AR3+AT3)*$AW$2/(1-$AW$2)</f>
        <v>66733.629288333221</v>
      </c>
      <c r="AT3" s="44">
        <f t="shared" ref="AT3:AT42" si="1">-$AW$3</f>
        <v>-96000</v>
      </c>
      <c r="AV3" s="1" t="s">
        <v>151</v>
      </c>
      <c r="AW3" s="44">
        <f>12*8000</f>
        <v>96000</v>
      </c>
      <c r="AY3" t="s">
        <v>347</v>
      </c>
      <c r="AZ3" s="16" t="s">
        <v>158</v>
      </c>
      <c r="BA3" s="10" t="s">
        <v>157</v>
      </c>
      <c r="BB3" s="18" t="s">
        <v>159</v>
      </c>
      <c r="BD3">
        <v>0</v>
      </c>
      <c r="BE3" s="58">
        <f>BH3+SUM($BI$3:$BK$3)</f>
        <v>0.22600000000000001</v>
      </c>
      <c r="BH3" s="77">
        <v>0.1</v>
      </c>
      <c r="BI3" s="185">
        <v>4.9500000000000002E-2</v>
      </c>
      <c r="BJ3" s="185">
        <v>6.2E-2</v>
      </c>
      <c r="BK3" s="185">
        <v>1.4500000000000001E-2</v>
      </c>
    </row>
    <row r="4" spans="2:63" x14ac:dyDescent="0.25">
      <c r="B4" s="104">
        <v>2019</v>
      </c>
      <c r="C4" s="316">
        <f>C3+O4+R4+N4</f>
        <v>5853.7342070201648</v>
      </c>
      <c r="D4" s="315">
        <v>3.9974999999999996</v>
      </c>
      <c r="E4" s="40">
        <f>C4*D4</f>
        <v>23400.302492563107</v>
      </c>
      <c r="F4" s="120">
        <f>F3+P4</f>
        <v>23711.340206185567</v>
      </c>
      <c r="G4" s="314">
        <v>115795</v>
      </c>
      <c r="H4" s="119">
        <f>SUM(E4:G4)</f>
        <v>162906.64269874868</v>
      </c>
      <c r="I4" s="263">
        <v>0.05</v>
      </c>
      <c r="J4" s="260">
        <f>I4*U4</f>
        <v>2625</v>
      </c>
      <c r="K4" s="263">
        <v>0.04</v>
      </c>
      <c r="L4" s="260">
        <f>K4*U4</f>
        <v>2100</v>
      </c>
      <c r="M4" s="260"/>
      <c r="N4" s="319">
        <v>3098.04</v>
      </c>
      <c r="O4" s="317">
        <f>C3*$AZ$4/(1-$AZ$4)</f>
        <v>0</v>
      </c>
      <c r="P4" s="40">
        <f t="shared" ref="P4:P41" si="2">F3*$BA$4/(1-$BA$4)</f>
        <v>711.34020618556701</v>
      </c>
      <c r="Q4" s="112">
        <f t="shared" ref="Q4:Q41" si="3">G3*$BB$4/(1-$BB$4)</f>
        <v>7019.9716775328707</v>
      </c>
      <c r="R4" s="318">
        <v>2755.6942070201649</v>
      </c>
      <c r="S4" s="120">
        <f t="shared" ref="S4:S41" si="4">T4-AG4</f>
        <v>46912.748</v>
      </c>
      <c r="T4" s="40">
        <f>SUM(U4:V4)</f>
        <v>58462</v>
      </c>
      <c r="U4" s="40">
        <f>90000*7/12</f>
        <v>52500</v>
      </c>
      <c r="V4" s="129">
        <v>5962</v>
      </c>
      <c r="Y4" s="274">
        <f>-'P&amp;L USA'!$C$13*8</f>
        <v>-26801.32</v>
      </c>
      <c r="Z4" s="272"/>
      <c r="AA4" s="273">
        <f>SUM(Y4:Z4)</f>
        <v>-26801.32</v>
      </c>
      <c r="AB4" s="40">
        <f t="shared" ref="AB4:AB41" si="5">S4+AA4</f>
        <v>20111.428</v>
      </c>
      <c r="AC4" s="132">
        <v>0.28000000000000003</v>
      </c>
      <c r="AD4" s="39">
        <f t="shared" ref="AD4:AD41" si="6">VLOOKUP(T4,$BD$2:$BF$9,1,TRUE)</f>
        <v>19400</v>
      </c>
      <c r="AE4" s="257">
        <f t="shared" ref="AE4:AE41" si="7">VLOOKUP(T4,$BD$2:$BF$9,2,TRUE)</f>
        <v>0.246</v>
      </c>
      <c r="AF4" s="39">
        <f t="shared" ref="AF4:AF41" si="8">VLOOKUP(T4,$BD$2:$BF$9,3,TRUE)</f>
        <v>1940</v>
      </c>
      <c r="AG4" s="39">
        <f t="shared" ref="AG4:AG41" si="9">(T4-AD4)*AE4+AF4</f>
        <v>11549.252</v>
      </c>
      <c r="AH4" s="320">
        <f>(23000)*1.5</f>
        <v>34500</v>
      </c>
      <c r="AI4" s="44">
        <f>C4-N4+G4/D4</f>
        <v>31722.548490947622</v>
      </c>
      <c r="AJ4" s="388"/>
      <c r="AL4" s="138"/>
      <c r="AM4" s="139" t="s">
        <v>166</v>
      </c>
      <c r="AN4" s="140">
        <v>0.95525958137273581</v>
      </c>
      <c r="AQ4" s="3">
        <v>2</v>
      </c>
      <c r="AR4" s="44">
        <f>SUM(AR3:AT3)</f>
        <v>2224454.3096111072</v>
      </c>
      <c r="AS4" s="44">
        <f t="shared" si="0"/>
        <v>65828.483802405375</v>
      </c>
      <c r="AT4" s="44">
        <f t="shared" si="1"/>
        <v>-96000</v>
      </c>
      <c r="AY4" s="185">
        <f>3%+AN9</f>
        <v>0.05</v>
      </c>
      <c r="AZ4" s="89">
        <v>0.02</v>
      </c>
      <c r="BA4" s="90">
        <v>0.03</v>
      </c>
      <c r="BB4" s="207">
        <v>7.4999999999999997E-2</v>
      </c>
      <c r="BD4" s="39">
        <v>19400</v>
      </c>
      <c r="BE4" s="58">
        <f t="shared" ref="BE4:BE8" si="10">BH4+SUM($BI$3:$BK$3)</f>
        <v>0.246</v>
      </c>
      <c r="BF4" s="39">
        <v>1940</v>
      </c>
      <c r="BH4" s="77">
        <v>0.12</v>
      </c>
    </row>
    <row r="5" spans="2:63" x14ac:dyDescent="0.25">
      <c r="B5" s="104">
        <v>2020</v>
      </c>
      <c r="C5" s="109">
        <f t="shared" ref="C5:C41" si="11">C4+O5+R5+N5</f>
        <v>15429.085992753087</v>
      </c>
      <c r="D5" s="92">
        <f t="shared" ref="D5:D41" si="12">D4*(1+$AM$7-$AN$9)</f>
        <v>4.097437499999999</v>
      </c>
      <c r="E5" s="40">
        <f>C5*D5</f>
        <v>63219.715537431213</v>
      </c>
      <c r="F5" s="120">
        <f t="shared" ref="F5:F41" si="13">F4+P5</f>
        <v>24444.680624933575</v>
      </c>
      <c r="G5" s="40">
        <f>G4+P5</f>
        <v>116528.340418748</v>
      </c>
      <c r="H5" s="119">
        <f>SUM(E5:G5)</f>
        <v>204192.73658111278</v>
      </c>
      <c r="I5" s="262">
        <f>I4</f>
        <v>0.05</v>
      </c>
      <c r="J5" s="260">
        <f>I5*U5</f>
        <v>4500</v>
      </c>
      <c r="K5" s="262">
        <f>K4</f>
        <v>0.04</v>
      </c>
      <c r="L5" s="260">
        <f>K5*U5</f>
        <v>3600</v>
      </c>
      <c r="M5" s="260">
        <f>N4*$AY$4/(1-$AY$4)</f>
        <v>163.05473684210529</v>
      </c>
      <c r="N5" s="260">
        <f>(J5+L5+M5)*(1-$BH$4-$BI$3)</f>
        <v>6862.4669589473679</v>
      </c>
      <c r="O5" s="120">
        <f t="shared" ref="O5:O41" si="14">C4*$AZ$4/(1-$AZ$4)</f>
        <v>119.46396340857478</v>
      </c>
      <c r="P5" s="40">
        <f t="shared" si="2"/>
        <v>733.34041874800721</v>
      </c>
      <c r="Q5" s="112">
        <f t="shared" si="3"/>
        <v>9388.7837837837833</v>
      </c>
      <c r="R5" s="127">
        <f t="shared" ref="R5:R41" si="15">AB5*AC5-J5</f>
        <v>2593.4208633769813</v>
      </c>
      <c r="S5" s="120">
        <f t="shared" si="4"/>
        <v>77090.7</v>
      </c>
      <c r="T5" s="40">
        <f t="shared" ref="T5:T41" si="16">SUM(U5:V5)</f>
        <v>90000</v>
      </c>
      <c r="U5" s="40">
        <v>90000</v>
      </c>
      <c r="V5" s="129"/>
      <c r="Y5" s="274">
        <f>-'P&amp;L USA'!$C$13*12*(1+$AN$9)</f>
        <v>-41006.0196</v>
      </c>
      <c r="Z5" s="272"/>
      <c r="AA5" s="273">
        <f t="shared" ref="AA5:AA41" si="17">SUM(Y5:Z5)</f>
        <v>-41006.0196</v>
      </c>
      <c r="AB5" s="40">
        <f t="shared" si="5"/>
        <v>36084.680399999997</v>
      </c>
      <c r="AC5" s="387">
        <f>(5611+2946)/43530</f>
        <v>0.19657707328279347</v>
      </c>
      <c r="AD5" s="39">
        <f t="shared" si="6"/>
        <v>78950</v>
      </c>
      <c r="AE5" s="257">
        <f t="shared" si="7"/>
        <v>0.34599999999999997</v>
      </c>
      <c r="AF5" s="39">
        <f t="shared" si="8"/>
        <v>9086</v>
      </c>
      <c r="AG5" s="39">
        <f t="shared" si="9"/>
        <v>12909.3</v>
      </c>
      <c r="AH5" s="39">
        <f>AH4*(1+$AN$9)</f>
        <v>35190</v>
      </c>
      <c r="AI5" s="44">
        <f t="shared" ref="AI5:AI9" si="18">C5-N5+G5/D5</f>
        <v>37005.940053039827</v>
      </c>
      <c r="AJ5" s="388">
        <f>$AJ$41/((1+$AN$6)^(2056-B5))</f>
        <v>1015712.9449194269</v>
      </c>
      <c r="AK5" s="386">
        <f>H5/AJ5</f>
        <v>0.20103390195279111</v>
      </c>
      <c r="AL5" s="141"/>
      <c r="AM5" s="142" t="s">
        <v>168</v>
      </c>
      <c r="AN5" s="143" t="s">
        <v>169</v>
      </c>
      <c r="AQ5" s="3">
        <v>3</v>
      </c>
      <c r="AR5" s="44">
        <f t="shared" ref="AR5:AR43" si="19">SUM(AR4:AT4)</f>
        <v>2194282.7934135124</v>
      </c>
      <c r="AS5" s="44">
        <f t="shared" si="0"/>
        <v>64895.344126191099</v>
      </c>
      <c r="AT5" s="44">
        <f t="shared" si="1"/>
        <v>-96000</v>
      </c>
      <c r="BD5" s="39">
        <v>78950</v>
      </c>
      <c r="BE5" s="58">
        <f t="shared" si="10"/>
        <v>0.34599999999999997</v>
      </c>
      <c r="BF5" s="39">
        <v>9086</v>
      </c>
      <c r="BH5" s="77">
        <v>0.22</v>
      </c>
    </row>
    <row r="6" spans="2:63" x14ac:dyDescent="0.25">
      <c r="B6" s="104">
        <v>2021</v>
      </c>
      <c r="C6" s="109">
        <f t="shared" si="11"/>
        <v>24957.524641327946</v>
      </c>
      <c r="D6" s="92">
        <f t="shared" si="12"/>
        <v>4.1998734374999982</v>
      </c>
      <c r="E6" s="40">
        <f t="shared" ref="E6:E41" si="20">C6*D6</f>
        <v>104818.44480686491</v>
      </c>
      <c r="F6" s="120">
        <f t="shared" si="13"/>
        <v>25200.701675189252</v>
      </c>
      <c r="G6" s="40">
        <f t="shared" ref="G6:G41" si="21">G5+P6</f>
        <v>117284.36146900368</v>
      </c>
      <c r="H6" s="119">
        <f t="shared" ref="H6:H40" si="22">SUM(E6:G6)</f>
        <v>247303.50795105784</v>
      </c>
      <c r="I6" s="262">
        <f t="shared" ref="I6:I9" si="23">I5</f>
        <v>0.05</v>
      </c>
      <c r="J6" s="260">
        <f t="shared" ref="J6:J9" si="24">I6*U6</f>
        <v>4716</v>
      </c>
      <c r="K6" s="262">
        <f t="shared" ref="K6:K41" si="25">K5</f>
        <v>0.04</v>
      </c>
      <c r="L6" s="260">
        <f t="shared" ref="L6:L41" si="26">K6*U6</f>
        <v>3772.8</v>
      </c>
      <c r="M6" s="260">
        <f t="shared" ref="M6:M41" si="27">N5*$AY$4/(1-$AY$4)</f>
        <v>361.1824715235457</v>
      </c>
      <c r="N6" s="260">
        <f t="shared" ref="N6:N19" si="28">(J6+L6+M6)*(1-$BH$4-$BI$3)</f>
        <v>7349.9104426003041</v>
      </c>
      <c r="O6" s="120">
        <f t="shared" si="14"/>
        <v>314.87930597455284</v>
      </c>
      <c r="P6" s="40">
        <f t="shared" si="2"/>
        <v>756.02105025567755</v>
      </c>
      <c r="Q6" s="112">
        <f t="shared" si="3"/>
        <v>9448.2438177363238</v>
      </c>
      <c r="R6" s="127">
        <f t="shared" si="15"/>
        <v>1863.6489000000001</v>
      </c>
      <c r="S6" s="120">
        <f t="shared" si="4"/>
        <v>79915.98</v>
      </c>
      <c r="T6" s="40">
        <f t="shared" si="16"/>
        <v>94320</v>
      </c>
      <c r="U6" s="40">
        <f t="shared" ref="U6:U41" si="29">U5*(1+W6)</f>
        <v>94320</v>
      </c>
      <c r="V6" s="129"/>
      <c r="W6" s="279">
        <f>AQ46+AN9</f>
        <v>4.8000000000000001E-2</v>
      </c>
      <c r="X6" s="114"/>
      <c r="Y6" s="271">
        <f>-'P&amp;L USA'!C15*12</f>
        <v>-20100.989999999998</v>
      </c>
      <c r="Z6" s="273"/>
      <c r="AA6" s="273">
        <f t="shared" si="17"/>
        <v>-20100.989999999998</v>
      </c>
      <c r="AB6" s="40">
        <f t="shared" si="5"/>
        <v>59814.99</v>
      </c>
      <c r="AC6" s="132">
        <v>0.11</v>
      </c>
      <c r="AD6" s="39">
        <f t="shared" si="6"/>
        <v>78950</v>
      </c>
      <c r="AE6" s="257">
        <f t="shared" si="7"/>
        <v>0.34599999999999997</v>
      </c>
      <c r="AF6" s="39">
        <f t="shared" si="8"/>
        <v>9086</v>
      </c>
      <c r="AG6" s="39">
        <f t="shared" si="9"/>
        <v>14404.02</v>
      </c>
      <c r="AH6" s="39">
        <f t="shared" ref="AH6:AH41" si="30">AH5*(1+$AN$9)</f>
        <v>35893.800000000003</v>
      </c>
      <c r="AI6" s="44">
        <f t="shared" si="18"/>
        <v>45533.303678270138</v>
      </c>
      <c r="AJ6" s="388">
        <f t="shared" ref="AJ6:AJ40" si="31">$AJ$41/((1+$AN$6)^(2056-B6))</f>
        <v>1086508.1371803109</v>
      </c>
      <c r="AK6" s="386">
        <f t="shared" ref="AK6:AK41" si="32">H6/AJ6</f>
        <v>0.22761312086705221</v>
      </c>
      <c r="AL6" s="141" t="s">
        <v>171</v>
      </c>
      <c r="AM6" s="144">
        <f>AM7+AM8</f>
        <v>8.4999999999999992E-2</v>
      </c>
      <c r="AN6" s="145">
        <f>(AM6-AN10)*(1-AN11)</f>
        <v>6.9699999999999984E-2</v>
      </c>
      <c r="AQ6" s="3">
        <v>4</v>
      </c>
      <c r="AR6" s="44">
        <f t="shared" si="19"/>
        <v>2163178.1375397034</v>
      </c>
      <c r="AS6" s="44">
        <f t="shared" si="0"/>
        <v>63933.344459990825</v>
      </c>
      <c r="AT6" s="44">
        <f t="shared" si="1"/>
        <v>-96000</v>
      </c>
      <c r="AX6" s="44"/>
      <c r="BD6" s="39">
        <v>168400</v>
      </c>
      <c r="BE6" s="58">
        <f t="shared" si="10"/>
        <v>0.36599999999999999</v>
      </c>
      <c r="BF6" s="39">
        <v>28765</v>
      </c>
      <c r="BH6" s="77">
        <v>0.24</v>
      </c>
    </row>
    <row r="7" spans="2:63" x14ac:dyDescent="0.25">
      <c r="B7" s="104">
        <v>2022</v>
      </c>
      <c r="C7" s="109">
        <f t="shared" si="11"/>
        <v>35095.233256326042</v>
      </c>
      <c r="D7" s="92">
        <f t="shared" si="12"/>
        <v>4.3048702734374977</v>
      </c>
      <c r="E7" s="40">
        <f t="shared" si="20"/>
        <v>151080.42638451306</v>
      </c>
      <c r="F7" s="120">
        <f t="shared" si="13"/>
        <v>25980.104819782733</v>
      </c>
      <c r="G7" s="40">
        <f t="shared" si="21"/>
        <v>118063.76461359716</v>
      </c>
      <c r="H7" s="119">
        <f t="shared" si="22"/>
        <v>295124.295817893</v>
      </c>
      <c r="I7" s="262">
        <f t="shared" si="23"/>
        <v>0.05</v>
      </c>
      <c r="J7" s="260">
        <f t="shared" si="24"/>
        <v>4942.3680000000004</v>
      </c>
      <c r="K7" s="262">
        <f t="shared" si="25"/>
        <v>0.04</v>
      </c>
      <c r="L7" s="260">
        <f t="shared" si="26"/>
        <v>3953.8944000000001</v>
      </c>
      <c r="M7" s="260">
        <f t="shared" si="27"/>
        <v>386.8373917158055</v>
      </c>
      <c r="N7" s="260">
        <f t="shared" si="28"/>
        <v>7709.6143770199769</v>
      </c>
      <c r="O7" s="120">
        <f t="shared" si="14"/>
        <v>509.3372375781214</v>
      </c>
      <c r="P7" s="40">
        <f t="shared" si="2"/>
        <v>779.40314459348201</v>
      </c>
      <c r="Q7" s="112">
        <f t="shared" si="3"/>
        <v>9509.5428218111083</v>
      </c>
      <c r="R7" s="127">
        <f t="shared" si="15"/>
        <v>1918.757000399999</v>
      </c>
      <c r="S7" s="120">
        <f t="shared" si="4"/>
        <v>82876.873439999996</v>
      </c>
      <c r="T7" s="40">
        <f t="shared" si="16"/>
        <v>98847.360000000001</v>
      </c>
      <c r="U7" s="40">
        <f t="shared" si="29"/>
        <v>98847.360000000001</v>
      </c>
      <c r="V7" s="129"/>
      <c r="W7" s="280">
        <f>W6</f>
        <v>4.8000000000000001E-2</v>
      </c>
      <c r="X7" s="134"/>
      <c r="Y7" s="271">
        <f t="shared" ref="Y7:Y41" si="33">Y6*(1+$AN$9)</f>
        <v>-20503.0098</v>
      </c>
      <c r="Z7" s="273"/>
      <c r="AA7" s="273">
        <f t="shared" si="17"/>
        <v>-20503.0098</v>
      </c>
      <c r="AB7" s="40">
        <f t="shared" si="5"/>
        <v>62373.863639999996</v>
      </c>
      <c r="AC7" s="132">
        <v>0.11</v>
      </c>
      <c r="AD7" s="39">
        <f t="shared" si="6"/>
        <v>78950</v>
      </c>
      <c r="AE7" s="257">
        <f t="shared" si="7"/>
        <v>0.34599999999999997</v>
      </c>
      <c r="AF7" s="39">
        <f t="shared" si="8"/>
        <v>9086</v>
      </c>
      <c r="AG7" s="39">
        <f t="shared" si="9"/>
        <v>15970.486559999999</v>
      </c>
      <c r="AH7" s="39">
        <f t="shared" si="30"/>
        <v>36611.676000000007</v>
      </c>
      <c r="AI7" s="44">
        <f t="shared" si="18"/>
        <v>54811.245463709878</v>
      </c>
      <c r="AJ7" s="388">
        <f t="shared" si="31"/>
        <v>1162237.7543417786</v>
      </c>
      <c r="AK7" s="386">
        <f t="shared" si="32"/>
        <v>0.25392764493787556</v>
      </c>
      <c r="AL7" s="141" t="s">
        <v>172</v>
      </c>
      <c r="AM7" s="144">
        <v>4.4999999999999998E-2</v>
      </c>
      <c r="AN7" s="145">
        <f>AM7</f>
        <v>4.4999999999999998E-2</v>
      </c>
      <c r="AQ7" s="3">
        <v>5</v>
      </c>
      <c r="AR7" s="44">
        <f t="shared" si="19"/>
        <v>2131111.4819996944</v>
      </c>
      <c r="AS7" s="44">
        <f t="shared" si="0"/>
        <v>62941.592226794666</v>
      </c>
      <c r="AT7" s="44">
        <f t="shared" si="1"/>
        <v>-96000</v>
      </c>
      <c r="AX7" s="44"/>
      <c r="BD7" s="39">
        <v>321450</v>
      </c>
      <c r="BE7" s="58">
        <f t="shared" si="10"/>
        <v>0.44600000000000001</v>
      </c>
      <c r="BF7" s="39">
        <v>93257</v>
      </c>
      <c r="BH7" s="77">
        <v>0.32</v>
      </c>
    </row>
    <row r="8" spans="2:63" x14ac:dyDescent="0.25">
      <c r="B8" s="104">
        <v>2023</v>
      </c>
      <c r="C8" s="109">
        <f t="shared" si="11"/>
        <v>56930.548207433669</v>
      </c>
      <c r="D8" s="92">
        <f t="shared" si="12"/>
        <v>4.4124920302734347</v>
      </c>
      <c r="E8" s="40">
        <f t="shared" si="20"/>
        <v>251205.59024439863</v>
      </c>
      <c r="F8" s="120">
        <f t="shared" si="13"/>
        <v>26783.61321627086</v>
      </c>
      <c r="G8" s="40">
        <f t="shared" si="21"/>
        <v>118867.27301008528</v>
      </c>
      <c r="H8" s="119">
        <f t="shared" si="22"/>
        <v>396856.47647075477</v>
      </c>
      <c r="I8" s="262">
        <f t="shared" si="23"/>
        <v>0.05</v>
      </c>
      <c r="J8" s="260">
        <f t="shared" si="24"/>
        <v>5179.6016640000007</v>
      </c>
      <c r="K8" s="262">
        <f t="shared" si="25"/>
        <v>0.04</v>
      </c>
      <c r="L8" s="260">
        <f t="shared" si="26"/>
        <v>4143.6813312000004</v>
      </c>
      <c r="M8" s="260">
        <f t="shared" si="27"/>
        <v>405.76917773789359</v>
      </c>
      <c r="N8" s="260">
        <f t="shared" si="28"/>
        <v>8079.9778296249215</v>
      </c>
      <c r="O8" s="120">
        <f t="shared" si="14"/>
        <v>716.22925012910298</v>
      </c>
      <c r="P8" s="40">
        <f t="shared" si="2"/>
        <v>803.50839648812575</v>
      </c>
      <c r="Q8" s="112">
        <f t="shared" si="3"/>
        <v>9572.7376713727426</v>
      </c>
      <c r="R8" s="127">
        <f t="shared" si="15"/>
        <v>13039.107871353601</v>
      </c>
      <c r="S8" s="120">
        <f t="shared" si="4"/>
        <v>85979.889765119995</v>
      </c>
      <c r="T8" s="40">
        <f t="shared" si="16"/>
        <v>103592.03328</v>
      </c>
      <c r="U8" s="40">
        <f t="shared" si="29"/>
        <v>103592.03328</v>
      </c>
      <c r="V8" s="40"/>
      <c r="W8" s="280">
        <f>W7</f>
        <v>4.8000000000000001E-2</v>
      </c>
      <c r="X8" s="132">
        <v>0.03</v>
      </c>
      <c r="Y8" s="271">
        <f t="shared" si="33"/>
        <v>-20913.069995999998</v>
      </c>
      <c r="Z8" s="273"/>
      <c r="AA8" s="273">
        <f t="shared" si="17"/>
        <v>-20913.069995999998</v>
      </c>
      <c r="AB8" s="40">
        <f t="shared" si="5"/>
        <v>65066.819769119997</v>
      </c>
      <c r="AC8" s="392">
        <f>28%</f>
        <v>0.28000000000000003</v>
      </c>
      <c r="AD8" s="39">
        <f t="shared" si="6"/>
        <v>78950</v>
      </c>
      <c r="AE8" s="257">
        <f t="shared" si="7"/>
        <v>0.34599999999999997</v>
      </c>
      <c r="AF8" s="39">
        <f t="shared" si="8"/>
        <v>9086</v>
      </c>
      <c r="AG8" s="39">
        <f t="shared" si="9"/>
        <v>17612.143514880001</v>
      </c>
      <c r="AH8" s="39">
        <f t="shared" si="30"/>
        <v>37343.909520000008</v>
      </c>
      <c r="AI8" s="44">
        <f t="shared" si="18"/>
        <v>75789.377789710008</v>
      </c>
      <c r="AJ8" s="388">
        <f t="shared" si="31"/>
        <v>1243245.7258194005</v>
      </c>
      <c r="AK8" s="386">
        <f t="shared" si="32"/>
        <v>0.31921000670176763</v>
      </c>
      <c r="AL8" s="141"/>
      <c r="AM8" s="144">
        <v>0.04</v>
      </c>
      <c r="AN8" s="145">
        <f>AN6-AN7</f>
        <v>2.4699999999999986E-2</v>
      </c>
      <c r="AO8">
        <f>90000/AP8</f>
        <v>4.0712928616665156</v>
      </c>
      <c r="AP8">
        <f>AC8*AD8</f>
        <v>22106.000000000004</v>
      </c>
      <c r="AQ8" s="3">
        <v>6</v>
      </c>
      <c r="AR8" s="44">
        <f t="shared" si="19"/>
        <v>2098053.0742264888</v>
      </c>
      <c r="AS8" s="44">
        <f t="shared" si="0"/>
        <v>61919.167244118209</v>
      </c>
      <c r="AT8" s="44">
        <f t="shared" si="1"/>
        <v>-96000</v>
      </c>
      <c r="AX8" s="44"/>
      <c r="BD8" s="39">
        <v>408200</v>
      </c>
      <c r="BE8" s="58">
        <f t="shared" si="10"/>
        <v>0.47599999999999998</v>
      </c>
      <c r="BF8" s="39">
        <v>164709.5</v>
      </c>
      <c r="BH8" s="77">
        <v>0.35</v>
      </c>
    </row>
    <row r="9" spans="2:63" x14ac:dyDescent="0.25">
      <c r="B9" s="104">
        <v>2024</v>
      </c>
      <c r="C9" s="109">
        <f t="shared" si="11"/>
        <v>80812.486490987882</v>
      </c>
      <c r="D9" s="92">
        <f t="shared" si="12"/>
        <v>4.5228043310302706</v>
      </c>
      <c r="E9" s="40">
        <f t="shared" si="20"/>
        <v>365499.06390276522</v>
      </c>
      <c r="F9" s="120">
        <f t="shared" si="13"/>
        <v>27611.972387908103</v>
      </c>
      <c r="G9" s="40">
        <f t="shared" si="21"/>
        <v>119695.63218172253</v>
      </c>
      <c r="H9" s="119">
        <f t="shared" si="22"/>
        <v>512806.66847239586</v>
      </c>
      <c r="I9" s="262">
        <f t="shared" si="23"/>
        <v>0.05</v>
      </c>
      <c r="J9" s="260">
        <f t="shared" si="24"/>
        <v>5428.2225438720006</v>
      </c>
      <c r="K9" s="262">
        <f t="shared" si="25"/>
        <v>0.04</v>
      </c>
      <c r="L9" s="260">
        <f t="shared" si="26"/>
        <v>4342.5780350976002</v>
      </c>
      <c r="M9" s="260">
        <f t="shared" si="27"/>
        <v>425.26199103289065</v>
      </c>
      <c r="N9" s="260">
        <f t="shared" si="28"/>
        <v>8467.8299643870687</v>
      </c>
      <c r="O9" s="120">
        <f t="shared" si="14"/>
        <v>1161.8479226006873</v>
      </c>
      <c r="P9" s="40">
        <f t="shared" si="2"/>
        <v>828.35917163724309</v>
      </c>
      <c r="Q9" s="112">
        <f t="shared" si="3"/>
        <v>9637.8870008177237</v>
      </c>
      <c r="R9" s="127">
        <f t="shared" si="15"/>
        <v>14252.260396566457</v>
      </c>
      <c r="S9" s="120">
        <f t="shared" si="4"/>
        <v>89231.85087384576</v>
      </c>
      <c r="T9" s="40">
        <f t="shared" si="16"/>
        <v>108564.45087744</v>
      </c>
      <c r="U9" s="40">
        <f t="shared" si="29"/>
        <v>108564.45087744</v>
      </c>
      <c r="V9" s="40">
        <f t="shared" ref="V9:V41" si="34">V8*(1+X9)</f>
        <v>0</v>
      </c>
      <c r="W9" s="280">
        <f>W8</f>
        <v>4.8000000000000001E-2</v>
      </c>
      <c r="X9" s="134">
        <f>X8</f>
        <v>0.03</v>
      </c>
      <c r="Y9" s="271">
        <f t="shared" si="33"/>
        <v>-21331.331395919999</v>
      </c>
      <c r="Z9" s="273"/>
      <c r="AA9" s="273">
        <f t="shared" si="17"/>
        <v>-21331.331395919999</v>
      </c>
      <c r="AB9" s="40">
        <f t="shared" si="5"/>
        <v>67900.519477925758</v>
      </c>
      <c r="AC9" s="134">
        <f t="shared" ref="AC9:AC41" si="35">$AN$3-($AN$3-AC8)*$AN$4</f>
        <v>0.28984289209799818</v>
      </c>
      <c r="AD9" s="39">
        <f t="shared" si="6"/>
        <v>78950</v>
      </c>
      <c r="AE9" s="257">
        <f t="shared" si="7"/>
        <v>0.34599999999999997</v>
      </c>
      <c r="AF9" s="39">
        <f t="shared" si="8"/>
        <v>9086</v>
      </c>
      <c r="AG9" s="39">
        <f t="shared" si="9"/>
        <v>19332.600003594242</v>
      </c>
      <c r="AH9" s="39">
        <f t="shared" si="30"/>
        <v>38090.787710400007</v>
      </c>
      <c r="AI9" s="44">
        <f t="shared" si="18"/>
        <v>98809.571526462532</v>
      </c>
      <c r="AJ9" s="388">
        <f t="shared" si="31"/>
        <v>1329899.952909013</v>
      </c>
      <c r="AK9" s="386">
        <f t="shared" si="32"/>
        <v>0.38559792964176476</v>
      </c>
      <c r="AL9" s="146"/>
      <c r="AM9" s="142" t="s">
        <v>174</v>
      </c>
      <c r="AN9" s="147">
        <v>0.02</v>
      </c>
      <c r="AQ9" s="3">
        <v>7</v>
      </c>
      <c r="AR9" s="44">
        <f t="shared" si="19"/>
        <v>2063972.241470607</v>
      </c>
      <c r="AS9" s="44">
        <f t="shared" si="0"/>
        <v>60865.120870224957</v>
      </c>
      <c r="AT9" s="44">
        <f t="shared" si="1"/>
        <v>-96000</v>
      </c>
      <c r="AW9" t="s">
        <v>154</v>
      </c>
      <c r="AX9" s="44">
        <v>6000</v>
      </c>
      <c r="AY9" t="s">
        <v>153</v>
      </c>
      <c r="BD9" s="39">
        <v>612351</v>
      </c>
      <c r="BE9" s="58">
        <f>BH9+SUM($BI$3:$BK$3)</f>
        <v>0.496</v>
      </c>
      <c r="BH9" s="77">
        <v>0.37</v>
      </c>
    </row>
    <row r="10" spans="2:63" x14ac:dyDescent="0.25">
      <c r="B10" s="104">
        <v>2025</v>
      </c>
      <c r="C10" s="109">
        <f t="shared" si="11"/>
        <v>104227.29432068754</v>
      </c>
      <c r="D10" s="92">
        <f t="shared" si="12"/>
        <v>4.6358744393060265</v>
      </c>
      <c r="E10" s="40">
        <f t="shared" si="20"/>
        <v>483184.64961930155</v>
      </c>
      <c r="F10" s="120">
        <f t="shared" si="13"/>
        <v>28465.95091536918</v>
      </c>
      <c r="G10" s="40">
        <f t="shared" si="21"/>
        <v>120549.6107091836</v>
      </c>
      <c r="H10" s="119">
        <f t="shared" si="22"/>
        <v>632200.21124385437</v>
      </c>
      <c r="I10" s="262">
        <f>J10/U10</f>
        <v>0.18642932137083432</v>
      </c>
      <c r="J10" s="321">
        <f>AB10*AC10</f>
        <v>21211.097553378182</v>
      </c>
      <c r="K10" s="262">
        <f t="shared" si="25"/>
        <v>0.04</v>
      </c>
      <c r="L10" s="260">
        <f t="shared" si="26"/>
        <v>4551.0217807822846</v>
      </c>
      <c r="M10" s="260">
        <f t="shared" si="27"/>
        <v>445.67526128353001</v>
      </c>
      <c r="N10" s="260">
        <f t="shared" si="28"/>
        <v>21765.573411516241</v>
      </c>
      <c r="O10" s="120">
        <f t="shared" si="14"/>
        <v>1649.2344181834262</v>
      </c>
      <c r="P10" s="40">
        <f t="shared" si="2"/>
        <v>853.97852746107537</v>
      </c>
      <c r="Q10" s="112">
        <f t="shared" si="3"/>
        <v>9705.0512579775004</v>
      </c>
      <c r="R10" s="127">
        <f>AB10*AC10-J10</f>
        <v>0</v>
      </c>
      <c r="S10" s="120">
        <f t="shared" si="4"/>
        <v>92639.906115790363</v>
      </c>
      <c r="T10" s="40">
        <f t="shared" si="16"/>
        <v>113775.54451955712</v>
      </c>
      <c r="U10" s="40">
        <f t="shared" si="29"/>
        <v>113775.54451955712</v>
      </c>
      <c r="V10" s="40">
        <f t="shared" si="34"/>
        <v>0</v>
      </c>
      <c r="W10" s="280">
        <f t="shared" ref="W10:W41" si="36">W9</f>
        <v>4.8000000000000001E-2</v>
      </c>
      <c r="X10" s="134">
        <f t="shared" ref="X10:X41" si="37">X9</f>
        <v>0.03</v>
      </c>
      <c r="Y10" s="271">
        <f t="shared" si="33"/>
        <v>-21757.958023838401</v>
      </c>
      <c r="Z10" s="273"/>
      <c r="AA10" s="273">
        <f t="shared" si="17"/>
        <v>-21757.958023838401</v>
      </c>
      <c r="AB10" s="40">
        <f t="shared" si="5"/>
        <v>70881.948091951956</v>
      </c>
      <c r="AC10" s="134">
        <f t="shared" si="35"/>
        <v>0.29924540908302888</v>
      </c>
      <c r="AD10" s="39">
        <f t="shared" si="6"/>
        <v>78950</v>
      </c>
      <c r="AE10" s="257">
        <f t="shared" si="7"/>
        <v>0.34599999999999997</v>
      </c>
      <c r="AF10" s="39">
        <f t="shared" si="8"/>
        <v>9086</v>
      </c>
      <c r="AG10" s="39">
        <f t="shared" si="9"/>
        <v>21135.638403766763</v>
      </c>
      <c r="AH10" s="39">
        <f t="shared" si="30"/>
        <v>38852.603464608008</v>
      </c>
      <c r="AI10" s="44"/>
      <c r="AJ10" s="388">
        <f t="shared" si="31"/>
        <v>1422593.9796267711</v>
      </c>
      <c r="AK10" s="386">
        <f t="shared" si="32"/>
        <v>0.44439961106099801</v>
      </c>
      <c r="AL10" s="146"/>
      <c r="AM10" s="142" t="s">
        <v>179</v>
      </c>
      <c r="AN10" s="145">
        <v>3.0000000000000001E-3</v>
      </c>
      <c r="AQ10" s="3">
        <v>8</v>
      </c>
      <c r="AR10" s="44">
        <f t="shared" si="19"/>
        <v>2028837.3623408321</v>
      </c>
      <c r="AS10" s="44">
        <f t="shared" si="0"/>
        <v>59778.475123943266</v>
      </c>
      <c r="AT10" s="44">
        <f t="shared" si="1"/>
        <v>-96000</v>
      </c>
      <c r="AW10" t="s">
        <v>154</v>
      </c>
      <c r="AX10" s="44">
        <f>AX9*12</f>
        <v>72000</v>
      </c>
      <c r="AY10" t="s">
        <v>155</v>
      </c>
    </row>
    <row r="11" spans="2:63" ht="15.75" thickBot="1" x14ac:dyDescent="0.3">
      <c r="B11" s="104">
        <v>2026</v>
      </c>
      <c r="C11" s="109">
        <f t="shared" si="11"/>
        <v>130214.25244316066</v>
      </c>
      <c r="D11" s="92">
        <f t="shared" si="12"/>
        <v>4.7517713002886763</v>
      </c>
      <c r="E11" s="40">
        <f t="shared" si="20"/>
        <v>618748.34764795552</v>
      </c>
      <c r="F11" s="120">
        <f t="shared" si="13"/>
        <v>29346.341149865133</v>
      </c>
      <c r="G11" s="40">
        <f t="shared" si="21"/>
        <v>121430.00094367955</v>
      </c>
      <c r="H11" s="119">
        <f t="shared" si="22"/>
        <v>769524.6897415003</v>
      </c>
      <c r="I11" s="262">
        <f t="shared" ref="I11:I41" si="38">J11/U11</f>
        <v>0.19133776868994024</v>
      </c>
      <c r="J11" s="321">
        <f t="shared" ref="J11:J41" si="39">AB11*AC11</f>
        <v>22814.497643208058</v>
      </c>
      <c r="K11" s="262">
        <f t="shared" si="25"/>
        <v>0.04</v>
      </c>
      <c r="L11" s="260">
        <f t="shared" si="26"/>
        <v>4769.4708262598351</v>
      </c>
      <c r="M11" s="260">
        <f t="shared" si="27"/>
        <v>1145.5564953429603</v>
      </c>
      <c r="N11" s="260">
        <f t="shared" si="28"/>
        <v>23859.870483275416</v>
      </c>
      <c r="O11" s="120">
        <f t="shared" si="14"/>
        <v>2127.0876391977049</v>
      </c>
      <c r="P11" s="40">
        <f t="shared" si="2"/>
        <v>880.39023449595402</v>
      </c>
      <c r="Q11" s="112">
        <f t="shared" si="3"/>
        <v>9774.2927602040745</v>
      </c>
      <c r="R11" s="127">
        <f t="shared" si="15"/>
        <v>0</v>
      </c>
      <c r="S11" s="120">
        <f t="shared" si="4"/>
        <v>96211.548009348306</v>
      </c>
      <c r="T11" s="40">
        <f t="shared" si="16"/>
        <v>119236.77065649586</v>
      </c>
      <c r="U11" s="40">
        <f t="shared" si="29"/>
        <v>119236.77065649586</v>
      </c>
      <c r="V11" s="40">
        <f t="shared" si="34"/>
        <v>0</v>
      </c>
      <c r="W11" s="280">
        <f t="shared" si="36"/>
        <v>4.8000000000000001E-2</v>
      </c>
      <c r="X11" s="134">
        <f t="shared" si="37"/>
        <v>0.03</v>
      </c>
      <c r="Y11" s="271">
        <f t="shared" si="33"/>
        <v>-22193.117184315168</v>
      </c>
      <c r="Z11" s="273"/>
      <c r="AA11" s="273">
        <f t="shared" si="17"/>
        <v>-22193.117184315168</v>
      </c>
      <c r="AB11" s="40">
        <f t="shared" si="5"/>
        <v>74018.430825033138</v>
      </c>
      <c r="AC11" s="134">
        <f t="shared" si="35"/>
        <v>0.30822725352199931</v>
      </c>
      <c r="AD11" s="39">
        <f t="shared" si="6"/>
        <v>78950</v>
      </c>
      <c r="AE11" s="257">
        <f t="shared" si="7"/>
        <v>0.34599999999999997</v>
      </c>
      <c r="AF11" s="39">
        <f t="shared" si="8"/>
        <v>9086</v>
      </c>
      <c r="AG11" s="39">
        <f t="shared" si="9"/>
        <v>23025.222647147566</v>
      </c>
      <c r="AH11" s="39">
        <f t="shared" si="30"/>
        <v>39629.655533900172</v>
      </c>
      <c r="AI11" s="44"/>
      <c r="AJ11" s="388">
        <f t="shared" si="31"/>
        <v>1521748.780006757</v>
      </c>
      <c r="AK11" s="386">
        <f t="shared" si="32"/>
        <v>0.50568444663913803</v>
      </c>
      <c r="AL11" s="148"/>
      <c r="AM11" s="149" t="s">
        <v>180</v>
      </c>
      <c r="AN11" s="150">
        <v>0.15</v>
      </c>
      <c r="AQ11" s="3">
        <v>9</v>
      </c>
      <c r="AR11" s="44">
        <f t="shared" si="19"/>
        <v>1992615.8374647754</v>
      </c>
      <c r="AS11" s="44">
        <f t="shared" si="0"/>
        <v>58658.221777261097</v>
      </c>
      <c r="AT11" s="44">
        <f t="shared" si="1"/>
        <v>-96000</v>
      </c>
      <c r="BD11" t="s">
        <v>343</v>
      </c>
    </row>
    <row r="12" spans="2:63" ht="15.75" thickBot="1" x14ac:dyDescent="0.3">
      <c r="B12" s="104">
        <v>2027</v>
      </c>
      <c r="C12" s="109">
        <f t="shared" si="11"/>
        <v>158408.71374575837</v>
      </c>
      <c r="D12" s="92">
        <f t="shared" si="12"/>
        <v>4.8705655827958925</v>
      </c>
      <c r="E12" s="40">
        <f t="shared" si="20"/>
        <v>771540.02918505738</v>
      </c>
      <c r="F12" s="120">
        <f t="shared" si="13"/>
        <v>30253.959948314568</v>
      </c>
      <c r="G12" s="40">
        <f t="shared" si="21"/>
        <v>122337.61974212898</v>
      </c>
      <c r="H12" s="119">
        <f t="shared" si="22"/>
        <v>924131.60887550097</v>
      </c>
      <c r="I12" s="262">
        <f t="shared" si="38"/>
        <v>0.19602084629543307</v>
      </c>
      <c r="J12" s="321">
        <f t="shared" si="39"/>
        <v>24494.791542914576</v>
      </c>
      <c r="K12" s="262">
        <f t="shared" si="25"/>
        <v>0.04</v>
      </c>
      <c r="L12" s="260">
        <f t="shared" si="26"/>
        <v>4998.4054259203067</v>
      </c>
      <c r="M12" s="260">
        <f t="shared" si="27"/>
        <v>1255.7826570144957</v>
      </c>
      <c r="N12" s="260">
        <f t="shared" si="28"/>
        <v>25537.027579267909</v>
      </c>
      <c r="O12" s="120">
        <f t="shared" si="14"/>
        <v>2657.4337233298097</v>
      </c>
      <c r="P12" s="40">
        <f t="shared" si="2"/>
        <v>907.61879844943701</v>
      </c>
      <c r="Q12" s="112">
        <f t="shared" si="3"/>
        <v>9845.6757521902327</v>
      </c>
      <c r="R12" s="127">
        <f t="shared" si="15"/>
        <v>0</v>
      </c>
      <c r="S12" s="120">
        <f t="shared" si="4"/>
        <v>99954.628713797021</v>
      </c>
      <c r="T12" s="40">
        <f t="shared" si="16"/>
        <v>124960.13564800766</v>
      </c>
      <c r="U12" s="40">
        <f t="shared" si="29"/>
        <v>124960.13564800766</v>
      </c>
      <c r="V12" s="40">
        <f t="shared" si="34"/>
        <v>0</v>
      </c>
      <c r="W12" s="280">
        <f t="shared" si="36"/>
        <v>4.8000000000000001E-2</v>
      </c>
      <c r="X12" s="134">
        <f t="shared" si="37"/>
        <v>0.03</v>
      </c>
      <c r="Y12" s="271">
        <f t="shared" si="33"/>
        <v>-22636.979528001473</v>
      </c>
      <c r="Z12" s="273"/>
      <c r="AA12" s="273">
        <f t="shared" si="17"/>
        <v>-22636.979528001473</v>
      </c>
      <c r="AB12" s="40">
        <f t="shared" si="5"/>
        <v>77317.649185795541</v>
      </c>
      <c r="AC12" s="134">
        <f t="shared" si="35"/>
        <v>0.31680724648072528</v>
      </c>
      <c r="AD12" s="39">
        <f t="shared" si="6"/>
        <v>78950</v>
      </c>
      <c r="AE12" s="257">
        <f t="shared" si="7"/>
        <v>0.34599999999999997</v>
      </c>
      <c r="AF12" s="39">
        <f t="shared" si="8"/>
        <v>9086</v>
      </c>
      <c r="AG12" s="39">
        <f t="shared" si="9"/>
        <v>25005.506934210651</v>
      </c>
      <c r="AH12" s="39">
        <f t="shared" si="30"/>
        <v>40422.248644578176</v>
      </c>
      <c r="AI12" s="44"/>
      <c r="AJ12" s="388">
        <f t="shared" si="31"/>
        <v>1627814.6699732281</v>
      </c>
      <c r="AK12" s="386">
        <f t="shared" si="32"/>
        <v>0.56771303633152526</v>
      </c>
      <c r="AQ12" s="3">
        <v>10</v>
      </c>
      <c r="AR12" s="44">
        <f t="shared" si="19"/>
        <v>1955274.0592420364</v>
      </c>
      <c r="AS12" s="44">
        <f t="shared" si="0"/>
        <v>57503.321419856795</v>
      </c>
      <c r="AT12" s="44">
        <f t="shared" si="1"/>
        <v>-96000</v>
      </c>
      <c r="AX12" s="39">
        <f>AX10+AW3</f>
        <v>168000</v>
      </c>
      <c r="BC12">
        <v>60000</v>
      </c>
    </row>
    <row r="13" spans="2:63" x14ac:dyDescent="0.25">
      <c r="B13" s="104">
        <v>2028</v>
      </c>
      <c r="C13" s="109">
        <f t="shared" si="11"/>
        <v>188914.03838493756</v>
      </c>
      <c r="D13" s="92">
        <f t="shared" si="12"/>
        <v>4.9923297223657892</v>
      </c>
      <c r="E13" s="40">
        <f t="shared" si="20"/>
        <v>943121.16880127543</v>
      </c>
      <c r="F13" s="120">
        <f t="shared" si="13"/>
        <v>31189.649431252132</v>
      </c>
      <c r="G13" s="40">
        <f t="shared" si="21"/>
        <v>123273.30922506655</v>
      </c>
      <c r="H13" s="119">
        <f t="shared" si="22"/>
        <v>1097584.127457594</v>
      </c>
      <c r="I13" s="262">
        <f t="shared" si="38"/>
        <v>0.20049341295664677</v>
      </c>
      <c r="J13" s="321">
        <f t="shared" si="39"/>
        <v>26256.26091541514</v>
      </c>
      <c r="K13" s="262">
        <f t="shared" si="25"/>
        <v>0.04</v>
      </c>
      <c r="L13" s="260">
        <f t="shared" si="26"/>
        <v>5238.3288863644811</v>
      </c>
      <c r="M13" s="260">
        <f t="shared" si="27"/>
        <v>1344.0540831193637</v>
      </c>
      <c r="N13" s="260">
        <f t="shared" si="28"/>
        <v>27272.493746408607</v>
      </c>
      <c r="O13" s="120">
        <f t="shared" si="14"/>
        <v>3232.8308927705793</v>
      </c>
      <c r="P13" s="40">
        <f t="shared" si="2"/>
        <v>935.68948293756398</v>
      </c>
      <c r="Q13" s="112">
        <f t="shared" si="3"/>
        <v>9919.2664655780245</v>
      </c>
      <c r="R13" s="127">
        <f t="shared" si="15"/>
        <v>0</v>
      </c>
      <c r="S13" s="120">
        <f t="shared" si="4"/>
        <v>103877.37729205927</v>
      </c>
      <c r="T13" s="40">
        <f t="shared" si="16"/>
        <v>130958.22215911203</v>
      </c>
      <c r="U13" s="40">
        <f t="shared" si="29"/>
        <v>130958.22215911203</v>
      </c>
      <c r="V13" s="40">
        <f t="shared" si="34"/>
        <v>0</v>
      </c>
      <c r="W13" s="280">
        <f t="shared" si="36"/>
        <v>4.8000000000000001E-2</v>
      </c>
      <c r="X13" s="134">
        <f t="shared" si="37"/>
        <v>0.03</v>
      </c>
      <c r="Y13" s="271">
        <f t="shared" si="33"/>
        <v>-23089.719118561505</v>
      </c>
      <c r="Z13" s="273"/>
      <c r="AA13" s="273">
        <f t="shared" si="17"/>
        <v>-23089.719118561505</v>
      </c>
      <c r="AB13" s="40">
        <f t="shared" si="5"/>
        <v>80787.658173497766</v>
      </c>
      <c r="AC13" s="134">
        <f t="shared" si="35"/>
        <v>0.32500336696265886</v>
      </c>
      <c r="AD13" s="39">
        <f t="shared" si="6"/>
        <v>78950</v>
      </c>
      <c r="AE13" s="257">
        <f t="shared" si="7"/>
        <v>0.34599999999999997</v>
      </c>
      <c r="AF13" s="39">
        <f t="shared" si="8"/>
        <v>9086</v>
      </c>
      <c r="AG13" s="39">
        <f t="shared" si="9"/>
        <v>27080.844867052761</v>
      </c>
      <c r="AH13" s="39">
        <f t="shared" si="30"/>
        <v>41230.69361746974</v>
      </c>
      <c r="AI13" s="44"/>
      <c r="AJ13" s="388">
        <f t="shared" si="31"/>
        <v>1741273.3524703626</v>
      </c>
      <c r="AK13" s="386">
        <f t="shared" si="32"/>
        <v>0.63033418957479592</v>
      </c>
      <c r="AL13" s="151" t="s">
        <v>173</v>
      </c>
      <c r="AM13" s="154" t="s">
        <v>170</v>
      </c>
      <c r="AQ13" s="3">
        <v>11</v>
      </c>
      <c r="AR13" s="44">
        <f t="shared" si="19"/>
        <v>1916777.3806618932</v>
      </c>
      <c r="AS13" s="44">
        <f t="shared" si="0"/>
        <v>56312.702494697725</v>
      </c>
      <c r="AT13" s="44">
        <f t="shared" si="1"/>
        <v>-96000</v>
      </c>
      <c r="AX13" s="39">
        <f>AX12/12</f>
        <v>14000</v>
      </c>
    </row>
    <row r="14" spans="2:63" x14ac:dyDescent="0.25">
      <c r="B14" s="104">
        <v>2029</v>
      </c>
      <c r="C14" s="109">
        <f t="shared" si="11"/>
        <v>221860.62398097746</v>
      </c>
      <c r="D14" s="92">
        <f t="shared" si="12"/>
        <v>5.1171379654249334</v>
      </c>
      <c r="E14" s="40">
        <f t="shared" si="20"/>
        <v>1135291.4220059251</v>
      </c>
      <c r="F14" s="120">
        <f t="shared" si="13"/>
        <v>32154.277764177456</v>
      </c>
      <c r="G14" s="40">
        <f t="shared" si="21"/>
        <v>124237.93755799187</v>
      </c>
      <c r="H14" s="119">
        <f t="shared" si="22"/>
        <v>1291683.6373280943</v>
      </c>
      <c r="I14" s="262">
        <f t="shared" si="38"/>
        <v>0.20476906825595326</v>
      </c>
      <c r="J14" s="321">
        <f t="shared" si="39"/>
        <v>28103.370402312423</v>
      </c>
      <c r="K14" s="262">
        <f t="shared" si="25"/>
        <v>0.04</v>
      </c>
      <c r="L14" s="260">
        <f t="shared" si="26"/>
        <v>5489.7686729099769</v>
      </c>
      <c r="M14" s="260">
        <f t="shared" si="27"/>
        <v>1435.3944077057163</v>
      </c>
      <c r="N14" s="260">
        <f t="shared" si="28"/>
        <v>29091.197057571797</v>
      </c>
      <c r="O14" s="120">
        <f t="shared" si="14"/>
        <v>3855.3885384681139</v>
      </c>
      <c r="P14" s="40">
        <f t="shared" si="2"/>
        <v>964.62833292532355</v>
      </c>
      <c r="Q14" s="112">
        <f t="shared" si="3"/>
        <v>9995.1331804108013</v>
      </c>
      <c r="R14" s="127">
        <f t="shared" si="15"/>
        <v>0</v>
      </c>
      <c r="S14" s="120">
        <f t="shared" si="4"/>
        <v>107988.41780207813</v>
      </c>
      <c r="T14" s="40">
        <f t="shared" si="16"/>
        <v>137244.21682274941</v>
      </c>
      <c r="U14" s="40">
        <f t="shared" si="29"/>
        <v>137244.21682274941</v>
      </c>
      <c r="V14" s="40">
        <f t="shared" si="34"/>
        <v>0</v>
      </c>
      <c r="W14" s="280">
        <f t="shared" si="36"/>
        <v>4.8000000000000001E-2</v>
      </c>
      <c r="X14" s="134">
        <f t="shared" si="37"/>
        <v>0.03</v>
      </c>
      <c r="Y14" s="271">
        <f t="shared" si="33"/>
        <v>-23551.513500932735</v>
      </c>
      <c r="Z14" s="273"/>
      <c r="AA14" s="273">
        <f t="shared" si="17"/>
        <v>-23551.513500932735</v>
      </c>
      <c r="AB14" s="40">
        <f t="shared" si="5"/>
        <v>84436.90430114539</v>
      </c>
      <c r="AC14" s="134">
        <f t="shared" si="35"/>
        <v>0.33283278958311124</v>
      </c>
      <c r="AD14" s="39">
        <f t="shared" si="6"/>
        <v>78950</v>
      </c>
      <c r="AE14" s="257">
        <f t="shared" si="7"/>
        <v>0.34599999999999997</v>
      </c>
      <c r="AF14" s="39">
        <f t="shared" si="8"/>
        <v>9086</v>
      </c>
      <c r="AG14" s="39">
        <f t="shared" si="9"/>
        <v>29255.799020671293</v>
      </c>
      <c r="AH14" s="39">
        <f t="shared" si="30"/>
        <v>42055.307489819133</v>
      </c>
      <c r="AI14" s="44"/>
      <c r="AJ14" s="388">
        <f t="shared" si="31"/>
        <v>1862640.1051375463</v>
      </c>
      <c r="AK14" s="386">
        <f t="shared" si="32"/>
        <v>0.69346925032128537</v>
      </c>
      <c r="AL14" s="141">
        <f>B41-B4</f>
        <v>37</v>
      </c>
      <c r="AM14" s="152">
        <f>FV(AM7,AL14,,-AR3)</f>
        <v>11486899.896085976</v>
      </c>
      <c r="AQ14" s="3">
        <v>12</v>
      </c>
      <c r="AR14" s="44">
        <f t="shared" si="19"/>
        <v>1877090.0831565908</v>
      </c>
      <c r="AS14" s="44">
        <f t="shared" si="0"/>
        <v>55085.260303812087</v>
      </c>
      <c r="AT14" s="44">
        <f t="shared" si="1"/>
        <v>-96000</v>
      </c>
      <c r="BD14" s="39"/>
    </row>
    <row r="15" spans="2:63" x14ac:dyDescent="0.25">
      <c r="B15" s="104">
        <v>2030</v>
      </c>
      <c r="C15" s="109">
        <f t="shared" si="11"/>
        <v>257386.94623359674</v>
      </c>
      <c r="D15" s="92">
        <f t="shared" si="12"/>
        <v>5.2450664145605561</v>
      </c>
      <c r="E15" s="40">
        <f t="shared" si="20"/>
        <v>1350011.6272361418</v>
      </c>
      <c r="F15" s="120">
        <f t="shared" si="13"/>
        <v>33148.739963069544</v>
      </c>
      <c r="G15" s="40">
        <f t="shared" si="21"/>
        <v>125232.39975688395</v>
      </c>
      <c r="H15" s="119">
        <f t="shared" si="22"/>
        <v>1508392.7669560954</v>
      </c>
      <c r="I15" s="262">
        <f t="shared" si="38"/>
        <v>0.20886027010046904</v>
      </c>
      <c r="J15" s="321">
        <f t="shared" si="39"/>
        <v>30040.777676702462</v>
      </c>
      <c r="K15" s="262">
        <f t="shared" si="25"/>
        <v>0.04</v>
      </c>
      <c r="L15" s="260">
        <f t="shared" si="26"/>
        <v>5753.2775692096548</v>
      </c>
      <c r="M15" s="260">
        <f t="shared" si="27"/>
        <v>1531.1156346090422</v>
      </c>
      <c r="N15" s="260">
        <f t="shared" si="28"/>
        <v>30998.554416272826</v>
      </c>
      <c r="O15" s="120">
        <f t="shared" si="14"/>
        <v>4527.7678363464793</v>
      </c>
      <c r="P15" s="40">
        <f t="shared" si="2"/>
        <v>994.46219889208623</v>
      </c>
      <c r="Q15" s="112">
        <f t="shared" si="3"/>
        <v>10073.346288485827</v>
      </c>
      <c r="R15" s="127">
        <f t="shared" si="15"/>
        <v>0</v>
      </c>
      <c r="S15" s="120">
        <f t="shared" si="4"/>
        <v>112296.78825657786</v>
      </c>
      <c r="T15" s="40">
        <f t="shared" si="16"/>
        <v>143831.93923024138</v>
      </c>
      <c r="U15" s="40">
        <f t="shared" si="29"/>
        <v>143831.93923024138</v>
      </c>
      <c r="V15" s="40">
        <f t="shared" si="34"/>
        <v>0</v>
      </c>
      <c r="W15" s="280">
        <f t="shared" si="36"/>
        <v>4.8000000000000001E-2</v>
      </c>
      <c r="X15" s="134">
        <f t="shared" si="37"/>
        <v>0.03</v>
      </c>
      <c r="Y15" s="271">
        <f t="shared" si="33"/>
        <v>-24022.54377095139</v>
      </c>
      <c r="Z15" s="273"/>
      <c r="AA15" s="273">
        <f t="shared" si="17"/>
        <v>-24022.54377095139</v>
      </c>
      <c r="AB15" s="40">
        <f t="shared" si="5"/>
        <v>88274.244485626463</v>
      </c>
      <c r="AC15" s="134">
        <f t="shared" si="35"/>
        <v>0.34031192055791482</v>
      </c>
      <c r="AD15" s="39">
        <f t="shared" si="6"/>
        <v>78950</v>
      </c>
      <c r="AE15" s="257">
        <f t="shared" si="7"/>
        <v>0.34599999999999997</v>
      </c>
      <c r="AF15" s="39">
        <f t="shared" si="8"/>
        <v>9086</v>
      </c>
      <c r="AG15" s="39">
        <f t="shared" si="9"/>
        <v>31535.150973663516</v>
      </c>
      <c r="AH15" s="39">
        <f t="shared" si="30"/>
        <v>42896.413639615515</v>
      </c>
      <c r="AI15" s="44"/>
      <c r="AJ15" s="388">
        <f t="shared" si="31"/>
        <v>1992466.1204656337</v>
      </c>
      <c r="AK15" s="386">
        <f t="shared" si="32"/>
        <v>0.75704813821556383</v>
      </c>
      <c r="AL15" s="141"/>
      <c r="AM15" s="152">
        <f>H41</f>
        <v>19672929.925392032</v>
      </c>
      <c r="AQ15" s="3">
        <v>13</v>
      </c>
      <c r="AR15" s="44">
        <f t="shared" si="19"/>
        <v>1836175.3434604029</v>
      </c>
      <c r="AS15" s="44">
        <f t="shared" si="0"/>
        <v>53819.855983311434</v>
      </c>
      <c r="AT15" s="44">
        <f t="shared" si="1"/>
        <v>-96000</v>
      </c>
      <c r="BB15" s="180"/>
      <c r="BD15" s="39"/>
    </row>
    <row r="16" spans="2:63" ht="15.75" thickBot="1" x14ac:dyDescent="0.3">
      <c r="B16" s="104">
        <v>2031</v>
      </c>
      <c r="C16" s="109">
        <f t="shared" si="11"/>
        <v>295639.06198889448</v>
      </c>
      <c r="D16" s="92">
        <f t="shared" si="12"/>
        <v>5.3761930749245694</v>
      </c>
      <c r="E16" s="40">
        <f t="shared" si="20"/>
        <v>1589412.6777418901</v>
      </c>
      <c r="F16" s="120">
        <f t="shared" si="13"/>
        <v>34173.958724813965</v>
      </c>
      <c r="G16" s="40">
        <f t="shared" si="21"/>
        <v>126257.61851862837</v>
      </c>
      <c r="H16" s="119">
        <f t="shared" si="22"/>
        <v>1749844.2549853325</v>
      </c>
      <c r="I16" s="262">
        <f t="shared" si="38"/>
        <v>0.21277844105711202</v>
      </c>
      <c r="J16" s="321">
        <f t="shared" si="39"/>
        <v>32073.343922206372</v>
      </c>
      <c r="K16" s="262">
        <f t="shared" si="25"/>
        <v>0.04</v>
      </c>
      <c r="L16" s="260">
        <f t="shared" si="26"/>
        <v>6029.4348925317181</v>
      </c>
      <c r="M16" s="260">
        <f t="shared" si="27"/>
        <v>1631.5028640143594</v>
      </c>
      <c r="N16" s="260">
        <f t="shared" si="28"/>
        <v>32999.320934203912</v>
      </c>
      <c r="O16" s="120">
        <f t="shared" si="14"/>
        <v>5252.7948210938112</v>
      </c>
      <c r="P16" s="40">
        <f t="shared" si="2"/>
        <v>1025.2187617444188</v>
      </c>
      <c r="Q16" s="112">
        <f t="shared" si="3"/>
        <v>10153.978358666265</v>
      </c>
      <c r="R16" s="127">
        <f t="shared" si="15"/>
        <v>0</v>
      </c>
      <c r="S16" s="120">
        <f t="shared" si="4"/>
        <v>116811.9604928936</v>
      </c>
      <c r="T16" s="40">
        <f t="shared" si="16"/>
        <v>150735.87231329296</v>
      </c>
      <c r="U16" s="40">
        <f t="shared" si="29"/>
        <v>150735.87231329296</v>
      </c>
      <c r="V16" s="40">
        <f t="shared" si="34"/>
        <v>0</v>
      </c>
      <c r="W16" s="280">
        <f t="shared" si="36"/>
        <v>4.8000000000000001E-2</v>
      </c>
      <c r="X16" s="134">
        <f t="shared" si="37"/>
        <v>0.03</v>
      </c>
      <c r="Y16" s="271">
        <f t="shared" si="33"/>
        <v>-24502.994646370418</v>
      </c>
      <c r="Z16" s="273"/>
      <c r="AA16" s="273">
        <f t="shared" si="17"/>
        <v>-24502.994646370418</v>
      </c>
      <c r="AB16" s="40">
        <f t="shared" si="5"/>
        <v>92308.965846523177</v>
      </c>
      <c r="AC16" s="134">
        <f t="shared" si="35"/>
        <v>0.34745643208193755</v>
      </c>
      <c r="AD16" s="39">
        <f t="shared" si="6"/>
        <v>78950</v>
      </c>
      <c r="AE16" s="257">
        <f t="shared" si="7"/>
        <v>0.34599999999999997</v>
      </c>
      <c r="AF16" s="39">
        <f t="shared" si="8"/>
        <v>9086</v>
      </c>
      <c r="AG16" s="39">
        <f t="shared" si="9"/>
        <v>33923.911820399357</v>
      </c>
      <c r="AH16" s="39">
        <f t="shared" si="30"/>
        <v>43754.341912407828</v>
      </c>
      <c r="AI16" s="44"/>
      <c r="AJ16" s="388">
        <f t="shared" si="31"/>
        <v>2131341.0090620881</v>
      </c>
      <c r="AK16" s="386">
        <f t="shared" si="32"/>
        <v>0.82100623388997895</v>
      </c>
      <c r="AL16" s="155"/>
      <c r="AM16" s="153">
        <f>AM14-AM15</f>
        <v>-8186030.029306056</v>
      </c>
      <c r="AQ16" s="3">
        <v>14</v>
      </c>
      <c r="AR16" s="44">
        <f t="shared" si="19"/>
        <v>1793995.1994437145</v>
      </c>
      <c r="AS16" s="44">
        <f t="shared" si="0"/>
        <v>52515.315446712819</v>
      </c>
      <c r="AT16" s="44">
        <f t="shared" si="1"/>
        <v>-96000</v>
      </c>
      <c r="BA16" s="56"/>
      <c r="BB16" s="44"/>
    </row>
    <row r="17" spans="2:46" x14ac:dyDescent="0.25">
      <c r="B17" s="104">
        <v>2032</v>
      </c>
      <c r="C17" s="109">
        <f t="shared" si="11"/>
        <v>336770.93621475552</v>
      </c>
      <c r="D17" s="92">
        <f t="shared" si="12"/>
        <v>5.5105979017976834</v>
      </c>
      <c r="E17" s="40">
        <f t="shared" si="20"/>
        <v>1855809.2144914733</v>
      </c>
      <c r="F17" s="120">
        <f t="shared" si="13"/>
        <v>35230.885283313364</v>
      </c>
      <c r="G17" s="40">
        <f t="shared" si="21"/>
        <v>127314.54507712777</v>
      </c>
      <c r="H17" s="119">
        <f t="shared" si="22"/>
        <v>2018354.6448519146</v>
      </c>
      <c r="I17" s="262">
        <f t="shared" si="38"/>
        <v>0.21653406456762497</v>
      </c>
      <c r="J17" s="321">
        <f t="shared" si="39"/>
        <v>34206.144761334755</v>
      </c>
      <c r="K17" s="262">
        <f t="shared" si="25"/>
        <v>0.04</v>
      </c>
      <c r="L17" s="260">
        <f t="shared" si="26"/>
        <v>6318.8477673732414</v>
      </c>
      <c r="M17" s="260">
        <f t="shared" si="27"/>
        <v>1736.8063649581009</v>
      </c>
      <c r="N17" s="260">
        <f t="shared" si="28"/>
        <v>35098.423981189699</v>
      </c>
      <c r="O17" s="120">
        <f t="shared" si="14"/>
        <v>6033.4502446713159</v>
      </c>
      <c r="P17" s="40">
        <f t="shared" si="2"/>
        <v>1056.9265584994012</v>
      </c>
      <c r="Q17" s="112">
        <f t="shared" si="3"/>
        <v>10237.10420421311</v>
      </c>
      <c r="R17" s="127">
        <f t="shared" si="15"/>
        <v>0</v>
      </c>
      <c r="S17" s="120">
        <f t="shared" si="4"/>
        <v>121543.86099655248</v>
      </c>
      <c r="T17" s="40">
        <f t="shared" si="16"/>
        <v>157971.19418433102</v>
      </c>
      <c r="U17" s="40">
        <f t="shared" si="29"/>
        <v>157971.19418433102</v>
      </c>
      <c r="V17" s="40">
        <f t="shared" si="34"/>
        <v>0</v>
      </c>
      <c r="W17" s="280">
        <f t="shared" si="36"/>
        <v>4.8000000000000001E-2</v>
      </c>
      <c r="X17" s="134">
        <f t="shared" si="37"/>
        <v>0.03</v>
      </c>
      <c r="Y17" s="271">
        <f t="shared" si="33"/>
        <v>-24993.054539297827</v>
      </c>
      <c r="Z17" s="273"/>
      <c r="AA17" s="273">
        <f t="shared" si="17"/>
        <v>-24993.054539297827</v>
      </c>
      <c r="AB17" s="40">
        <f t="shared" si="5"/>
        <v>96550.806457254657</v>
      </c>
      <c r="AC17" s="134">
        <f t="shared" si="35"/>
        <v>0.35428129516948814</v>
      </c>
      <c r="AD17" s="39">
        <f t="shared" si="6"/>
        <v>78950</v>
      </c>
      <c r="AE17" s="257">
        <f t="shared" si="7"/>
        <v>0.34599999999999997</v>
      </c>
      <c r="AF17" s="39">
        <f t="shared" si="8"/>
        <v>9086</v>
      </c>
      <c r="AG17" s="39">
        <f t="shared" si="9"/>
        <v>36427.333187778531</v>
      </c>
      <c r="AH17" s="39">
        <f t="shared" si="30"/>
        <v>44629.428750655985</v>
      </c>
      <c r="AI17" s="44"/>
      <c r="AJ17" s="388">
        <f t="shared" si="31"/>
        <v>2279895.4773937161</v>
      </c>
      <c r="AK17" s="386">
        <f t="shared" si="32"/>
        <v>0.88528384957332151</v>
      </c>
      <c r="AM17" t="s">
        <v>355</v>
      </c>
      <c r="AN17" t="s">
        <v>356</v>
      </c>
      <c r="AO17" t="s">
        <v>339</v>
      </c>
      <c r="AQ17" s="3">
        <v>15</v>
      </c>
      <c r="AR17" s="44">
        <f t="shared" si="19"/>
        <v>1750510.5148904272</v>
      </c>
      <c r="AS17" s="44">
        <f t="shared" si="0"/>
        <v>51170.428295580226</v>
      </c>
      <c r="AT17" s="44">
        <f t="shared" si="1"/>
        <v>-96000</v>
      </c>
    </row>
    <row r="18" spans="2:46" x14ac:dyDescent="0.25">
      <c r="B18" s="104">
        <v>2033</v>
      </c>
      <c r="C18" s="109">
        <f t="shared" si="11"/>
        <v>380944.82268368558</v>
      </c>
      <c r="D18" s="92">
        <f t="shared" si="12"/>
        <v>5.6483628493426252</v>
      </c>
      <c r="E18" s="40">
        <f t="shared" si="20"/>
        <v>2151714.5840959433</v>
      </c>
      <c r="F18" s="120">
        <f t="shared" si="13"/>
        <v>36320.500292075631</v>
      </c>
      <c r="G18" s="40">
        <f t="shared" si="21"/>
        <v>128404.16008589003</v>
      </c>
      <c r="H18" s="119">
        <f t="shared" si="22"/>
        <v>2316439.244473909</v>
      </c>
      <c r="I18" s="262">
        <f t="shared" si="38"/>
        <v>0.22013677200143736</v>
      </c>
      <c r="J18" s="321">
        <f t="shared" si="39"/>
        <v>36444.481657284508</v>
      </c>
      <c r="K18" s="262">
        <f t="shared" si="25"/>
        <v>0.04</v>
      </c>
      <c r="L18" s="260">
        <f t="shared" si="26"/>
        <v>6622.1524602071568</v>
      </c>
      <c r="M18" s="260">
        <f t="shared" si="27"/>
        <v>1847.2854726941948</v>
      </c>
      <c r="N18" s="260">
        <f t="shared" si="28"/>
        <v>37301.010219649361</v>
      </c>
      <c r="O18" s="120">
        <f t="shared" si="14"/>
        <v>6872.8762492807246</v>
      </c>
      <c r="P18" s="40">
        <f t="shared" si="2"/>
        <v>1089.6150087622691</v>
      </c>
      <c r="Q18" s="112">
        <f t="shared" si="3"/>
        <v>10322.800952199548</v>
      </c>
      <c r="R18" s="127">
        <f t="shared" si="15"/>
        <v>0</v>
      </c>
      <c r="S18" s="120">
        <f t="shared" si="4"/>
        <v>126502.89272438701</v>
      </c>
      <c r="T18" s="40">
        <f t="shared" si="16"/>
        <v>165553.81150517892</v>
      </c>
      <c r="U18" s="40">
        <f t="shared" si="29"/>
        <v>165553.81150517892</v>
      </c>
      <c r="V18" s="40">
        <f t="shared" si="34"/>
        <v>0</v>
      </c>
      <c r="W18" s="280">
        <f t="shared" si="36"/>
        <v>4.8000000000000001E-2</v>
      </c>
      <c r="X18" s="134">
        <f t="shared" si="37"/>
        <v>0.03</v>
      </c>
      <c r="Y18" s="271">
        <f t="shared" si="33"/>
        <v>-25492.915630083786</v>
      </c>
      <c r="Z18" s="273"/>
      <c r="AA18" s="273">
        <f t="shared" si="17"/>
        <v>-25492.915630083786</v>
      </c>
      <c r="AB18" s="40">
        <f t="shared" si="5"/>
        <v>101009.97709430323</v>
      </c>
      <c r="AC18" s="134">
        <f t="shared" si="35"/>
        <v>0.36080081102542799</v>
      </c>
      <c r="AD18" s="39">
        <f t="shared" si="6"/>
        <v>78950</v>
      </c>
      <c r="AE18" s="257">
        <f t="shared" si="7"/>
        <v>0.34599999999999997</v>
      </c>
      <c r="AF18" s="39">
        <f t="shared" si="8"/>
        <v>9086</v>
      </c>
      <c r="AG18" s="39">
        <f t="shared" si="9"/>
        <v>39050.918780791908</v>
      </c>
      <c r="AH18" s="39">
        <f t="shared" si="30"/>
        <v>45522.017325669105</v>
      </c>
      <c r="AI18" s="44"/>
      <c r="AJ18" s="388">
        <f t="shared" si="31"/>
        <v>2438804.1921680579</v>
      </c>
      <c r="AK18" s="386">
        <f t="shared" si="32"/>
        <v>0.94982584166161843</v>
      </c>
      <c r="AL18" t="s">
        <v>350</v>
      </c>
      <c r="AM18" s="39">
        <v>14000</v>
      </c>
      <c r="AN18" s="39">
        <f>AP23</f>
        <v>2892.813229844086</v>
      </c>
      <c r="AO18" s="39">
        <f>AM18+AN18</f>
        <v>16892.813229844087</v>
      </c>
      <c r="AQ18" s="3">
        <v>16</v>
      </c>
      <c r="AR18" s="44">
        <f t="shared" si="19"/>
        <v>1705680.9431860074</v>
      </c>
      <c r="AS18" s="44">
        <f t="shared" si="0"/>
        <v>49783.946696474457</v>
      </c>
      <c r="AT18" s="44">
        <f t="shared" si="1"/>
        <v>-96000</v>
      </c>
    </row>
    <row r="19" spans="2:46" x14ac:dyDescent="0.25">
      <c r="B19" s="104">
        <v>2034</v>
      </c>
      <c r="C19" s="109">
        <f t="shared" si="11"/>
        <v>431736.07594699127</v>
      </c>
      <c r="D19" s="92">
        <f t="shared" si="12"/>
        <v>5.78957192057619</v>
      </c>
      <c r="E19" s="40">
        <f t="shared" si="20"/>
        <v>2499567.06240245</v>
      </c>
      <c r="F19" s="120">
        <f t="shared" si="13"/>
        <v>37443.814734098589</v>
      </c>
      <c r="G19" s="40">
        <f t="shared" si="21"/>
        <v>129527.47452791299</v>
      </c>
      <c r="H19" s="119">
        <f t="shared" si="22"/>
        <v>2666538.3516644617</v>
      </c>
      <c r="I19" s="262">
        <f t="shared" si="38"/>
        <v>0.24722205292836077</v>
      </c>
      <c r="J19" s="321">
        <f t="shared" si="39"/>
        <v>42893.123701645622</v>
      </c>
      <c r="K19" s="262">
        <f t="shared" si="25"/>
        <v>0.04</v>
      </c>
      <c r="L19" s="260">
        <f t="shared" si="26"/>
        <v>6940.015778297101</v>
      </c>
      <c r="M19" s="260">
        <f t="shared" si="27"/>
        <v>1963.2110641920717</v>
      </c>
      <c r="N19" s="260">
        <f t="shared" si="28"/>
        <v>43016.869126903948</v>
      </c>
      <c r="O19" s="120">
        <f t="shared" si="14"/>
        <v>7774.3841364017462</v>
      </c>
      <c r="P19" s="40">
        <f t="shared" si="2"/>
        <v>1123.3144420229576</v>
      </c>
      <c r="Q19" s="112">
        <f t="shared" si="3"/>
        <v>10411.148115072165</v>
      </c>
      <c r="R19" s="127">
        <f t="shared" si="15"/>
        <v>0</v>
      </c>
      <c r="S19" s="120">
        <f t="shared" si="4"/>
        <v>142868.65008600906</v>
      </c>
      <c r="T19" s="40">
        <f t="shared" si="16"/>
        <v>173500.39445742752</v>
      </c>
      <c r="U19" s="40">
        <f t="shared" si="29"/>
        <v>173500.39445742752</v>
      </c>
      <c r="V19" s="40">
        <f t="shared" si="34"/>
        <v>0</v>
      </c>
      <c r="W19" s="280">
        <f t="shared" si="36"/>
        <v>4.8000000000000001E-2</v>
      </c>
      <c r="X19" s="134">
        <f t="shared" si="37"/>
        <v>0.03</v>
      </c>
      <c r="Y19" s="271">
        <f t="shared" si="33"/>
        <v>-26002.77394268546</v>
      </c>
      <c r="Z19" s="273"/>
      <c r="AA19" s="273">
        <f t="shared" si="17"/>
        <v>-26002.77394268546</v>
      </c>
      <c r="AB19" s="40">
        <f t="shared" si="5"/>
        <v>116865.87614332361</v>
      </c>
      <c r="AC19" s="134">
        <f t="shared" si="35"/>
        <v>0.36702864101272603</v>
      </c>
      <c r="AD19" s="39">
        <f t="shared" si="6"/>
        <v>168400</v>
      </c>
      <c r="AE19" s="257">
        <f t="shared" si="7"/>
        <v>0.36599999999999999</v>
      </c>
      <c r="AF19" s="39">
        <f t="shared" si="8"/>
        <v>28765</v>
      </c>
      <c r="AG19" s="39">
        <f t="shared" si="9"/>
        <v>30631.744371418474</v>
      </c>
      <c r="AH19" s="39">
        <f t="shared" si="30"/>
        <v>46432.457672182485</v>
      </c>
      <c r="AI19" s="44"/>
      <c r="AJ19" s="388">
        <f t="shared" si="31"/>
        <v>2608788.8443621718</v>
      </c>
      <c r="AK19" s="386">
        <f t="shared" si="32"/>
        <v>1.022136520334749</v>
      </c>
      <c r="AL19" t="s">
        <v>351</v>
      </c>
      <c r="AM19" s="39">
        <f>20000*4</f>
        <v>80000</v>
      </c>
      <c r="AN19" s="39"/>
      <c r="AO19" s="39"/>
      <c r="AQ19" s="3">
        <v>17</v>
      </c>
      <c r="AR19" s="44">
        <f t="shared" si="19"/>
        <v>1659464.8898824819</v>
      </c>
      <c r="AS19" s="44">
        <f t="shared" si="0"/>
        <v>48354.584223169542</v>
      </c>
      <c r="AT19" s="44">
        <f t="shared" si="1"/>
        <v>-96000</v>
      </c>
    </row>
    <row r="20" spans="2:46" x14ac:dyDescent="0.25">
      <c r="B20" s="104">
        <v>2035</v>
      </c>
      <c r="C20" s="109">
        <f t="shared" si="11"/>
        <v>486142.21717649873</v>
      </c>
      <c r="D20" s="92">
        <f t="shared" si="12"/>
        <v>5.9343112185905946</v>
      </c>
      <c r="E20" s="40">
        <f t="shared" si="20"/>
        <v>2884919.2132210019</v>
      </c>
      <c r="F20" s="120">
        <f t="shared" si="13"/>
        <v>38601.870859895454</v>
      </c>
      <c r="G20" s="40">
        <f t="shared" si="21"/>
        <v>130685.53065370985</v>
      </c>
      <c r="H20" s="119">
        <f t="shared" si="22"/>
        <v>3054206.6147346073</v>
      </c>
      <c r="I20" s="262">
        <f t="shared" si="38"/>
        <v>0.24948643082634914</v>
      </c>
      <c r="J20" s="321">
        <f t="shared" si="39"/>
        <v>45363.721879834353</v>
      </c>
      <c r="K20" s="262">
        <f t="shared" si="25"/>
        <v>0.04</v>
      </c>
      <c r="L20" s="260">
        <f t="shared" si="26"/>
        <v>7273.1365356553624</v>
      </c>
      <c r="M20" s="260">
        <f t="shared" si="27"/>
        <v>2264.0457435212606</v>
      </c>
      <c r="N20" s="260">
        <f t="shared" ref="N20:N41" si="40">(J20+L20+M20)*(1-$BH$4-$BI$3)</f>
        <v>45595.20090405862</v>
      </c>
      <c r="O20" s="120">
        <f t="shared" si="14"/>
        <v>8810.9403254488006</v>
      </c>
      <c r="P20" s="40">
        <f t="shared" si="2"/>
        <v>1158.0561257968634</v>
      </c>
      <c r="Q20" s="112">
        <f t="shared" si="3"/>
        <v>10502.227664425376</v>
      </c>
      <c r="R20" s="127">
        <f t="shared" si="15"/>
        <v>0</v>
      </c>
      <c r="S20" s="120">
        <f t="shared" si="4"/>
        <v>148148.6140901375</v>
      </c>
      <c r="T20" s="40">
        <f t="shared" si="16"/>
        <v>181828.41339138406</v>
      </c>
      <c r="U20" s="40">
        <f t="shared" si="29"/>
        <v>181828.41339138406</v>
      </c>
      <c r="V20" s="40">
        <f t="shared" si="34"/>
        <v>0</v>
      </c>
      <c r="W20" s="280">
        <f t="shared" si="36"/>
        <v>4.8000000000000001E-2</v>
      </c>
      <c r="X20" s="134">
        <f t="shared" si="37"/>
        <v>0.03</v>
      </c>
      <c r="Y20" s="271">
        <f t="shared" si="33"/>
        <v>-26522.829421539169</v>
      </c>
      <c r="Z20" s="273"/>
      <c r="AA20" s="273">
        <f t="shared" si="17"/>
        <v>-26522.829421539169</v>
      </c>
      <c r="AB20" s="40">
        <f t="shared" si="5"/>
        <v>121625.78466859834</v>
      </c>
      <c r="AC20" s="134">
        <f t="shared" si="35"/>
        <v>0.37297783527925288</v>
      </c>
      <c r="AD20" s="39">
        <f t="shared" si="6"/>
        <v>168400</v>
      </c>
      <c r="AE20" s="257">
        <f t="shared" si="7"/>
        <v>0.36599999999999999</v>
      </c>
      <c r="AF20" s="39">
        <f t="shared" si="8"/>
        <v>28765</v>
      </c>
      <c r="AG20" s="39">
        <f t="shared" si="9"/>
        <v>33679.799301246567</v>
      </c>
      <c r="AH20" s="39">
        <f t="shared" si="30"/>
        <v>47361.106825626135</v>
      </c>
      <c r="AI20" s="39"/>
      <c r="AJ20" s="388">
        <f t="shared" si="31"/>
        <v>2790621.4268142148</v>
      </c>
      <c r="AK20" s="386">
        <f t="shared" si="32"/>
        <v>1.0944539396808481</v>
      </c>
      <c r="AL20" t="s">
        <v>149</v>
      </c>
      <c r="AM20" s="185">
        <f>AY4-AN9</f>
        <v>3.0000000000000002E-2</v>
      </c>
      <c r="AQ20" s="3">
        <v>18</v>
      </c>
      <c r="AR20" s="44">
        <f t="shared" si="19"/>
        <v>1611819.4741056515</v>
      </c>
      <c r="AS20" s="44">
        <f t="shared" si="0"/>
        <v>46881.014663061382</v>
      </c>
      <c r="AT20" s="44">
        <f t="shared" si="1"/>
        <v>-96000</v>
      </c>
    </row>
    <row r="21" spans="2:46" x14ac:dyDescent="0.25">
      <c r="B21" s="104">
        <v>2036</v>
      </c>
      <c r="C21" s="109">
        <f t="shared" si="11"/>
        <v>544208.68350251275</v>
      </c>
      <c r="D21" s="92">
        <f t="shared" si="12"/>
        <v>6.0826689990553593</v>
      </c>
      <c r="E21" s="40">
        <f t="shared" si="20"/>
        <v>3310241.288157464</v>
      </c>
      <c r="F21" s="120">
        <f t="shared" si="13"/>
        <v>39795.743154531396</v>
      </c>
      <c r="G21" s="40">
        <f t="shared" si="21"/>
        <v>131879.40294834579</v>
      </c>
      <c r="H21" s="119">
        <f t="shared" si="22"/>
        <v>3481916.4342603413</v>
      </c>
      <c r="I21" s="262">
        <f t="shared" si="38"/>
        <v>0.25162838931071935</v>
      </c>
      <c r="J21" s="321">
        <f t="shared" si="39"/>
        <v>47949.343950642287</v>
      </c>
      <c r="K21" s="262">
        <f t="shared" si="25"/>
        <v>0.04</v>
      </c>
      <c r="L21" s="260">
        <f t="shared" si="26"/>
        <v>7622.2470893668196</v>
      </c>
      <c r="M21" s="260">
        <f t="shared" si="27"/>
        <v>2399.7474160030852</v>
      </c>
      <c r="N21" s="260">
        <f t="shared" si="40"/>
        <v>48145.196587718128</v>
      </c>
      <c r="O21" s="120">
        <f t="shared" si="14"/>
        <v>9921.2697382958922</v>
      </c>
      <c r="P21" s="40">
        <f t="shared" si="2"/>
        <v>1193.8722946359419</v>
      </c>
      <c r="Q21" s="112">
        <f t="shared" si="3"/>
        <v>10596.124107057554</v>
      </c>
      <c r="R21" s="127">
        <f t="shared" si="15"/>
        <v>0</v>
      </c>
      <c r="S21" s="120">
        <f t="shared" si="4"/>
        <v>153682.01636646409</v>
      </c>
      <c r="T21" s="40">
        <f t="shared" si="16"/>
        <v>190556.17723417049</v>
      </c>
      <c r="U21" s="40">
        <f t="shared" si="29"/>
        <v>190556.17723417049</v>
      </c>
      <c r="V21" s="40">
        <f t="shared" si="34"/>
        <v>0</v>
      </c>
      <c r="W21" s="280">
        <f t="shared" si="36"/>
        <v>4.8000000000000001E-2</v>
      </c>
      <c r="X21" s="134">
        <f t="shared" si="37"/>
        <v>0.03</v>
      </c>
      <c r="Y21" s="271">
        <f t="shared" si="33"/>
        <v>-27053.286009969954</v>
      </c>
      <c r="Z21" s="273"/>
      <c r="AA21" s="273">
        <f t="shared" si="17"/>
        <v>-27053.286009969954</v>
      </c>
      <c r="AB21" s="40">
        <f t="shared" si="5"/>
        <v>126628.73035649414</v>
      </c>
      <c r="AC21" s="134">
        <f t="shared" si="35"/>
        <v>0.3786608601038004</v>
      </c>
      <c r="AD21" s="39">
        <f t="shared" si="6"/>
        <v>168400</v>
      </c>
      <c r="AE21" s="257">
        <f t="shared" si="7"/>
        <v>0.36599999999999999</v>
      </c>
      <c r="AF21" s="39">
        <f t="shared" si="8"/>
        <v>28765</v>
      </c>
      <c r="AG21" s="39">
        <f t="shared" si="9"/>
        <v>36874.1608677064</v>
      </c>
      <c r="AH21" s="39">
        <f t="shared" si="30"/>
        <v>48308.328962138658</v>
      </c>
      <c r="AI21" s="39"/>
      <c r="AJ21" s="388">
        <f t="shared" si="31"/>
        <v>2985127.7402631664</v>
      </c>
      <c r="AK21" s="386">
        <f t="shared" si="32"/>
        <v>1.1664212513576986</v>
      </c>
      <c r="AQ21" s="3">
        <v>19</v>
      </c>
      <c r="AR21" s="44">
        <f t="shared" si="19"/>
        <v>1562700.4887687129</v>
      </c>
      <c r="AS21" s="44">
        <f t="shared" si="0"/>
        <v>45361.870786661217</v>
      </c>
      <c r="AT21" s="44">
        <f t="shared" si="1"/>
        <v>-96000</v>
      </c>
    </row>
    <row r="22" spans="2:46" x14ac:dyDescent="0.25">
      <c r="B22" s="104">
        <v>2037</v>
      </c>
      <c r="C22" s="109">
        <f t="shared" si="11"/>
        <v>606123.62297496654</v>
      </c>
      <c r="D22" s="92">
        <f t="shared" si="12"/>
        <v>6.2347357240317427</v>
      </c>
      <c r="E22" s="40">
        <f t="shared" si="20"/>
        <v>3779020.6053415709</v>
      </c>
      <c r="F22" s="120">
        <f t="shared" si="13"/>
        <v>41026.53933456845</v>
      </c>
      <c r="G22" s="40">
        <f t="shared" si="21"/>
        <v>133110.19912838284</v>
      </c>
      <c r="H22" s="119">
        <f t="shared" si="22"/>
        <v>3953157.3438045224</v>
      </c>
      <c r="I22" s="262">
        <f t="shared" si="38"/>
        <v>0.25365835067644554</v>
      </c>
      <c r="J22" s="321">
        <f t="shared" si="39"/>
        <v>50656.301578592676</v>
      </c>
      <c r="K22" s="262">
        <f t="shared" si="25"/>
        <v>0.04</v>
      </c>
      <c r="L22" s="260">
        <f t="shared" si="26"/>
        <v>7988.1149496564267</v>
      </c>
      <c r="M22" s="260">
        <f t="shared" si="27"/>
        <v>2533.9577151430594</v>
      </c>
      <c r="N22" s="260">
        <f t="shared" si="40"/>
        <v>50808.639809137188</v>
      </c>
      <c r="O22" s="120">
        <f t="shared" si="14"/>
        <v>11106.299663316588</v>
      </c>
      <c r="P22" s="40">
        <f t="shared" si="2"/>
        <v>1230.7961800370535</v>
      </c>
      <c r="Q22" s="112">
        <f t="shared" si="3"/>
        <v>10692.924563379387</v>
      </c>
      <c r="R22" s="127">
        <f t="shared" si="15"/>
        <v>0</v>
      </c>
      <c r="S22" s="120">
        <f t="shared" si="4"/>
        <v>159481.02195205438</v>
      </c>
      <c r="T22" s="40">
        <f t="shared" si="16"/>
        <v>199702.87374141067</v>
      </c>
      <c r="U22" s="40">
        <f t="shared" si="29"/>
        <v>199702.87374141067</v>
      </c>
      <c r="V22" s="40">
        <f t="shared" si="34"/>
        <v>0</v>
      </c>
      <c r="W22" s="280">
        <f t="shared" si="36"/>
        <v>4.8000000000000001E-2</v>
      </c>
      <c r="X22" s="134">
        <f t="shared" si="37"/>
        <v>0.03</v>
      </c>
      <c r="Y22" s="271">
        <f t="shared" si="33"/>
        <v>-27594.351730169354</v>
      </c>
      <c r="Z22" s="273"/>
      <c r="AA22" s="273">
        <f t="shared" si="17"/>
        <v>-27594.351730169354</v>
      </c>
      <c r="AB22" s="40">
        <f t="shared" si="5"/>
        <v>131886.67022188503</v>
      </c>
      <c r="AC22" s="134">
        <f t="shared" si="35"/>
        <v>0.38408962401862856</v>
      </c>
      <c r="AD22" s="39">
        <f t="shared" si="6"/>
        <v>168400</v>
      </c>
      <c r="AE22" s="257">
        <f t="shared" si="7"/>
        <v>0.36599999999999999</v>
      </c>
      <c r="AF22" s="39">
        <f t="shared" si="8"/>
        <v>28765</v>
      </c>
      <c r="AG22" s="39">
        <f t="shared" si="9"/>
        <v>40221.851789356304</v>
      </c>
      <c r="AH22" s="39">
        <f t="shared" si="30"/>
        <v>49274.495541381431</v>
      </c>
      <c r="AI22" s="39"/>
      <c r="AJ22" s="388">
        <f t="shared" si="31"/>
        <v>3193191.1437595091</v>
      </c>
      <c r="AK22" s="386">
        <f t="shared" si="32"/>
        <v>1.2379958373397797</v>
      </c>
      <c r="AM22" t="s">
        <v>352</v>
      </c>
      <c r="AN22" t="s">
        <v>149</v>
      </c>
      <c r="AO22" t="s">
        <v>353</v>
      </c>
      <c r="AP22" t="s">
        <v>354</v>
      </c>
      <c r="AQ22" s="3">
        <v>20</v>
      </c>
      <c r="AR22" s="44">
        <f t="shared" si="19"/>
        <v>1512062.3595553741</v>
      </c>
      <c r="AS22" s="44">
        <f t="shared" si="0"/>
        <v>43795.743079032189</v>
      </c>
      <c r="AT22" s="44">
        <f t="shared" si="1"/>
        <v>-96000</v>
      </c>
    </row>
    <row r="23" spans="2:46" x14ac:dyDescent="0.25">
      <c r="B23" s="104">
        <v>2038</v>
      </c>
      <c r="C23" s="109">
        <f t="shared" si="11"/>
        <v>672091.35812952288</v>
      </c>
      <c r="D23" s="92">
        <f t="shared" si="12"/>
        <v>6.3906041171325354</v>
      </c>
      <c r="E23" s="40">
        <f t="shared" si="20"/>
        <v>4295069.8003517259</v>
      </c>
      <c r="F23" s="120">
        <f t="shared" si="13"/>
        <v>42295.401375843765</v>
      </c>
      <c r="G23" s="40">
        <f t="shared" si="21"/>
        <v>134379.06116965815</v>
      </c>
      <c r="H23" s="119">
        <f t="shared" si="22"/>
        <v>4471744.2628972279</v>
      </c>
      <c r="I23" s="262">
        <f t="shared" si="38"/>
        <v>0.25558571897375099</v>
      </c>
      <c r="J23" s="321">
        <f t="shared" si="39"/>
        <v>53491.180289506148</v>
      </c>
      <c r="K23" s="262">
        <f t="shared" si="25"/>
        <v>0.04</v>
      </c>
      <c r="L23" s="260">
        <f t="shared" si="26"/>
        <v>8371.5444672399353</v>
      </c>
      <c r="M23" s="260">
        <f t="shared" si="27"/>
        <v>2674.1389373230104</v>
      </c>
      <c r="N23" s="260">
        <f t="shared" si="40"/>
        <v>53597.865297924385</v>
      </c>
      <c r="O23" s="120">
        <f t="shared" si="14"/>
        <v>12369.869856631971</v>
      </c>
      <c r="P23" s="40">
        <f t="shared" si="2"/>
        <v>1268.862041275313</v>
      </c>
      <c r="Q23" s="112">
        <f t="shared" si="3"/>
        <v>10792.718848247256</v>
      </c>
      <c r="R23" s="127">
        <f t="shared" si="15"/>
        <v>0</v>
      </c>
      <c r="S23" s="120">
        <f t="shared" si="4"/>
        <v>165558.37980575298</v>
      </c>
      <c r="T23" s="40">
        <f t="shared" si="16"/>
        <v>209288.61168099838</v>
      </c>
      <c r="U23" s="40">
        <f t="shared" si="29"/>
        <v>209288.61168099838</v>
      </c>
      <c r="V23" s="40">
        <f t="shared" si="34"/>
        <v>0</v>
      </c>
      <c r="W23" s="280">
        <f t="shared" si="36"/>
        <v>4.8000000000000001E-2</v>
      </c>
      <c r="X23" s="134">
        <f t="shared" si="37"/>
        <v>0.03</v>
      </c>
      <c r="Y23" s="271">
        <f t="shared" si="33"/>
        <v>-28146.238764772741</v>
      </c>
      <c r="Z23" s="273"/>
      <c r="AA23" s="273">
        <f t="shared" si="17"/>
        <v>-28146.238764772741</v>
      </c>
      <c r="AB23" s="40">
        <f t="shared" si="5"/>
        <v>137412.14104098023</v>
      </c>
      <c r="AC23" s="134">
        <f t="shared" si="35"/>
        <v>0.38927550276327871</v>
      </c>
      <c r="AD23" s="39">
        <f t="shared" si="6"/>
        <v>168400</v>
      </c>
      <c r="AE23" s="257">
        <f t="shared" si="7"/>
        <v>0.36599999999999999</v>
      </c>
      <c r="AF23" s="39">
        <f t="shared" si="8"/>
        <v>28765</v>
      </c>
      <c r="AG23" s="39">
        <f t="shared" si="9"/>
        <v>43730.231875245408</v>
      </c>
      <c r="AH23" s="39">
        <f t="shared" si="30"/>
        <v>50259.985452209061</v>
      </c>
      <c r="AI23" s="39"/>
      <c r="AJ23" s="388">
        <f t="shared" si="31"/>
        <v>3415756.5664795469</v>
      </c>
      <c r="AK23" s="386">
        <f t="shared" si="32"/>
        <v>1.3091519187229539</v>
      </c>
      <c r="AL23" s="264">
        <v>1</v>
      </c>
      <c r="AM23" s="267">
        <v>0</v>
      </c>
      <c r="AN23" s="268">
        <f>AM23*$AM$20/(1-$AM$20)</f>
        <v>0</v>
      </c>
      <c r="AO23" s="268"/>
      <c r="AP23" s="270">
        <v>2892.813229844086</v>
      </c>
      <c r="AQ23" s="3">
        <v>21</v>
      </c>
      <c r="AR23" s="44">
        <f t="shared" si="19"/>
        <v>1459858.1026344064</v>
      </c>
      <c r="AS23" s="44">
        <f t="shared" si="0"/>
        <v>42181.178431991946</v>
      </c>
      <c r="AT23" s="44">
        <f t="shared" si="1"/>
        <v>-96000</v>
      </c>
    </row>
    <row r="24" spans="2:46" x14ac:dyDescent="0.25">
      <c r="B24" s="104">
        <v>2039</v>
      </c>
      <c r="C24" s="109">
        <f t="shared" si="11"/>
        <v>742327.32952904119</v>
      </c>
      <c r="D24" s="92">
        <f t="shared" si="12"/>
        <v>6.5503692200608485</v>
      </c>
      <c r="E24" s="40">
        <f t="shared" si="20"/>
        <v>4862518.0905569978</v>
      </c>
      <c r="F24" s="120">
        <f t="shared" si="13"/>
        <v>43603.506573034807</v>
      </c>
      <c r="G24" s="40">
        <f t="shared" si="21"/>
        <v>135687.16636684918</v>
      </c>
      <c r="H24" s="119">
        <f t="shared" si="22"/>
        <v>5041808.7634968814</v>
      </c>
      <c r="I24" s="262">
        <f t="shared" si="38"/>
        <v>0.25741897962788923</v>
      </c>
      <c r="J24" s="321">
        <f t="shared" si="39"/>
        <v>56460.854188259837</v>
      </c>
      <c r="K24" s="262">
        <f t="shared" si="25"/>
        <v>0.04</v>
      </c>
      <c r="L24" s="260">
        <f t="shared" si="26"/>
        <v>8773.378601667453</v>
      </c>
      <c r="M24" s="260">
        <f t="shared" si="27"/>
        <v>2820.9402788381258</v>
      </c>
      <c r="N24" s="260">
        <f t="shared" si="40"/>
        <v>56519.821233609684</v>
      </c>
      <c r="O24" s="120">
        <f t="shared" si="14"/>
        <v>13716.150165908632</v>
      </c>
      <c r="P24" s="40">
        <f t="shared" si="2"/>
        <v>1308.1051971910445</v>
      </c>
      <c r="Q24" s="112">
        <f t="shared" si="3"/>
        <v>10895.599554296605</v>
      </c>
      <c r="R24" s="127">
        <f t="shared" si="15"/>
        <v>0</v>
      </c>
      <c r="S24" s="120">
        <f t="shared" si="4"/>
        <v>171927.45083642914</v>
      </c>
      <c r="T24" s="40">
        <f t="shared" si="16"/>
        <v>219334.46504168632</v>
      </c>
      <c r="U24" s="40">
        <f t="shared" si="29"/>
        <v>219334.46504168632</v>
      </c>
      <c r="V24" s="40">
        <f t="shared" si="34"/>
        <v>0</v>
      </c>
      <c r="W24" s="280">
        <f t="shared" si="36"/>
        <v>4.8000000000000001E-2</v>
      </c>
      <c r="X24" s="134">
        <f t="shared" si="37"/>
        <v>0.03</v>
      </c>
      <c r="Y24" s="271">
        <f t="shared" si="33"/>
        <v>-28709.163540068195</v>
      </c>
      <c r="Z24" s="273"/>
      <c r="AA24" s="273">
        <f t="shared" si="17"/>
        <v>-28709.163540068195</v>
      </c>
      <c r="AB24" s="40">
        <f t="shared" si="5"/>
        <v>143218.28729636094</v>
      </c>
      <c r="AC24" s="134">
        <f t="shared" si="35"/>
        <v>0.39422936312194301</v>
      </c>
      <c r="AD24" s="39">
        <f t="shared" si="6"/>
        <v>168400</v>
      </c>
      <c r="AE24" s="257">
        <f t="shared" si="7"/>
        <v>0.36599999999999999</v>
      </c>
      <c r="AF24" s="39">
        <f t="shared" si="8"/>
        <v>28765</v>
      </c>
      <c r="AG24" s="39">
        <f t="shared" si="9"/>
        <v>47407.01420525719</v>
      </c>
      <c r="AH24" s="39">
        <f t="shared" si="30"/>
        <v>51265.185161253241</v>
      </c>
      <c r="AI24" s="39"/>
      <c r="AJ24" s="388">
        <f t="shared" si="31"/>
        <v>3653834.7991631716</v>
      </c>
      <c r="AK24" s="386">
        <f t="shared" si="32"/>
        <v>1.3798677391357688</v>
      </c>
      <c r="AL24" s="16">
        <v>2</v>
      </c>
      <c r="AM24" s="40">
        <f>SUM(AM23:AP23)</f>
        <v>2892.813229844086</v>
      </c>
      <c r="AN24" s="40">
        <f t="shared" ref="AN24:AN43" si="41">AM24*$AM$20/(1-$AM$20)</f>
        <v>89.468450407549057</v>
      </c>
      <c r="AO24" s="40"/>
      <c r="AP24" s="41">
        <f>AP23</f>
        <v>2892.813229844086</v>
      </c>
      <c r="AQ24" s="3">
        <v>22</v>
      </c>
      <c r="AR24" s="44">
        <f t="shared" si="19"/>
        <v>1406039.2810663984</v>
      </c>
      <c r="AS24" s="44">
        <f t="shared" si="0"/>
        <v>40516.678795867985</v>
      </c>
      <c r="AT24" s="44">
        <f t="shared" si="1"/>
        <v>-96000</v>
      </c>
    </row>
    <row r="25" spans="2:46" x14ac:dyDescent="0.25">
      <c r="B25" s="104">
        <v>2040</v>
      </c>
      <c r="C25" s="109">
        <f t="shared" si="11"/>
        <v>814497.02357096283</v>
      </c>
      <c r="D25" s="92">
        <f t="shared" si="12"/>
        <v>6.7141284505623693</v>
      </c>
      <c r="E25" s="40">
        <f t="shared" si="20"/>
        <v>5468637.6388561707</v>
      </c>
      <c r="F25" s="120">
        <f t="shared" si="13"/>
        <v>44952.068631994647</v>
      </c>
      <c r="G25" s="40">
        <f t="shared" si="21"/>
        <v>137035.72842580901</v>
      </c>
      <c r="H25" s="119">
        <f t="shared" si="22"/>
        <v>5650625.4359139744</v>
      </c>
      <c r="I25" s="262">
        <f t="shared" si="38"/>
        <v>0.25946454845192463</v>
      </c>
      <c r="J25" s="321">
        <f t="shared" si="39"/>
        <v>56909.517931985589</v>
      </c>
      <c r="K25" s="262">
        <f t="shared" si="25"/>
        <v>0.04</v>
      </c>
      <c r="L25" s="260">
        <f t="shared" si="26"/>
        <v>8773.378601667453</v>
      </c>
      <c r="M25" s="260">
        <f t="shared" si="27"/>
        <v>2974.7274333478786</v>
      </c>
      <c r="N25" s="260">
        <f t="shared" si="40"/>
        <v>57020.156704594265</v>
      </c>
      <c r="O25" s="120">
        <f t="shared" si="14"/>
        <v>15149.537337327371</v>
      </c>
      <c r="P25" s="40">
        <f t="shared" si="2"/>
        <v>1348.5620589598395</v>
      </c>
      <c r="Q25" s="112">
        <f t="shared" si="3"/>
        <v>11001.662137852634</v>
      </c>
      <c r="R25" s="127">
        <f t="shared" si="15"/>
        <v>0</v>
      </c>
      <c r="S25" s="120">
        <f t="shared" si="4"/>
        <v>171927.45083642914</v>
      </c>
      <c r="T25" s="40">
        <f t="shared" si="16"/>
        <v>219334.46504168632</v>
      </c>
      <c r="U25" s="40">
        <f t="shared" si="29"/>
        <v>219334.46504168632</v>
      </c>
      <c r="V25" s="40">
        <f t="shared" si="34"/>
        <v>0</v>
      </c>
      <c r="W25" s="133"/>
      <c r="X25" s="134">
        <f t="shared" si="37"/>
        <v>0.03</v>
      </c>
      <c r="Y25" s="271">
        <f t="shared" si="33"/>
        <v>-29283.34681086956</v>
      </c>
      <c r="Z25" s="273"/>
      <c r="AA25" s="273">
        <f t="shared" si="17"/>
        <v>-29283.34681086956</v>
      </c>
      <c r="AB25" s="40">
        <f t="shared" si="5"/>
        <v>142644.10402555959</v>
      </c>
      <c r="AC25" s="134">
        <f t="shared" si="35"/>
        <v>0.39896158569433965</v>
      </c>
      <c r="AD25" s="39">
        <f t="shared" si="6"/>
        <v>168400</v>
      </c>
      <c r="AE25" s="257">
        <f t="shared" si="7"/>
        <v>0.36599999999999999</v>
      </c>
      <c r="AF25" s="39">
        <f t="shared" si="8"/>
        <v>28765</v>
      </c>
      <c r="AG25" s="39">
        <f t="shared" si="9"/>
        <v>47407.01420525719</v>
      </c>
      <c r="AH25" s="39">
        <f t="shared" si="30"/>
        <v>52290.488864478306</v>
      </c>
      <c r="AI25" s="39"/>
      <c r="AJ25" s="388">
        <f t="shared" si="31"/>
        <v>3908507.0846648449</v>
      </c>
      <c r="AK25" s="386">
        <f t="shared" si="32"/>
        <v>1.4457247520631056</v>
      </c>
      <c r="AL25" s="16">
        <v>3</v>
      </c>
      <c r="AM25" s="40">
        <f t="shared" ref="AM25:AM44" si="42">SUM(AM24:AP24)</f>
        <v>5875.0949100957205</v>
      </c>
      <c r="AN25" s="40">
        <f t="shared" si="41"/>
        <v>181.70396629162025</v>
      </c>
      <c r="AO25" s="40"/>
      <c r="AP25" s="41">
        <f t="shared" ref="AP25:AP43" si="43">AP24</f>
        <v>2892.813229844086</v>
      </c>
      <c r="AQ25" s="3">
        <v>23</v>
      </c>
      <c r="AR25" s="44">
        <f t="shared" si="19"/>
        <v>1350555.9598622664</v>
      </c>
      <c r="AS25" s="44">
        <f t="shared" si="0"/>
        <v>38800.69978955463</v>
      </c>
      <c r="AT25" s="44">
        <f t="shared" si="1"/>
        <v>-96000</v>
      </c>
    </row>
    <row r="26" spans="2:46" x14ac:dyDescent="0.25">
      <c r="B26" s="104">
        <v>2041</v>
      </c>
      <c r="C26" s="109">
        <f t="shared" si="11"/>
        <v>888500.71155013726</v>
      </c>
      <c r="D26" s="92">
        <f t="shared" si="12"/>
        <v>6.881981661826428</v>
      </c>
      <c r="E26" s="40">
        <f t="shared" si="20"/>
        <v>6114645.6034077778</v>
      </c>
      <c r="F26" s="120">
        <f t="shared" si="13"/>
        <v>46342.338795870768</v>
      </c>
      <c r="G26" s="40">
        <f t="shared" si="21"/>
        <v>138425.99858968513</v>
      </c>
      <c r="H26" s="119">
        <f t="shared" si="22"/>
        <v>6299413.9407933336</v>
      </c>
      <c r="I26" s="262">
        <f t="shared" si="38"/>
        <v>0.26132707694543417</v>
      </c>
      <c r="J26" s="321">
        <f t="shared" si="39"/>
        <v>57318.034622734405</v>
      </c>
      <c r="K26" s="262">
        <f t="shared" si="25"/>
        <v>0.04</v>
      </c>
      <c r="L26" s="260">
        <f t="shared" si="26"/>
        <v>8773.378601667453</v>
      </c>
      <c r="M26" s="260">
        <f t="shared" si="27"/>
        <v>3001.0608791891718</v>
      </c>
      <c r="N26" s="260">
        <f t="shared" si="40"/>
        <v>57381.299743032352</v>
      </c>
      <c r="O26" s="120">
        <f t="shared" si="14"/>
        <v>16622.388236142098</v>
      </c>
      <c r="P26" s="40">
        <f t="shared" si="2"/>
        <v>1390.270163876123</v>
      </c>
      <c r="Q26" s="112">
        <f t="shared" si="3"/>
        <v>11111.005007498026</v>
      </c>
      <c r="R26" s="127">
        <f t="shared" si="15"/>
        <v>0</v>
      </c>
      <c r="S26" s="120">
        <f t="shared" si="4"/>
        <v>171927.45083642914</v>
      </c>
      <c r="T26" s="40">
        <f t="shared" si="16"/>
        <v>219334.46504168632</v>
      </c>
      <c r="U26" s="40">
        <f t="shared" si="29"/>
        <v>219334.46504168632</v>
      </c>
      <c r="V26" s="40">
        <f t="shared" si="34"/>
        <v>0</v>
      </c>
      <c r="W26" s="133">
        <f t="shared" si="36"/>
        <v>0</v>
      </c>
      <c r="X26" s="134">
        <f t="shared" si="37"/>
        <v>0.03</v>
      </c>
      <c r="Y26" s="271">
        <f t="shared" si="33"/>
        <v>-29869.013747086952</v>
      </c>
      <c r="Z26" s="273"/>
      <c r="AA26" s="273">
        <f t="shared" si="17"/>
        <v>-29869.013747086952</v>
      </c>
      <c r="AB26" s="40">
        <f t="shared" si="5"/>
        <v>142058.43708934219</v>
      </c>
      <c r="AC26" s="134">
        <f t="shared" si="35"/>
        <v>0.40348208664780982</v>
      </c>
      <c r="AD26" s="39">
        <f t="shared" si="6"/>
        <v>168400</v>
      </c>
      <c r="AE26" s="257">
        <f t="shared" si="7"/>
        <v>0.36599999999999999</v>
      </c>
      <c r="AF26" s="39">
        <f t="shared" si="8"/>
        <v>28765</v>
      </c>
      <c r="AG26" s="39">
        <f t="shared" si="9"/>
        <v>47407.01420525719</v>
      </c>
      <c r="AH26" s="39">
        <f t="shared" si="30"/>
        <v>53336.298641767869</v>
      </c>
      <c r="AI26" s="39"/>
      <c r="AJ26" s="388">
        <f t="shared" si="31"/>
        <v>4180930.0284659839</v>
      </c>
      <c r="AK26" s="386">
        <f t="shared" si="32"/>
        <v>1.5067015945982329</v>
      </c>
      <c r="AL26" s="16">
        <v>4</v>
      </c>
      <c r="AM26" s="40">
        <f t="shared" si="42"/>
        <v>8949.6121062314269</v>
      </c>
      <c r="AN26" s="40">
        <f t="shared" si="41"/>
        <v>276.79212699684825</v>
      </c>
      <c r="AO26" s="40"/>
      <c r="AP26" s="41">
        <f t="shared" si="43"/>
        <v>2892.813229844086</v>
      </c>
      <c r="AQ26" s="3">
        <v>24</v>
      </c>
      <c r="AR26" s="44">
        <f t="shared" si="19"/>
        <v>1293356.659651821</v>
      </c>
      <c r="AS26" s="44">
        <f t="shared" si="0"/>
        <v>37031.649267582092</v>
      </c>
      <c r="AT26" s="44">
        <f t="shared" si="1"/>
        <v>-96000</v>
      </c>
    </row>
    <row r="27" spans="2:46" x14ac:dyDescent="0.25">
      <c r="B27" s="104">
        <v>2042</v>
      </c>
      <c r="C27" s="109">
        <f t="shared" si="11"/>
        <v>964337.61029530084</v>
      </c>
      <c r="D27" s="92">
        <f t="shared" si="12"/>
        <v>7.0540312033720882</v>
      </c>
      <c r="E27" s="40">
        <f t="shared" si="20"/>
        <v>6802467.5936083244</v>
      </c>
      <c r="F27" s="120">
        <f t="shared" si="13"/>
        <v>47775.607006052342</v>
      </c>
      <c r="G27" s="40">
        <f t="shared" si="21"/>
        <v>139859.26679986669</v>
      </c>
      <c r="H27" s="119">
        <f t="shared" si="22"/>
        <v>6990102.4674142431</v>
      </c>
      <c r="I27" s="262">
        <f t="shared" si="38"/>
        <v>0.26301323342859506</v>
      </c>
      <c r="J27" s="321">
        <f t="shared" si="39"/>
        <v>57687.866852945066</v>
      </c>
      <c r="K27" s="262">
        <f t="shared" si="25"/>
        <v>0.04</v>
      </c>
      <c r="L27" s="260">
        <f t="shared" si="26"/>
        <v>8773.378601667453</v>
      </c>
      <c r="M27" s="260">
        <f t="shared" si="27"/>
        <v>3020.0684075280192</v>
      </c>
      <c r="N27" s="260">
        <f t="shared" si="40"/>
        <v>57704.23116250772</v>
      </c>
      <c r="O27" s="120">
        <f t="shared" si="14"/>
        <v>18132.66758265586</v>
      </c>
      <c r="P27" s="40">
        <f t="shared" si="2"/>
        <v>1433.2682101815701</v>
      </c>
      <c r="Q27" s="112">
        <f t="shared" si="3"/>
        <v>11223.729615379874</v>
      </c>
      <c r="R27" s="127">
        <f t="shared" si="15"/>
        <v>0</v>
      </c>
      <c r="S27" s="120">
        <f t="shared" si="4"/>
        <v>171927.45083642914</v>
      </c>
      <c r="T27" s="40">
        <f t="shared" si="16"/>
        <v>219334.46504168632</v>
      </c>
      <c r="U27" s="40">
        <f t="shared" si="29"/>
        <v>219334.46504168632</v>
      </c>
      <c r="V27" s="40">
        <f t="shared" si="34"/>
        <v>0</v>
      </c>
      <c r="W27" s="133">
        <f t="shared" si="36"/>
        <v>0</v>
      </c>
      <c r="X27" s="134">
        <f t="shared" si="37"/>
        <v>0.03</v>
      </c>
      <c r="Y27" s="271">
        <f t="shared" si="33"/>
        <v>-30466.394022028693</v>
      </c>
      <c r="Z27" s="273"/>
      <c r="AA27" s="273">
        <f t="shared" si="17"/>
        <v>-30466.394022028693</v>
      </c>
      <c r="AB27" s="40">
        <f t="shared" si="5"/>
        <v>141461.05681440045</v>
      </c>
      <c r="AC27" s="134">
        <f t="shared" si="35"/>
        <v>0.40780033849621683</v>
      </c>
      <c r="AD27" s="39">
        <f t="shared" si="6"/>
        <v>168400</v>
      </c>
      <c r="AE27" s="257">
        <f t="shared" si="7"/>
        <v>0.36599999999999999</v>
      </c>
      <c r="AF27" s="39">
        <f t="shared" si="8"/>
        <v>28765</v>
      </c>
      <c r="AG27" s="39">
        <f t="shared" si="9"/>
        <v>47407.01420525719</v>
      </c>
      <c r="AH27" s="39">
        <f t="shared" si="30"/>
        <v>54403.02461460323</v>
      </c>
      <c r="AI27" s="39"/>
      <c r="AJ27" s="388">
        <f t="shared" si="31"/>
        <v>4472340.8514500633</v>
      </c>
      <c r="AK27" s="386">
        <f t="shared" si="32"/>
        <v>1.5629628196043797</v>
      </c>
      <c r="AL27" s="16">
        <v>5</v>
      </c>
      <c r="AM27" s="40">
        <f t="shared" si="42"/>
        <v>12119.21746307236</v>
      </c>
      <c r="AN27" s="40">
        <f t="shared" si="41"/>
        <v>374.8211586517225</v>
      </c>
      <c r="AO27" s="40"/>
      <c r="AP27" s="41">
        <f t="shared" si="43"/>
        <v>2892.813229844086</v>
      </c>
      <c r="AQ27" s="3">
        <v>25</v>
      </c>
      <c r="AR27" s="44">
        <f t="shared" si="19"/>
        <v>1234388.308919403</v>
      </c>
      <c r="AS27" s="44">
        <f t="shared" si="0"/>
        <v>35207.885842868134</v>
      </c>
      <c r="AT27" s="44">
        <f t="shared" si="1"/>
        <v>-96000</v>
      </c>
    </row>
    <row r="28" spans="2:46" x14ac:dyDescent="0.25">
      <c r="B28" s="104">
        <v>2043</v>
      </c>
      <c r="C28" s="109">
        <f t="shared" si="11"/>
        <v>1042012.4879281067</v>
      </c>
      <c r="D28" s="92">
        <f t="shared" si="12"/>
        <v>7.2303819834563896</v>
      </c>
      <c r="E28" s="40">
        <f t="shared" si="20"/>
        <v>7534148.3192519508</v>
      </c>
      <c r="F28" s="120">
        <f t="shared" si="13"/>
        <v>49253.203099023034</v>
      </c>
      <c r="G28" s="40">
        <f t="shared" si="21"/>
        <v>141336.86289283738</v>
      </c>
      <c r="H28" s="119">
        <f t="shared" si="22"/>
        <v>7724738.3852438107</v>
      </c>
      <c r="I28" s="262">
        <f t="shared" si="38"/>
        <v>0.26452934952612905</v>
      </c>
      <c r="J28" s="321">
        <f t="shared" si="39"/>
        <v>58020.403366138773</v>
      </c>
      <c r="K28" s="262">
        <f t="shared" si="25"/>
        <v>0.04</v>
      </c>
      <c r="L28" s="260">
        <f t="shared" si="26"/>
        <v>8773.378601667453</v>
      </c>
      <c r="M28" s="260">
        <f t="shared" si="27"/>
        <v>3037.0647980267222</v>
      </c>
      <c r="N28" s="260">
        <f t="shared" si="40"/>
        <v>57994.518239024263</v>
      </c>
      <c r="O28" s="120">
        <f t="shared" si="14"/>
        <v>19680.359393781651</v>
      </c>
      <c r="P28" s="40">
        <f t="shared" si="2"/>
        <v>1477.596092970691</v>
      </c>
      <c r="Q28" s="112">
        <f t="shared" si="3"/>
        <v>11339.94055134054</v>
      </c>
      <c r="R28" s="127">
        <f t="shared" si="15"/>
        <v>0</v>
      </c>
      <c r="S28" s="120">
        <f t="shared" si="4"/>
        <v>171927.45083642914</v>
      </c>
      <c r="T28" s="40">
        <f t="shared" si="16"/>
        <v>219334.46504168632</v>
      </c>
      <c r="U28" s="40">
        <f t="shared" si="29"/>
        <v>219334.46504168632</v>
      </c>
      <c r="V28" s="40">
        <f t="shared" si="34"/>
        <v>0</v>
      </c>
      <c r="W28" s="133">
        <f t="shared" si="36"/>
        <v>0</v>
      </c>
      <c r="X28" s="134">
        <f t="shared" si="37"/>
        <v>0.03</v>
      </c>
      <c r="Y28" s="271">
        <f t="shared" si="33"/>
        <v>-31075.721902469268</v>
      </c>
      <c r="Z28" s="273"/>
      <c r="AA28" s="273">
        <f t="shared" si="17"/>
        <v>-31075.721902469268</v>
      </c>
      <c r="AB28" s="40">
        <f t="shared" si="5"/>
        <v>140851.72893395988</v>
      </c>
      <c r="AC28" s="134">
        <f t="shared" si="35"/>
        <v>0.41192538994918815</v>
      </c>
      <c r="AD28" s="39">
        <f t="shared" si="6"/>
        <v>168400</v>
      </c>
      <c r="AE28" s="257">
        <f t="shared" si="7"/>
        <v>0.36599999999999999</v>
      </c>
      <c r="AF28" s="39">
        <f t="shared" si="8"/>
        <v>28765</v>
      </c>
      <c r="AG28" s="39">
        <f t="shared" si="9"/>
        <v>47407.01420525719</v>
      </c>
      <c r="AH28" s="39">
        <f t="shared" si="30"/>
        <v>55491.085106895298</v>
      </c>
      <c r="AI28" s="39"/>
      <c r="AJ28" s="388">
        <f t="shared" si="31"/>
        <v>4784063.008796134</v>
      </c>
      <c r="AK28" s="386">
        <f t="shared" si="32"/>
        <v>1.6146815731818027</v>
      </c>
      <c r="AL28" s="16">
        <v>6</v>
      </c>
      <c r="AM28" s="40">
        <f t="shared" si="42"/>
        <v>15386.851851568168</v>
      </c>
      <c r="AN28" s="40">
        <f t="shared" si="41"/>
        <v>475.88201602788155</v>
      </c>
      <c r="AO28" s="40"/>
      <c r="AP28" s="41">
        <f t="shared" si="43"/>
        <v>2892.813229844086</v>
      </c>
      <c r="AQ28" s="3">
        <v>26</v>
      </c>
      <c r="AR28" s="44">
        <f t="shared" si="19"/>
        <v>1173596.1947622711</v>
      </c>
      <c r="AS28" s="44">
        <f t="shared" si="0"/>
        <v>33327.717363781579</v>
      </c>
      <c r="AT28" s="44">
        <f t="shared" si="1"/>
        <v>-96000</v>
      </c>
    </row>
    <row r="29" spans="2:46" x14ac:dyDescent="0.25">
      <c r="B29" s="104">
        <v>2044</v>
      </c>
      <c r="C29" s="109">
        <f t="shared" si="11"/>
        <v>1121531.5478886636</v>
      </c>
      <c r="D29" s="92">
        <f t="shared" si="12"/>
        <v>7.411141533042799</v>
      </c>
      <c r="E29" s="40">
        <f t="shared" si="20"/>
        <v>8311829.0351754539</v>
      </c>
      <c r="F29" s="120">
        <f t="shared" si="13"/>
        <v>50776.498040229933</v>
      </c>
      <c r="G29" s="40">
        <f t="shared" si="21"/>
        <v>142860.15783404428</v>
      </c>
      <c r="H29" s="119">
        <f t="shared" si="22"/>
        <v>8505465.6910497285</v>
      </c>
      <c r="I29" s="262">
        <f t="shared" si="38"/>
        <v>0.26588143466750691</v>
      </c>
      <c r="J29" s="321">
        <f t="shared" si="39"/>
        <v>58316.962237313703</v>
      </c>
      <c r="K29" s="262">
        <f t="shared" si="25"/>
        <v>0.04</v>
      </c>
      <c r="L29" s="260">
        <f t="shared" si="26"/>
        <v>8773.378601667453</v>
      </c>
      <c r="M29" s="260">
        <f t="shared" si="27"/>
        <v>3052.3430652118036</v>
      </c>
      <c r="N29" s="260">
        <f t="shared" si="40"/>
        <v>58253.498982432247</v>
      </c>
      <c r="O29" s="120">
        <f t="shared" si="14"/>
        <v>21265.560978124628</v>
      </c>
      <c r="P29" s="40">
        <f t="shared" si="2"/>
        <v>1523.2949412068979</v>
      </c>
      <c r="Q29" s="112">
        <f t="shared" si="3"/>
        <v>11459.745639959787</v>
      </c>
      <c r="R29" s="127">
        <f t="shared" si="15"/>
        <v>0</v>
      </c>
      <c r="S29" s="120">
        <f t="shared" si="4"/>
        <v>171927.45083642914</v>
      </c>
      <c r="T29" s="40">
        <f t="shared" si="16"/>
        <v>219334.46504168632</v>
      </c>
      <c r="U29" s="40">
        <f t="shared" si="29"/>
        <v>219334.46504168632</v>
      </c>
      <c r="V29" s="40">
        <f t="shared" si="34"/>
        <v>0</v>
      </c>
      <c r="W29" s="133">
        <f t="shared" si="36"/>
        <v>0</v>
      </c>
      <c r="X29" s="134">
        <f t="shared" si="37"/>
        <v>0.03</v>
      </c>
      <c r="Y29" s="271">
        <f t="shared" si="33"/>
        <v>-31697.236340518655</v>
      </c>
      <c r="Z29" s="273"/>
      <c r="AA29" s="273">
        <f t="shared" si="17"/>
        <v>-31697.236340518655</v>
      </c>
      <c r="AB29" s="40">
        <f t="shared" si="5"/>
        <v>140230.21449591048</v>
      </c>
      <c r="AC29" s="134">
        <f t="shared" si="35"/>
        <v>0.41586588487329451</v>
      </c>
      <c r="AD29" s="39">
        <f t="shared" si="6"/>
        <v>168400</v>
      </c>
      <c r="AE29" s="257">
        <f t="shared" si="7"/>
        <v>0.36599999999999999</v>
      </c>
      <c r="AF29" s="39">
        <f t="shared" si="8"/>
        <v>28765</v>
      </c>
      <c r="AG29" s="39">
        <f t="shared" si="9"/>
        <v>47407.01420525719</v>
      </c>
      <c r="AH29" s="39">
        <f t="shared" si="30"/>
        <v>56600.906809033208</v>
      </c>
      <c r="AI29" s="39"/>
      <c r="AJ29" s="388">
        <f t="shared" si="31"/>
        <v>5117512.200509225</v>
      </c>
      <c r="AK29" s="386">
        <f t="shared" si="32"/>
        <v>1.6620313460519704</v>
      </c>
      <c r="AL29" s="16">
        <v>7</v>
      </c>
      <c r="AM29" s="40">
        <f t="shared" si="42"/>
        <v>18755.547097440136</v>
      </c>
      <c r="AN29" s="40">
        <f t="shared" si="41"/>
        <v>580.06846693113823</v>
      </c>
      <c r="AO29" s="40"/>
      <c r="AP29" s="41">
        <f t="shared" si="43"/>
        <v>2892.813229844086</v>
      </c>
      <c r="AQ29" s="3">
        <v>27</v>
      </c>
      <c r="AR29" s="44">
        <f t="shared" si="19"/>
        <v>1110923.9121260527</v>
      </c>
      <c r="AS29" s="44">
        <f t="shared" si="0"/>
        <v>31389.399344104721</v>
      </c>
      <c r="AT29" s="44">
        <f t="shared" si="1"/>
        <v>-96000</v>
      </c>
    </row>
    <row r="30" spans="2:46" x14ac:dyDescent="0.25">
      <c r="B30" s="104">
        <v>2045</v>
      </c>
      <c r="C30" s="109">
        <f t="shared" si="11"/>
        <v>1202902.2171942319</v>
      </c>
      <c r="D30" s="92">
        <f t="shared" si="12"/>
        <v>7.5964200713688683</v>
      </c>
      <c r="E30" s="40">
        <f t="shared" si="20"/>
        <v>9137750.546588378</v>
      </c>
      <c r="F30" s="120">
        <f t="shared" si="13"/>
        <v>52346.90519611333</v>
      </c>
      <c r="G30" s="40">
        <f t="shared" si="21"/>
        <v>144430.56498992769</v>
      </c>
      <c r="H30" s="119">
        <f t="shared" si="22"/>
        <v>9334528.0167744197</v>
      </c>
      <c r="I30" s="262">
        <f t="shared" si="38"/>
        <v>0.26707518992192086</v>
      </c>
      <c r="J30" s="321">
        <f t="shared" si="39"/>
        <v>58578.793907431282</v>
      </c>
      <c r="K30" s="262">
        <f t="shared" si="25"/>
        <v>0.04</v>
      </c>
      <c r="L30" s="260">
        <f t="shared" si="26"/>
        <v>8773.378601667453</v>
      </c>
      <c r="M30" s="260">
        <f t="shared" si="27"/>
        <v>3065.9736306543291</v>
      </c>
      <c r="N30" s="260">
        <f t="shared" si="40"/>
        <v>58482.270369064921</v>
      </c>
      <c r="O30" s="120">
        <f t="shared" si="14"/>
        <v>22888.398936503338</v>
      </c>
      <c r="P30" s="40">
        <f t="shared" si="2"/>
        <v>1570.4071558833998</v>
      </c>
      <c r="Q30" s="112">
        <f t="shared" si="3"/>
        <v>11583.256040598184</v>
      </c>
      <c r="R30" s="127">
        <f t="shared" si="15"/>
        <v>0</v>
      </c>
      <c r="S30" s="120">
        <f t="shared" si="4"/>
        <v>171927.45083642914</v>
      </c>
      <c r="T30" s="40">
        <f t="shared" si="16"/>
        <v>219334.46504168632</v>
      </c>
      <c r="U30" s="40">
        <f t="shared" si="29"/>
        <v>219334.46504168632</v>
      </c>
      <c r="V30" s="40">
        <f t="shared" si="34"/>
        <v>0</v>
      </c>
      <c r="W30" s="133">
        <f t="shared" si="36"/>
        <v>0</v>
      </c>
      <c r="X30" s="134">
        <f t="shared" si="37"/>
        <v>0.03</v>
      </c>
      <c r="Y30" s="271">
        <f t="shared" si="33"/>
        <v>-32331.181067329027</v>
      </c>
      <c r="Z30" s="273"/>
      <c r="AA30" s="273">
        <f t="shared" si="17"/>
        <v>-32331.181067329027</v>
      </c>
      <c r="AB30" s="40">
        <f t="shared" si="5"/>
        <v>139596.26976910012</v>
      </c>
      <c r="AC30" s="134">
        <f t="shared" si="35"/>
        <v>0.41963008040489774</v>
      </c>
      <c r="AD30" s="39">
        <f t="shared" si="6"/>
        <v>168400</v>
      </c>
      <c r="AE30" s="257">
        <f t="shared" si="7"/>
        <v>0.36599999999999999</v>
      </c>
      <c r="AF30" s="39">
        <f t="shared" si="8"/>
        <v>28765</v>
      </c>
      <c r="AG30" s="39">
        <f t="shared" si="9"/>
        <v>47407.01420525719</v>
      </c>
      <c r="AH30" s="39">
        <f t="shared" si="30"/>
        <v>57732.924945213876</v>
      </c>
      <c r="AI30" s="39"/>
      <c r="AJ30" s="388">
        <f t="shared" si="31"/>
        <v>5474202.8008847171</v>
      </c>
      <c r="AK30" s="386">
        <f t="shared" si="32"/>
        <v>1.7051849111738815</v>
      </c>
      <c r="AL30" s="16">
        <v>8</v>
      </c>
      <c r="AM30" s="40">
        <f t="shared" si="42"/>
        <v>22228.428794215361</v>
      </c>
      <c r="AN30" s="40">
        <f t="shared" si="41"/>
        <v>687.47717920253695</v>
      </c>
      <c r="AO30" s="40"/>
      <c r="AP30" s="41">
        <f t="shared" si="43"/>
        <v>2892.813229844086</v>
      </c>
      <c r="AQ30" s="3">
        <v>28</v>
      </c>
      <c r="AR30" s="44">
        <f t="shared" si="19"/>
        <v>1046313.3114701575</v>
      </c>
      <c r="AS30" s="44">
        <f t="shared" si="0"/>
        <v>29391.133344437862</v>
      </c>
      <c r="AT30" s="44">
        <f t="shared" si="1"/>
        <v>-96000</v>
      </c>
    </row>
    <row r="31" spans="2:46" x14ac:dyDescent="0.25">
      <c r="B31" s="104">
        <v>2046</v>
      </c>
      <c r="C31" s="109">
        <f t="shared" si="11"/>
        <v>1265217.9720849048</v>
      </c>
      <c r="D31" s="92">
        <f t="shared" si="12"/>
        <v>7.786330573153089</v>
      </c>
      <c r="E31" s="40">
        <f t="shared" si="20"/>
        <v>9851405.3777474463</v>
      </c>
      <c r="F31" s="120">
        <f t="shared" si="13"/>
        <v>53965.881645477661</v>
      </c>
      <c r="G31" s="40">
        <f t="shared" si="21"/>
        <v>146049.54143929202</v>
      </c>
      <c r="H31" s="119">
        <f t="shared" si="22"/>
        <v>10051420.800832216</v>
      </c>
      <c r="I31" s="262">
        <f t="shared" si="38"/>
        <v>0.23613845215134835</v>
      </c>
      <c r="J31" s="321">
        <f t="shared" si="39"/>
        <v>36255.310754871476</v>
      </c>
      <c r="K31" s="262">
        <f t="shared" si="25"/>
        <v>0.04</v>
      </c>
      <c r="L31" s="260">
        <f t="shared" si="26"/>
        <v>6141.3650211672157</v>
      </c>
      <c r="M31" s="260">
        <f t="shared" si="27"/>
        <v>3078.0142299507856</v>
      </c>
      <c r="N31" s="260">
        <f t="shared" si="40"/>
        <v>37766.730049974263</v>
      </c>
      <c r="O31" s="120">
        <f t="shared" si="14"/>
        <v>24549.02484069861</v>
      </c>
      <c r="P31" s="40">
        <f t="shared" si="2"/>
        <v>1618.9764493643297</v>
      </c>
      <c r="Q31" s="112">
        <f t="shared" si="3"/>
        <v>11710.586350534677</v>
      </c>
      <c r="R31" s="127">
        <f t="shared" si="15"/>
        <v>0</v>
      </c>
      <c r="S31" s="120">
        <f t="shared" si="4"/>
        <v>118642.01809608398</v>
      </c>
      <c r="T31" s="40">
        <f t="shared" si="16"/>
        <v>153534.1255291804</v>
      </c>
      <c r="U31" s="40">
        <f t="shared" si="29"/>
        <v>153534.1255291804</v>
      </c>
      <c r="V31" s="40">
        <f t="shared" si="34"/>
        <v>0</v>
      </c>
      <c r="W31" s="133">
        <v>-0.3</v>
      </c>
      <c r="X31" s="134">
        <f t="shared" si="37"/>
        <v>0.03</v>
      </c>
      <c r="Y31" s="271">
        <f t="shared" si="33"/>
        <v>-32977.804688675606</v>
      </c>
      <c r="Z31" s="273"/>
      <c r="AA31" s="273">
        <f t="shared" si="17"/>
        <v>-32977.804688675606</v>
      </c>
      <c r="AB31" s="40">
        <f t="shared" si="5"/>
        <v>85664.213407408373</v>
      </c>
      <c r="AC31" s="134">
        <f t="shared" si="35"/>
        <v>0.42322586425262221</v>
      </c>
      <c r="AD31" s="39">
        <f t="shared" si="6"/>
        <v>78950</v>
      </c>
      <c r="AE31" s="257">
        <f t="shared" si="7"/>
        <v>0.34599999999999997</v>
      </c>
      <c r="AF31" s="39">
        <f t="shared" si="8"/>
        <v>9086</v>
      </c>
      <c r="AG31" s="39">
        <f t="shared" si="9"/>
        <v>34892.107433096418</v>
      </c>
      <c r="AH31" s="39">
        <f t="shared" si="30"/>
        <v>58887.583444118158</v>
      </c>
      <c r="AI31" s="39"/>
      <c r="AJ31" s="388">
        <f t="shared" si="31"/>
        <v>5855754.7361063827</v>
      </c>
      <c r="AK31" s="386">
        <f t="shared" si="32"/>
        <v>1.7165030391138993</v>
      </c>
      <c r="AL31" s="16">
        <v>9</v>
      </c>
      <c r="AM31" s="40">
        <f t="shared" si="42"/>
        <v>25808.719203261986</v>
      </c>
      <c r="AN31" s="40">
        <f t="shared" si="41"/>
        <v>798.2078104101646</v>
      </c>
      <c r="AO31" s="40"/>
      <c r="AP31" s="41">
        <f t="shared" si="43"/>
        <v>2892.813229844086</v>
      </c>
      <c r="AQ31" s="3">
        <v>29</v>
      </c>
      <c r="AR31" s="44">
        <f t="shared" si="19"/>
        <v>979704.44481459539</v>
      </c>
      <c r="AS31" s="44">
        <f t="shared" si="0"/>
        <v>27331.065303544186</v>
      </c>
      <c r="AT31" s="44">
        <f t="shared" si="1"/>
        <v>-96000</v>
      </c>
    </row>
    <row r="32" spans="2:46" x14ac:dyDescent="0.25">
      <c r="B32" s="104">
        <v>2047</v>
      </c>
      <c r="C32" s="109">
        <f t="shared" si="11"/>
        <v>1327910.655096713</v>
      </c>
      <c r="D32" s="92">
        <f t="shared" si="12"/>
        <v>7.9809888374819158</v>
      </c>
      <c r="E32" s="40">
        <f t="shared" si="20"/>
        <v>10598040.115500165</v>
      </c>
      <c r="F32" s="120">
        <f t="shared" si="13"/>
        <v>55634.929531420268</v>
      </c>
      <c r="G32" s="40">
        <f t="shared" si="21"/>
        <v>147718.58932523464</v>
      </c>
      <c r="H32" s="119">
        <f t="shared" si="22"/>
        <v>10801393.634356819</v>
      </c>
      <c r="I32" s="262">
        <f t="shared" si="38"/>
        <v>0.2362220940928163</v>
      </c>
      <c r="J32" s="321">
        <f t="shared" si="39"/>
        <v>36268.152647212322</v>
      </c>
      <c r="K32" s="262">
        <f t="shared" si="25"/>
        <v>0.04</v>
      </c>
      <c r="L32" s="260">
        <f t="shared" si="26"/>
        <v>6141.3650211672157</v>
      </c>
      <c r="M32" s="260">
        <f t="shared" si="27"/>
        <v>1987.7226342091719</v>
      </c>
      <c r="N32" s="260">
        <f t="shared" si="40"/>
        <v>36871.908071299928</v>
      </c>
      <c r="O32" s="120">
        <f t="shared" si="14"/>
        <v>25820.774940508261</v>
      </c>
      <c r="P32" s="40">
        <f t="shared" si="2"/>
        <v>1669.047885942608</v>
      </c>
      <c r="Q32" s="112">
        <f t="shared" si="3"/>
        <v>11841.854711293945</v>
      </c>
      <c r="R32" s="127">
        <f t="shared" si="15"/>
        <v>0</v>
      </c>
      <c r="S32" s="120">
        <f t="shared" si="4"/>
        <v>118642.01809608398</v>
      </c>
      <c r="T32" s="40">
        <f t="shared" si="16"/>
        <v>153534.1255291804</v>
      </c>
      <c r="U32" s="40">
        <f t="shared" si="29"/>
        <v>153534.1255291804</v>
      </c>
      <c r="V32" s="40">
        <f t="shared" si="34"/>
        <v>0</v>
      </c>
      <c r="W32" s="133">
        <v>0</v>
      </c>
      <c r="X32" s="134">
        <f t="shared" si="37"/>
        <v>0.03</v>
      </c>
      <c r="Y32" s="271">
        <f t="shared" si="33"/>
        <v>-33637.360782449119</v>
      </c>
      <c r="Z32" s="273"/>
      <c r="AA32" s="273">
        <f t="shared" si="17"/>
        <v>-33637.360782449119</v>
      </c>
      <c r="AB32" s="40">
        <f t="shared" si="5"/>
        <v>85004.65731363486</v>
      </c>
      <c r="AC32" s="134">
        <f t="shared" si="35"/>
        <v>0.42666077122570628</v>
      </c>
      <c r="AD32" s="39">
        <f t="shared" si="6"/>
        <v>78950</v>
      </c>
      <c r="AE32" s="257">
        <f t="shared" si="7"/>
        <v>0.34599999999999997</v>
      </c>
      <c r="AF32" s="39">
        <f t="shared" si="8"/>
        <v>9086</v>
      </c>
      <c r="AG32" s="39">
        <f t="shared" si="9"/>
        <v>34892.107433096418</v>
      </c>
      <c r="AH32" s="39">
        <f t="shared" si="30"/>
        <v>60065.335113000525</v>
      </c>
      <c r="AI32" s="39"/>
      <c r="AJ32" s="388">
        <f t="shared" si="31"/>
        <v>6263900.8412129972</v>
      </c>
      <c r="AK32" s="386">
        <f t="shared" si="32"/>
        <v>1.7243877111351498</v>
      </c>
      <c r="AL32" s="16">
        <v>10</v>
      </c>
      <c r="AM32" s="40">
        <f t="shared" si="42"/>
        <v>29499.740243516237</v>
      </c>
      <c r="AN32" s="40">
        <f t="shared" si="41"/>
        <v>912.3631003149352</v>
      </c>
      <c r="AO32" s="40"/>
      <c r="AP32" s="41">
        <f t="shared" si="43"/>
        <v>2892.813229844086</v>
      </c>
      <c r="AQ32" s="3">
        <v>30</v>
      </c>
      <c r="AR32" s="44">
        <f t="shared" si="19"/>
        <v>911035.51011813956</v>
      </c>
      <c r="AS32" s="44">
        <f t="shared" si="0"/>
        <v>25207.283818086791</v>
      </c>
      <c r="AT32" s="44">
        <f t="shared" si="1"/>
        <v>-96000</v>
      </c>
    </row>
    <row r="33" spans="2:46" x14ac:dyDescent="0.25">
      <c r="B33" s="104">
        <v>2048</v>
      </c>
      <c r="C33" s="109">
        <f t="shared" si="11"/>
        <v>1391835.0945282383</v>
      </c>
      <c r="D33" s="92">
        <f t="shared" si="12"/>
        <v>8.1805135584189621</v>
      </c>
      <c r="E33" s="40">
        <f t="shared" si="20"/>
        <v>11385925.861871591</v>
      </c>
      <c r="F33" s="120">
        <f t="shared" si="13"/>
        <v>57355.597455072442</v>
      </c>
      <c r="G33" s="40">
        <f t="shared" si="21"/>
        <v>149439.2572488868</v>
      </c>
      <c r="H33" s="119">
        <f t="shared" si="22"/>
        <v>11592720.71657555</v>
      </c>
      <c r="I33" s="262">
        <f t="shared" si="38"/>
        <v>0.23615486058214347</v>
      </c>
      <c r="J33" s="321">
        <f t="shared" si="39"/>
        <v>36257.830008944911</v>
      </c>
      <c r="K33" s="262">
        <f t="shared" si="25"/>
        <v>0.04</v>
      </c>
      <c r="L33" s="260">
        <f t="shared" si="26"/>
        <v>6141.3650211672157</v>
      </c>
      <c r="M33" s="260">
        <f t="shared" si="27"/>
        <v>1940.6267405947333</v>
      </c>
      <c r="N33" s="260">
        <f t="shared" si="40"/>
        <v>36824.221980572052</v>
      </c>
      <c r="O33" s="120">
        <f t="shared" si="14"/>
        <v>27100.217450953325</v>
      </c>
      <c r="P33" s="40">
        <f t="shared" si="2"/>
        <v>1720.6679236521732</v>
      </c>
      <c r="Q33" s="112">
        <f t="shared" si="3"/>
        <v>11977.182918262268</v>
      </c>
      <c r="R33" s="127">
        <f t="shared" si="15"/>
        <v>0</v>
      </c>
      <c r="S33" s="120">
        <f t="shared" si="4"/>
        <v>118642.01809608398</v>
      </c>
      <c r="T33" s="40">
        <f t="shared" si="16"/>
        <v>153534.1255291804</v>
      </c>
      <c r="U33" s="40">
        <f t="shared" si="29"/>
        <v>153534.1255291804</v>
      </c>
      <c r="V33" s="40">
        <f t="shared" si="34"/>
        <v>0</v>
      </c>
      <c r="W33" s="133">
        <f t="shared" si="36"/>
        <v>0</v>
      </c>
      <c r="X33" s="134">
        <f t="shared" si="37"/>
        <v>0.03</v>
      </c>
      <c r="Y33" s="271">
        <f t="shared" si="33"/>
        <v>-34310.107998098101</v>
      </c>
      <c r="Z33" s="273"/>
      <c r="AA33" s="273">
        <f t="shared" si="17"/>
        <v>-34310.107998098101</v>
      </c>
      <c r="AB33" s="40">
        <f t="shared" si="5"/>
        <v>84331.910097985878</v>
      </c>
      <c r="AC33" s="134">
        <f t="shared" si="35"/>
        <v>0.42994199902286889</v>
      </c>
      <c r="AD33" s="39">
        <f t="shared" si="6"/>
        <v>78950</v>
      </c>
      <c r="AE33" s="257">
        <f t="shared" si="7"/>
        <v>0.34599999999999997</v>
      </c>
      <c r="AF33" s="39">
        <f t="shared" si="8"/>
        <v>9086</v>
      </c>
      <c r="AG33" s="39">
        <f t="shared" si="9"/>
        <v>34892.107433096418</v>
      </c>
      <c r="AH33" s="39">
        <f t="shared" si="30"/>
        <v>61266.641815260533</v>
      </c>
      <c r="AI33" s="39"/>
      <c r="AJ33" s="388">
        <f t="shared" si="31"/>
        <v>6700494.7298455434</v>
      </c>
      <c r="AK33" s="386">
        <f t="shared" si="32"/>
        <v>1.7301290701623728</v>
      </c>
      <c r="AL33" s="16">
        <v>11</v>
      </c>
      <c r="AM33" s="40">
        <f t="shared" si="42"/>
        <v>33304.916573675255</v>
      </c>
      <c r="AN33" s="40">
        <f t="shared" si="41"/>
        <v>1030.0489661961419</v>
      </c>
      <c r="AO33" s="40"/>
      <c r="AP33" s="41">
        <f t="shared" si="43"/>
        <v>2892.813229844086</v>
      </c>
      <c r="AQ33" s="3">
        <v>31</v>
      </c>
      <c r="AR33" s="44">
        <f t="shared" si="19"/>
        <v>840242.7939362264</v>
      </c>
      <c r="AS33" s="44">
        <f t="shared" si="0"/>
        <v>23017.81836916164</v>
      </c>
      <c r="AT33" s="44">
        <f t="shared" si="1"/>
        <v>-96000</v>
      </c>
    </row>
    <row r="34" spans="2:46" x14ac:dyDescent="0.25">
      <c r="B34" s="104">
        <v>2049</v>
      </c>
      <c r="C34" s="109">
        <f t="shared" si="11"/>
        <v>1457034.7513779108</v>
      </c>
      <c r="D34" s="92">
        <f t="shared" si="12"/>
        <v>8.3850263973794359</v>
      </c>
      <c r="E34" s="40">
        <f t="shared" si="20"/>
        <v>12217274.852202965</v>
      </c>
      <c r="F34" s="120">
        <f t="shared" si="13"/>
        <v>59129.481912445815</v>
      </c>
      <c r="G34" s="40">
        <f t="shared" si="21"/>
        <v>151213.14170626018</v>
      </c>
      <c r="H34" s="119">
        <f t="shared" si="22"/>
        <v>12427617.47582167</v>
      </c>
      <c r="I34" s="262">
        <f t="shared" si="38"/>
        <v>0.23594092775515782</v>
      </c>
      <c r="J34" s="321">
        <f t="shared" si="39"/>
        <v>36224.984019431686</v>
      </c>
      <c r="K34" s="262">
        <f t="shared" si="25"/>
        <v>0.04</v>
      </c>
      <c r="L34" s="260">
        <f t="shared" si="26"/>
        <v>6141.3650211672157</v>
      </c>
      <c r="M34" s="260">
        <f t="shared" si="27"/>
        <v>1938.1169463458978</v>
      </c>
      <c r="N34" s="260">
        <f t="shared" si="40"/>
        <v>36794.85900215766</v>
      </c>
      <c r="O34" s="120">
        <f t="shared" si="14"/>
        <v>28404.79784751507</v>
      </c>
      <c r="P34" s="40">
        <f t="shared" si="2"/>
        <v>1773.8844573733745</v>
      </c>
      <c r="Q34" s="112">
        <f t="shared" si="3"/>
        <v>12116.696533693523</v>
      </c>
      <c r="R34" s="127">
        <f t="shared" si="15"/>
        <v>0</v>
      </c>
      <c r="S34" s="120">
        <f t="shared" si="4"/>
        <v>118642.01809608398</v>
      </c>
      <c r="T34" s="40">
        <f t="shared" si="16"/>
        <v>153534.1255291804</v>
      </c>
      <c r="U34" s="40">
        <f t="shared" si="29"/>
        <v>153534.1255291804</v>
      </c>
      <c r="V34" s="40">
        <f t="shared" si="34"/>
        <v>0</v>
      </c>
      <c r="W34" s="133">
        <f t="shared" si="36"/>
        <v>0</v>
      </c>
      <c r="X34" s="134">
        <f t="shared" si="37"/>
        <v>0.03</v>
      </c>
      <c r="Y34" s="271">
        <f t="shared" si="33"/>
        <v>-34996.310158060063</v>
      </c>
      <c r="Z34" s="273"/>
      <c r="AA34" s="273">
        <f t="shared" si="17"/>
        <v>-34996.310158060063</v>
      </c>
      <c r="AB34" s="40">
        <f t="shared" si="5"/>
        <v>83645.707938023916</v>
      </c>
      <c r="AC34" s="134">
        <f t="shared" si="35"/>
        <v>0.43307642331477503</v>
      </c>
      <c r="AD34" s="39">
        <f t="shared" si="6"/>
        <v>78950</v>
      </c>
      <c r="AE34" s="257">
        <f t="shared" si="7"/>
        <v>0.34599999999999997</v>
      </c>
      <c r="AF34" s="39">
        <f t="shared" si="8"/>
        <v>9086</v>
      </c>
      <c r="AG34" s="39">
        <f t="shared" si="9"/>
        <v>34892.107433096418</v>
      </c>
      <c r="AH34" s="39">
        <f t="shared" si="30"/>
        <v>62491.974651565746</v>
      </c>
      <c r="AI34" s="39"/>
      <c r="AJ34" s="388">
        <f t="shared" si="31"/>
        <v>7167519.2125157779</v>
      </c>
      <c r="AK34" s="386">
        <f t="shared" si="32"/>
        <v>1.7338798972621956</v>
      </c>
      <c r="AL34" s="16">
        <v>12</v>
      </c>
      <c r="AM34" s="40">
        <f t="shared" si="42"/>
        <v>37227.778769715478</v>
      </c>
      <c r="AN34" s="40">
        <f t="shared" si="41"/>
        <v>1151.374601125221</v>
      </c>
      <c r="AO34" s="40"/>
      <c r="AP34" s="41">
        <f t="shared" si="43"/>
        <v>2892.813229844086</v>
      </c>
      <c r="AQ34" s="3">
        <v>32</v>
      </c>
      <c r="AR34" s="44">
        <f t="shared" si="19"/>
        <v>767260.61230538809</v>
      </c>
      <c r="AS34" s="44">
        <f t="shared" si="0"/>
        <v>20760.637493981078</v>
      </c>
      <c r="AT34" s="44">
        <f t="shared" si="1"/>
        <v>-96000</v>
      </c>
    </row>
    <row r="35" spans="2:46" x14ac:dyDescent="0.25">
      <c r="B35" s="104">
        <v>2050</v>
      </c>
      <c r="C35" s="109">
        <f t="shared" si="11"/>
        <v>1523518.2466666577</v>
      </c>
      <c r="D35" s="92">
        <f t="shared" si="12"/>
        <v>8.5946520573139207</v>
      </c>
      <c r="E35" s="40">
        <f t="shared" si="20"/>
        <v>13094109.233068887</v>
      </c>
      <c r="F35" s="120">
        <f t="shared" si="13"/>
        <v>60958.228775717333</v>
      </c>
      <c r="G35" s="40">
        <f t="shared" si="21"/>
        <v>153041.8885695317</v>
      </c>
      <c r="H35" s="119">
        <f t="shared" si="22"/>
        <v>13308109.350414136</v>
      </c>
      <c r="I35" s="262">
        <f t="shared" si="38"/>
        <v>0.23558422397533324</v>
      </c>
      <c r="J35" s="321">
        <f t="shared" si="39"/>
        <v>36170.217816523364</v>
      </c>
      <c r="K35" s="262">
        <f t="shared" si="25"/>
        <v>0.04</v>
      </c>
      <c r="L35" s="260">
        <f t="shared" si="26"/>
        <v>6141.3650211672157</v>
      </c>
      <c r="M35" s="260">
        <f t="shared" si="27"/>
        <v>1936.5715264293508</v>
      </c>
      <c r="N35" s="260">
        <f t="shared" si="40"/>
        <v>36748.092199401603</v>
      </c>
      <c r="O35" s="120">
        <f t="shared" si="14"/>
        <v>29735.40308934512</v>
      </c>
      <c r="P35" s="40">
        <f t="shared" si="2"/>
        <v>1828.7468632715199</v>
      </c>
      <c r="Q35" s="112">
        <f t="shared" si="3"/>
        <v>12260.525003210285</v>
      </c>
      <c r="R35" s="127">
        <f t="shared" si="15"/>
        <v>0</v>
      </c>
      <c r="S35" s="120">
        <f t="shared" si="4"/>
        <v>118642.01809608398</v>
      </c>
      <c r="T35" s="40">
        <f t="shared" si="16"/>
        <v>153534.1255291804</v>
      </c>
      <c r="U35" s="40">
        <f t="shared" si="29"/>
        <v>153534.1255291804</v>
      </c>
      <c r="V35" s="40">
        <f t="shared" si="34"/>
        <v>0</v>
      </c>
      <c r="W35" s="133">
        <f t="shared" si="36"/>
        <v>0</v>
      </c>
      <c r="X35" s="134">
        <f t="shared" si="37"/>
        <v>0.03</v>
      </c>
      <c r="Y35" s="271">
        <f t="shared" si="33"/>
        <v>-35696.236361221265</v>
      </c>
      <c r="Z35" s="273"/>
      <c r="AA35" s="273">
        <f t="shared" si="17"/>
        <v>-35696.236361221265</v>
      </c>
      <c r="AB35" s="40">
        <f t="shared" si="5"/>
        <v>82945.781734862714</v>
      </c>
      <c r="AC35" s="134">
        <f t="shared" si="35"/>
        <v>0.43607061215170584</v>
      </c>
      <c r="AD35" s="39">
        <f t="shared" si="6"/>
        <v>78950</v>
      </c>
      <c r="AE35" s="257">
        <f t="shared" si="7"/>
        <v>0.34599999999999997</v>
      </c>
      <c r="AF35" s="39">
        <f t="shared" si="8"/>
        <v>9086</v>
      </c>
      <c r="AG35" s="39">
        <f t="shared" si="9"/>
        <v>34892.107433096418</v>
      </c>
      <c r="AH35" s="39">
        <f t="shared" si="30"/>
        <v>63741.814144597061</v>
      </c>
      <c r="AI35" s="39"/>
      <c r="AJ35" s="388">
        <f t="shared" si="31"/>
        <v>7667095.3016281286</v>
      </c>
      <c r="AK35" s="386">
        <f t="shared" si="32"/>
        <v>1.7357433065411516</v>
      </c>
      <c r="AL35" s="16">
        <v>13</v>
      </c>
      <c r="AM35" s="40">
        <f t="shared" si="42"/>
        <v>41271.966600684784</v>
      </c>
      <c r="AN35" s="40">
        <f t="shared" si="41"/>
        <v>1276.4525752789109</v>
      </c>
      <c r="AO35" s="40"/>
      <c r="AP35" s="41">
        <f t="shared" si="43"/>
        <v>2892.813229844086</v>
      </c>
      <c r="AQ35" s="3">
        <v>33</v>
      </c>
      <c r="AR35" s="44">
        <f t="shared" si="19"/>
        <v>692021.24979936914</v>
      </c>
      <c r="AS35" s="44">
        <f t="shared" si="0"/>
        <v>18433.646901011416</v>
      </c>
      <c r="AT35" s="44">
        <f t="shared" si="1"/>
        <v>-96000</v>
      </c>
    </row>
    <row r="36" spans="2:46" x14ac:dyDescent="0.25">
      <c r="B36" s="104">
        <v>2051</v>
      </c>
      <c r="C36" s="109">
        <f t="shared" si="11"/>
        <v>1591293.2863129177</v>
      </c>
      <c r="D36" s="92">
        <f t="shared" si="12"/>
        <v>8.809518358746768</v>
      </c>
      <c r="E36" s="40">
        <f t="shared" si="20"/>
        <v>14018527.419924125</v>
      </c>
      <c r="F36" s="120">
        <f t="shared" si="13"/>
        <v>62843.53482032715</v>
      </c>
      <c r="G36" s="40">
        <f t="shared" si="21"/>
        <v>154927.19461414151</v>
      </c>
      <c r="H36" s="119">
        <f t="shared" si="22"/>
        <v>14236298.149358595</v>
      </c>
      <c r="I36" s="262">
        <f t="shared" si="38"/>
        <v>0.23508843994283415</v>
      </c>
      <c r="J36" s="321">
        <f t="shared" si="39"/>
        <v>36094.098048642285</v>
      </c>
      <c r="K36" s="262">
        <f t="shared" si="25"/>
        <v>0.04</v>
      </c>
      <c r="L36" s="260">
        <f t="shared" si="26"/>
        <v>6141.3650211672157</v>
      </c>
      <c r="M36" s="260">
        <f t="shared" si="27"/>
        <v>1934.1101157579792</v>
      </c>
      <c r="N36" s="260">
        <f t="shared" si="40"/>
        <v>36682.830530613792</v>
      </c>
      <c r="O36" s="120">
        <f t="shared" si="14"/>
        <v>31092.209115646077</v>
      </c>
      <c r="P36" s="40">
        <f t="shared" si="2"/>
        <v>1885.3060446098145</v>
      </c>
      <c r="Q36" s="112">
        <f t="shared" si="3"/>
        <v>12408.801775907976</v>
      </c>
      <c r="R36" s="127">
        <f t="shared" si="15"/>
        <v>0</v>
      </c>
      <c r="S36" s="120">
        <f t="shared" si="4"/>
        <v>118642.01809608398</v>
      </c>
      <c r="T36" s="40">
        <f t="shared" si="16"/>
        <v>153534.1255291804</v>
      </c>
      <c r="U36" s="40">
        <f t="shared" si="29"/>
        <v>153534.1255291804</v>
      </c>
      <c r="V36" s="40">
        <f t="shared" si="34"/>
        <v>0</v>
      </c>
      <c r="W36" s="133">
        <f t="shared" si="36"/>
        <v>0</v>
      </c>
      <c r="X36" s="134">
        <f t="shared" si="37"/>
        <v>0.03</v>
      </c>
      <c r="Y36" s="271">
        <f t="shared" si="33"/>
        <v>-36410.16108844569</v>
      </c>
      <c r="Z36" s="273"/>
      <c r="AA36" s="273">
        <f t="shared" si="17"/>
        <v>-36410.16108844569</v>
      </c>
      <c r="AB36" s="40">
        <f t="shared" si="5"/>
        <v>82231.857007638289</v>
      </c>
      <c r="AC36" s="134">
        <f t="shared" si="35"/>
        <v>0.43893083972662328</v>
      </c>
      <c r="AD36" s="39">
        <f t="shared" si="6"/>
        <v>78950</v>
      </c>
      <c r="AE36" s="257">
        <f t="shared" si="7"/>
        <v>0.34599999999999997</v>
      </c>
      <c r="AF36" s="39">
        <f t="shared" si="8"/>
        <v>9086</v>
      </c>
      <c r="AG36" s="39">
        <f t="shared" si="9"/>
        <v>34892.107433096418</v>
      </c>
      <c r="AH36" s="39">
        <f t="shared" si="30"/>
        <v>65016.650427489003</v>
      </c>
      <c r="AI36" s="39"/>
      <c r="AJ36" s="388">
        <f t="shared" si="31"/>
        <v>8201491.8441516086</v>
      </c>
      <c r="AK36" s="386">
        <f t="shared" si="32"/>
        <v>1.7358181194205953</v>
      </c>
      <c r="AL36" s="16">
        <v>14</v>
      </c>
      <c r="AM36" s="40">
        <f t="shared" si="42"/>
        <v>45441.232405807779</v>
      </c>
      <c r="AN36" s="40">
        <f t="shared" si="41"/>
        <v>1405.3989403858077</v>
      </c>
      <c r="AO36" s="40"/>
      <c r="AP36" s="41">
        <f t="shared" si="43"/>
        <v>2892.813229844086</v>
      </c>
      <c r="AQ36" s="3">
        <v>34</v>
      </c>
      <c r="AR36" s="44">
        <f t="shared" si="19"/>
        <v>614454.8967003806</v>
      </c>
      <c r="AS36" s="44">
        <f t="shared" si="0"/>
        <v>16034.687526815895</v>
      </c>
      <c r="AT36" s="44">
        <f t="shared" si="1"/>
        <v>-96000</v>
      </c>
    </row>
    <row r="37" spans="2:46" x14ac:dyDescent="0.25">
      <c r="B37" s="104">
        <v>2052</v>
      </c>
      <c r="C37" s="109">
        <f t="shared" si="11"/>
        <v>1660368.1273338622</v>
      </c>
      <c r="D37" s="92">
        <f t="shared" si="12"/>
        <v>9.029756317715437</v>
      </c>
      <c r="E37" s="40">
        <f t="shared" si="20"/>
        <v>14992719.587526292</v>
      </c>
      <c r="F37" s="120">
        <f t="shared" si="13"/>
        <v>64787.149299306337</v>
      </c>
      <c r="G37" s="40">
        <f t="shared" si="21"/>
        <v>156870.80909312071</v>
      </c>
      <c r="H37" s="119">
        <f t="shared" si="22"/>
        <v>15214377.54591872</v>
      </c>
      <c r="I37" s="262">
        <f t="shared" si="38"/>
        <v>0.23445703832554013</v>
      </c>
      <c r="J37" s="321">
        <f t="shared" si="39"/>
        <v>35997.156353473336</v>
      </c>
      <c r="K37" s="262">
        <f t="shared" si="25"/>
        <v>0.04</v>
      </c>
      <c r="L37" s="260">
        <f t="shared" si="26"/>
        <v>6141.3650211672157</v>
      </c>
      <c r="M37" s="260">
        <f t="shared" si="27"/>
        <v>1930.6752910849366</v>
      </c>
      <c r="N37" s="260">
        <f t="shared" si="40"/>
        <v>36599.46783088502</v>
      </c>
      <c r="O37" s="120">
        <f t="shared" si="14"/>
        <v>32475.373190059545</v>
      </c>
      <c r="P37" s="40">
        <f t="shared" si="2"/>
        <v>1943.6144789791902</v>
      </c>
      <c r="Q37" s="112">
        <f t="shared" si="3"/>
        <v>12561.664428173635</v>
      </c>
      <c r="R37" s="127">
        <f t="shared" si="15"/>
        <v>0</v>
      </c>
      <c r="S37" s="120">
        <f t="shared" si="4"/>
        <v>118642.01809608398</v>
      </c>
      <c r="T37" s="40">
        <f t="shared" si="16"/>
        <v>153534.1255291804</v>
      </c>
      <c r="U37" s="40">
        <f t="shared" si="29"/>
        <v>153534.1255291804</v>
      </c>
      <c r="V37" s="40">
        <f t="shared" si="34"/>
        <v>0</v>
      </c>
      <c r="W37" s="133">
        <f t="shared" si="36"/>
        <v>0</v>
      </c>
      <c r="X37" s="134">
        <f t="shared" si="37"/>
        <v>0.03</v>
      </c>
      <c r="Y37" s="271">
        <f t="shared" si="33"/>
        <v>-37138.364310214602</v>
      </c>
      <c r="Z37" s="273"/>
      <c r="AA37" s="273">
        <f t="shared" si="17"/>
        <v>-37138.364310214602</v>
      </c>
      <c r="AB37" s="40">
        <f t="shared" si="5"/>
        <v>81503.653785869377</v>
      </c>
      <c r="AC37" s="134">
        <f t="shared" si="35"/>
        <v>0.44166309952246963</v>
      </c>
      <c r="AD37" s="39">
        <f t="shared" si="6"/>
        <v>78950</v>
      </c>
      <c r="AE37" s="257">
        <f t="shared" si="7"/>
        <v>0.34599999999999997</v>
      </c>
      <c r="AF37" s="39">
        <f t="shared" si="8"/>
        <v>9086</v>
      </c>
      <c r="AG37" s="39">
        <f t="shared" si="9"/>
        <v>34892.107433096418</v>
      </c>
      <c r="AH37" s="39">
        <f t="shared" si="30"/>
        <v>66316.98343603879</v>
      </c>
      <c r="AI37" s="39"/>
      <c r="AJ37" s="388">
        <f t="shared" si="31"/>
        <v>8773135.8256889768</v>
      </c>
      <c r="AK37" s="386">
        <f t="shared" si="32"/>
        <v>1.7342006151744374</v>
      </c>
      <c r="AL37" s="16">
        <v>15</v>
      </c>
      <c r="AM37" s="40">
        <f t="shared" si="42"/>
        <v>49739.444576037669</v>
      </c>
      <c r="AN37" s="40">
        <f t="shared" si="41"/>
        <v>1538.333337403227</v>
      </c>
      <c r="AO37" s="40"/>
      <c r="AP37" s="41">
        <f t="shared" si="43"/>
        <v>2892.813229844086</v>
      </c>
      <c r="AQ37" s="3">
        <v>35</v>
      </c>
      <c r="AR37" s="44">
        <f t="shared" si="19"/>
        <v>534489.58422719652</v>
      </c>
      <c r="AS37" s="44">
        <f t="shared" si="0"/>
        <v>13561.533532799891</v>
      </c>
      <c r="AT37" s="44">
        <f t="shared" si="1"/>
        <v>-96000</v>
      </c>
    </row>
    <row r="38" spans="2:46" x14ac:dyDescent="0.25">
      <c r="B38" s="104">
        <v>2053</v>
      </c>
      <c r="C38" s="109">
        <f t="shared" si="11"/>
        <v>1730751.6260904185</v>
      </c>
      <c r="D38" s="92">
        <f t="shared" si="12"/>
        <v>9.2555002256583219</v>
      </c>
      <c r="E38" s="40">
        <f t="shared" si="20"/>
        <v>16018972.065838376</v>
      </c>
      <c r="F38" s="120">
        <f t="shared" si="13"/>
        <v>66790.875566295188</v>
      </c>
      <c r="G38" s="40">
        <f t="shared" si="21"/>
        <v>158874.53536010956</v>
      </c>
      <c r="H38" s="119">
        <f t="shared" si="22"/>
        <v>16244637.47676478</v>
      </c>
      <c r="I38" s="262">
        <f t="shared" si="38"/>
        <v>0.23369326293308201</v>
      </c>
      <c r="J38" s="321">
        <f t="shared" si="39"/>
        <v>35879.890766491575</v>
      </c>
      <c r="K38" s="262">
        <f t="shared" si="25"/>
        <v>0.04</v>
      </c>
      <c r="L38" s="260">
        <f t="shared" si="26"/>
        <v>6141.3650211672157</v>
      </c>
      <c r="M38" s="260">
        <f t="shared" si="27"/>
        <v>1926.2877805728961</v>
      </c>
      <c r="N38" s="260">
        <f t="shared" si="40"/>
        <v>36498.434933416414</v>
      </c>
      <c r="O38" s="120">
        <f t="shared" si="14"/>
        <v>33885.063823140044</v>
      </c>
      <c r="P38" s="40">
        <f t="shared" si="2"/>
        <v>2003.7262669888557</v>
      </c>
      <c r="Q38" s="112">
        <f t="shared" si="3"/>
        <v>12719.25479133411</v>
      </c>
      <c r="R38" s="127">
        <f t="shared" si="15"/>
        <v>0</v>
      </c>
      <c r="S38" s="120">
        <f t="shared" si="4"/>
        <v>118642.01809608398</v>
      </c>
      <c r="T38" s="40">
        <f t="shared" si="16"/>
        <v>153534.1255291804</v>
      </c>
      <c r="U38" s="40">
        <f t="shared" si="29"/>
        <v>153534.1255291804</v>
      </c>
      <c r="V38" s="40">
        <f t="shared" si="34"/>
        <v>0</v>
      </c>
      <c r="W38" s="133">
        <f t="shared" si="36"/>
        <v>0</v>
      </c>
      <c r="X38" s="134">
        <f t="shared" si="37"/>
        <v>0.03</v>
      </c>
      <c r="Y38" s="271">
        <f t="shared" si="33"/>
        <v>-37881.131596418891</v>
      </c>
      <c r="Z38" s="273"/>
      <c r="AA38" s="273">
        <f t="shared" si="17"/>
        <v>-37881.131596418891</v>
      </c>
      <c r="AB38" s="40">
        <f t="shared" si="5"/>
        <v>80760.886499665095</v>
      </c>
      <c r="AC38" s="134">
        <f t="shared" si="35"/>
        <v>0.44427311687125137</v>
      </c>
      <c r="AD38" s="39">
        <f t="shared" si="6"/>
        <v>78950</v>
      </c>
      <c r="AE38" s="257">
        <f t="shared" si="7"/>
        <v>0.34599999999999997</v>
      </c>
      <c r="AF38" s="39">
        <f t="shared" si="8"/>
        <v>9086</v>
      </c>
      <c r="AG38" s="39">
        <f t="shared" si="9"/>
        <v>34892.107433096418</v>
      </c>
      <c r="AH38" s="39">
        <f t="shared" si="30"/>
        <v>67643.323104759562</v>
      </c>
      <c r="AI38" s="39"/>
      <c r="AJ38" s="388">
        <f t="shared" si="31"/>
        <v>9384623.3927394971</v>
      </c>
      <c r="AK38" s="386">
        <f t="shared" si="32"/>
        <v>1.730984483547054</v>
      </c>
      <c r="AL38" s="16">
        <v>16</v>
      </c>
      <c r="AM38" s="40">
        <f t="shared" si="42"/>
        <v>54170.591143284983</v>
      </c>
      <c r="AN38" s="40">
        <f t="shared" si="41"/>
        <v>1675.379107524278</v>
      </c>
      <c r="AO38" s="40"/>
      <c r="AP38" s="41">
        <f t="shared" si="43"/>
        <v>2892.813229844086</v>
      </c>
      <c r="AQ38" s="3">
        <v>36</v>
      </c>
      <c r="AR38" s="44">
        <f t="shared" si="19"/>
        <v>452051.11775999644</v>
      </c>
      <c r="AS38" s="44">
        <f t="shared" si="0"/>
        <v>11011.89023999989</v>
      </c>
      <c r="AT38" s="44">
        <f t="shared" si="1"/>
        <v>-96000</v>
      </c>
    </row>
    <row r="39" spans="2:46" x14ac:dyDescent="0.25">
      <c r="B39" s="104">
        <v>2054</v>
      </c>
      <c r="C39" s="109">
        <f t="shared" si="11"/>
        <v>1802453.2253434183</v>
      </c>
      <c r="D39" s="92">
        <f t="shared" si="12"/>
        <v>9.4868877312997792</v>
      </c>
      <c r="E39" s="40">
        <f t="shared" si="20"/>
        <v>17099671.389752191</v>
      </c>
      <c r="F39" s="120">
        <f t="shared" si="13"/>
        <v>68856.572748757928</v>
      </c>
      <c r="G39" s="40">
        <f t="shared" si="21"/>
        <v>160940.23254257228</v>
      </c>
      <c r="H39" s="119">
        <f t="shared" si="22"/>
        <v>17329468.195043519</v>
      </c>
      <c r="I39" s="262">
        <f t="shared" si="38"/>
        <v>0.23280014745396843</v>
      </c>
      <c r="J39" s="321">
        <f t="shared" si="39"/>
        <v>35742.767062409293</v>
      </c>
      <c r="K39" s="262">
        <f t="shared" si="25"/>
        <v>0.04</v>
      </c>
      <c r="L39" s="260">
        <f t="shared" si="26"/>
        <v>6141.3650211672157</v>
      </c>
      <c r="M39" s="260">
        <f t="shared" si="27"/>
        <v>1920.9702596534955</v>
      </c>
      <c r="N39" s="260">
        <f t="shared" si="40"/>
        <v>36380.137496052521</v>
      </c>
      <c r="O39" s="120">
        <f t="shared" si="14"/>
        <v>35321.461756947319</v>
      </c>
      <c r="P39" s="40">
        <f t="shared" si="2"/>
        <v>2065.6971824627376</v>
      </c>
      <c r="Q39" s="112">
        <f t="shared" si="3"/>
        <v>12881.719083252126</v>
      </c>
      <c r="R39" s="127">
        <f t="shared" si="15"/>
        <v>0</v>
      </c>
      <c r="S39" s="120">
        <f t="shared" si="4"/>
        <v>118642.01809608398</v>
      </c>
      <c r="T39" s="40">
        <f t="shared" si="16"/>
        <v>153534.1255291804</v>
      </c>
      <c r="U39" s="40">
        <f t="shared" si="29"/>
        <v>153534.1255291804</v>
      </c>
      <c r="V39" s="40">
        <f t="shared" si="34"/>
        <v>0</v>
      </c>
      <c r="W39" s="133">
        <f t="shared" si="36"/>
        <v>0</v>
      </c>
      <c r="X39" s="134">
        <f t="shared" si="37"/>
        <v>0.03</v>
      </c>
      <c r="Y39" s="271">
        <f t="shared" si="33"/>
        <v>-38638.754228347272</v>
      </c>
      <c r="Z39" s="273"/>
      <c r="AA39" s="273">
        <f t="shared" si="17"/>
        <v>-38638.754228347272</v>
      </c>
      <c r="AB39" s="40">
        <f t="shared" si="5"/>
        <v>80003.263867736707</v>
      </c>
      <c r="AC39" s="134">
        <f t="shared" si="35"/>
        <v>0.44676636095122424</v>
      </c>
      <c r="AD39" s="39">
        <f t="shared" si="6"/>
        <v>78950</v>
      </c>
      <c r="AE39" s="257">
        <f t="shared" si="7"/>
        <v>0.34599999999999997</v>
      </c>
      <c r="AF39" s="39">
        <f t="shared" si="8"/>
        <v>9086</v>
      </c>
      <c r="AG39" s="39">
        <f t="shared" si="9"/>
        <v>34892.107433096418</v>
      </c>
      <c r="AH39" s="39">
        <f t="shared" si="30"/>
        <v>68996.189566854751</v>
      </c>
      <c r="AI39" s="39"/>
      <c r="AJ39" s="388">
        <f t="shared" si="31"/>
        <v>10038731.643213442</v>
      </c>
      <c r="AK39" s="386">
        <f t="shared" si="32"/>
        <v>1.7262607280431577</v>
      </c>
      <c r="AL39" s="16">
        <v>17</v>
      </c>
      <c r="AM39" s="40">
        <f t="shared" si="42"/>
        <v>58738.783480653343</v>
      </c>
      <c r="AN39" s="40">
        <f t="shared" si="41"/>
        <v>1816.6634066181448</v>
      </c>
      <c r="AO39" s="40"/>
      <c r="AP39" s="41">
        <f t="shared" si="43"/>
        <v>2892.813229844086</v>
      </c>
      <c r="AQ39" s="3">
        <v>37</v>
      </c>
      <c r="AR39" s="44">
        <f t="shared" si="19"/>
        <v>367063.00799999631</v>
      </c>
      <c r="AS39" s="44">
        <f t="shared" si="0"/>
        <v>8383.3919999998852</v>
      </c>
      <c r="AT39" s="44">
        <f t="shared" si="1"/>
        <v>-96000</v>
      </c>
    </row>
    <row r="40" spans="2:46" x14ac:dyDescent="0.25">
      <c r="B40" s="104">
        <v>2055</v>
      </c>
      <c r="C40" s="109">
        <f t="shared" si="11"/>
        <v>1875482.9393887562</v>
      </c>
      <c r="D40" s="92">
        <f t="shared" si="12"/>
        <v>9.7240599245822725</v>
      </c>
      <c r="E40" s="40">
        <f t="shared" si="20"/>
        <v>18237308.490147967</v>
      </c>
      <c r="F40" s="120">
        <f t="shared" si="13"/>
        <v>70986.157472946317</v>
      </c>
      <c r="G40" s="40">
        <f t="shared" si="21"/>
        <v>163069.81726676069</v>
      </c>
      <c r="H40" s="119">
        <f t="shared" si="22"/>
        <v>18471364.464887675</v>
      </c>
      <c r="I40" s="262">
        <f t="shared" si="38"/>
        <v>0.23178052377497196</v>
      </c>
      <c r="J40" s="321">
        <f t="shared" si="39"/>
        <v>35586.220032485726</v>
      </c>
      <c r="K40" s="262">
        <f t="shared" si="25"/>
        <v>0.04</v>
      </c>
      <c r="L40" s="260">
        <f t="shared" si="26"/>
        <v>6141.3650211672157</v>
      </c>
      <c r="M40" s="260">
        <f t="shared" si="27"/>
        <v>1914.7440787396065</v>
      </c>
      <c r="N40" s="260">
        <f t="shared" si="40"/>
        <v>36244.95434445201</v>
      </c>
      <c r="O40" s="120">
        <f t="shared" si="14"/>
        <v>36784.75970088609</v>
      </c>
      <c r="P40" s="40">
        <f t="shared" si="2"/>
        <v>2129.5847241883894</v>
      </c>
      <c r="Q40" s="112">
        <f t="shared" si="3"/>
        <v>13049.208043992345</v>
      </c>
      <c r="R40" s="127">
        <f t="shared" si="15"/>
        <v>0</v>
      </c>
      <c r="S40" s="120">
        <f t="shared" si="4"/>
        <v>118642.01809608398</v>
      </c>
      <c r="T40" s="40">
        <f t="shared" si="16"/>
        <v>153534.1255291804</v>
      </c>
      <c r="U40" s="40">
        <f t="shared" si="29"/>
        <v>153534.1255291804</v>
      </c>
      <c r="V40" s="40">
        <f t="shared" si="34"/>
        <v>0</v>
      </c>
      <c r="W40" s="133">
        <f t="shared" si="36"/>
        <v>0</v>
      </c>
      <c r="X40" s="134">
        <f t="shared" si="37"/>
        <v>0.03</v>
      </c>
      <c r="Y40" s="271">
        <f t="shared" si="33"/>
        <v>-39411.529312914216</v>
      </c>
      <c r="Z40" s="273"/>
      <c r="AA40" s="273">
        <f t="shared" si="17"/>
        <v>-39411.529312914216</v>
      </c>
      <c r="AB40" s="40">
        <f t="shared" si="5"/>
        <v>79230.488783169771</v>
      </c>
      <c r="AC40" s="134">
        <f t="shared" si="35"/>
        <v>0.44914805624731913</v>
      </c>
      <c r="AD40" s="39">
        <f t="shared" si="6"/>
        <v>78950</v>
      </c>
      <c r="AE40" s="257">
        <f t="shared" si="7"/>
        <v>0.34599999999999997</v>
      </c>
      <c r="AF40" s="39">
        <f t="shared" si="8"/>
        <v>9086</v>
      </c>
      <c r="AG40" s="39">
        <f t="shared" si="9"/>
        <v>34892.107433096418</v>
      </c>
      <c r="AH40" s="39">
        <f t="shared" si="30"/>
        <v>70376.113358191855</v>
      </c>
      <c r="AI40" s="39"/>
      <c r="AJ40" s="388">
        <f t="shared" si="31"/>
        <v>10738431.238745419</v>
      </c>
      <c r="AK40" s="386">
        <f t="shared" si="32"/>
        <v>1.7201175901970669</v>
      </c>
      <c r="AL40" s="16">
        <v>18</v>
      </c>
      <c r="AM40" s="40">
        <f t="shared" si="42"/>
        <v>63448.260117115569</v>
      </c>
      <c r="AN40" s="40">
        <f t="shared" si="41"/>
        <v>1962.3173232097602</v>
      </c>
      <c r="AO40" s="40">
        <f>-AM19/4</f>
        <v>-20000</v>
      </c>
      <c r="AP40" s="41">
        <f t="shared" si="43"/>
        <v>2892.813229844086</v>
      </c>
      <c r="AQ40" s="3">
        <v>38</v>
      </c>
      <c r="AR40" s="44">
        <f t="shared" si="19"/>
        <v>279446.39999999618</v>
      </c>
      <c r="AS40" s="44">
        <f t="shared" si="0"/>
        <v>5673.5999999998821</v>
      </c>
      <c r="AT40" s="44">
        <f t="shared" si="1"/>
        <v>-96000</v>
      </c>
    </row>
    <row r="41" spans="2:46" x14ac:dyDescent="0.25">
      <c r="B41" s="104">
        <v>2056</v>
      </c>
      <c r="C41" s="109">
        <f t="shared" si="11"/>
        <v>1949851.3398266381</v>
      </c>
      <c r="D41" s="92">
        <f t="shared" si="12"/>
        <v>9.9671614226968277</v>
      </c>
      <c r="E41" s="40">
        <f t="shared" si="20"/>
        <v>19434483.05431379</v>
      </c>
      <c r="F41" s="120">
        <f t="shared" si="13"/>
        <v>73181.6056422127</v>
      </c>
      <c r="G41" s="40">
        <f t="shared" si="21"/>
        <v>165265.26543602705</v>
      </c>
      <c r="H41" s="121">
        <f>SUM(E41:G41)</f>
        <v>19672929.925392032</v>
      </c>
      <c r="I41" s="262">
        <f t="shared" si="38"/>
        <v>0.23063702990107576</v>
      </c>
      <c r="J41" s="321">
        <f t="shared" si="39"/>
        <v>35410.654700509098</v>
      </c>
      <c r="K41" s="262">
        <f t="shared" si="25"/>
        <v>0.04</v>
      </c>
      <c r="L41" s="260">
        <f t="shared" si="26"/>
        <v>6141.3650211672157</v>
      </c>
      <c r="M41" s="260">
        <f t="shared" si="27"/>
        <v>1907.6291760237903</v>
      </c>
      <c r="N41" s="260">
        <f t="shared" si="40"/>
        <v>36093.238409539932</v>
      </c>
      <c r="O41" s="120">
        <f t="shared" si="14"/>
        <v>38275.162028341962</v>
      </c>
      <c r="P41" s="40">
        <f t="shared" si="2"/>
        <v>2195.4481692663808</v>
      </c>
      <c r="Q41" s="112">
        <f t="shared" si="3"/>
        <v>13221.877075683298</v>
      </c>
      <c r="R41" s="127">
        <f t="shared" si="15"/>
        <v>0</v>
      </c>
      <c r="S41" s="120">
        <f t="shared" si="4"/>
        <v>118642.01809608398</v>
      </c>
      <c r="T41" s="40">
        <f t="shared" si="16"/>
        <v>153534.1255291804</v>
      </c>
      <c r="U41" s="40">
        <f t="shared" si="29"/>
        <v>153534.1255291804</v>
      </c>
      <c r="V41" s="40">
        <f t="shared" si="34"/>
        <v>0</v>
      </c>
      <c r="W41" s="133">
        <f t="shared" si="36"/>
        <v>0</v>
      </c>
      <c r="X41" s="134">
        <f t="shared" si="37"/>
        <v>0.03</v>
      </c>
      <c r="Y41" s="271">
        <f t="shared" si="33"/>
        <v>-40199.759899172503</v>
      </c>
      <c r="Z41" s="273"/>
      <c r="AA41" s="273">
        <f t="shared" si="17"/>
        <v>-40199.759899172503</v>
      </c>
      <c r="AB41" s="40">
        <f t="shared" si="5"/>
        <v>78442.258196911484</v>
      </c>
      <c r="AC41" s="134">
        <f t="shared" si="35"/>
        <v>0.45142319349882415</v>
      </c>
      <c r="AD41" s="39">
        <f t="shared" si="6"/>
        <v>78950</v>
      </c>
      <c r="AE41" s="257">
        <f t="shared" si="7"/>
        <v>0.34599999999999997</v>
      </c>
      <c r="AF41" s="39">
        <f t="shared" si="8"/>
        <v>9086</v>
      </c>
      <c r="AG41" s="39">
        <f t="shared" si="9"/>
        <v>34892.107433096418</v>
      </c>
      <c r="AH41" s="39">
        <f t="shared" si="30"/>
        <v>71783.635625355688</v>
      </c>
      <c r="AI41" s="39"/>
      <c r="AJ41" s="388">
        <f>AM14</f>
        <v>11486899.896085976</v>
      </c>
      <c r="AK41" s="386">
        <f t="shared" si="32"/>
        <v>1.712640495116994</v>
      </c>
      <c r="AL41" s="16">
        <v>19</v>
      </c>
      <c r="AM41" s="40">
        <f t="shared" si="42"/>
        <v>48303.390670169414</v>
      </c>
      <c r="AN41" s="40">
        <f t="shared" si="41"/>
        <v>1493.9192990774047</v>
      </c>
      <c r="AO41" s="40">
        <f>AO40</f>
        <v>-20000</v>
      </c>
      <c r="AP41" s="41">
        <f t="shared" si="43"/>
        <v>2892.813229844086</v>
      </c>
      <c r="AQ41" s="3">
        <v>39</v>
      </c>
      <c r="AR41" s="44">
        <f t="shared" si="19"/>
        <v>189119.99999999604</v>
      </c>
      <c r="AS41" s="44">
        <f t="shared" si="0"/>
        <v>2879.9999999998777</v>
      </c>
      <c r="AT41" s="44">
        <f t="shared" si="1"/>
        <v>-96000</v>
      </c>
    </row>
    <row r="42" spans="2:46" x14ac:dyDescent="0.25">
      <c r="AL42" s="16">
        <v>20</v>
      </c>
      <c r="AM42" s="40">
        <f t="shared" si="42"/>
        <v>32690.123199090904</v>
      </c>
      <c r="AN42" s="40">
        <f t="shared" si="41"/>
        <v>1011.0347381162136</v>
      </c>
      <c r="AO42" s="40">
        <f t="shared" ref="AO42:AO43" si="44">AO41</f>
        <v>-20000</v>
      </c>
      <c r="AP42" s="41">
        <f t="shared" si="43"/>
        <v>2892.813229844086</v>
      </c>
      <c r="AQ42" s="3">
        <v>40</v>
      </c>
      <c r="AR42" s="44">
        <f t="shared" si="19"/>
        <v>95999.999999995925</v>
      </c>
      <c r="AS42" s="44">
        <f t="shared" si="0"/>
        <v>-1.2601658548276451E-10</v>
      </c>
      <c r="AT42" s="44">
        <f t="shared" si="1"/>
        <v>-96000</v>
      </c>
    </row>
    <row r="43" spans="2:46" x14ac:dyDescent="0.25">
      <c r="AL43" s="265">
        <v>21</v>
      </c>
      <c r="AM43" s="43">
        <f t="shared" si="42"/>
        <v>16593.971167051201</v>
      </c>
      <c r="AN43" s="43">
        <f t="shared" si="41"/>
        <v>513.21560310467635</v>
      </c>
      <c r="AO43" s="43">
        <f t="shared" si="44"/>
        <v>-20000</v>
      </c>
      <c r="AP43" s="269">
        <f t="shared" si="43"/>
        <v>2892.813229844086</v>
      </c>
      <c r="AR43" s="44">
        <f t="shared" si="19"/>
        <v>-4.2055035009980202E-9</v>
      </c>
      <c r="AS43" s="39"/>
      <c r="AT43" s="39"/>
    </row>
    <row r="44" spans="2:46" x14ac:dyDescent="0.25">
      <c r="AM44" s="40">
        <f t="shared" si="42"/>
        <v>-3.7289282772690058E-11</v>
      </c>
      <c r="AN44" s="44"/>
      <c r="AO44" s="44"/>
      <c r="AP44" s="44"/>
    </row>
    <row r="46" spans="2:46" x14ac:dyDescent="0.25">
      <c r="AQ46" s="185">
        <v>2.8000000000000001E-2</v>
      </c>
      <c r="AR46" s="39">
        <f>SUM(AR47:AR70)</f>
        <v>316406.26165837387</v>
      </c>
    </row>
    <row r="47" spans="2:46" x14ac:dyDescent="0.25">
      <c r="AL47" t="s">
        <v>358</v>
      </c>
      <c r="AM47">
        <v>90000</v>
      </c>
      <c r="AO47" s="1">
        <v>1</v>
      </c>
      <c r="AP47" s="266">
        <f>AM47</f>
        <v>90000</v>
      </c>
      <c r="AQ47" s="39">
        <f>AP47</f>
        <v>90000</v>
      </c>
      <c r="AR47" s="39">
        <f>ABS(AP47-AQ47)</f>
        <v>0</v>
      </c>
    </row>
    <row r="48" spans="2:46" x14ac:dyDescent="0.25">
      <c r="AL48" t="s">
        <v>359</v>
      </c>
      <c r="AM48">
        <v>112000</v>
      </c>
      <c r="AO48" s="1">
        <v>2</v>
      </c>
      <c r="AP48" s="39">
        <f>AP47</f>
        <v>90000</v>
      </c>
      <c r="AQ48" s="39">
        <f>AQ47*(1+$AQ$46)</f>
        <v>92520</v>
      </c>
      <c r="AR48" s="39">
        <f t="shared" ref="AR48:AR70" si="45">ABS(AP48-AQ48)</f>
        <v>2520</v>
      </c>
    </row>
    <row r="49" spans="38:44" x14ac:dyDescent="0.25">
      <c r="AL49" t="s">
        <v>360</v>
      </c>
      <c r="AM49">
        <v>133000</v>
      </c>
      <c r="AO49" s="1">
        <v>3</v>
      </c>
      <c r="AP49" s="39">
        <f>AP48</f>
        <v>90000</v>
      </c>
      <c r="AQ49" s="39">
        <f t="shared" ref="AQ49:AQ70" si="46">AQ48*(1+$AQ$46)</f>
        <v>95110.56</v>
      </c>
      <c r="AR49" s="39">
        <f t="shared" si="45"/>
        <v>5110.5599999999977</v>
      </c>
    </row>
    <row r="50" spans="38:44" x14ac:dyDescent="0.25">
      <c r="AL50" s="185" t="s">
        <v>361</v>
      </c>
      <c r="AM50">
        <v>175000</v>
      </c>
      <c r="AO50" s="1">
        <v>4</v>
      </c>
      <c r="AP50" s="39">
        <f>AP49</f>
        <v>90000</v>
      </c>
      <c r="AQ50" s="39">
        <f t="shared" si="46"/>
        <v>97773.655679999996</v>
      </c>
      <c r="AR50" s="39">
        <f t="shared" si="45"/>
        <v>7773.6556799999962</v>
      </c>
    </row>
    <row r="51" spans="38:44" x14ac:dyDescent="0.25">
      <c r="AL51" t="s">
        <v>362</v>
      </c>
      <c r="AM51">
        <v>189000</v>
      </c>
      <c r="AO51" s="1">
        <v>5</v>
      </c>
      <c r="AP51" s="266">
        <f>AM48</f>
        <v>112000</v>
      </c>
      <c r="AQ51" s="39">
        <f t="shared" si="46"/>
        <v>100511.31803903999</v>
      </c>
      <c r="AR51" s="39">
        <f t="shared" si="45"/>
        <v>11488.681960960006</v>
      </c>
    </row>
    <row r="52" spans="38:44" x14ac:dyDescent="0.25">
      <c r="AO52" s="1">
        <v>6</v>
      </c>
      <c r="AP52" s="278">
        <f t="shared" ref="AP52:AP69" si="47">AP51</f>
        <v>112000</v>
      </c>
      <c r="AQ52" s="39">
        <f t="shared" si="46"/>
        <v>103325.63494413311</v>
      </c>
      <c r="AR52" s="39">
        <f t="shared" si="45"/>
        <v>8674.3650558668887</v>
      </c>
    </row>
    <row r="53" spans="38:44" x14ac:dyDescent="0.25">
      <c r="AO53" s="1">
        <v>7</v>
      </c>
      <c r="AP53" s="278">
        <f t="shared" si="47"/>
        <v>112000</v>
      </c>
      <c r="AQ53" s="39">
        <f t="shared" si="46"/>
        <v>106218.75272256884</v>
      </c>
      <c r="AR53" s="39">
        <f t="shared" si="45"/>
        <v>5781.2472774311609</v>
      </c>
    </row>
    <row r="54" spans="38:44" x14ac:dyDescent="0.25">
      <c r="AL54">
        <f>2056-2019</f>
        <v>37</v>
      </c>
      <c r="AO54" s="1">
        <v>8</v>
      </c>
      <c r="AP54" s="278">
        <f>AP53</f>
        <v>112000</v>
      </c>
      <c r="AQ54" s="39">
        <f t="shared" si="46"/>
        <v>109192.87779880076</v>
      </c>
      <c r="AR54" s="39">
        <f t="shared" si="45"/>
        <v>2807.1222011992359</v>
      </c>
    </row>
    <row r="55" spans="38:44" x14ac:dyDescent="0.25">
      <c r="AO55" s="1">
        <v>9</v>
      </c>
      <c r="AP55" s="278">
        <f>AP54</f>
        <v>112000</v>
      </c>
      <c r="AQ55" s="39">
        <f t="shared" si="46"/>
        <v>112250.27837716718</v>
      </c>
      <c r="AR55" s="39">
        <f t="shared" si="45"/>
        <v>250.27837716718204</v>
      </c>
    </row>
    <row r="56" spans="38:44" x14ac:dyDescent="0.25">
      <c r="AO56" s="1">
        <v>10</v>
      </c>
      <c r="AP56" s="266">
        <f>AM49</f>
        <v>133000</v>
      </c>
      <c r="AQ56" s="39">
        <f t="shared" si="46"/>
        <v>115393.28617172787</v>
      </c>
      <c r="AR56" s="39">
        <f t="shared" si="45"/>
        <v>17606.713828272128</v>
      </c>
    </row>
    <row r="57" spans="38:44" x14ac:dyDescent="0.25">
      <c r="AO57" s="1">
        <v>11</v>
      </c>
      <c r="AP57" s="39">
        <f t="shared" si="47"/>
        <v>133000</v>
      </c>
      <c r="AQ57" s="39">
        <f t="shared" si="46"/>
        <v>118624.29818453625</v>
      </c>
      <c r="AR57" s="39">
        <f t="shared" si="45"/>
        <v>14375.701815463748</v>
      </c>
    </row>
    <row r="58" spans="38:44" x14ac:dyDescent="0.25">
      <c r="AO58" s="1">
        <v>12</v>
      </c>
      <c r="AP58" s="39">
        <f t="shared" si="47"/>
        <v>133000</v>
      </c>
      <c r="AQ58" s="39">
        <f t="shared" si="46"/>
        <v>121945.77853370327</v>
      </c>
      <c r="AR58" s="39">
        <f t="shared" si="45"/>
        <v>11054.221466296731</v>
      </c>
    </row>
    <row r="59" spans="38:44" x14ac:dyDescent="0.25">
      <c r="AO59" s="1">
        <v>13</v>
      </c>
      <c r="AP59" s="39">
        <f>AP58</f>
        <v>133000</v>
      </c>
      <c r="AQ59" s="39">
        <f t="shared" si="46"/>
        <v>125360.26033264697</v>
      </c>
      <c r="AR59" s="39">
        <f t="shared" si="45"/>
        <v>7639.7396673530311</v>
      </c>
    </row>
    <row r="60" spans="38:44" x14ac:dyDescent="0.25">
      <c r="AO60" s="1">
        <v>14</v>
      </c>
      <c r="AP60" s="39">
        <f t="shared" si="47"/>
        <v>133000</v>
      </c>
      <c r="AQ60" s="39">
        <f t="shared" si="46"/>
        <v>128870.34762196109</v>
      </c>
      <c r="AR60" s="39">
        <f t="shared" si="45"/>
        <v>4129.6523780389107</v>
      </c>
    </row>
    <row r="61" spans="38:44" x14ac:dyDescent="0.25">
      <c r="AO61" s="1">
        <v>15</v>
      </c>
      <c r="AP61" s="39">
        <f t="shared" si="47"/>
        <v>133000</v>
      </c>
      <c r="AQ61" s="39">
        <f t="shared" si="46"/>
        <v>132478.71735537599</v>
      </c>
      <c r="AR61" s="39">
        <f t="shared" si="45"/>
        <v>521.28264462400693</v>
      </c>
    </row>
    <row r="62" spans="38:44" x14ac:dyDescent="0.25">
      <c r="AO62" s="1">
        <v>16</v>
      </c>
      <c r="AP62" s="266">
        <f>AM50</f>
        <v>175000</v>
      </c>
      <c r="AQ62" s="39">
        <f t="shared" si="46"/>
        <v>136188.12144132651</v>
      </c>
      <c r="AR62" s="39">
        <f t="shared" si="45"/>
        <v>38811.878558673488</v>
      </c>
    </row>
    <row r="63" spans="38:44" x14ac:dyDescent="0.25">
      <c r="AO63" s="1">
        <v>17</v>
      </c>
      <c r="AP63" s="39">
        <f t="shared" si="47"/>
        <v>175000</v>
      </c>
      <c r="AQ63" s="39">
        <f t="shared" si="46"/>
        <v>140001.38884168366</v>
      </c>
      <c r="AR63" s="39">
        <f t="shared" si="45"/>
        <v>34998.611158316344</v>
      </c>
    </row>
    <row r="64" spans="38:44" x14ac:dyDescent="0.25">
      <c r="AO64" s="1">
        <v>18</v>
      </c>
      <c r="AP64" s="39">
        <f t="shared" si="47"/>
        <v>175000</v>
      </c>
      <c r="AQ64" s="39">
        <f t="shared" si="46"/>
        <v>143921.4277292508</v>
      </c>
      <c r="AR64" s="39">
        <f t="shared" si="45"/>
        <v>31078.572270749195</v>
      </c>
    </row>
    <row r="65" spans="41:44" x14ac:dyDescent="0.25">
      <c r="AO65" s="1">
        <v>19</v>
      </c>
      <c r="AP65" s="39">
        <f t="shared" si="47"/>
        <v>175000</v>
      </c>
      <c r="AQ65" s="39">
        <f t="shared" si="46"/>
        <v>147951.22770566982</v>
      </c>
      <c r="AR65" s="39">
        <f t="shared" si="45"/>
        <v>27048.772294330178</v>
      </c>
    </row>
    <row r="66" spans="41:44" x14ac:dyDescent="0.25">
      <c r="AO66" s="1">
        <v>20</v>
      </c>
      <c r="AP66" s="39">
        <f t="shared" si="47"/>
        <v>175000</v>
      </c>
      <c r="AQ66" s="39">
        <f t="shared" si="46"/>
        <v>152093.86208142858</v>
      </c>
      <c r="AR66" s="39">
        <f t="shared" si="45"/>
        <v>22906.137918571418</v>
      </c>
    </row>
    <row r="67" spans="41:44" x14ac:dyDescent="0.25">
      <c r="AO67" s="1">
        <v>21</v>
      </c>
      <c r="AP67" s="39">
        <f t="shared" si="47"/>
        <v>175000</v>
      </c>
      <c r="AQ67" s="39">
        <f t="shared" si="46"/>
        <v>156352.49021970859</v>
      </c>
      <c r="AR67" s="39">
        <f t="shared" si="45"/>
        <v>18647.50978029141</v>
      </c>
    </row>
    <row r="68" spans="41:44" x14ac:dyDescent="0.25">
      <c r="AO68" s="1">
        <v>22</v>
      </c>
      <c r="AP68" s="39">
        <f t="shared" si="47"/>
        <v>175000</v>
      </c>
      <c r="AQ68" s="39">
        <f t="shared" si="46"/>
        <v>160730.35994586043</v>
      </c>
      <c r="AR68" s="39">
        <f t="shared" si="45"/>
        <v>14269.640054139571</v>
      </c>
    </row>
    <row r="69" spans="41:44" x14ac:dyDescent="0.25">
      <c r="AO69" s="1">
        <v>23</v>
      </c>
      <c r="AP69" s="39">
        <f t="shared" si="47"/>
        <v>175000</v>
      </c>
      <c r="AQ69" s="39">
        <f t="shared" si="46"/>
        <v>165230.81002434454</v>
      </c>
      <c r="AR69" s="39">
        <f t="shared" si="45"/>
        <v>9769.1899756554631</v>
      </c>
    </row>
    <row r="70" spans="41:44" x14ac:dyDescent="0.25">
      <c r="AO70" s="1">
        <v>24</v>
      </c>
      <c r="AP70" s="266">
        <f>AM51</f>
        <v>189000</v>
      </c>
      <c r="AQ70" s="39">
        <f t="shared" si="46"/>
        <v>169857.27270502617</v>
      </c>
      <c r="AR70" s="39">
        <f t="shared" si="45"/>
        <v>19142.727294973825</v>
      </c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2D2B5-987E-4D32-8030-75118BF46E12}">
  <dimension ref="B1:BD210"/>
  <sheetViews>
    <sheetView topLeftCell="E17" workbookViewId="0">
      <selection activeCell="T35" sqref="T35"/>
    </sheetView>
  </sheetViews>
  <sheetFormatPr defaultRowHeight="15" x14ac:dyDescent="0.25"/>
  <cols>
    <col min="1" max="1" width="1.5703125" customWidth="1"/>
    <col min="4" max="4" width="10.5703125" customWidth="1"/>
    <col min="6" max="6" width="9.85546875" bestFit="1" customWidth="1"/>
    <col min="7" max="7" width="9.7109375" style="53" bestFit="1" customWidth="1"/>
    <col min="8" max="8" width="15" customWidth="1"/>
    <col min="9" max="9" width="11.42578125" customWidth="1"/>
    <col min="10" max="13" width="8.7109375" style="1"/>
    <col min="14" max="14" width="2.85546875" customWidth="1"/>
    <col min="15" max="15" width="11.85546875" bestFit="1" customWidth="1"/>
    <col min="17" max="17" width="9.42578125" bestFit="1" customWidth="1"/>
    <col min="18" max="18" width="10.42578125" bestFit="1" customWidth="1"/>
    <col min="24" max="24" width="8.140625" customWidth="1"/>
    <col min="25" max="25" width="15.85546875" customWidth="1"/>
    <col min="26" max="26" width="10.7109375" customWidth="1"/>
    <col min="32" max="32" width="10.42578125" bestFit="1" customWidth="1"/>
    <col min="33" max="33" width="9.5703125" customWidth="1"/>
    <col min="37" max="37" width="15.5703125" bestFit="1" customWidth="1"/>
    <col min="40" max="40" width="10.5703125" customWidth="1"/>
    <col min="42" max="42" width="10.42578125" bestFit="1" customWidth="1"/>
    <col min="51" max="51" width="9.42578125" bestFit="1" customWidth="1"/>
    <col min="56" max="56" width="14.5703125" customWidth="1"/>
  </cols>
  <sheetData>
    <row r="1" spans="2:56" ht="15.75" thickBot="1" x14ac:dyDescent="0.3">
      <c r="B1" s="50"/>
      <c r="C1" s="50"/>
      <c r="F1" s="217">
        <f>SUM(L7:L18)</f>
        <v>100495.64</v>
      </c>
      <c r="G1"/>
      <c r="H1" s="186" t="s">
        <v>222</v>
      </c>
      <c r="I1" s="187" t="s">
        <v>223</v>
      </c>
      <c r="K1" s="241"/>
      <c r="M1" s="166"/>
      <c r="O1" s="188" t="s">
        <v>213</v>
      </c>
      <c r="P1" s="202">
        <f>SUMPRODUCT(I4:I51,M4:M51)/SUM(M4:M51)</f>
        <v>1.6845425848031462E-2</v>
      </c>
      <c r="R1" s="217">
        <f>SUM(M4:M22)</f>
        <v>35470.350207562813</v>
      </c>
      <c r="T1" s="1"/>
      <c r="U1" s="182">
        <f>'P&amp;L USA'!B1</f>
        <v>43983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E1" s="181">
        <f>FV(P1,7,-1,0)/7-1</f>
        <v>5.197926333265146E-2</v>
      </c>
    </row>
    <row r="2" spans="2:56" ht="15.75" thickBot="1" x14ac:dyDescent="0.3">
      <c r="J2" s="1" t="s">
        <v>22</v>
      </c>
      <c r="K2" s="44"/>
      <c r="M2" s="1" t="s">
        <v>21</v>
      </c>
      <c r="R2" s="217">
        <f>U2*5</f>
        <v>201009.90000000002</v>
      </c>
      <c r="T2" s="183" t="s">
        <v>203</v>
      </c>
      <c r="U2" s="44">
        <f>-HLOOKUP(U1,'Cash flow'!B3:GT51,49,FALSE)</f>
        <v>40201.980000000003</v>
      </c>
    </row>
    <row r="3" spans="2:56" ht="22.5" x14ac:dyDescent="0.25">
      <c r="B3" s="192" t="s">
        <v>211</v>
      </c>
      <c r="C3" s="193" t="s">
        <v>327</v>
      </c>
      <c r="D3" s="193" t="s">
        <v>326</v>
      </c>
      <c r="E3" s="193" t="s">
        <v>18</v>
      </c>
      <c r="F3" s="193" t="s">
        <v>233</v>
      </c>
      <c r="G3" s="203" t="s">
        <v>208</v>
      </c>
      <c r="H3" s="193" t="s">
        <v>207</v>
      </c>
      <c r="I3" s="193" t="s">
        <v>210</v>
      </c>
      <c r="J3" s="194" t="s">
        <v>505</v>
      </c>
      <c r="K3" s="292" t="s">
        <v>506</v>
      </c>
      <c r="L3" s="292" t="s">
        <v>507</v>
      </c>
      <c r="M3" s="195" t="s">
        <v>6</v>
      </c>
      <c r="O3" s="135" t="s">
        <v>211</v>
      </c>
      <c r="P3" s="189" t="s">
        <v>116</v>
      </c>
      <c r="Q3" s="93"/>
      <c r="T3" s="1" t="s">
        <v>176</v>
      </c>
      <c r="U3" s="1">
        <f>HLOOKUP(U1,Funds!C10:GV11,2,FALSE)</f>
        <v>5.46</v>
      </c>
      <c r="AH3" t="s">
        <v>226</v>
      </c>
      <c r="AP3" t="s">
        <v>375</v>
      </c>
    </row>
    <row r="4" spans="2:56" x14ac:dyDescent="0.25">
      <c r="B4" s="1">
        <v>4</v>
      </c>
      <c r="C4" s="204">
        <f>DATE(YEAR(D4),MONTH(D4),1)</f>
        <v>43983</v>
      </c>
      <c r="D4" s="204">
        <f>$U$1</f>
        <v>43983</v>
      </c>
      <c r="E4" s="1" t="s">
        <v>21</v>
      </c>
      <c r="F4" s="1" t="s">
        <v>347</v>
      </c>
      <c r="G4" s="53">
        <v>36525</v>
      </c>
      <c r="H4" s="142" t="str">
        <f>"HSA"</f>
        <v>HSA</v>
      </c>
      <c r="I4" s="208">
        <v>0.03</v>
      </c>
      <c r="J4" s="305">
        <v>2019.34</v>
      </c>
      <c r="K4" s="295">
        <f>(35%+20%)*J4</f>
        <v>1110.6369999999999</v>
      </c>
      <c r="L4" s="296">
        <f>J4-K4</f>
        <v>908.70299999999997</v>
      </c>
      <c r="M4" s="197">
        <f>IF(E4="BRL",L4/$U$3,L4)</f>
        <v>908.70299999999997</v>
      </c>
      <c r="O4" s="141">
        <v>1</v>
      </c>
      <c r="P4" s="190">
        <f>SUMIFS(M:M,B:B,O4)/SUM(M:M)</f>
        <v>0.50556957757663323</v>
      </c>
      <c r="Q4" s="238"/>
      <c r="AF4" s="1" t="s">
        <v>225</v>
      </c>
      <c r="AG4" s="1" t="s">
        <v>234</v>
      </c>
      <c r="AH4" s="1" t="s">
        <v>225</v>
      </c>
      <c r="AI4" s="1" t="s">
        <v>234</v>
      </c>
      <c r="AP4">
        <v>1</v>
      </c>
      <c r="AQ4" s="77">
        <v>-0.02</v>
      </c>
    </row>
    <row r="5" spans="2:56" x14ac:dyDescent="0.25">
      <c r="B5" s="1">
        <v>4</v>
      </c>
      <c r="C5" s="204">
        <f>DATE(YEAR(D5),MONTH(D5),1)</f>
        <v>43983</v>
      </c>
      <c r="D5" s="204">
        <f>$U$1</f>
        <v>43983</v>
      </c>
      <c r="E5" s="1" t="s">
        <v>21</v>
      </c>
      <c r="F5" s="1" t="s">
        <v>347</v>
      </c>
      <c r="G5" s="53">
        <v>36525</v>
      </c>
      <c r="H5" s="142" t="s">
        <v>204</v>
      </c>
      <c r="I5" s="208">
        <v>0.03</v>
      </c>
      <c r="J5" s="306">
        <v>10175.120000000001</v>
      </c>
      <c r="K5" s="295">
        <f>(34%+10%)*J5</f>
        <v>4477.0528000000013</v>
      </c>
      <c r="L5" s="296">
        <f>J5-K5</f>
        <v>5698.0671999999995</v>
      </c>
      <c r="M5" s="197">
        <f>IF(E5="BRL",L5/$U$3,L5)</f>
        <v>5698.0671999999995</v>
      </c>
      <c r="O5" s="141">
        <v>2</v>
      </c>
      <c r="P5" s="190">
        <f>SUMIFS(M:M,B:B,O5)/SUM(M:M)</f>
        <v>0.20555562586679671</v>
      </c>
      <c r="Q5" s="238"/>
      <c r="R5" t="s">
        <v>235</v>
      </c>
      <c r="T5" s="183"/>
      <c r="U5" s="183"/>
      <c r="V5" s="183"/>
      <c r="W5" s="183"/>
      <c r="X5" s="183"/>
      <c r="Y5" s="183"/>
      <c r="Z5" s="183"/>
      <c r="AA5" s="183"/>
      <c r="AE5">
        <v>2019</v>
      </c>
      <c r="AF5" s="208">
        <v>3.5900000000000001E-2</v>
      </c>
      <c r="AG5" s="208">
        <v>0.05</v>
      </c>
      <c r="AH5" s="208">
        <f>AVERAGE($AF$5:AF5)</f>
        <v>3.5900000000000001E-2</v>
      </c>
      <c r="AI5" s="208">
        <f>AVERAGE($AG$5:AG5)</f>
        <v>0.05</v>
      </c>
      <c r="AJ5" t="s">
        <v>373</v>
      </c>
      <c r="AL5">
        <v>1</v>
      </c>
      <c r="AO5">
        <v>1</v>
      </c>
      <c r="AP5">
        <f>AP4*(1+AQ4)</f>
        <v>0.98</v>
      </c>
      <c r="AQ5" s="77">
        <v>0.03</v>
      </c>
    </row>
    <row r="6" spans="2:56" x14ac:dyDescent="0.25">
      <c r="B6">
        <v>1</v>
      </c>
      <c r="C6" s="204">
        <f>DATE(YEAR(D6),MONTH(D6),1)</f>
        <v>43983</v>
      </c>
      <c r="D6" s="204">
        <f>$U$1</f>
        <v>43983</v>
      </c>
      <c r="E6" s="1" t="s">
        <v>21</v>
      </c>
      <c r="F6" s="1" t="s">
        <v>519</v>
      </c>
      <c r="G6" s="53">
        <v>36525</v>
      </c>
      <c r="H6" s="1" t="s">
        <v>518</v>
      </c>
      <c r="I6" s="208">
        <v>-0.02</v>
      </c>
      <c r="J6" s="295">
        <f>HLOOKUP(U1,'Cash flow'!C3:GT43,41,FALSE)</f>
        <v>6818.0651357679371</v>
      </c>
      <c r="K6" s="1">
        <v>0</v>
      </c>
      <c r="L6" s="296">
        <f>J6-K6</f>
        <v>6818.0651357679371</v>
      </c>
      <c r="M6" s="197">
        <f>IF(E6="BRL",L6/$U$3,L6)</f>
        <v>6818.0651357679371</v>
      </c>
      <c r="O6" s="141">
        <v>3</v>
      </c>
      <c r="P6" s="190">
        <f>SUMIFS(M:M,B:B,O6)/SUM(M:M)</f>
        <v>0</v>
      </c>
      <c r="T6" s="238"/>
      <c r="V6" t="s">
        <v>508</v>
      </c>
      <c r="X6" s="180"/>
      <c r="Y6" s="56"/>
      <c r="Z6" s="210"/>
      <c r="AE6">
        <v>2020</v>
      </c>
      <c r="AF6" s="208">
        <v>3.85E-2</v>
      </c>
      <c r="AG6" s="208">
        <v>5.2499999999999998E-2</v>
      </c>
      <c r="AH6" s="208">
        <f>((1+AH5)^$AL5*(1+AF6))^(1/$AL6)-1</f>
        <v>3.7199185306274751E-2</v>
      </c>
      <c r="AI6" s="208">
        <f>((1+AI5)^$AL5*(1+AG6))^(1/$AL6)-1</f>
        <v>5.1249256836836121E-2</v>
      </c>
      <c r="AL6">
        <v>2</v>
      </c>
      <c r="AO6">
        <v>2</v>
      </c>
      <c r="AP6">
        <f t="shared" ref="AP6:AP9" si="0">AP5*(1+AQ5)</f>
        <v>1.0094000000000001</v>
      </c>
      <c r="AQ6" s="77">
        <v>0.03</v>
      </c>
    </row>
    <row r="7" spans="2:56" x14ac:dyDescent="0.25">
      <c r="B7" s="141">
        <v>1</v>
      </c>
      <c r="C7" s="204">
        <f>DATE(YEAR(D7),MONTH(D7),1)</f>
        <v>43983</v>
      </c>
      <c r="D7" s="204">
        <f>$U$1</f>
        <v>43983</v>
      </c>
      <c r="E7" s="142" t="s">
        <v>22</v>
      </c>
      <c r="F7" s="142" t="s">
        <v>225</v>
      </c>
      <c r="G7" s="204">
        <v>45519</v>
      </c>
      <c r="H7" s="142" t="s">
        <v>205</v>
      </c>
      <c r="I7" s="196">
        <f>5.24%-0.3%-(VLOOKUP(YEAR(G7),AE4:AI13,4,FALSE)+5.24%)*15%</f>
        <v>3.6117637142616309E-2</v>
      </c>
      <c r="J7" s="295">
        <f>$U$7*W7</f>
        <v>8668.2446402168152</v>
      </c>
      <c r="K7" s="293">
        <f>$U$8*W7</f>
        <v>274.49114802380547</v>
      </c>
      <c r="L7" s="296">
        <f>J7-K7</f>
        <v>8393.7534921930092</v>
      </c>
      <c r="M7" s="197">
        <f>IF(E7="BRL",L7/$U$3,L7)</f>
        <v>1537.3174894126391</v>
      </c>
      <c r="O7" s="141">
        <v>4</v>
      </c>
      <c r="P7" s="190">
        <f>SUMIFS(M:M,B:B,O7)/SUM(M:M)</f>
        <v>0.18626176965660002</v>
      </c>
      <c r="R7" s="217">
        <f>SUM(L7:L18)</f>
        <v>100495.64</v>
      </c>
      <c r="T7" s="1" t="s">
        <v>509</v>
      </c>
      <c r="U7" s="294">
        <v>21412.36</v>
      </c>
      <c r="V7" s="44">
        <v>13951.34</v>
      </c>
      <c r="W7" s="253">
        <f>V7/$V$9</f>
        <v>0.40482434632225567</v>
      </c>
      <c r="X7" s="180"/>
      <c r="Z7" s="210"/>
      <c r="AE7">
        <v>2021</v>
      </c>
      <c r="AF7" s="208">
        <v>3.7499999999999999E-2</v>
      </c>
      <c r="AG7" s="208">
        <v>7.0000000000000007E-2</v>
      </c>
      <c r="AH7" s="208">
        <f t="shared" ref="AH7:AH13" si="1">((1+AH6)^$AL6*(1+AF7))^(1/$AL7)-1</f>
        <v>3.7299447178625655E-2</v>
      </c>
      <c r="AI7" s="208">
        <f t="shared" ref="AI7:AI13" si="2">((1+AI6)^$AL6*(1+AG7))^(1/$AL7)-1</f>
        <v>5.7462707357048615E-2</v>
      </c>
      <c r="AL7">
        <v>3</v>
      </c>
      <c r="AO7">
        <v>3</v>
      </c>
      <c r="AP7">
        <f t="shared" si="0"/>
        <v>1.039682</v>
      </c>
      <c r="AQ7" s="77">
        <v>0.03</v>
      </c>
    </row>
    <row r="8" spans="2:56" ht="15.75" thickBot="1" x14ac:dyDescent="0.3">
      <c r="B8" s="141">
        <v>1</v>
      </c>
      <c r="C8" s="204">
        <f t="shared" ref="C8:C18" si="3">DATE(YEAR(D8),MONTH(D8),1)</f>
        <v>43983</v>
      </c>
      <c r="D8" s="204">
        <f t="shared" ref="D8:D11" si="4">$U$1</f>
        <v>43983</v>
      </c>
      <c r="E8" s="142" t="s">
        <v>22</v>
      </c>
      <c r="F8" s="142" t="s">
        <v>225</v>
      </c>
      <c r="G8" s="204">
        <v>45519</v>
      </c>
      <c r="H8" s="142" t="s">
        <v>205</v>
      </c>
      <c r="I8" s="196">
        <f>4.17%-0.3%-(VLOOKUP(YEAR(G7),AE4:AI13,4,FALSE)+4.17%)*15%</f>
        <v>2.702263714261631E-2</v>
      </c>
      <c r="J8" s="295">
        <f>$U$7*W8</f>
        <v>12744.115359783187</v>
      </c>
      <c r="K8" s="293">
        <f>$U$8*W8</f>
        <v>403.55885197619455</v>
      </c>
      <c r="L8" s="296">
        <f>J8-K8</f>
        <v>12340.556507806992</v>
      </c>
      <c r="M8" s="197">
        <f t="shared" ref="M8:M19" si="5">IF(E8="BRL",L8/$U$3,L8)</f>
        <v>2260.1751845800354</v>
      </c>
      <c r="O8" s="155">
        <v>5</v>
      </c>
      <c r="P8" s="191">
        <f>SUMIFS(M:M,B:B,O8)/SUM(M:M)</f>
        <v>0</v>
      </c>
      <c r="T8" s="1" t="s">
        <v>331</v>
      </c>
      <c r="U8" s="294">
        <v>678.05</v>
      </c>
      <c r="V8" s="44">
        <v>20511.36</v>
      </c>
      <c r="W8" s="253">
        <f>V8/$V$9</f>
        <v>0.59517565367774439</v>
      </c>
      <c r="X8" s="180"/>
      <c r="Y8" s="56"/>
      <c r="Z8" s="210"/>
      <c r="AE8">
        <v>2022</v>
      </c>
      <c r="AF8" s="208">
        <v>3.5000000000000003E-2</v>
      </c>
      <c r="AG8" s="208">
        <v>7.0000000000000007E-2</v>
      </c>
      <c r="AH8" s="208">
        <f t="shared" si="1"/>
        <v>3.6724106890416719E-2</v>
      </c>
      <c r="AI8" s="208">
        <f t="shared" si="2"/>
        <v>6.0583190898014561E-2</v>
      </c>
      <c r="AL8">
        <v>4</v>
      </c>
      <c r="AO8">
        <v>4</v>
      </c>
      <c r="AP8">
        <f t="shared" si="0"/>
        <v>1.0708724599999999</v>
      </c>
      <c r="AQ8" s="77">
        <v>0.03</v>
      </c>
    </row>
    <row r="9" spans="2:56" x14ac:dyDescent="0.25">
      <c r="B9" s="141">
        <v>1</v>
      </c>
      <c r="C9" s="204">
        <f t="shared" si="3"/>
        <v>43983</v>
      </c>
      <c r="D9" s="204">
        <f t="shared" si="4"/>
        <v>43983</v>
      </c>
      <c r="E9" s="142" t="s">
        <v>22</v>
      </c>
      <c r="F9" s="142" t="s">
        <v>225</v>
      </c>
      <c r="G9" s="204">
        <v>49444</v>
      </c>
      <c r="H9" s="142" t="s">
        <v>206</v>
      </c>
      <c r="I9" s="196">
        <f>5.17%-0.3%-(VLOOKUP(YEAR(G7),AE4:AI13,4,FALSE)+5.17%)*15%</f>
        <v>3.5522637142616303E-2</v>
      </c>
      <c r="J9" s="297">
        <f>$U$12*W12</f>
        <v>9937.6588748347785</v>
      </c>
      <c r="K9" s="293">
        <f>$U$13*W12</f>
        <v>330.48659559069034</v>
      </c>
      <c r="L9" s="296">
        <f t="shared" ref="L9:L19" si="6">J9-K9</f>
        <v>9607.1722792440887</v>
      </c>
      <c r="M9" s="197">
        <f t="shared" si="5"/>
        <v>1759.5553624989172</v>
      </c>
      <c r="P9" t="s">
        <v>546</v>
      </c>
      <c r="Q9" t="s">
        <v>547</v>
      </c>
      <c r="V9" s="62">
        <f>SUM(V7:V8)</f>
        <v>34462.699999999997</v>
      </c>
      <c r="X9" s="180"/>
      <c r="Z9" s="210"/>
      <c r="AE9">
        <v>2023</v>
      </c>
      <c r="AF9" s="208">
        <v>3.5000000000000003E-2</v>
      </c>
      <c r="AG9" s="208">
        <v>7.0000000000000007E-2</v>
      </c>
      <c r="AH9" s="208">
        <f t="shared" si="1"/>
        <v>3.6379055903389412E-2</v>
      </c>
      <c r="AI9" s="208">
        <f t="shared" si="2"/>
        <v>6.2459899261916529E-2</v>
      </c>
      <c r="AL9">
        <v>5</v>
      </c>
      <c r="AO9">
        <v>5</v>
      </c>
      <c r="AP9">
        <f t="shared" si="0"/>
        <v>1.1029986338</v>
      </c>
      <c r="AQ9" s="77">
        <v>0.03</v>
      </c>
    </row>
    <row r="10" spans="2:56" ht="15.75" thickBot="1" x14ac:dyDescent="0.3">
      <c r="B10" s="141">
        <v>1</v>
      </c>
      <c r="C10" s="204">
        <f t="shared" si="3"/>
        <v>43983</v>
      </c>
      <c r="D10" s="204">
        <f t="shared" si="4"/>
        <v>43983</v>
      </c>
      <c r="E10" s="142" t="s">
        <v>22</v>
      </c>
      <c r="F10" s="142" t="s">
        <v>225</v>
      </c>
      <c r="G10" s="204">
        <v>49444</v>
      </c>
      <c r="H10" s="142" t="s">
        <v>206</v>
      </c>
      <c r="I10" s="196">
        <f>4.42%-0.3%-(VLOOKUP(YEAR(G7),AE4:AI13,4,FALSE)+4.42%)*15%</f>
        <v>2.9147637142616305E-2</v>
      </c>
      <c r="J10" s="297">
        <f>$U$12*W13</f>
        <v>21715.485023497433</v>
      </c>
      <c r="K10" s="293">
        <f>$U$13*W13</f>
        <v>722.16975923674045</v>
      </c>
      <c r="L10" s="296">
        <f t="shared" si="6"/>
        <v>20993.315264260691</v>
      </c>
      <c r="M10" s="197">
        <f t="shared" si="5"/>
        <v>3844.9295355788813</v>
      </c>
      <c r="P10" s="232">
        <f>SUM(P12:P210)</f>
        <v>9.5012126887967625</v>
      </c>
      <c r="Q10" s="232">
        <f>(SUM(M:M)-M4-M5)/R1*12</f>
        <v>9.7648587641207989</v>
      </c>
      <c r="U10" s="184"/>
      <c r="X10" s="180"/>
      <c r="Y10" s="56"/>
      <c r="Z10" s="210"/>
      <c r="AE10">
        <v>2024</v>
      </c>
      <c r="AF10" s="208">
        <v>3.5000000000000003E-2</v>
      </c>
      <c r="AG10" s="208">
        <v>7.0000000000000007E-2</v>
      </c>
      <c r="AH10" s="208">
        <f t="shared" si="1"/>
        <v>3.614908571589126E-2</v>
      </c>
      <c r="AI10" s="208">
        <f t="shared" si="2"/>
        <v>6.3712882723548692E-2</v>
      </c>
      <c r="AL10">
        <v>6</v>
      </c>
      <c r="AP10">
        <f>AP9*(1+AQ9)*0.98</f>
        <v>1.1133668209577201</v>
      </c>
      <c r="AQ10" s="77"/>
    </row>
    <row r="11" spans="2:56" x14ac:dyDescent="0.25">
      <c r="B11" s="141">
        <v>1</v>
      </c>
      <c r="C11" s="204">
        <f t="shared" si="3"/>
        <v>43983</v>
      </c>
      <c r="D11" s="204">
        <f t="shared" si="4"/>
        <v>43983</v>
      </c>
      <c r="E11" s="142" t="s">
        <v>22</v>
      </c>
      <c r="F11" s="142" t="s">
        <v>225</v>
      </c>
      <c r="G11" s="204">
        <v>49444</v>
      </c>
      <c r="H11" s="142" t="s">
        <v>206</v>
      </c>
      <c r="I11" s="196">
        <f>4.49%-0.3%-(VLOOKUP(YEAR(G7),AE4:AI13,4,FALSE)+4.49%)*15%</f>
        <v>2.974263714261631E-2</v>
      </c>
      <c r="J11" s="297">
        <f>$U$12*W14</f>
        <v>9672.9561016677853</v>
      </c>
      <c r="K11" s="293">
        <f>$U$13*W14</f>
        <v>321.68364517256902</v>
      </c>
      <c r="L11" s="296">
        <f t="shared" si="6"/>
        <v>9351.2724564952168</v>
      </c>
      <c r="M11" s="197">
        <f t="shared" si="5"/>
        <v>1712.6872630943622</v>
      </c>
      <c r="O11" s="423" t="s">
        <v>212</v>
      </c>
      <c r="P11" s="424"/>
      <c r="Q11" s="425"/>
      <c r="R11" s="426"/>
      <c r="T11" s="238"/>
      <c r="V11" t="s">
        <v>508</v>
      </c>
      <c r="X11" s="180"/>
      <c r="Z11" s="210"/>
      <c r="AE11">
        <v>2025</v>
      </c>
      <c r="AF11" s="208">
        <v>3.5000000000000003E-2</v>
      </c>
      <c r="AG11" s="208">
        <v>7.0000000000000007E-2</v>
      </c>
      <c r="AH11" s="208">
        <f t="shared" si="1"/>
        <v>3.598485253968664E-2</v>
      </c>
      <c r="AI11" s="208">
        <f t="shared" si="2"/>
        <v>6.460877550617683E-2</v>
      </c>
      <c r="AL11">
        <v>7</v>
      </c>
    </row>
    <row r="12" spans="2:56" x14ac:dyDescent="0.25">
      <c r="B12" s="141">
        <v>2</v>
      </c>
      <c r="C12" s="204">
        <f t="shared" si="3"/>
        <v>44317</v>
      </c>
      <c r="D12" s="204">
        <v>44344</v>
      </c>
      <c r="E12" s="142" t="s">
        <v>22</v>
      </c>
      <c r="F12" s="142" t="s">
        <v>234</v>
      </c>
      <c r="G12" s="204">
        <v>44344</v>
      </c>
      <c r="H12" s="204" t="s">
        <v>370</v>
      </c>
      <c r="I12" s="196">
        <f>0.99*VLOOKUP(YEAR(G12),$AE$4:$AI$13,5,FALSE)-VLOOKUP(YEAR(G12),$AE$4:$AI$13,4,FALSE)</f>
        <v>1.9588633104852475E-2</v>
      </c>
      <c r="J12" s="306">
        <v>7357.24</v>
      </c>
      <c r="K12" s="332">
        <v>0</v>
      </c>
      <c r="L12" s="296">
        <f t="shared" si="6"/>
        <v>7357.24</v>
      </c>
      <c r="M12" s="197">
        <f t="shared" si="5"/>
        <v>1347.4798534798535</v>
      </c>
      <c r="O12" s="46">
        <v>43586</v>
      </c>
      <c r="P12" s="200">
        <f t="shared" ref="P12:P43" si="7">SUMIFS(M:M,C:C,O12)/$U$2*12</f>
        <v>0</v>
      </c>
      <c r="Q12" s="239"/>
      <c r="R12" s="201">
        <f>P12</f>
        <v>0</v>
      </c>
      <c r="S12" s="12"/>
      <c r="T12" s="1" t="s">
        <v>510</v>
      </c>
      <c r="U12" s="294">
        <v>41326.1</v>
      </c>
      <c r="V12" s="44">
        <v>8548.85</v>
      </c>
      <c r="W12" s="253">
        <f>V12/$V$15</f>
        <v>0.24046931297254709</v>
      </c>
      <c r="X12" s="180"/>
      <c r="Y12" s="56"/>
      <c r="Z12" s="210"/>
      <c r="AE12">
        <v>2026</v>
      </c>
      <c r="AF12" s="208">
        <v>3.5000000000000003E-2</v>
      </c>
      <c r="AG12" s="208">
        <v>7.0000000000000007E-2</v>
      </c>
      <c r="AH12" s="208">
        <f t="shared" si="1"/>
        <v>3.586169474094425E-2</v>
      </c>
      <c r="AI12" s="208">
        <f t="shared" si="2"/>
        <v>6.5281190231422315E-2</v>
      </c>
      <c r="AL12">
        <v>8</v>
      </c>
      <c r="AP12" s="181">
        <f>AP10^(1/5)-1</f>
        <v>2.1710025684059886E-2</v>
      </c>
    </row>
    <row r="13" spans="2:56" x14ac:dyDescent="0.25">
      <c r="B13" s="141">
        <v>2</v>
      </c>
      <c r="C13" s="204">
        <f t="shared" si="3"/>
        <v>44682</v>
      </c>
      <c r="D13" s="204">
        <v>44699</v>
      </c>
      <c r="E13" s="142" t="s">
        <v>22</v>
      </c>
      <c r="F13" s="142" t="s">
        <v>234</v>
      </c>
      <c r="G13" s="204">
        <v>44699</v>
      </c>
      <c r="H13" s="204" t="s">
        <v>291</v>
      </c>
      <c r="I13" s="230">
        <f>1.2*0.85*VLOOKUP(YEAR(G13),$AE$4:$AI$13,5,FALSE)-VLOOKUP(YEAR(G13),$AE$4:$AI$13,4,FALSE)</f>
        <v>2.5070747825558133E-2</v>
      </c>
      <c r="J13" s="306">
        <v>7435.33</v>
      </c>
      <c r="K13" s="332">
        <v>76.180000000000007</v>
      </c>
      <c r="L13" s="296">
        <f t="shared" si="6"/>
        <v>7359.15</v>
      </c>
      <c r="M13" s="197">
        <f t="shared" si="5"/>
        <v>1347.8296703296703</v>
      </c>
      <c r="O13" s="46">
        <v>43617</v>
      </c>
      <c r="P13" s="200">
        <f t="shared" si="7"/>
        <v>0</v>
      </c>
      <c r="Q13" s="239">
        <f>Q12-R12+P13</f>
        <v>0</v>
      </c>
      <c r="R13" s="201">
        <f>IF(Q13&gt;1,1,Q13)</f>
        <v>0</v>
      </c>
      <c r="S13" s="12"/>
      <c r="T13" s="1" t="s">
        <v>331</v>
      </c>
      <c r="U13" s="294">
        <v>1374.34</v>
      </c>
      <c r="V13" s="44">
        <v>18680.7</v>
      </c>
      <c r="W13" s="253">
        <f t="shared" ref="W13:W14" si="8">V13/$V$15</f>
        <v>0.52546659431926634</v>
      </c>
      <c r="X13" s="180"/>
      <c r="Y13" s="56"/>
      <c r="Z13" s="210"/>
      <c r="AE13">
        <v>2027</v>
      </c>
      <c r="AF13" s="208">
        <v>3.5000000000000003E-2</v>
      </c>
      <c r="AG13" s="208">
        <v>7.0000000000000007E-2</v>
      </c>
      <c r="AH13" s="208">
        <f t="shared" si="1"/>
        <v>3.5765915464177178E-2</v>
      </c>
      <c r="AI13" s="208">
        <f t="shared" si="2"/>
        <v>6.5804473069626113E-2</v>
      </c>
      <c r="AL13">
        <v>9</v>
      </c>
    </row>
    <row r="14" spans="2:56" x14ac:dyDescent="0.25">
      <c r="B14" s="141">
        <v>2</v>
      </c>
      <c r="C14" s="204">
        <f t="shared" si="3"/>
        <v>45047</v>
      </c>
      <c r="D14" s="204">
        <v>45061</v>
      </c>
      <c r="E14" s="142" t="s">
        <v>22</v>
      </c>
      <c r="F14" s="142" t="s">
        <v>234</v>
      </c>
      <c r="G14" s="204">
        <v>45061</v>
      </c>
      <c r="H14" s="204" t="s">
        <v>290</v>
      </c>
      <c r="I14" s="230">
        <f>1.26*0.85*VLOOKUP(YEAR(G14),$AE$4:$AI$13,5,FALSE)-VLOOKUP(YEAR(G14),$AE$4:$AI$13,4,FALSE)</f>
        <v>3.0515496206123191E-2</v>
      </c>
      <c r="J14" s="306">
        <v>5326.99</v>
      </c>
      <c r="K14" s="332">
        <v>57.22</v>
      </c>
      <c r="L14" s="296">
        <f t="shared" si="6"/>
        <v>5269.7699999999995</v>
      </c>
      <c r="M14" s="197">
        <f t="shared" si="5"/>
        <v>965.15934065934061</v>
      </c>
      <c r="O14" s="46">
        <v>43647</v>
      </c>
      <c r="P14" s="200">
        <f t="shared" si="7"/>
        <v>0</v>
      </c>
      <c r="Q14" s="239">
        <f t="shared" ref="Q14:Q77" si="9">Q13-R13+P14</f>
        <v>0</v>
      </c>
      <c r="R14" s="201">
        <f>IF(Q14&gt;1,1,Q14)</f>
        <v>0</v>
      </c>
      <c r="V14" s="44">
        <v>8321.14</v>
      </c>
      <c r="W14" s="253">
        <f t="shared" si="8"/>
        <v>0.23406409270818651</v>
      </c>
      <c r="X14" s="180"/>
      <c r="Y14" s="56"/>
      <c r="Z14" s="210"/>
    </row>
    <row r="15" spans="2:56" x14ac:dyDescent="0.25">
      <c r="B15" s="141">
        <v>2</v>
      </c>
      <c r="C15" s="204">
        <f t="shared" si="3"/>
        <v>45139</v>
      </c>
      <c r="D15" s="204">
        <v>45146</v>
      </c>
      <c r="E15" s="142" t="s">
        <v>22</v>
      </c>
      <c r="F15" s="142" t="s">
        <v>225</v>
      </c>
      <c r="G15" s="204">
        <v>45146</v>
      </c>
      <c r="H15" s="204" t="s">
        <v>492</v>
      </c>
      <c r="I15" s="230">
        <v>2.75E-2</v>
      </c>
      <c r="J15" s="306">
        <v>6280.88</v>
      </c>
      <c r="K15" s="332">
        <v>0</v>
      </c>
      <c r="L15" s="296">
        <f t="shared" si="6"/>
        <v>6280.88</v>
      </c>
      <c r="M15" s="197">
        <f t="shared" si="5"/>
        <v>1150.3443223443223</v>
      </c>
      <c r="O15" s="46">
        <v>43678</v>
      </c>
      <c r="P15" s="200">
        <f t="shared" si="7"/>
        <v>0</v>
      </c>
      <c r="Q15" s="239">
        <f t="shared" si="9"/>
        <v>0</v>
      </c>
      <c r="R15" s="201">
        <f>IF(Q15&gt;1,1,Q15)</f>
        <v>0</v>
      </c>
      <c r="U15" s="184"/>
      <c r="V15" s="62">
        <f>SUM(V12:V14)</f>
        <v>35550.69</v>
      </c>
      <c r="X15" s="180"/>
      <c r="Y15" s="56"/>
      <c r="Z15" s="210"/>
      <c r="AE15" t="s">
        <v>328</v>
      </c>
      <c r="AN15" t="s">
        <v>333</v>
      </c>
      <c r="AW15" t="s">
        <v>335</v>
      </c>
    </row>
    <row r="16" spans="2:56" x14ac:dyDescent="0.25">
      <c r="B16" s="141">
        <v>2</v>
      </c>
      <c r="C16" s="204">
        <f t="shared" si="3"/>
        <v>44409</v>
      </c>
      <c r="D16" s="204">
        <v>44435</v>
      </c>
      <c r="E16" s="142" t="s">
        <v>22</v>
      </c>
      <c r="F16" s="142" t="s">
        <v>9</v>
      </c>
      <c r="G16" s="204">
        <v>44435</v>
      </c>
      <c r="H16" s="204" t="s">
        <v>334</v>
      </c>
      <c r="I16" s="230">
        <f>7.85%*(1-15%)-VLOOKUP(YEAR(AY22),$AE$4:$AI$13,4,TRUE)</f>
        <v>2.9425552821374337E-2</v>
      </c>
      <c r="J16" s="306">
        <v>4270.2299999999996</v>
      </c>
      <c r="K16" s="332">
        <v>54.05</v>
      </c>
      <c r="L16" s="296">
        <f t="shared" si="6"/>
        <v>4216.1799999999994</v>
      </c>
      <c r="M16" s="197">
        <f t="shared" si="5"/>
        <v>772.1941391941391</v>
      </c>
      <c r="O16" s="46">
        <v>43709</v>
      </c>
      <c r="P16" s="200">
        <f t="shared" si="7"/>
        <v>0</v>
      </c>
      <c r="Q16" s="239">
        <f t="shared" si="9"/>
        <v>0</v>
      </c>
      <c r="R16" s="201">
        <f t="shared" ref="R16:R79" si="10">IF(Q16&gt;1,1,Q16)</f>
        <v>0</v>
      </c>
      <c r="U16" s="184"/>
      <c r="X16" s="180"/>
      <c r="Z16" s="210"/>
      <c r="AE16" s="187" t="s">
        <v>207</v>
      </c>
      <c r="AF16" s="240" t="s">
        <v>329</v>
      </c>
      <c r="AG16" s="240" t="s">
        <v>332</v>
      </c>
      <c r="AH16" s="240" t="s">
        <v>330</v>
      </c>
      <c r="AI16" s="240" t="s">
        <v>331</v>
      </c>
      <c r="AJ16" s="1" t="s">
        <v>234</v>
      </c>
      <c r="AK16" s="1" t="s">
        <v>225</v>
      </c>
      <c r="AL16" s="1" t="s">
        <v>25</v>
      </c>
      <c r="AN16" s="187" t="s">
        <v>207</v>
      </c>
      <c r="AO16" s="240" t="s">
        <v>329</v>
      </c>
      <c r="AP16" s="240" t="s">
        <v>332</v>
      </c>
      <c r="AQ16" s="240" t="s">
        <v>330</v>
      </c>
      <c r="AR16" s="240" t="s">
        <v>331</v>
      </c>
      <c r="AS16" s="1" t="s">
        <v>234</v>
      </c>
      <c r="AT16" s="1" t="s">
        <v>225</v>
      </c>
      <c r="AU16" s="1" t="s">
        <v>25</v>
      </c>
      <c r="AW16" s="187" t="s">
        <v>207</v>
      </c>
      <c r="AX16" s="240" t="s">
        <v>329</v>
      </c>
      <c r="AY16" s="240" t="s">
        <v>332</v>
      </c>
      <c r="AZ16" s="240" t="s">
        <v>330</v>
      </c>
      <c r="BA16" s="240" t="s">
        <v>331</v>
      </c>
      <c r="BB16" s="1" t="s">
        <v>234</v>
      </c>
      <c r="BC16" s="1" t="s">
        <v>225</v>
      </c>
      <c r="BD16" s="1" t="s">
        <v>25</v>
      </c>
    </row>
    <row r="17" spans="2:56" x14ac:dyDescent="0.25">
      <c r="B17" s="141">
        <v>2</v>
      </c>
      <c r="C17" s="204">
        <f t="shared" si="3"/>
        <v>44805</v>
      </c>
      <c r="D17" s="205">
        <v>44806</v>
      </c>
      <c r="E17" s="142" t="s">
        <v>22</v>
      </c>
      <c r="F17" s="142" t="s">
        <v>225</v>
      </c>
      <c r="G17" s="205">
        <v>44806</v>
      </c>
      <c r="H17" s="142" t="s">
        <v>497</v>
      </c>
      <c r="I17" s="144">
        <v>2.7E-2</v>
      </c>
      <c r="J17" s="306">
        <v>5220.6400000000003</v>
      </c>
      <c r="K17" s="332">
        <v>0</v>
      </c>
      <c r="L17" s="296">
        <f t="shared" si="6"/>
        <v>5220.6400000000003</v>
      </c>
      <c r="M17" s="197">
        <f t="shared" si="5"/>
        <v>956.1611721611722</v>
      </c>
      <c r="O17" s="46">
        <v>43739</v>
      </c>
      <c r="P17" s="200">
        <f t="shared" si="7"/>
        <v>0</v>
      </c>
      <c r="Q17" s="239">
        <f t="shared" si="9"/>
        <v>0</v>
      </c>
      <c r="R17" s="201">
        <f t="shared" si="10"/>
        <v>0</v>
      </c>
      <c r="U17" s="184"/>
      <c r="X17" s="180"/>
      <c r="Z17" s="210"/>
      <c r="AE17" t="s">
        <v>498</v>
      </c>
      <c r="AF17">
        <v>1000</v>
      </c>
      <c r="AG17" s="242">
        <v>44431</v>
      </c>
      <c r="AH17" s="77">
        <v>1.01</v>
      </c>
      <c r="AI17" s="208">
        <v>0</v>
      </c>
      <c r="AJ17" s="208">
        <f t="shared" ref="AJ17:AJ56" si="11">VLOOKUP(YEAR(AG17),$AE$4:$AI$13,5,TRUE)</f>
        <v>5.7462707357048615E-2</v>
      </c>
      <c r="AK17" s="208">
        <f t="shared" ref="AK17:AK56" si="12">VLOOKUP(YEAR(AG17),$AE$4:$AI$13,4,TRUE)</f>
        <v>3.7299447178625655E-2</v>
      </c>
      <c r="AL17" s="241">
        <f t="shared" ref="AL17:AL56" si="13">AH17*AJ17*(1-AI17)-AK17</f>
        <v>2.0737887251993443E-2</v>
      </c>
      <c r="AN17" t="s">
        <v>497</v>
      </c>
      <c r="AO17">
        <v>1000</v>
      </c>
      <c r="AP17" s="50">
        <v>45171</v>
      </c>
      <c r="AQ17" s="185">
        <v>2.9000000000000001E-2</v>
      </c>
      <c r="AR17" s="77">
        <v>0</v>
      </c>
      <c r="AS17" s="185">
        <f t="shared" ref="AS17:AS23" si="14">VLOOKUP(YEAR(AP17),$AE$4:$AI$13,5,TRUE)</f>
        <v>6.2459899261916529E-2</v>
      </c>
      <c r="AT17" s="185">
        <f t="shared" ref="AT17:AT23" si="15">VLOOKUP(YEAR(AP17),$AE$4:$AI$13,4,TRUE)</f>
        <v>3.6379055903389412E-2</v>
      </c>
      <c r="AU17" s="241">
        <f t="shared" ref="AU17:AU23" si="16">(AT17+AQ17)*(1-AR17)-AT17</f>
        <v>2.8999999999999998E-2</v>
      </c>
      <c r="AW17" t="s">
        <v>334</v>
      </c>
      <c r="AX17">
        <v>1000</v>
      </c>
      <c r="AY17" s="50">
        <v>45510</v>
      </c>
      <c r="AZ17" s="185">
        <v>0.09</v>
      </c>
      <c r="BA17" s="77">
        <v>0.15</v>
      </c>
      <c r="BB17" s="285">
        <f t="shared" ref="BB17:BB25" si="17">VLOOKUP(YEAR(AY17),$AE$4:$AI$13,5,TRUE)</f>
        <v>6.3712882723548692E-2</v>
      </c>
      <c r="BC17" s="285">
        <f>VLOOKUP(YEAR(AY17),$AE$4:$AI$13,4,TRUE)</f>
        <v>3.614908571589126E-2</v>
      </c>
      <c r="BD17" s="286">
        <f t="shared" ref="BD17:BD25" si="18">(AZ17)*(1-BA17)-BC17</f>
        <v>4.0350914284108738E-2</v>
      </c>
    </row>
    <row r="18" spans="2:56" x14ac:dyDescent="0.25">
      <c r="B18" s="141">
        <v>2</v>
      </c>
      <c r="C18" s="204">
        <f t="shared" si="3"/>
        <v>45566</v>
      </c>
      <c r="D18" s="204">
        <v>45574</v>
      </c>
      <c r="E18" s="142" t="s">
        <v>22</v>
      </c>
      <c r="F18" s="142"/>
      <c r="G18" s="204">
        <v>45574</v>
      </c>
      <c r="H18" s="307" t="s">
        <v>523</v>
      </c>
      <c r="I18" s="144">
        <f>1.28*0.85*VLOOKUP(YEAR(G14),$AE$4:$AI$13,5,FALSE)-VLOOKUP(YEAR(G14),$AE$4:$AI$13,4,FALSE)</f>
        <v>3.1577314493575773E-2</v>
      </c>
      <c r="J18" s="306">
        <v>4132.1400000000003</v>
      </c>
      <c r="K18" s="332">
        <v>26.43</v>
      </c>
      <c r="L18" s="296">
        <f t="shared" si="6"/>
        <v>4105.71</v>
      </c>
      <c r="M18" s="197">
        <f t="shared" si="5"/>
        <v>751.96153846153845</v>
      </c>
      <c r="O18" s="46">
        <v>43770</v>
      </c>
      <c r="P18" s="200">
        <f t="shared" si="7"/>
        <v>0</v>
      </c>
      <c r="Q18" s="239">
        <f t="shared" si="9"/>
        <v>0</v>
      </c>
      <c r="R18" s="201">
        <f t="shared" si="10"/>
        <v>0</v>
      </c>
      <c r="U18" s="184"/>
      <c r="X18" s="180"/>
      <c r="Z18" s="210"/>
      <c r="AE18" t="s">
        <v>497</v>
      </c>
      <c r="AF18" s="1">
        <v>1000</v>
      </c>
      <c r="AG18" s="242">
        <v>45171</v>
      </c>
      <c r="AH18" s="78">
        <v>1</v>
      </c>
      <c r="AI18" s="208">
        <v>0</v>
      </c>
      <c r="AJ18" s="208">
        <f t="shared" si="11"/>
        <v>6.2459899261916529E-2</v>
      </c>
      <c r="AK18" s="208">
        <f t="shared" si="12"/>
        <v>3.6379055903389412E-2</v>
      </c>
      <c r="AL18" s="241">
        <f t="shared" si="13"/>
        <v>2.6080843358527117E-2</v>
      </c>
      <c r="AN18" s="186" t="s">
        <v>497</v>
      </c>
      <c r="AO18" s="186">
        <v>1000</v>
      </c>
      <c r="AP18" s="287">
        <v>44806</v>
      </c>
      <c r="AQ18" s="288">
        <v>2.7E-2</v>
      </c>
      <c r="AR18" s="289">
        <v>0</v>
      </c>
      <c r="AS18" s="288">
        <f t="shared" si="14"/>
        <v>6.0583190898014561E-2</v>
      </c>
      <c r="AT18" s="288">
        <f t="shared" si="15"/>
        <v>3.6724106890416719E-2</v>
      </c>
      <c r="AU18" s="290">
        <f t="shared" si="16"/>
        <v>2.6999999999999996E-2</v>
      </c>
      <c r="AW18" t="s">
        <v>334</v>
      </c>
      <c r="AX18">
        <v>1000</v>
      </c>
      <c r="AY18" s="50">
        <v>45152</v>
      </c>
      <c r="AZ18" s="185">
        <v>8.7999999999999995E-2</v>
      </c>
      <c r="BA18" s="77">
        <v>0.15</v>
      </c>
      <c r="BB18">
        <f t="shared" si="17"/>
        <v>6.2459899261916529E-2</v>
      </c>
      <c r="BC18">
        <f t="shared" ref="BC18:BC25" si="19">VLOOKUP(YEAR(AY18),$AE$4:$AI$13,4,TRUE)</f>
        <v>3.6379055903389412E-2</v>
      </c>
      <c r="BD18" s="241">
        <f t="shared" si="18"/>
        <v>3.8420944096610579E-2</v>
      </c>
    </row>
    <row r="19" spans="2:56" x14ac:dyDescent="0.25">
      <c r="B19" s="141"/>
      <c r="C19" s="235"/>
      <c r="D19" s="204">
        <f>$U$1</f>
        <v>43983</v>
      </c>
      <c r="E19" s="142" t="s">
        <v>21</v>
      </c>
      <c r="F19" s="142"/>
      <c r="G19" s="204"/>
      <c r="H19" s="142" t="s">
        <v>594</v>
      </c>
      <c r="I19" s="196"/>
      <c r="J19" s="306">
        <v>3639.72</v>
      </c>
      <c r="K19" s="332">
        <v>0</v>
      </c>
      <c r="L19" s="296">
        <f t="shared" si="6"/>
        <v>3639.72</v>
      </c>
      <c r="M19" s="197">
        <f t="shared" si="5"/>
        <v>3639.72</v>
      </c>
      <c r="O19" s="46">
        <v>43800</v>
      </c>
      <c r="P19" s="200">
        <f t="shared" si="7"/>
        <v>0</v>
      </c>
      <c r="Q19" s="239">
        <f t="shared" si="9"/>
        <v>0</v>
      </c>
      <c r="R19" s="201">
        <f t="shared" si="10"/>
        <v>0</v>
      </c>
      <c r="U19" s="184"/>
      <c r="X19" s="180"/>
      <c r="Z19" s="210"/>
      <c r="AE19" t="s">
        <v>498</v>
      </c>
      <c r="AF19">
        <v>1000</v>
      </c>
      <c r="AG19" s="242">
        <v>43920</v>
      </c>
      <c r="AH19" s="78">
        <v>1</v>
      </c>
      <c r="AI19" s="208">
        <v>0</v>
      </c>
      <c r="AJ19" s="208">
        <f t="shared" si="11"/>
        <v>5.1249256836836121E-2</v>
      </c>
      <c r="AK19" s="208">
        <f t="shared" si="12"/>
        <v>3.7199185306274751E-2</v>
      </c>
      <c r="AL19" s="241">
        <f t="shared" si="13"/>
        <v>1.405007153056137E-2</v>
      </c>
      <c r="AN19" t="s">
        <v>336</v>
      </c>
      <c r="AO19">
        <v>5000</v>
      </c>
      <c r="AP19" s="50">
        <v>45511</v>
      </c>
      <c r="AQ19" s="185">
        <v>3.73E-2</v>
      </c>
      <c r="AR19" s="77">
        <v>0.15</v>
      </c>
      <c r="AS19" s="185">
        <f t="shared" si="14"/>
        <v>6.3712882723548692E-2</v>
      </c>
      <c r="AT19" s="185">
        <f t="shared" si="15"/>
        <v>3.614908571589126E-2</v>
      </c>
      <c r="AU19" s="243">
        <f t="shared" si="16"/>
        <v>2.6282637142616312E-2</v>
      </c>
      <c r="AW19" t="s">
        <v>334</v>
      </c>
      <c r="AX19">
        <v>1000</v>
      </c>
      <c r="AY19" s="50">
        <v>44790</v>
      </c>
      <c r="AZ19" s="185">
        <v>8.2500000000000004E-2</v>
      </c>
      <c r="BA19" s="77">
        <v>0.15</v>
      </c>
      <c r="BB19">
        <f t="shared" si="17"/>
        <v>6.0583190898014561E-2</v>
      </c>
      <c r="BC19">
        <f t="shared" si="19"/>
        <v>3.6724106890416719E-2</v>
      </c>
      <c r="BD19" s="241">
        <f t="shared" si="18"/>
        <v>3.3400893109583288E-2</v>
      </c>
    </row>
    <row r="20" spans="2:56" x14ac:dyDescent="0.25">
      <c r="B20" s="141"/>
      <c r="C20" s="235"/>
      <c r="D20" s="142"/>
      <c r="E20" s="142"/>
      <c r="F20" s="142"/>
      <c r="G20" s="204"/>
      <c r="H20" s="142"/>
      <c r="I20" s="196"/>
      <c r="J20" s="142"/>
      <c r="K20" s="302"/>
      <c r="L20" s="302"/>
      <c r="M20" s="143"/>
      <c r="O20" s="46">
        <v>43831</v>
      </c>
      <c r="P20" s="200">
        <f t="shared" si="7"/>
        <v>0</v>
      </c>
      <c r="Q20" s="239">
        <f t="shared" si="9"/>
        <v>0</v>
      </c>
      <c r="R20" s="201">
        <f t="shared" si="10"/>
        <v>0</v>
      </c>
      <c r="U20" s="184"/>
      <c r="X20" s="180"/>
      <c r="Z20" s="210"/>
      <c r="AE20" t="s">
        <v>334</v>
      </c>
      <c r="AF20">
        <v>1000</v>
      </c>
      <c r="AG20" s="242">
        <v>44435</v>
      </c>
      <c r="AH20" s="77">
        <v>1.2</v>
      </c>
      <c r="AI20" s="77">
        <v>0.15</v>
      </c>
      <c r="AJ20" s="208">
        <f t="shared" si="11"/>
        <v>5.7462707357048615E-2</v>
      </c>
      <c r="AK20" s="208">
        <f t="shared" si="12"/>
        <v>3.7299447178625655E-2</v>
      </c>
      <c r="AL20" s="241">
        <f t="shared" si="13"/>
        <v>2.1312514325563935E-2</v>
      </c>
      <c r="AN20" t="s">
        <v>336</v>
      </c>
      <c r="AO20">
        <v>5000</v>
      </c>
      <c r="AP20" s="50">
        <v>45151</v>
      </c>
      <c r="AQ20" s="185">
        <v>3.3799999999999997E-2</v>
      </c>
      <c r="AR20" s="77">
        <v>0.15</v>
      </c>
      <c r="AS20" s="185">
        <f t="shared" si="14"/>
        <v>6.2459899261916529E-2</v>
      </c>
      <c r="AT20" s="185">
        <f t="shared" si="15"/>
        <v>3.6379055903389412E-2</v>
      </c>
      <c r="AU20" s="241">
        <f t="shared" si="16"/>
        <v>2.3273141614491587E-2</v>
      </c>
      <c r="AW20" t="s">
        <v>499</v>
      </c>
      <c r="AX20">
        <v>2000</v>
      </c>
      <c r="AY20" s="50">
        <v>45510</v>
      </c>
      <c r="AZ20" s="185">
        <v>8.14E-2</v>
      </c>
      <c r="BA20" s="77">
        <v>0.15</v>
      </c>
      <c r="BB20">
        <f t="shared" si="17"/>
        <v>6.3712882723548692E-2</v>
      </c>
      <c r="BC20">
        <f t="shared" si="19"/>
        <v>3.614908571589126E-2</v>
      </c>
      <c r="BD20" s="241">
        <f t="shared" si="18"/>
        <v>3.3040914284108741E-2</v>
      </c>
    </row>
    <row r="21" spans="2:56" x14ac:dyDescent="0.25">
      <c r="B21" s="141"/>
      <c r="C21" s="235"/>
      <c r="D21" s="142"/>
      <c r="E21" s="142"/>
      <c r="F21" s="142"/>
      <c r="G21" s="204"/>
      <c r="H21" s="142"/>
      <c r="I21" s="196"/>
      <c r="J21" s="142"/>
      <c r="K21" s="302"/>
      <c r="L21" s="302"/>
      <c r="M21" s="143"/>
      <c r="O21" s="46">
        <v>43862</v>
      </c>
      <c r="P21" s="200">
        <f t="shared" si="7"/>
        <v>0</v>
      </c>
      <c r="Q21" s="239">
        <f t="shared" si="9"/>
        <v>0</v>
      </c>
      <c r="R21" s="201">
        <f t="shared" si="10"/>
        <v>0</v>
      </c>
      <c r="U21" s="184"/>
      <c r="X21" s="209"/>
      <c r="Z21" s="181"/>
      <c r="AG21" s="242"/>
      <c r="AH21" s="77"/>
      <c r="AI21" s="77"/>
      <c r="AJ21" s="208" t="e">
        <f t="shared" si="11"/>
        <v>#N/A</v>
      </c>
      <c r="AK21" s="208" t="e">
        <f t="shared" si="12"/>
        <v>#N/A</v>
      </c>
      <c r="AL21" s="241" t="e">
        <f t="shared" si="13"/>
        <v>#N/A</v>
      </c>
      <c r="AN21" t="s">
        <v>502</v>
      </c>
      <c r="AO21">
        <v>1000</v>
      </c>
      <c r="AP21" s="50">
        <v>45171</v>
      </c>
      <c r="AQ21" s="77">
        <v>3.3000000000000002E-2</v>
      </c>
      <c r="AR21" s="77">
        <v>0.15</v>
      </c>
      <c r="AS21" s="185">
        <f t="shared" si="14"/>
        <v>6.2459899261916529E-2</v>
      </c>
      <c r="AT21" s="185">
        <f t="shared" si="15"/>
        <v>3.6379055903389412E-2</v>
      </c>
      <c r="AU21" s="241">
        <f t="shared" si="16"/>
        <v>2.2593141614491587E-2</v>
      </c>
      <c r="AW21" t="s">
        <v>500</v>
      </c>
      <c r="AX21">
        <v>2000</v>
      </c>
      <c r="AY21" s="50">
        <v>45152</v>
      </c>
      <c r="AZ21" s="185">
        <v>7.8600000000000003E-2</v>
      </c>
      <c r="BA21" s="77">
        <v>0.15</v>
      </c>
      <c r="BB21">
        <f t="shared" si="17"/>
        <v>6.2459899261916529E-2</v>
      </c>
      <c r="BC21">
        <f t="shared" si="19"/>
        <v>3.6379055903389412E-2</v>
      </c>
      <c r="BD21" s="241">
        <f t="shared" si="18"/>
        <v>3.0430944096610582E-2</v>
      </c>
    </row>
    <row r="22" spans="2:56" x14ac:dyDescent="0.25">
      <c r="B22" s="146"/>
      <c r="C22" s="236"/>
      <c r="D22" s="198"/>
      <c r="E22" s="198"/>
      <c r="F22" s="198"/>
      <c r="G22" s="205"/>
      <c r="H22" s="198"/>
      <c r="I22" s="198"/>
      <c r="J22" s="142"/>
      <c r="K22" s="302"/>
      <c r="L22" s="302"/>
      <c r="M22" s="143"/>
      <c r="O22" s="46">
        <v>43891</v>
      </c>
      <c r="P22" s="200">
        <f t="shared" si="7"/>
        <v>0</v>
      </c>
      <c r="Q22" s="239">
        <f t="shared" si="9"/>
        <v>0</v>
      </c>
      <c r="R22" s="201">
        <f t="shared" si="10"/>
        <v>0</v>
      </c>
      <c r="U22" s="184"/>
      <c r="X22" s="209"/>
      <c r="Z22" s="181"/>
      <c r="AG22" s="50"/>
      <c r="AH22" s="77"/>
      <c r="AI22" s="77"/>
      <c r="AJ22" s="208" t="e">
        <f t="shared" si="11"/>
        <v>#N/A</v>
      </c>
      <c r="AK22" s="208" t="e">
        <f t="shared" si="12"/>
        <v>#N/A</v>
      </c>
      <c r="AL22" s="241" t="e">
        <f t="shared" si="13"/>
        <v>#N/A</v>
      </c>
      <c r="AN22" t="s">
        <v>334</v>
      </c>
      <c r="AO22">
        <v>1000</v>
      </c>
      <c r="AP22" s="242">
        <v>44806</v>
      </c>
      <c r="AQ22" s="185">
        <v>3.2000000000000001E-2</v>
      </c>
      <c r="AR22" s="77">
        <v>0.15</v>
      </c>
      <c r="AS22" s="185">
        <f t="shared" si="14"/>
        <v>6.0583190898014561E-2</v>
      </c>
      <c r="AT22" s="185">
        <f t="shared" si="15"/>
        <v>3.6724106890416719E-2</v>
      </c>
      <c r="AU22" s="241">
        <f t="shared" si="16"/>
        <v>2.1691383966437494E-2</v>
      </c>
      <c r="AW22" s="186" t="s">
        <v>334</v>
      </c>
      <c r="AX22" s="186">
        <v>1000</v>
      </c>
      <c r="AY22" s="287">
        <v>44435</v>
      </c>
      <c r="AZ22" s="288">
        <v>7.85E-2</v>
      </c>
      <c r="BA22" s="289">
        <v>0.15</v>
      </c>
      <c r="BB22" s="186">
        <f t="shared" si="17"/>
        <v>5.7462707357048615E-2</v>
      </c>
      <c r="BC22" s="186">
        <f>VLOOKUP(YEAR(AY22),$AE$4:$AI$13,4,TRUE)</f>
        <v>3.7299447178625655E-2</v>
      </c>
      <c r="BD22" s="290">
        <f>(AZ22)*(1-BA22)-BC22</f>
        <v>2.9425552821374337E-2</v>
      </c>
    </row>
    <row r="23" spans="2:56" x14ac:dyDescent="0.25">
      <c r="B23" s="146"/>
      <c r="C23" s="236"/>
      <c r="D23" s="198"/>
      <c r="E23" s="198"/>
      <c r="F23" s="198"/>
      <c r="G23" s="205"/>
      <c r="H23" s="198"/>
      <c r="I23" s="198"/>
      <c r="J23" s="142"/>
      <c r="K23" s="302"/>
      <c r="L23" s="302"/>
      <c r="M23" s="143"/>
      <c r="O23" s="46">
        <v>43922</v>
      </c>
      <c r="P23" s="200">
        <f t="shared" si="7"/>
        <v>0</v>
      </c>
      <c r="Q23" s="239">
        <f t="shared" si="9"/>
        <v>0</v>
      </c>
      <c r="R23" s="201">
        <f t="shared" si="10"/>
        <v>0</v>
      </c>
      <c r="U23" s="184"/>
      <c r="X23" s="209"/>
      <c r="Z23" s="181"/>
      <c r="AG23" s="242"/>
      <c r="AH23" s="77"/>
      <c r="AI23" s="77"/>
      <c r="AJ23" s="208" t="e">
        <f t="shared" si="11"/>
        <v>#N/A</v>
      </c>
      <c r="AK23" s="208" t="e">
        <f t="shared" si="12"/>
        <v>#N/A</v>
      </c>
      <c r="AL23" s="241" t="e">
        <f t="shared" si="13"/>
        <v>#N/A</v>
      </c>
      <c r="AN23" t="s">
        <v>336</v>
      </c>
      <c r="AO23">
        <v>5000</v>
      </c>
      <c r="AP23" s="50">
        <v>44971</v>
      </c>
      <c r="AQ23" s="185">
        <v>3.1800000000000002E-2</v>
      </c>
      <c r="AR23" s="77">
        <v>0.15</v>
      </c>
      <c r="AS23" s="185">
        <f t="shared" si="14"/>
        <v>6.2459899261916529E-2</v>
      </c>
      <c r="AT23" s="185">
        <f t="shared" si="15"/>
        <v>3.6379055903389412E-2</v>
      </c>
      <c r="AU23" s="241">
        <f t="shared" si="16"/>
        <v>2.157314161449158E-2</v>
      </c>
      <c r="AW23" t="s">
        <v>336</v>
      </c>
      <c r="AX23">
        <v>5000</v>
      </c>
      <c r="AY23" s="50">
        <v>44971</v>
      </c>
      <c r="AZ23" s="185">
        <v>7.17E-2</v>
      </c>
      <c r="BA23" s="77">
        <v>0.15</v>
      </c>
      <c r="BB23">
        <f t="shared" si="17"/>
        <v>6.2459899261916529E-2</v>
      </c>
      <c r="BC23">
        <f t="shared" si="19"/>
        <v>3.6379055903389412E-2</v>
      </c>
      <c r="BD23" s="241">
        <f t="shared" si="18"/>
        <v>2.4565944096610587E-2</v>
      </c>
    </row>
    <row r="24" spans="2:56" x14ac:dyDescent="0.25">
      <c r="B24" s="146"/>
      <c r="C24" s="236"/>
      <c r="D24" s="198"/>
      <c r="E24" s="198"/>
      <c r="F24" s="198"/>
      <c r="G24" s="205"/>
      <c r="H24" s="198"/>
      <c r="I24" s="198"/>
      <c r="J24" s="142"/>
      <c r="K24" s="302"/>
      <c r="L24" s="302"/>
      <c r="M24" s="143"/>
      <c r="O24" s="46">
        <v>43952</v>
      </c>
      <c r="P24" s="200">
        <f t="shared" si="7"/>
        <v>0</v>
      </c>
      <c r="Q24" s="239">
        <f t="shared" si="9"/>
        <v>0</v>
      </c>
      <c r="R24" s="201">
        <f t="shared" si="10"/>
        <v>0</v>
      </c>
      <c r="U24" s="184"/>
      <c r="X24" s="209"/>
      <c r="Z24" s="181"/>
      <c r="AG24" s="50"/>
      <c r="AH24" s="77"/>
      <c r="AI24" s="77"/>
      <c r="AJ24" s="208" t="e">
        <f t="shared" si="11"/>
        <v>#N/A</v>
      </c>
      <c r="AK24" s="208" t="e">
        <f t="shared" si="12"/>
        <v>#N/A</v>
      </c>
      <c r="AL24" s="241" t="e">
        <f t="shared" si="13"/>
        <v>#N/A</v>
      </c>
      <c r="AN24" t="s">
        <v>501</v>
      </c>
      <c r="AO24">
        <v>5000</v>
      </c>
      <c r="AP24" s="50">
        <v>44791</v>
      </c>
      <c r="AQ24" s="185">
        <v>3.1600000000000003E-2</v>
      </c>
      <c r="AR24" s="77">
        <v>0.15</v>
      </c>
      <c r="AS24" s="185">
        <f t="shared" ref="AS24:AS27" si="20">VLOOKUP(YEAR(AP24),$AE$4:$AI$13,5,TRUE)</f>
        <v>6.0583190898014561E-2</v>
      </c>
      <c r="AT24" s="185">
        <f t="shared" ref="AT24:AT27" si="21">VLOOKUP(YEAR(AP24),$AE$4:$AI$13,4,TRUE)</f>
        <v>3.6724106890416719E-2</v>
      </c>
      <c r="AU24" s="241">
        <f t="shared" ref="AU24:AU27" si="22">(AT24+AQ24)*(1-AR24)-AT24</f>
        <v>2.1351383966437494E-2</v>
      </c>
      <c r="AW24" t="s">
        <v>334</v>
      </c>
      <c r="AX24">
        <v>1000</v>
      </c>
      <c r="AY24" s="50">
        <v>44075</v>
      </c>
      <c r="AZ24" s="185">
        <v>7.1499999999999994E-2</v>
      </c>
      <c r="BA24" s="77">
        <v>0.17499999999999999</v>
      </c>
      <c r="BB24">
        <f t="shared" si="17"/>
        <v>5.1249256836836121E-2</v>
      </c>
      <c r="BC24">
        <f t="shared" si="19"/>
        <v>3.7199185306274751E-2</v>
      </c>
      <c r="BD24" s="241">
        <f t="shared" si="18"/>
        <v>2.178831469372524E-2</v>
      </c>
    </row>
    <row r="25" spans="2:56" ht="15.75" thickBot="1" x14ac:dyDescent="0.3">
      <c r="B25" s="148"/>
      <c r="C25" s="237"/>
      <c r="D25" s="199"/>
      <c r="E25" s="199"/>
      <c r="F25" s="199"/>
      <c r="G25" s="206"/>
      <c r="H25" s="199"/>
      <c r="I25" s="199"/>
      <c r="J25" s="149"/>
      <c r="K25" s="303"/>
      <c r="L25" s="303"/>
      <c r="M25" s="304"/>
      <c r="O25" s="46">
        <v>43983</v>
      </c>
      <c r="P25" s="200">
        <f t="shared" si="7"/>
        <v>7.32486315477977</v>
      </c>
      <c r="Q25" s="239">
        <f t="shared" si="9"/>
        <v>7.32486315477977</v>
      </c>
      <c r="R25" s="201">
        <f t="shared" si="10"/>
        <v>1</v>
      </c>
      <c r="U25" s="184"/>
      <c r="X25" s="209"/>
      <c r="Z25" s="181"/>
      <c r="AG25" s="50"/>
      <c r="AH25" s="77"/>
      <c r="AI25" s="77"/>
      <c r="AJ25" s="208" t="e">
        <f t="shared" si="11"/>
        <v>#N/A</v>
      </c>
      <c r="AK25" s="208" t="e">
        <f t="shared" si="12"/>
        <v>#N/A</v>
      </c>
      <c r="AL25" s="241" t="e">
        <f t="shared" si="13"/>
        <v>#N/A</v>
      </c>
      <c r="AN25" t="s">
        <v>503</v>
      </c>
      <c r="AO25">
        <v>5000</v>
      </c>
      <c r="AP25" s="50">
        <v>44791</v>
      </c>
      <c r="AQ25" s="185">
        <v>3.0499999999999999E-2</v>
      </c>
      <c r="AR25" s="77">
        <v>0.15</v>
      </c>
      <c r="AS25" s="185">
        <f t="shared" si="20"/>
        <v>6.0583190898014561E-2</v>
      </c>
      <c r="AT25" s="185">
        <f t="shared" si="21"/>
        <v>3.6724106890416719E-2</v>
      </c>
      <c r="AU25" s="241">
        <f t="shared" si="22"/>
        <v>2.0416383966437489E-2</v>
      </c>
      <c r="AY25" s="50"/>
      <c r="AZ25" s="185"/>
      <c r="BA25" s="77"/>
      <c r="BB25" t="e">
        <f t="shared" si="17"/>
        <v>#N/A</v>
      </c>
      <c r="BC25" t="e">
        <f t="shared" si="19"/>
        <v>#N/A</v>
      </c>
      <c r="BD25" s="241" t="e">
        <f t="shared" si="18"/>
        <v>#N/A</v>
      </c>
    </row>
    <row r="26" spans="2:56" x14ac:dyDescent="0.25">
      <c r="O26" s="46">
        <v>44013</v>
      </c>
      <c r="P26" s="200">
        <f t="shared" si="7"/>
        <v>0</v>
      </c>
      <c r="Q26" s="239">
        <f t="shared" si="9"/>
        <v>6.32486315477977</v>
      </c>
      <c r="R26" s="201">
        <f t="shared" si="10"/>
        <v>1</v>
      </c>
      <c r="U26" s="184"/>
      <c r="X26" s="209"/>
      <c r="Z26" s="181"/>
      <c r="AG26" s="50"/>
      <c r="AH26" s="77"/>
      <c r="AI26" s="77"/>
      <c r="AJ26" s="208" t="e">
        <f t="shared" si="11"/>
        <v>#N/A</v>
      </c>
      <c r="AK26" s="208" t="e">
        <f t="shared" si="12"/>
        <v>#N/A</v>
      </c>
      <c r="AL26" s="241" t="e">
        <f t="shared" si="13"/>
        <v>#N/A</v>
      </c>
      <c r="AS26" s="185" t="e">
        <f t="shared" si="20"/>
        <v>#N/A</v>
      </c>
      <c r="AT26" s="185" t="e">
        <f t="shared" si="21"/>
        <v>#N/A</v>
      </c>
      <c r="AU26" s="241" t="e">
        <f t="shared" si="22"/>
        <v>#N/A</v>
      </c>
      <c r="AY26" s="50"/>
    </row>
    <row r="27" spans="2:56" x14ac:dyDescent="0.25">
      <c r="O27" s="46">
        <v>44044</v>
      </c>
      <c r="P27" s="200">
        <f t="shared" si="7"/>
        <v>0</v>
      </c>
      <c r="Q27" s="239">
        <f t="shared" si="9"/>
        <v>5.32486315477977</v>
      </c>
      <c r="R27" s="201">
        <f t="shared" si="10"/>
        <v>1</v>
      </c>
      <c r="U27" s="184"/>
      <c r="X27" s="180"/>
      <c r="Z27" s="210"/>
      <c r="AG27" s="50"/>
      <c r="AH27" s="77"/>
      <c r="AI27" s="77"/>
      <c r="AJ27" s="208" t="e">
        <f t="shared" si="11"/>
        <v>#N/A</v>
      </c>
      <c r="AK27" s="208" t="e">
        <f t="shared" si="12"/>
        <v>#N/A</v>
      </c>
      <c r="AL27" s="241" t="e">
        <f t="shared" si="13"/>
        <v>#N/A</v>
      </c>
      <c r="AS27" s="185" t="e">
        <f t="shared" si="20"/>
        <v>#N/A</v>
      </c>
      <c r="AT27" s="185" t="e">
        <f t="shared" si="21"/>
        <v>#N/A</v>
      </c>
      <c r="AU27" s="241" t="e">
        <f t="shared" si="22"/>
        <v>#N/A</v>
      </c>
    </row>
    <row r="28" spans="2:56" x14ac:dyDescent="0.25">
      <c r="O28" s="46">
        <v>44075</v>
      </c>
      <c r="P28" s="200">
        <f t="shared" si="7"/>
        <v>0</v>
      </c>
      <c r="Q28" s="239">
        <f t="shared" si="9"/>
        <v>4.32486315477977</v>
      </c>
      <c r="R28" s="201">
        <f t="shared" si="10"/>
        <v>1</v>
      </c>
      <c r="U28" s="184"/>
      <c r="X28" s="180"/>
      <c r="Z28" s="210"/>
      <c r="AG28" s="50"/>
      <c r="AH28" s="77"/>
      <c r="AI28" s="77"/>
      <c r="AJ28" s="208" t="e">
        <f t="shared" si="11"/>
        <v>#N/A</v>
      </c>
      <c r="AK28" s="208" t="e">
        <f t="shared" si="12"/>
        <v>#N/A</v>
      </c>
      <c r="AL28" s="241" t="e">
        <f t="shared" si="13"/>
        <v>#N/A</v>
      </c>
    </row>
    <row r="29" spans="2:56" x14ac:dyDescent="0.25">
      <c r="O29" s="46">
        <v>44105</v>
      </c>
      <c r="P29" s="200">
        <f t="shared" si="7"/>
        <v>0</v>
      </c>
      <c r="Q29" s="239">
        <f t="shared" si="9"/>
        <v>3.32486315477977</v>
      </c>
      <c r="R29" s="201">
        <f t="shared" si="10"/>
        <v>1</v>
      </c>
      <c r="U29" s="184"/>
      <c r="X29" s="180"/>
      <c r="Z29" s="210"/>
      <c r="AG29" s="50"/>
      <c r="AH29" s="77"/>
      <c r="AI29" s="77"/>
      <c r="AJ29" s="208" t="e">
        <f t="shared" si="11"/>
        <v>#N/A</v>
      </c>
      <c r="AK29" s="208" t="e">
        <f t="shared" si="12"/>
        <v>#N/A</v>
      </c>
      <c r="AL29" s="241" t="e">
        <f t="shared" si="13"/>
        <v>#N/A</v>
      </c>
    </row>
    <row r="30" spans="2:56" x14ac:dyDescent="0.25">
      <c r="O30" s="46">
        <v>44136</v>
      </c>
      <c r="P30" s="200">
        <f t="shared" si="7"/>
        <v>0</v>
      </c>
      <c r="Q30" s="239">
        <f t="shared" si="9"/>
        <v>2.32486315477977</v>
      </c>
      <c r="R30" s="201">
        <f t="shared" si="10"/>
        <v>1</v>
      </c>
      <c r="U30" s="184"/>
      <c r="X30" s="180"/>
      <c r="Z30" s="211"/>
      <c r="AG30" s="50"/>
      <c r="AH30" s="77"/>
      <c r="AI30" s="77"/>
      <c r="AJ30" s="208" t="e">
        <f t="shared" si="11"/>
        <v>#N/A</v>
      </c>
      <c r="AK30" s="208" t="e">
        <f t="shared" si="12"/>
        <v>#N/A</v>
      </c>
      <c r="AL30" s="241" t="e">
        <f t="shared" si="13"/>
        <v>#N/A</v>
      </c>
    </row>
    <row r="31" spans="2:56" x14ac:dyDescent="0.25">
      <c r="O31" s="46">
        <v>44166</v>
      </c>
      <c r="P31" s="200">
        <f t="shared" si="7"/>
        <v>0</v>
      </c>
      <c r="Q31" s="239">
        <f t="shared" si="9"/>
        <v>1.32486315477977</v>
      </c>
      <c r="R31" s="201">
        <f t="shared" si="10"/>
        <v>1</v>
      </c>
      <c r="U31" s="184"/>
      <c r="X31" s="180"/>
      <c r="Z31" s="185"/>
      <c r="AG31" s="50"/>
      <c r="AH31" s="77"/>
      <c r="AI31" s="77"/>
      <c r="AJ31" s="208" t="e">
        <f t="shared" si="11"/>
        <v>#N/A</v>
      </c>
      <c r="AK31" s="208" t="e">
        <f t="shared" si="12"/>
        <v>#N/A</v>
      </c>
      <c r="AL31" s="241" t="e">
        <f t="shared" si="13"/>
        <v>#N/A</v>
      </c>
    </row>
    <row r="32" spans="2:56" x14ac:dyDescent="0.25">
      <c r="O32" s="46">
        <v>44197</v>
      </c>
      <c r="P32" s="200">
        <f t="shared" si="7"/>
        <v>0</v>
      </c>
      <c r="Q32" s="239">
        <f t="shared" si="9"/>
        <v>0.32486315477977001</v>
      </c>
      <c r="R32" s="201">
        <f t="shared" si="10"/>
        <v>0.32486315477977001</v>
      </c>
      <c r="U32" s="184"/>
      <c r="X32" s="180"/>
      <c r="Y32" s="56"/>
      <c r="Z32" s="210"/>
      <c r="AG32" s="50"/>
      <c r="AH32" s="77"/>
      <c r="AI32" s="185"/>
      <c r="AJ32" s="208" t="e">
        <f t="shared" si="11"/>
        <v>#N/A</v>
      </c>
      <c r="AK32" s="208" t="e">
        <f t="shared" si="12"/>
        <v>#N/A</v>
      </c>
      <c r="AL32" s="241" t="e">
        <f t="shared" si="13"/>
        <v>#N/A</v>
      </c>
    </row>
    <row r="33" spans="15:38" x14ac:dyDescent="0.25">
      <c r="O33" s="46">
        <v>44228</v>
      </c>
      <c r="P33" s="200">
        <f t="shared" si="7"/>
        <v>0</v>
      </c>
      <c r="Q33" s="239">
        <f t="shared" si="9"/>
        <v>0</v>
      </c>
      <c r="R33" s="201">
        <f t="shared" si="10"/>
        <v>0</v>
      </c>
      <c r="U33" s="184"/>
      <c r="X33" s="180"/>
      <c r="Z33" s="210"/>
      <c r="AE33" s="74"/>
      <c r="AF33" s="74"/>
      <c r="AG33" s="244"/>
      <c r="AH33" s="245"/>
      <c r="AI33" s="245"/>
      <c r="AJ33" s="246" t="e">
        <f t="shared" si="11"/>
        <v>#N/A</v>
      </c>
      <c r="AK33" s="246" t="e">
        <f t="shared" si="12"/>
        <v>#N/A</v>
      </c>
      <c r="AL33" s="247" t="e">
        <f t="shared" si="13"/>
        <v>#N/A</v>
      </c>
    </row>
    <row r="34" spans="15:38" x14ac:dyDescent="0.25">
      <c r="O34" s="46">
        <v>44256</v>
      </c>
      <c r="P34" s="200">
        <f t="shared" si="7"/>
        <v>0</v>
      </c>
      <c r="Q34" s="239">
        <f t="shared" si="9"/>
        <v>0</v>
      </c>
      <c r="R34" s="201">
        <f t="shared" si="10"/>
        <v>0</v>
      </c>
      <c r="U34" s="184"/>
      <c r="X34" s="180"/>
      <c r="Z34" s="210"/>
      <c r="AG34" s="242"/>
      <c r="AH34" s="77"/>
      <c r="AI34" s="77"/>
      <c r="AJ34" s="208" t="e">
        <f t="shared" si="11"/>
        <v>#N/A</v>
      </c>
      <c r="AK34" s="208" t="e">
        <f t="shared" si="12"/>
        <v>#N/A</v>
      </c>
      <c r="AL34" s="241" t="e">
        <f t="shared" si="13"/>
        <v>#N/A</v>
      </c>
    </row>
    <row r="35" spans="15:38" x14ac:dyDescent="0.25">
      <c r="O35" s="46">
        <v>44287</v>
      </c>
      <c r="P35" s="200">
        <f t="shared" si="7"/>
        <v>0</v>
      </c>
      <c r="Q35" s="239">
        <f t="shared" si="9"/>
        <v>0</v>
      </c>
      <c r="R35" s="201">
        <f t="shared" si="10"/>
        <v>0</v>
      </c>
      <c r="U35" s="184"/>
      <c r="X35" s="180"/>
      <c r="Z35" s="210"/>
      <c r="AG35" s="50"/>
      <c r="AH35" s="77"/>
      <c r="AI35" s="185"/>
      <c r="AJ35" s="208" t="e">
        <f t="shared" si="11"/>
        <v>#N/A</v>
      </c>
      <c r="AK35" s="208" t="e">
        <f t="shared" si="12"/>
        <v>#N/A</v>
      </c>
      <c r="AL35" s="241" t="e">
        <f t="shared" si="13"/>
        <v>#N/A</v>
      </c>
    </row>
    <row r="36" spans="15:38" x14ac:dyDescent="0.25">
      <c r="O36" s="46">
        <v>44317</v>
      </c>
      <c r="P36" s="200">
        <f t="shared" si="7"/>
        <v>0.40221298159340013</v>
      </c>
      <c r="Q36" s="239">
        <f t="shared" si="9"/>
        <v>0.40221298159340013</v>
      </c>
      <c r="R36" s="201">
        <f t="shared" si="10"/>
        <v>0.40221298159340013</v>
      </c>
      <c r="U36" s="184"/>
      <c r="X36" s="182"/>
      <c r="Z36" s="210"/>
      <c r="AG36" s="50"/>
      <c r="AH36" s="77"/>
      <c r="AI36" s="185"/>
      <c r="AJ36" s="208" t="e">
        <f t="shared" si="11"/>
        <v>#N/A</v>
      </c>
      <c r="AK36" s="208" t="e">
        <f t="shared" si="12"/>
        <v>#N/A</v>
      </c>
      <c r="AL36" s="241" t="e">
        <f t="shared" si="13"/>
        <v>#N/A</v>
      </c>
    </row>
    <row r="37" spans="15:38" x14ac:dyDescent="0.25">
      <c r="O37" s="46">
        <v>44348</v>
      </c>
      <c r="P37" s="200">
        <f t="shared" si="7"/>
        <v>0</v>
      </c>
      <c r="Q37" s="239">
        <f>Q36-R36+P37</f>
        <v>0</v>
      </c>
      <c r="R37" s="201">
        <f t="shared" si="10"/>
        <v>0</v>
      </c>
      <c r="T37" s="79"/>
      <c r="U37" s="79"/>
      <c r="V37" s="79"/>
      <c r="W37" s="79"/>
      <c r="X37" s="79"/>
      <c r="Y37" s="79"/>
      <c r="Z37" s="79"/>
      <c r="AA37" s="79"/>
      <c r="AE37" s="63"/>
      <c r="AF37" s="63"/>
      <c r="AG37" s="249"/>
      <c r="AH37" s="250"/>
      <c r="AI37" s="250"/>
      <c r="AJ37" s="251" t="e">
        <f t="shared" si="11"/>
        <v>#N/A</v>
      </c>
      <c r="AK37" s="251" t="e">
        <f t="shared" si="12"/>
        <v>#N/A</v>
      </c>
      <c r="AL37" s="252" t="e">
        <f t="shared" si="13"/>
        <v>#N/A</v>
      </c>
    </row>
    <row r="38" spans="15:38" x14ac:dyDescent="0.25">
      <c r="O38" s="46">
        <v>44378</v>
      </c>
      <c r="P38" s="200">
        <f t="shared" si="7"/>
        <v>0</v>
      </c>
      <c r="Q38" s="239">
        <f t="shared" si="9"/>
        <v>0</v>
      </c>
      <c r="R38" s="201">
        <f t="shared" si="10"/>
        <v>0</v>
      </c>
      <c r="AG38" s="242"/>
      <c r="AH38" s="77"/>
      <c r="AI38" s="77"/>
      <c r="AJ38" s="208" t="e">
        <f t="shared" si="11"/>
        <v>#N/A</v>
      </c>
      <c r="AK38" s="208" t="e">
        <f t="shared" si="12"/>
        <v>#N/A</v>
      </c>
      <c r="AL38" s="241" t="e">
        <f t="shared" si="13"/>
        <v>#N/A</v>
      </c>
    </row>
    <row r="39" spans="15:38" x14ac:dyDescent="0.25">
      <c r="O39" s="46">
        <v>44409</v>
      </c>
      <c r="P39" s="200">
        <f t="shared" si="7"/>
        <v>0.23049436048497285</v>
      </c>
      <c r="Q39" s="239">
        <f t="shared" si="9"/>
        <v>0.23049436048497285</v>
      </c>
      <c r="R39" s="201">
        <f t="shared" si="10"/>
        <v>0.23049436048497285</v>
      </c>
      <c r="AE39" s="74"/>
      <c r="AF39" s="74"/>
      <c r="AG39" s="248"/>
      <c r="AH39" s="245"/>
      <c r="AI39" s="245"/>
      <c r="AJ39" s="246" t="e">
        <f t="shared" si="11"/>
        <v>#N/A</v>
      </c>
      <c r="AK39" s="246" t="e">
        <f t="shared" si="12"/>
        <v>#N/A</v>
      </c>
      <c r="AL39" s="247" t="e">
        <f t="shared" si="13"/>
        <v>#N/A</v>
      </c>
    </row>
    <row r="40" spans="15:38" x14ac:dyDescent="0.25">
      <c r="O40" s="46">
        <v>44440</v>
      </c>
      <c r="P40" s="200">
        <f t="shared" si="7"/>
        <v>0</v>
      </c>
      <c r="Q40" s="239">
        <f t="shared" si="9"/>
        <v>0</v>
      </c>
      <c r="R40" s="201">
        <f t="shared" si="10"/>
        <v>0</v>
      </c>
      <c r="AG40" s="50"/>
      <c r="AH40" s="77"/>
      <c r="AI40" s="77"/>
      <c r="AJ40" s="208" t="e">
        <f t="shared" si="11"/>
        <v>#N/A</v>
      </c>
      <c r="AK40" s="208" t="e">
        <f t="shared" si="12"/>
        <v>#N/A</v>
      </c>
      <c r="AL40" s="241" t="e">
        <f t="shared" si="13"/>
        <v>#N/A</v>
      </c>
    </row>
    <row r="41" spans="15:38" x14ac:dyDescent="0.25">
      <c r="O41" s="46">
        <v>44470</v>
      </c>
      <c r="P41" s="200">
        <f t="shared" si="7"/>
        <v>0</v>
      </c>
      <c r="Q41" s="239">
        <f t="shared" si="9"/>
        <v>0</v>
      </c>
      <c r="R41" s="201">
        <f t="shared" si="10"/>
        <v>0</v>
      </c>
      <c r="AG41" s="50"/>
      <c r="AH41" s="77"/>
      <c r="AI41" s="77"/>
      <c r="AJ41" s="208" t="e">
        <f t="shared" si="11"/>
        <v>#N/A</v>
      </c>
      <c r="AK41" s="208" t="e">
        <f t="shared" si="12"/>
        <v>#N/A</v>
      </c>
      <c r="AL41" s="241" t="e">
        <f t="shared" si="13"/>
        <v>#N/A</v>
      </c>
    </row>
    <row r="42" spans="15:38" x14ac:dyDescent="0.25">
      <c r="O42" s="46">
        <v>44501</v>
      </c>
      <c r="P42" s="200">
        <f t="shared" si="7"/>
        <v>0</v>
      </c>
      <c r="Q42" s="239">
        <f t="shared" si="9"/>
        <v>0</v>
      </c>
      <c r="R42" s="201">
        <f t="shared" si="10"/>
        <v>0</v>
      </c>
      <c r="AG42" s="50"/>
      <c r="AH42" s="77"/>
      <c r="AI42" s="77"/>
      <c r="AJ42" s="208" t="e">
        <f t="shared" si="11"/>
        <v>#N/A</v>
      </c>
      <c r="AK42" s="208" t="e">
        <f t="shared" si="12"/>
        <v>#N/A</v>
      </c>
      <c r="AL42" s="241" t="e">
        <f t="shared" si="13"/>
        <v>#N/A</v>
      </c>
    </row>
    <row r="43" spans="15:38" x14ac:dyDescent="0.25">
      <c r="O43" s="46">
        <v>44531</v>
      </c>
      <c r="P43" s="200">
        <f t="shared" si="7"/>
        <v>0</v>
      </c>
      <c r="Q43" s="239">
        <f t="shared" si="9"/>
        <v>0</v>
      </c>
      <c r="R43" s="201">
        <f t="shared" si="10"/>
        <v>0</v>
      </c>
      <c r="AG43" s="242"/>
      <c r="AH43" s="77"/>
      <c r="AI43" s="77"/>
      <c r="AJ43" s="208" t="e">
        <f t="shared" si="11"/>
        <v>#N/A</v>
      </c>
      <c r="AK43" s="208" t="e">
        <f t="shared" si="12"/>
        <v>#N/A</v>
      </c>
      <c r="AL43" s="241" t="e">
        <f t="shared" si="13"/>
        <v>#N/A</v>
      </c>
    </row>
    <row r="44" spans="15:38" x14ac:dyDescent="0.25">
      <c r="O44" s="46">
        <v>44562</v>
      </c>
      <c r="P44" s="200">
        <f t="shared" ref="P44:P75" si="23">SUMIFS(M:M,C:C,O44)/$U$2*12</f>
        <v>0</v>
      </c>
      <c r="Q44" s="239">
        <f t="shared" si="9"/>
        <v>0</v>
      </c>
      <c r="R44" s="201">
        <f t="shared" si="10"/>
        <v>0</v>
      </c>
      <c r="AE44" s="74"/>
      <c r="AF44" s="74"/>
      <c r="AG44" s="248"/>
      <c r="AH44" s="245"/>
      <c r="AI44" s="245"/>
      <c r="AJ44" s="246" t="e">
        <f t="shared" si="11"/>
        <v>#N/A</v>
      </c>
      <c r="AK44" s="246" t="e">
        <f t="shared" si="12"/>
        <v>#N/A</v>
      </c>
      <c r="AL44" s="247" t="e">
        <f t="shared" si="13"/>
        <v>#N/A</v>
      </c>
    </row>
    <row r="45" spans="15:38" x14ac:dyDescent="0.25">
      <c r="O45" s="46">
        <v>44593</v>
      </c>
      <c r="P45" s="200">
        <f t="shared" si="23"/>
        <v>0</v>
      </c>
      <c r="Q45" s="239">
        <f t="shared" si="9"/>
        <v>0</v>
      </c>
      <c r="R45" s="201">
        <f t="shared" si="10"/>
        <v>0</v>
      </c>
      <c r="AG45" s="50"/>
      <c r="AH45" s="77"/>
      <c r="AI45" s="77"/>
      <c r="AJ45" s="208" t="e">
        <f t="shared" si="11"/>
        <v>#N/A</v>
      </c>
      <c r="AK45" s="208" t="e">
        <f t="shared" si="12"/>
        <v>#N/A</v>
      </c>
      <c r="AL45" s="241" t="e">
        <f t="shared" si="13"/>
        <v>#N/A</v>
      </c>
    </row>
    <row r="46" spans="15:38" x14ac:dyDescent="0.25">
      <c r="O46" s="46">
        <v>44621</v>
      </c>
      <c r="P46" s="200">
        <f t="shared" si="23"/>
        <v>0</v>
      </c>
      <c r="Q46" s="239">
        <f t="shared" si="9"/>
        <v>0</v>
      </c>
      <c r="R46" s="201">
        <f t="shared" si="10"/>
        <v>0</v>
      </c>
      <c r="AG46" s="50"/>
      <c r="AH46" s="77"/>
      <c r="AI46" s="77"/>
      <c r="AJ46" s="208" t="e">
        <f t="shared" si="11"/>
        <v>#N/A</v>
      </c>
      <c r="AK46" s="208" t="e">
        <f t="shared" si="12"/>
        <v>#N/A</v>
      </c>
      <c r="AL46" s="241" t="e">
        <f t="shared" si="13"/>
        <v>#N/A</v>
      </c>
    </row>
    <row r="47" spans="15:38" x14ac:dyDescent="0.25">
      <c r="O47" s="46">
        <v>44652</v>
      </c>
      <c r="P47" s="200">
        <f t="shared" si="23"/>
        <v>0</v>
      </c>
      <c r="Q47" s="239">
        <f t="shared" si="9"/>
        <v>0</v>
      </c>
      <c r="R47" s="201">
        <f t="shared" si="10"/>
        <v>0</v>
      </c>
      <c r="AG47" s="50"/>
      <c r="AH47" s="77"/>
      <c r="AI47" s="77"/>
      <c r="AJ47" s="208" t="e">
        <f t="shared" si="11"/>
        <v>#N/A</v>
      </c>
      <c r="AK47" s="208" t="e">
        <f t="shared" si="12"/>
        <v>#N/A</v>
      </c>
      <c r="AL47" s="241" t="e">
        <f t="shared" si="13"/>
        <v>#N/A</v>
      </c>
    </row>
    <row r="48" spans="15:38" x14ac:dyDescent="0.25">
      <c r="O48" s="46">
        <v>44682</v>
      </c>
      <c r="P48" s="200">
        <f t="shared" si="23"/>
        <v>0.40231739939067779</v>
      </c>
      <c r="Q48" s="239">
        <f t="shared" si="9"/>
        <v>0.40231739939067779</v>
      </c>
      <c r="R48" s="201">
        <f t="shared" si="10"/>
        <v>0.40231739939067779</v>
      </c>
      <c r="AG48" s="50"/>
      <c r="AH48" s="77"/>
      <c r="AI48" s="77"/>
      <c r="AJ48" s="208" t="e">
        <f t="shared" si="11"/>
        <v>#N/A</v>
      </c>
      <c r="AK48" s="208" t="e">
        <f t="shared" si="12"/>
        <v>#N/A</v>
      </c>
      <c r="AL48" s="241" t="e">
        <f t="shared" si="13"/>
        <v>#N/A</v>
      </c>
    </row>
    <row r="49" spans="15:38" x14ac:dyDescent="0.25">
      <c r="O49" s="46">
        <v>44713</v>
      </c>
      <c r="P49" s="200">
        <f t="shared" si="23"/>
        <v>0</v>
      </c>
      <c r="Q49" s="239">
        <f t="shared" si="9"/>
        <v>0</v>
      </c>
      <c r="R49" s="201">
        <f t="shared" si="10"/>
        <v>0</v>
      </c>
      <c r="AG49" s="242"/>
      <c r="AH49" s="77"/>
      <c r="AI49" s="77"/>
      <c r="AJ49" s="208" t="e">
        <f t="shared" si="11"/>
        <v>#N/A</v>
      </c>
      <c r="AK49" s="208" t="e">
        <f t="shared" si="12"/>
        <v>#N/A</v>
      </c>
      <c r="AL49" s="241" t="e">
        <f t="shared" si="13"/>
        <v>#N/A</v>
      </c>
    </row>
    <row r="50" spans="15:38" x14ac:dyDescent="0.25">
      <c r="O50" s="46">
        <v>44743</v>
      </c>
      <c r="P50" s="200">
        <f t="shared" si="23"/>
        <v>0</v>
      </c>
      <c r="Q50" s="239">
        <f t="shared" si="9"/>
        <v>0</v>
      </c>
      <c r="R50" s="201">
        <f t="shared" si="10"/>
        <v>0</v>
      </c>
      <c r="AG50" s="50"/>
      <c r="AH50" s="185"/>
      <c r="AI50" s="77"/>
      <c r="AJ50" s="208" t="e">
        <f t="shared" si="11"/>
        <v>#N/A</v>
      </c>
      <c r="AK50" s="208" t="e">
        <f t="shared" si="12"/>
        <v>#N/A</v>
      </c>
      <c r="AL50" s="241" t="e">
        <f t="shared" si="13"/>
        <v>#N/A</v>
      </c>
    </row>
    <row r="51" spans="15:38" x14ac:dyDescent="0.25">
      <c r="O51" s="46">
        <v>44774</v>
      </c>
      <c r="P51" s="200">
        <f t="shared" si="23"/>
        <v>0</v>
      </c>
      <c r="Q51" s="239">
        <f t="shared" si="9"/>
        <v>0</v>
      </c>
      <c r="R51" s="201">
        <f t="shared" si="10"/>
        <v>0</v>
      </c>
      <c r="AG51" s="50"/>
      <c r="AH51" s="77"/>
      <c r="AI51" s="77"/>
      <c r="AJ51" s="208" t="e">
        <f t="shared" si="11"/>
        <v>#N/A</v>
      </c>
      <c r="AK51" s="208" t="e">
        <f t="shared" si="12"/>
        <v>#N/A</v>
      </c>
      <c r="AL51" s="241" t="e">
        <f t="shared" si="13"/>
        <v>#N/A</v>
      </c>
    </row>
    <row r="52" spans="15:38" x14ac:dyDescent="0.25">
      <c r="O52" s="46">
        <v>44805</v>
      </c>
      <c r="P52" s="200">
        <f t="shared" si="23"/>
        <v>0.28540718805228166</v>
      </c>
      <c r="Q52" s="239">
        <f t="shared" si="9"/>
        <v>0.28540718805228166</v>
      </c>
      <c r="R52" s="201">
        <f t="shared" si="10"/>
        <v>0.28540718805228166</v>
      </c>
      <c r="AG52" s="50"/>
      <c r="AH52" s="77"/>
      <c r="AI52" s="77"/>
      <c r="AJ52" s="208" t="e">
        <f t="shared" si="11"/>
        <v>#N/A</v>
      </c>
      <c r="AK52" s="208" t="e">
        <f t="shared" si="12"/>
        <v>#N/A</v>
      </c>
      <c r="AL52" s="241" t="e">
        <f t="shared" si="13"/>
        <v>#N/A</v>
      </c>
    </row>
    <row r="53" spans="15:38" x14ac:dyDescent="0.25">
      <c r="O53" s="46">
        <v>44835</v>
      </c>
      <c r="P53" s="200">
        <f t="shared" si="23"/>
        <v>0</v>
      </c>
      <c r="Q53" s="239">
        <f t="shared" si="9"/>
        <v>0</v>
      </c>
      <c r="R53" s="201">
        <f t="shared" si="10"/>
        <v>0</v>
      </c>
      <c r="AG53" s="50"/>
      <c r="AH53" s="77"/>
      <c r="AI53" s="77"/>
      <c r="AJ53" s="208" t="e">
        <f t="shared" si="11"/>
        <v>#N/A</v>
      </c>
      <c r="AK53" s="208" t="e">
        <f t="shared" si="12"/>
        <v>#N/A</v>
      </c>
      <c r="AL53" s="241" t="e">
        <f t="shared" si="13"/>
        <v>#N/A</v>
      </c>
    </row>
    <row r="54" spans="15:38" x14ac:dyDescent="0.25">
      <c r="O54" s="46">
        <v>44866</v>
      </c>
      <c r="P54" s="200">
        <f t="shared" si="23"/>
        <v>0</v>
      </c>
      <c r="Q54" s="239">
        <f t="shared" si="9"/>
        <v>0</v>
      </c>
      <c r="R54" s="201">
        <f t="shared" si="10"/>
        <v>0</v>
      </c>
      <c r="AG54" s="50"/>
      <c r="AH54" s="77"/>
      <c r="AI54" s="77"/>
      <c r="AJ54" s="208" t="e">
        <f t="shared" si="11"/>
        <v>#N/A</v>
      </c>
      <c r="AK54" s="208" t="e">
        <f t="shared" si="12"/>
        <v>#N/A</v>
      </c>
      <c r="AL54" s="241" t="e">
        <f t="shared" si="13"/>
        <v>#N/A</v>
      </c>
    </row>
    <row r="55" spans="15:38" x14ac:dyDescent="0.25">
      <c r="O55" s="46">
        <v>44896</v>
      </c>
      <c r="P55" s="200">
        <f t="shared" si="23"/>
        <v>0</v>
      </c>
      <c r="Q55" s="239">
        <f t="shared" si="9"/>
        <v>0</v>
      </c>
      <c r="R55" s="201">
        <f t="shared" si="10"/>
        <v>0</v>
      </c>
      <c r="AG55" s="50"/>
      <c r="AH55" s="185"/>
      <c r="AI55" s="77"/>
      <c r="AJ55" s="208" t="e">
        <f t="shared" si="11"/>
        <v>#N/A</v>
      </c>
      <c r="AK55" s="208" t="e">
        <f t="shared" si="12"/>
        <v>#N/A</v>
      </c>
      <c r="AL55" s="241" t="e">
        <f t="shared" si="13"/>
        <v>#N/A</v>
      </c>
    </row>
    <row r="56" spans="15:38" x14ac:dyDescent="0.25">
      <c r="O56" s="46">
        <v>44927</v>
      </c>
      <c r="P56" s="200">
        <f t="shared" si="23"/>
        <v>0</v>
      </c>
      <c r="Q56" s="239">
        <f t="shared" si="9"/>
        <v>0</v>
      </c>
      <c r="R56" s="201">
        <f t="shared" si="10"/>
        <v>0</v>
      </c>
      <c r="AG56" s="50"/>
      <c r="AH56" s="77"/>
      <c r="AI56" s="77"/>
      <c r="AJ56" s="208" t="e">
        <f t="shared" si="11"/>
        <v>#N/A</v>
      </c>
      <c r="AK56" s="208" t="e">
        <f t="shared" si="12"/>
        <v>#N/A</v>
      </c>
      <c r="AL56" s="241" t="e">
        <f t="shared" si="13"/>
        <v>#N/A</v>
      </c>
    </row>
    <row r="57" spans="15:38" x14ac:dyDescent="0.25">
      <c r="O57" s="46">
        <v>44958</v>
      </c>
      <c r="P57" s="200">
        <f t="shared" si="23"/>
        <v>0</v>
      </c>
      <c r="Q57" s="239">
        <f t="shared" si="9"/>
        <v>0</v>
      </c>
      <c r="R57" s="201">
        <f t="shared" si="10"/>
        <v>0</v>
      </c>
    </row>
    <row r="58" spans="15:38" x14ac:dyDescent="0.25">
      <c r="O58" s="46">
        <v>44986</v>
      </c>
      <c r="P58" s="200">
        <f t="shared" si="23"/>
        <v>0</v>
      </c>
      <c r="Q58" s="239">
        <f t="shared" si="9"/>
        <v>0</v>
      </c>
      <c r="R58" s="201">
        <f t="shared" si="10"/>
        <v>0</v>
      </c>
    </row>
    <row r="59" spans="15:38" x14ac:dyDescent="0.25">
      <c r="O59" s="46">
        <v>45017</v>
      </c>
      <c r="P59" s="200">
        <f t="shared" si="23"/>
        <v>0</v>
      </c>
      <c r="Q59" s="239">
        <f t="shared" si="9"/>
        <v>0</v>
      </c>
      <c r="R59" s="201">
        <f t="shared" si="10"/>
        <v>0</v>
      </c>
    </row>
    <row r="60" spans="15:38" x14ac:dyDescent="0.25">
      <c r="O60" s="46">
        <v>45047</v>
      </c>
      <c r="P60" s="200">
        <f t="shared" si="23"/>
        <v>0.28809307620948238</v>
      </c>
      <c r="Q60" s="239">
        <f t="shared" si="9"/>
        <v>0.28809307620948238</v>
      </c>
      <c r="R60" s="201">
        <f t="shared" si="10"/>
        <v>0.28809307620948238</v>
      </c>
    </row>
    <row r="61" spans="15:38" x14ac:dyDescent="0.25">
      <c r="O61" s="46">
        <v>45078</v>
      </c>
      <c r="P61" s="200">
        <f t="shared" si="23"/>
        <v>0</v>
      </c>
      <c r="Q61" s="239">
        <f t="shared" si="9"/>
        <v>0</v>
      </c>
      <c r="R61" s="201">
        <f t="shared" si="10"/>
        <v>0</v>
      </c>
    </row>
    <row r="62" spans="15:38" x14ac:dyDescent="0.25">
      <c r="O62" s="46">
        <v>45108</v>
      </c>
      <c r="P62" s="200">
        <f t="shared" si="23"/>
        <v>0</v>
      </c>
      <c r="Q62" s="239">
        <f t="shared" si="9"/>
        <v>0</v>
      </c>
      <c r="R62" s="201">
        <f t="shared" si="10"/>
        <v>0</v>
      </c>
    </row>
    <row r="63" spans="15:38" x14ac:dyDescent="0.25">
      <c r="O63" s="46">
        <v>45139</v>
      </c>
      <c r="P63" s="200">
        <f t="shared" si="23"/>
        <v>0.34336945265212976</v>
      </c>
      <c r="Q63" s="239">
        <f t="shared" si="9"/>
        <v>0.34336945265212976</v>
      </c>
      <c r="R63" s="201">
        <f t="shared" si="10"/>
        <v>0.34336945265212976</v>
      </c>
    </row>
    <row r="64" spans="15:38" x14ac:dyDescent="0.25">
      <c r="O64" s="46">
        <v>45170</v>
      </c>
      <c r="P64" s="200">
        <f t="shared" si="23"/>
        <v>0</v>
      </c>
      <c r="Q64" s="239">
        <f t="shared" si="9"/>
        <v>0</v>
      </c>
      <c r="R64" s="201">
        <f t="shared" si="10"/>
        <v>0</v>
      </c>
    </row>
    <row r="65" spans="15:18" x14ac:dyDescent="0.25">
      <c r="O65" s="46">
        <v>45200</v>
      </c>
      <c r="P65" s="200">
        <f t="shared" si="23"/>
        <v>0</v>
      </c>
      <c r="Q65" s="239">
        <f t="shared" si="9"/>
        <v>0</v>
      </c>
      <c r="R65" s="201">
        <f t="shared" si="10"/>
        <v>0</v>
      </c>
    </row>
    <row r="66" spans="15:18" x14ac:dyDescent="0.25">
      <c r="O66" s="46">
        <v>45231</v>
      </c>
      <c r="P66" s="200">
        <f t="shared" si="23"/>
        <v>0</v>
      </c>
      <c r="Q66" s="239">
        <f t="shared" si="9"/>
        <v>0</v>
      </c>
      <c r="R66" s="201">
        <f t="shared" si="10"/>
        <v>0</v>
      </c>
    </row>
    <row r="67" spans="15:18" x14ac:dyDescent="0.25">
      <c r="O67" s="46">
        <v>45261</v>
      </c>
      <c r="P67" s="200">
        <f t="shared" si="23"/>
        <v>0</v>
      </c>
      <c r="Q67" s="239">
        <f t="shared" si="9"/>
        <v>0</v>
      </c>
      <c r="R67" s="201">
        <f t="shared" si="10"/>
        <v>0</v>
      </c>
    </row>
    <row r="68" spans="15:18" x14ac:dyDescent="0.25">
      <c r="O68" s="46">
        <v>45292</v>
      </c>
      <c r="P68" s="200">
        <f t="shared" si="23"/>
        <v>0</v>
      </c>
      <c r="Q68" s="239">
        <f t="shared" si="9"/>
        <v>0</v>
      </c>
      <c r="R68" s="201">
        <f t="shared" si="10"/>
        <v>0</v>
      </c>
    </row>
    <row r="69" spans="15:18" x14ac:dyDescent="0.25">
      <c r="O69" s="46">
        <v>45323</v>
      </c>
      <c r="P69" s="200">
        <f t="shared" si="23"/>
        <v>0</v>
      </c>
      <c r="Q69" s="239">
        <f t="shared" si="9"/>
        <v>0</v>
      </c>
      <c r="R69" s="201">
        <f t="shared" si="10"/>
        <v>0</v>
      </c>
    </row>
    <row r="70" spans="15:18" x14ac:dyDescent="0.25">
      <c r="O70" s="46">
        <v>45352</v>
      </c>
      <c r="P70" s="200">
        <f t="shared" si="23"/>
        <v>0</v>
      </c>
      <c r="Q70" s="239">
        <f t="shared" si="9"/>
        <v>0</v>
      </c>
      <c r="R70" s="201">
        <f t="shared" si="10"/>
        <v>0</v>
      </c>
    </row>
    <row r="71" spans="15:18" x14ac:dyDescent="0.25">
      <c r="O71" s="46">
        <v>45383</v>
      </c>
      <c r="P71" s="200">
        <f t="shared" si="23"/>
        <v>0</v>
      </c>
      <c r="Q71" s="239">
        <f t="shared" si="9"/>
        <v>0</v>
      </c>
      <c r="R71" s="201">
        <f t="shared" si="10"/>
        <v>0</v>
      </c>
    </row>
    <row r="72" spans="15:18" x14ac:dyDescent="0.25">
      <c r="O72" s="46">
        <v>45413</v>
      </c>
      <c r="P72" s="200">
        <f t="shared" si="23"/>
        <v>0</v>
      </c>
      <c r="Q72" s="239">
        <f t="shared" si="9"/>
        <v>0</v>
      </c>
      <c r="R72" s="201">
        <f t="shared" si="10"/>
        <v>0</v>
      </c>
    </row>
    <row r="73" spans="15:18" x14ac:dyDescent="0.25">
      <c r="O73" s="46">
        <v>45444</v>
      </c>
      <c r="P73" s="200">
        <f t="shared" si="23"/>
        <v>0</v>
      </c>
      <c r="Q73" s="239">
        <f t="shared" si="9"/>
        <v>0</v>
      </c>
      <c r="R73" s="201">
        <f t="shared" si="10"/>
        <v>0</v>
      </c>
    </row>
    <row r="74" spans="15:18" x14ac:dyDescent="0.25">
      <c r="O74" s="46">
        <v>45474</v>
      </c>
      <c r="P74" s="200">
        <f t="shared" si="23"/>
        <v>0</v>
      </c>
      <c r="Q74" s="239">
        <f t="shared" si="9"/>
        <v>0</v>
      </c>
      <c r="R74" s="201">
        <f t="shared" si="10"/>
        <v>0</v>
      </c>
    </row>
    <row r="75" spans="15:18" x14ac:dyDescent="0.25">
      <c r="O75" s="46">
        <v>45505</v>
      </c>
      <c r="P75" s="200">
        <f t="shared" si="23"/>
        <v>0</v>
      </c>
      <c r="Q75" s="239">
        <f t="shared" si="9"/>
        <v>0</v>
      </c>
      <c r="R75" s="201">
        <f t="shared" si="10"/>
        <v>0</v>
      </c>
    </row>
    <row r="76" spans="15:18" x14ac:dyDescent="0.25">
      <c r="O76" s="46">
        <v>45536</v>
      </c>
      <c r="P76" s="200">
        <f t="shared" ref="P76:P107" si="24">SUMIFS(M:M,C:C,O76)/$U$2*12</f>
        <v>0</v>
      </c>
      <c r="Q76" s="239">
        <f t="shared" si="9"/>
        <v>0</v>
      </c>
      <c r="R76" s="201">
        <f t="shared" si="10"/>
        <v>0</v>
      </c>
    </row>
    <row r="77" spans="15:18" x14ac:dyDescent="0.25">
      <c r="O77" s="46">
        <v>45566</v>
      </c>
      <c r="P77" s="200">
        <f t="shared" si="24"/>
        <v>0.2244550756340474</v>
      </c>
      <c r="Q77" s="239">
        <f t="shared" si="9"/>
        <v>0.2244550756340474</v>
      </c>
      <c r="R77" s="201">
        <f t="shared" si="10"/>
        <v>0.2244550756340474</v>
      </c>
    </row>
    <row r="78" spans="15:18" x14ac:dyDescent="0.25">
      <c r="O78" s="46">
        <v>45597</v>
      </c>
      <c r="P78" s="200">
        <f t="shared" si="24"/>
        <v>0</v>
      </c>
      <c r="Q78" s="239">
        <f t="shared" ref="Q78:Q141" si="25">Q77-R77+P78</f>
        <v>0</v>
      </c>
      <c r="R78" s="201">
        <f t="shared" si="10"/>
        <v>0</v>
      </c>
    </row>
    <row r="79" spans="15:18" x14ac:dyDescent="0.25">
      <c r="O79" s="46">
        <v>45627</v>
      </c>
      <c r="P79" s="200">
        <f t="shared" si="24"/>
        <v>0</v>
      </c>
      <c r="Q79" s="239">
        <f t="shared" si="25"/>
        <v>0</v>
      </c>
      <c r="R79" s="201">
        <f t="shared" si="10"/>
        <v>0</v>
      </c>
    </row>
    <row r="80" spans="15:18" x14ac:dyDescent="0.25">
      <c r="O80" s="46">
        <v>45658</v>
      </c>
      <c r="P80" s="200">
        <f t="shared" si="24"/>
        <v>0</v>
      </c>
      <c r="Q80" s="239">
        <f t="shared" si="25"/>
        <v>0</v>
      </c>
      <c r="R80" s="201">
        <f t="shared" ref="R80:R143" si="26">IF(Q80&gt;1,1,Q80)</f>
        <v>0</v>
      </c>
    </row>
    <row r="81" spans="15:18" x14ac:dyDescent="0.25">
      <c r="O81" s="46">
        <v>45689</v>
      </c>
      <c r="P81" s="200">
        <f t="shared" si="24"/>
        <v>0</v>
      </c>
      <c r="Q81" s="239">
        <f t="shared" si="25"/>
        <v>0</v>
      </c>
      <c r="R81" s="201">
        <f t="shared" si="26"/>
        <v>0</v>
      </c>
    </row>
    <row r="82" spans="15:18" x14ac:dyDescent="0.25">
      <c r="O82" s="46">
        <v>45717</v>
      </c>
      <c r="P82" s="200">
        <f t="shared" si="24"/>
        <v>0</v>
      </c>
      <c r="Q82" s="239">
        <f t="shared" si="25"/>
        <v>0</v>
      </c>
      <c r="R82" s="201">
        <f t="shared" si="26"/>
        <v>0</v>
      </c>
    </row>
    <row r="83" spans="15:18" x14ac:dyDescent="0.25">
      <c r="O83" s="46">
        <v>45748</v>
      </c>
      <c r="P83" s="200">
        <f t="shared" si="24"/>
        <v>0</v>
      </c>
      <c r="Q83" s="239">
        <f t="shared" si="25"/>
        <v>0</v>
      </c>
      <c r="R83" s="201">
        <f t="shared" si="26"/>
        <v>0</v>
      </c>
    </row>
    <row r="84" spans="15:18" x14ac:dyDescent="0.25">
      <c r="O84" s="46">
        <v>45778</v>
      </c>
      <c r="P84" s="200">
        <f t="shared" si="24"/>
        <v>0</v>
      </c>
      <c r="Q84" s="239">
        <f t="shared" si="25"/>
        <v>0</v>
      </c>
      <c r="R84" s="201">
        <f t="shared" si="26"/>
        <v>0</v>
      </c>
    </row>
    <row r="85" spans="15:18" x14ac:dyDescent="0.25">
      <c r="O85" s="46">
        <v>45809</v>
      </c>
      <c r="P85" s="200">
        <f t="shared" si="24"/>
        <v>0</v>
      </c>
      <c r="Q85" s="239">
        <f t="shared" si="25"/>
        <v>0</v>
      </c>
      <c r="R85" s="201">
        <f t="shared" si="26"/>
        <v>0</v>
      </c>
    </row>
    <row r="86" spans="15:18" x14ac:dyDescent="0.25">
      <c r="O86" s="46">
        <v>45839</v>
      </c>
      <c r="P86" s="200">
        <f t="shared" si="24"/>
        <v>0</v>
      </c>
      <c r="Q86" s="239">
        <f t="shared" si="25"/>
        <v>0</v>
      </c>
      <c r="R86" s="201">
        <f t="shared" si="26"/>
        <v>0</v>
      </c>
    </row>
    <row r="87" spans="15:18" x14ac:dyDescent="0.25">
      <c r="O87" s="46">
        <v>45870</v>
      </c>
      <c r="P87" s="200">
        <f t="shared" si="24"/>
        <v>0</v>
      </c>
      <c r="Q87" s="239">
        <f t="shared" si="25"/>
        <v>0</v>
      </c>
      <c r="R87" s="201">
        <f t="shared" si="26"/>
        <v>0</v>
      </c>
    </row>
    <row r="88" spans="15:18" x14ac:dyDescent="0.25">
      <c r="O88" s="46">
        <v>45901</v>
      </c>
      <c r="P88" s="200">
        <f t="shared" si="24"/>
        <v>0</v>
      </c>
      <c r="Q88" s="239">
        <f t="shared" si="25"/>
        <v>0</v>
      </c>
      <c r="R88" s="201">
        <f t="shared" si="26"/>
        <v>0</v>
      </c>
    </row>
    <row r="89" spans="15:18" x14ac:dyDescent="0.25">
      <c r="O89" s="46">
        <v>45931</v>
      </c>
      <c r="P89" s="200">
        <f t="shared" si="24"/>
        <v>0</v>
      </c>
      <c r="Q89" s="239">
        <f t="shared" si="25"/>
        <v>0</v>
      </c>
      <c r="R89" s="201">
        <f t="shared" si="26"/>
        <v>0</v>
      </c>
    </row>
    <row r="90" spans="15:18" x14ac:dyDescent="0.25">
      <c r="O90" s="46">
        <v>45962</v>
      </c>
      <c r="P90" s="200">
        <f t="shared" si="24"/>
        <v>0</v>
      </c>
      <c r="Q90" s="239">
        <f t="shared" si="25"/>
        <v>0</v>
      </c>
      <c r="R90" s="201">
        <f t="shared" si="26"/>
        <v>0</v>
      </c>
    </row>
    <row r="91" spans="15:18" x14ac:dyDescent="0.25">
      <c r="O91" s="46">
        <v>45992</v>
      </c>
      <c r="P91" s="200">
        <f t="shared" si="24"/>
        <v>0</v>
      </c>
      <c r="Q91" s="239">
        <f t="shared" si="25"/>
        <v>0</v>
      </c>
      <c r="R91" s="201">
        <f t="shared" si="26"/>
        <v>0</v>
      </c>
    </row>
    <row r="92" spans="15:18" x14ac:dyDescent="0.25">
      <c r="O92" s="46">
        <v>46023</v>
      </c>
      <c r="P92" s="200">
        <f t="shared" si="24"/>
        <v>0</v>
      </c>
      <c r="Q92" s="239">
        <f t="shared" si="25"/>
        <v>0</v>
      </c>
      <c r="R92" s="201">
        <f t="shared" si="26"/>
        <v>0</v>
      </c>
    </row>
    <row r="93" spans="15:18" x14ac:dyDescent="0.25">
      <c r="O93" s="46">
        <v>46054</v>
      </c>
      <c r="P93" s="200">
        <f t="shared" si="24"/>
        <v>0</v>
      </c>
      <c r="Q93" s="239">
        <f t="shared" si="25"/>
        <v>0</v>
      </c>
      <c r="R93" s="201">
        <f t="shared" si="26"/>
        <v>0</v>
      </c>
    </row>
    <row r="94" spans="15:18" x14ac:dyDescent="0.25">
      <c r="O94" s="46">
        <v>46082</v>
      </c>
      <c r="P94" s="200">
        <f t="shared" si="24"/>
        <v>0</v>
      </c>
      <c r="Q94" s="239">
        <f t="shared" si="25"/>
        <v>0</v>
      </c>
      <c r="R94" s="201">
        <f t="shared" si="26"/>
        <v>0</v>
      </c>
    </row>
    <row r="95" spans="15:18" x14ac:dyDescent="0.25">
      <c r="O95" s="46">
        <v>46113</v>
      </c>
      <c r="P95" s="200">
        <f t="shared" si="24"/>
        <v>0</v>
      </c>
      <c r="Q95" s="239">
        <f t="shared" si="25"/>
        <v>0</v>
      </c>
      <c r="R95" s="201">
        <f t="shared" si="26"/>
        <v>0</v>
      </c>
    </row>
    <row r="96" spans="15:18" x14ac:dyDescent="0.25">
      <c r="O96" s="46">
        <v>46143</v>
      </c>
      <c r="P96" s="200">
        <f t="shared" si="24"/>
        <v>0</v>
      </c>
      <c r="Q96" s="239">
        <f t="shared" si="25"/>
        <v>0</v>
      </c>
      <c r="R96" s="201">
        <f t="shared" si="26"/>
        <v>0</v>
      </c>
    </row>
    <row r="97" spans="15:18" x14ac:dyDescent="0.25">
      <c r="O97" s="46">
        <v>46174</v>
      </c>
      <c r="P97" s="200">
        <f t="shared" si="24"/>
        <v>0</v>
      </c>
      <c r="Q97" s="239">
        <f t="shared" si="25"/>
        <v>0</v>
      </c>
      <c r="R97" s="201">
        <f t="shared" si="26"/>
        <v>0</v>
      </c>
    </row>
    <row r="98" spans="15:18" x14ac:dyDescent="0.25">
      <c r="O98" s="46">
        <v>46204</v>
      </c>
      <c r="P98" s="200">
        <f t="shared" si="24"/>
        <v>0</v>
      </c>
      <c r="Q98" s="239">
        <f t="shared" si="25"/>
        <v>0</v>
      </c>
      <c r="R98" s="201">
        <f t="shared" si="26"/>
        <v>0</v>
      </c>
    </row>
    <row r="99" spans="15:18" x14ac:dyDescent="0.25">
      <c r="O99" s="46">
        <v>46235</v>
      </c>
      <c r="P99" s="200">
        <f t="shared" si="24"/>
        <v>0</v>
      </c>
      <c r="Q99" s="239">
        <f t="shared" si="25"/>
        <v>0</v>
      </c>
      <c r="R99" s="201">
        <f t="shared" si="26"/>
        <v>0</v>
      </c>
    </row>
    <row r="100" spans="15:18" x14ac:dyDescent="0.25">
      <c r="O100" s="46">
        <v>46266</v>
      </c>
      <c r="P100" s="200">
        <f t="shared" si="24"/>
        <v>0</v>
      </c>
      <c r="Q100" s="239">
        <f t="shared" si="25"/>
        <v>0</v>
      </c>
      <c r="R100" s="201">
        <f t="shared" si="26"/>
        <v>0</v>
      </c>
    </row>
    <row r="101" spans="15:18" x14ac:dyDescent="0.25">
      <c r="O101" s="46">
        <v>46296</v>
      </c>
      <c r="P101" s="200">
        <f t="shared" si="24"/>
        <v>0</v>
      </c>
      <c r="Q101" s="239">
        <f t="shared" si="25"/>
        <v>0</v>
      </c>
      <c r="R101" s="201">
        <f t="shared" si="26"/>
        <v>0</v>
      </c>
    </row>
    <row r="102" spans="15:18" x14ac:dyDescent="0.25">
      <c r="O102" s="46">
        <v>46327</v>
      </c>
      <c r="P102" s="200">
        <f t="shared" si="24"/>
        <v>0</v>
      </c>
      <c r="Q102" s="239">
        <f t="shared" si="25"/>
        <v>0</v>
      </c>
      <c r="R102" s="201">
        <f t="shared" si="26"/>
        <v>0</v>
      </c>
    </row>
    <row r="103" spans="15:18" x14ac:dyDescent="0.25">
      <c r="O103" s="46">
        <v>46357</v>
      </c>
      <c r="P103" s="200">
        <f t="shared" si="24"/>
        <v>0</v>
      </c>
      <c r="Q103" s="239">
        <f t="shared" si="25"/>
        <v>0</v>
      </c>
      <c r="R103" s="201">
        <f t="shared" si="26"/>
        <v>0</v>
      </c>
    </row>
    <row r="104" spans="15:18" x14ac:dyDescent="0.25">
      <c r="O104" s="46">
        <v>46388</v>
      </c>
      <c r="P104" s="200">
        <f t="shared" si="24"/>
        <v>0</v>
      </c>
      <c r="Q104" s="239">
        <f t="shared" si="25"/>
        <v>0</v>
      </c>
      <c r="R104" s="201">
        <f t="shared" si="26"/>
        <v>0</v>
      </c>
    </row>
    <row r="105" spans="15:18" x14ac:dyDescent="0.25">
      <c r="O105" s="46">
        <v>46419</v>
      </c>
      <c r="P105" s="200">
        <f t="shared" si="24"/>
        <v>0</v>
      </c>
      <c r="Q105" s="239">
        <f t="shared" si="25"/>
        <v>0</v>
      </c>
      <c r="R105" s="201">
        <f t="shared" si="26"/>
        <v>0</v>
      </c>
    </row>
    <row r="106" spans="15:18" x14ac:dyDescent="0.25">
      <c r="O106" s="46">
        <v>46447</v>
      </c>
      <c r="P106" s="200">
        <f t="shared" si="24"/>
        <v>0</v>
      </c>
      <c r="Q106" s="239">
        <f t="shared" si="25"/>
        <v>0</v>
      </c>
      <c r="R106" s="201">
        <f t="shared" si="26"/>
        <v>0</v>
      </c>
    </row>
    <row r="107" spans="15:18" x14ac:dyDescent="0.25">
      <c r="O107" s="46">
        <v>46478</v>
      </c>
      <c r="P107" s="200">
        <f t="shared" si="24"/>
        <v>0</v>
      </c>
      <c r="Q107" s="239">
        <f t="shared" si="25"/>
        <v>0</v>
      </c>
      <c r="R107" s="201">
        <f t="shared" si="26"/>
        <v>0</v>
      </c>
    </row>
    <row r="108" spans="15:18" x14ac:dyDescent="0.25">
      <c r="O108" s="46">
        <v>46508</v>
      </c>
      <c r="P108" s="200">
        <f t="shared" ref="P108:P139" si="27">SUMIFS(M:M,C:C,O108)/$U$2*12</f>
        <v>0</v>
      </c>
      <c r="Q108" s="239">
        <f t="shared" si="25"/>
        <v>0</v>
      </c>
      <c r="R108" s="201">
        <f t="shared" si="26"/>
        <v>0</v>
      </c>
    </row>
    <row r="109" spans="15:18" x14ac:dyDescent="0.25">
      <c r="O109" s="46">
        <v>46539</v>
      </c>
      <c r="P109" s="200">
        <f t="shared" si="27"/>
        <v>0</v>
      </c>
      <c r="Q109" s="239">
        <f t="shared" si="25"/>
        <v>0</v>
      </c>
      <c r="R109" s="201">
        <f t="shared" si="26"/>
        <v>0</v>
      </c>
    </row>
    <row r="110" spans="15:18" x14ac:dyDescent="0.25">
      <c r="O110" s="46">
        <v>46569</v>
      </c>
      <c r="P110" s="200">
        <f t="shared" si="27"/>
        <v>0</v>
      </c>
      <c r="Q110" s="239">
        <f t="shared" si="25"/>
        <v>0</v>
      </c>
      <c r="R110" s="201">
        <f t="shared" si="26"/>
        <v>0</v>
      </c>
    </row>
    <row r="111" spans="15:18" x14ac:dyDescent="0.25">
      <c r="O111" s="46">
        <v>46600</v>
      </c>
      <c r="P111" s="200">
        <f t="shared" si="27"/>
        <v>0</v>
      </c>
      <c r="Q111" s="239">
        <f t="shared" si="25"/>
        <v>0</v>
      </c>
      <c r="R111" s="201">
        <f t="shared" si="26"/>
        <v>0</v>
      </c>
    </row>
    <row r="112" spans="15:18" x14ac:dyDescent="0.25">
      <c r="O112" s="46">
        <v>46631</v>
      </c>
      <c r="P112" s="200">
        <f t="shared" si="27"/>
        <v>0</v>
      </c>
      <c r="Q112" s="239">
        <f t="shared" si="25"/>
        <v>0</v>
      </c>
      <c r="R112" s="201">
        <f t="shared" si="26"/>
        <v>0</v>
      </c>
    </row>
    <row r="113" spans="15:18" x14ac:dyDescent="0.25">
      <c r="O113" s="46">
        <v>46661</v>
      </c>
      <c r="P113" s="200">
        <f t="shared" si="27"/>
        <v>0</v>
      </c>
      <c r="Q113" s="239">
        <f t="shared" si="25"/>
        <v>0</v>
      </c>
      <c r="R113" s="201">
        <f t="shared" si="26"/>
        <v>0</v>
      </c>
    </row>
    <row r="114" spans="15:18" x14ac:dyDescent="0.25">
      <c r="O114" s="46">
        <v>46692</v>
      </c>
      <c r="P114" s="200">
        <f t="shared" si="27"/>
        <v>0</v>
      </c>
      <c r="Q114" s="239">
        <f t="shared" si="25"/>
        <v>0</v>
      </c>
      <c r="R114" s="201">
        <f t="shared" si="26"/>
        <v>0</v>
      </c>
    </row>
    <row r="115" spans="15:18" x14ac:dyDescent="0.25">
      <c r="O115" s="46">
        <v>46722</v>
      </c>
      <c r="P115" s="200">
        <f t="shared" si="27"/>
        <v>0</v>
      </c>
      <c r="Q115" s="239">
        <f t="shared" si="25"/>
        <v>0</v>
      </c>
      <c r="R115" s="201">
        <f t="shared" si="26"/>
        <v>0</v>
      </c>
    </row>
    <row r="116" spans="15:18" x14ac:dyDescent="0.25">
      <c r="O116" s="46">
        <v>46753</v>
      </c>
      <c r="P116" s="200">
        <f t="shared" si="27"/>
        <v>0</v>
      </c>
      <c r="Q116" s="239">
        <f t="shared" si="25"/>
        <v>0</v>
      </c>
      <c r="R116" s="201">
        <f t="shared" si="26"/>
        <v>0</v>
      </c>
    </row>
    <row r="117" spans="15:18" x14ac:dyDescent="0.25">
      <c r="O117" s="46">
        <v>46784</v>
      </c>
      <c r="P117" s="200">
        <f t="shared" si="27"/>
        <v>0</v>
      </c>
      <c r="Q117" s="239">
        <f t="shared" si="25"/>
        <v>0</v>
      </c>
      <c r="R117" s="201">
        <f t="shared" si="26"/>
        <v>0</v>
      </c>
    </row>
    <row r="118" spans="15:18" x14ac:dyDescent="0.25">
      <c r="O118" s="46">
        <v>46813</v>
      </c>
      <c r="P118" s="200">
        <f t="shared" si="27"/>
        <v>0</v>
      </c>
      <c r="Q118" s="239">
        <f t="shared" si="25"/>
        <v>0</v>
      </c>
      <c r="R118" s="201">
        <f t="shared" si="26"/>
        <v>0</v>
      </c>
    </row>
    <row r="119" spans="15:18" x14ac:dyDescent="0.25">
      <c r="O119" s="46">
        <v>46844</v>
      </c>
      <c r="P119" s="200">
        <f t="shared" si="27"/>
        <v>0</v>
      </c>
      <c r="Q119" s="239">
        <f t="shared" si="25"/>
        <v>0</v>
      </c>
      <c r="R119" s="201">
        <f t="shared" si="26"/>
        <v>0</v>
      </c>
    </row>
    <row r="120" spans="15:18" x14ac:dyDescent="0.25">
      <c r="O120" s="46">
        <v>46874</v>
      </c>
      <c r="P120" s="200">
        <f t="shared" si="27"/>
        <v>0</v>
      </c>
      <c r="Q120" s="239">
        <f t="shared" si="25"/>
        <v>0</v>
      </c>
      <c r="R120" s="201">
        <f t="shared" si="26"/>
        <v>0</v>
      </c>
    </row>
    <row r="121" spans="15:18" x14ac:dyDescent="0.25">
      <c r="O121" s="46">
        <v>46905</v>
      </c>
      <c r="P121" s="200">
        <f t="shared" si="27"/>
        <v>0</v>
      </c>
      <c r="Q121" s="239">
        <f t="shared" si="25"/>
        <v>0</v>
      </c>
      <c r="R121" s="201">
        <f t="shared" si="26"/>
        <v>0</v>
      </c>
    </row>
    <row r="122" spans="15:18" x14ac:dyDescent="0.25">
      <c r="O122" s="46">
        <v>46935</v>
      </c>
      <c r="P122" s="200">
        <f t="shared" si="27"/>
        <v>0</v>
      </c>
      <c r="Q122" s="239">
        <f t="shared" si="25"/>
        <v>0</v>
      </c>
      <c r="R122" s="201">
        <f t="shared" si="26"/>
        <v>0</v>
      </c>
    </row>
    <row r="123" spans="15:18" x14ac:dyDescent="0.25">
      <c r="O123" s="46">
        <v>46966</v>
      </c>
      <c r="P123" s="200">
        <f t="shared" si="27"/>
        <v>0</v>
      </c>
      <c r="Q123" s="239">
        <f t="shared" si="25"/>
        <v>0</v>
      </c>
      <c r="R123" s="201">
        <f t="shared" si="26"/>
        <v>0</v>
      </c>
    </row>
    <row r="124" spans="15:18" x14ac:dyDescent="0.25">
      <c r="O124" s="46">
        <v>46997</v>
      </c>
      <c r="P124" s="200">
        <f t="shared" si="27"/>
        <v>0</v>
      </c>
      <c r="Q124" s="239">
        <f t="shared" si="25"/>
        <v>0</v>
      </c>
      <c r="R124" s="201">
        <f t="shared" si="26"/>
        <v>0</v>
      </c>
    </row>
    <row r="125" spans="15:18" x14ac:dyDescent="0.25">
      <c r="O125" s="46">
        <v>47027</v>
      </c>
      <c r="P125" s="200">
        <f t="shared" si="27"/>
        <v>0</v>
      </c>
      <c r="Q125" s="239">
        <f t="shared" si="25"/>
        <v>0</v>
      </c>
      <c r="R125" s="201">
        <f t="shared" si="26"/>
        <v>0</v>
      </c>
    </row>
    <row r="126" spans="15:18" x14ac:dyDescent="0.25">
      <c r="O126" s="46">
        <v>47058</v>
      </c>
      <c r="P126" s="200">
        <f t="shared" si="27"/>
        <v>0</v>
      </c>
      <c r="Q126" s="239">
        <f t="shared" si="25"/>
        <v>0</v>
      </c>
      <c r="R126" s="201">
        <f t="shared" si="26"/>
        <v>0</v>
      </c>
    </row>
    <row r="127" spans="15:18" x14ac:dyDescent="0.25">
      <c r="O127" s="46">
        <v>47088</v>
      </c>
      <c r="P127" s="200">
        <f t="shared" si="27"/>
        <v>0</v>
      </c>
      <c r="Q127" s="239">
        <f t="shared" si="25"/>
        <v>0</v>
      </c>
      <c r="R127" s="201">
        <f t="shared" si="26"/>
        <v>0</v>
      </c>
    </row>
    <row r="128" spans="15:18" x14ac:dyDescent="0.25">
      <c r="O128" s="46">
        <v>47119</v>
      </c>
      <c r="P128" s="200">
        <f t="shared" si="27"/>
        <v>0</v>
      </c>
      <c r="Q128" s="239">
        <f t="shared" si="25"/>
        <v>0</v>
      </c>
      <c r="R128" s="201">
        <f t="shared" si="26"/>
        <v>0</v>
      </c>
    </row>
    <row r="129" spans="15:18" x14ac:dyDescent="0.25">
      <c r="O129" s="46">
        <v>47150</v>
      </c>
      <c r="P129" s="200">
        <f t="shared" si="27"/>
        <v>0</v>
      </c>
      <c r="Q129" s="239">
        <f t="shared" si="25"/>
        <v>0</v>
      </c>
      <c r="R129" s="201">
        <f t="shared" si="26"/>
        <v>0</v>
      </c>
    </row>
    <row r="130" spans="15:18" x14ac:dyDescent="0.25">
      <c r="O130" s="46">
        <v>47178</v>
      </c>
      <c r="P130" s="200">
        <f t="shared" si="27"/>
        <v>0</v>
      </c>
      <c r="Q130" s="239">
        <f t="shared" si="25"/>
        <v>0</v>
      </c>
      <c r="R130" s="201">
        <f t="shared" si="26"/>
        <v>0</v>
      </c>
    </row>
    <row r="131" spans="15:18" x14ac:dyDescent="0.25">
      <c r="O131" s="46">
        <v>47209</v>
      </c>
      <c r="P131" s="200">
        <f t="shared" si="27"/>
        <v>0</v>
      </c>
      <c r="Q131" s="239">
        <f t="shared" si="25"/>
        <v>0</v>
      </c>
      <c r="R131" s="201">
        <f t="shared" si="26"/>
        <v>0</v>
      </c>
    </row>
    <row r="132" spans="15:18" x14ac:dyDescent="0.25">
      <c r="O132" s="46">
        <v>47239</v>
      </c>
      <c r="P132" s="200">
        <f t="shared" si="27"/>
        <v>0</v>
      </c>
      <c r="Q132" s="239">
        <f t="shared" si="25"/>
        <v>0</v>
      </c>
      <c r="R132" s="201">
        <f t="shared" si="26"/>
        <v>0</v>
      </c>
    </row>
    <row r="133" spans="15:18" x14ac:dyDescent="0.25">
      <c r="O133" s="46">
        <v>47270</v>
      </c>
      <c r="P133" s="200">
        <f t="shared" si="27"/>
        <v>0</v>
      </c>
      <c r="Q133" s="239">
        <f t="shared" si="25"/>
        <v>0</v>
      </c>
      <c r="R133" s="201">
        <f t="shared" si="26"/>
        <v>0</v>
      </c>
    </row>
    <row r="134" spans="15:18" x14ac:dyDescent="0.25">
      <c r="O134" s="46">
        <v>47300</v>
      </c>
      <c r="P134" s="200">
        <f t="shared" si="27"/>
        <v>0</v>
      </c>
      <c r="Q134" s="239">
        <f t="shared" si="25"/>
        <v>0</v>
      </c>
      <c r="R134" s="201">
        <f t="shared" si="26"/>
        <v>0</v>
      </c>
    </row>
    <row r="135" spans="15:18" x14ac:dyDescent="0.25">
      <c r="O135" s="46">
        <v>47331</v>
      </c>
      <c r="P135" s="200">
        <f t="shared" si="27"/>
        <v>0</v>
      </c>
      <c r="Q135" s="239">
        <f t="shared" si="25"/>
        <v>0</v>
      </c>
      <c r="R135" s="201">
        <f t="shared" si="26"/>
        <v>0</v>
      </c>
    </row>
    <row r="136" spans="15:18" x14ac:dyDescent="0.25">
      <c r="O136" s="46">
        <v>47362</v>
      </c>
      <c r="P136" s="200">
        <f t="shared" si="27"/>
        <v>0</v>
      </c>
      <c r="Q136" s="239">
        <f t="shared" si="25"/>
        <v>0</v>
      </c>
      <c r="R136" s="201">
        <f t="shared" si="26"/>
        <v>0</v>
      </c>
    </row>
    <row r="137" spans="15:18" x14ac:dyDescent="0.25">
      <c r="O137" s="46">
        <v>47392</v>
      </c>
      <c r="P137" s="200">
        <f t="shared" si="27"/>
        <v>0</v>
      </c>
      <c r="Q137" s="239">
        <f t="shared" si="25"/>
        <v>0</v>
      </c>
      <c r="R137" s="201">
        <f t="shared" si="26"/>
        <v>0</v>
      </c>
    </row>
    <row r="138" spans="15:18" x14ac:dyDescent="0.25">
      <c r="O138" s="46">
        <v>47423</v>
      </c>
      <c r="P138" s="200">
        <f t="shared" si="27"/>
        <v>0</v>
      </c>
      <c r="Q138" s="239">
        <f t="shared" si="25"/>
        <v>0</v>
      </c>
      <c r="R138" s="201">
        <f t="shared" si="26"/>
        <v>0</v>
      </c>
    </row>
    <row r="139" spans="15:18" x14ac:dyDescent="0.25">
      <c r="O139" s="46">
        <v>47453</v>
      </c>
      <c r="P139" s="200">
        <f t="shared" si="27"/>
        <v>0</v>
      </c>
      <c r="Q139" s="239">
        <f t="shared" si="25"/>
        <v>0</v>
      </c>
      <c r="R139" s="201">
        <f t="shared" si="26"/>
        <v>0</v>
      </c>
    </row>
    <row r="140" spans="15:18" x14ac:dyDescent="0.25">
      <c r="O140" s="46">
        <v>47484</v>
      </c>
      <c r="P140" s="200">
        <f t="shared" ref="P140:P171" si="28">SUMIFS(M:M,C:C,O140)/$U$2*12</f>
        <v>0</v>
      </c>
      <c r="Q140" s="239">
        <f t="shared" si="25"/>
        <v>0</v>
      </c>
      <c r="R140" s="201">
        <f t="shared" si="26"/>
        <v>0</v>
      </c>
    </row>
    <row r="141" spans="15:18" x14ac:dyDescent="0.25">
      <c r="O141" s="46">
        <v>47515</v>
      </c>
      <c r="P141" s="200">
        <f t="shared" si="28"/>
        <v>0</v>
      </c>
      <c r="Q141" s="239">
        <f t="shared" si="25"/>
        <v>0</v>
      </c>
      <c r="R141" s="201">
        <f t="shared" si="26"/>
        <v>0</v>
      </c>
    </row>
    <row r="142" spans="15:18" x14ac:dyDescent="0.25">
      <c r="O142" s="46">
        <v>47543</v>
      </c>
      <c r="P142" s="200">
        <f t="shared" si="28"/>
        <v>0</v>
      </c>
      <c r="Q142" s="239">
        <f t="shared" ref="Q142:Q205" si="29">Q141-R141+P142</f>
        <v>0</v>
      </c>
      <c r="R142" s="201">
        <f t="shared" si="26"/>
        <v>0</v>
      </c>
    </row>
    <row r="143" spans="15:18" x14ac:dyDescent="0.25">
      <c r="O143" s="46">
        <v>47574</v>
      </c>
      <c r="P143" s="200">
        <f t="shared" si="28"/>
        <v>0</v>
      </c>
      <c r="Q143" s="239">
        <f t="shared" si="29"/>
        <v>0</v>
      </c>
      <c r="R143" s="201">
        <f t="shared" si="26"/>
        <v>0</v>
      </c>
    </row>
    <row r="144" spans="15:18" x14ac:dyDescent="0.25">
      <c r="O144" s="46">
        <v>47604</v>
      </c>
      <c r="P144" s="200">
        <f t="shared" si="28"/>
        <v>0</v>
      </c>
      <c r="Q144" s="239">
        <f t="shared" si="29"/>
        <v>0</v>
      </c>
      <c r="R144" s="201">
        <f t="shared" ref="R144:R207" si="30">IF(Q144&gt;1,1,Q144)</f>
        <v>0</v>
      </c>
    </row>
    <row r="145" spans="15:18" x14ac:dyDescent="0.25">
      <c r="O145" s="46">
        <v>47635</v>
      </c>
      <c r="P145" s="200">
        <f t="shared" si="28"/>
        <v>0</v>
      </c>
      <c r="Q145" s="239">
        <f t="shared" si="29"/>
        <v>0</v>
      </c>
      <c r="R145" s="201">
        <f t="shared" si="30"/>
        <v>0</v>
      </c>
    </row>
    <row r="146" spans="15:18" x14ac:dyDescent="0.25">
      <c r="O146" s="46">
        <v>47665</v>
      </c>
      <c r="P146" s="200">
        <f t="shared" si="28"/>
        <v>0</v>
      </c>
      <c r="Q146" s="239">
        <f t="shared" si="29"/>
        <v>0</v>
      </c>
      <c r="R146" s="201">
        <f t="shared" si="30"/>
        <v>0</v>
      </c>
    </row>
    <row r="147" spans="15:18" x14ac:dyDescent="0.25">
      <c r="O147" s="46">
        <v>47696</v>
      </c>
      <c r="P147" s="200">
        <f t="shared" si="28"/>
        <v>0</v>
      </c>
      <c r="Q147" s="239">
        <f t="shared" si="29"/>
        <v>0</v>
      </c>
      <c r="R147" s="201">
        <f t="shared" si="30"/>
        <v>0</v>
      </c>
    </row>
    <row r="148" spans="15:18" x14ac:dyDescent="0.25">
      <c r="O148" s="46">
        <v>47727</v>
      </c>
      <c r="P148" s="200">
        <f t="shared" si="28"/>
        <v>0</v>
      </c>
      <c r="Q148" s="239">
        <f t="shared" si="29"/>
        <v>0</v>
      </c>
      <c r="R148" s="201">
        <f t="shared" si="30"/>
        <v>0</v>
      </c>
    </row>
    <row r="149" spans="15:18" x14ac:dyDescent="0.25">
      <c r="O149" s="46">
        <v>47757</v>
      </c>
      <c r="P149" s="200">
        <f t="shared" si="28"/>
        <v>0</v>
      </c>
      <c r="Q149" s="239">
        <f t="shared" si="29"/>
        <v>0</v>
      </c>
      <c r="R149" s="201">
        <f t="shared" si="30"/>
        <v>0</v>
      </c>
    </row>
    <row r="150" spans="15:18" x14ac:dyDescent="0.25">
      <c r="O150" s="46">
        <v>47788</v>
      </c>
      <c r="P150" s="200">
        <f t="shared" si="28"/>
        <v>0</v>
      </c>
      <c r="Q150" s="239">
        <f t="shared" si="29"/>
        <v>0</v>
      </c>
      <c r="R150" s="201">
        <f t="shared" si="30"/>
        <v>0</v>
      </c>
    </row>
    <row r="151" spans="15:18" x14ac:dyDescent="0.25">
      <c r="O151" s="46">
        <v>47818</v>
      </c>
      <c r="P151" s="200">
        <f t="shared" si="28"/>
        <v>0</v>
      </c>
      <c r="Q151" s="239">
        <f t="shared" si="29"/>
        <v>0</v>
      </c>
      <c r="R151" s="201">
        <f t="shared" si="30"/>
        <v>0</v>
      </c>
    </row>
    <row r="152" spans="15:18" x14ac:dyDescent="0.25">
      <c r="O152" s="46">
        <v>47849</v>
      </c>
      <c r="P152" s="200">
        <f t="shared" si="28"/>
        <v>0</v>
      </c>
      <c r="Q152" s="239">
        <f t="shared" si="29"/>
        <v>0</v>
      </c>
      <c r="R152" s="201">
        <f t="shared" si="30"/>
        <v>0</v>
      </c>
    </row>
    <row r="153" spans="15:18" x14ac:dyDescent="0.25">
      <c r="O153" s="46">
        <v>47880</v>
      </c>
      <c r="P153" s="200">
        <f t="shared" si="28"/>
        <v>0</v>
      </c>
      <c r="Q153" s="239">
        <f t="shared" si="29"/>
        <v>0</v>
      </c>
      <c r="R153" s="201">
        <f t="shared" si="30"/>
        <v>0</v>
      </c>
    </row>
    <row r="154" spans="15:18" x14ac:dyDescent="0.25">
      <c r="O154" s="46">
        <v>47908</v>
      </c>
      <c r="P154" s="200">
        <f t="shared" si="28"/>
        <v>0</v>
      </c>
      <c r="Q154" s="239">
        <f t="shared" si="29"/>
        <v>0</v>
      </c>
      <c r="R154" s="201">
        <f t="shared" si="30"/>
        <v>0</v>
      </c>
    </row>
    <row r="155" spans="15:18" x14ac:dyDescent="0.25">
      <c r="O155" s="46">
        <v>47939</v>
      </c>
      <c r="P155" s="200">
        <f t="shared" si="28"/>
        <v>0</v>
      </c>
      <c r="Q155" s="239">
        <f t="shared" si="29"/>
        <v>0</v>
      </c>
      <c r="R155" s="201">
        <f t="shared" si="30"/>
        <v>0</v>
      </c>
    </row>
    <row r="156" spans="15:18" x14ac:dyDescent="0.25">
      <c r="O156" s="46">
        <v>47969</v>
      </c>
      <c r="P156" s="200">
        <f t="shared" si="28"/>
        <v>0</v>
      </c>
      <c r="Q156" s="239">
        <f t="shared" si="29"/>
        <v>0</v>
      </c>
      <c r="R156" s="201">
        <f t="shared" si="30"/>
        <v>0</v>
      </c>
    </row>
    <row r="157" spans="15:18" x14ac:dyDescent="0.25">
      <c r="O157" s="46">
        <v>48000</v>
      </c>
      <c r="P157" s="200">
        <f t="shared" si="28"/>
        <v>0</v>
      </c>
      <c r="Q157" s="239">
        <f t="shared" si="29"/>
        <v>0</v>
      </c>
      <c r="R157" s="201">
        <f t="shared" si="30"/>
        <v>0</v>
      </c>
    </row>
    <row r="158" spans="15:18" x14ac:dyDescent="0.25">
      <c r="O158" s="46">
        <v>48030</v>
      </c>
      <c r="P158" s="200">
        <f t="shared" si="28"/>
        <v>0</v>
      </c>
      <c r="Q158" s="239">
        <f t="shared" si="29"/>
        <v>0</v>
      </c>
      <c r="R158" s="201">
        <f t="shared" si="30"/>
        <v>0</v>
      </c>
    </row>
    <row r="159" spans="15:18" x14ac:dyDescent="0.25">
      <c r="O159" s="46">
        <v>48061</v>
      </c>
      <c r="P159" s="200">
        <f t="shared" si="28"/>
        <v>0</v>
      </c>
      <c r="Q159" s="239">
        <f t="shared" si="29"/>
        <v>0</v>
      </c>
      <c r="R159" s="201">
        <f t="shared" si="30"/>
        <v>0</v>
      </c>
    </row>
    <row r="160" spans="15:18" x14ac:dyDescent="0.25">
      <c r="O160" s="46">
        <v>48092</v>
      </c>
      <c r="P160" s="200">
        <f t="shared" si="28"/>
        <v>0</v>
      </c>
      <c r="Q160" s="239">
        <f t="shared" si="29"/>
        <v>0</v>
      </c>
      <c r="R160" s="201">
        <f t="shared" si="30"/>
        <v>0</v>
      </c>
    </row>
    <row r="161" spans="15:18" x14ac:dyDescent="0.25">
      <c r="O161" s="46">
        <v>48122</v>
      </c>
      <c r="P161" s="200">
        <f t="shared" si="28"/>
        <v>0</v>
      </c>
      <c r="Q161" s="239">
        <f t="shared" si="29"/>
        <v>0</v>
      </c>
      <c r="R161" s="201">
        <f t="shared" si="30"/>
        <v>0</v>
      </c>
    </row>
    <row r="162" spans="15:18" x14ac:dyDescent="0.25">
      <c r="O162" s="46">
        <v>48153</v>
      </c>
      <c r="P162" s="200">
        <f t="shared" si="28"/>
        <v>0</v>
      </c>
      <c r="Q162" s="239">
        <f t="shared" si="29"/>
        <v>0</v>
      </c>
      <c r="R162" s="201">
        <f t="shared" si="30"/>
        <v>0</v>
      </c>
    </row>
    <row r="163" spans="15:18" x14ac:dyDescent="0.25">
      <c r="O163" s="46">
        <v>48183</v>
      </c>
      <c r="P163" s="200">
        <f t="shared" si="28"/>
        <v>0</v>
      </c>
      <c r="Q163" s="239">
        <f t="shared" si="29"/>
        <v>0</v>
      </c>
      <c r="R163" s="201">
        <f t="shared" si="30"/>
        <v>0</v>
      </c>
    </row>
    <row r="164" spans="15:18" x14ac:dyDescent="0.25">
      <c r="O164" s="46">
        <v>48214</v>
      </c>
      <c r="P164" s="200">
        <f t="shared" si="28"/>
        <v>0</v>
      </c>
      <c r="Q164" s="239">
        <f t="shared" si="29"/>
        <v>0</v>
      </c>
      <c r="R164" s="201">
        <f t="shared" si="30"/>
        <v>0</v>
      </c>
    </row>
    <row r="165" spans="15:18" x14ac:dyDescent="0.25">
      <c r="O165" s="46">
        <v>48245</v>
      </c>
      <c r="P165" s="200">
        <f t="shared" si="28"/>
        <v>0</v>
      </c>
      <c r="Q165" s="239">
        <f t="shared" si="29"/>
        <v>0</v>
      </c>
      <c r="R165" s="201">
        <f t="shared" si="30"/>
        <v>0</v>
      </c>
    </row>
    <row r="166" spans="15:18" x14ac:dyDescent="0.25">
      <c r="O166" s="46">
        <v>48274</v>
      </c>
      <c r="P166" s="200">
        <f t="shared" si="28"/>
        <v>0</v>
      </c>
      <c r="Q166" s="239">
        <f t="shared" si="29"/>
        <v>0</v>
      </c>
      <c r="R166" s="201">
        <f t="shared" si="30"/>
        <v>0</v>
      </c>
    </row>
    <row r="167" spans="15:18" x14ac:dyDescent="0.25">
      <c r="O167" s="46">
        <v>48305</v>
      </c>
      <c r="P167" s="200">
        <f t="shared" si="28"/>
        <v>0</v>
      </c>
      <c r="Q167" s="239">
        <f t="shared" si="29"/>
        <v>0</v>
      </c>
      <c r="R167" s="201">
        <f t="shared" si="30"/>
        <v>0</v>
      </c>
    </row>
    <row r="168" spans="15:18" x14ac:dyDescent="0.25">
      <c r="O168" s="46">
        <v>48335</v>
      </c>
      <c r="P168" s="200">
        <f t="shared" si="28"/>
        <v>0</v>
      </c>
      <c r="Q168" s="239">
        <f t="shared" si="29"/>
        <v>0</v>
      </c>
      <c r="R168" s="201">
        <f t="shared" si="30"/>
        <v>0</v>
      </c>
    </row>
    <row r="169" spans="15:18" x14ac:dyDescent="0.25">
      <c r="O169" s="46">
        <v>48366</v>
      </c>
      <c r="P169" s="200">
        <f t="shared" si="28"/>
        <v>0</v>
      </c>
      <c r="Q169" s="239">
        <f t="shared" si="29"/>
        <v>0</v>
      </c>
      <c r="R169" s="201">
        <f t="shared" si="30"/>
        <v>0</v>
      </c>
    </row>
    <row r="170" spans="15:18" x14ac:dyDescent="0.25">
      <c r="O170" s="46">
        <v>48396</v>
      </c>
      <c r="P170" s="200">
        <f t="shared" si="28"/>
        <v>0</v>
      </c>
      <c r="Q170" s="239">
        <f t="shared" si="29"/>
        <v>0</v>
      </c>
      <c r="R170" s="201">
        <f t="shared" si="30"/>
        <v>0</v>
      </c>
    </row>
    <row r="171" spans="15:18" x14ac:dyDescent="0.25">
      <c r="O171" s="46">
        <v>48427</v>
      </c>
      <c r="P171" s="200">
        <f t="shared" si="28"/>
        <v>0</v>
      </c>
      <c r="Q171" s="239">
        <f t="shared" si="29"/>
        <v>0</v>
      </c>
      <c r="R171" s="201">
        <f t="shared" si="30"/>
        <v>0</v>
      </c>
    </row>
    <row r="172" spans="15:18" x14ac:dyDescent="0.25">
      <c r="O172" s="46">
        <v>48458</v>
      </c>
      <c r="P172" s="200">
        <f t="shared" ref="P172:P203" si="31">SUMIFS(M:M,C:C,O172)/$U$2*12</f>
        <v>0</v>
      </c>
      <c r="Q172" s="239">
        <f t="shared" si="29"/>
        <v>0</v>
      </c>
      <c r="R172" s="201">
        <f t="shared" si="30"/>
        <v>0</v>
      </c>
    </row>
    <row r="173" spans="15:18" x14ac:dyDescent="0.25">
      <c r="O173" s="46">
        <v>48488</v>
      </c>
      <c r="P173" s="200">
        <f t="shared" si="31"/>
        <v>0</v>
      </c>
      <c r="Q173" s="239">
        <f t="shared" si="29"/>
        <v>0</v>
      </c>
      <c r="R173" s="201">
        <f t="shared" si="30"/>
        <v>0</v>
      </c>
    </row>
    <row r="174" spans="15:18" x14ac:dyDescent="0.25">
      <c r="O174" s="46">
        <v>48519</v>
      </c>
      <c r="P174" s="200">
        <f t="shared" si="31"/>
        <v>0</v>
      </c>
      <c r="Q174" s="239">
        <f t="shared" si="29"/>
        <v>0</v>
      </c>
      <c r="R174" s="201">
        <f t="shared" si="30"/>
        <v>0</v>
      </c>
    </row>
    <row r="175" spans="15:18" x14ac:dyDescent="0.25">
      <c r="O175" s="46">
        <v>48549</v>
      </c>
      <c r="P175" s="200">
        <f t="shared" si="31"/>
        <v>0</v>
      </c>
      <c r="Q175" s="239">
        <f t="shared" si="29"/>
        <v>0</v>
      </c>
      <c r="R175" s="201">
        <f t="shared" si="30"/>
        <v>0</v>
      </c>
    </row>
    <row r="176" spans="15:18" x14ac:dyDescent="0.25">
      <c r="O176" s="46">
        <v>48580</v>
      </c>
      <c r="P176" s="200">
        <f t="shared" si="31"/>
        <v>0</v>
      </c>
      <c r="Q176" s="239">
        <f t="shared" si="29"/>
        <v>0</v>
      </c>
      <c r="R176" s="201">
        <f t="shared" si="30"/>
        <v>0</v>
      </c>
    </row>
    <row r="177" spans="15:18" x14ac:dyDescent="0.25">
      <c r="O177" s="46">
        <v>48611</v>
      </c>
      <c r="P177" s="200">
        <f t="shared" si="31"/>
        <v>0</v>
      </c>
      <c r="Q177" s="239">
        <f t="shared" si="29"/>
        <v>0</v>
      </c>
      <c r="R177" s="201">
        <f t="shared" si="30"/>
        <v>0</v>
      </c>
    </row>
    <row r="178" spans="15:18" x14ac:dyDescent="0.25">
      <c r="O178" s="46">
        <v>48639</v>
      </c>
      <c r="P178" s="200">
        <f t="shared" si="31"/>
        <v>0</v>
      </c>
      <c r="Q178" s="239">
        <f t="shared" si="29"/>
        <v>0</v>
      </c>
      <c r="R178" s="201">
        <f t="shared" si="30"/>
        <v>0</v>
      </c>
    </row>
    <row r="179" spans="15:18" x14ac:dyDescent="0.25">
      <c r="O179" s="46">
        <v>48670</v>
      </c>
      <c r="P179" s="200">
        <f t="shared" si="31"/>
        <v>0</v>
      </c>
      <c r="Q179" s="239">
        <f t="shared" si="29"/>
        <v>0</v>
      </c>
      <c r="R179" s="201">
        <f t="shared" si="30"/>
        <v>0</v>
      </c>
    </row>
    <row r="180" spans="15:18" x14ac:dyDescent="0.25">
      <c r="O180" s="46">
        <v>48700</v>
      </c>
      <c r="P180" s="200">
        <f t="shared" si="31"/>
        <v>0</v>
      </c>
      <c r="Q180" s="239">
        <f t="shared" si="29"/>
        <v>0</v>
      </c>
      <c r="R180" s="201">
        <f t="shared" si="30"/>
        <v>0</v>
      </c>
    </row>
    <row r="181" spans="15:18" x14ac:dyDescent="0.25">
      <c r="O181" s="46">
        <v>48731</v>
      </c>
      <c r="P181" s="200">
        <f t="shared" si="31"/>
        <v>0</v>
      </c>
      <c r="Q181" s="239">
        <f t="shared" si="29"/>
        <v>0</v>
      </c>
      <c r="R181" s="201">
        <f t="shared" si="30"/>
        <v>0</v>
      </c>
    </row>
    <row r="182" spans="15:18" x14ac:dyDescent="0.25">
      <c r="O182" s="46">
        <v>48761</v>
      </c>
      <c r="P182" s="200">
        <f t="shared" si="31"/>
        <v>0</v>
      </c>
      <c r="Q182" s="239">
        <f t="shared" si="29"/>
        <v>0</v>
      </c>
      <c r="R182" s="201">
        <f t="shared" si="30"/>
        <v>0</v>
      </c>
    </row>
    <row r="183" spans="15:18" x14ac:dyDescent="0.25">
      <c r="O183" s="46">
        <v>48792</v>
      </c>
      <c r="P183" s="200">
        <f t="shared" si="31"/>
        <v>0</v>
      </c>
      <c r="Q183" s="239">
        <f t="shared" si="29"/>
        <v>0</v>
      </c>
      <c r="R183" s="201">
        <f t="shared" si="30"/>
        <v>0</v>
      </c>
    </row>
    <row r="184" spans="15:18" x14ac:dyDescent="0.25">
      <c r="O184" s="46">
        <v>48823</v>
      </c>
      <c r="P184" s="200">
        <f t="shared" si="31"/>
        <v>0</v>
      </c>
      <c r="Q184" s="239">
        <f t="shared" si="29"/>
        <v>0</v>
      </c>
      <c r="R184" s="201">
        <f t="shared" si="30"/>
        <v>0</v>
      </c>
    </row>
    <row r="185" spans="15:18" x14ac:dyDescent="0.25">
      <c r="O185" s="46">
        <v>48853</v>
      </c>
      <c r="P185" s="200">
        <f t="shared" si="31"/>
        <v>0</v>
      </c>
      <c r="Q185" s="239">
        <f t="shared" si="29"/>
        <v>0</v>
      </c>
      <c r="R185" s="201">
        <f t="shared" si="30"/>
        <v>0</v>
      </c>
    </row>
    <row r="186" spans="15:18" x14ac:dyDescent="0.25">
      <c r="O186" s="46">
        <v>48884</v>
      </c>
      <c r="P186" s="200">
        <f t="shared" si="31"/>
        <v>0</v>
      </c>
      <c r="Q186" s="239">
        <f t="shared" si="29"/>
        <v>0</v>
      </c>
      <c r="R186" s="201">
        <f t="shared" si="30"/>
        <v>0</v>
      </c>
    </row>
    <row r="187" spans="15:18" x14ac:dyDescent="0.25">
      <c r="O187" s="46">
        <v>48914</v>
      </c>
      <c r="P187" s="200">
        <f t="shared" si="31"/>
        <v>0</v>
      </c>
      <c r="Q187" s="239">
        <f t="shared" si="29"/>
        <v>0</v>
      </c>
      <c r="R187" s="201">
        <f t="shared" si="30"/>
        <v>0</v>
      </c>
    </row>
    <row r="188" spans="15:18" x14ac:dyDescent="0.25">
      <c r="O188" s="46">
        <v>48945</v>
      </c>
      <c r="P188" s="200">
        <f t="shared" si="31"/>
        <v>0</v>
      </c>
      <c r="Q188" s="239">
        <f t="shared" si="29"/>
        <v>0</v>
      </c>
      <c r="R188" s="201">
        <f t="shared" si="30"/>
        <v>0</v>
      </c>
    </row>
    <row r="189" spans="15:18" x14ac:dyDescent="0.25">
      <c r="O189" s="46">
        <v>48976</v>
      </c>
      <c r="P189" s="200">
        <f t="shared" si="31"/>
        <v>0</v>
      </c>
      <c r="Q189" s="239">
        <f t="shared" si="29"/>
        <v>0</v>
      </c>
      <c r="R189" s="201">
        <f t="shared" si="30"/>
        <v>0</v>
      </c>
    </row>
    <row r="190" spans="15:18" x14ac:dyDescent="0.25">
      <c r="O190" s="46">
        <v>49004</v>
      </c>
      <c r="P190" s="200">
        <f t="shared" si="31"/>
        <v>0</v>
      </c>
      <c r="Q190" s="239">
        <f t="shared" si="29"/>
        <v>0</v>
      </c>
      <c r="R190" s="201">
        <f t="shared" si="30"/>
        <v>0</v>
      </c>
    </row>
    <row r="191" spans="15:18" x14ac:dyDescent="0.25">
      <c r="O191" s="46">
        <v>49035</v>
      </c>
      <c r="P191" s="200">
        <f t="shared" si="31"/>
        <v>0</v>
      </c>
      <c r="Q191" s="239">
        <f t="shared" si="29"/>
        <v>0</v>
      </c>
      <c r="R191" s="201">
        <f t="shared" si="30"/>
        <v>0</v>
      </c>
    </row>
    <row r="192" spans="15:18" x14ac:dyDescent="0.25">
      <c r="O192" s="46">
        <v>49065</v>
      </c>
      <c r="P192" s="200">
        <f t="shared" si="31"/>
        <v>0</v>
      </c>
      <c r="Q192" s="239">
        <f t="shared" si="29"/>
        <v>0</v>
      </c>
      <c r="R192" s="201">
        <f t="shared" si="30"/>
        <v>0</v>
      </c>
    </row>
    <row r="193" spans="15:18" x14ac:dyDescent="0.25">
      <c r="O193" s="46">
        <v>49096</v>
      </c>
      <c r="P193" s="200">
        <f t="shared" si="31"/>
        <v>0</v>
      </c>
      <c r="Q193" s="239">
        <f t="shared" si="29"/>
        <v>0</v>
      </c>
      <c r="R193" s="201">
        <f t="shared" si="30"/>
        <v>0</v>
      </c>
    </row>
    <row r="194" spans="15:18" x14ac:dyDescent="0.25">
      <c r="O194" s="46">
        <v>49126</v>
      </c>
      <c r="P194" s="200">
        <f t="shared" si="31"/>
        <v>0</v>
      </c>
      <c r="Q194" s="239">
        <f t="shared" si="29"/>
        <v>0</v>
      </c>
      <c r="R194" s="201">
        <f t="shared" si="30"/>
        <v>0</v>
      </c>
    </row>
    <row r="195" spans="15:18" x14ac:dyDescent="0.25">
      <c r="O195" s="46">
        <v>49157</v>
      </c>
      <c r="P195" s="200">
        <f t="shared" si="31"/>
        <v>0</v>
      </c>
      <c r="Q195" s="239">
        <f t="shared" si="29"/>
        <v>0</v>
      </c>
      <c r="R195" s="201">
        <f t="shared" si="30"/>
        <v>0</v>
      </c>
    </row>
    <row r="196" spans="15:18" x14ac:dyDescent="0.25">
      <c r="O196" s="46">
        <v>49188</v>
      </c>
      <c r="P196" s="200">
        <f t="shared" si="31"/>
        <v>0</v>
      </c>
      <c r="Q196" s="239">
        <f t="shared" si="29"/>
        <v>0</v>
      </c>
      <c r="R196" s="201">
        <f t="shared" si="30"/>
        <v>0</v>
      </c>
    </row>
    <row r="197" spans="15:18" x14ac:dyDescent="0.25">
      <c r="O197" s="46">
        <v>49218</v>
      </c>
      <c r="P197" s="200">
        <f t="shared" si="31"/>
        <v>0</v>
      </c>
      <c r="Q197" s="239">
        <f t="shared" si="29"/>
        <v>0</v>
      </c>
      <c r="R197" s="201">
        <f t="shared" si="30"/>
        <v>0</v>
      </c>
    </row>
    <row r="198" spans="15:18" x14ac:dyDescent="0.25">
      <c r="O198" s="46">
        <v>49249</v>
      </c>
      <c r="P198" s="200">
        <f t="shared" si="31"/>
        <v>0</v>
      </c>
      <c r="Q198" s="239">
        <f t="shared" si="29"/>
        <v>0</v>
      </c>
      <c r="R198" s="201">
        <f t="shared" si="30"/>
        <v>0</v>
      </c>
    </row>
    <row r="199" spans="15:18" x14ac:dyDescent="0.25">
      <c r="O199" s="46">
        <v>49279</v>
      </c>
      <c r="P199" s="200">
        <f t="shared" si="31"/>
        <v>0</v>
      </c>
      <c r="Q199" s="239">
        <f t="shared" si="29"/>
        <v>0</v>
      </c>
      <c r="R199" s="201">
        <f t="shared" si="30"/>
        <v>0</v>
      </c>
    </row>
    <row r="200" spans="15:18" x14ac:dyDescent="0.25">
      <c r="O200" s="46">
        <v>49310</v>
      </c>
      <c r="P200" s="200">
        <f t="shared" si="31"/>
        <v>0</v>
      </c>
      <c r="Q200" s="239">
        <f t="shared" si="29"/>
        <v>0</v>
      </c>
      <c r="R200" s="201">
        <f t="shared" si="30"/>
        <v>0</v>
      </c>
    </row>
    <row r="201" spans="15:18" x14ac:dyDescent="0.25">
      <c r="O201" s="46">
        <v>49341</v>
      </c>
      <c r="P201" s="200">
        <f t="shared" si="31"/>
        <v>0</v>
      </c>
      <c r="Q201" s="239">
        <f t="shared" si="29"/>
        <v>0</v>
      </c>
      <c r="R201" s="201">
        <f t="shared" si="30"/>
        <v>0</v>
      </c>
    </row>
    <row r="202" spans="15:18" x14ac:dyDescent="0.25">
      <c r="O202" s="46">
        <v>49369</v>
      </c>
      <c r="P202" s="200">
        <f t="shared" si="31"/>
        <v>0</v>
      </c>
      <c r="Q202" s="239">
        <f t="shared" si="29"/>
        <v>0</v>
      </c>
      <c r="R202" s="201">
        <f t="shared" si="30"/>
        <v>0</v>
      </c>
    </row>
    <row r="203" spans="15:18" x14ac:dyDescent="0.25">
      <c r="O203" s="46">
        <v>49400</v>
      </c>
      <c r="P203" s="200">
        <f t="shared" si="31"/>
        <v>0</v>
      </c>
      <c r="Q203" s="239">
        <f t="shared" si="29"/>
        <v>0</v>
      </c>
      <c r="R203" s="201">
        <f t="shared" si="30"/>
        <v>0</v>
      </c>
    </row>
    <row r="204" spans="15:18" x14ac:dyDescent="0.25">
      <c r="O204" s="46">
        <v>49430</v>
      </c>
      <c r="P204" s="200">
        <f t="shared" ref="P204:P210" si="32">SUMIFS(M:M,C:C,O204)/$U$2*12</f>
        <v>0</v>
      </c>
      <c r="Q204" s="239">
        <f t="shared" si="29"/>
        <v>0</v>
      </c>
      <c r="R204" s="201">
        <f t="shared" si="30"/>
        <v>0</v>
      </c>
    </row>
    <row r="205" spans="15:18" x14ac:dyDescent="0.25">
      <c r="O205" s="46">
        <v>49461</v>
      </c>
      <c r="P205" s="200">
        <f t="shared" si="32"/>
        <v>0</v>
      </c>
      <c r="Q205" s="239">
        <f t="shared" si="29"/>
        <v>0</v>
      </c>
      <c r="R205" s="201">
        <f t="shared" si="30"/>
        <v>0</v>
      </c>
    </row>
    <row r="206" spans="15:18" x14ac:dyDescent="0.25">
      <c r="O206" s="46">
        <v>49491</v>
      </c>
      <c r="P206" s="200">
        <f t="shared" si="32"/>
        <v>0</v>
      </c>
      <c r="Q206" s="239">
        <f t="shared" ref="Q206:Q210" si="33">Q205-R205+P206</f>
        <v>0</v>
      </c>
      <c r="R206" s="201">
        <f t="shared" si="30"/>
        <v>0</v>
      </c>
    </row>
    <row r="207" spans="15:18" x14ac:dyDescent="0.25">
      <c r="O207" s="46">
        <v>49522</v>
      </c>
      <c r="P207" s="200">
        <f t="shared" si="32"/>
        <v>0</v>
      </c>
      <c r="Q207" s="239">
        <f t="shared" si="33"/>
        <v>0</v>
      </c>
      <c r="R207" s="201">
        <f t="shared" si="30"/>
        <v>0</v>
      </c>
    </row>
    <row r="208" spans="15:18" x14ac:dyDescent="0.25">
      <c r="O208" s="46">
        <v>49553</v>
      </c>
      <c r="P208" s="200">
        <f t="shared" si="32"/>
        <v>0</v>
      </c>
      <c r="Q208" s="239">
        <f t="shared" si="33"/>
        <v>0</v>
      </c>
      <c r="R208" s="201">
        <f t="shared" ref="R208:R210" si="34">IF(Q208&gt;1,1,Q208)</f>
        <v>0</v>
      </c>
    </row>
    <row r="209" spans="15:18" x14ac:dyDescent="0.25">
      <c r="O209" s="46">
        <v>49583</v>
      </c>
      <c r="P209" s="200">
        <f t="shared" si="32"/>
        <v>0</v>
      </c>
      <c r="Q209" s="239">
        <f t="shared" si="33"/>
        <v>0</v>
      </c>
      <c r="R209" s="201">
        <f t="shared" si="34"/>
        <v>0</v>
      </c>
    </row>
    <row r="210" spans="15:18" x14ac:dyDescent="0.25">
      <c r="O210" s="46">
        <v>49614</v>
      </c>
      <c r="P210" s="200">
        <f t="shared" si="32"/>
        <v>0</v>
      </c>
      <c r="Q210" s="239">
        <f t="shared" si="33"/>
        <v>0</v>
      </c>
      <c r="R210" s="201">
        <f t="shared" si="34"/>
        <v>0</v>
      </c>
    </row>
  </sheetData>
  <autoFilter ref="AW16:BD16" xr:uid="{FD114C08-F02B-4DB9-9E4D-0034BA8A3386}"/>
  <mergeCells count="1">
    <mergeCell ref="O11:R11"/>
  </mergeCells>
  <conditionalFormatting sqref="R12:R13 P4:Q5 P6 T6">
    <cfRule type="cellIs" dxfId="18" priority="22" operator="greaterThan">
      <formula>0</formula>
    </cfRule>
  </conditionalFormatting>
  <conditionalFormatting sqref="P7:P8">
    <cfRule type="cellIs" dxfId="17" priority="21" operator="greaterThan">
      <formula>0</formula>
    </cfRule>
  </conditionalFormatting>
  <conditionalFormatting sqref="Z13">
    <cfRule type="top10" dxfId="16" priority="19" rank="5"/>
  </conditionalFormatting>
  <conditionalFormatting sqref="Z14">
    <cfRule type="top10" dxfId="15" priority="18" rank="5"/>
  </conditionalFormatting>
  <conditionalFormatting sqref="Z15">
    <cfRule type="top10" dxfId="14" priority="17" rank="5"/>
  </conditionalFormatting>
  <conditionalFormatting sqref="Z28">
    <cfRule type="top10" dxfId="13" priority="16" rank="5"/>
  </conditionalFormatting>
  <conditionalFormatting sqref="Z17">
    <cfRule type="top10" dxfId="12" priority="15" rank="5"/>
  </conditionalFormatting>
  <conditionalFormatting sqref="Z18">
    <cfRule type="top10" dxfId="11" priority="14" rank="5"/>
  </conditionalFormatting>
  <conditionalFormatting sqref="Z19">
    <cfRule type="top10" dxfId="10" priority="13" rank="5"/>
  </conditionalFormatting>
  <conditionalFormatting sqref="Z20">
    <cfRule type="top10" dxfId="9" priority="12" rank="5"/>
  </conditionalFormatting>
  <conditionalFormatting sqref="Z29:Z32 Z6:Z12 Z16 Z27">
    <cfRule type="top10" dxfId="8" priority="66" rank="5"/>
  </conditionalFormatting>
  <conditionalFormatting sqref="Z33">
    <cfRule type="top10" dxfId="7" priority="11" rank="5"/>
  </conditionalFormatting>
  <conditionalFormatting sqref="Z34">
    <cfRule type="top10" dxfId="6" priority="10" rank="5"/>
  </conditionalFormatting>
  <conditionalFormatting sqref="Z35">
    <cfRule type="top10" dxfId="5" priority="9" rank="5"/>
  </conditionalFormatting>
  <conditionalFormatting sqref="Z36">
    <cfRule type="top10" dxfId="4" priority="8" rank="5"/>
  </conditionalFormatting>
  <conditionalFormatting sqref="P12:Q210">
    <cfRule type="cellIs" dxfId="3" priority="6" operator="greaterThan">
      <formula>0</formula>
    </cfRule>
  </conditionalFormatting>
  <conditionalFormatting sqref="R14">
    <cfRule type="cellIs" dxfId="2" priority="5" operator="greaterThan">
      <formula>0</formula>
    </cfRule>
  </conditionalFormatting>
  <conditionalFormatting sqref="R15:R210">
    <cfRule type="cellIs" dxfId="1" priority="3" operator="greaterThan">
      <formula>0</formula>
    </cfRule>
  </conditionalFormatting>
  <conditionalFormatting sqref="T11">
    <cfRule type="cellIs" dxfId="0" priority="1" operator="greaterThan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4DE43-2F72-428C-B50E-B4911C0C30B1}">
  <dimension ref="B1:BH70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4" sqref="H4"/>
    </sheetView>
  </sheetViews>
  <sheetFormatPr defaultRowHeight="15" x14ac:dyDescent="0.25"/>
  <cols>
    <col min="1" max="1" width="1.42578125" customWidth="1"/>
    <col min="2" max="2" width="8.5703125" style="104" customWidth="1"/>
    <col min="3" max="3" width="8.7109375" style="108"/>
    <col min="4" max="4" width="8.7109375" style="9"/>
    <col min="5" max="5" width="11.140625" style="9" customWidth="1"/>
    <col min="6" max="6" width="8.7109375" style="122"/>
    <col min="7" max="7" width="8.7109375" style="9"/>
    <col min="8" max="8" width="9.85546875" style="123" bestFit="1" customWidth="1"/>
    <col min="9" max="10" width="9.85546875" style="261" customWidth="1"/>
    <col min="11" max="11" width="10.85546875" style="261" customWidth="1"/>
    <col min="12" max="14" width="9.85546875" style="261" customWidth="1"/>
    <col min="15" max="15" width="8.7109375" style="122"/>
    <col min="16" max="16" width="8.7109375" style="9"/>
    <col min="17" max="17" width="8.7109375" style="113"/>
    <col min="18" max="18" width="8.7109375" style="126"/>
    <col min="19" max="19" width="11.85546875" style="122" customWidth="1"/>
    <col min="20" max="22" width="11.85546875" style="9" customWidth="1"/>
    <col min="23" max="23" width="8.7109375" style="122"/>
    <col min="24" max="24" width="8.7109375" style="113"/>
    <col min="25" max="25" width="8.7109375" style="122"/>
    <col min="26" max="28" width="8.7109375" style="9"/>
    <col min="29" max="29" width="8.7109375" style="113"/>
    <col min="31" max="31" width="8.7109375" style="253"/>
    <col min="36" max="36" width="10.5703125" bestFit="1" customWidth="1"/>
    <col min="37" max="37" width="8.85546875" bestFit="1" customWidth="1"/>
    <col min="38" max="38" width="9.42578125" bestFit="1" customWidth="1"/>
    <col min="39" max="39" width="8.85546875" bestFit="1" customWidth="1"/>
  </cols>
  <sheetData>
    <row r="1" spans="2:60" s="94" customFormat="1" x14ac:dyDescent="0.25">
      <c r="B1" s="104"/>
      <c r="C1" s="106" t="s">
        <v>21</v>
      </c>
      <c r="D1" s="93"/>
      <c r="E1" s="93" t="s">
        <v>22</v>
      </c>
      <c r="F1" s="114" t="s">
        <v>22</v>
      </c>
      <c r="G1" s="93" t="s">
        <v>22</v>
      </c>
      <c r="H1" s="115" t="s">
        <v>22</v>
      </c>
      <c r="I1" s="258" t="s">
        <v>345</v>
      </c>
      <c r="J1" s="258" t="s">
        <v>21</v>
      </c>
      <c r="K1" s="258" t="s">
        <v>345</v>
      </c>
      <c r="L1" s="258" t="s">
        <v>21</v>
      </c>
      <c r="M1" s="258" t="s">
        <v>21</v>
      </c>
      <c r="N1" s="258" t="s">
        <v>21</v>
      </c>
      <c r="O1" s="114" t="s">
        <v>149</v>
      </c>
      <c r="P1" s="93"/>
      <c r="Q1" s="110"/>
      <c r="R1" s="124" t="s">
        <v>21</v>
      </c>
      <c r="S1" s="114" t="s">
        <v>21</v>
      </c>
      <c r="T1" s="93" t="s">
        <v>21</v>
      </c>
      <c r="U1" s="93" t="s">
        <v>21</v>
      </c>
      <c r="V1" s="110" t="s">
        <v>21</v>
      </c>
      <c r="W1" s="130"/>
      <c r="X1" s="131"/>
      <c r="Y1" s="130"/>
      <c r="AC1" s="131"/>
      <c r="AE1" s="255"/>
      <c r="AL1" s="95"/>
      <c r="AM1" s="95"/>
      <c r="AO1" s="94" t="s">
        <v>22</v>
      </c>
    </row>
    <row r="2" spans="2:60" s="98" customFormat="1" ht="15.75" thickBot="1" x14ac:dyDescent="0.3">
      <c r="B2" s="105">
        <v>67000</v>
      </c>
      <c r="C2" s="107" t="s">
        <v>175</v>
      </c>
      <c r="D2" s="97" t="s">
        <v>176</v>
      </c>
      <c r="E2" s="97" t="s">
        <v>175</v>
      </c>
      <c r="F2" s="116" t="s">
        <v>157</v>
      </c>
      <c r="G2" s="97" t="s">
        <v>177</v>
      </c>
      <c r="H2" s="117" t="s">
        <v>178</v>
      </c>
      <c r="I2" s="259" t="s">
        <v>8</v>
      </c>
      <c r="J2" s="259" t="s">
        <v>8</v>
      </c>
      <c r="K2" s="259" t="s">
        <v>346</v>
      </c>
      <c r="L2" s="259" t="s">
        <v>346</v>
      </c>
      <c r="M2" s="259" t="s">
        <v>149</v>
      </c>
      <c r="N2" s="259" t="s">
        <v>344</v>
      </c>
      <c r="O2" s="116" t="s">
        <v>158</v>
      </c>
      <c r="P2" s="97" t="s">
        <v>157</v>
      </c>
      <c r="Q2" s="111" t="s">
        <v>159</v>
      </c>
      <c r="R2" s="125" t="s">
        <v>167</v>
      </c>
      <c r="S2" s="128" t="s">
        <v>161</v>
      </c>
      <c r="T2" s="254" t="s">
        <v>342</v>
      </c>
      <c r="U2" s="254" t="s">
        <v>340</v>
      </c>
      <c r="V2" s="254" t="s">
        <v>341</v>
      </c>
      <c r="W2" s="116" t="s">
        <v>162</v>
      </c>
      <c r="X2" s="111" t="s">
        <v>163</v>
      </c>
      <c r="Y2" s="114" t="s">
        <v>349</v>
      </c>
      <c r="Z2" s="93" t="s">
        <v>357</v>
      </c>
      <c r="AA2" s="93" t="s">
        <v>348</v>
      </c>
      <c r="AB2" s="93" t="s">
        <v>164</v>
      </c>
      <c r="AC2" s="110" t="s">
        <v>116</v>
      </c>
      <c r="AD2" s="97"/>
      <c r="AE2" s="256"/>
      <c r="AF2" s="97"/>
      <c r="AG2" s="97"/>
      <c r="AL2" s="100"/>
      <c r="AN2" s="97" t="s">
        <v>3</v>
      </c>
      <c r="AO2" s="96" t="s">
        <v>148</v>
      </c>
      <c r="AP2" s="96" t="s">
        <v>149</v>
      </c>
      <c r="AQ2" s="96" t="s">
        <v>150</v>
      </c>
      <c r="AS2" s="97" t="s">
        <v>149</v>
      </c>
      <c r="AT2" s="99">
        <v>0.03</v>
      </c>
      <c r="AW2" s="101" t="s">
        <v>160</v>
      </c>
      <c r="AX2" s="102"/>
      <c r="AY2" s="103"/>
      <c r="BB2" s="98" t="s">
        <v>339</v>
      </c>
      <c r="BE2" s="98" t="s">
        <v>337</v>
      </c>
      <c r="BF2" s="98" t="s">
        <v>338</v>
      </c>
    </row>
    <row r="3" spans="2:60" x14ac:dyDescent="0.25">
      <c r="B3" s="104" t="s">
        <v>156</v>
      </c>
      <c r="C3" s="109">
        <v>0</v>
      </c>
      <c r="D3" s="91">
        <v>3.9</v>
      </c>
      <c r="E3" s="40">
        <f>C3/D3</f>
        <v>0</v>
      </c>
      <c r="F3" s="118">
        <v>23000</v>
      </c>
      <c r="G3" s="40">
        <v>86579.650689572081</v>
      </c>
      <c r="H3" s="119">
        <f>SUM(E3:G3)</f>
        <v>109579.65068957208</v>
      </c>
      <c r="I3" s="260"/>
      <c r="J3" s="260"/>
      <c r="K3" s="260"/>
      <c r="L3" s="260"/>
      <c r="M3" s="260"/>
      <c r="N3" s="260"/>
      <c r="AI3" s="309"/>
      <c r="AJ3" s="310" t="s">
        <v>165</v>
      </c>
      <c r="AK3" s="137">
        <v>0.5</v>
      </c>
      <c r="AN3" s="3">
        <v>1</v>
      </c>
      <c r="AO3" s="88">
        <v>4225726.2756052045</v>
      </c>
      <c r="AP3" s="44">
        <f t="shared" ref="AP3:AP42" si="0">(AO3+AQ3)*$AT$2/(1-$AT$2)</f>
        <v>125125.55491562487</v>
      </c>
      <c r="AQ3" s="44">
        <f t="shared" ref="AQ3:AQ42" si="1">-$AT$3</f>
        <v>-180000</v>
      </c>
      <c r="AS3" s="1" t="s">
        <v>151</v>
      </c>
      <c r="AT3" s="44">
        <f>12*15000</f>
        <v>180000</v>
      </c>
      <c r="AV3" t="s">
        <v>347</v>
      </c>
      <c r="AW3" s="16" t="s">
        <v>158</v>
      </c>
      <c r="AX3" s="10" t="s">
        <v>157</v>
      </c>
      <c r="AY3" s="18" t="s">
        <v>159</v>
      </c>
      <c r="BA3">
        <v>0</v>
      </c>
      <c r="BB3" s="58">
        <f>BE3+SUM($BF$3:$BH$3)</f>
        <v>0.22600000000000001</v>
      </c>
      <c r="BE3" s="77">
        <v>0.1</v>
      </c>
      <c r="BF3" s="185">
        <v>4.9500000000000002E-2</v>
      </c>
      <c r="BG3" s="185">
        <v>6.2E-2</v>
      </c>
      <c r="BH3" s="185">
        <v>1.4500000000000001E-2</v>
      </c>
    </row>
    <row r="4" spans="2:60" x14ac:dyDescent="0.25">
      <c r="B4" s="104">
        <v>2019</v>
      </c>
      <c r="C4" s="316">
        <f>C3+O4+R4+N4</f>
        <v>6930.3123400000004</v>
      </c>
      <c r="D4" s="315">
        <f t="shared" ref="D4:D41" si="2">D3*(1+$AJ$7-$AK$9)</f>
        <v>3.9974999999999996</v>
      </c>
      <c r="E4" s="40">
        <f>C4*D4</f>
        <v>27703.92357915</v>
      </c>
      <c r="F4" s="120">
        <f>F3+P4</f>
        <v>23711.340206185567</v>
      </c>
      <c r="G4" s="314">
        <f>G3+Q4</f>
        <v>93599.622367104952</v>
      </c>
      <c r="H4" s="119">
        <f>SUM(E4:G4)</f>
        <v>145014.88615244051</v>
      </c>
      <c r="I4" s="263">
        <v>0.05</v>
      </c>
      <c r="J4" s="260">
        <f>I4*U4</f>
        <v>2625</v>
      </c>
      <c r="K4" s="263">
        <v>0.04</v>
      </c>
      <c r="L4" s="260">
        <f>K4*U4</f>
        <v>2100</v>
      </c>
      <c r="M4" s="260"/>
      <c r="N4" s="319">
        <f>(J4+L4)*(1-$BE$4-$BF$3)</f>
        <v>3924.1125000000002</v>
      </c>
      <c r="O4" s="317">
        <f>C3*$AW$4/(1-$AW$4)</f>
        <v>0</v>
      </c>
      <c r="P4" s="40">
        <f t="shared" ref="P4:P41" si="3">F3*$AX$4/(1-$AX$4)</f>
        <v>711.34020618556701</v>
      </c>
      <c r="Q4" s="112">
        <f t="shared" ref="Q4:Q41" si="4">G3*$AY$4/(1-$AY$4)</f>
        <v>7019.9716775328707</v>
      </c>
      <c r="R4" s="318">
        <f>AB4*AC4-J4</f>
        <v>3006.1998400000002</v>
      </c>
      <c r="S4" s="120">
        <f t="shared" ref="S4:S41" si="5">T4-AG4</f>
        <v>46912.748</v>
      </c>
      <c r="T4" s="40">
        <f>SUM(U4:V4)</f>
        <v>58462</v>
      </c>
      <c r="U4" s="40">
        <f>90000*7/12</f>
        <v>52500</v>
      </c>
      <c r="V4" s="129">
        <v>5962</v>
      </c>
      <c r="Y4" s="274">
        <f>-'P&amp;L USA'!$C$13*8</f>
        <v>-26801.32</v>
      </c>
      <c r="Z4" s="272"/>
      <c r="AA4" s="273">
        <f>SUM(Y4:Z4)</f>
        <v>-26801.32</v>
      </c>
      <c r="AB4" s="40">
        <f t="shared" ref="AB4:AB41" si="6">S4+AA4</f>
        <v>20111.428</v>
      </c>
      <c r="AC4" s="132">
        <v>0.28000000000000003</v>
      </c>
      <c r="AD4" s="39">
        <f t="shared" ref="AD4:AD41" si="7">VLOOKUP(T4,$BA$2:$BC$9,1,TRUE)</f>
        <v>19400</v>
      </c>
      <c r="AE4" s="257">
        <f t="shared" ref="AE4:AE41" si="8">VLOOKUP(T4,$BA$2:$BC$9,2,TRUE)</f>
        <v>0.246</v>
      </c>
      <c r="AF4" s="39">
        <f t="shared" ref="AF4:AF41" si="9">VLOOKUP(T4,$BA$2:$BC$9,3,TRUE)</f>
        <v>1940</v>
      </c>
      <c r="AG4" s="39">
        <f t="shared" ref="AG4:AG41" si="10">(T4-AD4)*AE4+AF4</f>
        <v>11549.252</v>
      </c>
      <c r="AI4" s="138"/>
      <c r="AJ4" s="139" t="s">
        <v>166</v>
      </c>
      <c r="AK4" s="140">
        <v>0.95525958137273581</v>
      </c>
      <c r="AN4" s="3">
        <v>2</v>
      </c>
      <c r="AO4" s="44">
        <f>SUM(AO3:AQ3)</f>
        <v>4170851.8305208292</v>
      </c>
      <c r="AP4" s="44">
        <f t="shared" si="0"/>
        <v>123428.40712951019</v>
      </c>
      <c r="AQ4" s="44">
        <f t="shared" si="1"/>
        <v>-180000</v>
      </c>
      <c r="AV4" s="185">
        <f>3%+AK9</f>
        <v>0.05</v>
      </c>
      <c r="AW4" s="89">
        <v>0.02</v>
      </c>
      <c r="AX4" s="90">
        <v>0.03</v>
      </c>
      <c r="AY4" s="207">
        <v>7.4999999999999997E-2</v>
      </c>
      <c r="BA4" s="39">
        <v>19400</v>
      </c>
      <c r="BB4" s="58">
        <f t="shared" ref="BB4:BB8" si="11">BE4+SUM($BF$3:$BH$3)</f>
        <v>0.246</v>
      </c>
      <c r="BC4" s="39">
        <v>1940</v>
      </c>
      <c r="BE4" s="77">
        <v>0.12</v>
      </c>
    </row>
    <row r="5" spans="2:60" x14ac:dyDescent="0.25">
      <c r="B5" s="104">
        <v>2020</v>
      </c>
      <c r="C5" s="109">
        <f t="shared" ref="C5:C41" si="12">C4+O5+R5+N5</f>
        <v>21407.756997149911</v>
      </c>
      <c r="D5" s="92">
        <f t="shared" si="2"/>
        <v>4.097437499999999</v>
      </c>
      <c r="E5" s="40">
        <f>C5*D5</f>
        <v>87716.946311009408</v>
      </c>
      <c r="F5" s="120">
        <f t="shared" ref="F5:F41" si="13">F4+P5</f>
        <v>24444.680624933575</v>
      </c>
      <c r="G5" s="40">
        <f>G4+P5</f>
        <v>94332.962785852957</v>
      </c>
      <c r="H5" s="119">
        <f>SUM(E5:G5)</f>
        <v>206494.58972179593</v>
      </c>
      <c r="I5" s="262">
        <f>I4</f>
        <v>0.05</v>
      </c>
      <c r="J5" s="260">
        <f>I5*U5</f>
        <v>4500</v>
      </c>
      <c r="K5" s="262">
        <f>K4</f>
        <v>0.04</v>
      </c>
      <c r="L5" s="260">
        <f>K5*U5</f>
        <v>3600</v>
      </c>
      <c r="M5" s="260">
        <f>N4*$AV$4/(1-$AV$4)</f>
        <v>206.53223684210531</v>
      </c>
      <c r="N5" s="260">
        <f>(J5+L5+M5)*(1-$BE$4-$BF$3)</f>
        <v>6898.5750226973687</v>
      </c>
      <c r="O5" s="120">
        <f t="shared" ref="O5:O41" si="14">C4*$AW$4/(1-$AW$4)</f>
        <v>141.43494571428573</v>
      </c>
      <c r="P5" s="40">
        <f t="shared" si="3"/>
        <v>733.34041874800721</v>
      </c>
      <c r="Q5" s="112">
        <f t="shared" si="4"/>
        <v>7589.1585703058072</v>
      </c>
      <c r="R5" s="127">
        <f t="shared" ref="R5:R41" si="15">AB5*AC5-J5</f>
        <v>7437.4346887382562</v>
      </c>
      <c r="S5" s="120">
        <f t="shared" si="5"/>
        <v>82191.899999999994</v>
      </c>
      <c r="T5" s="40">
        <f t="shared" ref="T5:T41" si="16">SUM(U5:V5)</f>
        <v>97800</v>
      </c>
      <c r="U5" s="40">
        <v>90000</v>
      </c>
      <c r="V5" s="129">
        <v>7800</v>
      </c>
      <c r="Y5" s="274">
        <f>-'P&amp;L USA'!$C$13*12*(1+$AK$9)</f>
        <v>-41006.0196</v>
      </c>
      <c r="Z5" s="272"/>
      <c r="AA5" s="273">
        <f t="shared" ref="AA5:AA41" si="17">SUM(Y5:Z5)</f>
        <v>-41006.0196</v>
      </c>
      <c r="AB5" s="40">
        <f t="shared" si="6"/>
        <v>41185.880399999995</v>
      </c>
      <c r="AC5" s="134">
        <f t="shared" ref="AC5:AC41" si="18">$AK$3-($AK$3-AC4)*$AK$4</f>
        <v>0.28984289209799818</v>
      </c>
      <c r="AD5" s="39">
        <f t="shared" si="7"/>
        <v>78950</v>
      </c>
      <c r="AE5" s="257">
        <f t="shared" si="8"/>
        <v>0.34599999999999997</v>
      </c>
      <c r="AF5" s="39">
        <f t="shared" si="9"/>
        <v>9086</v>
      </c>
      <c r="AG5" s="39">
        <f t="shared" si="10"/>
        <v>15608.099999999999</v>
      </c>
      <c r="AI5" s="141"/>
      <c r="AJ5" s="142" t="s">
        <v>168</v>
      </c>
      <c r="AK5" s="143" t="s">
        <v>169</v>
      </c>
      <c r="AN5" s="3">
        <v>3</v>
      </c>
      <c r="AO5" s="44">
        <f t="shared" ref="AO5:AO43" si="19">SUM(AO4:AQ4)</f>
        <v>4114280.2376503395</v>
      </c>
      <c r="AP5" s="44">
        <f t="shared" si="0"/>
        <v>121678.77023660843</v>
      </c>
      <c r="AQ5" s="44">
        <f t="shared" si="1"/>
        <v>-180000</v>
      </c>
      <c r="BA5" s="39">
        <v>78950</v>
      </c>
      <c r="BB5" s="58">
        <f t="shared" si="11"/>
        <v>0.34599999999999997</v>
      </c>
      <c r="BC5" s="39">
        <v>9086</v>
      </c>
      <c r="BE5" s="77">
        <v>0.22</v>
      </c>
    </row>
    <row r="6" spans="2:60" x14ac:dyDescent="0.25">
      <c r="B6" s="104">
        <v>2021</v>
      </c>
      <c r="C6" s="109">
        <f t="shared" si="12"/>
        <v>32388.903672058397</v>
      </c>
      <c r="D6" s="92">
        <f t="shared" si="2"/>
        <v>4.1998734374999982</v>
      </c>
      <c r="E6" s="40">
        <f t="shared" ref="E6:E41" si="20">C6*D6</f>
        <v>136029.29620202421</v>
      </c>
      <c r="F6" s="120">
        <f t="shared" si="13"/>
        <v>25200.701675189252</v>
      </c>
      <c r="G6" s="40">
        <f t="shared" ref="G6:G41" si="21">G5+P6</f>
        <v>95088.983836108629</v>
      </c>
      <c r="H6" s="119">
        <f t="shared" ref="H6:H40" si="22">SUM(E6:G6)</f>
        <v>256318.98171332211</v>
      </c>
      <c r="I6" s="262">
        <f t="shared" ref="I6:I41" si="23">I5</f>
        <v>0.05</v>
      </c>
      <c r="J6" s="260">
        <f t="shared" ref="J6:J41" si="24">I6*U6</f>
        <v>4716</v>
      </c>
      <c r="K6" s="262">
        <f t="shared" ref="K6:K41" si="25">K5</f>
        <v>0.04</v>
      </c>
      <c r="L6" s="260">
        <f t="shared" ref="L6:L41" si="26">K6*U6</f>
        <v>3772.8</v>
      </c>
      <c r="M6" s="260">
        <f t="shared" ref="M6:M41" si="27">N5*$AV$4/(1-$AV$4)</f>
        <v>363.08289593144048</v>
      </c>
      <c r="N6" s="260">
        <f t="shared" ref="N6:N41" si="28">(J6+L6+M6)*(1-$BE$4-$BF$3)</f>
        <v>7351.4887450710612</v>
      </c>
      <c r="O6" s="120">
        <f t="shared" si="14"/>
        <v>436.89299994183494</v>
      </c>
      <c r="P6" s="40">
        <f t="shared" si="3"/>
        <v>756.02105025567755</v>
      </c>
      <c r="Q6" s="112">
        <f t="shared" si="4"/>
        <v>7648.6186042583477</v>
      </c>
      <c r="R6" s="127">
        <f t="shared" si="15"/>
        <v>3192.7649298955894</v>
      </c>
      <c r="S6" s="120">
        <f t="shared" si="5"/>
        <v>85147.98</v>
      </c>
      <c r="T6" s="40">
        <f t="shared" si="16"/>
        <v>102320</v>
      </c>
      <c r="U6" s="40">
        <f t="shared" ref="U6:V21" si="29">U5*(1+W6)</f>
        <v>94320</v>
      </c>
      <c r="V6" s="129">
        <v>8000</v>
      </c>
      <c r="W6" s="279">
        <f>AN46+AK9</f>
        <v>4.8000000000000001E-2</v>
      </c>
      <c r="X6" s="114"/>
      <c r="Y6" s="271">
        <f>Y5*(1+$AK$9)</f>
        <v>-41826.139991999997</v>
      </c>
      <c r="Z6" s="273">
        <f>-AL18</f>
        <v>-16892.813229844087</v>
      </c>
      <c r="AA6" s="273">
        <f t="shared" si="17"/>
        <v>-58718.953221844087</v>
      </c>
      <c r="AB6" s="40">
        <f t="shared" si="6"/>
        <v>26429.026778155909</v>
      </c>
      <c r="AC6" s="134">
        <f t="shared" si="18"/>
        <v>0.29924540908302888</v>
      </c>
      <c r="AD6" s="39">
        <f t="shared" si="7"/>
        <v>78950</v>
      </c>
      <c r="AE6" s="257">
        <f t="shared" si="8"/>
        <v>0.34599999999999997</v>
      </c>
      <c r="AF6" s="39">
        <f t="shared" si="9"/>
        <v>9086</v>
      </c>
      <c r="AG6" s="39">
        <f t="shared" si="10"/>
        <v>17172.02</v>
      </c>
      <c r="AI6" s="141" t="s">
        <v>171</v>
      </c>
      <c r="AJ6" s="144">
        <f>AJ7+AJ8</f>
        <v>8.4999999999999992E-2</v>
      </c>
      <c r="AK6" s="145">
        <f>(AJ6-AK10)*(1-AK11)</f>
        <v>6.9699999999999984E-2</v>
      </c>
      <c r="AN6" s="3">
        <v>4</v>
      </c>
      <c r="AO6" s="44">
        <f t="shared" si="19"/>
        <v>4055959.0078869481</v>
      </c>
      <c r="AP6" s="44">
        <f t="shared" si="0"/>
        <v>119875.02086248294</v>
      </c>
      <c r="AQ6" s="44">
        <f t="shared" si="1"/>
        <v>-180000</v>
      </c>
      <c r="AT6" t="s">
        <v>8</v>
      </c>
      <c r="AU6" s="44">
        <v>2754</v>
      </c>
      <c r="BA6" s="39">
        <v>168400</v>
      </c>
      <c r="BB6" s="58">
        <f t="shared" si="11"/>
        <v>0.36599999999999999</v>
      </c>
      <c r="BC6" s="39">
        <v>28765</v>
      </c>
      <c r="BE6" s="77">
        <v>0.24</v>
      </c>
    </row>
    <row r="7" spans="2:60" x14ac:dyDescent="0.25">
      <c r="B7" s="104">
        <v>2022</v>
      </c>
      <c r="C7" s="109">
        <f t="shared" si="12"/>
        <v>50964.595789789862</v>
      </c>
      <c r="D7" s="92">
        <f t="shared" si="2"/>
        <v>4.3048702734374977</v>
      </c>
      <c r="E7" s="40">
        <f t="shared" si="20"/>
        <v>219395.97341322424</v>
      </c>
      <c r="F7" s="120">
        <f t="shared" si="13"/>
        <v>25980.104819782733</v>
      </c>
      <c r="G7" s="40">
        <f t="shared" si="21"/>
        <v>95868.386980702111</v>
      </c>
      <c r="H7" s="119">
        <f t="shared" si="22"/>
        <v>341244.4652137091</v>
      </c>
      <c r="I7" s="262">
        <f t="shared" si="23"/>
        <v>0.05</v>
      </c>
      <c r="J7" s="260">
        <f t="shared" si="24"/>
        <v>4942.3680000000004</v>
      </c>
      <c r="K7" s="262">
        <f t="shared" si="25"/>
        <v>0.04</v>
      </c>
      <c r="L7" s="260">
        <f t="shared" si="26"/>
        <v>3953.8944000000001</v>
      </c>
      <c r="M7" s="260">
        <f t="shared" si="27"/>
        <v>386.92046026689798</v>
      </c>
      <c r="N7" s="260">
        <f t="shared" si="28"/>
        <v>7709.6833654516586</v>
      </c>
      <c r="O7" s="120">
        <f t="shared" si="14"/>
        <v>660.99803412364076</v>
      </c>
      <c r="P7" s="40">
        <f t="shared" si="3"/>
        <v>779.40314459348201</v>
      </c>
      <c r="Q7" s="112">
        <f t="shared" si="4"/>
        <v>7709.9176083331313</v>
      </c>
      <c r="R7" s="127">
        <f t="shared" si="15"/>
        <v>10205.010718156162</v>
      </c>
      <c r="S7" s="120">
        <f t="shared" si="5"/>
        <v>109036.87344</v>
      </c>
      <c r="T7" s="40">
        <f t="shared" si="16"/>
        <v>138847.35999999999</v>
      </c>
      <c r="U7" s="40">
        <f t="shared" si="29"/>
        <v>98847.360000000001</v>
      </c>
      <c r="V7" s="129">
        <v>40000</v>
      </c>
      <c r="W7" s="280">
        <f>W6</f>
        <v>4.8000000000000001E-2</v>
      </c>
      <c r="X7" s="134"/>
      <c r="Y7" s="271">
        <f t="shared" ref="Y7:Z22" si="30">Y6*(1+$AK$9)</f>
        <v>-42662.662791839997</v>
      </c>
      <c r="Z7" s="273">
        <f>Z6*(1+$AK$9)</f>
        <v>-17230.669494440968</v>
      </c>
      <c r="AA7" s="273">
        <f t="shared" si="17"/>
        <v>-59893.332286280965</v>
      </c>
      <c r="AB7" s="40">
        <f t="shared" si="6"/>
        <v>49143.54115371903</v>
      </c>
      <c r="AC7" s="134">
        <f t="shared" si="18"/>
        <v>0.30822725352199931</v>
      </c>
      <c r="AD7" s="39">
        <f t="shared" si="7"/>
        <v>78950</v>
      </c>
      <c r="AE7" s="257">
        <f t="shared" si="8"/>
        <v>0.34599999999999997</v>
      </c>
      <c r="AF7" s="39">
        <f t="shared" si="9"/>
        <v>9086</v>
      </c>
      <c r="AG7" s="39">
        <f t="shared" si="10"/>
        <v>29810.486559999994</v>
      </c>
      <c r="AI7" s="141" t="s">
        <v>172</v>
      </c>
      <c r="AJ7" s="144">
        <v>4.4999999999999998E-2</v>
      </c>
      <c r="AK7" s="145">
        <f>AJ7</f>
        <v>4.4999999999999998E-2</v>
      </c>
      <c r="AN7" s="3">
        <v>5</v>
      </c>
      <c r="AO7" s="44">
        <f t="shared" si="19"/>
        <v>3995834.028749431</v>
      </c>
      <c r="AP7" s="44">
        <f t="shared" si="0"/>
        <v>118015.48542524013</v>
      </c>
      <c r="AQ7" s="44">
        <f t="shared" si="1"/>
        <v>-180000</v>
      </c>
      <c r="AT7" t="s">
        <v>7</v>
      </c>
      <c r="AU7" s="44">
        <v>1515</v>
      </c>
      <c r="BA7" s="39">
        <v>321450</v>
      </c>
      <c r="BB7" s="58">
        <f t="shared" si="11"/>
        <v>0.44600000000000001</v>
      </c>
      <c r="BC7" s="39">
        <v>93257</v>
      </c>
      <c r="BE7" s="77">
        <v>0.32</v>
      </c>
    </row>
    <row r="8" spans="2:60" x14ac:dyDescent="0.25">
      <c r="B8" s="104">
        <v>2023</v>
      </c>
      <c r="C8" s="109">
        <f t="shared" si="12"/>
        <v>65758.317292182051</v>
      </c>
      <c r="D8" s="92">
        <f t="shared" si="2"/>
        <v>4.4124920302734347</v>
      </c>
      <c r="E8" s="40">
        <f t="shared" si="20"/>
        <v>290158.05097594508</v>
      </c>
      <c r="F8" s="120">
        <f t="shared" si="13"/>
        <v>26783.61321627086</v>
      </c>
      <c r="G8" s="40">
        <f t="shared" si="21"/>
        <v>96671.895377190231</v>
      </c>
      <c r="H8" s="119">
        <f t="shared" si="22"/>
        <v>413613.55956940621</v>
      </c>
      <c r="I8" s="262">
        <f t="shared" si="23"/>
        <v>0.05</v>
      </c>
      <c r="J8" s="260">
        <f t="shared" si="24"/>
        <v>5179.6016640000007</v>
      </c>
      <c r="K8" s="262">
        <f t="shared" si="25"/>
        <v>0.04</v>
      </c>
      <c r="L8" s="260">
        <f t="shared" si="26"/>
        <v>4143.6813312000004</v>
      </c>
      <c r="M8" s="260">
        <f t="shared" si="27"/>
        <v>405.77280870798211</v>
      </c>
      <c r="N8" s="260">
        <f t="shared" si="28"/>
        <v>8079.9808451455792</v>
      </c>
      <c r="O8" s="120">
        <f t="shared" si="14"/>
        <v>1040.0937916283647</v>
      </c>
      <c r="P8" s="40">
        <f t="shared" si="3"/>
        <v>803.50839648812575</v>
      </c>
      <c r="Q8" s="112">
        <f t="shared" si="4"/>
        <v>7773.1124578947656</v>
      </c>
      <c r="R8" s="127">
        <f t="shared" si="15"/>
        <v>5673.6468656182415</v>
      </c>
      <c r="S8" s="120">
        <f t="shared" si="5"/>
        <v>112924.68976512001</v>
      </c>
      <c r="T8" s="40">
        <f t="shared" si="16"/>
        <v>144792.03328</v>
      </c>
      <c r="U8" s="40">
        <f t="shared" si="29"/>
        <v>103592.03328</v>
      </c>
      <c r="V8" s="40">
        <f t="shared" si="29"/>
        <v>41200</v>
      </c>
      <c r="W8" s="280">
        <f>W7</f>
        <v>4.8000000000000001E-2</v>
      </c>
      <c r="X8" s="132">
        <v>0.03</v>
      </c>
      <c r="Y8" s="271">
        <f t="shared" si="30"/>
        <v>-43515.916047676801</v>
      </c>
      <c r="Z8" s="273">
        <f>Z7*(1+$AK$9)*2</f>
        <v>-35150.565768659573</v>
      </c>
      <c r="AA8" s="273">
        <f t="shared" si="17"/>
        <v>-78666.481816336367</v>
      </c>
      <c r="AB8" s="40">
        <f t="shared" si="6"/>
        <v>34258.207948783645</v>
      </c>
      <c r="AC8" s="134">
        <f t="shared" si="18"/>
        <v>0.31680724648072528</v>
      </c>
      <c r="AD8" s="39">
        <f t="shared" si="7"/>
        <v>78950</v>
      </c>
      <c r="AE8" s="257">
        <f t="shared" si="8"/>
        <v>0.34599999999999997</v>
      </c>
      <c r="AF8" s="39">
        <f t="shared" si="9"/>
        <v>9086</v>
      </c>
      <c r="AG8" s="39">
        <f t="shared" si="10"/>
        <v>31867.343514879998</v>
      </c>
      <c r="AI8" s="141"/>
      <c r="AJ8" s="144">
        <v>0.04</v>
      </c>
      <c r="AK8" s="145">
        <f>AK6-AK7</f>
        <v>2.4699999999999986E-2</v>
      </c>
      <c r="AN8" s="3">
        <v>6</v>
      </c>
      <c r="AO8" s="44">
        <f t="shared" si="19"/>
        <v>3933849.5141746709</v>
      </c>
      <c r="AP8" s="44">
        <f t="shared" si="0"/>
        <v>116098.43858272178</v>
      </c>
      <c r="AQ8" s="44">
        <f t="shared" si="1"/>
        <v>-180000</v>
      </c>
      <c r="AT8" t="s">
        <v>152</v>
      </c>
      <c r="AU8" s="44">
        <f>SUM(AU6:AU7)</f>
        <v>4269</v>
      </c>
      <c r="AV8" t="s">
        <v>153</v>
      </c>
      <c r="BA8" s="39">
        <v>408200</v>
      </c>
      <c r="BB8" s="58">
        <f t="shared" si="11"/>
        <v>0.47599999999999998</v>
      </c>
      <c r="BC8" s="39">
        <v>164709.5</v>
      </c>
      <c r="BE8" s="77">
        <v>0.35</v>
      </c>
    </row>
    <row r="9" spans="2:60" x14ac:dyDescent="0.25">
      <c r="B9" s="104">
        <v>2024</v>
      </c>
      <c r="C9" s="109">
        <f t="shared" si="12"/>
        <v>82082.239651402604</v>
      </c>
      <c r="D9" s="92">
        <f t="shared" si="2"/>
        <v>4.5228043310302706</v>
      </c>
      <c r="E9" s="40">
        <f t="shared" si="20"/>
        <v>371241.9089960283</v>
      </c>
      <c r="F9" s="120">
        <f t="shared" si="13"/>
        <v>27611.972387908103</v>
      </c>
      <c r="G9" s="40">
        <f t="shared" si="21"/>
        <v>97500.254548827477</v>
      </c>
      <c r="H9" s="119">
        <f t="shared" si="22"/>
        <v>496354.13593276386</v>
      </c>
      <c r="I9" s="262">
        <f t="shared" si="23"/>
        <v>0.05</v>
      </c>
      <c r="J9" s="260">
        <f t="shared" si="24"/>
        <v>5428.2225438720006</v>
      </c>
      <c r="K9" s="262">
        <f t="shared" si="25"/>
        <v>0.04</v>
      </c>
      <c r="L9" s="260">
        <f t="shared" si="26"/>
        <v>4342.5780350976002</v>
      </c>
      <c r="M9" s="260">
        <f t="shared" si="27"/>
        <v>425.2621497445042</v>
      </c>
      <c r="N9" s="260">
        <f t="shared" si="28"/>
        <v>8467.8300961970635</v>
      </c>
      <c r="O9" s="120">
        <f t="shared" si="14"/>
        <v>1342.0064753506542</v>
      </c>
      <c r="P9" s="40">
        <f t="shared" si="3"/>
        <v>828.35917163724309</v>
      </c>
      <c r="Q9" s="112">
        <f t="shared" si="4"/>
        <v>7838.2617873397485</v>
      </c>
      <c r="R9" s="127">
        <f t="shared" si="15"/>
        <v>6514.0857876728323</v>
      </c>
      <c r="S9" s="120">
        <f t="shared" si="5"/>
        <v>116984.99487384575</v>
      </c>
      <c r="T9" s="40">
        <f t="shared" si="16"/>
        <v>151000.45087743999</v>
      </c>
      <c r="U9" s="40">
        <f t="shared" si="29"/>
        <v>108564.45087744</v>
      </c>
      <c r="V9" s="40">
        <f t="shared" si="29"/>
        <v>42436</v>
      </c>
      <c r="W9" s="280">
        <f>W8</f>
        <v>4.8000000000000001E-2</v>
      </c>
      <c r="X9" s="134">
        <f>X8</f>
        <v>0.03</v>
      </c>
      <c r="Y9" s="271">
        <f t="shared" si="30"/>
        <v>-44386.234368630336</v>
      </c>
      <c r="Z9" s="273">
        <f>Z8*(1+$AK$9)</f>
        <v>-35853.577084032768</v>
      </c>
      <c r="AA9" s="273">
        <f t="shared" si="17"/>
        <v>-80239.811452663096</v>
      </c>
      <c r="AB9" s="40">
        <f t="shared" si="6"/>
        <v>36745.18342118265</v>
      </c>
      <c r="AC9" s="134">
        <f t="shared" si="18"/>
        <v>0.32500336696265886</v>
      </c>
      <c r="AD9" s="39">
        <f t="shared" si="7"/>
        <v>78950</v>
      </c>
      <c r="AE9" s="257">
        <f t="shared" si="8"/>
        <v>0.34599999999999997</v>
      </c>
      <c r="AF9" s="39">
        <f t="shared" si="9"/>
        <v>9086</v>
      </c>
      <c r="AG9" s="39">
        <f t="shared" si="10"/>
        <v>34015.456003594234</v>
      </c>
      <c r="AI9" s="146"/>
      <c r="AJ9" s="142" t="s">
        <v>174</v>
      </c>
      <c r="AK9" s="147">
        <v>0.02</v>
      </c>
      <c r="AN9" s="3">
        <v>7</v>
      </c>
      <c r="AO9" s="44">
        <f t="shared" si="19"/>
        <v>3869947.9527573925</v>
      </c>
      <c r="AP9" s="44">
        <f t="shared" si="0"/>
        <v>114122.10163167193</v>
      </c>
      <c r="AQ9" s="44">
        <f t="shared" si="1"/>
        <v>-180000</v>
      </c>
      <c r="AT9" t="s">
        <v>154</v>
      </c>
      <c r="AU9" s="44">
        <f>AU8*3.7</f>
        <v>15795.300000000001</v>
      </c>
      <c r="AV9" t="s">
        <v>153</v>
      </c>
      <c r="BA9" s="39">
        <v>612351</v>
      </c>
      <c r="BB9" s="58">
        <f>BE9+SUM($BF$3:$BH$3)</f>
        <v>0.496</v>
      </c>
      <c r="BE9" s="77">
        <v>0.37</v>
      </c>
    </row>
    <row r="10" spans="2:60" x14ac:dyDescent="0.25">
      <c r="B10" s="104">
        <v>2025</v>
      </c>
      <c r="C10" s="109">
        <f t="shared" si="12"/>
        <v>100050.19687831779</v>
      </c>
      <c r="D10" s="92">
        <f t="shared" si="2"/>
        <v>4.6358744393060265</v>
      </c>
      <c r="E10" s="40">
        <f t="shared" si="20"/>
        <v>463820.15035572904</v>
      </c>
      <c r="F10" s="120">
        <f t="shared" si="13"/>
        <v>28465.95091536918</v>
      </c>
      <c r="G10" s="40">
        <f t="shared" si="21"/>
        <v>98354.233076288554</v>
      </c>
      <c r="H10" s="119">
        <f t="shared" si="22"/>
        <v>590640.33434738684</v>
      </c>
      <c r="I10" s="262">
        <f t="shared" si="23"/>
        <v>0.05</v>
      </c>
      <c r="J10" s="260">
        <f t="shared" si="24"/>
        <v>5688.7772259778567</v>
      </c>
      <c r="K10" s="262">
        <f t="shared" si="25"/>
        <v>0.04</v>
      </c>
      <c r="L10" s="260">
        <f t="shared" si="26"/>
        <v>4551.0217807822846</v>
      </c>
      <c r="M10" s="260">
        <f t="shared" si="27"/>
        <v>445.67526822089809</v>
      </c>
      <c r="N10" s="260">
        <f t="shared" si="28"/>
        <v>8874.2863853717554</v>
      </c>
      <c r="O10" s="120">
        <f t="shared" si="14"/>
        <v>1675.1477479878083</v>
      </c>
      <c r="P10" s="40">
        <f t="shared" si="3"/>
        <v>853.97852746107537</v>
      </c>
      <c r="Q10" s="112">
        <f t="shared" si="4"/>
        <v>7905.4260444995243</v>
      </c>
      <c r="R10" s="127">
        <f t="shared" si="15"/>
        <v>7418.5230935556201</v>
      </c>
      <c r="S10" s="120">
        <f t="shared" si="5"/>
        <v>121225.64443579035</v>
      </c>
      <c r="T10" s="40">
        <f t="shared" si="16"/>
        <v>157484.62451955711</v>
      </c>
      <c r="U10" s="40">
        <f t="shared" si="29"/>
        <v>113775.54451955712</v>
      </c>
      <c r="V10" s="40">
        <f t="shared" si="29"/>
        <v>43709.08</v>
      </c>
      <c r="W10" s="280">
        <f t="shared" ref="W10:X25" si="31">W9</f>
        <v>4.8000000000000001E-2</v>
      </c>
      <c r="X10" s="134">
        <f t="shared" si="31"/>
        <v>0.03</v>
      </c>
      <c r="Y10" s="271">
        <f t="shared" si="30"/>
        <v>-45273.959056002946</v>
      </c>
      <c r="Z10" s="273">
        <f t="shared" si="30"/>
        <v>-36570.648625713424</v>
      </c>
      <c r="AA10" s="273">
        <f t="shared" si="17"/>
        <v>-81844.60768171637</v>
      </c>
      <c r="AB10" s="40">
        <f t="shared" si="6"/>
        <v>39381.036754073983</v>
      </c>
      <c r="AC10" s="134">
        <f t="shared" si="18"/>
        <v>0.33283278958311124</v>
      </c>
      <c r="AD10" s="39">
        <f t="shared" si="7"/>
        <v>78950</v>
      </c>
      <c r="AE10" s="257">
        <f t="shared" si="8"/>
        <v>0.34599999999999997</v>
      </c>
      <c r="AF10" s="39">
        <f t="shared" si="9"/>
        <v>9086</v>
      </c>
      <c r="AG10" s="39">
        <f t="shared" si="10"/>
        <v>36258.980083766757</v>
      </c>
      <c r="AI10" s="146"/>
      <c r="AJ10" s="142" t="s">
        <v>179</v>
      </c>
      <c r="AK10" s="145">
        <v>3.0000000000000001E-3</v>
      </c>
      <c r="AN10" s="3">
        <v>8</v>
      </c>
      <c r="AO10" s="44">
        <f t="shared" si="19"/>
        <v>3804070.0543890647</v>
      </c>
      <c r="AP10" s="44">
        <f t="shared" si="0"/>
        <v>112084.64085739375</v>
      </c>
      <c r="AQ10" s="44">
        <f t="shared" si="1"/>
        <v>-180000</v>
      </c>
      <c r="AT10" t="s">
        <v>154</v>
      </c>
      <c r="AU10" s="44">
        <f>AU9*12</f>
        <v>189543.6</v>
      </c>
      <c r="AV10" t="s">
        <v>155</v>
      </c>
    </row>
    <row r="11" spans="2:60" ht="15.75" thickBot="1" x14ac:dyDescent="0.3">
      <c r="B11" s="104">
        <v>2026</v>
      </c>
      <c r="C11" s="109">
        <f t="shared" si="12"/>
        <v>119782.54792579359</v>
      </c>
      <c r="D11" s="92">
        <f t="shared" si="2"/>
        <v>4.7517713002886763</v>
      </c>
      <c r="E11" s="40">
        <f t="shared" si="20"/>
        <v>569179.27350923896</v>
      </c>
      <c r="F11" s="120">
        <f t="shared" si="13"/>
        <v>29346.341149865133</v>
      </c>
      <c r="G11" s="40">
        <f t="shared" si="21"/>
        <v>99234.623310784504</v>
      </c>
      <c r="H11" s="119">
        <f t="shared" si="22"/>
        <v>697760.23796988861</v>
      </c>
      <c r="I11" s="262">
        <f t="shared" si="23"/>
        <v>0.05</v>
      </c>
      <c r="J11" s="260">
        <f t="shared" si="24"/>
        <v>5961.8385328247932</v>
      </c>
      <c r="K11" s="262">
        <f t="shared" si="25"/>
        <v>0.04</v>
      </c>
      <c r="L11" s="260">
        <f t="shared" si="26"/>
        <v>4769.4708262598351</v>
      </c>
      <c r="M11" s="260">
        <f t="shared" si="27"/>
        <v>467.06770449325035</v>
      </c>
      <c r="N11" s="260">
        <f t="shared" si="28"/>
        <v>9300.252151301429</v>
      </c>
      <c r="O11" s="120">
        <f t="shared" si="14"/>
        <v>2041.8407526187304</v>
      </c>
      <c r="P11" s="40">
        <f t="shared" si="3"/>
        <v>880.39023449595402</v>
      </c>
      <c r="Q11" s="112">
        <f t="shared" si="4"/>
        <v>7974.6675467260984</v>
      </c>
      <c r="R11" s="127">
        <f t="shared" si="15"/>
        <v>8390.258143555644</v>
      </c>
      <c r="S11" s="120">
        <f t="shared" si="5"/>
        <v>125654.8584789483</v>
      </c>
      <c r="T11" s="40">
        <f t="shared" si="16"/>
        <v>164257.12305649585</v>
      </c>
      <c r="U11" s="40">
        <f t="shared" si="29"/>
        <v>119236.77065649586</v>
      </c>
      <c r="V11" s="40">
        <f t="shared" si="29"/>
        <v>45020.352400000003</v>
      </c>
      <c r="W11" s="280">
        <f t="shared" si="31"/>
        <v>4.8000000000000001E-2</v>
      </c>
      <c r="X11" s="134">
        <f t="shared" si="31"/>
        <v>0.03</v>
      </c>
      <c r="Y11" s="271">
        <f t="shared" si="30"/>
        <v>-46179.438237123009</v>
      </c>
      <c r="Z11" s="273">
        <f t="shared" si="30"/>
        <v>-37302.061598227694</v>
      </c>
      <c r="AA11" s="273">
        <f t="shared" si="17"/>
        <v>-83481.499835350696</v>
      </c>
      <c r="AB11" s="40">
        <f t="shared" si="6"/>
        <v>42173.358643597603</v>
      </c>
      <c r="AC11" s="134">
        <f t="shared" si="18"/>
        <v>0.34031192055791482</v>
      </c>
      <c r="AD11" s="39">
        <f t="shared" si="7"/>
        <v>78950</v>
      </c>
      <c r="AE11" s="257">
        <f t="shared" si="8"/>
        <v>0.34599999999999997</v>
      </c>
      <c r="AF11" s="39">
        <f t="shared" si="9"/>
        <v>9086</v>
      </c>
      <c r="AG11" s="39">
        <f t="shared" si="10"/>
        <v>38602.264577547561</v>
      </c>
      <c r="AI11" s="148"/>
      <c r="AJ11" s="149" t="s">
        <v>180</v>
      </c>
      <c r="AK11" s="150">
        <v>0.15</v>
      </c>
      <c r="AN11" s="3">
        <v>9</v>
      </c>
      <c r="AO11" s="44">
        <f t="shared" si="19"/>
        <v>3736154.6952464585</v>
      </c>
      <c r="AP11" s="44">
        <f t="shared" si="0"/>
        <v>109984.1658323647</v>
      </c>
      <c r="AQ11" s="44">
        <f t="shared" si="1"/>
        <v>-180000</v>
      </c>
      <c r="BA11" t="s">
        <v>343</v>
      </c>
    </row>
    <row r="12" spans="2:60" ht="15.75" thickBot="1" x14ac:dyDescent="0.3">
      <c r="B12" s="104">
        <v>2027</v>
      </c>
      <c r="C12" s="109">
        <f t="shared" si="12"/>
        <v>145302.20235726406</v>
      </c>
      <c r="D12" s="92">
        <f t="shared" si="2"/>
        <v>4.8705655827958925</v>
      </c>
      <c r="E12" s="40">
        <f t="shared" si="20"/>
        <v>707703.90590573451</v>
      </c>
      <c r="F12" s="120">
        <f t="shared" si="13"/>
        <v>30253.959948314568</v>
      </c>
      <c r="G12" s="40">
        <f t="shared" si="21"/>
        <v>100142.24210923394</v>
      </c>
      <c r="H12" s="119">
        <f t="shared" si="22"/>
        <v>838100.10796328308</v>
      </c>
      <c r="I12" s="262">
        <f t="shared" si="23"/>
        <v>0.05</v>
      </c>
      <c r="J12" s="260">
        <f t="shared" si="24"/>
        <v>6248.0067824003836</v>
      </c>
      <c r="K12" s="262">
        <f t="shared" si="25"/>
        <v>0.04</v>
      </c>
      <c r="L12" s="260">
        <f t="shared" si="26"/>
        <v>4998.4054259203067</v>
      </c>
      <c r="M12" s="260">
        <f t="shared" si="27"/>
        <v>489.4869553316542</v>
      </c>
      <c r="N12" s="260">
        <f t="shared" si="28"/>
        <v>9746.6642554132723</v>
      </c>
      <c r="O12" s="120">
        <f t="shared" si="14"/>
        <v>2444.5417944039509</v>
      </c>
      <c r="P12" s="40">
        <f t="shared" si="3"/>
        <v>907.61879844943701</v>
      </c>
      <c r="Q12" s="112">
        <f t="shared" si="4"/>
        <v>8046.0505387122557</v>
      </c>
      <c r="R12" s="127">
        <f t="shared" si="15"/>
        <v>13328.448381653239</v>
      </c>
      <c r="S12" s="120">
        <f t="shared" si="5"/>
        <v>141493.31652508484</v>
      </c>
      <c r="T12" s="40">
        <f t="shared" si="16"/>
        <v>171331.09862000766</v>
      </c>
      <c r="U12" s="40">
        <f t="shared" si="29"/>
        <v>124960.13564800766</v>
      </c>
      <c r="V12" s="40">
        <f t="shared" si="29"/>
        <v>46370.962972000001</v>
      </c>
      <c r="W12" s="280">
        <f t="shared" si="31"/>
        <v>4.8000000000000001E-2</v>
      </c>
      <c r="X12" s="134">
        <f t="shared" si="31"/>
        <v>0.03</v>
      </c>
      <c r="Y12" s="271">
        <f t="shared" si="30"/>
        <v>-47103.02700186547</v>
      </c>
      <c r="Z12" s="273">
        <f t="shared" si="30"/>
        <v>-38048.102830192249</v>
      </c>
      <c r="AA12" s="273">
        <f t="shared" si="17"/>
        <v>-85151.129832057719</v>
      </c>
      <c r="AB12" s="40">
        <f t="shared" si="6"/>
        <v>56342.186693027121</v>
      </c>
      <c r="AC12" s="134">
        <f t="shared" si="18"/>
        <v>0.34745643208193755</v>
      </c>
      <c r="AD12" s="39">
        <f t="shared" si="7"/>
        <v>168400</v>
      </c>
      <c r="AE12" s="257">
        <f t="shared" si="8"/>
        <v>0.36599999999999999</v>
      </c>
      <c r="AF12" s="39">
        <f t="shared" si="9"/>
        <v>28765</v>
      </c>
      <c r="AG12" s="39">
        <f t="shared" si="10"/>
        <v>29837.782094922804</v>
      </c>
      <c r="AN12" s="3">
        <v>10</v>
      </c>
      <c r="AO12" s="44">
        <f t="shared" si="19"/>
        <v>3666138.861078823</v>
      </c>
      <c r="AP12" s="44">
        <f t="shared" si="0"/>
        <v>107818.72766223164</v>
      </c>
      <c r="AQ12" s="44">
        <f t="shared" si="1"/>
        <v>-180000</v>
      </c>
      <c r="AU12" s="39">
        <f>AU10+AT3</f>
        <v>369543.6</v>
      </c>
      <c r="AZ12">
        <v>60000</v>
      </c>
    </row>
    <row r="13" spans="2:60" x14ac:dyDescent="0.25">
      <c r="B13" s="104">
        <v>2028</v>
      </c>
      <c r="C13" s="109">
        <f t="shared" si="12"/>
        <v>172951.50402923324</v>
      </c>
      <c r="D13" s="92">
        <f t="shared" si="2"/>
        <v>4.9923297223657892</v>
      </c>
      <c r="E13" s="40">
        <f t="shared" si="20"/>
        <v>863430.9340930077</v>
      </c>
      <c r="F13" s="120">
        <f t="shared" si="13"/>
        <v>31189.649431252132</v>
      </c>
      <c r="G13" s="40">
        <f t="shared" si="21"/>
        <v>101077.9315921715</v>
      </c>
      <c r="H13" s="119">
        <f t="shared" si="22"/>
        <v>995698.5151164314</v>
      </c>
      <c r="I13" s="262">
        <f t="shared" si="23"/>
        <v>0.05</v>
      </c>
      <c r="J13" s="260">
        <f t="shared" si="24"/>
        <v>6547.9111079556023</v>
      </c>
      <c r="K13" s="262">
        <f t="shared" si="25"/>
        <v>0.04</v>
      </c>
      <c r="L13" s="260">
        <f t="shared" si="26"/>
        <v>5238.3288863644811</v>
      </c>
      <c r="M13" s="260">
        <f t="shared" si="27"/>
        <v>512.98232923227749</v>
      </c>
      <c r="N13" s="260">
        <f t="shared" si="28"/>
        <v>10214.504139710236</v>
      </c>
      <c r="O13" s="120">
        <f t="shared" si="14"/>
        <v>2965.3510685155929</v>
      </c>
      <c r="P13" s="40">
        <f t="shared" si="3"/>
        <v>935.68948293756398</v>
      </c>
      <c r="Q13" s="112">
        <f t="shared" si="4"/>
        <v>8119.6412521000484</v>
      </c>
      <c r="R13" s="127">
        <f t="shared" si="15"/>
        <v>14469.446463743334</v>
      </c>
      <c r="S13" s="120">
        <f t="shared" si="5"/>
        <v>146178.07908885245</v>
      </c>
      <c r="T13" s="40">
        <f t="shared" si="16"/>
        <v>178720.31402027202</v>
      </c>
      <c r="U13" s="40">
        <f t="shared" si="29"/>
        <v>130958.22215911203</v>
      </c>
      <c r="V13" s="40">
        <f t="shared" si="29"/>
        <v>47762.091861159999</v>
      </c>
      <c r="W13" s="280">
        <f t="shared" si="31"/>
        <v>4.8000000000000001E-2</v>
      </c>
      <c r="X13" s="134">
        <f t="shared" si="31"/>
        <v>0.03</v>
      </c>
      <c r="Y13" s="271">
        <f t="shared" si="30"/>
        <v>-48045.08754190278</v>
      </c>
      <c r="Z13" s="273">
        <f t="shared" si="30"/>
        <v>-38809.064886796092</v>
      </c>
      <c r="AA13" s="273">
        <f t="shared" si="17"/>
        <v>-86854.152428698872</v>
      </c>
      <c r="AB13" s="40">
        <f t="shared" si="6"/>
        <v>59323.926660153578</v>
      </c>
      <c r="AC13" s="134">
        <f t="shared" si="18"/>
        <v>0.35428129516948814</v>
      </c>
      <c r="AD13" s="39">
        <f t="shared" si="7"/>
        <v>168400</v>
      </c>
      <c r="AE13" s="257">
        <f t="shared" si="8"/>
        <v>0.36599999999999999</v>
      </c>
      <c r="AF13" s="39">
        <f t="shared" si="9"/>
        <v>28765</v>
      </c>
      <c r="AG13" s="39">
        <f t="shared" si="10"/>
        <v>32542.23493141956</v>
      </c>
      <c r="AI13" s="151" t="s">
        <v>173</v>
      </c>
      <c r="AJ13" s="154" t="s">
        <v>170</v>
      </c>
      <c r="AN13" s="3">
        <v>11</v>
      </c>
      <c r="AO13" s="44">
        <f t="shared" si="19"/>
        <v>3593957.5887410548</v>
      </c>
      <c r="AP13" s="44">
        <f t="shared" si="0"/>
        <v>105586.31717755839</v>
      </c>
      <c r="AQ13" s="44">
        <f t="shared" si="1"/>
        <v>-180000</v>
      </c>
      <c r="AU13" s="39">
        <f>AU12/12</f>
        <v>30795.3</v>
      </c>
    </row>
    <row r="14" spans="2:60" x14ac:dyDescent="0.25">
      <c r="B14" s="104">
        <v>2029</v>
      </c>
      <c r="C14" s="109">
        <f t="shared" si="12"/>
        <v>202866.76692803871</v>
      </c>
      <c r="D14" s="92">
        <f t="shared" si="2"/>
        <v>5.1171379654249334</v>
      </c>
      <c r="E14" s="40">
        <f t="shared" si="20"/>
        <v>1038097.2349704781</v>
      </c>
      <c r="F14" s="120">
        <f t="shared" si="13"/>
        <v>32154.277764177456</v>
      </c>
      <c r="G14" s="40">
        <f t="shared" si="21"/>
        <v>102042.55992509682</v>
      </c>
      <c r="H14" s="119">
        <f t="shared" si="22"/>
        <v>1172294.0726597523</v>
      </c>
      <c r="I14" s="262">
        <f t="shared" si="23"/>
        <v>0.05</v>
      </c>
      <c r="J14" s="260">
        <f t="shared" si="24"/>
        <v>6862.2108411374711</v>
      </c>
      <c r="K14" s="262">
        <f t="shared" si="25"/>
        <v>0.04</v>
      </c>
      <c r="L14" s="260">
        <f t="shared" si="26"/>
        <v>5489.7686729099769</v>
      </c>
      <c r="M14" s="260">
        <f t="shared" si="27"/>
        <v>537.60548103738086</v>
      </c>
      <c r="N14" s="260">
        <f t="shared" si="28"/>
        <v>10704.800338417952</v>
      </c>
      <c r="O14" s="120">
        <f t="shared" si="14"/>
        <v>3529.6225312088418</v>
      </c>
      <c r="P14" s="40">
        <f t="shared" si="3"/>
        <v>964.62833292532355</v>
      </c>
      <c r="Q14" s="112">
        <f t="shared" si="4"/>
        <v>8195.5079669328225</v>
      </c>
      <c r="R14" s="127">
        <f t="shared" si="15"/>
        <v>15680.840029178657</v>
      </c>
      <c r="S14" s="120">
        <f t="shared" si="5"/>
        <v>151071.83469279783</v>
      </c>
      <c r="T14" s="40">
        <f t="shared" si="16"/>
        <v>186439.17143974421</v>
      </c>
      <c r="U14" s="40">
        <f t="shared" si="29"/>
        <v>137244.21682274941</v>
      </c>
      <c r="V14" s="40">
        <f t="shared" si="29"/>
        <v>49194.954616994801</v>
      </c>
      <c r="W14" s="280">
        <f t="shared" si="31"/>
        <v>4.8000000000000001E-2</v>
      </c>
      <c r="X14" s="134">
        <f t="shared" si="31"/>
        <v>0.03</v>
      </c>
      <c r="Y14" s="271">
        <f t="shared" si="30"/>
        <v>-49005.989292740836</v>
      </c>
      <c r="Z14" s="273">
        <f t="shared" si="30"/>
        <v>-39585.246184532014</v>
      </c>
      <c r="AA14" s="273">
        <f t="shared" si="17"/>
        <v>-88591.235477272858</v>
      </c>
      <c r="AB14" s="40">
        <f t="shared" si="6"/>
        <v>62480.59921552497</v>
      </c>
      <c r="AC14" s="134">
        <f t="shared" si="18"/>
        <v>0.36080081102542799</v>
      </c>
      <c r="AD14" s="39">
        <f t="shared" si="7"/>
        <v>168400</v>
      </c>
      <c r="AE14" s="257">
        <f t="shared" si="8"/>
        <v>0.36599999999999999</v>
      </c>
      <c r="AF14" s="39">
        <f t="shared" si="9"/>
        <v>28765</v>
      </c>
      <c r="AG14" s="39">
        <f t="shared" si="10"/>
        <v>35367.336746946385</v>
      </c>
      <c r="AI14" s="141">
        <f>B41-B4</f>
        <v>37</v>
      </c>
      <c r="AJ14" s="152">
        <f>FV(AJ7,AI14,,-AO3)</f>
        <v>21537937.305161219</v>
      </c>
      <c r="AN14" s="3">
        <v>12</v>
      </c>
      <c r="AO14" s="44">
        <f t="shared" si="19"/>
        <v>3519543.9059186131</v>
      </c>
      <c r="AP14" s="44">
        <f t="shared" si="0"/>
        <v>103284.86306964782</v>
      </c>
      <c r="AQ14" s="44">
        <f t="shared" si="1"/>
        <v>-180000</v>
      </c>
      <c r="BA14" s="39"/>
    </row>
    <row r="15" spans="2:60" x14ac:dyDescent="0.25">
      <c r="B15" s="104">
        <v>2030</v>
      </c>
      <c r="C15" s="109">
        <f t="shared" si="12"/>
        <v>235192.1598316454</v>
      </c>
      <c r="D15" s="92">
        <f t="shared" si="2"/>
        <v>5.2450664145605561</v>
      </c>
      <c r="E15" s="40">
        <f t="shared" si="20"/>
        <v>1233598.4985009215</v>
      </c>
      <c r="F15" s="120">
        <f t="shared" si="13"/>
        <v>33148.739963069544</v>
      </c>
      <c r="G15" s="40">
        <f t="shared" si="21"/>
        <v>103037.02212398891</v>
      </c>
      <c r="H15" s="119">
        <f t="shared" si="22"/>
        <v>1369784.26058798</v>
      </c>
      <c r="I15" s="262">
        <f t="shared" si="23"/>
        <v>0.05</v>
      </c>
      <c r="J15" s="260">
        <f t="shared" si="24"/>
        <v>7191.5969615120694</v>
      </c>
      <c r="K15" s="262">
        <f t="shared" si="25"/>
        <v>0.04</v>
      </c>
      <c r="L15" s="260">
        <f t="shared" si="26"/>
        <v>5753.2775692096548</v>
      </c>
      <c r="M15" s="260">
        <f t="shared" si="27"/>
        <v>563.41054412726066</v>
      </c>
      <c r="N15" s="260">
        <f t="shared" si="28"/>
        <v>11218.630754662083</v>
      </c>
      <c r="O15" s="120">
        <f t="shared" si="14"/>
        <v>4140.1381005722187</v>
      </c>
      <c r="P15" s="40">
        <f t="shared" si="3"/>
        <v>994.46219889208623</v>
      </c>
      <c r="Q15" s="112">
        <f t="shared" si="4"/>
        <v>8273.7210750078502</v>
      </c>
      <c r="R15" s="127">
        <f t="shared" si="15"/>
        <v>16966.624048372392</v>
      </c>
      <c r="S15" s="120">
        <f t="shared" si="5"/>
        <v>156184.13873596297</v>
      </c>
      <c r="T15" s="40">
        <f t="shared" si="16"/>
        <v>194502.74248574601</v>
      </c>
      <c r="U15" s="40">
        <f t="shared" si="29"/>
        <v>143831.93923024138</v>
      </c>
      <c r="V15" s="40">
        <f t="shared" si="29"/>
        <v>50670.803255504645</v>
      </c>
      <c r="W15" s="280">
        <f t="shared" si="31"/>
        <v>4.8000000000000001E-2</v>
      </c>
      <c r="X15" s="134">
        <f t="shared" si="31"/>
        <v>0.03</v>
      </c>
      <c r="Y15" s="271">
        <f t="shared" si="30"/>
        <v>-49986.109078595655</v>
      </c>
      <c r="Z15" s="273">
        <f t="shared" si="30"/>
        <v>-40376.951108222653</v>
      </c>
      <c r="AA15" s="273">
        <f t="shared" si="17"/>
        <v>-90363.0601868183</v>
      </c>
      <c r="AB15" s="40">
        <f t="shared" si="6"/>
        <v>65821.078549144673</v>
      </c>
      <c r="AC15" s="134">
        <f t="shared" si="18"/>
        <v>0.36702864101272603</v>
      </c>
      <c r="AD15" s="39">
        <f t="shared" si="7"/>
        <v>168400</v>
      </c>
      <c r="AE15" s="257">
        <f t="shared" si="8"/>
        <v>0.36599999999999999</v>
      </c>
      <c r="AF15" s="39">
        <f t="shared" si="9"/>
        <v>28765</v>
      </c>
      <c r="AG15" s="39">
        <f t="shared" si="10"/>
        <v>38318.60374978304</v>
      </c>
      <c r="AI15" s="141"/>
      <c r="AJ15" s="152">
        <f>H41</f>
        <v>20777499.550134942</v>
      </c>
      <c r="AN15" s="3">
        <v>13</v>
      </c>
      <c r="AO15" s="44">
        <f t="shared" si="19"/>
        <v>3442828.768988261</v>
      </c>
      <c r="AP15" s="44">
        <f t="shared" si="0"/>
        <v>100912.2299687091</v>
      </c>
      <c r="AQ15" s="44">
        <f t="shared" si="1"/>
        <v>-180000</v>
      </c>
      <c r="AY15" s="180"/>
      <c r="BA15" s="39"/>
    </row>
    <row r="16" spans="2:60" ht="15.75" thickBot="1" x14ac:dyDescent="0.3">
      <c r="B16" s="104">
        <v>2031</v>
      </c>
      <c r="C16" s="109">
        <f t="shared" si="12"/>
        <v>270080.08577659423</v>
      </c>
      <c r="D16" s="92">
        <f t="shared" si="2"/>
        <v>5.3761930749245694</v>
      </c>
      <c r="E16" s="40">
        <f t="shared" si="20"/>
        <v>1452002.6868271597</v>
      </c>
      <c r="F16" s="120">
        <f t="shared" si="13"/>
        <v>34173.958724813965</v>
      </c>
      <c r="G16" s="40">
        <f t="shared" si="21"/>
        <v>104062.24088573332</v>
      </c>
      <c r="H16" s="119">
        <f t="shared" si="22"/>
        <v>1590238.8864377071</v>
      </c>
      <c r="I16" s="262">
        <f t="shared" si="23"/>
        <v>0.05</v>
      </c>
      <c r="J16" s="260">
        <f t="shared" si="24"/>
        <v>7536.7936156646483</v>
      </c>
      <c r="K16" s="262">
        <f t="shared" si="25"/>
        <v>0.04</v>
      </c>
      <c r="L16" s="260">
        <f t="shared" si="26"/>
        <v>6029.4348925317181</v>
      </c>
      <c r="M16" s="260">
        <f t="shared" si="27"/>
        <v>590.4542502453728</v>
      </c>
      <c r="N16" s="260">
        <f t="shared" si="28"/>
        <v>11757.125030885865</v>
      </c>
      <c r="O16" s="120">
        <f t="shared" si="14"/>
        <v>4799.839996564192</v>
      </c>
      <c r="P16" s="40">
        <f t="shared" si="3"/>
        <v>1025.2187617444188</v>
      </c>
      <c r="Q16" s="112">
        <f t="shared" si="4"/>
        <v>8354.3531451882882</v>
      </c>
      <c r="R16" s="127">
        <f t="shared" si="15"/>
        <v>18330.960917498749</v>
      </c>
      <c r="S16" s="120">
        <f t="shared" si="5"/>
        <v>161524.99098853738</v>
      </c>
      <c r="T16" s="40">
        <f t="shared" si="16"/>
        <v>202926.79966646276</v>
      </c>
      <c r="U16" s="40">
        <f t="shared" si="29"/>
        <v>150735.87231329296</v>
      </c>
      <c r="V16" s="40">
        <f t="shared" si="29"/>
        <v>52190.927353169784</v>
      </c>
      <c r="W16" s="280">
        <f t="shared" si="31"/>
        <v>4.8000000000000001E-2</v>
      </c>
      <c r="X16" s="134">
        <f t="shared" si="31"/>
        <v>0.03</v>
      </c>
      <c r="Y16" s="271">
        <f t="shared" si="30"/>
        <v>-50985.831260167572</v>
      </c>
      <c r="Z16" s="273">
        <f t="shared" si="30"/>
        <v>-41184.490130387108</v>
      </c>
      <c r="AA16" s="273">
        <f t="shared" si="17"/>
        <v>-92170.321390554687</v>
      </c>
      <c r="AB16" s="40">
        <f t="shared" si="6"/>
        <v>69354.669597982691</v>
      </c>
      <c r="AC16" s="134">
        <f t="shared" si="18"/>
        <v>0.37297783527925288</v>
      </c>
      <c r="AD16" s="39">
        <f t="shared" si="7"/>
        <v>168400</v>
      </c>
      <c r="AE16" s="257">
        <f t="shared" si="8"/>
        <v>0.36599999999999999</v>
      </c>
      <c r="AF16" s="39">
        <f t="shared" si="9"/>
        <v>28765</v>
      </c>
      <c r="AG16" s="39">
        <f t="shared" si="10"/>
        <v>41401.808677925364</v>
      </c>
      <c r="AI16" s="155"/>
      <c r="AJ16" s="153">
        <f>AJ14-AJ15</f>
        <v>760437.75502627715</v>
      </c>
      <c r="AN16" s="3">
        <v>14</v>
      </c>
      <c r="AO16" s="44">
        <f t="shared" si="19"/>
        <v>3363740.9989569699</v>
      </c>
      <c r="AP16" s="44">
        <f t="shared" si="0"/>
        <v>98466.216462586701</v>
      </c>
      <c r="AQ16" s="44">
        <f t="shared" si="1"/>
        <v>-180000</v>
      </c>
      <c r="AX16" s="56"/>
      <c r="AY16" s="44"/>
    </row>
    <row r="17" spans="2:43" x14ac:dyDescent="0.25">
      <c r="B17" s="104">
        <v>2032</v>
      </c>
      <c r="C17" s="109">
        <f t="shared" si="12"/>
        <v>307691.58123488969</v>
      </c>
      <c r="D17" s="92">
        <f t="shared" si="2"/>
        <v>5.5105979017976834</v>
      </c>
      <c r="E17" s="40">
        <f t="shared" si="20"/>
        <v>1695564.5819537945</v>
      </c>
      <c r="F17" s="120">
        <f t="shared" si="13"/>
        <v>35230.885283313364</v>
      </c>
      <c r="G17" s="40">
        <f t="shared" si="21"/>
        <v>105119.16744423272</v>
      </c>
      <c r="H17" s="119">
        <f t="shared" si="22"/>
        <v>1835914.6346813405</v>
      </c>
      <c r="I17" s="262">
        <f t="shared" si="23"/>
        <v>0.05</v>
      </c>
      <c r="J17" s="260">
        <f t="shared" si="24"/>
        <v>7898.5597092165517</v>
      </c>
      <c r="K17" s="262">
        <f t="shared" si="25"/>
        <v>0.04</v>
      </c>
      <c r="L17" s="260">
        <f t="shared" si="26"/>
        <v>6318.8477673732414</v>
      </c>
      <c r="M17" s="260">
        <f t="shared" si="27"/>
        <v>618.7960542571509</v>
      </c>
      <c r="N17" s="260">
        <f t="shared" si="28"/>
        <v>12321.467032368388</v>
      </c>
      <c r="O17" s="120">
        <f t="shared" si="14"/>
        <v>5511.8384852366171</v>
      </c>
      <c r="P17" s="40">
        <f t="shared" si="3"/>
        <v>1056.9265584994012</v>
      </c>
      <c r="Q17" s="112">
        <f t="shared" si="4"/>
        <v>8437.4789907351333</v>
      </c>
      <c r="R17" s="127">
        <f t="shared" si="15"/>
        <v>19778.189940690416</v>
      </c>
      <c r="S17" s="120">
        <f t="shared" si="5"/>
        <v>167104.8564930328</v>
      </c>
      <c r="T17" s="40">
        <f t="shared" si="16"/>
        <v>211727.8493580959</v>
      </c>
      <c r="U17" s="40">
        <f t="shared" si="29"/>
        <v>157971.19418433102</v>
      </c>
      <c r="V17" s="40">
        <f t="shared" si="29"/>
        <v>53756.655173764877</v>
      </c>
      <c r="W17" s="280">
        <f t="shared" si="31"/>
        <v>4.8000000000000001E-2</v>
      </c>
      <c r="X17" s="134">
        <f t="shared" si="31"/>
        <v>0.03</v>
      </c>
      <c r="Y17" s="271">
        <f t="shared" si="30"/>
        <v>-52005.547885370921</v>
      </c>
      <c r="Z17" s="273">
        <f t="shared" si="30"/>
        <v>-42008.179932994848</v>
      </c>
      <c r="AA17" s="273">
        <f t="shared" si="17"/>
        <v>-94013.727818365762</v>
      </c>
      <c r="AB17" s="40">
        <f t="shared" si="6"/>
        <v>73091.128674667038</v>
      </c>
      <c r="AC17" s="134">
        <f t="shared" si="18"/>
        <v>0.3786608601038004</v>
      </c>
      <c r="AD17" s="39">
        <f t="shared" si="7"/>
        <v>168400</v>
      </c>
      <c r="AE17" s="257">
        <f t="shared" si="8"/>
        <v>0.36599999999999999</v>
      </c>
      <c r="AF17" s="39">
        <f t="shared" si="9"/>
        <v>28765</v>
      </c>
      <c r="AG17" s="39">
        <f t="shared" si="10"/>
        <v>44622.992865063105</v>
      </c>
      <c r="AJ17" t="s">
        <v>355</v>
      </c>
      <c r="AK17" t="s">
        <v>356</v>
      </c>
      <c r="AL17" t="s">
        <v>339</v>
      </c>
      <c r="AN17" s="3">
        <v>15</v>
      </c>
      <c r="AO17" s="44">
        <f t="shared" si="19"/>
        <v>3282207.2154195565</v>
      </c>
      <c r="AP17" s="44">
        <f t="shared" si="0"/>
        <v>95944.553054213087</v>
      </c>
      <c r="AQ17" s="44">
        <f t="shared" si="1"/>
        <v>-180000</v>
      </c>
    </row>
    <row r="18" spans="2:43" x14ac:dyDescent="0.25">
      <c r="B18" s="104">
        <v>2033</v>
      </c>
      <c r="C18" s="109">
        <f t="shared" si="12"/>
        <v>348196.73590170045</v>
      </c>
      <c r="D18" s="92">
        <f t="shared" si="2"/>
        <v>5.6483628493426252</v>
      </c>
      <c r="E18" s="40">
        <f t="shared" si="20"/>
        <v>1966741.5073295303</v>
      </c>
      <c r="F18" s="120">
        <f t="shared" si="13"/>
        <v>36320.500292075631</v>
      </c>
      <c r="G18" s="40">
        <f t="shared" si="21"/>
        <v>106208.78245299499</v>
      </c>
      <c r="H18" s="119">
        <f t="shared" si="22"/>
        <v>2109270.7900746008</v>
      </c>
      <c r="I18" s="262">
        <f t="shared" si="23"/>
        <v>0.05</v>
      </c>
      <c r="J18" s="260">
        <f t="shared" si="24"/>
        <v>8277.6905752589464</v>
      </c>
      <c r="K18" s="262">
        <f t="shared" si="25"/>
        <v>0.04</v>
      </c>
      <c r="L18" s="260">
        <f t="shared" si="26"/>
        <v>6622.1524602071568</v>
      </c>
      <c r="M18" s="260">
        <f t="shared" si="27"/>
        <v>648.49826486149414</v>
      </c>
      <c r="N18" s="260">
        <f t="shared" si="28"/>
        <v>12912.897449922069</v>
      </c>
      <c r="O18" s="120">
        <f t="shared" si="14"/>
        <v>6279.4200252018309</v>
      </c>
      <c r="P18" s="40">
        <f t="shared" si="3"/>
        <v>1089.6150087622691</v>
      </c>
      <c r="Q18" s="112">
        <f t="shared" si="4"/>
        <v>8523.1757387215712</v>
      </c>
      <c r="R18" s="127">
        <f t="shared" si="15"/>
        <v>21312.837191686878</v>
      </c>
      <c r="S18" s="120">
        <f t="shared" si="5"/>
        <v>172934.68745585537</v>
      </c>
      <c r="T18" s="40">
        <f t="shared" si="16"/>
        <v>220923.16633415676</v>
      </c>
      <c r="U18" s="40">
        <f t="shared" si="29"/>
        <v>165553.81150517892</v>
      </c>
      <c r="V18" s="40">
        <f t="shared" si="29"/>
        <v>55369.354828977826</v>
      </c>
      <c r="W18" s="280">
        <f t="shared" si="31"/>
        <v>4.8000000000000001E-2</v>
      </c>
      <c r="X18" s="134">
        <f t="shared" si="31"/>
        <v>0.03</v>
      </c>
      <c r="Y18" s="271">
        <f t="shared" si="30"/>
        <v>-53045.658843078338</v>
      </c>
      <c r="Z18" s="273">
        <f t="shared" si="30"/>
        <v>-42848.343531654747</v>
      </c>
      <c r="AA18" s="273">
        <f t="shared" si="17"/>
        <v>-95894.002374733085</v>
      </c>
      <c r="AB18" s="40">
        <f t="shared" si="6"/>
        <v>77040.685081122283</v>
      </c>
      <c r="AC18" s="134">
        <f t="shared" si="18"/>
        <v>0.38408962401862856</v>
      </c>
      <c r="AD18" s="39">
        <f t="shared" si="7"/>
        <v>168400</v>
      </c>
      <c r="AE18" s="257">
        <f t="shared" si="8"/>
        <v>0.36599999999999999</v>
      </c>
      <c r="AF18" s="39">
        <f t="shared" si="9"/>
        <v>28765</v>
      </c>
      <c r="AG18" s="39">
        <f t="shared" si="10"/>
        <v>47988.478878301379</v>
      </c>
      <c r="AI18" t="s">
        <v>350</v>
      </c>
      <c r="AJ18" s="39">
        <v>14000</v>
      </c>
      <c r="AK18" s="39">
        <f>AM23</f>
        <v>2892.813229844086</v>
      </c>
      <c r="AL18" s="39">
        <f>AJ18+AK18</f>
        <v>16892.813229844087</v>
      </c>
      <c r="AN18" s="3">
        <v>16</v>
      </c>
      <c r="AO18" s="44">
        <f t="shared" si="19"/>
        <v>3198151.7684737695</v>
      </c>
      <c r="AP18" s="44">
        <f t="shared" si="0"/>
        <v>93344.900055889782</v>
      </c>
      <c r="AQ18" s="44">
        <f t="shared" si="1"/>
        <v>-180000</v>
      </c>
    </row>
    <row r="19" spans="2:43" x14ac:dyDescent="0.25">
      <c r="B19" s="104">
        <v>2034</v>
      </c>
      <c r="C19" s="109">
        <f t="shared" si="12"/>
        <v>391775.13404044136</v>
      </c>
      <c r="D19" s="92">
        <f t="shared" si="2"/>
        <v>5.78957192057619</v>
      </c>
      <c r="E19" s="40">
        <f t="shared" si="20"/>
        <v>2268210.3152205124</v>
      </c>
      <c r="F19" s="120">
        <f t="shared" si="13"/>
        <v>37443.814734098589</v>
      </c>
      <c r="G19" s="40">
        <f t="shared" si="21"/>
        <v>107332.09689501794</v>
      </c>
      <c r="H19" s="119">
        <f t="shared" si="22"/>
        <v>2412986.2268496291</v>
      </c>
      <c r="I19" s="262">
        <f t="shared" si="23"/>
        <v>0.05</v>
      </c>
      <c r="J19" s="260">
        <f t="shared" si="24"/>
        <v>8675.0197228713769</v>
      </c>
      <c r="K19" s="262">
        <f t="shared" si="25"/>
        <v>0.04</v>
      </c>
      <c r="L19" s="260">
        <f t="shared" si="26"/>
        <v>6940.015778297101</v>
      </c>
      <c r="M19" s="260">
        <f t="shared" si="27"/>
        <v>679.62618157484587</v>
      </c>
      <c r="N19" s="260">
        <f t="shared" si="28"/>
        <v>13532.716527518331</v>
      </c>
      <c r="O19" s="120">
        <f t="shared" si="14"/>
        <v>7106.0558347285805</v>
      </c>
      <c r="P19" s="40">
        <f t="shared" si="3"/>
        <v>1123.3144420229576</v>
      </c>
      <c r="Q19" s="112">
        <f t="shared" si="4"/>
        <v>8611.5229015941877</v>
      </c>
      <c r="R19" s="127">
        <f t="shared" si="15"/>
        <v>22939.625776493966</v>
      </c>
      <c r="S19" s="120">
        <f t="shared" si="5"/>
        <v>179025.94617642817</v>
      </c>
      <c r="T19" s="40">
        <f t="shared" si="16"/>
        <v>230530.8299312747</v>
      </c>
      <c r="U19" s="40">
        <f t="shared" si="29"/>
        <v>173500.39445742752</v>
      </c>
      <c r="V19" s="40">
        <f t="shared" si="29"/>
        <v>57030.435473847159</v>
      </c>
      <c r="W19" s="280">
        <f t="shared" si="31"/>
        <v>4.8000000000000001E-2</v>
      </c>
      <c r="X19" s="134">
        <f t="shared" si="31"/>
        <v>0.03</v>
      </c>
      <c r="Y19" s="271">
        <f t="shared" si="30"/>
        <v>-54106.572019939907</v>
      </c>
      <c r="Z19" s="273">
        <f t="shared" si="30"/>
        <v>-43705.31040228784</v>
      </c>
      <c r="AA19" s="273">
        <f t="shared" si="17"/>
        <v>-97811.882422227747</v>
      </c>
      <c r="AB19" s="40">
        <f t="shared" si="6"/>
        <v>81214.063754200426</v>
      </c>
      <c r="AC19" s="134">
        <f t="shared" si="18"/>
        <v>0.38927550276327871</v>
      </c>
      <c r="AD19" s="39">
        <f t="shared" si="7"/>
        <v>168400</v>
      </c>
      <c r="AE19" s="257">
        <f t="shared" si="8"/>
        <v>0.36599999999999999</v>
      </c>
      <c r="AF19" s="39">
        <f t="shared" si="9"/>
        <v>28765</v>
      </c>
      <c r="AG19" s="39">
        <f t="shared" si="10"/>
        <v>51504.883754846538</v>
      </c>
      <c r="AI19" t="s">
        <v>351</v>
      </c>
      <c r="AJ19" s="39">
        <f>20000*4</f>
        <v>80000</v>
      </c>
      <c r="AK19" s="39"/>
      <c r="AL19" s="39"/>
      <c r="AN19" s="3">
        <v>17</v>
      </c>
      <c r="AO19" s="44">
        <f t="shared" si="19"/>
        <v>3111496.6685296595</v>
      </c>
      <c r="AP19" s="44">
        <f t="shared" si="0"/>
        <v>90664.845418443074</v>
      </c>
      <c r="AQ19" s="44">
        <f t="shared" si="1"/>
        <v>-180000</v>
      </c>
    </row>
    <row r="20" spans="2:43" x14ac:dyDescent="0.25">
      <c r="B20" s="104">
        <v>2035</v>
      </c>
      <c r="C20" s="109">
        <f t="shared" si="12"/>
        <v>438616.31837955024</v>
      </c>
      <c r="D20" s="92">
        <f t="shared" si="2"/>
        <v>5.9343112185905946</v>
      </c>
      <c r="E20" s="40">
        <f t="shared" si="20"/>
        <v>2602885.7388166692</v>
      </c>
      <c r="F20" s="120">
        <f t="shared" si="13"/>
        <v>38601.870859895454</v>
      </c>
      <c r="G20" s="40">
        <f t="shared" si="21"/>
        <v>108490.1530208148</v>
      </c>
      <c r="H20" s="119">
        <f t="shared" si="22"/>
        <v>2749977.7626973796</v>
      </c>
      <c r="I20" s="262">
        <f t="shared" si="23"/>
        <v>0.05</v>
      </c>
      <c r="J20" s="260">
        <f t="shared" si="24"/>
        <v>9091.4206695692028</v>
      </c>
      <c r="K20" s="262">
        <f t="shared" si="25"/>
        <v>0.04</v>
      </c>
      <c r="L20" s="260">
        <f t="shared" si="26"/>
        <v>7273.1365356553624</v>
      </c>
      <c r="M20" s="260">
        <f t="shared" si="27"/>
        <v>712.24823829043862</v>
      </c>
      <c r="N20" s="260">
        <f t="shared" si="28"/>
        <v>14182.286920839211</v>
      </c>
      <c r="O20" s="120">
        <f t="shared" si="14"/>
        <v>7995.4108987845184</v>
      </c>
      <c r="P20" s="40">
        <f t="shared" si="3"/>
        <v>1158.0561257968634</v>
      </c>
      <c r="Q20" s="112">
        <f t="shared" si="4"/>
        <v>8702.6024509473991</v>
      </c>
      <c r="R20" s="127">
        <f t="shared" si="15"/>
        <v>24663.486519485101</v>
      </c>
      <c r="S20" s="120">
        <f t="shared" si="5"/>
        <v>185390.62906326918</v>
      </c>
      <c r="T20" s="40">
        <f t="shared" si="16"/>
        <v>240569.76192944666</v>
      </c>
      <c r="U20" s="40">
        <f t="shared" si="29"/>
        <v>181828.41339138406</v>
      </c>
      <c r="V20" s="40">
        <f t="shared" si="29"/>
        <v>58741.348538062579</v>
      </c>
      <c r="W20" s="280">
        <f t="shared" si="31"/>
        <v>4.8000000000000001E-2</v>
      </c>
      <c r="X20" s="134">
        <f t="shared" si="31"/>
        <v>0.03</v>
      </c>
      <c r="Y20" s="271">
        <f t="shared" si="30"/>
        <v>-55188.703460338707</v>
      </c>
      <c r="Z20" s="273">
        <f t="shared" si="30"/>
        <v>-44579.416610333596</v>
      </c>
      <c r="AA20" s="273">
        <f t="shared" si="17"/>
        <v>-99768.120070672303</v>
      </c>
      <c r="AB20" s="40">
        <f t="shared" si="6"/>
        <v>85622.508992596879</v>
      </c>
      <c r="AC20" s="134">
        <f t="shared" si="18"/>
        <v>0.39422936312194301</v>
      </c>
      <c r="AD20" s="39">
        <f t="shared" si="7"/>
        <v>168400</v>
      </c>
      <c r="AE20" s="257">
        <f t="shared" si="8"/>
        <v>0.36599999999999999</v>
      </c>
      <c r="AF20" s="39">
        <f t="shared" si="9"/>
        <v>28765</v>
      </c>
      <c r="AG20" s="39">
        <f t="shared" si="10"/>
        <v>55179.132866177475</v>
      </c>
      <c r="AI20" t="s">
        <v>149</v>
      </c>
      <c r="AJ20" s="185">
        <f>AV4-AK9</f>
        <v>3.0000000000000002E-2</v>
      </c>
      <c r="AN20" s="3">
        <v>18</v>
      </c>
      <c r="AO20" s="44">
        <f t="shared" si="19"/>
        <v>3022161.5139481025</v>
      </c>
      <c r="AP20" s="44">
        <f t="shared" si="0"/>
        <v>87901.902493240283</v>
      </c>
      <c r="AQ20" s="44">
        <f t="shared" si="1"/>
        <v>-180000</v>
      </c>
    </row>
    <row r="21" spans="2:43" x14ac:dyDescent="0.25">
      <c r="B21" s="104">
        <v>2036</v>
      </c>
      <c r="C21" s="109">
        <f t="shared" si="12"/>
        <v>488920.27760520199</v>
      </c>
      <c r="D21" s="92">
        <f t="shared" si="2"/>
        <v>6.0826689990553593</v>
      </c>
      <c r="E21" s="40">
        <f t="shared" si="20"/>
        <v>2973940.2155987024</v>
      </c>
      <c r="F21" s="120">
        <f t="shared" si="13"/>
        <v>39795.743154531396</v>
      </c>
      <c r="G21" s="40">
        <f t="shared" si="21"/>
        <v>109684.02531545075</v>
      </c>
      <c r="H21" s="119">
        <f t="shared" si="22"/>
        <v>3123419.9840686847</v>
      </c>
      <c r="I21" s="262">
        <f t="shared" si="23"/>
        <v>0.05</v>
      </c>
      <c r="J21" s="260">
        <f t="shared" si="24"/>
        <v>9527.808861708525</v>
      </c>
      <c r="K21" s="262">
        <f t="shared" si="25"/>
        <v>0.04</v>
      </c>
      <c r="L21" s="260">
        <f t="shared" si="26"/>
        <v>7622.2470893668196</v>
      </c>
      <c r="M21" s="260">
        <f t="shared" si="27"/>
        <v>746.43615372837962</v>
      </c>
      <c r="N21" s="260">
        <f t="shared" si="28"/>
        <v>14863.036693039494</v>
      </c>
      <c r="O21" s="120">
        <f t="shared" si="14"/>
        <v>8951.353436317353</v>
      </c>
      <c r="P21" s="40">
        <f t="shared" si="3"/>
        <v>1193.8722946359419</v>
      </c>
      <c r="Q21" s="112">
        <f t="shared" si="4"/>
        <v>8796.4988935795773</v>
      </c>
      <c r="R21" s="127">
        <f t="shared" si="15"/>
        <v>26489.56909629493</v>
      </c>
      <c r="S21" s="120">
        <f t="shared" si="5"/>
        <v>192041.29178878973</v>
      </c>
      <c r="T21" s="40">
        <f t="shared" si="16"/>
        <v>251059.76622837497</v>
      </c>
      <c r="U21" s="40">
        <f t="shared" si="29"/>
        <v>190556.17723417049</v>
      </c>
      <c r="V21" s="40">
        <f t="shared" si="29"/>
        <v>60503.58899420446</v>
      </c>
      <c r="W21" s="280">
        <f t="shared" si="31"/>
        <v>4.8000000000000001E-2</v>
      </c>
      <c r="X21" s="134">
        <f t="shared" si="31"/>
        <v>0.03</v>
      </c>
      <c r="Y21" s="271">
        <f t="shared" si="30"/>
        <v>-56292.477529545482</v>
      </c>
      <c r="Z21" s="273">
        <f t="shared" si="30"/>
        <v>-45471.004942540269</v>
      </c>
      <c r="AA21" s="273">
        <f t="shared" si="17"/>
        <v>-101763.48247208574</v>
      </c>
      <c r="AB21" s="40">
        <f t="shared" si="6"/>
        <v>90277.809316703991</v>
      </c>
      <c r="AC21" s="134">
        <f t="shared" si="18"/>
        <v>0.39896158569433965</v>
      </c>
      <c r="AD21" s="39">
        <f t="shared" si="7"/>
        <v>168400</v>
      </c>
      <c r="AE21" s="257">
        <f t="shared" si="8"/>
        <v>0.36599999999999999</v>
      </c>
      <c r="AF21" s="39">
        <f t="shared" si="9"/>
        <v>28765</v>
      </c>
      <c r="AG21" s="39">
        <f t="shared" si="10"/>
        <v>59018.474439585232</v>
      </c>
      <c r="AN21" s="3">
        <v>19</v>
      </c>
      <c r="AO21" s="44">
        <f t="shared" si="19"/>
        <v>2930063.4164413428</v>
      </c>
      <c r="AP21" s="44">
        <f t="shared" si="0"/>
        <v>85053.507724989991</v>
      </c>
      <c r="AQ21" s="44">
        <f t="shared" si="1"/>
        <v>-180000</v>
      </c>
    </row>
    <row r="22" spans="2:43" x14ac:dyDescent="0.25">
      <c r="B22" s="104">
        <v>2037</v>
      </c>
      <c r="C22" s="109">
        <f t="shared" si="12"/>
        <v>542897.95854641893</v>
      </c>
      <c r="D22" s="92">
        <f t="shared" si="2"/>
        <v>6.2347357240317427</v>
      </c>
      <c r="E22" s="40">
        <f t="shared" si="20"/>
        <v>3384825.2966532623</v>
      </c>
      <c r="F22" s="120">
        <f t="shared" si="13"/>
        <v>41026.53933456845</v>
      </c>
      <c r="G22" s="40">
        <f t="shared" si="21"/>
        <v>110914.82149548781</v>
      </c>
      <c r="H22" s="119">
        <f t="shared" si="22"/>
        <v>3536766.6574833188</v>
      </c>
      <c r="I22" s="262">
        <f t="shared" si="23"/>
        <v>0.05</v>
      </c>
      <c r="J22" s="260">
        <f t="shared" si="24"/>
        <v>9985.1436870705347</v>
      </c>
      <c r="K22" s="262">
        <f t="shared" si="25"/>
        <v>0.04</v>
      </c>
      <c r="L22" s="260">
        <f t="shared" si="26"/>
        <v>7988.1149496564267</v>
      </c>
      <c r="M22" s="260">
        <f t="shared" si="27"/>
        <v>782.26508910734185</v>
      </c>
      <c r="N22" s="260">
        <f t="shared" si="28"/>
        <v>15576.462454305391</v>
      </c>
      <c r="O22" s="120">
        <f t="shared" si="14"/>
        <v>9977.9648490857562</v>
      </c>
      <c r="P22" s="40">
        <f t="shared" si="3"/>
        <v>1230.7961800370535</v>
      </c>
      <c r="Q22" s="112">
        <f t="shared" si="4"/>
        <v>8893.2993499014119</v>
      </c>
      <c r="R22" s="127">
        <f t="shared" si="15"/>
        <v>28423.253637825772</v>
      </c>
      <c r="S22" s="120">
        <f t="shared" si="5"/>
        <v>198991.07563704977</v>
      </c>
      <c r="T22" s="40">
        <f t="shared" si="16"/>
        <v>262021.57040544128</v>
      </c>
      <c r="U22" s="40">
        <f t="shared" ref="U22:V37" si="32">U21*(1+W22)</f>
        <v>199702.87374141067</v>
      </c>
      <c r="V22" s="40">
        <f t="shared" si="32"/>
        <v>62318.696664030598</v>
      </c>
      <c r="W22" s="280">
        <f t="shared" si="31"/>
        <v>4.8000000000000001E-2</v>
      </c>
      <c r="X22" s="134">
        <f t="shared" si="31"/>
        <v>0.03</v>
      </c>
      <c r="Y22" s="271">
        <f t="shared" si="30"/>
        <v>-57418.327080136391</v>
      </c>
      <c r="Z22" s="273">
        <f t="shared" si="30"/>
        <v>-46380.425041391078</v>
      </c>
      <c r="AA22" s="273">
        <f t="shared" si="17"/>
        <v>-103798.75212152748</v>
      </c>
      <c r="AB22" s="40">
        <f t="shared" si="6"/>
        <v>95192.323515522294</v>
      </c>
      <c r="AC22" s="134">
        <f t="shared" si="18"/>
        <v>0.40348208664780982</v>
      </c>
      <c r="AD22" s="39">
        <f t="shared" si="7"/>
        <v>168400</v>
      </c>
      <c r="AE22" s="257">
        <f t="shared" si="8"/>
        <v>0.36599999999999999</v>
      </c>
      <c r="AF22" s="39">
        <f t="shared" si="9"/>
        <v>28765</v>
      </c>
      <c r="AG22" s="39">
        <f t="shared" si="10"/>
        <v>63030.494768391509</v>
      </c>
      <c r="AJ22" t="s">
        <v>352</v>
      </c>
      <c r="AK22" t="s">
        <v>149</v>
      </c>
      <c r="AL22" t="s">
        <v>353</v>
      </c>
      <c r="AM22" t="s">
        <v>354</v>
      </c>
      <c r="AN22" s="3">
        <v>20</v>
      </c>
      <c r="AO22" s="44">
        <f t="shared" si="19"/>
        <v>2835116.9241663329</v>
      </c>
      <c r="AP22" s="44">
        <f t="shared" si="0"/>
        <v>82117.01827318556</v>
      </c>
      <c r="AQ22" s="44">
        <f t="shared" si="1"/>
        <v>-180000</v>
      </c>
    </row>
    <row r="23" spans="2:43" x14ac:dyDescent="0.25">
      <c r="B23" s="104">
        <v>2038</v>
      </c>
      <c r="C23" s="109">
        <f t="shared" si="12"/>
        <v>600771.80420365953</v>
      </c>
      <c r="D23" s="92">
        <f t="shared" si="2"/>
        <v>6.3906041171325354</v>
      </c>
      <c r="E23" s="40">
        <f t="shared" si="20"/>
        <v>3839294.7654010481</v>
      </c>
      <c r="F23" s="120">
        <f t="shared" si="13"/>
        <v>42295.401375843765</v>
      </c>
      <c r="G23" s="40">
        <f t="shared" si="21"/>
        <v>112183.68353676311</v>
      </c>
      <c r="H23" s="119">
        <f t="shared" si="22"/>
        <v>3993773.8503136551</v>
      </c>
      <c r="I23" s="262">
        <f t="shared" si="23"/>
        <v>0.05</v>
      </c>
      <c r="J23" s="260">
        <f t="shared" si="24"/>
        <v>10464.43058404992</v>
      </c>
      <c r="K23" s="262">
        <f t="shared" si="25"/>
        <v>0.04</v>
      </c>
      <c r="L23" s="260">
        <f t="shared" si="26"/>
        <v>8371.5444672399353</v>
      </c>
      <c r="M23" s="260">
        <f t="shared" si="27"/>
        <v>819.81381338449432</v>
      </c>
      <c r="N23" s="260">
        <f t="shared" si="28"/>
        <v>16324.132652112046</v>
      </c>
      <c r="O23" s="120">
        <f t="shared" si="14"/>
        <v>11079.550174416714</v>
      </c>
      <c r="P23" s="40">
        <f t="shared" si="3"/>
        <v>1268.862041275313</v>
      </c>
      <c r="Q23" s="112">
        <f t="shared" si="4"/>
        <v>8993.0936347692805</v>
      </c>
      <c r="R23" s="127">
        <f t="shared" si="15"/>
        <v>30470.162830711852</v>
      </c>
      <c r="S23" s="120">
        <f t="shared" si="5"/>
        <v>206253.73510129823</v>
      </c>
      <c r="T23" s="40">
        <f t="shared" si="16"/>
        <v>273476.86924494989</v>
      </c>
      <c r="U23" s="40">
        <f t="shared" si="32"/>
        <v>209288.61168099838</v>
      </c>
      <c r="V23" s="40">
        <f t="shared" si="32"/>
        <v>64188.25756395152</v>
      </c>
      <c r="W23" s="280">
        <f t="shared" si="31"/>
        <v>4.8000000000000001E-2</v>
      </c>
      <c r="X23" s="134">
        <f t="shared" si="31"/>
        <v>0.03</v>
      </c>
      <c r="Y23" s="271">
        <f t="shared" ref="Y23:Z38" si="33">Y22*(1+$AK$9)</f>
        <v>-58566.693621739119</v>
      </c>
      <c r="Z23" s="273">
        <f t="shared" si="33"/>
        <v>-47308.033542218902</v>
      </c>
      <c r="AA23" s="273">
        <f t="shared" si="17"/>
        <v>-105874.72716395801</v>
      </c>
      <c r="AB23" s="40">
        <f t="shared" si="6"/>
        <v>100379.00793734021</v>
      </c>
      <c r="AC23" s="134">
        <f t="shared" si="18"/>
        <v>0.40780033849621683</v>
      </c>
      <c r="AD23" s="39">
        <f t="shared" si="7"/>
        <v>168400</v>
      </c>
      <c r="AE23" s="257">
        <f t="shared" si="8"/>
        <v>0.36599999999999999</v>
      </c>
      <c r="AF23" s="39">
        <f t="shared" si="9"/>
        <v>28765</v>
      </c>
      <c r="AG23" s="39">
        <f t="shared" si="10"/>
        <v>67223.134143651667</v>
      </c>
      <c r="AI23" s="264">
        <v>1</v>
      </c>
      <c r="AJ23" s="267">
        <v>0</v>
      </c>
      <c r="AK23" s="268">
        <f>AJ23*$AJ$20/(1-$AJ$20)</f>
        <v>0</v>
      </c>
      <c r="AL23" s="268"/>
      <c r="AM23" s="270">
        <v>2892.813229844086</v>
      </c>
      <c r="AN23" s="3">
        <v>21</v>
      </c>
      <c r="AO23" s="44">
        <f t="shared" si="19"/>
        <v>2737233.9424395184</v>
      </c>
      <c r="AP23" s="44">
        <f t="shared" si="0"/>
        <v>79089.709559985102</v>
      </c>
      <c r="AQ23" s="44">
        <f t="shared" si="1"/>
        <v>-180000</v>
      </c>
    </row>
    <row r="24" spans="2:43" x14ac:dyDescent="0.25">
      <c r="B24" s="104">
        <v>2039</v>
      </c>
      <c r="C24" s="109">
        <f t="shared" si="12"/>
        <v>662776.31882911792</v>
      </c>
      <c r="D24" s="92">
        <f t="shared" si="2"/>
        <v>6.5503692200608485</v>
      </c>
      <c r="E24" s="40">
        <f t="shared" si="20"/>
        <v>4341429.5986434892</v>
      </c>
      <c r="F24" s="120">
        <f t="shared" si="13"/>
        <v>43603.506573034807</v>
      </c>
      <c r="G24" s="40">
        <f t="shared" si="21"/>
        <v>113491.78873395416</v>
      </c>
      <c r="H24" s="119">
        <f t="shared" si="22"/>
        <v>4498524.8939504782</v>
      </c>
      <c r="I24" s="262">
        <f t="shared" si="23"/>
        <v>0.05</v>
      </c>
      <c r="J24" s="260">
        <f t="shared" si="24"/>
        <v>10966.723252084317</v>
      </c>
      <c r="K24" s="262">
        <f t="shared" si="25"/>
        <v>0.04</v>
      </c>
      <c r="L24" s="260">
        <f t="shared" si="26"/>
        <v>8773.378601667453</v>
      </c>
      <c r="M24" s="260">
        <f t="shared" si="27"/>
        <v>859.16487642694995</v>
      </c>
      <c r="N24" s="260">
        <f t="shared" si="28"/>
        <v>17107.691019413425</v>
      </c>
      <c r="O24" s="120">
        <f t="shared" si="14"/>
        <v>12260.649065380809</v>
      </c>
      <c r="P24" s="40">
        <f t="shared" si="3"/>
        <v>1308.1051971910445</v>
      </c>
      <c r="Q24" s="112">
        <f t="shared" si="4"/>
        <v>9095.9743408186296</v>
      </c>
      <c r="R24" s="127">
        <f t="shared" si="15"/>
        <v>32636.174540664149</v>
      </c>
      <c r="S24" s="120">
        <f t="shared" si="5"/>
        <v>213843.66679084074</v>
      </c>
      <c r="T24" s="40">
        <f t="shared" si="16"/>
        <v>285448.37033255637</v>
      </c>
      <c r="U24" s="40">
        <f t="shared" si="32"/>
        <v>219334.46504168632</v>
      </c>
      <c r="V24" s="40">
        <f t="shared" si="32"/>
        <v>66113.905290870069</v>
      </c>
      <c r="W24" s="280">
        <f t="shared" si="31"/>
        <v>4.8000000000000001E-2</v>
      </c>
      <c r="X24" s="134">
        <f t="shared" si="31"/>
        <v>0.03</v>
      </c>
      <c r="Y24" s="271">
        <f t="shared" si="33"/>
        <v>-59738.027494173904</v>
      </c>
      <c r="Z24" s="273">
        <f t="shared" si="33"/>
        <v>-48254.194213063281</v>
      </c>
      <c r="AA24" s="273">
        <f t="shared" si="17"/>
        <v>-107992.22170723719</v>
      </c>
      <c r="AB24" s="40">
        <f t="shared" si="6"/>
        <v>105851.44508360355</v>
      </c>
      <c r="AC24" s="134">
        <f t="shared" si="18"/>
        <v>0.41192538994918815</v>
      </c>
      <c r="AD24" s="39">
        <f t="shared" si="7"/>
        <v>168400</v>
      </c>
      <c r="AE24" s="257">
        <f t="shared" si="8"/>
        <v>0.36599999999999999</v>
      </c>
      <c r="AF24" s="39">
        <f t="shared" si="9"/>
        <v>28765</v>
      </c>
      <c r="AG24" s="39">
        <f t="shared" si="10"/>
        <v>71604.703541715629</v>
      </c>
      <c r="AI24" s="16">
        <v>2</v>
      </c>
      <c r="AJ24" s="40">
        <f>SUM(AJ23:AM23)</f>
        <v>2892.813229844086</v>
      </c>
      <c r="AK24" s="40">
        <f t="shared" ref="AK24:AK43" si="34">AJ24*$AJ$20/(1-$AJ$20)</f>
        <v>89.468450407549057</v>
      </c>
      <c r="AL24" s="40"/>
      <c r="AM24" s="41">
        <f>AM23</f>
        <v>2892.813229844086</v>
      </c>
      <c r="AN24" s="3">
        <v>22</v>
      </c>
      <c r="AO24" s="44">
        <f t="shared" si="19"/>
        <v>2636323.6519995034</v>
      </c>
      <c r="AP24" s="44">
        <f t="shared" si="0"/>
        <v>75968.77274225268</v>
      </c>
      <c r="AQ24" s="44">
        <f t="shared" si="1"/>
        <v>-180000</v>
      </c>
    </row>
    <row r="25" spans="2:43" x14ac:dyDescent="0.25">
      <c r="B25" s="104">
        <v>2040</v>
      </c>
      <c r="C25" s="109">
        <f t="shared" si="12"/>
        <v>726122.32865329226</v>
      </c>
      <c r="D25" s="92">
        <f t="shared" si="2"/>
        <v>6.7141284505623693</v>
      </c>
      <c r="E25" s="40">
        <f t="shared" si="20"/>
        <v>4875278.5853996687</v>
      </c>
      <c r="F25" s="120">
        <f t="shared" si="13"/>
        <v>44952.068631994647</v>
      </c>
      <c r="G25" s="40">
        <f t="shared" si="21"/>
        <v>114840.350792914</v>
      </c>
      <c r="H25" s="119">
        <f t="shared" si="22"/>
        <v>5035071.0048245769</v>
      </c>
      <c r="I25" s="262">
        <f t="shared" si="23"/>
        <v>0.05</v>
      </c>
      <c r="J25" s="260">
        <f t="shared" si="24"/>
        <v>10966.723252084317</v>
      </c>
      <c r="K25" s="262">
        <f t="shared" si="25"/>
        <v>0.04</v>
      </c>
      <c r="L25" s="260">
        <f t="shared" si="26"/>
        <v>8773.378601667453</v>
      </c>
      <c r="M25" s="260">
        <f t="shared" si="27"/>
        <v>900.40479049544354</v>
      </c>
      <c r="N25" s="260">
        <f t="shared" si="28"/>
        <v>17141.940768047309</v>
      </c>
      <c r="O25" s="120">
        <f t="shared" si="14"/>
        <v>13526.047323043224</v>
      </c>
      <c r="P25" s="40">
        <f t="shared" si="3"/>
        <v>1348.5620589598395</v>
      </c>
      <c r="Q25" s="112">
        <f t="shared" si="4"/>
        <v>9202.0369243746609</v>
      </c>
      <c r="R25" s="127">
        <f t="shared" si="15"/>
        <v>32678.021733083806</v>
      </c>
      <c r="S25" s="120">
        <f t="shared" si="5"/>
        <v>215101.15326947311</v>
      </c>
      <c r="T25" s="40">
        <f t="shared" si="16"/>
        <v>287431.78749128251</v>
      </c>
      <c r="U25" s="40">
        <f t="shared" si="32"/>
        <v>219334.46504168632</v>
      </c>
      <c r="V25" s="40">
        <f t="shared" si="32"/>
        <v>68097.322449596177</v>
      </c>
      <c r="W25" s="133"/>
      <c r="X25" s="134">
        <f t="shared" si="31"/>
        <v>0.03</v>
      </c>
      <c r="Y25" s="271">
        <f t="shared" si="33"/>
        <v>-60932.788044057386</v>
      </c>
      <c r="Z25" s="273">
        <f t="shared" si="33"/>
        <v>-49219.278097324546</v>
      </c>
      <c r="AA25" s="273">
        <f t="shared" si="17"/>
        <v>-110152.06614138193</v>
      </c>
      <c r="AB25" s="40">
        <f t="shared" si="6"/>
        <v>104949.08712809118</v>
      </c>
      <c r="AC25" s="134">
        <f t="shared" si="18"/>
        <v>0.41586588487329451</v>
      </c>
      <c r="AD25" s="39">
        <f t="shared" si="7"/>
        <v>168400</v>
      </c>
      <c r="AE25" s="257">
        <f t="shared" si="8"/>
        <v>0.36599999999999999</v>
      </c>
      <c r="AF25" s="39">
        <f t="shared" si="9"/>
        <v>28765</v>
      </c>
      <c r="AG25" s="39">
        <f t="shared" si="10"/>
        <v>72330.634221809392</v>
      </c>
      <c r="AI25" s="16">
        <v>3</v>
      </c>
      <c r="AJ25" s="40">
        <f t="shared" ref="AJ25:AJ44" si="35">SUM(AJ24:AM24)</f>
        <v>5875.0949100957205</v>
      </c>
      <c r="AK25" s="40">
        <f t="shared" si="34"/>
        <v>181.70396629162025</v>
      </c>
      <c r="AL25" s="40"/>
      <c r="AM25" s="41">
        <f t="shared" ref="AM25:AM43" si="36">AM24</f>
        <v>2892.813229844086</v>
      </c>
      <c r="AN25" s="3">
        <v>23</v>
      </c>
      <c r="AO25" s="44">
        <f t="shared" si="19"/>
        <v>2532292.4247417562</v>
      </c>
      <c r="AP25" s="44">
        <f t="shared" si="0"/>
        <v>72751.312105415142</v>
      </c>
      <c r="AQ25" s="44">
        <f t="shared" si="1"/>
        <v>-180000</v>
      </c>
    </row>
    <row r="26" spans="2:43" x14ac:dyDescent="0.25">
      <c r="B26" s="104">
        <v>2041</v>
      </c>
      <c r="C26" s="109">
        <f t="shared" si="12"/>
        <v>790776.70726678357</v>
      </c>
      <c r="D26" s="92">
        <f t="shared" si="2"/>
        <v>6.881981661826428</v>
      </c>
      <c r="E26" s="40">
        <f t="shared" si="20"/>
        <v>5442110.7980094897</v>
      </c>
      <c r="F26" s="120">
        <f t="shared" si="13"/>
        <v>46342.338795870768</v>
      </c>
      <c r="G26" s="40">
        <f t="shared" si="21"/>
        <v>116230.62095679012</v>
      </c>
      <c r="H26" s="119">
        <f t="shared" si="22"/>
        <v>5604683.7577621499</v>
      </c>
      <c r="I26" s="262">
        <f t="shared" si="23"/>
        <v>0.05</v>
      </c>
      <c r="J26" s="260">
        <f t="shared" si="24"/>
        <v>10966.723252084317</v>
      </c>
      <c r="K26" s="262">
        <f t="shared" si="25"/>
        <v>0.04</v>
      </c>
      <c r="L26" s="260">
        <f t="shared" si="26"/>
        <v>8773.378601667453</v>
      </c>
      <c r="M26" s="260">
        <f t="shared" si="27"/>
        <v>902.20740884459531</v>
      </c>
      <c r="N26" s="260">
        <f t="shared" si="28"/>
        <v>17143.437842586281</v>
      </c>
      <c r="O26" s="120">
        <f t="shared" si="14"/>
        <v>14818.823033740659</v>
      </c>
      <c r="P26" s="40">
        <f t="shared" si="3"/>
        <v>1390.270163876123</v>
      </c>
      <c r="Q26" s="112">
        <f t="shared" si="4"/>
        <v>9311.3797940200548</v>
      </c>
      <c r="R26" s="127">
        <f t="shared" si="15"/>
        <v>32692.117737164386</v>
      </c>
      <c r="S26" s="120">
        <f t="shared" si="5"/>
        <v>216396.36434246443</v>
      </c>
      <c r="T26" s="40">
        <f t="shared" si="16"/>
        <v>289474.7071647704</v>
      </c>
      <c r="U26" s="40">
        <f t="shared" si="32"/>
        <v>219334.46504168632</v>
      </c>
      <c r="V26" s="40">
        <f t="shared" si="32"/>
        <v>70140.24212308407</v>
      </c>
      <c r="W26" s="133">
        <f t="shared" ref="W26:X41" si="37">W25</f>
        <v>0</v>
      </c>
      <c r="X26" s="134">
        <f t="shared" si="37"/>
        <v>0.03</v>
      </c>
      <c r="Y26" s="271">
        <f t="shared" si="33"/>
        <v>-62151.443804938535</v>
      </c>
      <c r="Z26" s="273">
        <f t="shared" si="33"/>
        <v>-50203.663659271035</v>
      </c>
      <c r="AA26" s="273">
        <f t="shared" si="17"/>
        <v>-112355.10746420958</v>
      </c>
      <c r="AB26" s="40">
        <f t="shared" si="6"/>
        <v>104041.25687825485</v>
      </c>
      <c r="AC26" s="134">
        <f t="shared" si="18"/>
        <v>0.41963008040489774</v>
      </c>
      <c r="AD26" s="39">
        <f t="shared" si="7"/>
        <v>168400</v>
      </c>
      <c r="AE26" s="257">
        <f t="shared" si="8"/>
        <v>0.36599999999999999</v>
      </c>
      <c r="AF26" s="39">
        <f t="shared" si="9"/>
        <v>28765</v>
      </c>
      <c r="AG26" s="39">
        <f t="shared" si="10"/>
        <v>73078.342822305975</v>
      </c>
      <c r="AI26" s="16">
        <v>4</v>
      </c>
      <c r="AJ26" s="40">
        <f t="shared" si="35"/>
        <v>8949.6121062314269</v>
      </c>
      <c r="AK26" s="40">
        <f t="shared" si="34"/>
        <v>276.79212699684825</v>
      </c>
      <c r="AL26" s="40"/>
      <c r="AM26" s="41">
        <f t="shared" si="36"/>
        <v>2892.813229844086</v>
      </c>
      <c r="AN26" s="3">
        <v>24</v>
      </c>
      <c r="AO26" s="44">
        <f t="shared" si="19"/>
        <v>2425043.7368471711</v>
      </c>
      <c r="AP26" s="44">
        <f t="shared" si="0"/>
        <v>69434.342376716624</v>
      </c>
      <c r="AQ26" s="44">
        <f t="shared" si="1"/>
        <v>-180000</v>
      </c>
    </row>
    <row r="27" spans="2:43" x14ac:dyDescent="0.25">
      <c r="B27" s="104">
        <v>2042</v>
      </c>
      <c r="C27" s="109">
        <f t="shared" si="12"/>
        <v>856738.31838506612</v>
      </c>
      <c r="D27" s="92">
        <f t="shared" si="2"/>
        <v>7.0540312033720882</v>
      </c>
      <c r="E27" s="40">
        <f t="shared" si="20"/>
        <v>6043458.8310127873</v>
      </c>
      <c r="F27" s="120">
        <f t="shared" si="13"/>
        <v>47775.607006052342</v>
      </c>
      <c r="G27" s="40">
        <f t="shared" si="21"/>
        <v>117663.8891669717</v>
      </c>
      <c r="H27" s="119">
        <f t="shared" si="22"/>
        <v>6208898.3271858115</v>
      </c>
      <c r="I27" s="262">
        <f t="shared" si="23"/>
        <v>0.05</v>
      </c>
      <c r="J27" s="260">
        <f t="shared" si="24"/>
        <v>10966.723252084317</v>
      </c>
      <c r="K27" s="262">
        <f t="shared" si="25"/>
        <v>0.04</v>
      </c>
      <c r="L27" s="260">
        <f t="shared" si="26"/>
        <v>8773.378601667453</v>
      </c>
      <c r="M27" s="260">
        <f t="shared" si="27"/>
        <v>902.28620224138331</v>
      </c>
      <c r="N27" s="260">
        <f t="shared" si="28"/>
        <v>17143.503280502315</v>
      </c>
      <c r="O27" s="120">
        <f t="shared" si="14"/>
        <v>16138.300148301707</v>
      </c>
      <c r="P27" s="40">
        <f t="shared" si="3"/>
        <v>1433.2682101815701</v>
      </c>
      <c r="Q27" s="112">
        <f t="shared" si="4"/>
        <v>9424.1044019019027</v>
      </c>
      <c r="R27" s="127">
        <f t="shared" si="15"/>
        <v>32679.807689478454</v>
      </c>
      <c r="S27" s="120">
        <f t="shared" si="5"/>
        <v>217730.43174764549</v>
      </c>
      <c r="T27" s="40">
        <f t="shared" si="16"/>
        <v>291578.91442846291</v>
      </c>
      <c r="U27" s="40">
        <f t="shared" si="32"/>
        <v>219334.46504168632</v>
      </c>
      <c r="V27" s="40">
        <f t="shared" si="32"/>
        <v>72244.4493867766</v>
      </c>
      <c r="W27" s="133">
        <f t="shared" si="37"/>
        <v>0</v>
      </c>
      <c r="X27" s="134">
        <f t="shared" si="37"/>
        <v>0.03</v>
      </c>
      <c r="Y27" s="271">
        <f t="shared" si="33"/>
        <v>-63394.47268103731</v>
      </c>
      <c r="Z27" s="273">
        <f t="shared" si="33"/>
        <v>-51207.736932456457</v>
      </c>
      <c r="AA27" s="273">
        <f t="shared" si="17"/>
        <v>-114602.20961349376</v>
      </c>
      <c r="AB27" s="40">
        <f t="shared" si="6"/>
        <v>103128.22213415173</v>
      </c>
      <c r="AC27" s="134">
        <f t="shared" si="18"/>
        <v>0.42322586425262221</v>
      </c>
      <c r="AD27" s="39">
        <f t="shared" si="7"/>
        <v>168400</v>
      </c>
      <c r="AE27" s="257">
        <f t="shared" si="8"/>
        <v>0.36599999999999999</v>
      </c>
      <c r="AF27" s="39">
        <f t="shared" si="9"/>
        <v>28765</v>
      </c>
      <c r="AG27" s="39">
        <f t="shared" si="10"/>
        <v>73848.482680817426</v>
      </c>
      <c r="AI27" s="16">
        <v>5</v>
      </c>
      <c r="AJ27" s="40">
        <f t="shared" si="35"/>
        <v>12119.21746307236</v>
      </c>
      <c r="AK27" s="40">
        <f t="shared" si="34"/>
        <v>374.8211586517225</v>
      </c>
      <c r="AL27" s="40"/>
      <c r="AM27" s="41">
        <f t="shared" si="36"/>
        <v>2892.813229844086</v>
      </c>
      <c r="AN27" s="3">
        <v>25</v>
      </c>
      <c r="AO27" s="44">
        <f t="shared" si="19"/>
        <v>2314478.0792238875</v>
      </c>
      <c r="AP27" s="44">
        <f t="shared" si="0"/>
        <v>66014.785955377971</v>
      </c>
      <c r="AQ27" s="44">
        <f t="shared" si="1"/>
        <v>-180000</v>
      </c>
    </row>
    <row r="28" spans="2:43" x14ac:dyDescent="0.25">
      <c r="B28" s="104">
        <v>2043</v>
      </c>
      <c r="C28" s="109">
        <f t="shared" si="12"/>
        <v>935151.31784547807</v>
      </c>
      <c r="D28" s="92">
        <f t="shared" si="2"/>
        <v>7.2303819834563896</v>
      </c>
      <c r="E28" s="40">
        <f t="shared" si="20"/>
        <v>6761501.2403554441</v>
      </c>
      <c r="F28" s="120">
        <f t="shared" si="13"/>
        <v>49253.203099023034</v>
      </c>
      <c r="G28" s="40">
        <f t="shared" si="21"/>
        <v>119141.48525994239</v>
      </c>
      <c r="H28" s="119">
        <f t="shared" si="22"/>
        <v>6929895.9287144095</v>
      </c>
      <c r="I28" s="262">
        <f t="shared" si="23"/>
        <v>0.05</v>
      </c>
      <c r="J28" s="260">
        <f t="shared" si="24"/>
        <v>10966.723252084317</v>
      </c>
      <c r="K28" s="262">
        <f t="shared" si="25"/>
        <v>0.04</v>
      </c>
      <c r="L28" s="260">
        <f t="shared" si="26"/>
        <v>8773.378601667453</v>
      </c>
      <c r="M28" s="260">
        <f t="shared" si="27"/>
        <v>902.28964634222723</v>
      </c>
      <c r="N28" s="260">
        <f t="shared" si="28"/>
        <v>17143.506140828064</v>
      </c>
      <c r="O28" s="120">
        <f t="shared" si="14"/>
        <v>17484.455477246247</v>
      </c>
      <c r="P28" s="40">
        <f t="shared" si="3"/>
        <v>1477.596092970691</v>
      </c>
      <c r="Q28" s="112">
        <f t="shared" si="4"/>
        <v>9540.3153378625684</v>
      </c>
      <c r="R28" s="127">
        <f t="shared" si="15"/>
        <v>43785.037842337748</v>
      </c>
      <c r="S28" s="120">
        <f t="shared" si="5"/>
        <v>219104.52117498199</v>
      </c>
      <c r="T28" s="40">
        <f t="shared" si="16"/>
        <v>293746.24791006622</v>
      </c>
      <c r="U28" s="40">
        <f t="shared" si="32"/>
        <v>219334.46504168632</v>
      </c>
      <c r="V28" s="40">
        <f t="shared" si="32"/>
        <v>74411.782868379902</v>
      </c>
      <c r="W28" s="133">
        <f t="shared" si="37"/>
        <v>0</v>
      </c>
      <c r="X28" s="134">
        <f t="shared" si="37"/>
        <v>0.03</v>
      </c>
      <c r="Y28" s="271">
        <f t="shared" si="33"/>
        <v>-64662.362134658055</v>
      </c>
      <c r="Z28" s="273">
        <f>Z27*(1+$AK$9)/2</f>
        <v>-26115.945835552793</v>
      </c>
      <c r="AA28" s="273">
        <f t="shared" si="17"/>
        <v>-90778.307970210852</v>
      </c>
      <c r="AB28" s="40">
        <f t="shared" si="6"/>
        <v>128326.21320477113</v>
      </c>
      <c r="AC28" s="134">
        <f t="shared" si="18"/>
        <v>0.42666077122570628</v>
      </c>
      <c r="AD28" s="39">
        <f t="shared" si="7"/>
        <v>168400</v>
      </c>
      <c r="AE28" s="257">
        <f t="shared" si="8"/>
        <v>0.36599999999999999</v>
      </c>
      <c r="AF28" s="39">
        <f t="shared" si="9"/>
        <v>28765</v>
      </c>
      <c r="AG28" s="39">
        <f t="shared" si="10"/>
        <v>74641.72673508423</v>
      </c>
      <c r="AI28" s="16">
        <v>6</v>
      </c>
      <c r="AJ28" s="40">
        <f t="shared" si="35"/>
        <v>15386.851851568168</v>
      </c>
      <c r="AK28" s="40">
        <f t="shared" si="34"/>
        <v>475.88201602788155</v>
      </c>
      <c r="AL28" s="40"/>
      <c r="AM28" s="41">
        <f t="shared" si="36"/>
        <v>2892.813229844086</v>
      </c>
      <c r="AN28" s="3">
        <v>26</v>
      </c>
      <c r="AO28" s="44">
        <f t="shared" si="19"/>
        <v>2200492.8651792654</v>
      </c>
      <c r="AP28" s="44">
        <f t="shared" si="0"/>
        <v>62489.470057090679</v>
      </c>
      <c r="AQ28" s="44">
        <f t="shared" si="1"/>
        <v>-180000</v>
      </c>
    </row>
    <row r="29" spans="2:43" x14ac:dyDescent="0.25">
      <c r="B29" s="104">
        <v>2044</v>
      </c>
      <c r="C29" s="109">
        <f t="shared" si="12"/>
        <v>1015413.5642378486</v>
      </c>
      <c r="D29" s="92">
        <f t="shared" si="2"/>
        <v>7.411141533042799</v>
      </c>
      <c r="E29" s="40">
        <f t="shared" si="20"/>
        <v>7525373.6391381416</v>
      </c>
      <c r="F29" s="120">
        <f t="shared" si="13"/>
        <v>50776.498040229933</v>
      </c>
      <c r="G29" s="40">
        <f t="shared" si="21"/>
        <v>120664.78020114929</v>
      </c>
      <c r="H29" s="119">
        <f t="shared" si="22"/>
        <v>7696814.9173795208</v>
      </c>
      <c r="I29" s="262">
        <f t="shared" si="23"/>
        <v>0.05</v>
      </c>
      <c r="J29" s="260">
        <f t="shared" si="24"/>
        <v>10966.723252084317</v>
      </c>
      <c r="K29" s="262">
        <f t="shared" si="25"/>
        <v>0.04</v>
      </c>
      <c r="L29" s="260">
        <f t="shared" si="26"/>
        <v>8773.378601667453</v>
      </c>
      <c r="M29" s="260">
        <f t="shared" si="27"/>
        <v>902.28979688568768</v>
      </c>
      <c r="N29" s="260">
        <f t="shared" si="28"/>
        <v>17143.506265854408</v>
      </c>
      <c r="O29" s="120">
        <f t="shared" si="14"/>
        <v>19084.720772356697</v>
      </c>
      <c r="P29" s="40">
        <f t="shared" si="3"/>
        <v>1523.2949412068979</v>
      </c>
      <c r="Q29" s="112">
        <f t="shared" si="4"/>
        <v>9660.1204264818152</v>
      </c>
      <c r="R29" s="127">
        <f t="shared" si="15"/>
        <v>44034.01935415934</v>
      </c>
      <c r="S29" s="120">
        <f t="shared" si="5"/>
        <v>220519.83328513856</v>
      </c>
      <c r="T29" s="40">
        <f t="shared" si="16"/>
        <v>295978.60139611759</v>
      </c>
      <c r="U29" s="40">
        <f t="shared" si="32"/>
        <v>219334.46504168632</v>
      </c>
      <c r="V29" s="40">
        <f t="shared" si="32"/>
        <v>76644.136354431306</v>
      </c>
      <c r="W29" s="133">
        <f t="shared" si="37"/>
        <v>0</v>
      </c>
      <c r="X29" s="134">
        <f t="shared" si="37"/>
        <v>0.03</v>
      </c>
      <c r="Y29" s="271">
        <f t="shared" si="33"/>
        <v>-65955.609377351211</v>
      </c>
      <c r="Z29" s="273">
        <f>Z28*(1+$AK$9)</f>
        <v>-26638.264752263851</v>
      </c>
      <c r="AA29" s="273">
        <f t="shared" si="17"/>
        <v>-92593.874129615055</v>
      </c>
      <c r="AB29" s="40">
        <f t="shared" si="6"/>
        <v>127925.95915552351</v>
      </c>
      <c r="AC29" s="134">
        <f t="shared" si="18"/>
        <v>0.42994199902286889</v>
      </c>
      <c r="AD29" s="39">
        <f t="shared" si="7"/>
        <v>168400</v>
      </c>
      <c r="AE29" s="257">
        <f t="shared" si="8"/>
        <v>0.36599999999999999</v>
      </c>
      <c r="AF29" s="39">
        <f t="shared" si="9"/>
        <v>28765</v>
      </c>
      <c r="AG29" s="39">
        <f t="shared" si="10"/>
        <v>75458.768110979028</v>
      </c>
      <c r="AI29" s="16">
        <v>7</v>
      </c>
      <c r="AJ29" s="40">
        <f t="shared" si="35"/>
        <v>18755.547097440136</v>
      </c>
      <c r="AK29" s="40">
        <f t="shared" si="34"/>
        <v>580.06846693113823</v>
      </c>
      <c r="AL29" s="40"/>
      <c r="AM29" s="41">
        <f t="shared" si="36"/>
        <v>2892.813229844086</v>
      </c>
      <c r="AN29" s="3">
        <v>27</v>
      </c>
      <c r="AO29" s="44">
        <f t="shared" si="19"/>
        <v>2082982.3352363561</v>
      </c>
      <c r="AP29" s="44">
        <f t="shared" si="0"/>
        <v>58855.12377019658</v>
      </c>
      <c r="AQ29" s="44">
        <f t="shared" si="1"/>
        <v>-180000</v>
      </c>
    </row>
    <row r="30" spans="2:43" x14ac:dyDescent="0.25">
      <c r="B30" s="104">
        <v>2045</v>
      </c>
      <c r="C30" s="109">
        <f t="shared" si="12"/>
        <v>1109311.2443878679</v>
      </c>
      <c r="D30" s="92">
        <f t="shared" si="2"/>
        <v>7.5964200713688683</v>
      </c>
      <c r="E30" s="40">
        <f t="shared" si="20"/>
        <v>8426794.2022631746</v>
      </c>
      <c r="F30" s="120">
        <f t="shared" si="13"/>
        <v>52346.90519611333</v>
      </c>
      <c r="G30" s="40">
        <f t="shared" si="21"/>
        <v>122235.18735703269</v>
      </c>
      <c r="H30" s="119">
        <f t="shared" si="22"/>
        <v>8601376.2948163208</v>
      </c>
      <c r="I30" s="262">
        <f t="shared" si="23"/>
        <v>0.05</v>
      </c>
      <c r="J30" s="260">
        <f t="shared" si="24"/>
        <v>10966.723252084317</v>
      </c>
      <c r="K30" s="262">
        <f t="shared" si="25"/>
        <v>0.04</v>
      </c>
      <c r="L30" s="260">
        <f t="shared" si="26"/>
        <v>8773.378601667453</v>
      </c>
      <c r="M30" s="260">
        <f t="shared" si="27"/>
        <v>902.28980346602157</v>
      </c>
      <c r="N30" s="260">
        <f t="shared" si="28"/>
        <v>17143.506271319377</v>
      </c>
      <c r="O30" s="120">
        <f t="shared" si="14"/>
        <v>20722.725800772423</v>
      </c>
      <c r="P30" s="40">
        <f t="shared" si="3"/>
        <v>1570.4071558833998</v>
      </c>
      <c r="Q30" s="112">
        <f t="shared" si="4"/>
        <v>9783.6308271202124</v>
      </c>
      <c r="R30" s="127">
        <f t="shared" si="15"/>
        <v>56031.448077927394</v>
      </c>
      <c r="S30" s="120">
        <f t="shared" si="5"/>
        <v>221977.60475859986</v>
      </c>
      <c r="T30" s="40">
        <f t="shared" si="16"/>
        <v>298277.92548675055</v>
      </c>
      <c r="U30" s="40">
        <f t="shared" si="32"/>
        <v>219334.46504168632</v>
      </c>
      <c r="V30" s="40">
        <f t="shared" si="32"/>
        <v>78943.460445064251</v>
      </c>
      <c r="W30" s="133">
        <f t="shared" si="37"/>
        <v>0</v>
      </c>
      <c r="X30" s="134">
        <f t="shared" si="37"/>
        <v>0.03</v>
      </c>
      <c r="Y30" s="271">
        <f t="shared" si="33"/>
        <v>-67274.721564898238</v>
      </c>
      <c r="Z30" s="273"/>
      <c r="AA30" s="273">
        <f t="shared" si="17"/>
        <v>-67274.721564898238</v>
      </c>
      <c r="AB30" s="40">
        <f t="shared" si="6"/>
        <v>154702.88319370162</v>
      </c>
      <c r="AC30" s="134">
        <f t="shared" si="18"/>
        <v>0.43307642331477503</v>
      </c>
      <c r="AD30" s="39">
        <f t="shared" si="7"/>
        <v>168400</v>
      </c>
      <c r="AE30" s="257">
        <f t="shared" si="8"/>
        <v>0.36599999999999999</v>
      </c>
      <c r="AF30" s="39">
        <f t="shared" si="9"/>
        <v>28765</v>
      </c>
      <c r="AG30" s="39">
        <f t="shared" si="10"/>
        <v>76300.320728150691</v>
      </c>
      <c r="AI30" s="16">
        <v>8</v>
      </c>
      <c r="AJ30" s="40">
        <f t="shared" si="35"/>
        <v>22228.428794215361</v>
      </c>
      <c r="AK30" s="40">
        <f t="shared" si="34"/>
        <v>687.47717920253695</v>
      </c>
      <c r="AL30" s="40"/>
      <c r="AM30" s="41">
        <f t="shared" si="36"/>
        <v>2892.813229844086</v>
      </c>
      <c r="AN30" s="3">
        <v>28</v>
      </c>
      <c r="AO30" s="44">
        <f t="shared" si="19"/>
        <v>1961837.4590065526</v>
      </c>
      <c r="AP30" s="44">
        <f t="shared" si="0"/>
        <v>55108.375020821208</v>
      </c>
      <c r="AQ30" s="44">
        <f t="shared" si="1"/>
        <v>-180000</v>
      </c>
    </row>
    <row r="31" spans="2:43" x14ac:dyDescent="0.25">
      <c r="B31" s="104">
        <v>2046</v>
      </c>
      <c r="C31" s="109">
        <f t="shared" si="12"/>
        <v>1185836.4766211354</v>
      </c>
      <c r="D31" s="92">
        <f t="shared" si="2"/>
        <v>7.786330573153089</v>
      </c>
      <c r="E31" s="40">
        <f t="shared" si="20"/>
        <v>9233314.8126752842</v>
      </c>
      <c r="F31" s="120">
        <f t="shared" si="13"/>
        <v>53965.881645477661</v>
      </c>
      <c r="G31" s="40">
        <f t="shared" si="21"/>
        <v>123854.16380639702</v>
      </c>
      <c r="H31" s="119">
        <f t="shared" si="22"/>
        <v>9411134.85812716</v>
      </c>
      <c r="I31" s="262">
        <f t="shared" si="23"/>
        <v>0.05</v>
      </c>
      <c r="J31" s="260">
        <f t="shared" si="24"/>
        <v>7676.70627645902</v>
      </c>
      <c r="K31" s="262">
        <f t="shared" si="25"/>
        <v>0.04</v>
      </c>
      <c r="L31" s="260">
        <f t="shared" si="26"/>
        <v>6141.3650211672157</v>
      </c>
      <c r="M31" s="260">
        <f t="shared" si="27"/>
        <v>902.28980375365143</v>
      </c>
      <c r="N31" s="260">
        <f t="shared" si="28"/>
        <v>12225.259894695997</v>
      </c>
      <c r="O31" s="120">
        <f t="shared" si="14"/>
        <v>22639.004987507509</v>
      </c>
      <c r="P31" s="40">
        <f t="shared" si="3"/>
        <v>1618.9764493643297</v>
      </c>
      <c r="Q31" s="112">
        <f t="shared" si="4"/>
        <v>9910.9611370567036</v>
      </c>
      <c r="R31" s="127">
        <f t="shared" si="15"/>
        <v>41660.967351063911</v>
      </c>
      <c r="S31" s="120">
        <f t="shared" si="5"/>
        <v>181761.69412533625</v>
      </c>
      <c r="T31" s="40">
        <f t="shared" si="16"/>
        <v>234845.88978759659</v>
      </c>
      <c r="U31" s="40">
        <f t="shared" si="32"/>
        <v>153534.1255291804</v>
      </c>
      <c r="V31" s="40">
        <f t="shared" si="32"/>
        <v>81311.76425841618</v>
      </c>
      <c r="W31" s="133">
        <v>-0.3</v>
      </c>
      <c r="X31" s="134">
        <f t="shared" si="37"/>
        <v>0.03</v>
      </c>
      <c r="Y31" s="271">
        <f t="shared" si="33"/>
        <v>-68620.215996196202</v>
      </c>
      <c r="Z31" s="273"/>
      <c r="AA31" s="273">
        <f t="shared" si="17"/>
        <v>-68620.215996196202</v>
      </c>
      <c r="AB31" s="40">
        <f t="shared" si="6"/>
        <v>113141.47812914004</v>
      </c>
      <c r="AC31" s="134">
        <f t="shared" si="18"/>
        <v>0.43607061215170584</v>
      </c>
      <c r="AD31" s="39">
        <f t="shared" si="7"/>
        <v>168400</v>
      </c>
      <c r="AE31" s="257">
        <f t="shared" si="8"/>
        <v>0.36599999999999999</v>
      </c>
      <c r="AF31" s="39">
        <f t="shared" si="9"/>
        <v>28765</v>
      </c>
      <c r="AG31" s="39">
        <f t="shared" si="10"/>
        <v>53084.195662260354</v>
      </c>
      <c r="AI31" s="16">
        <v>9</v>
      </c>
      <c r="AJ31" s="40">
        <f t="shared" si="35"/>
        <v>25808.719203261986</v>
      </c>
      <c r="AK31" s="40">
        <f t="shared" si="34"/>
        <v>798.2078104101646</v>
      </c>
      <c r="AL31" s="40"/>
      <c r="AM31" s="41">
        <f t="shared" si="36"/>
        <v>2892.813229844086</v>
      </c>
      <c r="AN31" s="3">
        <v>29</v>
      </c>
      <c r="AO31" s="44">
        <f t="shared" si="19"/>
        <v>1836945.8340273737</v>
      </c>
      <c r="AP31" s="44">
        <f t="shared" si="0"/>
        <v>51245.747444145578</v>
      </c>
      <c r="AQ31" s="44">
        <f t="shared" si="1"/>
        <v>-180000</v>
      </c>
    </row>
    <row r="32" spans="2:43" x14ac:dyDescent="0.25">
      <c r="B32" s="104">
        <v>2047</v>
      </c>
      <c r="C32" s="109">
        <f t="shared" si="12"/>
        <v>1264108.5173282507</v>
      </c>
      <c r="D32" s="92">
        <f t="shared" si="2"/>
        <v>7.9809888374819158</v>
      </c>
      <c r="E32" s="40">
        <f t="shared" si="20"/>
        <v>10088835.966162583</v>
      </c>
      <c r="F32" s="120">
        <f t="shared" si="13"/>
        <v>55634.929531420268</v>
      </c>
      <c r="G32" s="40">
        <f t="shared" si="21"/>
        <v>125523.21169233962</v>
      </c>
      <c r="H32" s="119">
        <f t="shared" si="22"/>
        <v>10269994.107386341</v>
      </c>
      <c r="I32" s="262">
        <f t="shared" si="23"/>
        <v>0.05</v>
      </c>
      <c r="J32" s="260">
        <f t="shared" si="24"/>
        <v>7676.70627645902</v>
      </c>
      <c r="K32" s="262">
        <f t="shared" si="25"/>
        <v>0.04</v>
      </c>
      <c r="L32" s="260">
        <f t="shared" si="26"/>
        <v>6141.3650211672157</v>
      </c>
      <c r="M32" s="260">
        <f t="shared" si="27"/>
        <v>643.43473129978941</v>
      </c>
      <c r="N32" s="260">
        <f t="shared" si="28"/>
        <v>12010.280757023065</v>
      </c>
      <c r="O32" s="120">
        <f t="shared" si="14"/>
        <v>24200.744420839499</v>
      </c>
      <c r="P32" s="40">
        <f t="shared" si="3"/>
        <v>1669.047885942608</v>
      </c>
      <c r="Q32" s="112">
        <f t="shared" si="4"/>
        <v>10042.229497815973</v>
      </c>
      <c r="R32" s="127">
        <f t="shared" si="15"/>
        <v>42061.015529252843</v>
      </c>
      <c r="S32" s="120">
        <f t="shared" si="5"/>
        <v>183308.24388153129</v>
      </c>
      <c r="T32" s="40">
        <f t="shared" si="16"/>
        <v>237285.24271534907</v>
      </c>
      <c r="U32" s="40">
        <f t="shared" si="32"/>
        <v>153534.1255291804</v>
      </c>
      <c r="V32" s="40">
        <f t="shared" si="32"/>
        <v>83751.117186168674</v>
      </c>
      <c r="W32" s="133">
        <v>0</v>
      </c>
      <c r="X32" s="134">
        <f t="shared" si="37"/>
        <v>0.03</v>
      </c>
      <c r="Y32" s="271">
        <f t="shared" si="33"/>
        <v>-69992.620316120127</v>
      </c>
      <c r="Z32" s="273"/>
      <c r="AA32" s="273">
        <f t="shared" si="17"/>
        <v>-69992.620316120127</v>
      </c>
      <c r="AB32" s="40">
        <f t="shared" si="6"/>
        <v>113315.62356541117</v>
      </c>
      <c r="AC32" s="134">
        <f t="shared" si="18"/>
        <v>0.43893083972662328</v>
      </c>
      <c r="AD32" s="39">
        <f t="shared" si="7"/>
        <v>168400</v>
      </c>
      <c r="AE32" s="257">
        <f t="shared" si="8"/>
        <v>0.36599999999999999</v>
      </c>
      <c r="AF32" s="39">
        <f t="shared" si="9"/>
        <v>28765</v>
      </c>
      <c r="AG32" s="39">
        <f t="shared" si="10"/>
        <v>53976.998833817765</v>
      </c>
      <c r="AI32" s="16">
        <v>10</v>
      </c>
      <c r="AJ32" s="40">
        <f t="shared" si="35"/>
        <v>29499.740243516237</v>
      </c>
      <c r="AK32" s="40">
        <f t="shared" si="34"/>
        <v>912.3631003149352</v>
      </c>
      <c r="AL32" s="40"/>
      <c r="AM32" s="41">
        <f t="shared" si="36"/>
        <v>2892.813229844086</v>
      </c>
      <c r="AN32" s="3">
        <v>30</v>
      </c>
      <c r="AO32" s="44">
        <f t="shared" si="19"/>
        <v>1708191.5814715193</v>
      </c>
      <c r="AP32" s="44">
        <f t="shared" si="0"/>
        <v>47263.657158912967</v>
      </c>
      <c r="AQ32" s="44">
        <f t="shared" si="1"/>
        <v>-180000</v>
      </c>
    </row>
    <row r="33" spans="2:43" x14ac:dyDescent="0.25">
      <c r="B33" s="104">
        <v>2048</v>
      </c>
      <c r="C33" s="109">
        <f t="shared" si="12"/>
        <v>1344363.4399174829</v>
      </c>
      <c r="D33" s="92">
        <f t="shared" si="2"/>
        <v>8.1805135584189621</v>
      </c>
      <c r="E33" s="40">
        <f t="shared" si="20"/>
        <v>10997583.347687725</v>
      </c>
      <c r="F33" s="120">
        <f t="shared" si="13"/>
        <v>57355.597455072442</v>
      </c>
      <c r="G33" s="40">
        <f t="shared" si="21"/>
        <v>127243.8796159918</v>
      </c>
      <c r="H33" s="119">
        <f t="shared" si="22"/>
        <v>11182182.82475879</v>
      </c>
      <c r="I33" s="262">
        <f t="shared" si="23"/>
        <v>0.05</v>
      </c>
      <c r="J33" s="260">
        <f t="shared" si="24"/>
        <v>7676.70627645902</v>
      </c>
      <c r="K33" s="262">
        <f t="shared" si="25"/>
        <v>0.04</v>
      </c>
      <c r="L33" s="260">
        <f t="shared" si="26"/>
        <v>6141.3650211672157</v>
      </c>
      <c r="M33" s="260">
        <f t="shared" si="27"/>
        <v>632.1200398433192</v>
      </c>
      <c r="N33" s="260">
        <f t="shared" si="28"/>
        <v>12000.883905768467</v>
      </c>
      <c r="O33" s="120">
        <f t="shared" si="14"/>
        <v>25798.133006698994</v>
      </c>
      <c r="P33" s="40">
        <f t="shared" si="3"/>
        <v>1720.6679236521732</v>
      </c>
      <c r="Q33" s="112">
        <f t="shared" si="4"/>
        <v>10177.557704784293</v>
      </c>
      <c r="R33" s="127">
        <f t="shared" si="15"/>
        <v>42455.905676764982</v>
      </c>
      <c r="S33" s="120">
        <f t="shared" si="5"/>
        <v>184901.19013041223</v>
      </c>
      <c r="T33" s="40">
        <f t="shared" si="16"/>
        <v>239797.77623093413</v>
      </c>
      <c r="U33" s="40">
        <f t="shared" si="32"/>
        <v>153534.1255291804</v>
      </c>
      <c r="V33" s="40">
        <f t="shared" si="32"/>
        <v>86263.650701753737</v>
      </c>
      <c r="W33" s="133">
        <f t="shared" si="37"/>
        <v>0</v>
      </c>
      <c r="X33" s="134">
        <f t="shared" si="37"/>
        <v>0.03</v>
      </c>
      <c r="Y33" s="271">
        <f t="shared" si="33"/>
        <v>-71392.47272244253</v>
      </c>
      <c r="Z33" s="273"/>
      <c r="AA33" s="273">
        <f t="shared" si="17"/>
        <v>-71392.47272244253</v>
      </c>
      <c r="AB33" s="40">
        <f t="shared" si="6"/>
        <v>113508.7174079697</v>
      </c>
      <c r="AC33" s="134">
        <f t="shared" si="18"/>
        <v>0.44166309952246963</v>
      </c>
      <c r="AD33" s="39">
        <f t="shared" si="7"/>
        <v>168400</v>
      </c>
      <c r="AE33" s="257">
        <f t="shared" si="8"/>
        <v>0.36599999999999999</v>
      </c>
      <c r="AF33" s="39">
        <f t="shared" si="9"/>
        <v>28765</v>
      </c>
      <c r="AG33" s="39">
        <f t="shared" si="10"/>
        <v>54896.58610052189</v>
      </c>
      <c r="AI33" s="16">
        <v>11</v>
      </c>
      <c r="AJ33" s="40">
        <f t="shared" si="35"/>
        <v>33304.916573675255</v>
      </c>
      <c r="AK33" s="40">
        <f t="shared" si="34"/>
        <v>1030.0489661961419</v>
      </c>
      <c r="AL33" s="40"/>
      <c r="AM33" s="41">
        <f t="shared" si="36"/>
        <v>2892.813229844086</v>
      </c>
      <c r="AN33" s="3">
        <v>31</v>
      </c>
      <c r="AO33" s="44">
        <f t="shared" si="19"/>
        <v>1575455.2386304322</v>
      </c>
      <c r="AP33" s="44">
        <f t="shared" si="0"/>
        <v>43158.409442178316</v>
      </c>
      <c r="AQ33" s="44">
        <f t="shared" si="1"/>
        <v>-180000</v>
      </c>
    </row>
    <row r="34" spans="2:43" x14ac:dyDescent="0.25">
      <c r="B34" s="104">
        <v>2049</v>
      </c>
      <c r="C34" s="109">
        <f t="shared" si="12"/>
        <v>1426646.6462134174</v>
      </c>
      <c r="D34" s="92">
        <f t="shared" si="2"/>
        <v>8.3850263973794359</v>
      </c>
      <c r="E34" s="40">
        <f t="shared" si="20"/>
        <v>11962469.788232345</v>
      </c>
      <c r="F34" s="120">
        <f t="shared" si="13"/>
        <v>59129.481912445815</v>
      </c>
      <c r="G34" s="40">
        <f t="shared" si="21"/>
        <v>129017.76407336518</v>
      </c>
      <c r="H34" s="119">
        <f t="shared" si="22"/>
        <v>12150617.034218155</v>
      </c>
      <c r="I34" s="262">
        <f t="shared" si="23"/>
        <v>0.05</v>
      </c>
      <c r="J34" s="260">
        <f t="shared" si="24"/>
        <v>7676.70627645902</v>
      </c>
      <c r="K34" s="262">
        <f t="shared" si="25"/>
        <v>0.04</v>
      </c>
      <c r="L34" s="260">
        <f t="shared" si="26"/>
        <v>6141.3650211672157</v>
      </c>
      <c r="M34" s="260">
        <f t="shared" si="27"/>
        <v>631.62546872465623</v>
      </c>
      <c r="N34" s="260">
        <f t="shared" si="28"/>
        <v>12000.473164454417</v>
      </c>
      <c r="O34" s="120">
        <f t="shared" si="14"/>
        <v>27435.98856974455</v>
      </c>
      <c r="P34" s="40">
        <f t="shared" si="3"/>
        <v>1773.8844573733745</v>
      </c>
      <c r="Q34" s="112">
        <f t="shared" si="4"/>
        <v>10317.071320215551</v>
      </c>
      <c r="R34" s="127">
        <f t="shared" si="15"/>
        <v>42846.744561735497</v>
      </c>
      <c r="S34" s="120">
        <f t="shared" si="5"/>
        <v>186541.92476675959</v>
      </c>
      <c r="T34" s="40">
        <f t="shared" si="16"/>
        <v>242385.68575198675</v>
      </c>
      <c r="U34" s="40">
        <f t="shared" si="32"/>
        <v>153534.1255291804</v>
      </c>
      <c r="V34" s="40">
        <f t="shared" si="32"/>
        <v>88851.560222806351</v>
      </c>
      <c r="W34" s="133">
        <f t="shared" si="37"/>
        <v>0</v>
      </c>
      <c r="X34" s="134">
        <f t="shared" si="37"/>
        <v>0.03</v>
      </c>
      <c r="Y34" s="271">
        <f t="shared" si="33"/>
        <v>-72820.322176891379</v>
      </c>
      <c r="Z34" s="273"/>
      <c r="AA34" s="273">
        <f t="shared" si="17"/>
        <v>-72820.322176891379</v>
      </c>
      <c r="AB34" s="40">
        <f t="shared" si="6"/>
        <v>113721.60258986821</v>
      </c>
      <c r="AC34" s="134">
        <f t="shared" si="18"/>
        <v>0.44427311687125137</v>
      </c>
      <c r="AD34" s="39">
        <f t="shared" si="7"/>
        <v>168400</v>
      </c>
      <c r="AE34" s="257">
        <f t="shared" si="8"/>
        <v>0.36599999999999999</v>
      </c>
      <c r="AF34" s="39">
        <f t="shared" si="9"/>
        <v>28765</v>
      </c>
      <c r="AG34" s="39">
        <f t="shared" si="10"/>
        <v>55843.760985227149</v>
      </c>
      <c r="AI34" s="16">
        <v>12</v>
      </c>
      <c r="AJ34" s="40">
        <f t="shared" si="35"/>
        <v>37227.778769715478</v>
      </c>
      <c r="AK34" s="40">
        <f t="shared" si="34"/>
        <v>1151.374601125221</v>
      </c>
      <c r="AL34" s="40"/>
      <c r="AM34" s="41">
        <f t="shared" si="36"/>
        <v>2892.813229844086</v>
      </c>
      <c r="AN34" s="3">
        <v>32</v>
      </c>
      <c r="AO34" s="44">
        <f t="shared" si="19"/>
        <v>1438613.6480726104</v>
      </c>
      <c r="AP34" s="44">
        <f t="shared" si="0"/>
        <v>38926.19530121475</v>
      </c>
      <c r="AQ34" s="44">
        <f t="shared" si="1"/>
        <v>-180000</v>
      </c>
    </row>
    <row r="35" spans="2:43" x14ac:dyDescent="0.25">
      <c r="B35" s="104">
        <v>2050</v>
      </c>
      <c r="C35" s="109">
        <f t="shared" si="12"/>
        <v>1510996.9617633405</v>
      </c>
      <c r="D35" s="92">
        <f t="shared" si="2"/>
        <v>8.5946520573139207</v>
      </c>
      <c r="E35" s="40">
        <f t="shared" si="20"/>
        <v>12986493.146014377</v>
      </c>
      <c r="F35" s="120">
        <f t="shared" si="13"/>
        <v>60958.228775717333</v>
      </c>
      <c r="G35" s="40">
        <f t="shared" si="21"/>
        <v>130846.5109366367</v>
      </c>
      <c r="H35" s="119">
        <f t="shared" si="22"/>
        <v>13178297.885726731</v>
      </c>
      <c r="I35" s="262">
        <f t="shared" si="23"/>
        <v>0.05</v>
      </c>
      <c r="J35" s="260">
        <f t="shared" si="24"/>
        <v>7676.70627645902</v>
      </c>
      <c r="K35" s="262">
        <f t="shared" si="25"/>
        <v>0.04</v>
      </c>
      <c r="L35" s="260">
        <f t="shared" si="26"/>
        <v>6141.3650211672157</v>
      </c>
      <c r="M35" s="260">
        <f t="shared" si="27"/>
        <v>631.60385076075886</v>
      </c>
      <c r="N35" s="260">
        <f t="shared" si="28"/>
        <v>12000.455210735399</v>
      </c>
      <c r="O35" s="120">
        <f t="shared" si="14"/>
        <v>29115.237677824847</v>
      </c>
      <c r="P35" s="40">
        <f t="shared" si="3"/>
        <v>1828.7468632715199</v>
      </c>
      <c r="Q35" s="112">
        <f t="shared" si="4"/>
        <v>10460.899789732312</v>
      </c>
      <c r="R35" s="127">
        <f t="shared" si="15"/>
        <v>43234.62266136297</v>
      </c>
      <c r="S35" s="120">
        <f t="shared" si="5"/>
        <v>188231.88144219737</v>
      </c>
      <c r="T35" s="40">
        <f t="shared" si="16"/>
        <v>245051.23255867092</v>
      </c>
      <c r="U35" s="40">
        <f t="shared" si="32"/>
        <v>153534.1255291804</v>
      </c>
      <c r="V35" s="40">
        <f t="shared" si="32"/>
        <v>91517.107029490537</v>
      </c>
      <c r="W35" s="133">
        <f t="shared" si="37"/>
        <v>0</v>
      </c>
      <c r="X35" s="134">
        <f t="shared" si="37"/>
        <v>0.03</v>
      </c>
      <c r="Y35" s="271">
        <f t="shared" si="33"/>
        <v>-74276.728620429203</v>
      </c>
      <c r="Z35" s="273"/>
      <c r="AA35" s="273">
        <f t="shared" si="17"/>
        <v>-74276.728620429203</v>
      </c>
      <c r="AB35" s="40">
        <f t="shared" si="6"/>
        <v>113955.15282176816</v>
      </c>
      <c r="AC35" s="134">
        <f t="shared" si="18"/>
        <v>0.44676636095122424</v>
      </c>
      <c r="AD35" s="39">
        <f t="shared" si="7"/>
        <v>168400</v>
      </c>
      <c r="AE35" s="257">
        <f t="shared" si="8"/>
        <v>0.36599999999999999</v>
      </c>
      <c r="AF35" s="39">
        <f t="shared" si="9"/>
        <v>28765</v>
      </c>
      <c r="AG35" s="39">
        <f t="shared" si="10"/>
        <v>56819.351116473554</v>
      </c>
      <c r="AI35" s="16">
        <v>13</v>
      </c>
      <c r="AJ35" s="40">
        <f t="shared" si="35"/>
        <v>41271.966600684784</v>
      </c>
      <c r="AK35" s="40">
        <f t="shared" si="34"/>
        <v>1276.4525752789109</v>
      </c>
      <c r="AL35" s="40"/>
      <c r="AM35" s="41">
        <f t="shared" si="36"/>
        <v>2892.813229844086</v>
      </c>
      <c r="AN35" s="3">
        <v>33</v>
      </c>
      <c r="AO35" s="44">
        <f t="shared" si="19"/>
        <v>1297539.8433738251</v>
      </c>
      <c r="AP35" s="44">
        <f t="shared" si="0"/>
        <v>34563.087939396653</v>
      </c>
      <c r="AQ35" s="44">
        <f t="shared" si="1"/>
        <v>-180000</v>
      </c>
    </row>
    <row r="36" spans="2:43" x14ac:dyDescent="0.25">
      <c r="B36" s="104">
        <v>2051</v>
      </c>
      <c r="C36" s="109">
        <f t="shared" si="12"/>
        <v>1597454.7050040688</v>
      </c>
      <c r="D36" s="92">
        <f t="shared" si="2"/>
        <v>8.809518358746768</v>
      </c>
      <c r="E36" s="40">
        <f t="shared" si="20"/>
        <v>14072806.550999746</v>
      </c>
      <c r="F36" s="120">
        <f t="shared" si="13"/>
        <v>62843.53482032715</v>
      </c>
      <c r="G36" s="40">
        <f t="shared" si="21"/>
        <v>132731.81698124652</v>
      </c>
      <c r="H36" s="119">
        <f t="shared" si="22"/>
        <v>14268381.90280132</v>
      </c>
      <c r="I36" s="262">
        <f t="shared" si="23"/>
        <v>0.05</v>
      </c>
      <c r="J36" s="260">
        <f t="shared" si="24"/>
        <v>7676.70627645902</v>
      </c>
      <c r="K36" s="262">
        <f t="shared" si="25"/>
        <v>0.04</v>
      </c>
      <c r="L36" s="260">
        <f t="shared" si="26"/>
        <v>6141.3650211672157</v>
      </c>
      <c r="M36" s="260">
        <f t="shared" si="27"/>
        <v>631.6029058281789</v>
      </c>
      <c r="N36" s="260">
        <f t="shared" si="28"/>
        <v>12000.454425968892</v>
      </c>
      <c r="O36" s="120">
        <f t="shared" si="14"/>
        <v>30836.672689047766</v>
      </c>
      <c r="P36" s="40">
        <f t="shared" si="3"/>
        <v>1885.3060446098145</v>
      </c>
      <c r="Q36" s="112">
        <f t="shared" si="4"/>
        <v>10609.176562430002</v>
      </c>
      <c r="R36" s="127">
        <f t="shared" si="15"/>
        <v>43620.616125711356</v>
      </c>
      <c r="S36" s="120">
        <f t="shared" si="5"/>
        <v>189972.53681789828</v>
      </c>
      <c r="T36" s="40">
        <f t="shared" si="16"/>
        <v>247796.74576955565</v>
      </c>
      <c r="U36" s="40">
        <f t="shared" si="32"/>
        <v>153534.1255291804</v>
      </c>
      <c r="V36" s="40">
        <f t="shared" si="32"/>
        <v>94262.620240375254</v>
      </c>
      <c r="W36" s="133">
        <f t="shared" si="37"/>
        <v>0</v>
      </c>
      <c r="X36" s="134">
        <f t="shared" si="37"/>
        <v>0.03</v>
      </c>
      <c r="Y36" s="271">
        <f t="shared" si="33"/>
        <v>-75762.263192837781</v>
      </c>
      <c r="Z36" s="273"/>
      <c r="AA36" s="273">
        <f t="shared" si="17"/>
        <v>-75762.263192837781</v>
      </c>
      <c r="AB36" s="40">
        <f t="shared" si="6"/>
        <v>114210.27362506049</v>
      </c>
      <c r="AC36" s="134">
        <f t="shared" si="18"/>
        <v>0.44914805624731913</v>
      </c>
      <c r="AD36" s="39">
        <f t="shared" si="7"/>
        <v>168400</v>
      </c>
      <c r="AE36" s="257">
        <f t="shared" si="8"/>
        <v>0.36599999999999999</v>
      </c>
      <c r="AF36" s="39">
        <f t="shared" si="9"/>
        <v>28765</v>
      </c>
      <c r="AG36" s="39">
        <f t="shared" si="10"/>
        <v>57824.208951657369</v>
      </c>
      <c r="AI36" s="16">
        <v>14</v>
      </c>
      <c r="AJ36" s="40">
        <f t="shared" si="35"/>
        <v>45441.232405807779</v>
      </c>
      <c r="AK36" s="40">
        <f t="shared" si="34"/>
        <v>1405.3989403858077</v>
      </c>
      <c r="AL36" s="40"/>
      <c r="AM36" s="41">
        <f t="shared" si="36"/>
        <v>2892.813229844086</v>
      </c>
      <c r="AN36" s="3">
        <v>34</v>
      </c>
      <c r="AO36" s="44">
        <f t="shared" si="19"/>
        <v>1152102.9313132218</v>
      </c>
      <c r="AP36" s="44">
        <f t="shared" si="0"/>
        <v>30065.039112780058</v>
      </c>
      <c r="AQ36" s="44">
        <f t="shared" si="1"/>
        <v>-180000</v>
      </c>
    </row>
    <row r="37" spans="2:43" x14ac:dyDescent="0.25">
      <c r="B37" s="104">
        <v>2052</v>
      </c>
      <c r="C37" s="109">
        <f t="shared" si="12"/>
        <v>1686062.0645169197</v>
      </c>
      <c r="D37" s="92">
        <f t="shared" si="2"/>
        <v>9.029756317715437</v>
      </c>
      <c r="E37" s="40">
        <f t="shared" si="20"/>
        <v>15224729.579131989</v>
      </c>
      <c r="F37" s="120">
        <f t="shared" si="13"/>
        <v>64787.149299306337</v>
      </c>
      <c r="G37" s="40">
        <f t="shared" si="21"/>
        <v>134675.43146022572</v>
      </c>
      <c r="H37" s="119">
        <f t="shared" si="22"/>
        <v>15424192.159891522</v>
      </c>
      <c r="I37" s="262">
        <f t="shared" si="23"/>
        <v>0.05</v>
      </c>
      <c r="J37" s="260">
        <f t="shared" si="24"/>
        <v>7676.70627645902</v>
      </c>
      <c r="K37" s="262">
        <f t="shared" si="25"/>
        <v>0.04</v>
      </c>
      <c r="L37" s="260">
        <f t="shared" si="26"/>
        <v>6141.3650211672157</v>
      </c>
      <c r="M37" s="260">
        <f t="shared" si="27"/>
        <v>631.60286452467858</v>
      </c>
      <c r="N37" s="260">
        <f t="shared" si="28"/>
        <v>12000.454391666335</v>
      </c>
      <c r="O37" s="120">
        <f t="shared" si="14"/>
        <v>32601.116428654466</v>
      </c>
      <c r="P37" s="40">
        <f t="shared" si="3"/>
        <v>1943.6144789791902</v>
      </c>
      <c r="Q37" s="112">
        <f t="shared" si="4"/>
        <v>10762.039214695664</v>
      </c>
      <c r="R37" s="127">
        <f t="shared" si="15"/>
        <v>44005.788692530317</v>
      </c>
      <c r="S37" s="120">
        <f t="shared" si="5"/>
        <v>191765.41185487021</v>
      </c>
      <c r="T37" s="40">
        <f t="shared" si="16"/>
        <v>250624.62437676691</v>
      </c>
      <c r="U37" s="40">
        <f t="shared" si="32"/>
        <v>153534.1255291804</v>
      </c>
      <c r="V37" s="40">
        <f t="shared" si="32"/>
        <v>97090.49884758651</v>
      </c>
      <c r="W37" s="133">
        <f t="shared" si="37"/>
        <v>0</v>
      </c>
      <c r="X37" s="134">
        <f t="shared" si="37"/>
        <v>0.03</v>
      </c>
      <c r="Y37" s="271">
        <f t="shared" si="33"/>
        <v>-77277.508456694544</v>
      </c>
      <c r="Z37" s="273"/>
      <c r="AA37" s="273">
        <f t="shared" si="17"/>
        <v>-77277.508456694544</v>
      </c>
      <c r="AB37" s="40">
        <f t="shared" si="6"/>
        <v>114487.90339817567</v>
      </c>
      <c r="AC37" s="134">
        <f t="shared" si="18"/>
        <v>0.45142319349882415</v>
      </c>
      <c r="AD37" s="39">
        <f t="shared" si="7"/>
        <v>168400</v>
      </c>
      <c r="AE37" s="257">
        <f t="shared" si="8"/>
        <v>0.36599999999999999</v>
      </c>
      <c r="AF37" s="39">
        <f t="shared" si="9"/>
        <v>28765</v>
      </c>
      <c r="AG37" s="39">
        <f t="shared" si="10"/>
        <v>58859.212521896683</v>
      </c>
      <c r="AI37" s="16">
        <v>15</v>
      </c>
      <c r="AJ37" s="40">
        <f t="shared" si="35"/>
        <v>49739.444576037669</v>
      </c>
      <c r="AK37" s="40">
        <f t="shared" si="34"/>
        <v>1538.333337403227</v>
      </c>
      <c r="AL37" s="40"/>
      <c r="AM37" s="41">
        <f t="shared" si="36"/>
        <v>2892.813229844086</v>
      </c>
      <c r="AN37" s="3">
        <v>35</v>
      </c>
      <c r="AO37" s="44">
        <f t="shared" si="19"/>
        <v>1002167.9704260018</v>
      </c>
      <c r="AP37" s="44">
        <f t="shared" si="0"/>
        <v>25427.875374000057</v>
      </c>
      <c r="AQ37" s="44">
        <f t="shared" si="1"/>
        <v>-180000</v>
      </c>
    </row>
    <row r="38" spans="2:43" x14ac:dyDescent="0.25">
      <c r="B38" s="104">
        <v>2053</v>
      </c>
      <c r="C38" s="109">
        <f t="shared" si="12"/>
        <v>1776863.1423517568</v>
      </c>
      <c r="D38" s="92">
        <f t="shared" si="2"/>
        <v>9.2555002256583219</v>
      </c>
      <c r="E38" s="40">
        <f t="shared" si="20"/>
        <v>16445757.215000641</v>
      </c>
      <c r="F38" s="120">
        <f t="shared" si="13"/>
        <v>66790.875566295188</v>
      </c>
      <c r="G38" s="40">
        <f t="shared" si="21"/>
        <v>136679.15772721457</v>
      </c>
      <c r="H38" s="119">
        <f t="shared" si="22"/>
        <v>16649227.24829415</v>
      </c>
      <c r="I38" s="262">
        <f t="shared" si="23"/>
        <v>0.05</v>
      </c>
      <c r="J38" s="260">
        <f t="shared" si="24"/>
        <v>7676.70627645902</v>
      </c>
      <c r="K38" s="262">
        <f t="shared" si="25"/>
        <v>0.04</v>
      </c>
      <c r="L38" s="260">
        <f t="shared" si="26"/>
        <v>6141.3650211672157</v>
      </c>
      <c r="M38" s="260">
        <f t="shared" si="27"/>
        <v>631.60286271928078</v>
      </c>
      <c r="N38" s="260">
        <f t="shared" si="28"/>
        <v>12000.454390166953</v>
      </c>
      <c r="O38" s="120">
        <f t="shared" si="14"/>
        <v>34409.429888100407</v>
      </c>
      <c r="P38" s="40">
        <f t="shared" si="3"/>
        <v>2003.7262669888557</v>
      </c>
      <c r="Q38" s="112">
        <f t="shared" si="4"/>
        <v>10919.629577856138</v>
      </c>
      <c r="R38" s="127">
        <f t="shared" si="15"/>
        <v>44391.193556569669</v>
      </c>
      <c r="S38" s="120">
        <f t="shared" si="5"/>
        <v>193612.0731429513</v>
      </c>
      <c r="T38" s="40">
        <f t="shared" si="16"/>
        <v>253537.33934219449</v>
      </c>
      <c r="U38" s="40">
        <f t="shared" ref="U38:V41" si="38">U37*(1+W38)</f>
        <v>153534.1255291804</v>
      </c>
      <c r="V38" s="40">
        <f t="shared" si="38"/>
        <v>100003.21381301411</v>
      </c>
      <c r="W38" s="133">
        <f t="shared" si="37"/>
        <v>0</v>
      </c>
      <c r="X38" s="134">
        <f t="shared" si="37"/>
        <v>0.03</v>
      </c>
      <c r="Y38" s="271">
        <f t="shared" si="33"/>
        <v>-78823.058625828431</v>
      </c>
      <c r="Z38" s="273"/>
      <c r="AA38" s="273">
        <f t="shared" si="17"/>
        <v>-78823.058625828431</v>
      </c>
      <c r="AB38" s="40">
        <f t="shared" si="6"/>
        <v>114789.01451712287</v>
      </c>
      <c r="AC38" s="134">
        <f t="shared" si="18"/>
        <v>0.45359654015726236</v>
      </c>
      <c r="AD38" s="39">
        <f t="shared" si="7"/>
        <v>168400</v>
      </c>
      <c r="AE38" s="257">
        <f t="shared" si="8"/>
        <v>0.36599999999999999</v>
      </c>
      <c r="AF38" s="39">
        <f t="shared" si="9"/>
        <v>28765</v>
      </c>
      <c r="AG38" s="39">
        <f t="shared" si="10"/>
        <v>59925.266199243182</v>
      </c>
      <c r="AI38" s="16">
        <v>16</v>
      </c>
      <c r="AJ38" s="40">
        <f t="shared" si="35"/>
        <v>54170.591143284983</v>
      </c>
      <c r="AK38" s="40">
        <f t="shared" si="34"/>
        <v>1675.379107524278</v>
      </c>
      <c r="AL38" s="40"/>
      <c r="AM38" s="41">
        <f t="shared" si="36"/>
        <v>2892.813229844086</v>
      </c>
      <c r="AN38" s="3">
        <v>36</v>
      </c>
      <c r="AO38" s="44">
        <f t="shared" si="19"/>
        <v>847595.84580000187</v>
      </c>
      <c r="AP38" s="44">
        <f t="shared" si="0"/>
        <v>20647.294200000055</v>
      </c>
      <c r="AQ38" s="44">
        <f t="shared" si="1"/>
        <v>-180000</v>
      </c>
    </row>
    <row r="39" spans="2:43" x14ac:dyDescent="0.25">
      <c r="B39" s="104">
        <v>2054</v>
      </c>
      <c r="C39" s="109">
        <f t="shared" si="12"/>
        <v>1869903.9850478247</v>
      </c>
      <c r="D39" s="92">
        <f t="shared" si="2"/>
        <v>9.4868877312997792</v>
      </c>
      <c r="E39" s="40">
        <f t="shared" si="20"/>
        <v>17739569.174458776</v>
      </c>
      <c r="F39" s="120">
        <f t="shared" si="13"/>
        <v>68856.572748757928</v>
      </c>
      <c r="G39" s="40">
        <f t="shared" si="21"/>
        <v>138744.85490967729</v>
      </c>
      <c r="H39" s="119">
        <f t="shared" si="22"/>
        <v>17947170.602117211</v>
      </c>
      <c r="I39" s="262">
        <f t="shared" si="23"/>
        <v>0.05</v>
      </c>
      <c r="J39" s="260">
        <f t="shared" si="24"/>
        <v>7676.70627645902</v>
      </c>
      <c r="K39" s="262">
        <f t="shared" si="25"/>
        <v>0.04</v>
      </c>
      <c r="L39" s="260">
        <f t="shared" si="26"/>
        <v>6141.3650211672157</v>
      </c>
      <c r="M39" s="260">
        <f t="shared" si="27"/>
        <v>631.60286264036597</v>
      </c>
      <c r="N39" s="260">
        <f t="shared" si="28"/>
        <v>12000.454390101413</v>
      </c>
      <c r="O39" s="120">
        <f t="shared" si="14"/>
        <v>36262.513109219522</v>
      </c>
      <c r="P39" s="40">
        <f t="shared" si="3"/>
        <v>2065.6971824627376</v>
      </c>
      <c r="Q39" s="112">
        <f t="shared" si="4"/>
        <v>11082.093869774153</v>
      </c>
      <c r="R39" s="127">
        <f t="shared" si="15"/>
        <v>44777.875196747016</v>
      </c>
      <c r="S39" s="120">
        <f t="shared" si="5"/>
        <v>195514.13426967483</v>
      </c>
      <c r="T39" s="40">
        <f t="shared" si="16"/>
        <v>256537.43575658492</v>
      </c>
      <c r="U39" s="40">
        <f t="shared" si="38"/>
        <v>153534.1255291804</v>
      </c>
      <c r="V39" s="40">
        <f t="shared" si="38"/>
        <v>103003.31022740454</v>
      </c>
      <c r="W39" s="133">
        <f t="shared" si="37"/>
        <v>0</v>
      </c>
      <c r="X39" s="134">
        <f t="shared" si="37"/>
        <v>0.03</v>
      </c>
      <c r="Y39" s="271">
        <f t="shared" ref="Y39:Y41" si="39">Y38*(1+$AK$9)</f>
        <v>-80399.519798345005</v>
      </c>
      <c r="Z39" s="273"/>
      <c r="AA39" s="273">
        <f t="shared" si="17"/>
        <v>-80399.519798345005</v>
      </c>
      <c r="AB39" s="40">
        <f t="shared" si="6"/>
        <v>115114.61447132983</v>
      </c>
      <c r="AC39" s="134">
        <f t="shared" si="18"/>
        <v>0.45567265037637988</v>
      </c>
      <c r="AD39" s="39">
        <f t="shared" si="7"/>
        <v>168400</v>
      </c>
      <c r="AE39" s="257">
        <f t="shared" si="8"/>
        <v>0.36599999999999999</v>
      </c>
      <c r="AF39" s="39">
        <f t="shared" si="9"/>
        <v>28765</v>
      </c>
      <c r="AG39" s="39">
        <f t="shared" si="10"/>
        <v>61023.301486910081</v>
      </c>
      <c r="AI39" s="16">
        <v>17</v>
      </c>
      <c r="AJ39" s="40">
        <f t="shared" si="35"/>
        <v>58738.783480653343</v>
      </c>
      <c r="AK39" s="40">
        <f t="shared" si="34"/>
        <v>1816.6634066181448</v>
      </c>
      <c r="AL39" s="40"/>
      <c r="AM39" s="41">
        <f t="shared" si="36"/>
        <v>2892.813229844086</v>
      </c>
      <c r="AN39" s="3">
        <v>37</v>
      </c>
      <c r="AO39" s="44">
        <f t="shared" si="19"/>
        <v>688243.14000000188</v>
      </c>
      <c r="AP39" s="44">
        <f t="shared" si="0"/>
        <v>15718.860000000057</v>
      </c>
      <c r="AQ39" s="44">
        <f t="shared" si="1"/>
        <v>-180000</v>
      </c>
    </row>
    <row r="40" spans="2:43" x14ac:dyDescent="0.25">
      <c r="B40" s="104">
        <v>2055</v>
      </c>
      <c r="C40" s="109">
        <f t="shared" si="12"/>
        <v>1965232.6164196432</v>
      </c>
      <c r="D40" s="92">
        <f t="shared" si="2"/>
        <v>9.7240599245822725</v>
      </c>
      <c r="E40" s="40">
        <f t="shared" si="20"/>
        <v>19110039.727808218</v>
      </c>
      <c r="F40" s="120">
        <f t="shared" si="13"/>
        <v>70986.157472946317</v>
      </c>
      <c r="G40" s="40">
        <f t="shared" si="21"/>
        <v>140874.43963386567</v>
      </c>
      <c r="H40" s="119">
        <f t="shared" si="22"/>
        <v>19321900.324915029</v>
      </c>
      <c r="I40" s="262">
        <f t="shared" si="23"/>
        <v>0.05</v>
      </c>
      <c r="J40" s="260">
        <f t="shared" si="24"/>
        <v>7676.70627645902</v>
      </c>
      <c r="K40" s="262">
        <f t="shared" si="25"/>
        <v>0.04</v>
      </c>
      <c r="L40" s="260">
        <f t="shared" si="26"/>
        <v>6141.3650211672157</v>
      </c>
      <c r="M40" s="260">
        <f t="shared" si="27"/>
        <v>631.60286263691648</v>
      </c>
      <c r="N40" s="260">
        <f t="shared" si="28"/>
        <v>12000.45439009855</v>
      </c>
      <c r="O40" s="120">
        <f t="shared" si="14"/>
        <v>38161.305817302542</v>
      </c>
      <c r="P40" s="40">
        <f t="shared" si="3"/>
        <v>2129.5847241883894</v>
      </c>
      <c r="Q40" s="112">
        <f t="shared" si="4"/>
        <v>11249.582830514373</v>
      </c>
      <c r="R40" s="127">
        <f t="shared" si="15"/>
        <v>45166.871164417316</v>
      </c>
      <c r="S40" s="120">
        <f t="shared" si="5"/>
        <v>197473.25723020011</v>
      </c>
      <c r="T40" s="40">
        <f t="shared" si="16"/>
        <v>259627.53506340709</v>
      </c>
      <c r="U40" s="40">
        <f t="shared" si="38"/>
        <v>153534.1255291804</v>
      </c>
      <c r="V40" s="40">
        <f t="shared" si="38"/>
        <v>106093.40953422668</v>
      </c>
      <c r="W40" s="133">
        <f t="shared" si="37"/>
        <v>0</v>
      </c>
      <c r="X40" s="134">
        <f t="shared" si="37"/>
        <v>0.03</v>
      </c>
      <c r="Y40" s="271">
        <f t="shared" si="39"/>
        <v>-82007.510194311908</v>
      </c>
      <c r="Z40" s="273"/>
      <c r="AA40" s="273">
        <f t="shared" si="17"/>
        <v>-82007.510194311908</v>
      </c>
      <c r="AB40" s="40">
        <f t="shared" si="6"/>
        <v>115465.7470358882</v>
      </c>
      <c r="AC40" s="134">
        <f t="shared" si="18"/>
        <v>0.45765587455517776</v>
      </c>
      <c r="AD40" s="39">
        <f t="shared" si="7"/>
        <v>168400</v>
      </c>
      <c r="AE40" s="257">
        <f t="shared" si="8"/>
        <v>0.36599999999999999</v>
      </c>
      <c r="AF40" s="39">
        <f t="shared" si="9"/>
        <v>28765</v>
      </c>
      <c r="AG40" s="39">
        <f t="shared" si="10"/>
        <v>62154.277833206994</v>
      </c>
      <c r="AI40" s="16">
        <v>18</v>
      </c>
      <c r="AJ40" s="40">
        <f t="shared" si="35"/>
        <v>63448.260117115569</v>
      </c>
      <c r="AK40" s="40">
        <f t="shared" si="34"/>
        <v>1962.3173232097602</v>
      </c>
      <c r="AL40" s="40">
        <f>-AJ19/4</f>
        <v>-20000</v>
      </c>
      <c r="AM40" s="41">
        <f t="shared" si="36"/>
        <v>2892.813229844086</v>
      </c>
      <c r="AN40" s="3">
        <v>38</v>
      </c>
      <c r="AO40" s="44">
        <f t="shared" si="19"/>
        <v>523962.00000000198</v>
      </c>
      <c r="AP40" s="44">
        <f t="shared" si="0"/>
        <v>10638.00000000006</v>
      </c>
      <c r="AQ40" s="44">
        <f t="shared" si="1"/>
        <v>-180000</v>
      </c>
    </row>
    <row r="41" spans="2:43" x14ac:dyDescent="0.25">
      <c r="B41" s="104">
        <v>2056</v>
      </c>
      <c r="C41" s="109">
        <f t="shared" si="12"/>
        <v>2062899.0727358272</v>
      </c>
      <c r="D41" s="92">
        <f t="shared" si="2"/>
        <v>9.9671614226968277</v>
      </c>
      <c r="E41" s="40">
        <f t="shared" si="20"/>
        <v>20561248.056689594</v>
      </c>
      <c r="F41" s="120">
        <f t="shared" si="13"/>
        <v>73181.6056422127</v>
      </c>
      <c r="G41" s="40">
        <f t="shared" si="21"/>
        <v>143069.88780313203</v>
      </c>
      <c r="H41" s="121">
        <f>SUM(E41:G41)</f>
        <v>20777499.550134942</v>
      </c>
      <c r="I41" s="262">
        <f t="shared" si="23"/>
        <v>0.05</v>
      </c>
      <c r="J41" s="260">
        <f t="shared" si="24"/>
        <v>7676.70627645902</v>
      </c>
      <c r="K41" s="262">
        <f t="shared" si="25"/>
        <v>0.04</v>
      </c>
      <c r="L41" s="260">
        <f t="shared" si="26"/>
        <v>6141.3650211672157</v>
      </c>
      <c r="M41" s="260">
        <f t="shared" si="27"/>
        <v>631.60286263676585</v>
      </c>
      <c r="N41" s="260">
        <f t="shared" si="28"/>
        <v>12000.454390098424</v>
      </c>
      <c r="O41" s="120">
        <f t="shared" si="14"/>
        <v>40106.788090196802</v>
      </c>
      <c r="P41" s="40">
        <f t="shared" si="3"/>
        <v>2195.4481692663808</v>
      </c>
      <c r="Q41" s="112">
        <f t="shared" si="4"/>
        <v>11422.251862205325</v>
      </c>
      <c r="R41" s="127">
        <f t="shared" si="15"/>
        <v>45559.213835888877</v>
      </c>
      <c r="S41" s="120">
        <f t="shared" si="5"/>
        <v>199491.15387954109</v>
      </c>
      <c r="T41" s="40">
        <f t="shared" si="16"/>
        <v>262810.33734943392</v>
      </c>
      <c r="U41" s="40">
        <f t="shared" si="38"/>
        <v>153534.1255291804</v>
      </c>
      <c r="V41" s="40">
        <f t="shared" si="38"/>
        <v>109276.21182025349</v>
      </c>
      <c r="W41" s="133">
        <f t="shared" si="37"/>
        <v>0</v>
      </c>
      <c r="X41" s="134">
        <f t="shared" si="37"/>
        <v>0.03</v>
      </c>
      <c r="Y41" s="271">
        <f t="shared" si="39"/>
        <v>-83647.660398198146</v>
      </c>
      <c r="Z41" s="273"/>
      <c r="AA41" s="273">
        <f t="shared" si="17"/>
        <v>-83647.660398198146</v>
      </c>
      <c r="AB41" s="40">
        <f t="shared" si="6"/>
        <v>115843.49348134294</v>
      </c>
      <c r="AC41" s="134">
        <f t="shared" si="18"/>
        <v>0.4595503684539845</v>
      </c>
      <c r="AD41" s="39">
        <f t="shared" si="7"/>
        <v>168400</v>
      </c>
      <c r="AE41" s="257">
        <f t="shared" si="8"/>
        <v>0.36599999999999999</v>
      </c>
      <c r="AF41" s="39">
        <f t="shared" si="9"/>
        <v>28765</v>
      </c>
      <c r="AG41" s="39">
        <f t="shared" si="10"/>
        <v>63319.183469892814</v>
      </c>
      <c r="AI41" s="16">
        <v>19</v>
      </c>
      <c r="AJ41" s="40">
        <f t="shared" si="35"/>
        <v>48303.390670169414</v>
      </c>
      <c r="AK41" s="40">
        <f t="shared" si="34"/>
        <v>1493.9192990774047</v>
      </c>
      <c r="AL41" s="40">
        <f>AL40</f>
        <v>-20000</v>
      </c>
      <c r="AM41" s="41">
        <f t="shared" si="36"/>
        <v>2892.813229844086</v>
      </c>
      <c r="AN41" s="3">
        <v>39</v>
      </c>
      <c r="AO41" s="44">
        <f t="shared" si="19"/>
        <v>354600.0000000021</v>
      </c>
      <c r="AP41" s="44">
        <f t="shared" si="0"/>
        <v>5400.0000000000646</v>
      </c>
      <c r="AQ41" s="44">
        <f t="shared" si="1"/>
        <v>-180000</v>
      </c>
    </row>
    <row r="42" spans="2:43" x14ac:dyDescent="0.25">
      <c r="AI42" s="16">
        <v>20</v>
      </c>
      <c r="AJ42" s="40">
        <f t="shared" si="35"/>
        <v>32690.123199090904</v>
      </c>
      <c r="AK42" s="40">
        <f t="shared" si="34"/>
        <v>1011.0347381162136</v>
      </c>
      <c r="AL42" s="40">
        <f t="shared" ref="AL42:AL43" si="40">AL41</f>
        <v>-20000</v>
      </c>
      <c r="AM42" s="41">
        <f t="shared" si="36"/>
        <v>2892.813229844086</v>
      </c>
      <c r="AN42" s="3">
        <v>40</v>
      </c>
      <c r="AO42" s="44">
        <f t="shared" si="19"/>
        <v>180000.00000000215</v>
      </c>
      <c r="AP42" s="44">
        <f t="shared" si="0"/>
        <v>6.6608766612318369E-11</v>
      </c>
      <c r="AQ42" s="44">
        <f t="shared" si="1"/>
        <v>-180000</v>
      </c>
    </row>
    <row r="43" spans="2:43" x14ac:dyDescent="0.25">
      <c r="AI43" s="265">
        <v>21</v>
      </c>
      <c r="AJ43" s="43">
        <f t="shared" si="35"/>
        <v>16593.971167051201</v>
      </c>
      <c r="AK43" s="43">
        <f t="shared" si="34"/>
        <v>513.21560310467635</v>
      </c>
      <c r="AL43" s="43">
        <f t="shared" si="40"/>
        <v>-20000</v>
      </c>
      <c r="AM43" s="269">
        <f t="shared" si="36"/>
        <v>2892.813229844086</v>
      </c>
      <c r="AO43" s="44">
        <f t="shared" si="19"/>
        <v>2.2118911147117615E-9</v>
      </c>
      <c r="AP43" s="39"/>
      <c r="AQ43" s="39"/>
    </row>
    <row r="44" spans="2:43" x14ac:dyDescent="0.25">
      <c r="AJ44" s="40">
        <f t="shared" si="35"/>
        <v>-3.7289282772690058E-11</v>
      </c>
      <c r="AK44" s="44"/>
      <c r="AL44" s="44"/>
      <c r="AM44" s="44"/>
    </row>
    <row r="46" spans="2:43" x14ac:dyDescent="0.25">
      <c r="AN46" s="185">
        <v>2.8000000000000001E-2</v>
      </c>
      <c r="AO46" s="39">
        <f>SUM(AO47:AO70)</f>
        <v>316406.26165837387</v>
      </c>
    </row>
    <row r="47" spans="2:43" x14ac:dyDescent="0.25">
      <c r="AI47" t="s">
        <v>358</v>
      </c>
      <c r="AJ47">
        <v>90000</v>
      </c>
      <c r="AL47" s="1">
        <v>1</v>
      </c>
      <c r="AM47" s="266">
        <f>AJ47</f>
        <v>90000</v>
      </c>
      <c r="AN47" s="39">
        <f>AM47</f>
        <v>90000</v>
      </c>
      <c r="AO47" s="39">
        <f>ABS(AM47-AN47)</f>
        <v>0</v>
      </c>
    </row>
    <row r="48" spans="2:43" x14ac:dyDescent="0.25">
      <c r="AI48" t="s">
        <v>359</v>
      </c>
      <c r="AJ48">
        <v>112000</v>
      </c>
      <c r="AL48" s="1">
        <v>2</v>
      </c>
      <c r="AM48" s="39">
        <f>AM47</f>
        <v>90000</v>
      </c>
      <c r="AN48" s="39">
        <f>AN47*(1+$AN$46)</f>
        <v>92520</v>
      </c>
      <c r="AO48" s="39">
        <f t="shared" ref="AO48:AO70" si="41">ABS(AM48-AN48)</f>
        <v>2520</v>
      </c>
    </row>
    <row r="49" spans="35:41" x14ac:dyDescent="0.25">
      <c r="AI49" t="s">
        <v>360</v>
      </c>
      <c r="AJ49">
        <v>133000</v>
      </c>
      <c r="AL49" s="1">
        <v>3</v>
      </c>
      <c r="AM49" s="39">
        <f>AM48</f>
        <v>90000</v>
      </c>
      <c r="AN49" s="39">
        <f t="shared" ref="AN49:AN70" si="42">AN48*(1+$AN$46)</f>
        <v>95110.56</v>
      </c>
      <c r="AO49" s="39">
        <f t="shared" si="41"/>
        <v>5110.5599999999977</v>
      </c>
    </row>
    <row r="50" spans="35:41" x14ac:dyDescent="0.25">
      <c r="AI50" s="185" t="s">
        <v>361</v>
      </c>
      <c r="AJ50">
        <v>175000</v>
      </c>
      <c r="AL50" s="1">
        <v>4</v>
      </c>
      <c r="AM50" s="39">
        <f>AM49</f>
        <v>90000</v>
      </c>
      <c r="AN50" s="39">
        <f t="shared" si="42"/>
        <v>97773.655679999996</v>
      </c>
      <c r="AO50" s="39">
        <f t="shared" si="41"/>
        <v>7773.6556799999962</v>
      </c>
    </row>
    <row r="51" spans="35:41" x14ac:dyDescent="0.25">
      <c r="AI51" t="s">
        <v>362</v>
      </c>
      <c r="AJ51">
        <v>189000</v>
      </c>
      <c r="AL51" s="1">
        <v>5</v>
      </c>
      <c r="AM51" s="266">
        <f>AJ48</f>
        <v>112000</v>
      </c>
      <c r="AN51" s="39">
        <f t="shared" si="42"/>
        <v>100511.31803903999</v>
      </c>
      <c r="AO51" s="39">
        <f t="shared" si="41"/>
        <v>11488.681960960006</v>
      </c>
    </row>
    <row r="52" spans="35:41" x14ac:dyDescent="0.25">
      <c r="AL52" s="1">
        <v>6</v>
      </c>
      <c r="AM52" s="278">
        <f t="shared" ref="AM52:AM69" si="43">AM51</f>
        <v>112000</v>
      </c>
      <c r="AN52" s="39">
        <f t="shared" si="42"/>
        <v>103325.63494413311</v>
      </c>
      <c r="AO52" s="39">
        <f t="shared" si="41"/>
        <v>8674.3650558668887</v>
      </c>
    </row>
    <row r="53" spans="35:41" x14ac:dyDescent="0.25">
      <c r="AL53" s="1">
        <v>7</v>
      </c>
      <c r="AM53" s="278">
        <f t="shared" si="43"/>
        <v>112000</v>
      </c>
      <c r="AN53" s="39">
        <f t="shared" si="42"/>
        <v>106218.75272256884</v>
      </c>
      <c r="AO53" s="39">
        <f t="shared" si="41"/>
        <v>5781.2472774311609</v>
      </c>
    </row>
    <row r="54" spans="35:41" x14ac:dyDescent="0.25">
      <c r="AI54">
        <f>2056-2019</f>
        <v>37</v>
      </c>
      <c r="AL54" s="1">
        <v>8</v>
      </c>
      <c r="AM54" s="278">
        <f>AM53</f>
        <v>112000</v>
      </c>
      <c r="AN54" s="39">
        <f t="shared" si="42"/>
        <v>109192.87779880076</v>
      </c>
      <c r="AO54" s="39">
        <f t="shared" si="41"/>
        <v>2807.1222011992359</v>
      </c>
    </row>
    <row r="55" spans="35:41" x14ac:dyDescent="0.25">
      <c r="AL55" s="1">
        <v>9</v>
      </c>
      <c r="AM55" s="278">
        <f>AM54</f>
        <v>112000</v>
      </c>
      <c r="AN55" s="39">
        <f t="shared" si="42"/>
        <v>112250.27837716718</v>
      </c>
      <c r="AO55" s="39">
        <f t="shared" si="41"/>
        <v>250.27837716718204</v>
      </c>
    </row>
    <row r="56" spans="35:41" x14ac:dyDescent="0.25">
      <c r="AL56" s="1">
        <v>10</v>
      </c>
      <c r="AM56" s="266">
        <f>AJ49</f>
        <v>133000</v>
      </c>
      <c r="AN56" s="39">
        <f t="shared" si="42"/>
        <v>115393.28617172787</v>
      </c>
      <c r="AO56" s="39">
        <f t="shared" si="41"/>
        <v>17606.713828272128</v>
      </c>
    </row>
    <row r="57" spans="35:41" x14ac:dyDescent="0.25">
      <c r="AL57" s="1">
        <v>11</v>
      </c>
      <c r="AM57" s="39">
        <f t="shared" si="43"/>
        <v>133000</v>
      </c>
      <c r="AN57" s="39">
        <f t="shared" si="42"/>
        <v>118624.29818453625</v>
      </c>
      <c r="AO57" s="39">
        <f t="shared" si="41"/>
        <v>14375.701815463748</v>
      </c>
    </row>
    <row r="58" spans="35:41" x14ac:dyDescent="0.25">
      <c r="AL58" s="1">
        <v>12</v>
      </c>
      <c r="AM58" s="39">
        <f t="shared" si="43"/>
        <v>133000</v>
      </c>
      <c r="AN58" s="39">
        <f t="shared" si="42"/>
        <v>121945.77853370327</v>
      </c>
      <c r="AO58" s="39">
        <f t="shared" si="41"/>
        <v>11054.221466296731</v>
      </c>
    </row>
    <row r="59" spans="35:41" x14ac:dyDescent="0.25">
      <c r="AL59" s="1">
        <v>13</v>
      </c>
      <c r="AM59" s="39">
        <f>AM58</f>
        <v>133000</v>
      </c>
      <c r="AN59" s="39">
        <f t="shared" si="42"/>
        <v>125360.26033264697</v>
      </c>
      <c r="AO59" s="39">
        <f t="shared" si="41"/>
        <v>7639.7396673530311</v>
      </c>
    </row>
    <row r="60" spans="35:41" x14ac:dyDescent="0.25">
      <c r="AL60" s="1">
        <v>14</v>
      </c>
      <c r="AM60" s="39">
        <f t="shared" si="43"/>
        <v>133000</v>
      </c>
      <c r="AN60" s="39">
        <f t="shared" si="42"/>
        <v>128870.34762196109</v>
      </c>
      <c r="AO60" s="39">
        <f t="shared" si="41"/>
        <v>4129.6523780389107</v>
      </c>
    </row>
    <row r="61" spans="35:41" x14ac:dyDescent="0.25">
      <c r="AL61" s="1">
        <v>15</v>
      </c>
      <c r="AM61" s="39">
        <f t="shared" si="43"/>
        <v>133000</v>
      </c>
      <c r="AN61" s="39">
        <f t="shared" si="42"/>
        <v>132478.71735537599</v>
      </c>
      <c r="AO61" s="39">
        <f t="shared" si="41"/>
        <v>521.28264462400693</v>
      </c>
    </row>
    <row r="62" spans="35:41" x14ac:dyDescent="0.25">
      <c r="AL62" s="1">
        <v>16</v>
      </c>
      <c r="AM62" s="266">
        <f>AJ50</f>
        <v>175000</v>
      </c>
      <c r="AN62" s="39">
        <f t="shared" si="42"/>
        <v>136188.12144132651</v>
      </c>
      <c r="AO62" s="39">
        <f t="shared" si="41"/>
        <v>38811.878558673488</v>
      </c>
    </row>
    <row r="63" spans="35:41" x14ac:dyDescent="0.25">
      <c r="AL63" s="1">
        <v>17</v>
      </c>
      <c r="AM63" s="39">
        <f t="shared" si="43"/>
        <v>175000</v>
      </c>
      <c r="AN63" s="39">
        <f t="shared" si="42"/>
        <v>140001.38884168366</v>
      </c>
      <c r="AO63" s="39">
        <f t="shared" si="41"/>
        <v>34998.611158316344</v>
      </c>
    </row>
    <row r="64" spans="35:41" x14ac:dyDescent="0.25">
      <c r="AL64" s="1">
        <v>18</v>
      </c>
      <c r="AM64" s="39">
        <f t="shared" si="43"/>
        <v>175000</v>
      </c>
      <c r="AN64" s="39">
        <f t="shared" si="42"/>
        <v>143921.4277292508</v>
      </c>
      <c r="AO64" s="39">
        <f t="shared" si="41"/>
        <v>31078.572270749195</v>
      </c>
    </row>
    <row r="65" spans="38:41" x14ac:dyDescent="0.25">
      <c r="AL65" s="1">
        <v>19</v>
      </c>
      <c r="AM65" s="39">
        <f t="shared" si="43"/>
        <v>175000</v>
      </c>
      <c r="AN65" s="39">
        <f t="shared" si="42"/>
        <v>147951.22770566982</v>
      </c>
      <c r="AO65" s="39">
        <f t="shared" si="41"/>
        <v>27048.772294330178</v>
      </c>
    </row>
    <row r="66" spans="38:41" x14ac:dyDescent="0.25">
      <c r="AL66" s="1">
        <v>20</v>
      </c>
      <c r="AM66" s="39">
        <f t="shared" si="43"/>
        <v>175000</v>
      </c>
      <c r="AN66" s="39">
        <f t="shared" si="42"/>
        <v>152093.86208142858</v>
      </c>
      <c r="AO66" s="39">
        <f t="shared" si="41"/>
        <v>22906.137918571418</v>
      </c>
    </row>
    <row r="67" spans="38:41" x14ac:dyDescent="0.25">
      <c r="AL67" s="1">
        <v>21</v>
      </c>
      <c r="AM67" s="39">
        <f t="shared" si="43"/>
        <v>175000</v>
      </c>
      <c r="AN67" s="39">
        <f t="shared" si="42"/>
        <v>156352.49021970859</v>
      </c>
      <c r="AO67" s="39">
        <f t="shared" si="41"/>
        <v>18647.50978029141</v>
      </c>
    </row>
    <row r="68" spans="38:41" x14ac:dyDescent="0.25">
      <c r="AL68" s="1">
        <v>22</v>
      </c>
      <c r="AM68" s="39">
        <f t="shared" si="43"/>
        <v>175000</v>
      </c>
      <c r="AN68" s="39">
        <f t="shared" si="42"/>
        <v>160730.35994586043</v>
      </c>
      <c r="AO68" s="39">
        <f t="shared" si="41"/>
        <v>14269.640054139571</v>
      </c>
    </row>
    <row r="69" spans="38:41" x14ac:dyDescent="0.25">
      <c r="AL69" s="1">
        <v>23</v>
      </c>
      <c r="AM69" s="39">
        <f t="shared" si="43"/>
        <v>175000</v>
      </c>
      <c r="AN69" s="39">
        <f t="shared" si="42"/>
        <v>165230.81002434454</v>
      </c>
      <c r="AO69" s="39">
        <f t="shared" si="41"/>
        <v>9769.1899756554631</v>
      </c>
    </row>
    <row r="70" spans="38:41" x14ac:dyDescent="0.25">
      <c r="AL70" s="1">
        <v>24</v>
      </c>
      <c r="AM70" s="266">
        <f>AJ51</f>
        <v>189000</v>
      </c>
      <c r="AN70" s="39">
        <f t="shared" si="42"/>
        <v>169857.27270502617</v>
      </c>
      <c r="AO70" s="39">
        <f t="shared" si="41"/>
        <v>19142.727294973825</v>
      </c>
    </row>
  </sheetData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17E6A-B1F3-4DC8-8CB1-97AEECC63086}">
  <dimension ref="B2:L27"/>
  <sheetViews>
    <sheetView zoomScale="90" zoomScaleNormal="90" workbookViewId="0">
      <selection activeCell="D9" sqref="D9:G9"/>
    </sheetView>
  </sheetViews>
  <sheetFormatPr defaultRowHeight="15" x14ac:dyDescent="0.25"/>
  <cols>
    <col min="2" max="2" width="9.85546875" customWidth="1"/>
    <col min="10" max="10" width="9.42578125" bestFit="1" customWidth="1"/>
  </cols>
  <sheetData>
    <row r="2" spans="2:12" x14ac:dyDescent="0.25">
      <c r="K2" s="44">
        <v>7700</v>
      </c>
    </row>
    <row r="3" spans="2:12" x14ac:dyDescent="0.25">
      <c r="C3">
        <v>2020</v>
      </c>
      <c r="D3" s="1">
        <v>2021</v>
      </c>
      <c r="E3" s="1">
        <v>2022</v>
      </c>
      <c r="F3" s="1">
        <v>2023</v>
      </c>
      <c r="H3" t="s">
        <v>573</v>
      </c>
      <c r="I3">
        <v>20</v>
      </c>
      <c r="K3" s="44">
        <f>I3*K2</f>
        <v>154000</v>
      </c>
    </row>
    <row r="4" spans="2:12" x14ac:dyDescent="0.25">
      <c r="D4" s="44">
        <v>12000</v>
      </c>
      <c r="E4" s="44">
        <v>12000</v>
      </c>
      <c r="F4" s="44">
        <v>12000</v>
      </c>
      <c r="H4" t="s">
        <v>574</v>
      </c>
      <c r="I4">
        <v>5</v>
      </c>
      <c r="J4" s="215">
        <f>$I$3/I4</f>
        <v>4</v>
      </c>
      <c r="K4" s="44">
        <f>$K$2*J4</f>
        <v>30800</v>
      </c>
    </row>
    <row r="5" spans="2:12" x14ac:dyDescent="0.25">
      <c r="D5" s="44"/>
      <c r="E5" s="44">
        <v>41300</v>
      </c>
      <c r="F5" s="44">
        <v>41300</v>
      </c>
      <c r="H5" t="s">
        <v>226</v>
      </c>
      <c r="I5">
        <v>3</v>
      </c>
      <c r="J5" s="215">
        <f t="shared" ref="J5:J6" si="0">$I$3/I5</f>
        <v>6.666666666666667</v>
      </c>
      <c r="K5" s="44">
        <f>$K$2*J5</f>
        <v>51333.333333333336</v>
      </c>
    </row>
    <row r="6" spans="2:12" x14ac:dyDescent="0.25">
      <c r="D6" s="1"/>
      <c r="E6" s="1"/>
      <c r="F6" s="1"/>
      <c r="H6" t="s">
        <v>575</v>
      </c>
      <c r="I6">
        <v>2</v>
      </c>
      <c r="J6" s="215">
        <f t="shared" si="0"/>
        <v>10</v>
      </c>
      <c r="K6" s="44">
        <f>$K$2*J6</f>
        <v>77000</v>
      </c>
    </row>
    <row r="7" spans="2:12" x14ac:dyDescent="0.25">
      <c r="D7" s="44">
        <f>SUM(D4:D6)</f>
        <v>12000</v>
      </c>
      <c r="E7" s="44">
        <f t="shared" ref="E7:F7" si="1">SUM(E4:E6)</f>
        <v>53300</v>
      </c>
      <c r="F7" s="44">
        <f t="shared" si="1"/>
        <v>53300</v>
      </c>
    </row>
    <row r="8" spans="2:12" x14ac:dyDescent="0.25">
      <c r="K8">
        <f>K3/6</f>
        <v>25666.666666666668</v>
      </c>
    </row>
    <row r="9" spans="2:12" x14ac:dyDescent="0.25">
      <c r="D9" s="1">
        <v>4</v>
      </c>
      <c r="E9" s="1">
        <v>4</v>
      </c>
      <c r="F9" s="1">
        <v>6</v>
      </c>
      <c r="G9" s="1">
        <v>6</v>
      </c>
    </row>
    <row r="10" spans="2:12" x14ac:dyDescent="0.25">
      <c r="D10" s="44">
        <f>D9*$K$2</f>
        <v>30800</v>
      </c>
      <c r="E10" s="44">
        <f t="shared" ref="E10:G10" si="2">E9*$K$2</f>
        <v>30800</v>
      </c>
      <c r="F10" s="44">
        <f t="shared" si="2"/>
        <v>46200</v>
      </c>
      <c r="G10" s="44">
        <f t="shared" si="2"/>
        <v>46200</v>
      </c>
      <c r="I10">
        <f>D10/2</f>
        <v>15400</v>
      </c>
      <c r="J10">
        <f>E10/2</f>
        <v>15400</v>
      </c>
      <c r="K10">
        <f>F10/2</f>
        <v>23100</v>
      </c>
      <c r="L10">
        <f>G10/2</f>
        <v>23100</v>
      </c>
    </row>
    <row r="11" spans="2:12" x14ac:dyDescent="0.25">
      <c r="C11" s="1">
        <v>0.5</v>
      </c>
      <c r="D11" s="1">
        <v>1</v>
      </c>
      <c r="E11" s="1">
        <v>1</v>
      </c>
      <c r="F11" s="1">
        <v>1</v>
      </c>
    </row>
    <row r="12" spans="2:12" x14ac:dyDescent="0.25">
      <c r="B12" t="s">
        <v>579</v>
      </c>
      <c r="C12" s="44">
        <f>C7</f>
        <v>0</v>
      </c>
      <c r="D12" s="44">
        <f t="shared" ref="D12:F12" si="3">D7</f>
        <v>12000</v>
      </c>
      <c r="E12" s="44">
        <f t="shared" si="3"/>
        <v>53300</v>
      </c>
      <c r="F12" s="44">
        <f t="shared" si="3"/>
        <v>53300</v>
      </c>
      <c r="I12" s="44">
        <v>79000</v>
      </c>
    </row>
    <row r="13" spans="2:12" x14ac:dyDescent="0.25">
      <c r="B13" s="1" t="s">
        <v>577</v>
      </c>
      <c r="C13" s="1"/>
      <c r="D13" s="44">
        <f>D7-D10</f>
        <v>-18800</v>
      </c>
      <c r="E13" s="44">
        <f>E7-E10</f>
        <v>22500</v>
      </c>
      <c r="F13" s="44">
        <f>F7-F10</f>
        <v>7100</v>
      </c>
      <c r="I13" s="88">
        <v>83533.333333333328</v>
      </c>
      <c r="K13" t="s">
        <v>580</v>
      </c>
      <c r="L13" t="s">
        <v>581</v>
      </c>
    </row>
    <row r="14" spans="2:12" x14ac:dyDescent="0.25">
      <c r="B14" t="s">
        <v>578</v>
      </c>
      <c r="C14" s="1"/>
      <c r="D14" s="44">
        <f>G27*H27</f>
        <v>0</v>
      </c>
      <c r="E14" s="44">
        <f>D14</f>
        <v>0</v>
      </c>
      <c r="F14" s="44">
        <f>E14</f>
        <v>0</v>
      </c>
      <c r="K14" t="s">
        <v>582</v>
      </c>
      <c r="L14" t="s">
        <v>583</v>
      </c>
    </row>
    <row r="15" spans="2:12" x14ac:dyDescent="0.25">
      <c r="C15" s="44">
        <f>($I$13-$I$12)*C11</f>
        <v>2266.6666666666642</v>
      </c>
      <c r="D15" s="44">
        <f>($I$13-$I$12)*D11</f>
        <v>4533.3333333333285</v>
      </c>
      <c r="E15" s="44">
        <f>($I$13-$I$12)*E11</f>
        <v>4533.3333333333285</v>
      </c>
      <c r="F15" s="44">
        <f>($I$13-$I$12)*F11</f>
        <v>4533.3333333333285</v>
      </c>
    </row>
    <row r="16" spans="2:12" x14ac:dyDescent="0.25">
      <c r="C16" s="44"/>
      <c r="D16" s="44">
        <f>SUM($C$12:D15)</f>
        <v>-7.2759576141834259E-12</v>
      </c>
      <c r="E16" s="44">
        <f>SUM($C$12:E15)</f>
        <v>80333.333333333314</v>
      </c>
      <c r="F16" s="44">
        <f>SUM($C$12:F15)</f>
        <v>145266.66666666663</v>
      </c>
    </row>
    <row r="20" spans="2:8" x14ac:dyDescent="0.25">
      <c r="B20" t="s">
        <v>31</v>
      </c>
      <c r="C20" s="44">
        <v>1800</v>
      </c>
      <c r="D20" s="44">
        <f>C20*50%</f>
        <v>900</v>
      </c>
      <c r="E20" s="44">
        <v>1400</v>
      </c>
    </row>
    <row r="21" spans="2:8" x14ac:dyDescent="0.25">
      <c r="B21" t="s">
        <v>33</v>
      </c>
      <c r="C21" s="44">
        <v>192</v>
      </c>
      <c r="D21" s="44">
        <f t="shared" ref="D21:D26" si="4">C21*50%</f>
        <v>96</v>
      </c>
      <c r="E21" s="44">
        <f>C21</f>
        <v>192</v>
      </c>
    </row>
    <row r="22" spans="2:8" x14ac:dyDescent="0.25">
      <c r="B22" t="s">
        <v>35</v>
      </c>
      <c r="C22" s="44">
        <v>120</v>
      </c>
      <c r="D22" s="44">
        <f t="shared" si="4"/>
        <v>60</v>
      </c>
      <c r="E22" s="44">
        <f>D22</f>
        <v>60</v>
      </c>
    </row>
    <row r="23" spans="2:8" x14ac:dyDescent="0.25">
      <c r="B23" t="s">
        <v>37</v>
      </c>
      <c r="C23" s="44">
        <v>600</v>
      </c>
      <c r="D23" s="44">
        <f t="shared" si="4"/>
        <v>300</v>
      </c>
      <c r="E23" s="44">
        <v>400</v>
      </c>
    </row>
    <row r="24" spans="2:8" x14ac:dyDescent="0.25">
      <c r="B24" t="s">
        <v>39</v>
      </c>
      <c r="C24" s="44">
        <v>210</v>
      </c>
      <c r="D24" s="44">
        <f t="shared" si="4"/>
        <v>105</v>
      </c>
      <c r="E24" s="44">
        <f>D24</f>
        <v>105</v>
      </c>
    </row>
    <row r="25" spans="2:8" x14ac:dyDescent="0.25">
      <c r="B25" t="s">
        <v>41</v>
      </c>
      <c r="C25" s="44">
        <v>250</v>
      </c>
      <c r="D25" s="44">
        <f t="shared" si="4"/>
        <v>125</v>
      </c>
      <c r="E25" s="44">
        <v>200</v>
      </c>
      <c r="F25" s="1" t="s">
        <v>576</v>
      </c>
      <c r="G25" s="1"/>
    </row>
    <row r="26" spans="2:8" x14ac:dyDescent="0.25">
      <c r="B26" t="s">
        <v>46</v>
      </c>
      <c r="C26" s="44">
        <v>178.16499999999999</v>
      </c>
      <c r="D26" s="44">
        <f t="shared" si="4"/>
        <v>89.082499999999996</v>
      </c>
      <c r="E26" s="44">
        <f>C26</f>
        <v>178.16499999999999</v>
      </c>
      <c r="F26" s="1" t="s">
        <v>2</v>
      </c>
      <c r="G26" s="1" t="s">
        <v>3</v>
      </c>
    </row>
    <row r="27" spans="2:8" x14ac:dyDescent="0.25">
      <c r="C27" s="44"/>
      <c r="D27" s="44">
        <f>SUM(D20:D26)</f>
        <v>1675.0825</v>
      </c>
      <c r="E27" s="44">
        <f>SUM(E20:E26)</f>
        <v>2535.165</v>
      </c>
      <c r="F27" s="44">
        <f>D27-E27</f>
        <v>-860.08249999999998</v>
      </c>
      <c r="G27" s="44">
        <f>F27*12</f>
        <v>-10320.99</v>
      </c>
      <c r="H27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CA683-E688-476E-8126-29B7015EBFA6}">
  <dimension ref="B2:H33"/>
  <sheetViews>
    <sheetView workbookViewId="0">
      <selection activeCell="C4" sqref="C4"/>
    </sheetView>
  </sheetViews>
  <sheetFormatPr defaultRowHeight="15" x14ac:dyDescent="0.25"/>
  <cols>
    <col min="5" max="5" width="9.7109375" style="212" bestFit="1" customWidth="1"/>
    <col min="7" max="7" width="8.7109375" style="181"/>
  </cols>
  <sheetData>
    <row r="2" spans="2:8" x14ac:dyDescent="0.25">
      <c r="B2" t="s">
        <v>211</v>
      </c>
      <c r="C2" t="s">
        <v>209</v>
      </c>
      <c r="D2" t="s">
        <v>18</v>
      </c>
      <c r="E2" s="212" t="s">
        <v>208</v>
      </c>
      <c r="F2" t="s">
        <v>207</v>
      </c>
      <c r="G2" s="181" t="s">
        <v>210</v>
      </c>
      <c r="H2" t="s">
        <v>217</v>
      </c>
    </row>
    <row r="3" spans="2:8" x14ac:dyDescent="0.25">
      <c r="B3">
        <v>2</v>
      </c>
      <c r="C3">
        <v>-0.23333333333333334</v>
      </c>
      <c r="D3" t="s">
        <v>22</v>
      </c>
      <c r="E3" s="212">
        <v>43605</v>
      </c>
      <c r="F3" t="s">
        <v>219</v>
      </c>
      <c r="G3" s="181">
        <v>1.8360000000000001E-2</v>
      </c>
      <c r="H3" t="s">
        <v>220</v>
      </c>
    </row>
    <row r="4" spans="2:8" x14ac:dyDescent="0.25">
      <c r="B4">
        <v>2</v>
      </c>
      <c r="C4">
        <v>11.966666666666667</v>
      </c>
      <c r="D4" t="s">
        <v>22</v>
      </c>
      <c r="E4" s="212">
        <v>43971</v>
      </c>
      <c r="F4" t="s">
        <v>219</v>
      </c>
      <c r="G4" s="181">
        <v>2.6789999999999994E-2</v>
      </c>
      <c r="H4" t="s">
        <v>220</v>
      </c>
    </row>
    <row r="5" spans="2:8" x14ac:dyDescent="0.25">
      <c r="B5">
        <v>2</v>
      </c>
      <c r="C5">
        <v>12</v>
      </c>
      <c r="D5" t="s">
        <v>22</v>
      </c>
      <c r="E5" s="212">
        <v>43972</v>
      </c>
      <c r="F5" t="s">
        <v>232</v>
      </c>
      <c r="G5" s="181">
        <v>2.700000000000001E-2</v>
      </c>
      <c r="H5" t="s">
        <v>220</v>
      </c>
    </row>
    <row r="6" spans="2:8" x14ac:dyDescent="0.25">
      <c r="B6">
        <v>2</v>
      </c>
      <c r="C6">
        <v>12.1</v>
      </c>
      <c r="D6" t="s">
        <v>22</v>
      </c>
      <c r="E6" s="212">
        <v>43975</v>
      </c>
      <c r="F6" t="s">
        <v>219</v>
      </c>
      <c r="G6" s="213">
        <v>3.0089999999999999E-2</v>
      </c>
      <c r="H6" t="s">
        <v>220</v>
      </c>
    </row>
    <row r="7" spans="2:8" x14ac:dyDescent="0.25">
      <c r="B7">
        <v>3</v>
      </c>
      <c r="C7">
        <v>21</v>
      </c>
      <c r="D7" t="s">
        <v>22</v>
      </c>
      <c r="E7" s="212">
        <v>44242</v>
      </c>
      <c r="F7" t="s">
        <v>214</v>
      </c>
      <c r="G7" s="181">
        <v>2.571E-2</v>
      </c>
      <c r="H7" t="s">
        <v>218</v>
      </c>
    </row>
    <row r="8" spans="2:8" x14ac:dyDescent="0.25">
      <c r="B8">
        <v>2</v>
      </c>
      <c r="C8">
        <v>23.633333333333333</v>
      </c>
      <c r="D8" t="s">
        <v>22</v>
      </c>
      <c r="E8" s="212">
        <v>44321</v>
      </c>
      <c r="F8" t="s">
        <v>219</v>
      </c>
      <c r="G8" s="181">
        <v>3.4876666666666667E-2</v>
      </c>
      <c r="H8" t="s">
        <v>220</v>
      </c>
    </row>
    <row r="9" spans="2:8" x14ac:dyDescent="0.25">
      <c r="B9">
        <v>2</v>
      </c>
      <c r="C9">
        <v>24.133333333333333</v>
      </c>
      <c r="D9" t="s">
        <v>22</v>
      </c>
      <c r="E9" s="212">
        <v>44336</v>
      </c>
      <c r="F9" t="s">
        <v>219</v>
      </c>
      <c r="G9" s="213">
        <v>3.8305000000000006E-2</v>
      </c>
      <c r="H9" t="s">
        <v>220</v>
      </c>
    </row>
    <row r="10" spans="2:8" x14ac:dyDescent="0.25">
      <c r="B10">
        <v>2</v>
      </c>
      <c r="C10">
        <v>24.166666666666668</v>
      </c>
      <c r="D10" t="s">
        <v>22</v>
      </c>
      <c r="E10" s="212">
        <v>44337</v>
      </c>
      <c r="F10" t="s">
        <v>232</v>
      </c>
      <c r="G10" s="181">
        <v>3.330000000000001E-2</v>
      </c>
      <c r="H10" t="s">
        <v>220</v>
      </c>
    </row>
    <row r="11" spans="2:8" x14ac:dyDescent="0.25">
      <c r="B11">
        <v>2</v>
      </c>
      <c r="C11">
        <v>24.266666666666666</v>
      </c>
      <c r="D11" t="s">
        <v>22</v>
      </c>
      <c r="E11" s="212">
        <v>44340</v>
      </c>
      <c r="F11" t="s">
        <v>219</v>
      </c>
      <c r="G11" s="213">
        <v>3.8305000000000006E-2</v>
      </c>
      <c r="H11" t="s">
        <v>220</v>
      </c>
    </row>
    <row r="12" spans="2:8" x14ac:dyDescent="0.25">
      <c r="B12">
        <v>2</v>
      </c>
      <c r="C12">
        <v>24.3</v>
      </c>
      <c r="D12" t="s">
        <v>22</v>
      </c>
      <c r="E12" s="212">
        <v>44341</v>
      </c>
      <c r="F12" t="s">
        <v>230</v>
      </c>
      <c r="G12" s="181">
        <v>3.0399999999999983E-2</v>
      </c>
      <c r="H12" t="s">
        <v>220</v>
      </c>
    </row>
    <row r="13" spans="2:8" x14ac:dyDescent="0.25">
      <c r="B13">
        <v>2</v>
      </c>
      <c r="C13">
        <v>35.799999999999997</v>
      </c>
      <c r="D13" t="s">
        <v>22</v>
      </c>
      <c r="E13" s="212">
        <v>44686</v>
      </c>
      <c r="F13" t="s">
        <v>219</v>
      </c>
      <c r="G13" s="181">
        <v>3.765000000000001E-2</v>
      </c>
      <c r="H13" t="s">
        <v>220</v>
      </c>
    </row>
    <row r="14" spans="2:8" x14ac:dyDescent="0.25">
      <c r="B14">
        <v>2</v>
      </c>
      <c r="C14">
        <v>36.333333333333336</v>
      </c>
      <c r="D14" t="s">
        <v>22</v>
      </c>
      <c r="E14" s="212">
        <v>44702</v>
      </c>
      <c r="F14" t="s">
        <v>232</v>
      </c>
      <c r="G14" s="181">
        <v>3.6150000000000009E-2</v>
      </c>
      <c r="H14" t="s">
        <v>220</v>
      </c>
    </row>
    <row r="15" spans="2:8" x14ac:dyDescent="0.25">
      <c r="B15">
        <v>2</v>
      </c>
      <c r="C15">
        <v>36.466666666666669</v>
      </c>
      <c r="D15" t="s">
        <v>22</v>
      </c>
      <c r="E15" s="212">
        <v>44706</v>
      </c>
      <c r="F15" t="s">
        <v>221</v>
      </c>
      <c r="G15" s="181">
        <v>3.3400000000000006E-2</v>
      </c>
      <c r="H15" t="s">
        <v>220</v>
      </c>
    </row>
    <row r="16" spans="2:8" x14ac:dyDescent="0.25">
      <c r="B16">
        <v>2</v>
      </c>
      <c r="C16">
        <v>36.466666666666669</v>
      </c>
      <c r="D16" t="s">
        <v>22</v>
      </c>
      <c r="E16" s="212">
        <v>44706</v>
      </c>
      <c r="F16" t="s">
        <v>221</v>
      </c>
      <c r="G16" s="181">
        <v>2.3849999999999989E-2</v>
      </c>
      <c r="H16" t="s">
        <v>220</v>
      </c>
    </row>
    <row r="17" spans="2:8" x14ac:dyDescent="0.25">
      <c r="B17">
        <v>2</v>
      </c>
      <c r="C17">
        <v>36.5</v>
      </c>
      <c r="D17" t="s">
        <v>22</v>
      </c>
      <c r="E17" s="212">
        <v>44707</v>
      </c>
      <c r="F17" t="s">
        <v>219</v>
      </c>
      <c r="G17" s="213">
        <v>3.92225E-2</v>
      </c>
      <c r="H17" t="s">
        <v>220</v>
      </c>
    </row>
    <row r="18" spans="2:8" x14ac:dyDescent="0.25">
      <c r="B18">
        <v>2</v>
      </c>
      <c r="C18">
        <v>47.966666666666669</v>
      </c>
      <c r="D18" t="s">
        <v>22</v>
      </c>
      <c r="E18" s="212">
        <v>45051</v>
      </c>
      <c r="F18" t="s">
        <v>231</v>
      </c>
      <c r="G18" s="213">
        <v>4.0232000000000004E-2</v>
      </c>
      <c r="H18" t="s">
        <v>220</v>
      </c>
    </row>
    <row r="19" spans="2:8" x14ac:dyDescent="0.25">
      <c r="B19">
        <v>2</v>
      </c>
      <c r="C19">
        <v>47.966666666666669</v>
      </c>
      <c r="D19" t="s">
        <v>22</v>
      </c>
      <c r="E19" s="212">
        <v>45051</v>
      </c>
      <c r="F19" t="s">
        <v>219</v>
      </c>
      <c r="G19" s="181">
        <v>3.958600000000001E-2</v>
      </c>
      <c r="H19" t="s">
        <v>220</v>
      </c>
    </row>
    <row r="20" spans="2:8" x14ac:dyDescent="0.25">
      <c r="B20">
        <v>2</v>
      </c>
      <c r="C20">
        <v>48.633333333333333</v>
      </c>
      <c r="D20" t="s">
        <v>22</v>
      </c>
      <c r="E20" s="212">
        <v>45071</v>
      </c>
      <c r="F20" t="s">
        <v>221</v>
      </c>
      <c r="G20" s="181">
        <v>3.9799999999999988E-2</v>
      </c>
      <c r="H20" t="s">
        <v>220</v>
      </c>
    </row>
    <row r="21" spans="2:8" x14ac:dyDescent="0.25">
      <c r="B21">
        <v>3</v>
      </c>
      <c r="C21">
        <v>55.8</v>
      </c>
      <c r="D21" t="s">
        <v>22</v>
      </c>
      <c r="E21" s="212">
        <v>45286</v>
      </c>
      <c r="F21" t="s">
        <v>215</v>
      </c>
      <c r="G21" s="181">
        <v>3.8940000000000016E-2</v>
      </c>
      <c r="H21" t="s">
        <v>218</v>
      </c>
    </row>
    <row r="22" spans="2:8" x14ac:dyDescent="0.25">
      <c r="B22">
        <v>3</v>
      </c>
      <c r="C22">
        <v>55.8</v>
      </c>
      <c r="D22" t="s">
        <v>22</v>
      </c>
      <c r="E22" s="212">
        <v>45286</v>
      </c>
      <c r="F22" t="s">
        <v>215</v>
      </c>
      <c r="G22" s="181">
        <v>3.8940000000000016E-2</v>
      </c>
      <c r="H22" t="s">
        <v>218</v>
      </c>
    </row>
    <row r="23" spans="2:8" x14ac:dyDescent="0.25">
      <c r="B23">
        <v>3</v>
      </c>
      <c r="C23">
        <v>58.466666666666669</v>
      </c>
      <c r="D23" t="s">
        <v>22</v>
      </c>
      <c r="E23" s="212">
        <v>45366</v>
      </c>
      <c r="F23" t="s">
        <v>216</v>
      </c>
      <c r="G23" s="181">
        <v>3.3000000000000002E-2</v>
      </c>
      <c r="H23" t="s">
        <v>218</v>
      </c>
    </row>
    <row r="24" spans="2:8" x14ac:dyDescent="0.25">
      <c r="B24">
        <v>2</v>
      </c>
      <c r="C24">
        <v>60.033333333333331</v>
      </c>
      <c r="D24" t="s">
        <v>22</v>
      </c>
      <c r="E24" s="212">
        <v>45413</v>
      </c>
      <c r="F24" t="s">
        <v>219</v>
      </c>
      <c r="G24" s="181">
        <v>4.2406666666666676E-2</v>
      </c>
      <c r="H24" t="s">
        <v>220</v>
      </c>
    </row>
    <row r="25" spans="2:8" x14ac:dyDescent="0.25">
      <c r="B25">
        <v>2</v>
      </c>
      <c r="C25">
        <v>60.033333333333331</v>
      </c>
      <c r="D25" t="s">
        <v>22</v>
      </c>
      <c r="E25" s="212">
        <v>45413</v>
      </c>
      <c r="F25" t="s">
        <v>219</v>
      </c>
      <c r="G25" s="181">
        <v>4.1755E-2</v>
      </c>
      <c r="H25" t="s">
        <v>220</v>
      </c>
    </row>
    <row r="26" spans="2:8" x14ac:dyDescent="0.25">
      <c r="B26">
        <v>2</v>
      </c>
      <c r="C26">
        <v>60.833333333333336</v>
      </c>
      <c r="D26" t="s">
        <v>22</v>
      </c>
      <c r="E26" s="212">
        <v>45437</v>
      </c>
      <c r="F26" t="s">
        <v>221</v>
      </c>
      <c r="G26" s="213">
        <v>4.4049999999999978E-2</v>
      </c>
      <c r="H26" t="s">
        <v>220</v>
      </c>
    </row>
    <row r="27" spans="2:8" x14ac:dyDescent="0.25">
      <c r="B27">
        <v>3</v>
      </c>
      <c r="C27">
        <v>65.599999999999994</v>
      </c>
      <c r="D27" t="s">
        <v>22</v>
      </c>
      <c r="E27" s="212">
        <v>45580</v>
      </c>
      <c r="F27" t="s">
        <v>227</v>
      </c>
      <c r="G27" s="181">
        <v>2.8240000000000001E-2</v>
      </c>
      <c r="H27" t="s">
        <v>218</v>
      </c>
    </row>
    <row r="28" spans="2:8" x14ac:dyDescent="0.25">
      <c r="B28">
        <v>3</v>
      </c>
      <c r="C28">
        <v>69.7</v>
      </c>
      <c r="D28" t="s">
        <v>22</v>
      </c>
      <c r="E28" s="212">
        <v>45703</v>
      </c>
      <c r="F28" t="s">
        <v>214</v>
      </c>
      <c r="G28" s="181">
        <v>3.8459285714285717E-2</v>
      </c>
      <c r="H28" t="s">
        <v>218</v>
      </c>
    </row>
    <row r="29" spans="2:8" x14ac:dyDescent="0.25">
      <c r="B29">
        <v>2</v>
      </c>
      <c r="C29">
        <v>71.966666666666669</v>
      </c>
      <c r="D29" t="s">
        <v>22</v>
      </c>
      <c r="E29" s="212">
        <v>45771</v>
      </c>
      <c r="F29" t="s">
        <v>219</v>
      </c>
      <c r="G29" s="213">
        <v>4.3037142857142864E-2</v>
      </c>
      <c r="H29" t="s">
        <v>220</v>
      </c>
    </row>
    <row r="30" spans="2:8" x14ac:dyDescent="0.25">
      <c r="B30">
        <v>3</v>
      </c>
      <c r="C30">
        <v>77.766666666666666</v>
      </c>
      <c r="D30" t="s">
        <v>22</v>
      </c>
      <c r="E30" s="212">
        <v>45945</v>
      </c>
      <c r="F30" t="s">
        <v>228</v>
      </c>
      <c r="G30" s="181">
        <v>3.95E-2</v>
      </c>
      <c r="H30" t="s">
        <v>218</v>
      </c>
    </row>
    <row r="31" spans="2:8" x14ac:dyDescent="0.25">
      <c r="B31">
        <v>2</v>
      </c>
      <c r="C31">
        <v>84.13333333333334</v>
      </c>
      <c r="D31" t="s">
        <v>22</v>
      </c>
      <c r="E31" s="212">
        <v>46136</v>
      </c>
      <c r="F31" t="s">
        <v>219</v>
      </c>
      <c r="G31" s="181">
        <v>4.4827499999999992E-2</v>
      </c>
      <c r="H31" t="s">
        <v>220</v>
      </c>
    </row>
    <row r="32" spans="2:8" x14ac:dyDescent="0.25">
      <c r="B32">
        <v>2</v>
      </c>
      <c r="C32">
        <v>97.3</v>
      </c>
      <c r="D32" t="s">
        <v>22</v>
      </c>
      <c r="E32" s="212">
        <v>46531</v>
      </c>
      <c r="F32" t="s">
        <v>219</v>
      </c>
      <c r="G32" s="181">
        <v>4.5861111111111116E-2</v>
      </c>
      <c r="H32" t="s">
        <v>220</v>
      </c>
    </row>
    <row r="33" spans="2:8" x14ac:dyDescent="0.25">
      <c r="B33">
        <v>3</v>
      </c>
      <c r="C33">
        <v>126.46666666666667</v>
      </c>
      <c r="D33" t="s">
        <v>22</v>
      </c>
      <c r="E33" s="212">
        <v>47406</v>
      </c>
      <c r="F33" t="s">
        <v>229</v>
      </c>
      <c r="G33" s="181">
        <v>3.5000000000000003E-2</v>
      </c>
      <c r="H33" t="s">
        <v>218</v>
      </c>
    </row>
  </sheetData>
  <autoFilter ref="B2:H2" xr:uid="{276BFC98-94BB-4F6E-91A3-5430721BE391}">
    <sortState xmlns:xlrd2="http://schemas.microsoft.com/office/spreadsheetml/2017/richdata2" ref="B3:H33">
      <sortCondition ref="E2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B267A-D387-4D02-A941-7596FD18C3F3}">
  <dimension ref="B2:I19"/>
  <sheetViews>
    <sheetView topLeftCell="A2" workbookViewId="0">
      <selection activeCell="B13" sqref="B13:F14"/>
    </sheetView>
  </sheetViews>
  <sheetFormatPr defaultRowHeight="15" x14ac:dyDescent="0.25"/>
  <sheetData>
    <row r="2" spans="2:9" ht="25.5" x14ac:dyDescent="0.25">
      <c r="B2" t="s">
        <v>23</v>
      </c>
      <c r="C2" s="33">
        <v>90000</v>
      </c>
      <c r="E2" s="34" t="s">
        <v>24</v>
      </c>
    </row>
    <row r="3" spans="2:9" x14ac:dyDescent="0.25">
      <c r="B3" t="s">
        <v>25</v>
      </c>
      <c r="C3" s="33">
        <v>65666</v>
      </c>
      <c r="E3" s="35">
        <f>E4/C3</f>
        <v>6.7554289891267882E-2</v>
      </c>
      <c r="H3" s="36" t="s">
        <v>26</v>
      </c>
      <c r="I3" t="s">
        <v>27</v>
      </c>
    </row>
    <row r="4" spans="2:9" x14ac:dyDescent="0.25">
      <c r="B4" t="s">
        <v>28</v>
      </c>
      <c r="C4" s="33">
        <v>5561</v>
      </c>
      <c r="E4" s="33">
        <f>C3-E5</f>
        <v>4436.0199999999968</v>
      </c>
      <c r="H4" t="s">
        <v>29</v>
      </c>
    </row>
    <row r="5" spans="2:9" x14ac:dyDescent="0.25">
      <c r="E5" s="33">
        <f>SUM(E6:E19)</f>
        <v>61229.98</v>
      </c>
      <c r="H5" t="s">
        <v>30</v>
      </c>
    </row>
    <row r="6" spans="2:9" x14ac:dyDescent="0.25">
      <c r="B6" t="s">
        <v>31</v>
      </c>
      <c r="C6" s="33">
        <v>1800</v>
      </c>
      <c r="D6">
        <v>12</v>
      </c>
      <c r="E6" s="33">
        <f>C6*D6</f>
        <v>21600</v>
      </c>
      <c r="F6" t="s">
        <v>32</v>
      </c>
    </row>
    <row r="7" spans="2:9" x14ac:dyDescent="0.25">
      <c r="B7" t="s">
        <v>33</v>
      </c>
      <c r="C7" s="33">
        <f>131+61</f>
        <v>192</v>
      </c>
      <c r="D7">
        <v>12</v>
      </c>
      <c r="E7" s="33">
        <f t="shared" ref="E7:E19" si="0">C7*D7</f>
        <v>2304</v>
      </c>
      <c r="F7" t="s">
        <v>32</v>
      </c>
      <c r="H7" s="36" t="s">
        <v>34</v>
      </c>
    </row>
    <row r="8" spans="2:9" x14ac:dyDescent="0.25">
      <c r="B8" t="s">
        <v>35</v>
      </c>
      <c r="C8" s="33">
        <f>60*2</f>
        <v>120</v>
      </c>
      <c r="D8">
        <v>12</v>
      </c>
      <c r="E8" s="33">
        <f t="shared" si="0"/>
        <v>1440</v>
      </c>
      <c r="F8" t="s">
        <v>32</v>
      </c>
      <c r="H8" t="s">
        <v>36</v>
      </c>
    </row>
    <row r="9" spans="2:9" x14ac:dyDescent="0.25">
      <c r="B9" t="s">
        <v>37</v>
      </c>
      <c r="C9" s="33">
        <v>400</v>
      </c>
      <c r="D9">
        <v>12</v>
      </c>
      <c r="E9" s="33">
        <f t="shared" si="0"/>
        <v>4800</v>
      </c>
      <c r="F9" t="s">
        <v>32</v>
      </c>
      <c r="H9" t="s">
        <v>38</v>
      </c>
    </row>
    <row r="10" spans="2:9" x14ac:dyDescent="0.25">
      <c r="B10" t="s">
        <v>39</v>
      </c>
      <c r="C10" s="33">
        <f>105*2</f>
        <v>210</v>
      </c>
      <c r="D10">
        <v>12</v>
      </c>
      <c r="E10" s="33">
        <f t="shared" si="0"/>
        <v>2520</v>
      </c>
      <c r="F10" t="s">
        <v>32</v>
      </c>
      <c r="H10" t="s">
        <v>40</v>
      </c>
    </row>
    <row r="11" spans="2:9" x14ac:dyDescent="0.25">
      <c r="B11" t="s">
        <v>41</v>
      </c>
      <c r="C11" s="33">
        <v>250</v>
      </c>
      <c r="D11">
        <v>12</v>
      </c>
      <c r="E11" s="33">
        <f t="shared" si="0"/>
        <v>3000</v>
      </c>
      <c r="F11" t="s">
        <v>32</v>
      </c>
    </row>
    <row r="12" spans="2:9" x14ac:dyDescent="0.25">
      <c r="C12" s="33"/>
      <c r="E12" s="33"/>
    </row>
    <row r="13" spans="2:9" x14ac:dyDescent="0.25">
      <c r="B13" t="s">
        <v>26</v>
      </c>
      <c r="C13" s="33">
        <v>1500</v>
      </c>
      <c r="D13">
        <v>1</v>
      </c>
      <c r="E13" s="33">
        <f>C13*D13</f>
        <v>1500</v>
      </c>
      <c r="F13" t="s">
        <v>42</v>
      </c>
    </row>
    <row r="14" spans="2:9" x14ac:dyDescent="0.25">
      <c r="B14" t="s">
        <v>43</v>
      </c>
      <c r="C14" s="33">
        <f>2300*2</f>
        <v>4600</v>
      </c>
      <c r="D14">
        <v>1</v>
      </c>
      <c r="E14" s="33">
        <f>C14*D14</f>
        <v>4600</v>
      </c>
      <c r="F14" t="s">
        <v>42</v>
      </c>
    </row>
    <row r="15" spans="2:9" x14ac:dyDescent="0.25">
      <c r="C15" s="33"/>
      <c r="E15" s="33"/>
    </row>
    <row r="16" spans="2:9" x14ac:dyDescent="0.25">
      <c r="B16" t="s">
        <v>44</v>
      </c>
      <c r="C16" s="33">
        <v>1000</v>
      </c>
      <c r="D16">
        <v>4</v>
      </c>
      <c r="E16" s="33">
        <f t="shared" si="0"/>
        <v>4000</v>
      </c>
      <c r="F16" t="s">
        <v>42</v>
      </c>
    </row>
    <row r="17" spans="2:8" x14ac:dyDescent="0.25">
      <c r="B17" t="s">
        <v>45</v>
      </c>
      <c r="C17" s="33">
        <v>12000</v>
      </c>
      <c r="D17">
        <v>1</v>
      </c>
      <c r="E17" s="33">
        <f t="shared" si="0"/>
        <v>12000</v>
      </c>
      <c r="F17" t="s">
        <v>42</v>
      </c>
    </row>
    <row r="18" spans="2:8" x14ac:dyDescent="0.25">
      <c r="B18" t="s">
        <v>46</v>
      </c>
      <c r="C18" s="33">
        <f>66+9.42+4.81</f>
        <v>80.23</v>
      </c>
      <c r="D18">
        <f>26</f>
        <v>26</v>
      </c>
      <c r="E18" s="33">
        <f t="shared" si="0"/>
        <v>2085.98</v>
      </c>
      <c r="F18" t="s">
        <v>32</v>
      </c>
      <c r="H18">
        <f>D18/12</f>
        <v>2.1666666666666665</v>
      </c>
    </row>
    <row r="19" spans="2:8" x14ac:dyDescent="0.25">
      <c r="B19" t="s">
        <v>47</v>
      </c>
      <c r="C19" s="33">
        <v>230</v>
      </c>
      <c r="D19">
        <v>6</v>
      </c>
      <c r="E19" s="33">
        <f t="shared" si="0"/>
        <v>1380</v>
      </c>
      <c r="F19" t="s">
        <v>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CFBC3-219F-4A48-80CB-16DF7A8A85B6}">
  <dimension ref="B2:C866"/>
  <sheetViews>
    <sheetView workbookViewId="0">
      <selection activeCell="B8" sqref="B8"/>
    </sheetView>
  </sheetViews>
  <sheetFormatPr defaultRowHeight="15" x14ac:dyDescent="0.25"/>
  <cols>
    <col min="2" max="2" width="10.85546875" customWidth="1"/>
  </cols>
  <sheetData>
    <row r="2" spans="2:3" x14ac:dyDescent="0.25">
      <c r="B2" t="s">
        <v>81</v>
      </c>
      <c r="C2" t="s">
        <v>82</v>
      </c>
    </row>
    <row r="3" spans="2:3" x14ac:dyDescent="0.25">
      <c r="B3" s="52">
        <v>43623</v>
      </c>
      <c r="C3" s="1" t="str">
        <f>CONCATENATE(MONTH(B3)," ",YEAR(B3))</f>
        <v>6 2019</v>
      </c>
    </row>
    <row r="4" spans="2:3" x14ac:dyDescent="0.25">
      <c r="B4" s="53">
        <f>B3+14</f>
        <v>43637</v>
      </c>
      <c r="C4" s="1" t="str">
        <f t="shared" ref="C4:C67" si="0">CONCATENATE(MONTH(B4)," ",YEAR(B4))</f>
        <v>6 2019</v>
      </c>
    </row>
    <row r="5" spans="2:3" x14ac:dyDescent="0.25">
      <c r="B5" s="53">
        <f t="shared" ref="B5:B68" si="1">B4+14</f>
        <v>43651</v>
      </c>
      <c r="C5" s="1" t="str">
        <f t="shared" si="0"/>
        <v>7 2019</v>
      </c>
    </row>
    <row r="6" spans="2:3" x14ac:dyDescent="0.25">
      <c r="B6" s="53">
        <f t="shared" si="1"/>
        <v>43665</v>
      </c>
      <c r="C6" s="1" t="str">
        <f t="shared" si="0"/>
        <v>7 2019</v>
      </c>
    </row>
    <row r="7" spans="2:3" x14ac:dyDescent="0.25">
      <c r="B7" s="53">
        <f>B6+14</f>
        <v>43679</v>
      </c>
      <c r="C7" s="1" t="str">
        <f t="shared" si="0"/>
        <v>8 2019</v>
      </c>
    </row>
    <row r="8" spans="2:3" x14ac:dyDescent="0.25">
      <c r="B8" s="53">
        <f t="shared" si="1"/>
        <v>43693</v>
      </c>
      <c r="C8" s="1" t="str">
        <f t="shared" si="0"/>
        <v>8 2019</v>
      </c>
    </row>
    <row r="9" spans="2:3" x14ac:dyDescent="0.25">
      <c r="B9" s="53">
        <f t="shared" si="1"/>
        <v>43707</v>
      </c>
      <c r="C9" s="1" t="str">
        <f t="shared" si="0"/>
        <v>8 2019</v>
      </c>
    </row>
    <row r="10" spans="2:3" x14ac:dyDescent="0.25">
      <c r="B10" s="53">
        <f t="shared" si="1"/>
        <v>43721</v>
      </c>
      <c r="C10" s="1" t="str">
        <f t="shared" si="0"/>
        <v>9 2019</v>
      </c>
    </row>
    <row r="11" spans="2:3" x14ac:dyDescent="0.25">
      <c r="B11" s="53">
        <f t="shared" si="1"/>
        <v>43735</v>
      </c>
      <c r="C11" s="1" t="str">
        <f t="shared" si="0"/>
        <v>9 2019</v>
      </c>
    </row>
    <row r="12" spans="2:3" x14ac:dyDescent="0.25">
      <c r="B12" s="53">
        <f t="shared" si="1"/>
        <v>43749</v>
      </c>
      <c r="C12" s="1" t="str">
        <f t="shared" si="0"/>
        <v>10 2019</v>
      </c>
    </row>
    <row r="13" spans="2:3" x14ac:dyDescent="0.25">
      <c r="B13" s="53">
        <f t="shared" si="1"/>
        <v>43763</v>
      </c>
      <c r="C13" s="1" t="str">
        <f t="shared" si="0"/>
        <v>10 2019</v>
      </c>
    </row>
    <row r="14" spans="2:3" x14ac:dyDescent="0.25">
      <c r="B14" s="53">
        <f t="shared" si="1"/>
        <v>43777</v>
      </c>
      <c r="C14" s="1" t="str">
        <f t="shared" si="0"/>
        <v>11 2019</v>
      </c>
    </row>
    <row r="15" spans="2:3" x14ac:dyDescent="0.25">
      <c r="B15" s="53">
        <f t="shared" si="1"/>
        <v>43791</v>
      </c>
      <c r="C15" s="1" t="str">
        <f t="shared" si="0"/>
        <v>11 2019</v>
      </c>
    </row>
    <row r="16" spans="2:3" x14ac:dyDescent="0.25">
      <c r="B16" s="53">
        <f t="shared" si="1"/>
        <v>43805</v>
      </c>
      <c r="C16" s="1" t="str">
        <f t="shared" si="0"/>
        <v>12 2019</v>
      </c>
    </row>
    <row r="17" spans="2:3" x14ac:dyDescent="0.25">
      <c r="B17" s="53">
        <f t="shared" si="1"/>
        <v>43819</v>
      </c>
      <c r="C17" s="1" t="str">
        <f t="shared" si="0"/>
        <v>12 2019</v>
      </c>
    </row>
    <row r="18" spans="2:3" x14ac:dyDescent="0.25">
      <c r="B18" s="53">
        <f t="shared" si="1"/>
        <v>43833</v>
      </c>
      <c r="C18" s="1" t="str">
        <f t="shared" si="0"/>
        <v>1 2020</v>
      </c>
    </row>
    <row r="19" spans="2:3" x14ac:dyDescent="0.25">
      <c r="B19" s="53">
        <f t="shared" si="1"/>
        <v>43847</v>
      </c>
      <c r="C19" s="1" t="str">
        <f t="shared" si="0"/>
        <v>1 2020</v>
      </c>
    </row>
    <row r="20" spans="2:3" x14ac:dyDescent="0.25">
      <c r="B20" s="53">
        <f t="shared" si="1"/>
        <v>43861</v>
      </c>
      <c r="C20" s="1" t="str">
        <f t="shared" si="0"/>
        <v>1 2020</v>
      </c>
    </row>
    <row r="21" spans="2:3" x14ac:dyDescent="0.25">
      <c r="B21" s="53">
        <f t="shared" si="1"/>
        <v>43875</v>
      </c>
      <c r="C21" s="1" t="str">
        <f t="shared" si="0"/>
        <v>2 2020</v>
      </c>
    </row>
    <row r="22" spans="2:3" x14ac:dyDescent="0.25">
      <c r="B22" s="53">
        <f t="shared" si="1"/>
        <v>43889</v>
      </c>
      <c r="C22" s="1" t="str">
        <f t="shared" si="0"/>
        <v>2 2020</v>
      </c>
    </row>
    <row r="23" spans="2:3" x14ac:dyDescent="0.25">
      <c r="B23" s="53">
        <f t="shared" si="1"/>
        <v>43903</v>
      </c>
      <c r="C23" s="1" t="str">
        <f t="shared" si="0"/>
        <v>3 2020</v>
      </c>
    </row>
    <row r="24" spans="2:3" x14ac:dyDescent="0.25">
      <c r="B24" s="53">
        <f t="shared" si="1"/>
        <v>43917</v>
      </c>
      <c r="C24" s="1" t="str">
        <f t="shared" si="0"/>
        <v>3 2020</v>
      </c>
    </row>
    <row r="25" spans="2:3" x14ac:dyDescent="0.25">
      <c r="B25" s="53">
        <f t="shared" si="1"/>
        <v>43931</v>
      </c>
      <c r="C25" s="1" t="str">
        <f t="shared" si="0"/>
        <v>4 2020</v>
      </c>
    </row>
    <row r="26" spans="2:3" x14ac:dyDescent="0.25">
      <c r="B26" s="53">
        <f t="shared" si="1"/>
        <v>43945</v>
      </c>
      <c r="C26" s="1" t="str">
        <f t="shared" si="0"/>
        <v>4 2020</v>
      </c>
    </row>
    <row r="27" spans="2:3" x14ac:dyDescent="0.25">
      <c r="B27" s="53">
        <f t="shared" si="1"/>
        <v>43959</v>
      </c>
      <c r="C27" s="1" t="str">
        <f t="shared" si="0"/>
        <v>5 2020</v>
      </c>
    </row>
    <row r="28" spans="2:3" x14ac:dyDescent="0.25">
      <c r="B28" s="53">
        <f t="shared" si="1"/>
        <v>43973</v>
      </c>
      <c r="C28" s="1" t="str">
        <f t="shared" si="0"/>
        <v>5 2020</v>
      </c>
    </row>
    <row r="29" spans="2:3" x14ac:dyDescent="0.25">
      <c r="B29" s="53">
        <f t="shared" si="1"/>
        <v>43987</v>
      </c>
      <c r="C29" s="1" t="str">
        <f t="shared" si="0"/>
        <v>6 2020</v>
      </c>
    </row>
    <row r="30" spans="2:3" x14ac:dyDescent="0.25">
      <c r="B30" s="53">
        <f t="shared" si="1"/>
        <v>44001</v>
      </c>
      <c r="C30" s="1" t="str">
        <f t="shared" si="0"/>
        <v>6 2020</v>
      </c>
    </row>
    <row r="31" spans="2:3" x14ac:dyDescent="0.25">
      <c r="B31" s="53">
        <f t="shared" si="1"/>
        <v>44015</v>
      </c>
      <c r="C31" s="1" t="str">
        <f t="shared" si="0"/>
        <v>7 2020</v>
      </c>
    </row>
    <row r="32" spans="2:3" x14ac:dyDescent="0.25">
      <c r="B32" s="53">
        <f t="shared" si="1"/>
        <v>44029</v>
      </c>
      <c r="C32" s="1" t="str">
        <f t="shared" si="0"/>
        <v>7 2020</v>
      </c>
    </row>
    <row r="33" spans="2:3" x14ac:dyDescent="0.25">
      <c r="B33" s="53">
        <f t="shared" si="1"/>
        <v>44043</v>
      </c>
      <c r="C33" s="1" t="str">
        <f t="shared" si="0"/>
        <v>7 2020</v>
      </c>
    </row>
    <row r="34" spans="2:3" x14ac:dyDescent="0.25">
      <c r="B34" s="53">
        <f t="shared" si="1"/>
        <v>44057</v>
      </c>
      <c r="C34" s="1" t="str">
        <f t="shared" si="0"/>
        <v>8 2020</v>
      </c>
    </row>
    <row r="35" spans="2:3" x14ac:dyDescent="0.25">
      <c r="B35" s="53">
        <f t="shared" si="1"/>
        <v>44071</v>
      </c>
      <c r="C35" s="1" t="str">
        <f t="shared" si="0"/>
        <v>8 2020</v>
      </c>
    </row>
    <row r="36" spans="2:3" x14ac:dyDescent="0.25">
      <c r="B36" s="53">
        <f t="shared" si="1"/>
        <v>44085</v>
      </c>
      <c r="C36" s="1" t="str">
        <f t="shared" si="0"/>
        <v>9 2020</v>
      </c>
    </row>
    <row r="37" spans="2:3" x14ac:dyDescent="0.25">
      <c r="B37" s="53">
        <f t="shared" si="1"/>
        <v>44099</v>
      </c>
      <c r="C37" s="1" t="str">
        <f t="shared" si="0"/>
        <v>9 2020</v>
      </c>
    </row>
    <row r="38" spans="2:3" x14ac:dyDescent="0.25">
      <c r="B38" s="53">
        <f t="shared" si="1"/>
        <v>44113</v>
      </c>
      <c r="C38" s="1" t="str">
        <f t="shared" si="0"/>
        <v>10 2020</v>
      </c>
    </row>
    <row r="39" spans="2:3" x14ac:dyDescent="0.25">
      <c r="B39" s="53">
        <f t="shared" si="1"/>
        <v>44127</v>
      </c>
      <c r="C39" s="1" t="str">
        <f t="shared" si="0"/>
        <v>10 2020</v>
      </c>
    </row>
    <row r="40" spans="2:3" x14ac:dyDescent="0.25">
      <c r="B40" s="53">
        <f t="shared" si="1"/>
        <v>44141</v>
      </c>
      <c r="C40" s="1" t="str">
        <f t="shared" si="0"/>
        <v>11 2020</v>
      </c>
    </row>
    <row r="41" spans="2:3" x14ac:dyDescent="0.25">
      <c r="B41" s="53">
        <f t="shared" si="1"/>
        <v>44155</v>
      </c>
      <c r="C41" s="1" t="str">
        <f t="shared" si="0"/>
        <v>11 2020</v>
      </c>
    </row>
    <row r="42" spans="2:3" x14ac:dyDescent="0.25">
      <c r="B42" s="53">
        <f t="shared" si="1"/>
        <v>44169</v>
      </c>
      <c r="C42" s="1" t="str">
        <f t="shared" si="0"/>
        <v>12 2020</v>
      </c>
    </row>
    <row r="43" spans="2:3" x14ac:dyDescent="0.25">
      <c r="B43" s="53">
        <f t="shared" si="1"/>
        <v>44183</v>
      </c>
      <c r="C43" s="1" t="str">
        <f t="shared" si="0"/>
        <v>12 2020</v>
      </c>
    </row>
    <row r="44" spans="2:3" x14ac:dyDescent="0.25">
      <c r="B44" s="53">
        <f t="shared" si="1"/>
        <v>44197</v>
      </c>
      <c r="C44" s="1" t="str">
        <f t="shared" si="0"/>
        <v>1 2021</v>
      </c>
    </row>
    <row r="45" spans="2:3" x14ac:dyDescent="0.25">
      <c r="B45" s="53">
        <f t="shared" si="1"/>
        <v>44211</v>
      </c>
      <c r="C45" s="1" t="str">
        <f t="shared" si="0"/>
        <v>1 2021</v>
      </c>
    </row>
    <row r="46" spans="2:3" x14ac:dyDescent="0.25">
      <c r="B46" s="53">
        <f t="shared" si="1"/>
        <v>44225</v>
      </c>
      <c r="C46" s="1" t="str">
        <f t="shared" si="0"/>
        <v>1 2021</v>
      </c>
    </row>
    <row r="47" spans="2:3" x14ac:dyDescent="0.25">
      <c r="B47" s="53">
        <f t="shared" si="1"/>
        <v>44239</v>
      </c>
      <c r="C47" s="1" t="str">
        <f t="shared" si="0"/>
        <v>2 2021</v>
      </c>
    </row>
    <row r="48" spans="2:3" x14ac:dyDescent="0.25">
      <c r="B48" s="53">
        <f t="shared" si="1"/>
        <v>44253</v>
      </c>
      <c r="C48" s="1" t="str">
        <f t="shared" si="0"/>
        <v>2 2021</v>
      </c>
    </row>
    <row r="49" spans="2:3" x14ac:dyDescent="0.25">
      <c r="B49" s="53">
        <f t="shared" si="1"/>
        <v>44267</v>
      </c>
      <c r="C49" s="1" t="str">
        <f t="shared" si="0"/>
        <v>3 2021</v>
      </c>
    </row>
    <row r="50" spans="2:3" x14ac:dyDescent="0.25">
      <c r="B50" s="53">
        <f t="shared" si="1"/>
        <v>44281</v>
      </c>
      <c r="C50" s="1" t="str">
        <f t="shared" si="0"/>
        <v>3 2021</v>
      </c>
    </row>
    <row r="51" spans="2:3" x14ac:dyDescent="0.25">
      <c r="B51" s="53">
        <f t="shared" si="1"/>
        <v>44295</v>
      </c>
      <c r="C51" s="1" t="str">
        <f t="shared" si="0"/>
        <v>4 2021</v>
      </c>
    </row>
    <row r="52" spans="2:3" x14ac:dyDescent="0.25">
      <c r="B52" s="53">
        <f t="shared" si="1"/>
        <v>44309</v>
      </c>
      <c r="C52" s="1" t="str">
        <f t="shared" si="0"/>
        <v>4 2021</v>
      </c>
    </row>
    <row r="53" spans="2:3" x14ac:dyDescent="0.25">
      <c r="B53" s="53">
        <f t="shared" si="1"/>
        <v>44323</v>
      </c>
      <c r="C53" s="1" t="str">
        <f t="shared" si="0"/>
        <v>5 2021</v>
      </c>
    </row>
    <row r="54" spans="2:3" x14ac:dyDescent="0.25">
      <c r="B54" s="53">
        <f t="shared" si="1"/>
        <v>44337</v>
      </c>
      <c r="C54" s="1" t="str">
        <f t="shared" si="0"/>
        <v>5 2021</v>
      </c>
    </row>
    <row r="55" spans="2:3" x14ac:dyDescent="0.25">
      <c r="B55" s="53">
        <f t="shared" si="1"/>
        <v>44351</v>
      </c>
      <c r="C55" s="1" t="str">
        <f t="shared" si="0"/>
        <v>6 2021</v>
      </c>
    </row>
    <row r="56" spans="2:3" x14ac:dyDescent="0.25">
      <c r="B56" s="53">
        <f t="shared" si="1"/>
        <v>44365</v>
      </c>
      <c r="C56" s="1" t="str">
        <f t="shared" si="0"/>
        <v>6 2021</v>
      </c>
    </row>
    <row r="57" spans="2:3" x14ac:dyDescent="0.25">
      <c r="B57" s="53">
        <f t="shared" si="1"/>
        <v>44379</v>
      </c>
      <c r="C57" s="1" t="str">
        <f t="shared" si="0"/>
        <v>7 2021</v>
      </c>
    </row>
    <row r="58" spans="2:3" x14ac:dyDescent="0.25">
      <c r="B58" s="53">
        <f t="shared" si="1"/>
        <v>44393</v>
      </c>
      <c r="C58" s="1" t="str">
        <f t="shared" si="0"/>
        <v>7 2021</v>
      </c>
    </row>
    <row r="59" spans="2:3" x14ac:dyDescent="0.25">
      <c r="B59" s="53">
        <f t="shared" si="1"/>
        <v>44407</v>
      </c>
      <c r="C59" s="1" t="str">
        <f t="shared" si="0"/>
        <v>7 2021</v>
      </c>
    </row>
    <row r="60" spans="2:3" x14ac:dyDescent="0.25">
      <c r="B60" s="53">
        <f t="shared" si="1"/>
        <v>44421</v>
      </c>
      <c r="C60" s="1" t="str">
        <f t="shared" si="0"/>
        <v>8 2021</v>
      </c>
    </row>
    <row r="61" spans="2:3" x14ac:dyDescent="0.25">
      <c r="B61" s="53">
        <f t="shared" si="1"/>
        <v>44435</v>
      </c>
      <c r="C61" s="1" t="str">
        <f t="shared" si="0"/>
        <v>8 2021</v>
      </c>
    </row>
    <row r="62" spans="2:3" x14ac:dyDescent="0.25">
      <c r="B62" s="53">
        <f t="shared" si="1"/>
        <v>44449</v>
      </c>
      <c r="C62" s="1" t="str">
        <f t="shared" si="0"/>
        <v>9 2021</v>
      </c>
    </row>
    <row r="63" spans="2:3" x14ac:dyDescent="0.25">
      <c r="B63" s="53">
        <f t="shared" si="1"/>
        <v>44463</v>
      </c>
      <c r="C63" s="1" t="str">
        <f t="shared" si="0"/>
        <v>9 2021</v>
      </c>
    </row>
    <row r="64" spans="2:3" x14ac:dyDescent="0.25">
      <c r="B64" s="53">
        <f t="shared" si="1"/>
        <v>44477</v>
      </c>
      <c r="C64" s="1" t="str">
        <f t="shared" si="0"/>
        <v>10 2021</v>
      </c>
    </row>
    <row r="65" spans="2:3" x14ac:dyDescent="0.25">
      <c r="B65" s="53">
        <f t="shared" si="1"/>
        <v>44491</v>
      </c>
      <c r="C65" s="1" t="str">
        <f t="shared" si="0"/>
        <v>10 2021</v>
      </c>
    </row>
    <row r="66" spans="2:3" x14ac:dyDescent="0.25">
      <c r="B66" s="53">
        <f t="shared" si="1"/>
        <v>44505</v>
      </c>
      <c r="C66" s="1" t="str">
        <f t="shared" si="0"/>
        <v>11 2021</v>
      </c>
    </row>
    <row r="67" spans="2:3" x14ac:dyDescent="0.25">
      <c r="B67" s="53">
        <f t="shared" si="1"/>
        <v>44519</v>
      </c>
      <c r="C67" s="1" t="str">
        <f t="shared" si="0"/>
        <v>11 2021</v>
      </c>
    </row>
    <row r="68" spans="2:3" x14ac:dyDescent="0.25">
      <c r="B68" s="53">
        <f t="shared" si="1"/>
        <v>44533</v>
      </c>
      <c r="C68" s="1" t="str">
        <f t="shared" ref="C68:C131" si="2">CONCATENATE(MONTH(B68)," ",YEAR(B68))</f>
        <v>12 2021</v>
      </c>
    </row>
    <row r="69" spans="2:3" x14ac:dyDescent="0.25">
      <c r="B69" s="53">
        <f t="shared" ref="B69:B132" si="3">B68+14</f>
        <v>44547</v>
      </c>
      <c r="C69" s="1" t="str">
        <f t="shared" si="2"/>
        <v>12 2021</v>
      </c>
    </row>
    <row r="70" spans="2:3" x14ac:dyDescent="0.25">
      <c r="B70" s="53">
        <f t="shared" si="3"/>
        <v>44561</v>
      </c>
      <c r="C70" s="1" t="str">
        <f t="shared" si="2"/>
        <v>12 2021</v>
      </c>
    </row>
    <row r="71" spans="2:3" x14ac:dyDescent="0.25">
      <c r="B71" s="53">
        <f t="shared" si="3"/>
        <v>44575</v>
      </c>
      <c r="C71" s="1" t="str">
        <f t="shared" si="2"/>
        <v>1 2022</v>
      </c>
    </row>
    <row r="72" spans="2:3" x14ac:dyDescent="0.25">
      <c r="B72" s="53">
        <f t="shared" si="3"/>
        <v>44589</v>
      </c>
      <c r="C72" s="1" t="str">
        <f t="shared" si="2"/>
        <v>1 2022</v>
      </c>
    </row>
    <row r="73" spans="2:3" x14ac:dyDescent="0.25">
      <c r="B73" s="53">
        <f t="shared" si="3"/>
        <v>44603</v>
      </c>
      <c r="C73" s="1" t="str">
        <f t="shared" si="2"/>
        <v>2 2022</v>
      </c>
    </row>
    <row r="74" spans="2:3" x14ac:dyDescent="0.25">
      <c r="B74" s="53">
        <f t="shared" si="3"/>
        <v>44617</v>
      </c>
      <c r="C74" s="1" t="str">
        <f t="shared" si="2"/>
        <v>2 2022</v>
      </c>
    </row>
    <row r="75" spans="2:3" x14ac:dyDescent="0.25">
      <c r="B75" s="53">
        <f t="shared" si="3"/>
        <v>44631</v>
      </c>
      <c r="C75" s="1" t="str">
        <f t="shared" si="2"/>
        <v>3 2022</v>
      </c>
    </row>
    <row r="76" spans="2:3" x14ac:dyDescent="0.25">
      <c r="B76" s="53">
        <f t="shared" si="3"/>
        <v>44645</v>
      </c>
      <c r="C76" s="1" t="str">
        <f t="shared" si="2"/>
        <v>3 2022</v>
      </c>
    </row>
    <row r="77" spans="2:3" x14ac:dyDescent="0.25">
      <c r="B77" s="53">
        <f t="shared" si="3"/>
        <v>44659</v>
      </c>
      <c r="C77" s="1" t="str">
        <f t="shared" si="2"/>
        <v>4 2022</v>
      </c>
    </row>
    <row r="78" spans="2:3" x14ac:dyDescent="0.25">
      <c r="B78" s="53">
        <f t="shared" si="3"/>
        <v>44673</v>
      </c>
      <c r="C78" s="1" t="str">
        <f t="shared" si="2"/>
        <v>4 2022</v>
      </c>
    </row>
    <row r="79" spans="2:3" x14ac:dyDescent="0.25">
      <c r="B79" s="53">
        <f t="shared" si="3"/>
        <v>44687</v>
      </c>
      <c r="C79" s="1" t="str">
        <f t="shared" si="2"/>
        <v>5 2022</v>
      </c>
    </row>
    <row r="80" spans="2:3" x14ac:dyDescent="0.25">
      <c r="B80" s="53">
        <f t="shared" si="3"/>
        <v>44701</v>
      </c>
      <c r="C80" s="1" t="str">
        <f t="shared" si="2"/>
        <v>5 2022</v>
      </c>
    </row>
    <row r="81" spans="2:3" x14ac:dyDescent="0.25">
      <c r="B81" s="53">
        <f t="shared" si="3"/>
        <v>44715</v>
      </c>
      <c r="C81" s="1" t="str">
        <f t="shared" si="2"/>
        <v>6 2022</v>
      </c>
    </row>
    <row r="82" spans="2:3" x14ac:dyDescent="0.25">
      <c r="B82" s="53">
        <f t="shared" si="3"/>
        <v>44729</v>
      </c>
      <c r="C82" s="1" t="str">
        <f t="shared" si="2"/>
        <v>6 2022</v>
      </c>
    </row>
    <row r="83" spans="2:3" x14ac:dyDescent="0.25">
      <c r="B83" s="53">
        <f t="shared" si="3"/>
        <v>44743</v>
      </c>
      <c r="C83" s="1" t="str">
        <f t="shared" si="2"/>
        <v>7 2022</v>
      </c>
    </row>
    <row r="84" spans="2:3" x14ac:dyDescent="0.25">
      <c r="B84" s="53">
        <f t="shared" si="3"/>
        <v>44757</v>
      </c>
      <c r="C84" s="1" t="str">
        <f t="shared" si="2"/>
        <v>7 2022</v>
      </c>
    </row>
    <row r="85" spans="2:3" x14ac:dyDescent="0.25">
      <c r="B85" s="53">
        <f t="shared" si="3"/>
        <v>44771</v>
      </c>
      <c r="C85" s="1" t="str">
        <f t="shared" si="2"/>
        <v>7 2022</v>
      </c>
    </row>
    <row r="86" spans="2:3" x14ac:dyDescent="0.25">
      <c r="B86" s="53">
        <f t="shared" si="3"/>
        <v>44785</v>
      </c>
      <c r="C86" s="1" t="str">
        <f t="shared" si="2"/>
        <v>8 2022</v>
      </c>
    </row>
    <row r="87" spans="2:3" x14ac:dyDescent="0.25">
      <c r="B87" s="53">
        <f t="shared" si="3"/>
        <v>44799</v>
      </c>
      <c r="C87" s="1" t="str">
        <f t="shared" si="2"/>
        <v>8 2022</v>
      </c>
    </row>
    <row r="88" spans="2:3" x14ac:dyDescent="0.25">
      <c r="B88" s="53">
        <f t="shared" si="3"/>
        <v>44813</v>
      </c>
      <c r="C88" s="1" t="str">
        <f t="shared" si="2"/>
        <v>9 2022</v>
      </c>
    </row>
    <row r="89" spans="2:3" x14ac:dyDescent="0.25">
      <c r="B89" s="53">
        <f t="shared" si="3"/>
        <v>44827</v>
      </c>
      <c r="C89" s="1" t="str">
        <f t="shared" si="2"/>
        <v>9 2022</v>
      </c>
    </row>
    <row r="90" spans="2:3" x14ac:dyDescent="0.25">
      <c r="B90" s="53">
        <f t="shared" si="3"/>
        <v>44841</v>
      </c>
      <c r="C90" s="1" t="str">
        <f t="shared" si="2"/>
        <v>10 2022</v>
      </c>
    </row>
    <row r="91" spans="2:3" x14ac:dyDescent="0.25">
      <c r="B91" s="53">
        <f t="shared" si="3"/>
        <v>44855</v>
      </c>
      <c r="C91" s="1" t="str">
        <f t="shared" si="2"/>
        <v>10 2022</v>
      </c>
    </row>
    <row r="92" spans="2:3" x14ac:dyDescent="0.25">
      <c r="B92" s="53">
        <f t="shared" si="3"/>
        <v>44869</v>
      </c>
      <c r="C92" s="1" t="str">
        <f t="shared" si="2"/>
        <v>11 2022</v>
      </c>
    </row>
    <row r="93" spans="2:3" x14ac:dyDescent="0.25">
      <c r="B93" s="53">
        <f t="shared" si="3"/>
        <v>44883</v>
      </c>
      <c r="C93" s="1" t="str">
        <f t="shared" si="2"/>
        <v>11 2022</v>
      </c>
    </row>
    <row r="94" spans="2:3" x14ac:dyDescent="0.25">
      <c r="B94" s="53">
        <f t="shared" si="3"/>
        <v>44897</v>
      </c>
      <c r="C94" s="1" t="str">
        <f t="shared" si="2"/>
        <v>12 2022</v>
      </c>
    </row>
    <row r="95" spans="2:3" x14ac:dyDescent="0.25">
      <c r="B95" s="53">
        <f t="shared" si="3"/>
        <v>44911</v>
      </c>
      <c r="C95" s="1" t="str">
        <f t="shared" si="2"/>
        <v>12 2022</v>
      </c>
    </row>
    <row r="96" spans="2:3" x14ac:dyDescent="0.25">
      <c r="B96" s="53">
        <f t="shared" si="3"/>
        <v>44925</v>
      </c>
      <c r="C96" s="1" t="str">
        <f t="shared" si="2"/>
        <v>12 2022</v>
      </c>
    </row>
    <row r="97" spans="2:3" x14ac:dyDescent="0.25">
      <c r="B97" s="53">
        <f t="shared" si="3"/>
        <v>44939</v>
      </c>
      <c r="C97" s="1" t="str">
        <f t="shared" si="2"/>
        <v>1 2023</v>
      </c>
    </row>
    <row r="98" spans="2:3" x14ac:dyDescent="0.25">
      <c r="B98" s="53">
        <f t="shared" si="3"/>
        <v>44953</v>
      </c>
      <c r="C98" s="1" t="str">
        <f t="shared" si="2"/>
        <v>1 2023</v>
      </c>
    </row>
    <row r="99" spans="2:3" x14ac:dyDescent="0.25">
      <c r="B99" s="53">
        <f t="shared" si="3"/>
        <v>44967</v>
      </c>
      <c r="C99" s="1" t="str">
        <f t="shared" si="2"/>
        <v>2 2023</v>
      </c>
    </row>
    <row r="100" spans="2:3" x14ac:dyDescent="0.25">
      <c r="B100" s="53">
        <f t="shared" si="3"/>
        <v>44981</v>
      </c>
      <c r="C100" s="1" t="str">
        <f t="shared" si="2"/>
        <v>2 2023</v>
      </c>
    </row>
    <row r="101" spans="2:3" x14ac:dyDescent="0.25">
      <c r="B101" s="53">
        <f t="shared" si="3"/>
        <v>44995</v>
      </c>
      <c r="C101" s="1" t="str">
        <f t="shared" si="2"/>
        <v>3 2023</v>
      </c>
    </row>
    <row r="102" spans="2:3" x14ac:dyDescent="0.25">
      <c r="B102" s="53">
        <f t="shared" si="3"/>
        <v>45009</v>
      </c>
      <c r="C102" s="1" t="str">
        <f t="shared" si="2"/>
        <v>3 2023</v>
      </c>
    </row>
    <row r="103" spans="2:3" x14ac:dyDescent="0.25">
      <c r="B103" s="53">
        <f t="shared" si="3"/>
        <v>45023</v>
      </c>
      <c r="C103" s="1" t="str">
        <f t="shared" si="2"/>
        <v>4 2023</v>
      </c>
    </row>
    <row r="104" spans="2:3" x14ac:dyDescent="0.25">
      <c r="B104" s="53">
        <f t="shared" si="3"/>
        <v>45037</v>
      </c>
      <c r="C104" s="1" t="str">
        <f t="shared" si="2"/>
        <v>4 2023</v>
      </c>
    </row>
    <row r="105" spans="2:3" x14ac:dyDescent="0.25">
      <c r="B105" s="53">
        <f t="shared" si="3"/>
        <v>45051</v>
      </c>
      <c r="C105" s="1" t="str">
        <f t="shared" si="2"/>
        <v>5 2023</v>
      </c>
    </row>
    <row r="106" spans="2:3" x14ac:dyDescent="0.25">
      <c r="B106" s="53">
        <f t="shared" si="3"/>
        <v>45065</v>
      </c>
      <c r="C106" s="1" t="str">
        <f t="shared" si="2"/>
        <v>5 2023</v>
      </c>
    </row>
    <row r="107" spans="2:3" x14ac:dyDescent="0.25">
      <c r="B107" s="53">
        <f t="shared" si="3"/>
        <v>45079</v>
      </c>
      <c r="C107" s="1" t="str">
        <f t="shared" si="2"/>
        <v>6 2023</v>
      </c>
    </row>
    <row r="108" spans="2:3" x14ac:dyDescent="0.25">
      <c r="B108" s="53">
        <f t="shared" si="3"/>
        <v>45093</v>
      </c>
      <c r="C108" s="1" t="str">
        <f t="shared" si="2"/>
        <v>6 2023</v>
      </c>
    </row>
    <row r="109" spans="2:3" x14ac:dyDescent="0.25">
      <c r="B109" s="53">
        <f t="shared" si="3"/>
        <v>45107</v>
      </c>
      <c r="C109" s="1" t="str">
        <f t="shared" si="2"/>
        <v>6 2023</v>
      </c>
    </row>
    <row r="110" spans="2:3" x14ac:dyDescent="0.25">
      <c r="B110" s="53">
        <f t="shared" si="3"/>
        <v>45121</v>
      </c>
      <c r="C110" s="1" t="str">
        <f t="shared" si="2"/>
        <v>7 2023</v>
      </c>
    </row>
    <row r="111" spans="2:3" x14ac:dyDescent="0.25">
      <c r="B111" s="53">
        <f t="shared" si="3"/>
        <v>45135</v>
      </c>
      <c r="C111" s="1" t="str">
        <f t="shared" si="2"/>
        <v>7 2023</v>
      </c>
    </row>
    <row r="112" spans="2:3" x14ac:dyDescent="0.25">
      <c r="B112" s="53">
        <f t="shared" si="3"/>
        <v>45149</v>
      </c>
      <c r="C112" s="1" t="str">
        <f t="shared" si="2"/>
        <v>8 2023</v>
      </c>
    </row>
    <row r="113" spans="2:3" x14ac:dyDescent="0.25">
      <c r="B113" s="53">
        <f t="shared" si="3"/>
        <v>45163</v>
      </c>
      <c r="C113" s="1" t="str">
        <f t="shared" si="2"/>
        <v>8 2023</v>
      </c>
    </row>
    <row r="114" spans="2:3" x14ac:dyDescent="0.25">
      <c r="B114" s="53">
        <f t="shared" si="3"/>
        <v>45177</v>
      </c>
      <c r="C114" s="1" t="str">
        <f t="shared" si="2"/>
        <v>9 2023</v>
      </c>
    </row>
    <row r="115" spans="2:3" x14ac:dyDescent="0.25">
      <c r="B115" s="53">
        <f t="shared" si="3"/>
        <v>45191</v>
      </c>
      <c r="C115" s="1" t="str">
        <f t="shared" si="2"/>
        <v>9 2023</v>
      </c>
    </row>
    <row r="116" spans="2:3" x14ac:dyDescent="0.25">
      <c r="B116" s="53">
        <f t="shared" si="3"/>
        <v>45205</v>
      </c>
      <c r="C116" s="1" t="str">
        <f t="shared" si="2"/>
        <v>10 2023</v>
      </c>
    </row>
    <row r="117" spans="2:3" x14ac:dyDescent="0.25">
      <c r="B117" s="53">
        <f t="shared" si="3"/>
        <v>45219</v>
      </c>
      <c r="C117" s="1" t="str">
        <f t="shared" si="2"/>
        <v>10 2023</v>
      </c>
    </row>
    <row r="118" spans="2:3" x14ac:dyDescent="0.25">
      <c r="B118" s="53">
        <f t="shared" si="3"/>
        <v>45233</v>
      </c>
      <c r="C118" s="1" t="str">
        <f t="shared" si="2"/>
        <v>11 2023</v>
      </c>
    </row>
    <row r="119" spans="2:3" x14ac:dyDescent="0.25">
      <c r="B119" s="53">
        <f t="shared" si="3"/>
        <v>45247</v>
      </c>
      <c r="C119" s="1" t="str">
        <f t="shared" si="2"/>
        <v>11 2023</v>
      </c>
    </row>
    <row r="120" spans="2:3" x14ac:dyDescent="0.25">
      <c r="B120" s="53">
        <f t="shared" si="3"/>
        <v>45261</v>
      </c>
      <c r="C120" s="1" t="str">
        <f t="shared" si="2"/>
        <v>12 2023</v>
      </c>
    </row>
    <row r="121" spans="2:3" x14ac:dyDescent="0.25">
      <c r="B121" s="53">
        <f t="shared" si="3"/>
        <v>45275</v>
      </c>
      <c r="C121" s="1" t="str">
        <f t="shared" si="2"/>
        <v>12 2023</v>
      </c>
    </row>
    <row r="122" spans="2:3" x14ac:dyDescent="0.25">
      <c r="B122" s="53">
        <f t="shared" si="3"/>
        <v>45289</v>
      </c>
      <c r="C122" s="1" t="str">
        <f t="shared" si="2"/>
        <v>12 2023</v>
      </c>
    </row>
    <row r="123" spans="2:3" x14ac:dyDescent="0.25">
      <c r="B123" s="53">
        <f t="shared" si="3"/>
        <v>45303</v>
      </c>
      <c r="C123" s="1" t="str">
        <f t="shared" si="2"/>
        <v>1 2024</v>
      </c>
    </row>
    <row r="124" spans="2:3" x14ac:dyDescent="0.25">
      <c r="B124" s="53">
        <f t="shared" si="3"/>
        <v>45317</v>
      </c>
      <c r="C124" s="1" t="str">
        <f t="shared" si="2"/>
        <v>1 2024</v>
      </c>
    </row>
    <row r="125" spans="2:3" x14ac:dyDescent="0.25">
      <c r="B125" s="53">
        <f t="shared" si="3"/>
        <v>45331</v>
      </c>
      <c r="C125" s="1" t="str">
        <f t="shared" si="2"/>
        <v>2 2024</v>
      </c>
    </row>
    <row r="126" spans="2:3" x14ac:dyDescent="0.25">
      <c r="B126" s="53">
        <f t="shared" si="3"/>
        <v>45345</v>
      </c>
      <c r="C126" s="1" t="str">
        <f t="shared" si="2"/>
        <v>2 2024</v>
      </c>
    </row>
    <row r="127" spans="2:3" x14ac:dyDescent="0.25">
      <c r="B127" s="53">
        <f t="shared" si="3"/>
        <v>45359</v>
      </c>
      <c r="C127" s="1" t="str">
        <f t="shared" si="2"/>
        <v>3 2024</v>
      </c>
    </row>
    <row r="128" spans="2:3" x14ac:dyDescent="0.25">
      <c r="B128" s="53">
        <f t="shared" si="3"/>
        <v>45373</v>
      </c>
      <c r="C128" s="1" t="str">
        <f t="shared" si="2"/>
        <v>3 2024</v>
      </c>
    </row>
    <row r="129" spans="2:3" x14ac:dyDescent="0.25">
      <c r="B129" s="53">
        <f t="shared" si="3"/>
        <v>45387</v>
      </c>
      <c r="C129" s="1" t="str">
        <f t="shared" si="2"/>
        <v>4 2024</v>
      </c>
    </row>
    <row r="130" spans="2:3" x14ac:dyDescent="0.25">
      <c r="B130" s="53">
        <f t="shared" si="3"/>
        <v>45401</v>
      </c>
      <c r="C130" s="1" t="str">
        <f t="shared" si="2"/>
        <v>4 2024</v>
      </c>
    </row>
    <row r="131" spans="2:3" x14ac:dyDescent="0.25">
      <c r="B131" s="53">
        <f t="shared" si="3"/>
        <v>45415</v>
      </c>
      <c r="C131" s="1" t="str">
        <f t="shared" si="2"/>
        <v>5 2024</v>
      </c>
    </row>
    <row r="132" spans="2:3" x14ac:dyDescent="0.25">
      <c r="B132" s="53">
        <f t="shared" si="3"/>
        <v>45429</v>
      </c>
      <c r="C132" s="1" t="str">
        <f t="shared" ref="C132:C195" si="4">CONCATENATE(MONTH(B132)," ",YEAR(B132))</f>
        <v>5 2024</v>
      </c>
    </row>
    <row r="133" spans="2:3" x14ac:dyDescent="0.25">
      <c r="B133" s="53">
        <f t="shared" ref="B133:B196" si="5">B132+14</f>
        <v>45443</v>
      </c>
      <c r="C133" s="1" t="str">
        <f t="shared" si="4"/>
        <v>5 2024</v>
      </c>
    </row>
    <row r="134" spans="2:3" x14ac:dyDescent="0.25">
      <c r="B134" s="53">
        <f t="shared" si="5"/>
        <v>45457</v>
      </c>
      <c r="C134" s="1" t="str">
        <f t="shared" si="4"/>
        <v>6 2024</v>
      </c>
    </row>
    <row r="135" spans="2:3" x14ac:dyDescent="0.25">
      <c r="B135" s="53">
        <f t="shared" si="5"/>
        <v>45471</v>
      </c>
      <c r="C135" s="1" t="str">
        <f t="shared" si="4"/>
        <v>6 2024</v>
      </c>
    </row>
    <row r="136" spans="2:3" x14ac:dyDescent="0.25">
      <c r="B136" s="53">
        <f t="shared" si="5"/>
        <v>45485</v>
      </c>
      <c r="C136" s="1" t="str">
        <f t="shared" si="4"/>
        <v>7 2024</v>
      </c>
    </row>
    <row r="137" spans="2:3" x14ac:dyDescent="0.25">
      <c r="B137" s="53">
        <f t="shared" si="5"/>
        <v>45499</v>
      </c>
      <c r="C137" s="1" t="str">
        <f t="shared" si="4"/>
        <v>7 2024</v>
      </c>
    </row>
    <row r="138" spans="2:3" x14ac:dyDescent="0.25">
      <c r="B138" s="53">
        <f t="shared" si="5"/>
        <v>45513</v>
      </c>
      <c r="C138" s="1" t="str">
        <f t="shared" si="4"/>
        <v>8 2024</v>
      </c>
    </row>
    <row r="139" spans="2:3" x14ac:dyDescent="0.25">
      <c r="B139" s="53">
        <f t="shared" si="5"/>
        <v>45527</v>
      </c>
      <c r="C139" s="1" t="str">
        <f t="shared" si="4"/>
        <v>8 2024</v>
      </c>
    </row>
    <row r="140" spans="2:3" x14ac:dyDescent="0.25">
      <c r="B140" s="53">
        <f t="shared" si="5"/>
        <v>45541</v>
      </c>
      <c r="C140" s="1" t="str">
        <f t="shared" si="4"/>
        <v>9 2024</v>
      </c>
    </row>
    <row r="141" spans="2:3" x14ac:dyDescent="0.25">
      <c r="B141" s="53">
        <f t="shared" si="5"/>
        <v>45555</v>
      </c>
      <c r="C141" s="1" t="str">
        <f t="shared" si="4"/>
        <v>9 2024</v>
      </c>
    </row>
    <row r="142" spans="2:3" x14ac:dyDescent="0.25">
      <c r="B142" s="53">
        <f t="shared" si="5"/>
        <v>45569</v>
      </c>
      <c r="C142" s="1" t="str">
        <f t="shared" si="4"/>
        <v>10 2024</v>
      </c>
    </row>
    <row r="143" spans="2:3" x14ac:dyDescent="0.25">
      <c r="B143" s="53">
        <f t="shared" si="5"/>
        <v>45583</v>
      </c>
      <c r="C143" s="1" t="str">
        <f t="shared" si="4"/>
        <v>10 2024</v>
      </c>
    </row>
    <row r="144" spans="2:3" x14ac:dyDescent="0.25">
      <c r="B144" s="53">
        <f t="shared" si="5"/>
        <v>45597</v>
      </c>
      <c r="C144" s="1" t="str">
        <f t="shared" si="4"/>
        <v>11 2024</v>
      </c>
    </row>
    <row r="145" spans="2:3" x14ac:dyDescent="0.25">
      <c r="B145" s="53">
        <f t="shared" si="5"/>
        <v>45611</v>
      </c>
      <c r="C145" s="1" t="str">
        <f t="shared" si="4"/>
        <v>11 2024</v>
      </c>
    </row>
    <row r="146" spans="2:3" x14ac:dyDescent="0.25">
      <c r="B146" s="53">
        <f t="shared" si="5"/>
        <v>45625</v>
      </c>
      <c r="C146" s="1" t="str">
        <f t="shared" si="4"/>
        <v>11 2024</v>
      </c>
    </row>
    <row r="147" spans="2:3" x14ac:dyDescent="0.25">
      <c r="B147" s="53">
        <f t="shared" si="5"/>
        <v>45639</v>
      </c>
      <c r="C147" s="1" t="str">
        <f t="shared" si="4"/>
        <v>12 2024</v>
      </c>
    </row>
    <row r="148" spans="2:3" x14ac:dyDescent="0.25">
      <c r="B148" s="53">
        <f t="shared" si="5"/>
        <v>45653</v>
      </c>
      <c r="C148" s="1" t="str">
        <f t="shared" si="4"/>
        <v>12 2024</v>
      </c>
    </row>
    <row r="149" spans="2:3" x14ac:dyDescent="0.25">
      <c r="B149" s="53">
        <f t="shared" si="5"/>
        <v>45667</v>
      </c>
      <c r="C149" s="1" t="str">
        <f t="shared" si="4"/>
        <v>1 2025</v>
      </c>
    </row>
    <row r="150" spans="2:3" x14ac:dyDescent="0.25">
      <c r="B150" s="53">
        <f t="shared" si="5"/>
        <v>45681</v>
      </c>
      <c r="C150" s="1" t="str">
        <f t="shared" si="4"/>
        <v>1 2025</v>
      </c>
    </row>
    <row r="151" spans="2:3" x14ac:dyDescent="0.25">
      <c r="B151" s="53">
        <f t="shared" si="5"/>
        <v>45695</v>
      </c>
      <c r="C151" s="1" t="str">
        <f t="shared" si="4"/>
        <v>2 2025</v>
      </c>
    </row>
    <row r="152" spans="2:3" x14ac:dyDescent="0.25">
      <c r="B152" s="53">
        <f t="shared" si="5"/>
        <v>45709</v>
      </c>
      <c r="C152" s="1" t="str">
        <f t="shared" si="4"/>
        <v>2 2025</v>
      </c>
    </row>
    <row r="153" spans="2:3" x14ac:dyDescent="0.25">
      <c r="B153" s="53">
        <f t="shared" si="5"/>
        <v>45723</v>
      </c>
      <c r="C153" s="1" t="str">
        <f t="shared" si="4"/>
        <v>3 2025</v>
      </c>
    </row>
    <row r="154" spans="2:3" x14ac:dyDescent="0.25">
      <c r="B154" s="53">
        <f t="shared" si="5"/>
        <v>45737</v>
      </c>
      <c r="C154" s="1" t="str">
        <f t="shared" si="4"/>
        <v>3 2025</v>
      </c>
    </row>
    <row r="155" spans="2:3" x14ac:dyDescent="0.25">
      <c r="B155" s="53">
        <f t="shared" si="5"/>
        <v>45751</v>
      </c>
      <c r="C155" s="1" t="str">
        <f t="shared" si="4"/>
        <v>4 2025</v>
      </c>
    </row>
    <row r="156" spans="2:3" x14ac:dyDescent="0.25">
      <c r="B156" s="53">
        <f t="shared" si="5"/>
        <v>45765</v>
      </c>
      <c r="C156" s="1" t="str">
        <f t="shared" si="4"/>
        <v>4 2025</v>
      </c>
    </row>
    <row r="157" spans="2:3" x14ac:dyDescent="0.25">
      <c r="B157" s="53">
        <f t="shared" si="5"/>
        <v>45779</v>
      </c>
      <c r="C157" s="1" t="str">
        <f t="shared" si="4"/>
        <v>5 2025</v>
      </c>
    </row>
    <row r="158" spans="2:3" x14ac:dyDescent="0.25">
      <c r="B158" s="53">
        <f t="shared" si="5"/>
        <v>45793</v>
      </c>
      <c r="C158" s="1" t="str">
        <f t="shared" si="4"/>
        <v>5 2025</v>
      </c>
    </row>
    <row r="159" spans="2:3" x14ac:dyDescent="0.25">
      <c r="B159" s="53">
        <f t="shared" si="5"/>
        <v>45807</v>
      </c>
      <c r="C159" s="1" t="str">
        <f t="shared" si="4"/>
        <v>5 2025</v>
      </c>
    </row>
    <row r="160" spans="2:3" x14ac:dyDescent="0.25">
      <c r="B160" s="53">
        <f t="shared" si="5"/>
        <v>45821</v>
      </c>
      <c r="C160" s="1" t="str">
        <f t="shared" si="4"/>
        <v>6 2025</v>
      </c>
    </row>
    <row r="161" spans="2:3" x14ac:dyDescent="0.25">
      <c r="B161" s="53">
        <f t="shared" si="5"/>
        <v>45835</v>
      </c>
      <c r="C161" s="1" t="str">
        <f t="shared" si="4"/>
        <v>6 2025</v>
      </c>
    </row>
    <row r="162" spans="2:3" x14ac:dyDescent="0.25">
      <c r="B162" s="53">
        <f t="shared" si="5"/>
        <v>45849</v>
      </c>
      <c r="C162" s="1" t="str">
        <f t="shared" si="4"/>
        <v>7 2025</v>
      </c>
    </row>
    <row r="163" spans="2:3" x14ac:dyDescent="0.25">
      <c r="B163" s="53">
        <f t="shared" si="5"/>
        <v>45863</v>
      </c>
      <c r="C163" s="1" t="str">
        <f t="shared" si="4"/>
        <v>7 2025</v>
      </c>
    </row>
    <row r="164" spans="2:3" x14ac:dyDescent="0.25">
      <c r="B164" s="53">
        <f t="shared" si="5"/>
        <v>45877</v>
      </c>
      <c r="C164" s="1" t="str">
        <f t="shared" si="4"/>
        <v>8 2025</v>
      </c>
    </row>
    <row r="165" spans="2:3" x14ac:dyDescent="0.25">
      <c r="B165" s="53">
        <f t="shared" si="5"/>
        <v>45891</v>
      </c>
      <c r="C165" s="1" t="str">
        <f t="shared" si="4"/>
        <v>8 2025</v>
      </c>
    </row>
    <row r="166" spans="2:3" x14ac:dyDescent="0.25">
      <c r="B166" s="53">
        <f t="shared" si="5"/>
        <v>45905</v>
      </c>
      <c r="C166" s="1" t="str">
        <f t="shared" si="4"/>
        <v>9 2025</v>
      </c>
    </row>
    <row r="167" spans="2:3" x14ac:dyDescent="0.25">
      <c r="B167" s="53">
        <f t="shared" si="5"/>
        <v>45919</v>
      </c>
      <c r="C167" s="1" t="str">
        <f t="shared" si="4"/>
        <v>9 2025</v>
      </c>
    </row>
    <row r="168" spans="2:3" x14ac:dyDescent="0.25">
      <c r="B168" s="53">
        <f t="shared" si="5"/>
        <v>45933</v>
      </c>
      <c r="C168" s="1" t="str">
        <f t="shared" si="4"/>
        <v>10 2025</v>
      </c>
    </row>
    <row r="169" spans="2:3" x14ac:dyDescent="0.25">
      <c r="B169" s="53">
        <f t="shared" si="5"/>
        <v>45947</v>
      </c>
      <c r="C169" s="1" t="str">
        <f t="shared" si="4"/>
        <v>10 2025</v>
      </c>
    </row>
    <row r="170" spans="2:3" x14ac:dyDescent="0.25">
      <c r="B170" s="53">
        <f t="shared" si="5"/>
        <v>45961</v>
      </c>
      <c r="C170" s="1" t="str">
        <f t="shared" si="4"/>
        <v>10 2025</v>
      </c>
    </row>
    <row r="171" spans="2:3" x14ac:dyDescent="0.25">
      <c r="B171" s="53">
        <f t="shared" si="5"/>
        <v>45975</v>
      </c>
      <c r="C171" s="1" t="str">
        <f t="shared" si="4"/>
        <v>11 2025</v>
      </c>
    </row>
    <row r="172" spans="2:3" x14ac:dyDescent="0.25">
      <c r="B172" s="53">
        <f t="shared" si="5"/>
        <v>45989</v>
      </c>
      <c r="C172" s="1" t="str">
        <f t="shared" si="4"/>
        <v>11 2025</v>
      </c>
    </row>
    <row r="173" spans="2:3" x14ac:dyDescent="0.25">
      <c r="B173" s="53">
        <f t="shared" si="5"/>
        <v>46003</v>
      </c>
      <c r="C173" s="1" t="str">
        <f t="shared" si="4"/>
        <v>12 2025</v>
      </c>
    </row>
    <row r="174" spans="2:3" x14ac:dyDescent="0.25">
      <c r="B174" s="53">
        <f t="shared" si="5"/>
        <v>46017</v>
      </c>
      <c r="C174" s="1" t="str">
        <f t="shared" si="4"/>
        <v>12 2025</v>
      </c>
    </row>
    <row r="175" spans="2:3" x14ac:dyDescent="0.25">
      <c r="B175" s="53">
        <f t="shared" si="5"/>
        <v>46031</v>
      </c>
      <c r="C175" s="1" t="str">
        <f t="shared" si="4"/>
        <v>1 2026</v>
      </c>
    </row>
    <row r="176" spans="2:3" x14ac:dyDescent="0.25">
      <c r="B176" s="53">
        <f t="shared" si="5"/>
        <v>46045</v>
      </c>
      <c r="C176" s="1" t="str">
        <f t="shared" si="4"/>
        <v>1 2026</v>
      </c>
    </row>
    <row r="177" spans="2:3" x14ac:dyDescent="0.25">
      <c r="B177" s="53">
        <f t="shared" si="5"/>
        <v>46059</v>
      </c>
      <c r="C177" s="1" t="str">
        <f t="shared" si="4"/>
        <v>2 2026</v>
      </c>
    </row>
    <row r="178" spans="2:3" x14ac:dyDescent="0.25">
      <c r="B178" s="53">
        <f t="shared" si="5"/>
        <v>46073</v>
      </c>
      <c r="C178" s="1" t="str">
        <f t="shared" si="4"/>
        <v>2 2026</v>
      </c>
    </row>
    <row r="179" spans="2:3" x14ac:dyDescent="0.25">
      <c r="B179" s="53">
        <f t="shared" si="5"/>
        <v>46087</v>
      </c>
      <c r="C179" s="1" t="str">
        <f t="shared" si="4"/>
        <v>3 2026</v>
      </c>
    </row>
    <row r="180" spans="2:3" x14ac:dyDescent="0.25">
      <c r="B180" s="53">
        <f t="shared" si="5"/>
        <v>46101</v>
      </c>
      <c r="C180" s="1" t="str">
        <f t="shared" si="4"/>
        <v>3 2026</v>
      </c>
    </row>
    <row r="181" spans="2:3" x14ac:dyDescent="0.25">
      <c r="B181" s="53">
        <f t="shared" si="5"/>
        <v>46115</v>
      </c>
      <c r="C181" s="1" t="str">
        <f t="shared" si="4"/>
        <v>4 2026</v>
      </c>
    </row>
    <row r="182" spans="2:3" x14ac:dyDescent="0.25">
      <c r="B182" s="53">
        <f t="shared" si="5"/>
        <v>46129</v>
      </c>
      <c r="C182" s="1" t="str">
        <f t="shared" si="4"/>
        <v>4 2026</v>
      </c>
    </row>
    <row r="183" spans="2:3" x14ac:dyDescent="0.25">
      <c r="B183" s="53">
        <f t="shared" si="5"/>
        <v>46143</v>
      </c>
      <c r="C183" s="1" t="str">
        <f t="shared" si="4"/>
        <v>5 2026</v>
      </c>
    </row>
    <row r="184" spans="2:3" x14ac:dyDescent="0.25">
      <c r="B184" s="53">
        <f t="shared" si="5"/>
        <v>46157</v>
      </c>
      <c r="C184" s="1" t="str">
        <f t="shared" si="4"/>
        <v>5 2026</v>
      </c>
    </row>
    <row r="185" spans="2:3" x14ac:dyDescent="0.25">
      <c r="B185" s="53">
        <f t="shared" si="5"/>
        <v>46171</v>
      </c>
      <c r="C185" s="1" t="str">
        <f t="shared" si="4"/>
        <v>5 2026</v>
      </c>
    </row>
    <row r="186" spans="2:3" x14ac:dyDescent="0.25">
      <c r="B186" s="53">
        <f t="shared" si="5"/>
        <v>46185</v>
      </c>
      <c r="C186" s="1" t="str">
        <f t="shared" si="4"/>
        <v>6 2026</v>
      </c>
    </row>
    <row r="187" spans="2:3" x14ac:dyDescent="0.25">
      <c r="B187" s="53">
        <f t="shared" si="5"/>
        <v>46199</v>
      </c>
      <c r="C187" s="1" t="str">
        <f t="shared" si="4"/>
        <v>6 2026</v>
      </c>
    </row>
    <row r="188" spans="2:3" x14ac:dyDescent="0.25">
      <c r="B188" s="53">
        <f t="shared" si="5"/>
        <v>46213</v>
      </c>
      <c r="C188" s="1" t="str">
        <f t="shared" si="4"/>
        <v>7 2026</v>
      </c>
    </row>
    <row r="189" spans="2:3" x14ac:dyDescent="0.25">
      <c r="B189" s="53">
        <f t="shared" si="5"/>
        <v>46227</v>
      </c>
      <c r="C189" s="1" t="str">
        <f t="shared" si="4"/>
        <v>7 2026</v>
      </c>
    </row>
    <row r="190" spans="2:3" x14ac:dyDescent="0.25">
      <c r="B190" s="53">
        <f t="shared" si="5"/>
        <v>46241</v>
      </c>
      <c r="C190" s="1" t="str">
        <f t="shared" si="4"/>
        <v>8 2026</v>
      </c>
    </row>
    <row r="191" spans="2:3" x14ac:dyDescent="0.25">
      <c r="B191" s="53">
        <f t="shared" si="5"/>
        <v>46255</v>
      </c>
      <c r="C191" s="1" t="str">
        <f t="shared" si="4"/>
        <v>8 2026</v>
      </c>
    </row>
    <row r="192" spans="2:3" x14ac:dyDescent="0.25">
      <c r="B192" s="53">
        <f t="shared" si="5"/>
        <v>46269</v>
      </c>
      <c r="C192" s="1" t="str">
        <f t="shared" si="4"/>
        <v>9 2026</v>
      </c>
    </row>
    <row r="193" spans="2:3" x14ac:dyDescent="0.25">
      <c r="B193" s="53">
        <f t="shared" si="5"/>
        <v>46283</v>
      </c>
      <c r="C193" s="1" t="str">
        <f t="shared" si="4"/>
        <v>9 2026</v>
      </c>
    </row>
    <row r="194" spans="2:3" x14ac:dyDescent="0.25">
      <c r="B194" s="53">
        <f t="shared" si="5"/>
        <v>46297</v>
      </c>
      <c r="C194" s="1" t="str">
        <f t="shared" si="4"/>
        <v>10 2026</v>
      </c>
    </row>
    <row r="195" spans="2:3" x14ac:dyDescent="0.25">
      <c r="B195" s="53">
        <f t="shared" si="5"/>
        <v>46311</v>
      </c>
      <c r="C195" s="1" t="str">
        <f t="shared" si="4"/>
        <v>10 2026</v>
      </c>
    </row>
    <row r="196" spans="2:3" x14ac:dyDescent="0.25">
      <c r="B196" s="53">
        <f t="shared" si="5"/>
        <v>46325</v>
      </c>
      <c r="C196" s="1" t="str">
        <f t="shared" ref="C196:C259" si="6">CONCATENATE(MONTH(B196)," ",YEAR(B196))</f>
        <v>10 2026</v>
      </c>
    </row>
    <row r="197" spans="2:3" x14ac:dyDescent="0.25">
      <c r="B197" s="53">
        <f t="shared" ref="B197:B260" si="7">B196+14</f>
        <v>46339</v>
      </c>
      <c r="C197" s="1" t="str">
        <f t="shared" si="6"/>
        <v>11 2026</v>
      </c>
    </row>
    <row r="198" spans="2:3" x14ac:dyDescent="0.25">
      <c r="B198" s="53">
        <f t="shared" si="7"/>
        <v>46353</v>
      </c>
      <c r="C198" s="1" t="str">
        <f t="shared" si="6"/>
        <v>11 2026</v>
      </c>
    </row>
    <row r="199" spans="2:3" x14ac:dyDescent="0.25">
      <c r="B199" s="53">
        <f t="shared" si="7"/>
        <v>46367</v>
      </c>
      <c r="C199" s="1" t="str">
        <f t="shared" si="6"/>
        <v>12 2026</v>
      </c>
    </row>
    <row r="200" spans="2:3" x14ac:dyDescent="0.25">
      <c r="B200" s="53">
        <f t="shared" si="7"/>
        <v>46381</v>
      </c>
      <c r="C200" s="1" t="str">
        <f t="shared" si="6"/>
        <v>12 2026</v>
      </c>
    </row>
    <row r="201" spans="2:3" x14ac:dyDescent="0.25">
      <c r="B201" s="53">
        <f t="shared" si="7"/>
        <v>46395</v>
      </c>
      <c r="C201" s="1" t="str">
        <f t="shared" si="6"/>
        <v>1 2027</v>
      </c>
    </row>
    <row r="202" spans="2:3" x14ac:dyDescent="0.25">
      <c r="B202" s="53">
        <f t="shared" si="7"/>
        <v>46409</v>
      </c>
      <c r="C202" s="1" t="str">
        <f t="shared" si="6"/>
        <v>1 2027</v>
      </c>
    </row>
    <row r="203" spans="2:3" x14ac:dyDescent="0.25">
      <c r="B203" s="53">
        <f t="shared" si="7"/>
        <v>46423</v>
      </c>
      <c r="C203" s="1" t="str">
        <f t="shared" si="6"/>
        <v>2 2027</v>
      </c>
    </row>
    <row r="204" spans="2:3" x14ac:dyDescent="0.25">
      <c r="B204" s="53">
        <f t="shared" si="7"/>
        <v>46437</v>
      </c>
      <c r="C204" s="1" t="str">
        <f t="shared" si="6"/>
        <v>2 2027</v>
      </c>
    </row>
    <row r="205" spans="2:3" x14ac:dyDescent="0.25">
      <c r="B205" s="53">
        <f t="shared" si="7"/>
        <v>46451</v>
      </c>
      <c r="C205" s="1" t="str">
        <f t="shared" si="6"/>
        <v>3 2027</v>
      </c>
    </row>
    <row r="206" spans="2:3" x14ac:dyDescent="0.25">
      <c r="B206" s="53">
        <f t="shared" si="7"/>
        <v>46465</v>
      </c>
      <c r="C206" s="1" t="str">
        <f t="shared" si="6"/>
        <v>3 2027</v>
      </c>
    </row>
    <row r="207" spans="2:3" x14ac:dyDescent="0.25">
      <c r="B207" s="53">
        <f t="shared" si="7"/>
        <v>46479</v>
      </c>
      <c r="C207" s="1" t="str">
        <f t="shared" si="6"/>
        <v>4 2027</v>
      </c>
    </row>
    <row r="208" spans="2:3" x14ac:dyDescent="0.25">
      <c r="B208" s="53">
        <f t="shared" si="7"/>
        <v>46493</v>
      </c>
      <c r="C208" s="1" t="str">
        <f t="shared" si="6"/>
        <v>4 2027</v>
      </c>
    </row>
    <row r="209" spans="2:3" x14ac:dyDescent="0.25">
      <c r="B209" s="53">
        <f t="shared" si="7"/>
        <v>46507</v>
      </c>
      <c r="C209" s="1" t="str">
        <f t="shared" si="6"/>
        <v>4 2027</v>
      </c>
    </row>
    <row r="210" spans="2:3" x14ac:dyDescent="0.25">
      <c r="B210" s="53">
        <f t="shared" si="7"/>
        <v>46521</v>
      </c>
      <c r="C210" s="1" t="str">
        <f t="shared" si="6"/>
        <v>5 2027</v>
      </c>
    </row>
    <row r="211" spans="2:3" x14ac:dyDescent="0.25">
      <c r="B211" s="53">
        <f t="shared" si="7"/>
        <v>46535</v>
      </c>
      <c r="C211" s="1" t="str">
        <f t="shared" si="6"/>
        <v>5 2027</v>
      </c>
    </row>
    <row r="212" spans="2:3" x14ac:dyDescent="0.25">
      <c r="B212" s="53">
        <f t="shared" si="7"/>
        <v>46549</v>
      </c>
      <c r="C212" s="1" t="str">
        <f t="shared" si="6"/>
        <v>6 2027</v>
      </c>
    </row>
    <row r="213" spans="2:3" x14ac:dyDescent="0.25">
      <c r="B213" s="53">
        <f t="shared" si="7"/>
        <v>46563</v>
      </c>
      <c r="C213" s="1" t="str">
        <f t="shared" si="6"/>
        <v>6 2027</v>
      </c>
    </row>
    <row r="214" spans="2:3" x14ac:dyDescent="0.25">
      <c r="B214" s="53">
        <f t="shared" si="7"/>
        <v>46577</v>
      </c>
      <c r="C214" s="1" t="str">
        <f t="shared" si="6"/>
        <v>7 2027</v>
      </c>
    </row>
    <row r="215" spans="2:3" x14ac:dyDescent="0.25">
      <c r="B215" s="53">
        <f t="shared" si="7"/>
        <v>46591</v>
      </c>
      <c r="C215" s="1" t="str">
        <f t="shared" si="6"/>
        <v>7 2027</v>
      </c>
    </row>
    <row r="216" spans="2:3" x14ac:dyDescent="0.25">
      <c r="B216" s="53">
        <f t="shared" si="7"/>
        <v>46605</v>
      </c>
      <c r="C216" s="1" t="str">
        <f t="shared" si="6"/>
        <v>8 2027</v>
      </c>
    </row>
    <row r="217" spans="2:3" x14ac:dyDescent="0.25">
      <c r="B217" s="53">
        <f t="shared" si="7"/>
        <v>46619</v>
      </c>
      <c r="C217" s="1" t="str">
        <f t="shared" si="6"/>
        <v>8 2027</v>
      </c>
    </row>
    <row r="218" spans="2:3" x14ac:dyDescent="0.25">
      <c r="B218" s="53">
        <f t="shared" si="7"/>
        <v>46633</v>
      </c>
      <c r="C218" s="1" t="str">
        <f t="shared" si="6"/>
        <v>9 2027</v>
      </c>
    </row>
    <row r="219" spans="2:3" x14ac:dyDescent="0.25">
      <c r="B219" s="53">
        <f t="shared" si="7"/>
        <v>46647</v>
      </c>
      <c r="C219" s="1" t="str">
        <f t="shared" si="6"/>
        <v>9 2027</v>
      </c>
    </row>
    <row r="220" spans="2:3" x14ac:dyDescent="0.25">
      <c r="B220" s="53">
        <f t="shared" si="7"/>
        <v>46661</v>
      </c>
      <c r="C220" s="1" t="str">
        <f t="shared" si="6"/>
        <v>10 2027</v>
      </c>
    </row>
    <row r="221" spans="2:3" x14ac:dyDescent="0.25">
      <c r="B221" s="53">
        <f t="shared" si="7"/>
        <v>46675</v>
      </c>
      <c r="C221" s="1" t="str">
        <f t="shared" si="6"/>
        <v>10 2027</v>
      </c>
    </row>
    <row r="222" spans="2:3" x14ac:dyDescent="0.25">
      <c r="B222" s="53">
        <f t="shared" si="7"/>
        <v>46689</v>
      </c>
      <c r="C222" s="1" t="str">
        <f t="shared" si="6"/>
        <v>10 2027</v>
      </c>
    </row>
    <row r="223" spans="2:3" x14ac:dyDescent="0.25">
      <c r="B223" s="53">
        <f t="shared" si="7"/>
        <v>46703</v>
      </c>
      <c r="C223" s="1" t="str">
        <f t="shared" si="6"/>
        <v>11 2027</v>
      </c>
    </row>
    <row r="224" spans="2:3" x14ac:dyDescent="0.25">
      <c r="B224" s="53">
        <f t="shared" si="7"/>
        <v>46717</v>
      </c>
      <c r="C224" s="1" t="str">
        <f t="shared" si="6"/>
        <v>11 2027</v>
      </c>
    </row>
    <row r="225" spans="2:3" x14ac:dyDescent="0.25">
      <c r="B225" s="53">
        <f t="shared" si="7"/>
        <v>46731</v>
      </c>
      <c r="C225" s="1" t="str">
        <f t="shared" si="6"/>
        <v>12 2027</v>
      </c>
    </row>
    <row r="226" spans="2:3" x14ac:dyDescent="0.25">
      <c r="B226" s="53">
        <f t="shared" si="7"/>
        <v>46745</v>
      </c>
      <c r="C226" s="1" t="str">
        <f t="shared" si="6"/>
        <v>12 2027</v>
      </c>
    </row>
    <row r="227" spans="2:3" x14ac:dyDescent="0.25">
      <c r="B227" s="53">
        <f t="shared" si="7"/>
        <v>46759</v>
      </c>
      <c r="C227" s="1" t="str">
        <f t="shared" si="6"/>
        <v>1 2028</v>
      </c>
    </row>
    <row r="228" spans="2:3" x14ac:dyDescent="0.25">
      <c r="B228" s="53">
        <f t="shared" si="7"/>
        <v>46773</v>
      </c>
      <c r="C228" s="1" t="str">
        <f t="shared" si="6"/>
        <v>1 2028</v>
      </c>
    </row>
    <row r="229" spans="2:3" x14ac:dyDescent="0.25">
      <c r="B229" s="53">
        <f t="shared" si="7"/>
        <v>46787</v>
      </c>
      <c r="C229" s="1" t="str">
        <f t="shared" si="6"/>
        <v>2 2028</v>
      </c>
    </row>
    <row r="230" spans="2:3" x14ac:dyDescent="0.25">
      <c r="B230" s="53">
        <f t="shared" si="7"/>
        <v>46801</v>
      </c>
      <c r="C230" s="1" t="str">
        <f t="shared" si="6"/>
        <v>2 2028</v>
      </c>
    </row>
    <row r="231" spans="2:3" x14ac:dyDescent="0.25">
      <c r="B231" s="53">
        <f t="shared" si="7"/>
        <v>46815</v>
      </c>
      <c r="C231" s="1" t="str">
        <f t="shared" si="6"/>
        <v>3 2028</v>
      </c>
    </row>
    <row r="232" spans="2:3" x14ac:dyDescent="0.25">
      <c r="B232" s="53">
        <f t="shared" si="7"/>
        <v>46829</v>
      </c>
      <c r="C232" s="1" t="str">
        <f t="shared" si="6"/>
        <v>3 2028</v>
      </c>
    </row>
    <row r="233" spans="2:3" x14ac:dyDescent="0.25">
      <c r="B233" s="53">
        <f t="shared" si="7"/>
        <v>46843</v>
      </c>
      <c r="C233" s="1" t="str">
        <f t="shared" si="6"/>
        <v>3 2028</v>
      </c>
    </row>
    <row r="234" spans="2:3" x14ac:dyDescent="0.25">
      <c r="B234" s="53">
        <f t="shared" si="7"/>
        <v>46857</v>
      </c>
      <c r="C234" s="1" t="str">
        <f t="shared" si="6"/>
        <v>4 2028</v>
      </c>
    </row>
    <row r="235" spans="2:3" x14ac:dyDescent="0.25">
      <c r="B235" s="53">
        <f t="shared" si="7"/>
        <v>46871</v>
      </c>
      <c r="C235" s="1" t="str">
        <f t="shared" si="6"/>
        <v>4 2028</v>
      </c>
    </row>
    <row r="236" spans="2:3" x14ac:dyDescent="0.25">
      <c r="B236" s="53">
        <f t="shared" si="7"/>
        <v>46885</v>
      </c>
      <c r="C236" s="1" t="str">
        <f t="shared" si="6"/>
        <v>5 2028</v>
      </c>
    </row>
    <row r="237" spans="2:3" x14ac:dyDescent="0.25">
      <c r="B237" s="53">
        <f t="shared" si="7"/>
        <v>46899</v>
      </c>
      <c r="C237" s="1" t="str">
        <f t="shared" si="6"/>
        <v>5 2028</v>
      </c>
    </row>
    <row r="238" spans="2:3" x14ac:dyDescent="0.25">
      <c r="B238" s="53">
        <f t="shared" si="7"/>
        <v>46913</v>
      </c>
      <c r="C238" s="1" t="str">
        <f t="shared" si="6"/>
        <v>6 2028</v>
      </c>
    </row>
    <row r="239" spans="2:3" x14ac:dyDescent="0.25">
      <c r="B239" s="53">
        <f t="shared" si="7"/>
        <v>46927</v>
      </c>
      <c r="C239" s="1" t="str">
        <f t="shared" si="6"/>
        <v>6 2028</v>
      </c>
    </row>
    <row r="240" spans="2:3" x14ac:dyDescent="0.25">
      <c r="B240" s="53">
        <f t="shared" si="7"/>
        <v>46941</v>
      </c>
      <c r="C240" s="1" t="str">
        <f t="shared" si="6"/>
        <v>7 2028</v>
      </c>
    </row>
    <row r="241" spans="2:3" x14ac:dyDescent="0.25">
      <c r="B241" s="53">
        <f t="shared" si="7"/>
        <v>46955</v>
      </c>
      <c r="C241" s="1" t="str">
        <f t="shared" si="6"/>
        <v>7 2028</v>
      </c>
    </row>
    <row r="242" spans="2:3" x14ac:dyDescent="0.25">
      <c r="B242" s="53">
        <f t="shared" si="7"/>
        <v>46969</v>
      </c>
      <c r="C242" s="1" t="str">
        <f t="shared" si="6"/>
        <v>8 2028</v>
      </c>
    </row>
    <row r="243" spans="2:3" x14ac:dyDescent="0.25">
      <c r="B243" s="53">
        <f t="shared" si="7"/>
        <v>46983</v>
      </c>
      <c r="C243" s="1" t="str">
        <f t="shared" si="6"/>
        <v>8 2028</v>
      </c>
    </row>
    <row r="244" spans="2:3" x14ac:dyDescent="0.25">
      <c r="B244" s="53">
        <f t="shared" si="7"/>
        <v>46997</v>
      </c>
      <c r="C244" s="1" t="str">
        <f t="shared" si="6"/>
        <v>9 2028</v>
      </c>
    </row>
    <row r="245" spans="2:3" x14ac:dyDescent="0.25">
      <c r="B245" s="53">
        <f t="shared" si="7"/>
        <v>47011</v>
      </c>
      <c r="C245" s="1" t="str">
        <f t="shared" si="6"/>
        <v>9 2028</v>
      </c>
    </row>
    <row r="246" spans="2:3" x14ac:dyDescent="0.25">
      <c r="B246" s="53">
        <f t="shared" si="7"/>
        <v>47025</v>
      </c>
      <c r="C246" s="1" t="str">
        <f t="shared" si="6"/>
        <v>9 2028</v>
      </c>
    </row>
    <row r="247" spans="2:3" x14ac:dyDescent="0.25">
      <c r="B247" s="53">
        <f t="shared" si="7"/>
        <v>47039</v>
      </c>
      <c r="C247" s="1" t="str">
        <f t="shared" si="6"/>
        <v>10 2028</v>
      </c>
    </row>
    <row r="248" spans="2:3" x14ac:dyDescent="0.25">
      <c r="B248" s="53">
        <f t="shared" si="7"/>
        <v>47053</v>
      </c>
      <c r="C248" s="1" t="str">
        <f t="shared" si="6"/>
        <v>10 2028</v>
      </c>
    </row>
    <row r="249" spans="2:3" x14ac:dyDescent="0.25">
      <c r="B249" s="53">
        <f t="shared" si="7"/>
        <v>47067</v>
      </c>
      <c r="C249" s="1" t="str">
        <f t="shared" si="6"/>
        <v>11 2028</v>
      </c>
    </row>
    <row r="250" spans="2:3" x14ac:dyDescent="0.25">
      <c r="B250" s="53">
        <f t="shared" si="7"/>
        <v>47081</v>
      </c>
      <c r="C250" s="1" t="str">
        <f t="shared" si="6"/>
        <v>11 2028</v>
      </c>
    </row>
    <row r="251" spans="2:3" x14ac:dyDescent="0.25">
      <c r="B251" s="53">
        <f t="shared" si="7"/>
        <v>47095</v>
      </c>
      <c r="C251" s="1" t="str">
        <f t="shared" si="6"/>
        <v>12 2028</v>
      </c>
    </row>
    <row r="252" spans="2:3" x14ac:dyDescent="0.25">
      <c r="B252" s="53">
        <f t="shared" si="7"/>
        <v>47109</v>
      </c>
      <c r="C252" s="1" t="str">
        <f t="shared" si="6"/>
        <v>12 2028</v>
      </c>
    </row>
    <row r="253" spans="2:3" x14ac:dyDescent="0.25">
      <c r="B253" s="53">
        <f t="shared" si="7"/>
        <v>47123</v>
      </c>
      <c r="C253" s="1" t="str">
        <f t="shared" si="6"/>
        <v>1 2029</v>
      </c>
    </row>
    <row r="254" spans="2:3" x14ac:dyDescent="0.25">
      <c r="B254" s="53">
        <f t="shared" si="7"/>
        <v>47137</v>
      </c>
      <c r="C254" s="1" t="str">
        <f t="shared" si="6"/>
        <v>1 2029</v>
      </c>
    </row>
    <row r="255" spans="2:3" x14ac:dyDescent="0.25">
      <c r="B255" s="53">
        <f t="shared" si="7"/>
        <v>47151</v>
      </c>
      <c r="C255" s="1" t="str">
        <f t="shared" si="6"/>
        <v>2 2029</v>
      </c>
    </row>
    <row r="256" spans="2:3" x14ac:dyDescent="0.25">
      <c r="B256" s="53">
        <f t="shared" si="7"/>
        <v>47165</v>
      </c>
      <c r="C256" s="1" t="str">
        <f t="shared" si="6"/>
        <v>2 2029</v>
      </c>
    </row>
    <row r="257" spans="2:3" x14ac:dyDescent="0.25">
      <c r="B257" s="53">
        <f t="shared" si="7"/>
        <v>47179</v>
      </c>
      <c r="C257" s="1" t="str">
        <f t="shared" si="6"/>
        <v>3 2029</v>
      </c>
    </row>
    <row r="258" spans="2:3" x14ac:dyDescent="0.25">
      <c r="B258" s="53">
        <f t="shared" si="7"/>
        <v>47193</v>
      </c>
      <c r="C258" s="1" t="str">
        <f t="shared" si="6"/>
        <v>3 2029</v>
      </c>
    </row>
    <row r="259" spans="2:3" x14ac:dyDescent="0.25">
      <c r="B259" s="53">
        <f t="shared" si="7"/>
        <v>47207</v>
      </c>
      <c r="C259" s="1" t="str">
        <f t="shared" si="6"/>
        <v>3 2029</v>
      </c>
    </row>
    <row r="260" spans="2:3" x14ac:dyDescent="0.25">
      <c r="B260" s="53">
        <f t="shared" si="7"/>
        <v>47221</v>
      </c>
      <c r="C260" s="1" t="str">
        <f t="shared" ref="C260:C323" si="8">CONCATENATE(MONTH(B260)," ",YEAR(B260))</f>
        <v>4 2029</v>
      </c>
    </row>
    <row r="261" spans="2:3" x14ac:dyDescent="0.25">
      <c r="B261" s="53">
        <f t="shared" ref="B261:B324" si="9">B260+14</f>
        <v>47235</v>
      </c>
      <c r="C261" s="1" t="str">
        <f t="shared" si="8"/>
        <v>4 2029</v>
      </c>
    </row>
    <row r="262" spans="2:3" x14ac:dyDescent="0.25">
      <c r="B262" s="53">
        <f t="shared" si="9"/>
        <v>47249</v>
      </c>
      <c r="C262" s="1" t="str">
        <f t="shared" si="8"/>
        <v>5 2029</v>
      </c>
    </row>
    <row r="263" spans="2:3" x14ac:dyDescent="0.25">
      <c r="B263" s="53">
        <f t="shared" si="9"/>
        <v>47263</v>
      </c>
      <c r="C263" s="1" t="str">
        <f t="shared" si="8"/>
        <v>5 2029</v>
      </c>
    </row>
    <row r="264" spans="2:3" x14ac:dyDescent="0.25">
      <c r="B264" s="53">
        <f t="shared" si="9"/>
        <v>47277</v>
      </c>
      <c r="C264" s="1" t="str">
        <f t="shared" si="8"/>
        <v>6 2029</v>
      </c>
    </row>
    <row r="265" spans="2:3" x14ac:dyDescent="0.25">
      <c r="B265" s="53">
        <f t="shared" si="9"/>
        <v>47291</v>
      </c>
      <c r="C265" s="1" t="str">
        <f t="shared" si="8"/>
        <v>6 2029</v>
      </c>
    </row>
    <row r="266" spans="2:3" x14ac:dyDescent="0.25">
      <c r="B266" s="53">
        <f t="shared" si="9"/>
        <v>47305</v>
      </c>
      <c r="C266" s="1" t="str">
        <f t="shared" si="8"/>
        <v>7 2029</v>
      </c>
    </row>
    <row r="267" spans="2:3" x14ac:dyDescent="0.25">
      <c r="B267" s="53">
        <f t="shared" si="9"/>
        <v>47319</v>
      </c>
      <c r="C267" s="1" t="str">
        <f t="shared" si="8"/>
        <v>7 2029</v>
      </c>
    </row>
    <row r="268" spans="2:3" x14ac:dyDescent="0.25">
      <c r="B268" s="53">
        <f t="shared" si="9"/>
        <v>47333</v>
      </c>
      <c r="C268" s="1" t="str">
        <f t="shared" si="8"/>
        <v>8 2029</v>
      </c>
    </row>
    <row r="269" spans="2:3" x14ac:dyDescent="0.25">
      <c r="B269" s="53">
        <f t="shared" si="9"/>
        <v>47347</v>
      </c>
      <c r="C269" s="1" t="str">
        <f t="shared" si="8"/>
        <v>8 2029</v>
      </c>
    </row>
    <row r="270" spans="2:3" x14ac:dyDescent="0.25">
      <c r="B270" s="53">
        <f t="shared" si="9"/>
        <v>47361</v>
      </c>
      <c r="C270" s="1" t="str">
        <f t="shared" si="8"/>
        <v>8 2029</v>
      </c>
    </row>
    <row r="271" spans="2:3" x14ac:dyDescent="0.25">
      <c r="B271" s="53">
        <f t="shared" si="9"/>
        <v>47375</v>
      </c>
      <c r="C271" s="1" t="str">
        <f t="shared" si="8"/>
        <v>9 2029</v>
      </c>
    </row>
    <row r="272" spans="2:3" x14ac:dyDescent="0.25">
      <c r="B272" s="53">
        <f t="shared" si="9"/>
        <v>47389</v>
      </c>
      <c r="C272" s="1" t="str">
        <f t="shared" si="8"/>
        <v>9 2029</v>
      </c>
    </row>
    <row r="273" spans="2:3" x14ac:dyDescent="0.25">
      <c r="B273" s="53">
        <f t="shared" si="9"/>
        <v>47403</v>
      </c>
      <c r="C273" s="1" t="str">
        <f t="shared" si="8"/>
        <v>10 2029</v>
      </c>
    </row>
    <row r="274" spans="2:3" x14ac:dyDescent="0.25">
      <c r="B274" s="53">
        <f t="shared" si="9"/>
        <v>47417</v>
      </c>
      <c r="C274" s="1" t="str">
        <f t="shared" si="8"/>
        <v>10 2029</v>
      </c>
    </row>
    <row r="275" spans="2:3" x14ac:dyDescent="0.25">
      <c r="B275" s="53">
        <f t="shared" si="9"/>
        <v>47431</v>
      </c>
      <c r="C275" s="1" t="str">
        <f t="shared" si="8"/>
        <v>11 2029</v>
      </c>
    </row>
    <row r="276" spans="2:3" x14ac:dyDescent="0.25">
      <c r="B276" s="53">
        <f t="shared" si="9"/>
        <v>47445</v>
      </c>
      <c r="C276" s="1" t="str">
        <f t="shared" si="8"/>
        <v>11 2029</v>
      </c>
    </row>
    <row r="277" spans="2:3" x14ac:dyDescent="0.25">
      <c r="B277" s="53">
        <f t="shared" si="9"/>
        <v>47459</v>
      </c>
      <c r="C277" s="1" t="str">
        <f t="shared" si="8"/>
        <v>12 2029</v>
      </c>
    </row>
    <row r="278" spans="2:3" x14ac:dyDescent="0.25">
      <c r="B278" s="53">
        <f t="shared" si="9"/>
        <v>47473</v>
      </c>
      <c r="C278" s="1" t="str">
        <f t="shared" si="8"/>
        <v>12 2029</v>
      </c>
    </row>
    <row r="279" spans="2:3" x14ac:dyDescent="0.25">
      <c r="B279" s="53">
        <f t="shared" si="9"/>
        <v>47487</v>
      </c>
      <c r="C279" s="1" t="str">
        <f t="shared" si="8"/>
        <v>1 2030</v>
      </c>
    </row>
    <row r="280" spans="2:3" x14ac:dyDescent="0.25">
      <c r="B280" s="53">
        <f t="shared" si="9"/>
        <v>47501</v>
      </c>
      <c r="C280" s="1" t="str">
        <f t="shared" si="8"/>
        <v>1 2030</v>
      </c>
    </row>
    <row r="281" spans="2:3" x14ac:dyDescent="0.25">
      <c r="B281" s="53">
        <f t="shared" si="9"/>
        <v>47515</v>
      </c>
      <c r="C281" s="1" t="str">
        <f t="shared" si="8"/>
        <v>2 2030</v>
      </c>
    </row>
    <row r="282" spans="2:3" x14ac:dyDescent="0.25">
      <c r="B282" s="53">
        <f t="shared" si="9"/>
        <v>47529</v>
      </c>
      <c r="C282" s="1" t="str">
        <f t="shared" si="8"/>
        <v>2 2030</v>
      </c>
    </row>
    <row r="283" spans="2:3" x14ac:dyDescent="0.25">
      <c r="B283" s="53">
        <f t="shared" si="9"/>
        <v>47543</v>
      </c>
      <c r="C283" s="1" t="str">
        <f t="shared" si="8"/>
        <v>3 2030</v>
      </c>
    </row>
    <row r="284" spans="2:3" x14ac:dyDescent="0.25">
      <c r="B284" s="53">
        <f t="shared" si="9"/>
        <v>47557</v>
      </c>
      <c r="C284" s="1" t="str">
        <f t="shared" si="8"/>
        <v>3 2030</v>
      </c>
    </row>
    <row r="285" spans="2:3" x14ac:dyDescent="0.25">
      <c r="B285" s="53">
        <f t="shared" si="9"/>
        <v>47571</v>
      </c>
      <c r="C285" s="1" t="str">
        <f t="shared" si="8"/>
        <v>3 2030</v>
      </c>
    </row>
    <row r="286" spans="2:3" x14ac:dyDescent="0.25">
      <c r="B286" s="53">
        <f t="shared" si="9"/>
        <v>47585</v>
      </c>
      <c r="C286" s="1" t="str">
        <f t="shared" si="8"/>
        <v>4 2030</v>
      </c>
    </row>
    <row r="287" spans="2:3" x14ac:dyDescent="0.25">
      <c r="B287" s="53">
        <f t="shared" si="9"/>
        <v>47599</v>
      </c>
      <c r="C287" s="1" t="str">
        <f t="shared" si="8"/>
        <v>4 2030</v>
      </c>
    </row>
    <row r="288" spans="2:3" x14ac:dyDescent="0.25">
      <c r="B288" s="53">
        <f t="shared" si="9"/>
        <v>47613</v>
      </c>
      <c r="C288" s="1" t="str">
        <f t="shared" si="8"/>
        <v>5 2030</v>
      </c>
    </row>
    <row r="289" spans="2:3" x14ac:dyDescent="0.25">
      <c r="B289" s="53">
        <f t="shared" si="9"/>
        <v>47627</v>
      </c>
      <c r="C289" s="1" t="str">
        <f t="shared" si="8"/>
        <v>5 2030</v>
      </c>
    </row>
    <row r="290" spans="2:3" x14ac:dyDescent="0.25">
      <c r="B290" s="53">
        <f t="shared" si="9"/>
        <v>47641</v>
      </c>
      <c r="C290" s="1" t="str">
        <f t="shared" si="8"/>
        <v>6 2030</v>
      </c>
    </row>
    <row r="291" spans="2:3" x14ac:dyDescent="0.25">
      <c r="B291" s="53">
        <f t="shared" si="9"/>
        <v>47655</v>
      </c>
      <c r="C291" s="1" t="str">
        <f t="shared" si="8"/>
        <v>6 2030</v>
      </c>
    </row>
    <row r="292" spans="2:3" x14ac:dyDescent="0.25">
      <c r="B292" s="53">
        <f t="shared" si="9"/>
        <v>47669</v>
      </c>
      <c r="C292" s="1" t="str">
        <f t="shared" si="8"/>
        <v>7 2030</v>
      </c>
    </row>
    <row r="293" spans="2:3" x14ac:dyDescent="0.25">
      <c r="B293" s="53">
        <f t="shared" si="9"/>
        <v>47683</v>
      </c>
      <c r="C293" s="1" t="str">
        <f t="shared" si="8"/>
        <v>7 2030</v>
      </c>
    </row>
    <row r="294" spans="2:3" x14ac:dyDescent="0.25">
      <c r="B294" s="53">
        <f t="shared" si="9"/>
        <v>47697</v>
      </c>
      <c r="C294" s="1" t="str">
        <f t="shared" si="8"/>
        <v>8 2030</v>
      </c>
    </row>
    <row r="295" spans="2:3" x14ac:dyDescent="0.25">
      <c r="B295" s="53">
        <f t="shared" si="9"/>
        <v>47711</v>
      </c>
      <c r="C295" s="1" t="str">
        <f t="shared" si="8"/>
        <v>8 2030</v>
      </c>
    </row>
    <row r="296" spans="2:3" x14ac:dyDescent="0.25">
      <c r="B296" s="53">
        <f t="shared" si="9"/>
        <v>47725</v>
      </c>
      <c r="C296" s="1" t="str">
        <f t="shared" si="8"/>
        <v>8 2030</v>
      </c>
    </row>
    <row r="297" spans="2:3" x14ac:dyDescent="0.25">
      <c r="B297" s="53">
        <f t="shared" si="9"/>
        <v>47739</v>
      </c>
      <c r="C297" s="1" t="str">
        <f t="shared" si="8"/>
        <v>9 2030</v>
      </c>
    </row>
    <row r="298" spans="2:3" x14ac:dyDescent="0.25">
      <c r="B298" s="53">
        <f t="shared" si="9"/>
        <v>47753</v>
      </c>
      <c r="C298" s="1" t="str">
        <f t="shared" si="8"/>
        <v>9 2030</v>
      </c>
    </row>
    <row r="299" spans="2:3" x14ac:dyDescent="0.25">
      <c r="B299" s="53">
        <f t="shared" si="9"/>
        <v>47767</v>
      </c>
      <c r="C299" s="1" t="str">
        <f t="shared" si="8"/>
        <v>10 2030</v>
      </c>
    </row>
    <row r="300" spans="2:3" x14ac:dyDescent="0.25">
      <c r="B300" s="53">
        <f t="shared" si="9"/>
        <v>47781</v>
      </c>
      <c r="C300" s="1" t="str">
        <f t="shared" si="8"/>
        <v>10 2030</v>
      </c>
    </row>
    <row r="301" spans="2:3" x14ac:dyDescent="0.25">
      <c r="B301" s="53">
        <f t="shared" si="9"/>
        <v>47795</v>
      </c>
      <c r="C301" s="1" t="str">
        <f t="shared" si="8"/>
        <v>11 2030</v>
      </c>
    </row>
    <row r="302" spans="2:3" x14ac:dyDescent="0.25">
      <c r="B302" s="53">
        <f t="shared" si="9"/>
        <v>47809</v>
      </c>
      <c r="C302" s="1" t="str">
        <f t="shared" si="8"/>
        <v>11 2030</v>
      </c>
    </row>
    <row r="303" spans="2:3" x14ac:dyDescent="0.25">
      <c r="B303" s="53">
        <f t="shared" si="9"/>
        <v>47823</v>
      </c>
      <c r="C303" s="1" t="str">
        <f t="shared" si="8"/>
        <v>12 2030</v>
      </c>
    </row>
    <row r="304" spans="2:3" x14ac:dyDescent="0.25">
      <c r="B304" s="53">
        <f t="shared" si="9"/>
        <v>47837</v>
      </c>
      <c r="C304" s="1" t="str">
        <f t="shared" si="8"/>
        <v>12 2030</v>
      </c>
    </row>
    <row r="305" spans="2:3" x14ac:dyDescent="0.25">
      <c r="B305" s="53">
        <f t="shared" si="9"/>
        <v>47851</v>
      </c>
      <c r="C305" s="1" t="str">
        <f t="shared" si="8"/>
        <v>1 2031</v>
      </c>
    </row>
    <row r="306" spans="2:3" x14ac:dyDescent="0.25">
      <c r="B306" s="53">
        <f t="shared" si="9"/>
        <v>47865</v>
      </c>
      <c r="C306" s="1" t="str">
        <f t="shared" si="8"/>
        <v>1 2031</v>
      </c>
    </row>
    <row r="307" spans="2:3" x14ac:dyDescent="0.25">
      <c r="B307" s="53">
        <f t="shared" si="9"/>
        <v>47879</v>
      </c>
      <c r="C307" s="1" t="str">
        <f t="shared" si="8"/>
        <v>1 2031</v>
      </c>
    </row>
    <row r="308" spans="2:3" x14ac:dyDescent="0.25">
      <c r="B308" s="53">
        <f t="shared" si="9"/>
        <v>47893</v>
      </c>
      <c r="C308" s="1" t="str">
        <f t="shared" si="8"/>
        <v>2 2031</v>
      </c>
    </row>
    <row r="309" spans="2:3" x14ac:dyDescent="0.25">
      <c r="B309" s="53">
        <f t="shared" si="9"/>
        <v>47907</v>
      </c>
      <c r="C309" s="1" t="str">
        <f t="shared" si="8"/>
        <v>2 2031</v>
      </c>
    </row>
    <row r="310" spans="2:3" x14ac:dyDescent="0.25">
      <c r="B310" s="53">
        <f t="shared" si="9"/>
        <v>47921</v>
      </c>
      <c r="C310" s="1" t="str">
        <f t="shared" si="8"/>
        <v>3 2031</v>
      </c>
    </row>
    <row r="311" spans="2:3" x14ac:dyDescent="0.25">
      <c r="B311" s="53">
        <f t="shared" si="9"/>
        <v>47935</v>
      </c>
      <c r="C311" s="1" t="str">
        <f t="shared" si="8"/>
        <v>3 2031</v>
      </c>
    </row>
    <row r="312" spans="2:3" x14ac:dyDescent="0.25">
      <c r="B312" s="53">
        <f t="shared" si="9"/>
        <v>47949</v>
      </c>
      <c r="C312" s="1" t="str">
        <f t="shared" si="8"/>
        <v>4 2031</v>
      </c>
    </row>
    <row r="313" spans="2:3" x14ac:dyDescent="0.25">
      <c r="B313" s="53">
        <f t="shared" si="9"/>
        <v>47963</v>
      </c>
      <c r="C313" s="1" t="str">
        <f t="shared" si="8"/>
        <v>4 2031</v>
      </c>
    </row>
    <row r="314" spans="2:3" x14ac:dyDescent="0.25">
      <c r="B314" s="53">
        <f t="shared" si="9"/>
        <v>47977</v>
      </c>
      <c r="C314" s="1" t="str">
        <f t="shared" si="8"/>
        <v>5 2031</v>
      </c>
    </row>
    <row r="315" spans="2:3" x14ac:dyDescent="0.25">
      <c r="B315" s="53">
        <f t="shared" si="9"/>
        <v>47991</v>
      </c>
      <c r="C315" s="1" t="str">
        <f t="shared" si="8"/>
        <v>5 2031</v>
      </c>
    </row>
    <row r="316" spans="2:3" x14ac:dyDescent="0.25">
      <c r="B316" s="53">
        <f t="shared" si="9"/>
        <v>48005</v>
      </c>
      <c r="C316" s="1" t="str">
        <f t="shared" si="8"/>
        <v>6 2031</v>
      </c>
    </row>
    <row r="317" spans="2:3" x14ac:dyDescent="0.25">
      <c r="B317" s="53">
        <f t="shared" si="9"/>
        <v>48019</v>
      </c>
      <c r="C317" s="1" t="str">
        <f t="shared" si="8"/>
        <v>6 2031</v>
      </c>
    </row>
    <row r="318" spans="2:3" x14ac:dyDescent="0.25">
      <c r="B318" s="53">
        <f t="shared" si="9"/>
        <v>48033</v>
      </c>
      <c r="C318" s="1" t="str">
        <f t="shared" si="8"/>
        <v>7 2031</v>
      </c>
    </row>
    <row r="319" spans="2:3" x14ac:dyDescent="0.25">
      <c r="B319" s="53">
        <f t="shared" si="9"/>
        <v>48047</v>
      </c>
      <c r="C319" s="1" t="str">
        <f t="shared" si="8"/>
        <v>7 2031</v>
      </c>
    </row>
    <row r="320" spans="2:3" x14ac:dyDescent="0.25">
      <c r="B320" s="53">
        <f t="shared" si="9"/>
        <v>48061</v>
      </c>
      <c r="C320" s="1" t="str">
        <f t="shared" si="8"/>
        <v>8 2031</v>
      </c>
    </row>
    <row r="321" spans="2:3" x14ac:dyDescent="0.25">
      <c r="B321" s="53">
        <f t="shared" si="9"/>
        <v>48075</v>
      </c>
      <c r="C321" s="1" t="str">
        <f t="shared" si="8"/>
        <v>8 2031</v>
      </c>
    </row>
    <row r="322" spans="2:3" x14ac:dyDescent="0.25">
      <c r="B322" s="53">
        <f t="shared" si="9"/>
        <v>48089</v>
      </c>
      <c r="C322" s="1" t="str">
        <f t="shared" si="8"/>
        <v>8 2031</v>
      </c>
    </row>
    <row r="323" spans="2:3" x14ac:dyDescent="0.25">
      <c r="B323" s="53">
        <f t="shared" si="9"/>
        <v>48103</v>
      </c>
      <c r="C323" s="1" t="str">
        <f t="shared" si="8"/>
        <v>9 2031</v>
      </c>
    </row>
    <row r="324" spans="2:3" x14ac:dyDescent="0.25">
      <c r="B324" s="53">
        <f t="shared" si="9"/>
        <v>48117</v>
      </c>
      <c r="C324" s="1" t="str">
        <f t="shared" ref="C324:C387" si="10">CONCATENATE(MONTH(B324)," ",YEAR(B324))</f>
        <v>9 2031</v>
      </c>
    </row>
    <row r="325" spans="2:3" x14ac:dyDescent="0.25">
      <c r="B325" s="53">
        <f t="shared" ref="B325:B388" si="11">B324+14</f>
        <v>48131</v>
      </c>
      <c r="C325" s="1" t="str">
        <f t="shared" si="10"/>
        <v>10 2031</v>
      </c>
    </row>
    <row r="326" spans="2:3" x14ac:dyDescent="0.25">
      <c r="B326" s="53">
        <f t="shared" si="11"/>
        <v>48145</v>
      </c>
      <c r="C326" s="1" t="str">
        <f t="shared" si="10"/>
        <v>10 2031</v>
      </c>
    </row>
    <row r="327" spans="2:3" x14ac:dyDescent="0.25">
      <c r="B327" s="53">
        <f t="shared" si="11"/>
        <v>48159</v>
      </c>
      <c r="C327" s="1" t="str">
        <f t="shared" si="10"/>
        <v>11 2031</v>
      </c>
    </row>
    <row r="328" spans="2:3" x14ac:dyDescent="0.25">
      <c r="B328" s="53">
        <f t="shared" si="11"/>
        <v>48173</v>
      </c>
      <c r="C328" s="1" t="str">
        <f t="shared" si="10"/>
        <v>11 2031</v>
      </c>
    </row>
    <row r="329" spans="2:3" x14ac:dyDescent="0.25">
      <c r="B329" s="53">
        <f t="shared" si="11"/>
        <v>48187</v>
      </c>
      <c r="C329" s="1" t="str">
        <f t="shared" si="10"/>
        <v>12 2031</v>
      </c>
    </row>
    <row r="330" spans="2:3" x14ac:dyDescent="0.25">
      <c r="B330" s="53">
        <f t="shared" si="11"/>
        <v>48201</v>
      </c>
      <c r="C330" s="1" t="str">
        <f t="shared" si="10"/>
        <v>12 2031</v>
      </c>
    </row>
    <row r="331" spans="2:3" x14ac:dyDescent="0.25">
      <c r="B331" s="53">
        <f t="shared" si="11"/>
        <v>48215</v>
      </c>
      <c r="C331" s="1" t="str">
        <f t="shared" si="10"/>
        <v>1 2032</v>
      </c>
    </row>
    <row r="332" spans="2:3" x14ac:dyDescent="0.25">
      <c r="B332" s="53">
        <f t="shared" si="11"/>
        <v>48229</v>
      </c>
      <c r="C332" s="1" t="str">
        <f t="shared" si="10"/>
        <v>1 2032</v>
      </c>
    </row>
    <row r="333" spans="2:3" x14ac:dyDescent="0.25">
      <c r="B333" s="53">
        <f t="shared" si="11"/>
        <v>48243</v>
      </c>
      <c r="C333" s="1" t="str">
        <f t="shared" si="10"/>
        <v>1 2032</v>
      </c>
    </row>
    <row r="334" spans="2:3" x14ac:dyDescent="0.25">
      <c r="B334" s="53">
        <f t="shared" si="11"/>
        <v>48257</v>
      </c>
      <c r="C334" s="1" t="str">
        <f t="shared" si="10"/>
        <v>2 2032</v>
      </c>
    </row>
    <row r="335" spans="2:3" x14ac:dyDescent="0.25">
      <c r="B335" s="53">
        <f t="shared" si="11"/>
        <v>48271</v>
      </c>
      <c r="C335" s="1" t="str">
        <f t="shared" si="10"/>
        <v>2 2032</v>
      </c>
    </row>
    <row r="336" spans="2:3" x14ac:dyDescent="0.25">
      <c r="B336" s="53">
        <f t="shared" si="11"/>
        <v>48285</v>
      </c>
      <c r="C336" s="1" t="str">
        <f t="shared" si="10"/>
        <v>3 2032</v>
      </c>
    </row>
    <row r="337" spans="2:3" x14ac:dyDescent="0.25">
      <c r="B337" s="53">
        <f t="shared" si="11"/>
        <v>48299</v>
      </c>
      <c r="C337" s="1" t="str">
        <f t="shared" si="10"/>
        <v>3 2032</v>
      </c>
    </row>
    <row r="338" spans="2:3" x14ac:dyDescent="0.25">
      <c r="B338" s="53">
        <f t="shared" si="11"/>
        <v>48313</v>
      </c>
      <c r="C338" s="1" t="str">
        <f t="shared" si="10"/>
        <v>4 2032</v>
      </c>
    </row>
    <row r="339" spans="2:3" x14ac:dyDescent="0.25">
      <c r="B339" s="53">
        <f t="shared" si="11"/>
        <v>48327</v>
      </c>
      <c r="C339" s="1" t="str">
        <f t="shared" si="10"/>
        <v>4 2032</v>
      </c>
    </row>
    <row r="340" spans="2:3" x14ac:dyDescent="0.25">
      <c r="B340" s="53">
        <f t="shared" si="11"/>
        <v>48341</v>
      </c>
      <c r="C340" s="1" t="str">
        <f t="shared" si="10"/>
        <v>5 2032</v>
      </c>
    </row>
    <row r="341" spans="2:3" x14ac:dyDescent="0.25">
      <c r="B341" s="53">
        <f t="shared" si="11"/>
        <v>48355</v>
      </c>
      <c r="C341" s="1" t="str">
        <f t="shared" si="10"/>
        <v>5 2032</v>
      </c>
    </row>
    <row r="342" spans="2:3" x14ac:dyDescent="0.25">
      <c r="B342" s="53">
        <f t="shared" si="11"/>
        <v>48369</v>
      </c>
      <c r="C342" s="1" t="str">
        <f t="shared" si="10"/>
        <v>6 2032</v>
      </c>
    </row>
    <row r="343" spans="2:3" x14ac:dyDescent="0.25">
      <c r="B343" s="53">
        <f t="shared" si="11"/>
        <v>48383</v>
      </c>
      <c r="C343" s="1" t="str">
        <f t="shared" si="10"/>
        <v>6 2032</v>
      </c>
    </row>
    <row r="344" spans="2:3" x14ac:dyDescent="0.25">
      <c r="B344" s="53">
        <f t="shared" si="11"/>
        <v>48397</v>
      </c>
      <c r="C344" s="1" t="str">
        <f t="shared" si="10"/>
        <v>7 2032</v>
      </c>
    </row>
    <row r="345" spans="2:3" x14ac:dyDescent="0.25">
      <c r="B345" s="53">
        <f t="shared" si="11"/>
        <v>48411</v>
      </c>
      <c r="C345" s="1" t="str">
        <f t="shared" si="10"/>
        <v>7 2032</v>
      </c>
    </row>
    <row r="346" spans="2:3" x14ac:dyDescent="0.25">
      <c r="B346" s="53">
        <f t="shared" si="11"/>
        <v>48425</v>
      </c>
      <c r="C346" s="1" t="str">
        <f t="shared" si="10"/>
        <v>7 2032</v>
      </c>
    </row>
    <row r="347" spans="2:3" x14ac:dyDescent="0.25">
      <c r="B347" s="53">
        <f t="shared" si="11"/>
        <v>48439</v>
      </c>
      <c r="C347" s="1" t="str">
        <f t="shared" si="10"/>
        <v>8 2032</v>
      </c>
    </row>
    <row r="348" spans="2:3" x14ac:dyDescent="0.25">
      <c r="B348" s="53">
        <f t="shared" si="11"/>
        <v>48453</v>
      </c>
      <c r="C348" s="1" t="str">
        <f t="shared" si="10"/>
        <v>8 2032</v>
      </c>
    </row>
    <row r="349" spans="2:3" x14ac:dyDescent="0.25">
      <c r="B349" s="53">
        <f t="shared" si="11"/>
        <v>48467</v>
      </c>
      <c r="C349" s="1" t="str">
        <f t="shared" si="10"/>
        <v>9 2032</v>
      </c>
    </row>
    <row r="350" spans="2:3" x14ac:dyDescent="0.25">
      <c r="B350" s="53">
        <f t="shared" si="11"/>
        <v>48481</v>
      </c>
      <c r="C350" s="1" t="str">
        <f t="shared" si="10"/>
        <v>9 2032</v>
      </c>
    </row>
    <row r="351" spans="2:3" x14ac:dyDescent="0.25">
      <c r="B351" s="53">
        <f t="shared" si="11"/>
        <v>48495</v>
      </c>
      <c r="C351" s="1" t="str">
        <f t="shared" si="10"/>
        <v>10 2032</v>
      </c>
    </row>
    <row r="352" spans="2:3" x14ac:dyDescent="0.25">
      <c r="B352" s="53">
        <f t="shared" si="11"/>
        <v>48509</v>
      </c>
      <c r="C352" s="1" t="str">
        <f t="shared" si="10"/>
        <v>10 2032</v>
      </c>
    </row>
    <row r="353" spans="2:3" x14ac:dyDescent="0.25">
      <c r="B353" s="53">
        <f t="shared" si="11"/>
        <v>48523</v>
      </c>
      <c r="C353" s="1" t="str">
        <f t="shared" si="10"/>
        <v>11 2032</v>
      </c>
    </row>
    <row r="354" spans="2:3" x14ac:dyDescent="0.25">
      <c r="B354" s="53">
        <f t="shared" si="11"/>
        <v>48537</v>
      </c>
      <c r="C354" s="1" t="str">
        <f t="shared" si="10"/>
        <v>11 2032</v>
      </c>
    </row>
    <row r="355" spans="2:3" x14ac:dyDescent="0.25">
      <c r="B355" s="53">
        <f t="shared" si="11"/>
        <v>48551</v>
      </c>
      <c r="C355" s="1" t="str">
        <f t="shared" si="10"/>
        <v>12 2032</v>
      </c>
    </row>
    <row r="356" spans="2:3" x14ac:dyDescent="0.25">
      <c r="B356" s="53">
        <f t="shared" si="11"/>
        <v>48565</v>
      </c>
      <c r="C356" s="1" t="str">
        <f t="shared" si="10"/>
        <v>12 2032</v>
      </c>
    </row>
    <row r="357" spans="2:3" x14ac:dyDescent="0.25">
      <c r="B357" s="53">
        <f t="shared" si="11"/>
        <v>48579</v>
      </c>
      <c r="C357" s="1" t="str">
        <f t="shared" si="10"/>
        <v>12 2032</v>
      </c>
    </row>
    <row r="358" spans="2:3" x14ac:dyDescent="0.25">
      <c r="B358" s="53">
        <f t="shared" si="11"/>
        <v>48593</v>
      </c>
      <c r="C358" s="1" t="str">
        <f t="shared" si="10"/>
        <v>1 2033</v>
      </c>
    </row>
    <row r="359" spans="2:3" x14ac:dyDescent="0.25">
      <c r="B359" s="53">
        <f t="shared" si="11"/>
        <v>48607</v>
      </c>
      <c r="C359" s="1" t="str">
        <f t="shared" si="10"/>
        <v>1 2033</v>
      </c>
    </row>
    <row r="360" spans="2:3" x14ac:dyDescent="0.25">
      <c r="B360" s="53">
        <f t="shared" si="11"/>
        <v>48621</v>
      </c>
      <c r="C360" s="1" t="str">
        <f t="shared" si="10"/>
        <v>2 2033</v>
      </c>
    </row>
    <row r="361" spans="2:3" x14ac:dyDescent="0.25">
      <c r="B361" s="53">
        <f t="shared" si="11"/>
        <v>48635</v>
      </c>
      <c r="C361" s="1" t="str">
        <f t="shared" si="10"/>
        <v>2 2033</v>
      </c>
    </row>
    <row r="362" spans="2:3" x14ac:dyDescent="0.25">
      <c r="B362" s="53">
        <f t="shared" si="11"/>
        <v>48649</v>
      </c>
      <c r="C362" s="1" t="str">
        <f t="shared" si="10"/>
        <v>3 2033</v>
      </c>
    </row>
    <row r="363" spans="2:3" x14ac:dyDescent="0.25">
      <c r="B363" s="53">
        <f t="shared" si="11"/>
        <v>48663</v>
      </c>
      <c r="C363" s="1" t="str">
        <f t="shared" si="10"/>
        <v>3 2033</v>
      </c>
    </row>
    <row r="364" spans="2:3" x14ac:dyDescent="0.25">
      <c r="B364" s="53">
        <f t="shared" si="11"/>
        <v>48677</v>
      </c>
      <c r="C364" s="1" t="str">
        <f t="shared" si="10"/>
        <v>4 2033</v>
      </c>
    </row>
    <row r="365" spans="2:3" x14ac:dyDescent="0.25">
      <c r="B365" s="53">
        <f t="shared" si="11"/>
        <v>48691</v>
      </c>
      <c r="C365" s="1" t="str">
        <f t="shared" si="10"/>
        <v>4 2033</v>
      </c>
    </row>
    <row r="366" spans="2:3" x14ac:dyDescent="0.25">
      <c r="B366" s="53">
        <f t="shared" si="11"/>
        <v>48705</v>
      </c>
      <c r="C366" s="1" t="str">
        <f t="shared" si="10"/>
        <v>5 2033</v>
      </c>
    </row>
    <row r="367" spans="2:3" x14ac:dyDescent="0.25">
      <c r="B367" s="53">
        <f t="shared" si="11"/>
        <v>48719</v>
      </c>
      <c r="C367" s="1" t="str">
        <f t="shared" si="10"/>
        <v>5 2033</v>
      </c>
    </row>
    <row r="368" spans="2:3" x14ac:dyDescent="0.25">
      <c r="B368" s="53">
        <f t="shared" si="11"/>
        <v>48733</v>
      </c>
      <c r="C368" s="1" t="str">
        <f t="shared" si="10"/>
        <v>6 2033</v>
      </c>
    </row>
    <row r="369" spans="2:3" x14ac:dyDescent="0.25">
      <c r="B369" s="53">
        <f t="shared" si="11"/>
        <v>48747</v>
      </c>
      <c r="C369" s="1" t="str">
        <f t="shared" si="10"/>
        <v>6 2033</v>
      </c>
    </row>
    <row r="370" spans="2:3" x14ac:dyDescent="0.25">
      <c r="B370" s="53">
        <f t="shared" si="11"/>
        <v>48761</v>
      </c>
      <c r="C370" s="1" t="str">
        <f t="shared" si="10"/>
        <v>7 2033</v>
      </c>
    </row>
    <row r="371" spans="2:3" x14ac:dyDescent="0.25">
      <c r="B371" s="53">
        <f t="shared" si="11"/>
        <v>48775</v>
      </c>
      <c r="C371" s="1" t="str">
        <f t="shared" si="10"/>
        <v>7 2033</v>
      </c>
    </row>
    <row r="372" spans="2:3" x14ac:dyDescent="0.25">
      <c r="B372" s="53">
        <f t="shared" si="11"/>
        <v>48789</v>
      </c>
      <c r="C372" s="1" t="str">
        <f t="shared" si="10"/>
        <v>7 2033</v>
      </c>
    </row>
    <row r="373" spans="2:3" x14ac:dyDescent="0.25">
      <c r="B373" s="53">
        <f t="shared" si="11"/>
        <v>48803</v>
      </c>
      <c r="C373" s="1" t="str">
        <f t="shared" si="10"/>
        <v>8 2033</v>
      </c>
    </row>
    <row r="374" spans="2:3" x14ac:dyDescent="0.25">
      <c r="B374" s="53">
        <f t="shared" si="11"/>
        <v>48817</v>
      </c>
      <c r="C374" s="1" t="str">
        <f t="shared" si="10"/>
        <v>8 2033</v>
      </c>
    </row>
    <row r="375" spans="2:3" x14ac:dyDescent="0.25">
      <c r="B375" s="53">
        <f t="shared" si="11"/>
        <v>48831</v>
      </c>
      <c r="C375" s="1" t="str">
        <f t="shared" si="10"/>
        <v>9 2033</v>
      </c>
    </row>
    <row r="376" spans="2:3" x14ac:dyDescent="0.25">
      <c r="B376" s="53">
        <f t="shared" si="11"/>
        <v>48845</v>
      </c>
      <c r="C376" s="1" t="str">
        <f t="shared" si="10"/>
        <v>9 2033</v>
      </c>
    </row>
    <row r="377" spans="2:3" x14ac:dyDescent="0.25">
      <c r="B377" s="53">
        <f t="shared" si="11"/>
        <v>48859</v>
      </c>
      <c r="C377" s="1" t="str">
        <f t="shared" si="10"/>
        <v>10 2033</v>
      </c>
    </row>
    <row r="378" spans="2:3" x14ac:dyDescent="0.25">
      <c r="B378" s="53">
        <f t="shared" si="11"/>
        <v>48873</v>
      </c>
      <c r="C378" s="1" t="str">
        <f t="shared" si="10"/>
        <v>10 2033</v>
      </c>
    </row>
    <row r="379" spans="2:3" x14ac:dyDescent="0.25">
      <c r="B379" s="53">
        <f t="shared" si="11"/>
        <v>48887</v>
      </c>
      <c r="C379" s="1" t="str">
        <f t="shared" si="10"/>
        <v>11 2033</v>
      </c>
    </row>
    <row r="380" spans="2:3" x14ac:dyDescent="0.25">
      <c r="B380" s="53">
        <f t="shared" si="11"/>
        <v>48901</v>
      </c>
      <c r="C380" s="1" t="str">
        <f t="shared" si="10"/>
        <v>11 2033</v>
      </c>
    </row>
    <row r="381" spans="2:3" x14ac:dyDescent="0.25">
      <c r="B381" s="53">
        <f t="shared" si="11"/>
        <v>48915</v>
      </c>
      <c r="C381" s="1" t="str">
        <f t="shared" si="10"/>
        <v>12 2033</v>
      </c>
    </row>
    <row r="382" spans="2:3" x14ac:dyDescent="0.25">
      <c r="B382" s="53">
        <f t="shared" si="11"/>
        <v>48929</v>
      </c>
      <c r="C382" s="1" t="str">
        <f t="shared" si="10"/>
        <v>12 2033</v>
      </c>
    </row>
    <row r="383" spans="2:3" x14ac:dyDescent="0.25">
      <c r="B383" s="53">
        <f t="shared" si="11"/>
        <v>48943</v>
      </c>
      <c r="C383" s="1" t="str">
        <f t="shared" si="10"/>
        <v>12 2033</v>
      </c>
    </row>
    <row r="384" spans="2:3" x14ac:dyDescent="0.25">
      <c r="B384" s="53">
        <f t="shared" si="11"/>
        <v>48957</v>
      </c>
      <c r="C384" s="1" t="str">
        <f t="shared" si="10"/>
        <v>1 2034</v>
      </c>
    </row>
    <row r="385" spans="2:3" x14ac:dyDescent="0.25">
      <c r="B385" s="53">
        <f t="shared" si="11"/>
        <v>48971</v>
      </c>
      <c r="C385" s="1" t="str">
        <f t="shared" si="10"/>
        <v>1 2034</v>
      </c>
    </row>
    <row r="386" spans="2:3" x14ac:dyDescent="0.25">
      <c r="B386" s="53">
        <f t="shared" si="11"/>
        <v>48985</v>
      </c>
      <c r="C386" s="1" t="str">
        <f t="shared" si="10"/>
        <v>2 2034</v>
      </c>
    </row>
    <row r="387" spans="2:3" x14ac:dyDescent="0.25">
      <c r="B387" s="53">
        <f t="shared" si="11"/>
        <v>48999</v>
      </c>
      <c r="C387" s="1" t="str">
        <f t="shared" si="10"/>
        <v>2 2034</v>
      </c>
    </row>
    <row r="388" spans="2:3" x14ac:dyDescent="0.25">
      <c r="B388" s="53">
        <f t="shared" si="11"/>
        <v>49013</v>
      </c>
      <c r="C388" s="1" t="str">
        <f t="shared" ref="C388:C435" si="12">CONCATENATE(MONTH(B388)," ",YEAR(B388))</f>
        <v>3 2034</v>
      </c>
    </row>
    <row r="389" spans="2:3" x14ac:dyDescent="0.25">
      <c r="B389" s="53">
        <f t="shared" ref="B389:B435" si="13">B388+14</f>
        <v>49027</v>
      </c>
      <c r="C389" s="1" t="str">
        <f t="shared" si="12"/>
        <v>3 2034</v>
      </c>
    </row>
    <row r="390" spans="2:3" x14ac:dyDescent="0.25">
      <c r="B390" s="53">
        <f t="shared" si="13"/>
        <v>49041</v>
      </c>
      <c r="C390" s="1" t="str">
        <f t="shared" si="12"/>
        <v>4 2034</v>
      </c>
    </row>
    <row r="391" spans="2:3" x14ac:dyDescent="0.25">
      <c r="B391" s="53">
        <f t="shared" si="13"/>
        <v>49055</v>
      </c>
      <c r="C391" s="1" t="str">
        <f t="shared" si="12"/>
        <v>4 2034</v>
      </c>
    </row>
    <row r="392" spans="2:3" x14ac:dyDescent="0.25">
      <c r="B392" s="53">
        <f t="shared" si="13"/>
        <v>49069</v>
      </c>
      <c r="C392" s="1" t="str">
        <f t="shared" si="12"/>
        <v>5 2034</v>
      </c>
    </row>
    <row r="393" spans="2:3" x14ac:dyDescent="0.25">
      <c r="B393" s="53">
        <f t="shared" si="13"/>
        <v>49083</v>
      </c>
      <c r="C393" s="1" t="str">
        <f t="shared" si="12"/>
        <v>5 2034</v>
      </c>
    </row>
    <row r="394" spans="2:3" x14ac:dyDescent="0.25">
      <c r="B394" s="53">
        <f t="shared" si="13"/>
        <v>49097</v>
      </c>
      <c r="C394" s="1" t="str">
        <f t="shared" si="12"/>
        <v>6 2034</v>
      </c>
    </row>
    <row r="395" spans="2:3" x14ac:dyDescent="0.25">
      <c r="B395" s="53">
        <f t="shared" si="13"/>
        <v>49111</v>
      </c>
      <c r="C395" s="1" t="str">
        <f t="shared" si="12"/>
        <v>6 2034</v>
      </c>
    </row>
    <row r="396" spans="2:3" x14ac:dyDescent="0.25">
      <c r="B396" s="53">
        <f t="shared" si="13"/>
        <v>49125</v>
      </c>
      <c r="C396" s="1" t="str">
        <f t="shared" si="12"/>
        <v>6 2034</v>
      </c>
    </row>
    <row r="397" spans="2:3" x14ac:dyDescent="0.25">
      <c r="B397" s="53">
        <f t="shared" si="13"/>
        <v>49139</v>
      </c>
      <c r="C397" s="1" t="str">
        <f t="shared" si="12"/>
        <v>7 2034</v>
      </c>
    </row>
    <row r="398" spans="2:3" x14ac:dyDescent="0.25">
      <c r="B398" s="53">
        <f t="shared" si="13"/>
        <v>49153</v>
      </c>
      <c r="C398" s="1" t="str">
        <f t="shared" si="12"/>
        <v>7 2034</v>
      </c>
    </row>
    <row r="399" spans="2:3" x14ac:dyDescent="0.25">
      <c r="B399" s="53">
        <f t="shared" si="13"/>
        <v>49167</v>
      </c>
      <c r="C399" s="1" t="str">
        <f t="shared" si="12"/>
        <v>8 2034</v>
      </c>
    </row>
    <row r="400" spans="2:3" x14ac:dyDescent="0.25">
      <c r="B400" s="53">
        <f t="shared" si="13"/>
        <v>49181</v>
      </c>
      <c r="C400" s="1" t="str">
        <f t="shared" si="12"/>
        <v>8 2034</v>
      </c>
    </row>
    <row r="401" spans="2:3" x14ac:dyDescent="0.25">
      <c r="B401" s="53">
        <f t="shared" si="13"/>
        <v>49195</v>
      </c>
      <c r="C401" s="1" t="str">
        <f t="shared" si="12"/>
        <v>9 2034</v>
      </c>
    </row>
    <row r="402" spans="2:3" x14ac:dyDescent="0.25">
      <c r="B402" s="53">
        <f t="shared" si="13"/>
        <v>49209</v>
      </c>
      <c r="C402" s="1" t="str">
        <f t="shared" si="12"/>
        <v>9 2034</v>
      </c>
    </row>
    <row r="403" spans="2:3" x14ac:dyDescent="0.25">
      <c r="B403" s="53">
        <f t="shared" si="13"/>
        <v>49223</v>
      </c>
      <c r="C403" s="1" t="str">
        <f t="shared" si="12"/>
        <v>10 2034</v>
      </c>
    </row>
    <row r="404" spans="2:3" x14ac:dyDescent="0.25">
      <c r="B404" s="53">
        <f t="shared" si="13"/>
        <v>49237</v>
      </c>
      <c r="C404" s="1" t="str">
        <f t="shared" si="12"/>
        <v>10 2034</v>
      </c>
    </row>
    <row r="405" spans="2:3" x14ac:dyDescent="0.25">
      <c r="B405" s="53">
        <f t="shared" si="13"/>
        <v>49251</v>
      </c>
      <c r="C405" s="1" t="str">
        <f t="shared" si="12"/>
        <v>11 2034</v>
      </c>
    </row>
    <row r="406" spans="2:3" x14ac:dyDescent="0.25">
      <c r="B406" s="53">
        <f t="shared" si="13"/>
        <v>49265</v>
      </c>
      <c r="C406" s="1" t="str">
        <f t="shared" si="12"/>
        <v>11 2034</v>
      </c>
    </row>
    <row r="407" spans="2:3" x14ac:dyDescent="0.25">
      <c r="B407" s="53">
        <f t="shared" si="13"/>
        <v>49279</v>
      </c>
      <c r="C407" s="1" t="str">
        <f t="shared" si="12"/>
        <v>12 2034</v>
      </c>
    </row>
    <row r="408" spans="2:3" x14ac:dyDescent="0.25">
      <c r="B408" s="53">
        <f t="shared" si="13"/>
        <v>49293</v>
      </c>
      <c r="C408" s="1" t="str">
        <f t="shared" si="12"/>
        <v>12 2034</v>
      </c>
    </row>
    <row r="409" spans="2:3" x14ac:dyDescent="0.25">
      <c r="B409" s="53">
        <f t="shared" si="13"/>
        <v>49307</v>
      </c>
      <c r="C409" s="1" t="str">
        <f t="shared" si="12"/>
        <v>12 2034</v>
      </c>
    </row>
    <row r="410" spans="2:3" x14ac:dyDescent="0.25">
      <c r="B410" s="53">
        <f t="shared" si="13"/>
        <v>49321</v>
      </c>
      <c r="C410" s="1" t="str">
        <f t="shared" si="12"/>
        <v>1 2035</v>
      </c>
    </row>
    <row r="411" spans="2:3" x14ac:dyDescent="0.25">
      <c r="B411" s="53">
        <f t="shared" si="13"/>
        <v>49335</v>
      </c>
      <c r="C411" s="1" t="str">
        <f t="shared" si="12"/>
        <v>1 2035</v>
      </c>
    </row>
    <row r="412" spans="2:3" x14ac:dyDescent="0.25">
      <c r="B412" s="53">
        <f t="shared" si="13"/>
        <v>49349</v>
      </c>
      <c r="C412" s="1" t="str">
        <f t="shared" si="12"/>
        <v>2 2035</v>
      </c>
    </row>
    <row r="413" spans="2:3" x14ac:dyDescent="0.25">
      <c r="B413" s="53">
        <f t="shared" si="13"/>
        <v>49363</v>
      </c>
      <c r="C413" s="1" t="str">
        <f t="shared" si="12"/>
        <v>2 2035</v>
      </c>
    </row>
    <row r="414" spans="2:3" x14ac:dyDescent="0.25">
      <c r="B414" s="53">
        <f t="shared" si="13"/>
        <v>49377</v>
      </c>
      <c r="C414" s="1" t="str">
        <f t="shared" si="12"/>
        <v>3 2035</v>
      </c>
    </row>
    <row r="415" spans="2:3" x14ac:dyDescent="0.25">
      <c r="B415" s="53">
        <f t="shared" si="13"/>
        <v>49391</v>
      </c>
      <c r="C415" s="1" t="str">
        <f t="shared" si="12"/>
        <v>3 2035</v>
      </c>
    </row>
    <row r="416" spans="2:3" x14ac:dyDescent="0.25">
      <c r="B416" s="53">
        <f t="shared" si="13"/>
        <v>49405</v>
      </c>
      <c r="C416" s="1" t="str">
        <f t="shared" si="12"/>
        <v>4 2035</v>
      </c>
    </row>
    <row r="417" spans="2:3" x14ac:dyDescent="0.25">
      <c r="B417" s="53">
        <f t="shared" si="13"/>
        <v>49419</v>
      </c>
      <c r="C417" s="1" t="str">
        <f t="shared" si="12"/>
        <v>4 2035</v>
      </c>
    </row>
    <row r="418" spans="2:3" x14ac:dyDescent="0.25">
      <c r="B418" s="53">
        <f t="shared" si="13"/>
        <v>49433</v>
      </c>
      <c r="C418" s="1" t="str">
        <f t="shared" si="12"/>
        <v>5 2035</v>
      </c>
    </row>
    <row r="419" spans="2:3" x14ac:dyDescent="0.25">
      <c r="B419" s="53">
        <f t="shared" si="13"/>
        <v>49447</v>
      </c>
      <c r="C419" s="1" t="str">
        <f t="shared" si="12"/>
        <v>5 2035</v>
      </c>
    </row>
    <row r="420" spans="2:3" x14ac:dyDescent="0.25">
      <c r="B420" s="53">
        <f t="shared" si="13"/>
        <v>49461</v>
      </c>
      <c r="C420" s="1" t="str">
        <f t="shared" si="12"/>
        <v>6 2035</v>
      </c>
    </row>
    <row r="421" spans="2:3" x14ac:dyDescent="0.25">
      <c r="B421" s="53">
        <f t="shared" si="13"/>
        <v>49475</v>
      </c>
      <c r="C421" s="1" t="str">
        <f t="shared" si="12"/>
        <v>6 2035</v>
      </c>
    </row>
    <row r="422" spans="2:3" x14ac:dyDescent="0.25">
      <c r="B422" s="53">
        <f t="shared" si="13"/>
        <v>49489</v>
      </c>
      <c r="C422" s="1" t="str">
        <f t="shared" si="12"/>
        <v>6 2035</v>
      </c>
    </row>
    <row r="423" spans="2:3" x14ac:dyDescent="0.25">
      <c r="B423" s="53">
        <f t="shared" si="13"/>
        <v>49503</v>
      </c>
      <c r="C423" s="1" t="str">
        <f t="shared" si="12"/>
        <v>7 2035</v>
      </c>
    </row>
    <row r="424" spans="2:3" x14ac:dyDescent="0.25">
      <c r="B424" s="53">
        <f t="shared" si="13"/>
        <v>49517</v>
      </c>
      <c r="C424" s="1" t="str">
        <f t="shared" si="12"/>
        <v>7 2035</v>
      </c>
    </row>
    <row r="425" spans="2:3" x14ac:dyDescent="0.25">
      <c r="B425" s="53">
        <f t="shared" si="13"/>
        <v>49531</v>
      </c>
      <c r="C425" s="1" t="str">
        <f t="shared" si="12"/>
        <v>8 2035</v>
      </c>
    </row>
    <row r="426" spans="2:3" x14ac:dyDescent="0.25">
      <c r="B426" s="53">
        <f t="shared" si="13"/>
        <v>49545</v>
      </c>
      <c r="C426" s="1" t="str">
        <f t="shared" si="12"/>
        <v>8 2035</v>
      </c>
    </row>
    <row r="427" spans="2:3" x14ac:dyDescent="0.25">
      <c r="B427" s="53">
        <f t="shared" si="13"/>
        <v>49559</v>
      </c>
      <c r="C427" s="1" t="str">
        <f t="shared" si="12"/>
        <v>9 2035</v>
      </c>
    </row>
    <row r="428" spans="2:3" x14ac:dyDescent="0.25">
      <c r="B428" s="53">
        <f t="shared" si="13"/>
        <v>49573</v>
      </c>
      <c r="C428" s="1" t="str">
        <f t="shared" si="12"/>
        <v>9 2035</v>
      </c>
    </row>
    <row r="429" spans="2:3" x14ac:dyDescent="0.25">
      <c r="B429" s="53">
        <f t="shared" si="13"/>
        <v>49587</v>
      </c>
      <c r="C429" s="1" t="str">
        <f t="shared" si="12"/>
        <v>10 2035</v>
      </c>
    </row>
    <row r="430" spans="2:3" x14ac:dyDescent="0.25">
      <c r="B430" s="53">
        <f t="shared" si="13"/>
        <v>49601</v>
      </c>
      <c r="C430" s="1" t="str">
        <f t="shared" si="12"/>
        <v>10 2035</v>
      </c>
    </row>
    <row r="431" spans="2:3" x14ac:dyDescent="0.25">
      <c r="B431" s="53">
        <f t="shared" si="13"/>
        <v>49615</v>
      </c>
      <c r="C431" s="1" t="str">
        <f t="shared" si="12"/>
        <v>11 2035</v>
      </c>
    </row>
    <row r="432" spans="2:3" x14ac:dyDescent="0.25">
      <c r="B432" s="53">
        <f t="shared" si="13"/>
        <v>49629</v>
      </c>
      <c r="C432" s="1" t="str">
        <f t="shared" si="12"/>
        <v>11 2035</v>
      </c>
    </row>
    <row r="433" spans="2:3" x14ac:dyDescent="0.25">
      <c r="B433" s="53">
        <f t="shared" si="13"/>
        <v>49643</v>
      </c>
      <c r="C433" s="1" t="str">
        <f t="shared" si="12"/>
        <v>11 2035</v>
      </c>
    </row>
    <row r="434" spans="2:3" x14ac:dyDescent="0.25">
      <c r="B434" s="53">
        <f t="shared" si="13"/>
        <v>49657</v>
      </c>
      <c r="C434" s="1" t="str">
        <f t="shared" si="12"/>
        <v>12 2035</v>
      </c>
    </row>
    <row r="435" spans="2:3" x14ac:dyDescent="0.25">
      <c r="B435" s="53">
        <f t="shared" si="13"/>
        <v>49671</v>
      </c>
      <c r="C435" s="1" t="str">
        <f t="shared" si="12"/>
        <v>12 2035</v>
      </c>
    </row>
    <row r="436" spans="2:3" x14ac:dyDescent="0.25">
      <c r="B436" s="53"/>
    </row>
    <row r="437" spans="2:3" x14ac:dyDescent="0.25">
      <c r="B437" s="53"/>
    </row>
    <row r="438" spans="2:3" x14ac:dyDescent="0.25">
      <c r="B438" s="53"/>
    </row>
    <row r="439" spans="2:3" x14ac:dyDescent="0.25">
      <c r="B439" s="53"/>
    </row>
    <row r="440" spans="2:3" x14ac:dyDescent="0.25">
      <c r="B440" s="53"/>
    </row>
    <row r="441" spans="2:3" x14ac:dyDescent="0.25">
      <c r="B441" s="53"/>
    </row>
    <row r="442" spans="2:3" x14ac:dyDescent="0.25">
      <c r="B442" s="53"/>
    </row>
    <row r="443" spans="2:3" x14ac:dyDescent="0.25">
      <c r="B443" s="53"/>
    </row>
    <row r="444" spans="2:3" x14ac:dyDescent="0.25">
      <c r="B444" s="53"/>
    </row>
    <row r="445" spans="2:3" x14ac:dyDescent="0.25">
      <c r="B445" s="53"/>
    </row>
    <row r="446" spans="2:3" x14ac:dyDescent="0.25">
      <c r="B446" s="53"/>
    </row>
    <row r="447" spans="2:3" x14ac:dyDescent="0.25">
      <c r="B447" s="53"/>
    </row>
    <row r="448" spans="2:3" x14ac:dyDescent="0.25">
      <c r="B448" s="53"/>
    </row>
    <row r="449" spans="2:2" x14ac:dyDescent="0.25">
      <c r="B449" s="53"/>
    </row>
    <row r="450" spans="2:2" x14ac:dyDescent="0.25">
      <c r="B450" s="53"/>
    </row>
    <row r="451" spans="2:2" x14ac:dyDescent="0.25">
      <c r="B451" s="53"/>
    </row>
    <row r="452" spans="2:2" x14ac:dyDescent="0.25">
      <c r="B452" s="53"/>
    </row>
    <row r="453" spans="2:2" x14ac:dyDescent="0.25">
      <c r="B453" s="53"/>
    </row>
    <row r="454" spans="2:2" x14ac:dyDescent="0.25">
      <c r="B454" s="53"/>
    </row>
    <row r="455" spans="2:2" x14ac:dyDescent="0.25">
      <c r="B455" s="53"/>
    </row>
    <row r="456" spans="2:2" x14ac:dyDescent="0.25">
      <c r="B456" s="53"/>
    </row>
    <row r="457" spans="2:2" x14ac:dyDescent="0.25">
      <c r="B457" s="53"/>
    </row>
    <row r="458" spans="2:2" x14ac:dyDescent="0.25">
      <c r="B458" s="53"/>
    </row>
    <row r="459" spans="2:2" x14ac:dyDescent="0.25">
      <c r="B459" s="53"/>
    </row>
    <row r="460" spans="2:2" x14ac:dyDescent="0.25">
      <c r="B460" s="53"/>
    </row>
    <row r="461" spans="2:2" x14ac:dyDescent="0.25">
      <c r="B461" s="53"/>
    </row>
    <row r="462" spans="2:2" x14ac:dyDescent="0.25">
      <c r="B462" s="53"/>
    </row>
    <row r="463" spans="2:2" x14ac:dyDescent="0.25">
      <c r="B463" s="53"/>
    </row>
    <row r="464" spans="2:2" x14ac:dyDescent="0.25">
      <c r="B464" s="53"/>
    </row>
    <row r="465" spans="2:2" x14ac:dyDescent="0.25">
      <c r="B465" s="53"/>
    </row>
    <row r="466" spans="2:2" x14ac:dyDescent="0.25">
      <c r="B466" s="53"/>
    </row>
    <row r="467" spans="2:2" x14ac:dyDescent="0.25">
      <c r="B467" s="53"/>
    </row>
    <row r="468" spans="2:2" x14ac:dyDescent="0.25">
      <c r="B468" s="53"/>
    </row>
    <row r="469" spans="2:2" x14ac:dyDescent="0.25">
      <c r="B469" s="53"/>
    </row>
    <row r="470" spans="2:2" x14ac:dyDescent="0.25">
      <c r="B470" s="53"/>
    </row>
    <row r="471" spans="2:2" x14ac:dyDescent="0.25">
      <c r="B471" s="53"/>
    </row>
    <row r="472" spans="2:2" x14ac:dyDescent="0.25">
      <c r="B472" s="53"/>
    </row>
    <row r="473" spans="2:2" x14ac:dyDescent="0.25">
      <c r="B473" s="53"/>
    </row>
    <row r="474" spans="2:2" x14ac:dyDescent="0.25">
      <c r="B474" s="53"/>
    </row>
    <row r="475" spans="2:2" x14ac:dyDescent="0.25">
      <c r="B475" s="53"/>
    </row>
    <row r="476" spans="2:2" x14ac:dyDescent="0.25">
      <c r="B476" s="53"/>
    </row>
    <row r="477" spans="2:2" x14ac:dyDescent="0.25">
      <c r="B477" s="53"/>
    </row>
    <row r="478" spans="2:2" x14ac:dyDescent="0.25">
      <c r="B478" s="53"/>
    </row>
    <row r="479" spans="2:2" x14ac:dyDescent="0.25">
      <c r="B479" s="53"/>
    </row>
    <row r="480" spans="2:2" x14ac:dyDescent="0.25">
      <c r="B480" s="53"/>
    </row>
    <row r="481" spans="2:2" x14ac:dyDescent="0.25">
      <c r="B481" s="53"/>
    </row>
    <row r="482" spans="2:2" x14ac:dyDescent="0.25">
      <c r="B482" s="53"/>
    </row>
    <row r="483" spans="2:2" x14ac:dyDescent="0.25">
      <c r="B483" s="53"/>
    </row>
    <row r="484" spans="2:2" x14ac:dyDescent="0.25">
      <c r="B484" s="53"/>
    </row>
    <row r="485" spans="2:2" x14ac:dyDescent="0.25">
      <c r="B485" s="53"/>
    </row>
    <row r="486" spans="2:2" x14ac:dyDescent="0.25">
      <c r="B486" s="53"/>
    </row>
    <row r="487" spans="2:2" x14ac:dyDescent="0.25">
      <c r="B487" s="53"/>
    </row>
    <row r="488" spans="2:2" x14ac:dyDescent="0.25">
      <c r="B488" s="53"/>
    </row>
    <row r="489" spans="2:2" x14ac:dyDescent="0.25">
      <c r="B489" s="53"/>
    </row>
    <row r="490" spans="2:2" x14ac:dyDescent="0.25">
      <c r="B490" s="53"/>
    </row>
    <row r="491" spans="2:2" x14ac:dyDescent="0.25">
      <c r="B491" s="53"/>
    </row>
    <row r="492" spans="2:2" x14ac:dyDescent="0.25">
      <c r="B492" s="53"/>
    </row>
    <row r="493" spans="2:2" x14ac:dyDescent="0.25">
      <c r="B493" s="53"/>
    </row>
    <row r="494" spans="2:2" x14ac:dyDescent="0.25">
      <c r="B494" s="53"/>
    </row>
    <row r="495" spans="2:2" x14ac:dyDescent="0.25">
      <c r="B495" s="53"/>
    </row>
    <row r="496" spans="2:2" x14ac:dyDescent="0.25">
      <c r="B496" s="53"/>
    </row>
    <row r="497" spans="2:2" x14ac:dyDescent="0.25">
      <c r="B497" s="53"/>
    </row>
    <row r="498" spans="2:2" x14ac:dyDescent="0.25">
      <c r="B498" s="53"/>
    </row>
    <row r="499" spans="2:2" x14ac:dyDescent="0.25">
      <c r="B499" s="53"/>
    </row>
    <row r="500" spans="2:2" x14ac:dyDescent="0.25">
      <c r="B500" s="53"/>
    </row>
    <row r="501" spans="2:2" x14ac:dyDescent="0.25">
      <c r="B501" s="53"/>
    </row>
    <row r="502" spans="2:2" x14ac:dyDescent="0.25">
      <c r="B502" s="53"/>
    </row>
    <row r="503" spans="2:2" x14ac:dyDescent="0.25">
      <c r="B503" s="53"/>
    </row>
    <row r="504" spans="2:2" x14ac:dyDescent="0.25">
      <c r="B504" s="53"/>
    </row>
    <row r="505" spans="2:2" x14ac:dyDescent="0.25">
      <c r="B505" s="53"/>
    </row>
    <row r="506" spans="2:2" x14ac:dyDescent="0.25">
      <c r="B506" s="53"/>
    </row>
    <row r="507" spans="2:2" x14ac:dyDescent="0.25">
      <c r="B507" s="53"/>
    </row>
    <row r="508" spans="2:2" x14ac:dyDescent="0.25">
      <c r="B508" s="53"/>
    </row>
    <row r="509" spans="2:2" x14ac:dyDescent="0.25">
      <c r="B509" s="53"/>
    </row>
    <row r="510" spans="2:2" x14ac:dyDescent="0.25">
      <c r="B510" s="53"/>
    </row>
    <row r="511" spans="2:2" x14ac:dyDescent="0.25">
      <c r="B511" s="53"/>
    </row>
    <row r="512" spans="2:2" x14ac:dyDescent="0.25">
      <c r="B512" s="53"/>
    </row>
    <row r="513" spans="2:2" x14ac:dyDescent="0.25">
      <c r="B513" s="53"/>
    </row>
    <row r="514" spans="2:2" x14ac:dyDescent="0.25">
      <c r="B514" s="53"/>
    </row>
    <row r="515" spans="2:2" x14ac:dyDescent="0.25">
      <c r="B515" s="53"/>
    </row>
    <row r="516" spans="2:2" x14ac:dyDescent="0.25">
      <c r="B516" s="53"/>
    </row>
    <row r="517" spans="2:2" x14ac:dyDescent="0.25">
      <c r="B517" s="53"/>
    </row>
    <row r="518" spans="2:2" x14ac:dyDescent="0.25">
      <c r="B518" s="53"/>
    </row>
    <row r="519" spans="2:2" x14ac:dyDescent="0.25">
      <c r="B519" s="53"/>
    </row>
    <row r="520" spans="2:2" x14ac:dyDescent="0.25">
      <c r="B520" s="53"/>
    </row>
    <row r="521" spans="2:2" x14ac:dyDescent="0.25">
      <c r="B521" s="53"/>
    </row>
    <row r="522" spans="2:2" x14ac:dyDescent="0.25">
      <c r="B522" s="53"/>
    </row>
    <row r="523" spans="2:2" x14ac:dyDescent="0.25">
      <c r="B523" s="53"/>
    </row>
    <row r="524" spans="2:2" x14ac:dyDescent="0.25">
      <c r="B524" s="53"/>
    </row>
    <row r="525" spans="2:2" x14ac:dyDescent="0.25">
      <c r="B525" s="53"/>
    </row>
    <row r="526" spans="2:2" x14ac:dyDescent="0.25">
      <c r="B526" s="53"/>
    </row>
    <row r="527" spans="2:2" x14ac:dyDescent="0.25">
      <c r="B527" s="53"/>
    </row>
    <row r="528" spans="2:2" x14ac:dyDescent="0.25">
      <c r="B528" s="53"/>
    </row>
    <row r="529" spans="2:2" x14ac:dyDescent="0.25">
      <c r="B529" s="53"/>
    </row>
    <row r="530" spans="2:2" x14ac:dyDescent="0.25">
      <c r="B530" s="53"/>
    </row>
    <row r="531" spans="2:2" x14ac:dyDescent="0.25">
      <c r="B531" s="53"/>
    </row>
    <row r="532" spans="2:2" x14ac:dyDescent="0.25">
      <c r="B532" s="53"/>
    </row>
    <row r="533" spans="2:2" x14ac:dyDescent="0.25">
      <c r="B533" s="53"/>
    </row>
    <row r="534" spans="2:2" x14ac:dyDescent="0.25">
      <c r="B534" s="53"/>
    </row>
    <row r="535" spans="2:2" x14ac:dyDescent="0.25">
      <c r="B535" s="53"/>
    </row>
    <row r="536" spans="2:2" x14ac:dyDescent="0.25">
      <c r="B536" s="53"/>
    </row>
    <row r="537" spans="2:2" x14ac:dyDescent="0.25">
      <c r="B537" s="53"/>
    </row>
    <row r="538" spans="2:2" x14ac:dyDescent="0.25">
      <c r="B538" s="53"/>
    </row>
    <row r="539" spans="2:2" x14ac:dyDescent="0.25">
      <c r="B539" s="53"/>
    </row>
    <row r="540" spans="2:2" x14ac:dyDescent="0.25">
      <c r="B540" s="53"/>
    </row>
    <row r="541" spans="2:2" x14ac:dyDescent="0.25">
      <c r="B541" s="53"/>
    </row>
    <row r="542" spans="2:2" x14ac:dyDescent="0.25">
      <c r="B542" s="53"/>
    </row>
    <row r="543" spans="2:2" x14ac:dyDescent="0.25">
      <c r="B543" s="53"/>
    </row>
    <row r="544" spans="2:2" x14ac:dyDescent="0.25">
      <c r="B544" s="53"/>
    </row>
    <row r="545" spans="2:2" x14ac:dyDescent="0.25">
      <c r="B545" s="53"/>
    </row>
    <row r="546" spans="2:2" x14ac:dyDescent="0.25">
      <c r="B546" s="53"/>
    </row>
    <row r="547" spans="2:2" x14ac:dyDescent="0.25">
      <c r="B547" s="53"/>
    </row>
    <row r="548" spans="2:2" x14ac:dyDescent="0.25">
      <c r="B548" s="53"/>
    </row>
    <row r="549" spans="2:2" x14ac:dyDescent="0.25">
      <c r="B549" s="53"/>
    </row>
    <row r="550" spans="2:2" x14ac:dyDescent="0.25">
      <c r="B550" s="53"/>
    </row>
    <row r="551" spans="2:2" x14ac:dyDescent="0.25">
      <c r="B551" s="53"/>
    </row>
    <row r="552" spans="2:2" x14ac:dyDescent="0.25">
      <c r="B552" s="53"/>
    </row>
    <row r="553" spans="2:2" x14ac:dyDescent="0.25">
      <c r="B553" s="53"/>
    </row>
    <row r="554" spans="2:2" x14ac:dyDescent="0.25">
      <c r="B554" s="53"/>
    </row>
    <row r="555" spans="2:2" x14ac:dyDescent="0.25">
      <c r="B555" s="53"/>
    </row>
    <row r="556" spans="2:2" x14ac:dyDescent="0.25">
      <c r="B556" s="53"/>
    </row>
    <row r="557" spans="2:2" x14ac:dyDescent="0.25">
      <c r="B557" s="53"/>
    </row>
    <row r="558" spans="2:2" x14ac:dyDescent="0.25">
      <c r="B558" s="53"/>
    </row>
    <row r="559" spans="2:2" x14ac:dyDescent="0.25">
      <c r="B559" s="53"/>
    </row>
    <row r="560" spans="2:2" x14ac:dyDescent="0.25">
      <c r="B560" s="53"/>
    </row>
    <row r="561" spans="2:2" x14ac:dyDescent="0.25">
      <c r="B561" s="53"/>
    </row>
    <row r="562" spans="2:2" x14ac:dyDescent="0.25">
      <c r="B562" s="53"/>
    </row>
    <row r="563" spans="2:2" x14ac:dyDescent="0.25">
      <c r="B563" s="53"/>
    </row>
    <row r="564" spans="2:2" x14ac:dyDescent="0.25">
      <c r="B564" s="53"/>
    </row>
    <row r="565" spans="2:2" x14ac:dyDescent="0.25">
      <c r="B565" s="53"/>
    </row>
    <row r="566" spans="2:2" x14ac:dyDescent="0.25">
      <c r="B566" s="53"/>
    </row>
    <row r="567" spans="2:2" x14ac:dyDescent="0.25">
      <c r="B567" s="53"/>
    </row>
    <row r="568" spans="2:2" x14ac:dyDescent="0.25">
      <c r="B568" s="53"/>
    </row>
    <row r="569" spans="2:2" x14ac:dyDescent="0.25">
      <c r="B569" s="53"/>
    </row>
    <row r="570" spans="2:2" x14ac:dyDescent="0.25">
      <c r="B570" s="53"/>
    </row>
    <row r="571" spans="2:2" x14ac:dyDescent="0.25">
      <c r="B571" s="53"/>
    </row>
    <row r="572" spans="2:2" x14ac:dyDescent="0.25">
      <c r="B572" s="53"/>
    </row>
    <row r="573" spans="2:2" x14ac:dyDescent="0.25">
      <c r="B573" s="53"/>
    </row>
    <row r="574" spans="2:2" x14ac:dyDescent="0.25">
      <c r="B574" s="53"/>
    </row>
    <row r="575" spans="2:2" x14ac:dyDescent="0.25">
      <c r="B575" s="53"/>
    </row>
    <row r="576" spans="2:2" x14ac:dyDescent="0.25">
      <c r="B576" s="53"/>
    </row>
    <row r="577" spans="2:2" x14ac:dyDescent="0.25">
      <c r="B577" s="53"/>
    </row>
    <row r="578" spans="2:2" x14ac:dyDescent="0.25">
      <c r="B578" s="53"/>
    </row>
    <row r="579" spans="2:2" x14ac:dyDescent="0.25">
      <c r="B579" s="53"/>
    </row>
    <row r="580" spans="2:2" x14ac:dyDescent="0.25">
      <c r="B580" s="53"/>
    </row>
    <row r="581" spans="2:2" x14ac:dyDescent="0.25">
      <c r="B581" s="53"/>
    </row>
    <row r="582" spans="2:2" x14ac:dyDescent="0.25">
      <c r="B582" s="53"/>
    </row>
    <row r="583" spans="2:2" x14ac:dyDescent="0.25">
      <c r="B583" s="53"/>
    </row>
    <row r="584" spans="2:2" x14ac:dyDescent="0.25">
      <c r="B584" s="53"/>
    </row>
    <row r="585" spans="2:2" x14ac:dyDescent="0.25">
      <c r="B585" s="53"/>
    </row>
    <row r="586" spans="2:2" x14ac:dyDescent="0.25">
      <c r="B586" s="53"/>
    </row>
    <row r="587" spans="2:2" x14ac:dyDescent="0.25">
      <c r="B587" s="53"/>
    </row>
    <row r="588" spans="2:2" x14ac:dyDescent="0.25">
      <c r="B588" s="53"/>
    </row>
    <row r="589" spans="2:2" x14ac:dyDescent="0.25">
      <c r="B589" s="53"/>
    </row>
    <row r="590" spans="2:2" x14ac:dyDescent="0.25">
      <c r="B590" s="53"/>
    </row>
    <row r="591" spans="2:2" x14ac:dyDescent="0.25">
      <c r="B591" s="53"/>
    </row>
    <row r="592" spans="2:2" x14ac:dyDescent="0.25">
      <c r="B592" s="53"/>
    </row>
    <row r="593" spans="2:2" x14ac:dyDescent="0.25">
      <c r="B593" s="53"/>
    </row>
    <row r="594" spans="2:2" x14ac:dyDescent="0.25">
      <c r="B594" s="53"/>
    </row>
    <row r="595" spans="2:2" x14ac:dyDescent="0.25">
      <c r="B595" s="53"/>
    </row>
    <row r="596" spans="2:2" x14ac:dyDescent="0.25">
      <c r="B596" s="53"/>
    </row>
    <row r="597" spans="2:2" x14ac:dyDescent="0.25">
      <c r="B597" s="53"/>
    </row>
    <row r="598" spans="2:2" x14ac:dyDescent="0.25">
      <c r="B598" s="53"/>
    </row>
    <row r="599" spans="2:2" x14ac:dyDescent="0.25">
      <c r="B599" s="53"/>
    </row>
    <row r="600" spans="2:2" x14ac:dyDescent="0.25">
      <c r="B600" s="53"/>
    </row>
    <row r="601" spans="2:2" x14ac:dyDescent="0.25">
      <c r="B601" s="53"/>
    </row>
    <row r="602" spans="2:2" x14ac:dyDescent="0.25">
      <c r="B602" s="53"/>
    </row>
    <row r="603" spans="2:2" x14ac:dyDescent="0.25">
      <c r="B603" s="53"/>
    </row>
    <row r="604" spans="2:2" x14ac:dyDescent="0.25">
      <c r="B604" s="53"/>
    </row>
    <row r="605" spans="2:2" x14ac:dyDescent="0.25">
      <c r="B605" s="53"/>
    </row>
    <row r="606" spans="2:2" x14ac:dyDescent="0.25">
      <c r="B606" s="53"/>
    </row>
    <row r="607" spans="2:2" x14ac:dyDescent="0.25">
      <c r="B607" s="53"/>
    </row>
    <row r="608" spans="2:2" x14ac:dyDescent="0.25">
      <c r="B608" s="53"/>
    </row>
    <row r="609" spans="2:2" x14ac:dyDescent="0.25">
      <c r="B609" s="53"/>
    </row>
    <row r="610" spans="2:2" x14ac:dyDescent="0.25">
      <c r="B610" s="53"/>
    </row>
    <row r="611" spans="2:2" x14ac:dyDescent="0.25">
      <c r="B611" s="53"/>
    </row>
    <row r="612" spans="2:2" x14ac:dyDescent="0.25">
      <c r="B612" s="53"/>
    </row>
    <row r="613" spans="2:2" x14ac:dyDescent="0.25">
      <c r="B613" s="53"/>
    </row>
    <row r="614" spans="2:2" x14ac:dyDescent="0.25">
      <c r="B614" s="53"/>
    </row>
    <row r="615" spans="2:2" x14ac:dyDescent="0.25">
      <c r="B615" s="53"/>
    </row>
    <row r="616" spans="2:2" x14ac:dyDescent="0.25">
      <c r="B616" s="53"/>
    </row>
    <row r="617" spans="2:2" x14ac:dyDescent="0.25">
      <c r="B617" s="53"/>
    </row>
    <row r="618" spans="2:2" x14ac:dyDescent="0.25">
      <c r="B618" s="53"/>
    </row>
    <row r="619" spans="2:2" x14ac:dyDescent="0.25">
      <c r="B619" s="53"/>
    </row>
    <row r="620" spans="2:2" x14ac:dyDescent="0.25">
      <c r="B620" s="53"/>
    </row>
    <row r="621" spans="2:2" x14ac:dyDescent="0.25">
      <c r="B621" s="53"/>
    </row>
    <row r="622" spans="2:2" x14ac:dyDescent="0.25">
      <c r="B622" s="53"/>
    </row>
    <row r="623" spans="2:2" x14ac:dyDescent="0.25">
      <c r="B623" s="53"/>
    </row>
    <row r="624" spans="2:2" x14ac:dyDescent="0.25">
      <c r="B624" s="53"/>
    </row>
    <row r="625" spans="2:2" x14ac:dyDescent="0.25">
      <c r="B625" s="53"/>
    </row>
    <row r="626" spans="2:2" x14ac:dyDescent="0.25">
      <c r="B626" s="53"/>
    </row>
    <row r="627" spans="2:2" x14ac:dyDescent="0.25">
      <c r="B627" s="53"/>
    </row>
    <row r="628" spans="2:2" x14ac:dyDescent="0.25">
      <c r="B628" s="53"/>
    </row>
    <row r="629" spans="2:2" x14ac:dyDescent="0.25">
      <c r="B629" s="53"/>
    </row>
    <row r="630" spans="2:2" x14ac:dyDescent="0.25">
      <c r="B630" s="53"/>
    </row>
    <row r="631" spans="2:2" x14ac:dyDescent="0.25">
      <c r="B631" s="53"/>
    </row>
    <row r="632" spans="2:2" x14ac:dyDescent="0.25">
      <c r="B632" s="53"/>
    </row>
    <row r="633" spans="2:2" x14ac:dyDescent="0.25">
      <c r="B633" s="53"/>
    </row>
    <row r="634" spans="2:2" x14ac:dyDescent="0.25">
      <c r="B634" s="53"/>
    </row>
    <row r="635" spans="2:2" x14ac:dyDescent="0.25">
      <c r="B635" s="53"/>
    </row>
    <row r="636" spans="2:2" x14ac:dyDescent="0.25">
      <c r="B636" s="53"/>
    </row>
    <row r="637" spans="2:2" x14ac:dyDescent="0.25">
      <c r="B637" s="53"/>
    </row>
    <row r="638" spans="2:2" x14ac:dyDescent="0.25">
      <c r="B638" s="53"/>
    </row>
    <row r="639" spans="2:2" x14ac:dyDescent="0.25">
      <c r="B639" s="53"/>
    </row>
    <row r="640" spans="2:2" x14ac:dyDescent="0.25">
      <c r="B640" s="53"/>
    </row>
    <row r="641" spans="2:2" x14ac:dyDescent="0.25">
      <c r="B641" s="53"/>
    </row>
    <row r="642" spans="2:2" x14ac:dyDescent="0.25">
      <c r="B642" s="53"/>
    </row>
    <row r="643" spans="2:2" x14ac:dyDescent="0.25">
      <c r="B643" s="53"/>
    </row>
    <row r="644" spans="2:2" x14ac:dyDescent="0.25">
      <c r="B644" s="53"/>
    </row>
    <row r="645" spans="2:2" x14ac:dyDescent="0.25">
      <c r="B645" s="53"/>
    </row>
    <row r="646" spans="2:2" x14ac:dyDescent="0.25">
      <c r="B646" s="53"/>
    </row>
    <row r="647" spans="2:2" x14ac:dyDescent="0.25">
      <c r="B647" s="53"/>
    </row>
    <row r="648" spans="2:2" x14ac:dyDescent="0.25">
      <c r="B648" s="53"/>
    </row>
    <row r="649" spans="2:2" x14ac:dyDescent="0.25">
      <c r="B649" s="53"/>
    </row>
    <row r="650" spans="2:2" x14ac:dyDescent="0.25">
      <c r="B650" s="53"/>
    </row>
    <row r="651" spans="2:2" x14ac:dyDescent="0.25">
      <c r="B651" s="53"/>
    </row>
    <row r="652" spans="2:2" x14ac:dyDescent="0.25">
      <c r="B652" s="53"/>
    </row>
    <row r="653" spans="2:2" x14ac:dyDescent="0.25">
      <c r="B653" s="53"/>
    </row>
    <row r="654" spans="2:2" x14ac:dyDescent="0.25">
      <c r="B654" s="53"/>
    </row>
    <row r="655" spans="2:2" x14ac:dyDescent="0.25">
      <c r="B655" s="53"/>
    </row>
    <row r="656" spans="2:2" x14ac:dyDescent="0.25">
      <c r="B656" s="53"/>
    </row>
    <row r="657" spans="2:2" x14ac:dyDescent="0.25">
      <c r="B657" s="53"/>
    </row>
    <row r="658" spans="2:2" x14ac:dyDescent="0.25">
      <c r="B658" s="53"/>
    </row>
    <row r="659" spans="2:2" x14ac:dyDescent="0.25">
      <c r="B659" s="53"/>
    </row>
    <row r="660" spans="2:2" x14ac:dyDescent="0.25">
      <c r="B660" s="53"/>
    </row>
    <row r="661" spans="2:2" x14ac:dyDescent="0.25">
      <c r="B661" s="53"/>
    </row>
    <row r="662" spans="2:2" x14ac:dyDescent="0.25">
      <c r="B662" s="53"/>
    </row>
    <row r="663" spans="2:2" x14ac:dyDescent="0.25">
      <c r="B663" s="53"/>
    </row>
    <row r="664" spans="2:2" x14ac:dyDescent="0.25">
      <c r="B664" s="53"/>
    </row>
    <row r="665" spans="2:2" x14ac:dyDescent="0.25">
      <c r="B665" s="53"/>
    </row>
    <row r="666" spans="2:2" x14ac:dyDescent="0.25">
      <c r="B666" s="53"/>
    </row>
    <row r="667" spans="2:2" x14ac:dyDescent="0.25">
      <c r="B667" s="53"/>
    </row>
    <row r="668" spans="2:2" x14ac:dyDescent="0.25">
      <c r="B668" s="53"/>
    </row>
    <row r="669" spans="2:2" x14ac:dyDescent="0.25">
      <c r="B669" s="53"/>
    </row>
    <row r="670" spans="2:2" x14ac:dyDescent="0.25">
      <c r="B670" s="53"/>
    </row>
    <row r="671" spans="2:2" x14ac:dyDescent="0.25">
      <c r="B671" s="53"/>
    </row>
    <row r="672" spans="2:2" x14ac:dyDescent="0.25">
      <c r="B672" s="53"/>
    </row>
    <row r="673" spans="2:2" x14ac:dyDescent="0.25">
      <c r="B673" s="53"/>
    </row>
    <row r="674" spans="2:2" x14ac:dyDescent="0.25">
      <c r="B674" s="53"/>
    </row>
    <row r="675" spans="2:2" x14ac:dyDescent="0.25">
      <c r="B675" s="53"/>
    </row>
    <row r="676" spans="2:2" x14ac:dyDescent="0.25">
      <c r="B676" s="53"/>
    </row>
    <row r="677" spans="2:2" x14ac:dyDescent="0.25">
      <c r="B677" s="53"/>
    </row>
    <row r="678" spans="2:2" x14ac:dyDescent="0.25">
      <c r="B678" s="53"/>
    </row>
    <row r="679" spans="2:2" x14ac:dyDescent="0.25">
      <c r="B679" s="53"/>
    </row>
    <row r="680" spans="2:2" x14ac:dyDescent="0.25">
      <c r="B680" s="53"/>
    </row>
    <row r="681" spans="2:2" x14ac:dyDescent="0.25">
      <c r="B681" s="53"/>
    </row>
    <row r="682" spans="2:2" x14ac:dyDescent="0.25">
      <c r="B682" s="53"/>
    </row>
    <row r="683" spans="2:2" x14ac:dyDescent="0.25">
      <c r="B683" s="53"/>
    </row>
    <row r="684" spans="2:2" x14ac:dyDescent="0.25">
      <c r="B684" s="53"/>
    </row>
    <row r="685" spans="2:2" x14ac:dyDescent="0.25">
      <c r="B685" s="53"/>
    </row>
    <row r="686" spans="2:2" x14ac:dyDescent="0.25">
      <c r="B686" s="53"/>
    </row>
    <row r="687" spans="2:2" x14ac:dyDescent="0.25">
      <c r="B687" s="53"/>
    </row>
    <row r="688" spans="2:2" x14ac:dyDescent="0.25">
      <c r="B688" s="53"/>
    </row>
    <row r="689" spans="2:2" x14ac:dyDescent="0.25">
      <c r="B689" s="53"/>
    </row>
    <row r="690" spans="2:2" x14ac:dyDescent="0.25">
      <c r="B690" s="53"/>
    </row>
    <row r="691" spans="2:2" x14ac:dyDescent="0.25">
      <c r="B691" s="53"/>
    </row>
    <row r="692" spans="2:2" x14ac:dyDescent="0.25">
      <c r="B692" s="53"/>
    </row>
    <row r="693" spans="2:2" x14ac:dyDescent="0.25">
      <c r="B693" s="53"/>
    </row>
    <row r="694" spans="2:2" x14ac:dyDescent="0.25">
      <c r="B694" s="53"/>
    </row>
    <row r="695" spans="2:2" x14ac:dyDescent="0.25">
      <c r="B695" s="53"/>
    </row>
    <row r="696" spans="2:2" x14ac:dyDescent="0.25">
      <c r="B696" s="53"/>
    </row>
    <row r="697" spans="2:2" x14ac:dyDescent="0.25">
      <c r="B697" s="53"/>
    </row>
    <row r="698" spans="2:2" x14ac:dyDescent="0.25">
      <c r="B698" s="53"/>
    </row>
    <row r="699" spans="2:2" x14ac:dyDescent="0.25">
      <c r="B699" s="53"/>
    </row>
    <row r="700" spans="2:2" x14ac:dyDescent="0.25">
      <c r="B700" s="53"/>
    </row>
    <row r="701" spans="2:2" x14ac:dyDescent="0.25">
      <c r="B701" s="53"/>
    </row>
    <row r="702" spans="2:2" x14ac:dyDescent="0.25">
      <c r="B702" s="53"/>
    </row>
    <row r="703" spans="2:2" x14ac:dyDescent="0.25">
      <c r="B703" s="53"/>
    </row>
    <row r="704" spans="2:2" x14ac:dyDescent="0.25">
      <c r="B704" s="53"/>
    </row>
    <row r="705" spans="2:2" x14ac:dyDescent="0.25">
      <c r="B705" s="53"/>
    </row>
    <row r="706" spans="2:2" x14ac:dyDescent="0.25">
      <c r="B706" s="53"/>
    </row>
    <row r="707" spans="2:2" x14ac:dyDescent="0.25">
      <c r="B707" s="53"/>
    </row>
    <row r="708" spans="2:2" x14ac:dyDescent="0.25">
      <c r="B708" s="53"/>
    </row>
    <row r="709" spans="2:2" x14ac:dyDescent="0.25">
      <c r="B709" s="53"/>
    </row>
    <row r="710" spans="2:2" x14ac:dyDescent="0.25">
      <c r="B710" s="53"/>
    </row>
    <row r="711" spans="2:2" x14ac:dyDescent="0.25">
      <c r="B711" s="53"/>
    </row>
    <row r="712" spans="2:2" x14ac:dyDescent="0.25">
      <c r="B712" s="53"/>
    </row>
    <row r="713" spans="2:2" x14ac:dyDescent="0.25">
      <c r="B713" s="53"/>
    </row>
    <row r="714" spans="2:2" x14ac:dyDescent="0.25">
      <c r="B714" s="53"/>
    </row>
    <row r="715" spans="2:2" x14ac:dyDescent="0.25">
      <c r="B715" s="53"/>
    </row>
    <row r="716" spans="2:2" x14ac:dyDescent="0.25">
      <c r="B716" s="53"/>
    </row>
    <row r="717" spans="2:2" x14ac:dyDescent="0.25">
      <c r="B717" s="53"/>
    </row>
    <row r="718" spans="2:2" x14ac:dyDescent="0.25">
      <c r="B718" s="53"/>
    </row>
    <row r="719" spans="2:2" x14ac:dyDescent="0.25">
      <c r="B719" s="53"/>
    </row>
    <row r="720" spans="2:2" x14ac:dyDescent="0.25">
      <c r="B720" s="53"/>
    </row>
    <row r="721" spans="2:2" x14ac:dyDescent="0.25">
      <c r="B721" s="53"/>
    </row>
    <row r="722" spans="2:2" x14ac:dyDescent="0.25">
      <c r="B722" s="53"/>
    </row>
    <row r="723" spans="2:2" x14ac:dyDescent="0.25">
      <c r="B723" s="53"/>
    </row>
    <row r="724" spans="2:2" x14ac:dyDescent="0.25">
      <c r="B724" s="53"/>
    </row>
    <row r="725" spans="2:2" x14ac:dyDescent="0.25">
      <c r="B725" s="53"/>
    </row>
    <row r="726" spans="2:2" x14ac:dyDescent="0.25">
      <c r="B726" s="53"/>
    </row>
    <row r="727" spans="2:2" x14ac:dyDescent="0.25">
      <c r="B727" s="53"/>
    </row>
    <row r="728" spans="2:2" x14ac:dyDescent="0.25">
      <c r="B728" s="53"/>
    </row>
    <row r="729" spans="2:2" x14ac:dyDescent="0.25">
      <c r="B729" s="53"/>
    </row>
    <row r="730" spans="2:2" x14ac:dyDescent="0.25">
      <c r="B730" s="53"/>
    </row>
    <row r="731" spans="2:2" x14ac:dyDescent="0.25">
      <c r="B731" s="53"/>
    </row>
    <row r="732" spans="2:2" x14ac:dyDescent="0.25">
      <c r="B732" s="53"/>
    </row>
    <row r="733" spans="2:2" x14ac:dyDescent="0.25">
      <c r="B733" s="53"/>
    </row>
    <row r="734" spans="2:2" x14ac:dyDescent="0.25">
      <c r="B734" s="53"/>
    </row>
    <row r="735" spans="2:2" x14ac:dyDescent="0.25">
      <c r="B735" s="53"/>
    </row>
    <row r="736" spans="2:2" x14ac:dyDescent="0.25">
      <c r="B736" s="53"/>
    </row>
    <row r="737" spans="2:2" x14ac:dyDescent="0.25">
      <c r="B737" s="53"/>
    </row>
    <row r="738" spans="2:2" x14ac:dyDescent="0.25">
      <c r="B738" s="53"/>
    </row>
    <row r="739" spans="2:2" x14ac:dyDescent="0.25">
      <c r="B739" s="53"/>
    </row>
    <row r="740" spans="2:2" x14ac:dyDescent="0.25">
      <c r="B740" s="53"/>
    </row>
    <row r="741" spans="2:2" x14ac:dyDescent="0.25">
      <c r="B741" s="53"/>
    </row>
    <row r="742" spans="2:2" x14ac:dyDescent="0.25">
      <c r="B742" s="53"/>
    </row>
    <row r="743" spans="2:2" x14ac:dyDescent="0.25">
      <c r="B743" s="53"/>
    </row>
    <row r="744" spans="2:2" x14ac:dyDescent="0.25">
      <c r="B744" s="53"/>
    </row>
    <row r="745" spans="2:2" x14ac:dyDescent="0.25">
      <c r="B745" s="53"/>
    </row>
    <row r="746" spans="2:2" x14ac:dyDescent="0.25">
      <c r="B746" s="53"/>
    </row>
    <row r="747" spans="2:2" x14ac:dyDescent="0.25">
      <c r="B747" s="53"/>
    </row>
    <row r="748" spans="2:2" x14ac:dyDescent="0.25">
      <c r="B748" s="53"/>
    </row>
    <row r="749" spans="2:2" x14ac:dyDescent="0.25">
      <c r="B749" s="53"/>
    </row>
    <row r="750" spans="2:2" x14ac:dyDescent="0.25">
      <c r="B750" s="53"/>
    </row>
    <row r="751" spans="2:2" x14ac:dyDescent="0.25">
      <c r="B751" s="53"/>
    </row>
    <row r="752" spans="2:2" x14ac:dyDescent="0.25">
      <c r="B752" s="53"/>
    </row>
    <row r="753" spans="2:2" x14ac:dyDescent="0.25">
      <c r="B753" s="53"/>
    </row>
    <row r="754" spans="2:2" x14ac:dyDescent="0.25">
      <c r="B754" s="53"/>
    </row>
    <row r="755" spans="2:2" x14ac:dyDescent="0.25">
      <c r="B755" s="53"/>
    </row>
    <row r="756" spans="2:2" x14ac:dyDescent="0.25">
      <c r="B756" s="53"/>
    </row>
    <row r="757" spans="2:2" x14ac:dyDescent="0.25">
      <c r="B757" s="53"/>
    </row>
    <row r="758" spans="2:2" x14ac:dyDescent="0.25">
      <c r="B758" s="53"/>
    </row>
    <row r="759" spans="2:2" x14ac:dyDescent="0.25">
      <c r="B759" s="53"/>
    </row>
    <row r="760" spans="2:2" x14ac:dyDescent="0.25">
      <c r="B760" s="53"/>
    </row>
    <row r="761" spans="2:2" x14ac:dyDescent="0.25">
      <c r="B761" s="53"/>
    </row>
    <row r="762" spans="2:2" x14ac:dyDescent="0.25">
      <c r="B762" s="53"/>
    </row>
    <row r="763" spans="2:2" x14ac:dyDescent="0.25">
      <c r="B763" s="53"/>
    </row>
    <row r="764" spans="2:2" x14ac:dyDescent="0.25">
      <c r="B764" s="53"/>
    </row>
    <row r="765" spans="2:2" x14ac:dyDescent="0.25">
      <c r="B765" s="53"/>
    </row>
    <row r="766" spans="2:2" x14ac:dyDescent="0.25">
      <c r="B766" s="53"/>
    </row>
    <row r="767" spans="2:2" x14ac:dyDescent="0.25">
      <c r="B767" s="53"/>
    </row>
    <row r="768" spans="2:2" x14ac:dyDescent="0.25">
      <c r="B768" s="53"/>
    </row>
    <row r="769" spans="2:2" x14ac:dyDescent="0.25">
      <c r="B769" s="53"/>
    </row>
    <row r="770" spans="2:2" x14ac:dyDescent="0.25">
      <c r="B770" s="53"/>
    </row>
    <row r="771" spans="2:2" x14ac:dyDescent="0.25">
      <c r="B771" s="53"/>
    </row>
    <row r="772" spans="2:2" x14ac:dyDescent="0.25">
      <c r="B772" s="53"/>
    </row>
    <row r="773" spans="2:2" x14ac:dyDescent="0.25">
      <c r="B773" s="53"/>
    </row>
    <row r="774" spans="2:2" x14ac:dyDescent="0.25">
      <c r="B774" s="53"/>
    </row>
    <row r="775" spans="2:2" x14ac:dyDescent="0.25">
      <c r="B775" s="53"/>
    </row>
    <row r="776" spans="2:2" x14ac:dyDescent="0.25">
      <c r="B776" s="53"/>
    </row>
    <row r="777" spans="2:2" x14ac:dyDescent="0.25">
      <c r="B777" s="53"/>
    </row>
    <row r="778" spans="2:2" x14ac:dyDescent="0.25">
      <c r="B778" s="53"/>
    </row>
    <row r="779" spans="2:2" x14ac:dyDescent="0.25">
      <c r="B779" s="53"/>
    </row>
    <row r="780" spans="2:2" x14ac:dyDescent="0.25">
      <c r="B780" s="53"/>
    </row>
    <row r="781" spans="2:2" x14ac:dyDescent="0.25">
      <c r="B781" s="53"/>
    </row>
    <row r="782" spans="2:2" x14ac:dyDescent="0.25">
      <c r="B782" s="53"/>
    </row>
    <row r="783" spans="2:2" x14ac:dyDescent="0.25">
      <c r="B783" s="53"/>
    </row>
    <row r="784" spans="2:2" x14ac:dyDescent="0.25">
      <c r="B784" s="53"/>
    </row>
    <row r="785" spans="2:2" x14ac:dyDescent="0.25">
      <c r="B785" s="53"/>
    </row>
    <row r="786" spans="2:2" x14ac:dyDescent="0.25">
      <c r="B786" s="53"/>
    </row>
    <row r="787" spans="2:2" x14ac:dyDescent="0.25">
      <c r="B787" s="53"/>
    </row>
    <row r="788" spans="2:2" x14ac:dyDescent="0.25">
      <c r="B788" s="53"/>
    </row>
    <row r="789" spans="2:2" x14ac:dyDescent="0.25">
      <c r="B789" s="53"/>
    </row>
    <row r="790" spans="2:2" x14ac:dyDescent="0.25">
      <c r="B790" s="53"/>
    </row>
    <row r="791" spans="2:2" x14ac:dyDescent="0.25">
      <c r="B791" s="53"/>
    </row>
    <row r="792" spans="2:2" x14ac:dyDescent="0.25">
      <c r="B792" s="53"/>
    </row>
    <row r="793" spans="2:2" x14ac:dyDescent="0.25">
      <c r="B793" s="53"/>
    </row>
    <row r="794" spans="2:2" x14ac:dyDescent="0.25">
      <c r="B794" s="53"/>
    </row>
    <row r="795" spans="2:2" x14ac:dyDescent="0.25">
      <c r="B795" s="53"/>
    </row>
    <row r="796" spans="2:2" x14ac:dyDescent="0.25">
      <c r="B796" s="53"/>
    </row>
    <row r="797" spans="2:2" x14ac:dyDescent="0.25">
      <c r="B797" s="53"/>
    </row>
    <row r="798" spans="2:2" x14ac:dyDescent="0.25">
      <c r="B798" s="53"/>
    </row>
    <row r="799" spans="2:2" x14ac:dyDescent="0.25">
      <c r="B799" s="53"/>
    </row>
    <row r="800" spans="2:2" x14ac:dyDescent="0.25">
      <c r="B800" s="53"/>
    </row>
    <row r="801" spans="2:2" x14ac:dyDescent="0.25">
      <c r="B801" s="53"/>
    </row>
    <row r="802" spans="2:2" x14ac:dyDescent="0.25">
      <c r="B802" s="53"/>
    </row>
    <row r="803" spans="2:2" x14ac:dyDescent="0.25">
      <c r="B803" s="53"/>
    </row>
    <row r="804" spans="2:2" x14ac:dyDescent="0.25">
      <c r="B804" s="53"/>
    </row>
    <row r="805" spans="2:2" x14ac:dyDescent="0.25">
      <c r="B805" s="53"/>
    </row>
    <row r="806" spans="2:2" x14ac:dyDescent="0.25">
      <c r="B806" s="53"/>
    </row>
    <row r="807" spans="2:2" x14ac:dyDescent="0.25">
      <c r="B807" s="53"/>
    </row>
    <row r="808" spans="2:2" x14ac:dyDescent="0.25">
      <c r="B808" s="53"/>
    </row>
    <row r="809" spans="2:2" x14ac:dyDescent="0.25">
      <c r="B809" s="53"/>
    </row>
    <row r="810" spans="2:2" x14ac:dyDescent="0.25">
      <c r="B810" s="53"/>
    </row>
    <row r="811" spans="2:2" x14ac:dyDescent="0.25">
      <c r="B811" s="53"/>
    </row>
    <row r="812" spans="2:2" x14ac:dyDescent="0.25">
      <c r="B812" s="53"/>
    </row>
    <row r="813" spans="2:2" x14ac:dyDescent="0.25">
      <c r="B813" s="53"/>
    </row>
    <row r="814" spans="2:2" x14ac:dyDescent="0.25">
      <c r="B814" s="53"/>
    </row>
    <row r="815" spans="2:2" x14ac:dyDescent="0.25">
      <c r="B815" s="53"/>
    </row>
    <row r="816" spans="2:2" x14ac:dyDescent="0.25">
      <c r="B816" s="53"/>
    </row>
    <row r="817" spans="2:2" x14ac:dyDescent="0.25">
      <c r="B817" s="53"/>
    </row>
    <row r="818" spans="2:2" x14ac:dyDescent="0.25">
      <c r="B818" s="53"/>
    </row>
    <row r="819" spans="2:2" x14ac:dyDescent="0.25">
      <c r="B819" s="53"/>
    </row>
    <row r="820" spans="2:2" x14ac:dyDescent="0.25">
      <c r="B820" s="53"/>
    </row>
    <row r="821" spans="2:2" x14ac:dyDescent="0.25">
      <c r="B821" s="53"/>
    </row>
    <row r="822" spans="2:2" x14ac:dyDescent="0.25">
      <c r="B822" s="53"/>
    </row>
    <row r="823" spans="2:2" x14ac:dyDescent="0.25">
      <c r="B823" s="53"/>
    </row>
    <row r="824" spans="2:2" x14ac:dyDescent="0.25">
      <c r="B824" s="53"/>
    </row>
    <row r="825" spans="2:2" x14ac:dyDescent="0.25">
      <c r="B825" s="53"/>
    </row>
    <row r="826" spans="2:2" x14ac:dyDescent="0.25">
      <c r="B826" s="53"/>
    </row>
    <row r="827" spans="2:2" x14ac:dyDescent="0.25">
      <c r="B827" s="53"/>
    </row>
    <row r="828" spans="2:2" x14ac:dyDescent="0.25">
      <c r="B828" s="53"/>
    </row>
    <row r="829" spans="2:2" x14ac:dyDescent="0.25">
      <c r="B829" s="53"/>
    </row>
    <row r="830" spans="2:2" x14ac:dyDescent="0.25">
      <c r="B830" s="53"/>
    </row>
    <row r="831" spans="2:2" x14ac:dyDescent="0.25">
      <c r="B831" s="53"/>
    </row>
    <row r="832" spans="2:2" x14ac:dyDescent="0.25">
      <c r="B832" s="53"/>
    </row>
    <row r="833" spans="2:2" x14ac:dyDescent="0.25">
      <c r="B833" s="53"/>
    </row>
    <row r="834" spans="2:2" x14ac:dyDescent="0.25">
      <c r="B834" s="53"/>
    </row>
    <row r="835" spans="2:2" x14ac:dyDescent="0.25">
      <c r="B835" s="53"/>
    </row>
    <row r="836" spans="2:2" x14ac:dyDescent="0.25">
      <c r="B836" s="53"/>
    </row>
    <row r="837" spans="2:2" x14ac:dyDescent="0.25">
      <c r="B837" s="53"/>
    </row>
    <row r="838" spans="2:2" x14ac:dyDescent="0.25">
      <c r="B838" s="53"/>
    </row>
    <row r="839" spans="2:2" x14ac:dyDescent="0.25">
      <c r="B839" s="53"/>
    </row>
    <row r="840" spans="2:2" x14ac:dyDescent="0.25">
      <c r="B840" s="53"/>
    </row>
    <row r="841" spans="2:2" x14ac:dyDescent="0.25">
      <c r="B841" s="53"/>
    </row>
    <row r="842" spans="2:2" x14ac:dyDescent="0.25">
      <c r="B842" s="53"/>
    </row>
    <row r="843" spans="2:2" x14ac:dyDescent="0.25">
      <c r="B843" s="53"/>
    </row>
    <row r="844" spans="2:2" x14ac:dyDescent="0.25">
      <c r="B844" s="53"/>
    </row>
    <row r="845" spans="2:2" x14ac:dyDescent="0.25">
      <c r="B845" s="53"/>
    </row>
    <row r="846" spans="2:2" x14ac:dyDescent="0.25">
      <c r="B846" s="53"/>
    </row>
    <row r="847" spans="2:2" x14ac:dyDescent="0.25">
      <c r="B847" s="53"/>
    </row>
    <row r="848" spans="2:2" x14ac:dyDescent="0.25">
      <c r="B848" s="53"/>
    </row>
    <row r="849" spans="2:2" x14ac:dyDescent="0.25">
      <c r="B849" s="53"/>
    </row>
    <row r="850" spans="2:2" x14ac:dyDescent="0.25">
      <c r="B850" s="53"/>
    </row>
    <row r="851" spans="2:2" x14ac:dyDescent="0.25">
      <c r="B851" s="53"/>
    </row>
    <row r="852" spans="2:2" x14ac:dyDescent="0.25">
      <c r="B852" s="53"/>
    </row>
    <row r="853" spans="2:2" x14ac:dyDescent="0.25">
      <c r="B853" s="53"/>
    </row>
    <row r="854" spans="2:2" x14ac:dyDescent="0.25">
      <c r="B854" s="53"/>
    </row>
    <row r="855" spans="2:2" x14ac:dyDescent="0.25">
      <c r="B855" s="53"/>
    </row>
    <row r="856" spans="2:2" x14ac:dyDescent="0.25">
      <c r="B856" s="53"/>
    </row>
    <row r="857" spans="2:2" x14ac:dyDescent="0.25">
      <c r="B857" s="53"/>
    </row>
    <row r="858" spans="2:2" x14ac:dyDescent="0.25">
      <c r="B858" s="53"/>
    </row>
    <row r="859" spans="2:2" x14ac:dyDescent="0.25">
      <c r="B859" s="53"/>
    </row>
    <row r="860" spans="2:2" x14ac:dyDescent="0.25">
      <c r="B860" s="53"/>
    </row>
    <row r="861" spans="2:2" x14ac:dyDescent="0.25">
      <c r="B861" s="53"/>
    </row>
    <row r="862" spans="2:2" x14ac:dyDescent="0.25">
      <c r="B862" s="53"/>
    </row>
    <row r="863" spans="2:2" x14ac:dyDescent="0.25">
      <c r="B863" s="53"/>
    </row>
    <row r="864" spans="2:2" x14ac:dyDescent="0.25">
      <c r="B864" s="53"/>
    </row>
    <row r="865" spans="2:2" x14ac:dyDescent="0.25">
      <c r="B865" s="53"/>
    </row>
    <row r="866" spans="2:2" x14ac:dyDescent="0.25">
      <c r="B866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P&amp;L USA</vt:lpstr>
      <vt:lpstr>Chase Aux</vt:lpstr>
      <vt:lpstr>Profit</vt:lpstr>
      <vt:lpstr>Losses</vt:lpstr>
      <vt:lpstr>EK debt</vt:lpstr>
      <vt:lpstr>Tasks</vt:lpstr>
      <vt:lpstr>Funds</vt:lpstr>
      <vt:lpstr>Cash flow</vt:lpstr>
      <vt:lpstr>Kids</vt:lpstr>
      <vt:lpstr>Retirement</vt:lpstr>
      <vt:lpstr>Investments</vt:lpstr>
      <vt:lpstr>Ret. as 2019</vt:lpstr>
      <vt:lpstr>MBA</vt:lpstr>
      <vt:lpstr>Aux2</vt:lpstr>
      <vt:lpstr>draft</vt:lpstr>
      <vt:lpstr>Aux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Kuhle</dc:creator>
  <cp:lastModifiedBy>Manoel Netto</cp:lastModifiedBy>
  <dcterms:created xsi:type="dcterms:W3CDTF">2019-05-04T20:31:49Z</dcterms:created>
  <dcterms:modified xsi:type="dcterms:W3CDTF">2020-11-05T00:33:51Z</dcterms:modified>
</cp:coreProperties>
</file>